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22.xml" ContentType="application/vnd.openxmlformats-officedocument.spreadsheetml.comments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3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comments21.xml" ContentType="application/vnd.openxmlformats-officedocument.spreadsheetml.comments+xml"/>
  <Override PartName="/xl/worksheets/_rels/sheet5.xml.rels" ContentType="application/vnd.openxmlformats-package.relationships+xml"/>
  <Override PartName="/xl/worksheets/_rels/sheet14.xml.rels" ContentType="application/vnd.openxmlformats-package.relationships+xml"/>
  <Override PartName="/xl/worksheets/_rels/sheet4.xml.rels" ContentType="application/vnd.openxmlformats-package.relationships+xml"/>
  <Override PartName="/xl/worksheets/_rels/sheet22.xml.rels" ContentType="application/vnd.openxmlformats-package.relationships+xml"/>
  <Override PartName="/xl/worksheets/_rels/sheet3.xml.rels" ContentType="application/vnd.openxmlformats-package.relationships+xml"/>
  <Override PartName="/xl/worksheets/_rels/sheet21.xml.rels" ContentType="application/vnd.openxmlformats-package.relationships+xml"/>
  <Override PartName="/xl/worksheets/_rels/sheet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30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7.xml.rels" ContentType="application/vnd.openxmlformats-package.relationships+xml"/>
  <Override PartName="/xl/externalLinks/_rels/externalLink6.xml.rels" ContentType="application/vnd.openxmlformats-package.relationships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7.xml" ContentType="application/vnd.openxmlformats-officedocument.drawing+xml"/>
  <Override PartName="/xl/drawings/vmlDrawing4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drawings/vmlDrawing7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OC" sheetId="1" state="visible" r:id="rId3"/>
    <sheet name="Assm" sheetId="2" state="visible" r:id="rId4"/>
    <sheet name="RAROC" sheetId="3" state="visible" r:id="rId5"/>
    <sheet name="Tariff" sheetId="4" state="visible" r:id="rId6"/>
    <sheet name="Rev_Exp" sheetId="5" state="visible" r:id="rId7"/>
    <sheet name="CF" sheetId="6" state="visible" r:id="rId8"/>
    <sheet name="Project &amp; Investor Returns" sheetId="7" state="visible" r:id="rId9"/>
    <sheet name="Enron Returns" sheetId="8" state="visible" r:id="rId10"/>
    <sheet name="Shell &amp; Trans Returns" sheetId="9" state="visible" r:id="rId11"/>
    <sheet name="100% Partner Cash Flow" sheetId="10" state="visible" r:id="rId12"/>
    <sheet name="EINC" sheetId="11" state="visible" r:id="rId13"/>
    <sheet name="PLRisk" sheetId="12" state="visible" r:id="rId14"/>
    <sheet name="Trapped" sheetId="13" state="visible" r:id="rId15"/>
    <sheet name="Turnkey" sheetId="14" state="visible" r:id="rId16"/>
    <sheet name="Drawdown" sheetId="15" state="visible" r:id="rId17"/>
    <sheet name="IDC" sheetId="16" state="visible" r:id="rId18"/>
    <sheet name="Debt Amort" sheetId="17" state="visible" r:id="rId19"/>
    <sheet name="Sudam" sheetId="18" state="visible" r:id="rId20"/>
    <sheet name="Taxes" sheetId="19" state="visible" r:id="rId21"/>
    <sheet name="Depr" sheetId="20" state="visible" r:id="rId22"/>
    <sheet name="CommonSized" sheetId="21" state="visible" r:id="rId23"/>
    <sheet name="BS_IS" sheetId="22" state="visible" r:id="rId24"/>
    <sheet name="Ref1" sheetId="23" state="visible" r:id="rId25"/>
    <sheet name="Ref2" sheetId="24" state="visible" r:id="rId26"/>
    <sheet name="Ref3" sheetId="25" state="visible" r:id="rId27"/>
    <sheet name="Ref4" sheetId="26" state="visible" r:id="rId28"/>
    <sheet name="Ref5" sheetId="27" state="visible" r:id="rId29"/>
    <sheet name="RAC_LDs" sheetId="28" state="visible" r:id="rId30"/>
    <sheet name="Plant Operations" sheetId="29" state="visible" r:id="rId31"/>
    <sheet name="Avail Penalty" sheetId="30" state="visible" r:id="rId32"/>
    <sheet name="Annex 12-Plant" sheetId="31" state="visible" r:id="rId33"/>
    <sheet name="Annex 12-Gas" sheetId="32" state="visible" r:id="rId34"/>
    <sheet name="Annex 10-Plant" sheetId="33" state="visible" r:id="rId35"/>
    <sheet name="Annex 10-Gas" sheetId="34" state="visible" r:id="rId36"/>
    <sheet name="Fuel Expense" sheetId="35" state="visible" r:id="rId37"/>
    <sheet name="Escalation" sheetId="36" state="visible" r:id="rId38"/>
    <sheet name="US$ Table" sheetId="37" state="visible" r:id="rId39"/>
    <sheet name="R$ Table" sheetId="38" state="visible" r:id="rId40"/>
    <sheet name="NPV Of Tariff" sheetId="39" state="visible" r:id="rId41"/>
    <sheet name="Converge" sheetId="40" state="hidden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function="false" hidden="false" localSheetId="9" name="_xlnm.Print_Area" vbProcedure="false">'100% Partner Cash Flow'!$A:$AC</definedName>
    <definedName function="false" hidden="false" localSheetId="33" name="_xlnm.Print_Area" vbProcedure="false">'Annex 10-Gas'!$A:$AD</definedName>
    <definedName function="false" hidden="false" localSheetId="33" name="_xlnm.Print_Titles" vbProcedure="false">'Annex 10-Gas'!$1:$11</definedName>
    <definedName function="false" hidden="false" localSheetId="32" name="_xlnm.Print_Area" vbProcedure="false">'Annex 10-Plant'!$A:$S</definedName>
    <definedName function="false" hidden="false" localSheetId="32" name="_xlnm.Print_Titles" vbProcedure="false">'Annex 10-Plant'!$1:$11</definedName>
    <definedName function="false" hidden="false" localSheetId="31" name="_xlnm.Print_Area" vbProcedure="false">'Annex 12-Gas'!$A:$AK</definedName>
    <definedName function="false" hidden="false" localSheetId="31" name="_xlnm.Print_Titles" vbProcedure="false">'Annex 12-Gas'!$1:$11</definedName>
    <definedName function="false" hidden="false" localSheetId="30" name="_xlnm.Print_Area" vbProcedure="false">'Annex 12-Plant'!$A:$AF</definedName>
    <definedName function="false" hidden="false" localSheetId="30" name="_xlnm.Print_Titles" vbProcedure="false">'Annex 12-Plant'!$1:$11</definedName>
    <definedName function="false" hidden="false" localSheetId="1" name="_xlnm.Print_Area" vbProcedure="false">Assm!$A:$AB</definedName>
    <definedName function="false" hidden="false" localSheetId="29" name="_xlnm.Print_Area" vbProcedure="false">'Avail Penalty'!$A:$M</definedName>
    <definedName function="false" hidden="false" localSheetId="29" name="_xlnm.Print_Titles" vbProcedure="false">'Avail Penalty'!$1:$11</definedName>
    <definedName function="false" hidden="false" localSheetId="21" name="_xlnm.Print_Area" vbProcedure="false">BS_IS!$A:$AD</definedName>
    <definedName function="false" hidden="false" localSheetId="5" name="_xlnm.Print_Area" vbProcedure="false">CF!$A:$Z</definedName>
    <definedName function="false" hidden="false" localSheetId="16" name="_xlnm.Print_Area" vbProcedure="false">'Debt Amort'!$A:$AD</definedName>
    <definedName function="false" hidden="false" localSheetId="19" name="_xlnm.Print_Area" vbProcedure="false">Depr!$A:$AC</definedName>
    <definedName function="false" hidden="false" localSheetId="10" name="_xlnm.Print_Area" vbProcedure="false">EINC!$A$1:$AB$93</definedName>
    <definedName function="false" hidden="false" localSheetId="7" name="_xlnm.Print_Area" vbProcedure="false">'Enron Returns'!$A$1:$I$47</definedName>
    <definedName function="false" hidden="false" localSheetId="35" name="_xlnm.Print_Area" vbProcedure="false">Escalation!$A$12:$AP$289</definedName>
    <definedName function="false" hidden="false" localSheetId="35" name="_xlnm.Print_Titles" vbProcedure="false">Escalation!$12:$18</definedName>
    <definedName function="false" hidden="false" localSheetId="34" name="_xlnm.Print_Area" vbProcedure="false">'Fuel Expense'!$A:$R</definedName>
    <definedName function="false" hidden="false" localSheetId="34" name="_xlnm.Print_Titles" vbProcedure="false">'Fuel Expense'!$1:$11</definedName>
    <definedName function="false" hidden="false" localSheetId="38" name="_xlnm.Print_Area" vbProcedure="false">'NPV Of Tariff'!$A:$S</definedName>
    <definedName function="false" hidden="false" localSheetId="28" name="_xlnm.Print_Area" vbProcedure="false">'Plant Operations'!$A:$U</definedName>
    <definedName function="false" hidden="false" localSheetId="28" name="_xlnm.Print_Titles" vbProcedure="false">'Plant Operations'!$1:$11</definedName>
    <definedName function="false" hidden="false" localSheetId="11" name="_xlnm.Print_Area" vbProcedure="false">PLRisk!$A:$AB</definedName>
    <definedName function="false" hidden="false" localSheetId="6" name="_xlnm.Print_Area" vbProcedure="false">'Project &amp; Investor Returns'!$A:$AC</definedName>
    <definedName function="false" hidden="false" localSheetId="37" name="_xlnm.Print_Area" vbProcedure="false">'R$ Table'!$A:$AB</definedName>
    <definedName function="false" hidden="false" localSheetId="22" name="_xlnm.Print_Area" vbProcedure="false">Ref1!$A:$J</definedName>
    <definedName function="false" hidden="false" localSheetId="24" name="_xlnm.Print_Area" vbProcedure="false">Ref3!$A:$J</definedName>
    <definedName function="false" hidden="false" localSheetId="25" name="_xlnm.Print_Area" vbProcedure="false">Ref4!$A:$J</definedName>
    <definedName function="false" hidden="false" localSheetId="26" name="_xlnm.Print_Area" vbProcedure="false">Ref5!$A:$J</definedName>
    <definedName function="false" hidden="false" localSheetId="4" name="_xlnm.Print_Area" vbProcedure="false">Rev_Exp!$A:$Z</definedName>
    <definedName function="false" hidden="false" localSheetId="8" name="_xlnm.Print_Area" vbProcedure="false">'Shell &amp; Trans Returns'!$A:$AC</definedName>
    <definedName function="false" hidden="false" localSheetId="17" name="_xlnm.Print_Area" vbProcedure="false">Sudam!$A:$Z</definedName>
    <definedName function="false" hidden="false" localSheetId="3" name="_xlnm.Print_Area" vbProcedure="false">Tariff!$A:$Y</definedName>
    <definedName function="false" hidden="false" localSheetId="18" name="_xlnm.Print_Area" vbProcedure="false">Taxes!$A:$Z</definedName>
    <definedName function="false" hidden="false" localSheetId="0" name="_xlnm.Print_Area" vbProcedure="false">TOC!$A:$D</definedName>
    <definedName function="false" hidden="false" localSheetId="12" name="_xlnm.Print_Area" vbProcedure="false">Trapped!$A$1:$AB$100</definedName>
    <definedName function="false" hidden="false" localSheetId="13" name="_xlnm.Print_Area" vbProcedure="false">Turnkey!$A:$Z</definedName>
    <definedName function="false" hidden="false" name="AddTax" vbProcedure="false">Assm!$J$9</definedName>
    <definedName function="false" hidden="false" name="Annex10_Gas_Table" vbProcedure="false">'Annex 10-Gas'!$A$12:$AD$267</definedName>
    <definedName function="false" hidden="false" name="Annex10_Plant_Table" vbProcedure="false">'Annex 10-Plant'!$A$12:$S$267</definedName>
    <definedName function="false" hidden="false" name="Annex12_Gas_Table" vbProcedure="false">'Annex 12-Gas'!$A$12:$AK$267</definedName>
    <definedName function="false" hidden="false" name="Annex12_Plant_Table" vbProcedure="false">'Annex 12-Plant'!$A$12:$AF$267</definedName>
    <definedName function="false" hidden="false" name="Avail_LDs_Switch" vbProcedure="false">RAC_LDs!$C$2</definedName>
    <definedName function="false" hidden="false" name="Bid_Tariff_Table" vbProcedure="false">Tariff!$B$41:$F$61</definedName>
    <definedName function="false" hidden="false" name="BL" vbProcedure="false">Assm!$AB$86</definedName>
    <definedName function="false" hidden="false" name="BS_Table" vbProcedure="false">BS_IS!$G$7:$AC$36</definedName>
    <definedName function="false" hidden="false" name="Capacity_I" vbProcedure="false">Assm!$C$7</definedName>
    <definedName function="false" hidden="false" name="Capacity_II" vbProcedure="false">Assm!$D$7</definedName>
    <definedName function="false" hidden="false" name="Capacity_III" vbProcedure="false">Assm!$E$7</definedName>
    <definedName function="false" hidden="false" name="Capacity_Table" vbProcedure="false">Tariff!$Q$11:$U$16</definedName>
    <definedName function="false" hidden="false" name="CF" vbProcedure="false">Rev_Exp!$A$1:$AA$93</definedName>
    <definedName function="false" hidden="false" name="CF_Table" vbProcedure="false">CF!$D$7:$Y$80</definedName>
    <definedName function="false" hidden="false" name="CM_Tariff_Table" vbProcedure="false">'Fuel Expense'!$A$12:$J$267</definedName>
    <definedName function="false" hidden="false" name="Cofins" vbProcedure="false">Assm!$J$17</definedName>
    <definedName function="false" hidden="false" name="Commit_Factor" vbProcedure="false">IDC!$BD$102</definedName>
    <definedName function="false" hidden="false" name="Com_Inputs" vbProcedure="false">IDC!$E$106:$AZ$106</definedName>
    <definedName function="false" hidden="false" name="Com_Values" vbProcedure="false">IDC!$E$20:$AZ$20</definedName>
    <definedName function="false" hidden="false" name="Convert_Table" vbProcedure="false">Tariff!$W$46:$Y$53</definedName>
    <definedName function="false" hidden="false" name="Cost_I" vbProcedure="false">Assm!$S$48</definedName>
    <definedName function="false" hidden="false" name="Cost_II" vbProcedure="false">Assm!$T$48</definedName>
    <definedName function="false" hidden="false" name="Cost_III" vbProcedure="false">Assm!$U$48</definedName>
    <definedName function="false" hidden="false" name="CPI" vbProcedure="false">#REF!</definedName>
    <definedName function="false" hidden="false" name="Curves_Table" vbProcedure="false">Escalation!$A$19:$AW$288</definedName>
    <definedName function="false" hidden="false" name="Debtperc" vbProcedure="false">Assm!$AA$68</definedName>
    <definedName function="false" hidden="false" name="Debt_Serv" vbProcedure="false">Assm!$F$26</definedName>
    <definedName function="false" hidden="false" name="Dec_Change" vbProcedure="false">Escalation!$F$13:$I$288</definedName>
    <definedName function="false" hidden="false" name="Dev_Fee1" vbProcedure="false">#REF!</definedName>
    <definedName function="false" hidden="false" name="Dev_Fee2" vbProcedure="false">#REF!</definedName>
    <definedName function="false" hidden="false" name="Dev_Fee3" vbProcedure="false">#REF!</definedName>
    <definedName function="false" hidden="false" name="DieselOps_2" vbProcedure="false">Assm!$F$18</definedName>
    <definedName function="false" hidden="false" name="Diesel_Table" vbProcedure="false">Tariff!$W$31:$Y$40</definedName>
    <definedName function="false" hidden="false" name="Disc" vbProcedure="false">Assm!$T$70</definedName>
    <definedName function="false" hidden="false" name="Draw_Table" vbProcedure="false">Drawdown!$E$49:$AN$55</definedName>
    <definedName function="false" hidden="false" name="Duties" vbProcedure="false">Assm!$J$31</definedName>
    <definedName function="false" hidden="false" name="Duties_Maint" vbProcedure="false">Assm!$J$32</definedName>
    <definedName function="false" hidden="false" name="Ecf" vbProcedure="false">Assm!$AB$88</definedName>
    <definedName function="false" hidden="false" name="EE_Date" vbProcedure="false">Assm!$L$73</definedName>
    <definedName function="false" hidden="false" name="Endyr" vbProcedure="false">Assm!$F$20</definedName>
    <definedName function="false" hidden="false" name="Equityperc" vbProcedure="false">Assm!$AA$71</definedName>
    <definedName function="false" hidden="false" name="Est_Commit1" vbProcedure="false">Assm!$AE$12</definedName>
    <definedName function="false" hidden="false" name="Est_Cost1" vbProcedure="false">Assm!$AE$8</definedName>
    <definedName function="false" hidden="false" name="Est_Idc1" vbProcedure="false">Assm!$AE$9</definedName>
    <definedName function="false" hidden="false" name="Est_Wh1" vbProcedure="false">Assm!$AE$10</definedName>
    <definedName function="false" hidden="false" name="Exch" vbProcedure="false">Assm!$L$72</definedName>
    <definedName function="false" hidden="false" name="Exit_Table" vbProcedure="false">#REF!</definedName>
    <definedName function="false" hidden="false" name="Fin_Close" vbProcedure="false">Assm!$F$24</definedName>
    <definedName function="false" hidden="false" name="Fin_Sum_Table" vbProcedure="false">'Debt Amort'!$D$7:$Y$21</definedName>
    <definedName function="false" hidden="false" name="Fin_Table" vbProcedure="false">'Debt Amort'!$B$35:$AH$75</definedName>
    <definedName function="false" hidden="false" name="Fuel_Cost_Table" vbProcedure="false">'Fuel Expense'!$A$12:$R$267</definedName>
    <definedName function="false" hidden="false" name="Guarantee_Fee" vbProcedure="false">[1]RAC_ASSUMP!$C$16</definedName>
    <definedName function="false" hidden="false" name="Guarantee_Fee_Table" vbProcedure="false">'Debt Amort'!$B$35:$AI$74</definedName>
    <definedName function="false" hidden="false" name="Guar_Fee_Table" vbProcedure="false">RAROC!$A$107:$D$113</definedName>
    <definedName function="false" hidden="false" name="Hr_I" vbProcedure="false">Assm!$C$9</definedName>
    <definedName function="false" hidden="false" name="Hr_II" vbProcedure="false">Assm!$D$9</definedName>
    <definedName function="false" hidden="false" name="Hr_III" vbProcedure="false">Assm!$E$9</definedName>
    <definedName function="false" hidden="false" name="Icms_Elec" vbProcedure="false">Assm!$J$21</definedName>
    <definedName function="false" hidden="false" name="Icms_Fuel" vbProcedure="false">Assm!$J$23</definedName>
    <definedName function="false" hidden="false" name="Icms_Merch" vbProcedure="false">Assm!$J$30</definedName>
    <definedName function="false" hidden="false" name="Icms_Trans" vbProcedure="false">Assm!$J$22</definedName>
    <definedName function="false" hidden="false" name="Idc_Summary" vbProcedure="false">IDC!$A$7:$BA$84</definedName>
    <definedName function="false" hidden="false" name="Idc_Table" vbProcedure="false">IDC!$E$7:$BA$92</definedName>
    <definedName function="false" hidden="false" name="Inputs" vbProcedure="false">Assm!$AF$7:$AF$13</definedName>
    <definedName function="false" hidden="false" name="Int_BL" vbProcedure="false">Assm!$AB$87</definedName>
    <definedName function="false" hidden="false" name="Irr" vbProcedure="false">Assm!$U$70</definedName>
    <definedName function="false" hidden="false" name="Iss" vbProcedure="false">Assm!$J$24</definedName>
    <definedName function="false" hidden="false" name="Land1" vbProcedure="false">Assm!$S$17</definedName>
    <definedName function="false" hidden="false" name="Land2" vbProcedure="false">Assm!$T$17</definedName>
    <definedName function="false" hidden="false" name="Land3" vbProcedure="false">Assm!$U$17</definedName>
    <definedName function="false" hidden="false" name="LGM_Cost" vbProcedure="false">Assm!$L$104</definedName>
    <definedName function="false" hidden="false" name="Loopfactor" vbProcedure="false">Assm!$AD$17</definedName>
    <definedName function="false" hidden="false" name="MOSYR2" vbProcedure="false">#REF!</definedName>
    <definedName function="false" hidden="false" name="New_Investor_Equity" vbProcedure="false">Assm!$L$108</definedName>
    <definedName function="false" hidden="false" name="New_Tariff_Table" vbProcedure="false">'US$ Table'!$B$55:$G$74</definedName>
    <definedName function="false" hidden="false" name="Nol" vbProcedure="false">Assm!$J$11</definedName>
    <definedName function="false" hidden="false" name="Npv" vbProcedure="false">Assm!$V$70</definedName>
    <definedName function="false" hidden="false" name="OA_Table" vbProcedure="false">Tariff!$W$10:$Y$25</definedName>
    <definedName function="false" hidden="false" name="OM_Table" vbProcedure="false">Assm!$C$59:$E$77</definedName>
    <definedName function="false" hidden="false" name="OM_Table_R" vbProcedure="false">'R$ Table'!$C$55:$K$75</definedName>
    <definedName function="false" hidden="false" name="OM_Table_US" vbProcedure="false">'US$ Table'!$AC$55:$AJ$75</definedName>
    <definedName function="false" hidden="false" name="Opic" vbProcedure="false">Assm!$J$114</definedName>
    <definedName function="false" hidden="false" name="Penalty_Table" vbProcedure="false">'Avail Penalty'!$A$12:$M$267</definedName>
    <definedName function="false" hidden="false" name="Perf" vbProcedure="false">Assm!$F$91</definedName>
    <definedName function="false" hidden="false" name="Pis" vbProcedure="false">Assm!$J$16</definedName>
    <definedName function="false" hidden="false" name="Plant_Table" vbProcedure="false">'Plant Operations'!$A$12:$U$267</definedName>
    <definedName function="false" hidden="false" name="PPA_COD_PhII" vbProcedure="false">RAC_LDs!$C$7</definedName>
    <definedName function="false" hidden="false" name="Promote_Fee_New" vbProcedure="false">#REF!</definedName>
    <definedName function="false" hidden="false" name="Promote_Fee_Orig" vbProcedure="false">#REF!</definedName>
    <definedName function="false" hidden="false" name="Promote_Rate_New" vbProcedure="false">#REF!</definedName>
    <definedName function="false" hidden="false" name="Promote_Rate_Orig" vbProcedure="false">#REF!</definedName>
    <definedName function="false" hidden="false" name="Promote_Return_New" vbProcedure="false">Assm!$L$108</definedName>
    <definedName function="false" hidden="false" name="Promote_Return_Orig" vbProcedure="false">#REF!</definedName>
    <definedName function="false" hidden="false" name="Prop" vbProcedure="false">Assm!$J$28</definedName>
    <definedName function="false" hidden="false" name="PT_Tariff_Table" vbProcedure="false">'Annex 12-Plant'!$A$12:$AF$267</definedName>
    <definedName function="false" hidden="false" name="RAC_AvailFactor_Table" vbProcedure="false">RAC_LDs!$B$15:$G$255</definedName>
    <definedName function="false" hidden="false" name="Real" vbProcedure="false">Assm!$J$27</definedName>
    <definedName function="false" hidden="false" name="Reserve_Table" vbProcedure="false">Trapped!$F$7:$AB$100</definedName>
    <definedName function="false" hidden="false" name="Ret_Table" vbProcedure="false">'Project &amp; Investor Returns'!$E$6:$AB$25</definedName>
    <definedName function="false" hidden="false" name="Rev_Exp_Table" vbProcedure="false">Rev_Exp!$D$7:$Y$93</definedName>
    <definedName function="false" hidden="false" name="Social" vbProcedure="false">Assm!$J$10</definedName>
    <definedName function="false" hidden="false" name="Spares1" vbProcedure="false">Assm!$S$39</definedName>
    <definedName function="false" hidden="false" name="Spares2" vbProcedure="false">Assm!$T$39</definedName>
    <definedName function="false" hidden="false" name="Spares3" vbProcedure="false">Assm!$U$39</definedName>
    <definedName function="false" hidden="false" name="Spares_WTF" vbProcedure="false">Assm!$V$40</definedName>
    <definedName function="false" hidden="false" name="Sr_Debt_Table" vbProcedure="false">'US$ Table'!$N$55:$T$75</definedName>
    <definedName function="false" hidden="false" name="Startconst" vbProcedure="false">Assm!$C$14</definedName>
    <definedName function="false" hidden="false" name="Startops1" vbProcedure="false">Assm!$C$16</definedName>
    <definedName function="false" hidden="false" name="Startops2" vbProcedure="false">Assm!$D$16</definedName>
    <definedName function="false" hidden="false" name="Startops3" vbProcedure="false">Assm!$E$16</definedName>
    <definedName function="false" hidden="false" name="Startops4" vbProcedure="false">Assm!$F$16</definedName>
    <definedName function="false" hidden="false" name="Subdebtperc" vbProcedure="false">Assm!$AA$69</definedName>
    <definedName function="false" hidden="false" name="Subloop" vbProcedure="false">'Debt Amort'!$BC$78</definedName>
    <definedName function="false" hidden="false" name="Sub_Debt_Table" vbProcedure="false">'US$ Table'!$W$55:$AA$75</definedName>
    <definedName function="false" hidden="false" name="Sub_Inputs" vbProcedure="false">'Debt Amort'!$BA$35:$BA$74</definedName>
    <definedName function="false" hidden="false" name="Sub_Values" vbProcedure="false">'Debt Amort'!$BB$35:$BB$74</definedName>
    <definedName function="false" hidden="false" name="SudamPerc" vbProcedure="false">Assm!$AA$70</definedName>
    <definedName function="false" hidden="false" name="Sudam_Table" vbProcedure="false">Assm!$I$41:$L$42</definedName>
    <definedName function="false" hidden="false" name="Target" vbProcedure="false">Assm!$U$71</definedName>
    <definedName function="false" hidden="false" name="Tariff" vbProcedure="false">Assm!$C$31</definedName>
    <definedName function="false" hidden="false" name="Tariff_Inputs1" vbProcedure="false">'US$ Table'!$G$55:$G$74</definedName>
    <definedName function="false" hidden="false" name="Tariff_Inputs2" vbProcedure="false">'US$ Table'!$H$55:$I$74</definedName>
    <definedName function="false" hidden="false" name="Tariff_Table" vbProcedure="false">Tariff!$C$11:$O$32</definedName>
    <definedName function="false" hidden="false" name="Tariff_Table_R" vbProcedure="false">'R$ Table'!$B$9:$AB$47</definedName>
    <definedName function="false" hidden="false" name="Tariff_Table_US" vbProcedure="false">'US$ Table'!$B$9:$AG$47</definedName>
    <definedName function="false" hidden="false" name="Tariff_Table_US2" vbProcedure="false">'US$ Table'!$BR$9:$CW$47</definedName>
    <definedName function="false" hidden="false" name="Tariff_Values1" vbProcedure="false">Tariff!$G$41:$G$61</definedName>
    <definedName function="false" hidden="false" name="Tariff_Values2" vbProcedure="false">Tariff!$H$41:$I$61</definedName>
    <definedName function="false" hidden="false" name="Tax" vbProcedure="false">Assm!$J$8</definedName>
    <definedName function="false" hidden="false" name="Term" vbProcedure="false">Assm!$F$19</definedName>
    <definedName function="false" hidden="false" name="Term_C1" vbProcedure="false">Assm!$C$15</definedName>
    <definedName function="false" hidden="false" name="Term_C2" vbProcedure="false">Assm!$D$15</definedName>
    <definedName function="false" hidden="false" name="Term_C3" vbProcedure="false">Assm!$E$15</definedName>
    <definedName function="false" hidden="false" name="Term_Fc" vbProcedure="false">Assm!$F$25</definedName>
    <definedName function="false" hidden="false" name="TG_Tariff_Table" vbProcedure="false">'Annex 12-Gas'!$A$12:$Y$267</definedName>
    <definedName function="false" hidden="false" name="Tjlp" vbProcedure="false">Assm!$J$26</definedName>
    <definedName function="false" hidden="false" name="Total_BL" vbProcedure="false">Assm!$Y$87</definedName>
    <definedName function="false" hidden="false" name="Tot_Cost" vbProcedure="false">Assm!$V$48</definedName>
    <definedName function="false" hidden="false" name="Tot_Debt" vbProcedure="false">Assm!$Z$68</definedName>
    <definedName function="false" hidden="false" name="Tot_Equity" vbProcedure="false">Assm!$Z$71</definedName>
    <definedName function="false" hidden="false" name="Tot_Subdebt" vbProcedure="false">Assm!$Z$69</definedName>
    <definedName function="false" hidden="false" name="Trapped_Table" vbProcedure="false">Trapped!$F$7:$AA$100</definedName>
    <definedName function="false" hidden="false" name="Turnkey_Table1" vbProcedure="false">#REF!</definedName>
    <definedName function="false" hidden="false" name="USTax" vbProcedure="false">Assm!$J$46</definedName>
    <definedName function="false" hidden="false" name="Values" vbProcedure="false">Assm!$AE$7:$AE$13</definedName>
    <definedName function="false" hidden="false" name="WCAP" vbProcedure="false">Assm!$R$22</definedName>
    <definedName function="false" hidden="false" name="Wcap1" vbProcedure="false">Assm!$S$38</definedName>
    <definedName function="false" hidden="false" name="Wcap2" vbProcedure="false">Assm!$T$38</definedName>
    <definedName function="false" hidden="false" name="Wcap3" vbProcedure="false">Assm!$U$38</definedName>
    <definedName function="false" hidden="false" name="Wh_Div" vbProcedure="false">Assm!$J$12</definedName>
    <definedName function="false" hidden="false" name="Wh_Int" vbProcedure="false">Assm!$J$13</definedName>
    <definedName function="false" hidden="false" name="Wh_Int_2" vbProcedure="false">Assm!$J$14</definedName>
    <definedName function="false" hidden="false" name="Wh_Serv" vbProcedure="false">Assm!$J$15</definedName>
    <definedName function="false" hidden="false" localSheetId="2" name="ZA0" vbProcedure="false">"Crystal Ball Data : Ver. 4.0.7"</definedName>
    <definedName function="false" hidden="false" localSheetId="2" name="ZA0A" vbProcedure="false">33+134</definedName>
    <definedName function="false" hidden="false" localSheetId="2" name="ZA0C" vbProcedure="false">0+0</definedName>
    <definedName function="false" hidden="false" localSheetId="2" name="ZA0D" vbProcedure="false">0+0</definedName>
    <definedName function="false" hidden="false" localSheetId="2" name="ZA0F" vbProcedure="false">140+262</definedName>
    <definedName function="false" hidden="false" localSheetId="2" name="ZA0T" vbProcedure="false">354697798+0</definedName>
    <definedName function="false" hidden="false" localSheetId="2" name="ZA100" vbProcedure="false">RAROC!$D$78+"aD64"+16389+RAROC!$D$79+0+1+RAROC!$D$80+0+0.0333333333333333</definedName>
    <definedName function="false" hidden="false" localSheetId="2" name="ZA103" vbProcedure="false">RAROC!$E$83+"pBE69"+16389+RAROC!$E$84+0+1+RAROC!$E$85+0+0.116954520185051</definedName>
    <definedName function="false" hidden="false" localSheetId="2" name="ZA104" vbProcedure="false">RAROC!$F$83+"pBF69"+16389+RAROC!$F$84+0+1+RAROC!$F$85+0+0.116954520185051</definedName>
    <definedName function="false" hidden="false" localSheetId="2" name="ZA105" vbProcedure="false">RAROC!$G$83+"pBG69"+16389+RAROC!$G$84+0+1+RAROC!$G$85+0+0.116954520185051</definedName>
    <definedName function="false" hidden="false" localSheetId="2" name="ZA106" vbProcedure="false">RAROC!$H$83+"pBH69"+16389+RAROC!$H$84+0+1+RAROC!$H$85+0+0.116954520185051</definedName>
    <definedName function="false" hidden="false" localSheetId="2" name="ZA107" vbProcedure="false">RAROC!$I$83+"pBI69"+16389+RAROC!$I$84+0+1+RAROC!$I$85+0+0.116954520185051</definedName>
    <definedName function="false" hidden="false" localSheetId="2" name="ZA108" vbProcedure="false">RAROC!$J$83+"pBJ69"+16389+RAROC!$J$84+0+1+RAROC!$J$85+0+0.116954520185051</definedName>
    <definedName function="false" hidden="false" localSheetId="2" name="ZA109" vbProcedure="false">RAROC!$K$83+"pBK69"+16389+RAROC!$K$84+0+1+RAROC!$K$85+0+0.116954520185051</definedName>
    <definedName function="false" hidden="false" localSheetId="2" name="ZA110" vbProcedure="false">RAROC!$L$83+"pBL69"+16389+RAROC!$L$84+0+1+RAROC!$L$85+0+0.116954520185051</definedName>
    <definedName function="false" hidden="false" localSheetId="2" name="ZA111" vbProcedure="false">RAROC!$M$83+"pBM69"+16389+RAROC!$M$84+0+1+RAROC!$M$85+0+0.116954520185051</definedName>
    <definedName function="false" hidden="false" localSheetId="2" name="ZA112" vbProcedure="false">RAROC!$N$83+"pBN69"+16389+RAROC!$N$84+0+1+RAROC!$N$85+0+0.116954520185051</definedName>
    <definedName function="false" hidden="false" localSheetId="2" name="ZA113" vbProcedure="false">RAROC!$O$83+"pBO69"+16389+RAROC!$O$84+0+1+RAROC!$O$85+0+0.116954520185051</definedName>
    <definedName function="false" hidden="false" localSheetId="2" name="ZA114" vbProcedure="false">RAROC!$P$83+"pBP69"+16389+RAROC!$P$84+0+1+RAROC!$P$85+0+0.116954520185051</definedName>
    <definedName function="false" hidden="false" localSheetId="2" name="ZA115" vbProcedure="false">RAROC!$Q$83+"pBQ69"+16389+RAROC!$Q$84+0+1+RAROC!$Q$85+0+0.116954520185051</definedName>
    <definedName function="false" hidden="false" localSheetId="2" name="ZA116" vbProcedure="false">RAROC!$R$83+"pBR69"+16389+RAROC!$R$84+0+1+RAROC!$R$85+0+0.116954520185051</definedName>
    <definedName function="false" hidden="false" localSheetId="2" name="ZA117" vbProcedure="false">RAROC!$S$83+"pBS69"+16389+RAROC!$S$84+0+1+RAROC!$S$85+0+0.116954520185051</definedName>
    <definedName function="false" hidden="false" localSheetId="2" name="ZA118" vbProcedure="false">RAROC!$T$83+"pBT69"+16389+RAROC!$T$84+0+1+RAROC!$T$85+0+0.116954520185051</definedName>
    <definedName function="false" hidden="false" localSheetId="2" name="ZA119" vbProcedure="false">RAROC!$U$83+"pBU69"+16389+RAROC!$U$84+0+1+RAROC!$U$85+0+0.116954520185051</definedName>
    <definedName function="false" hidden="false" localSheetId="2" name="ZA120" vbProcedure="false">RAROC!$V$83+"pBV69"+16389+RAROC!$V$84+0+1+RAROC!$V$85+0+0.116954520185051</definedName>
    <definedName function="false" hidden="false" localSheetId="2" name="ZA121" vbProcedure="false">RAROC!$W$83+"pBW69"+16389+RAROC!$W$84+0+1+RAROC!$W$85+0+0.116954520185051</definedName>
    <definedName function="false" hidden="false" localSheetId="2" name="ZA122" vbProcedure="false">RAROC!$X$83+"pBX69"+16389+RAROC!$X$84+0+1+RAROC!$X$85+0+0.116954520185051</definedName>
    <definedName function="false" hidden="false" localSheetId="2" name="ZA123" vbProcedure="false">RAROC!$B$92+"bTriangular"+517+RAROC!$B$94+0+0.05632+RAROC!$B$93+0+0.0704+RAROC!$B$95+0+0.08448</definedName>
    <definedName function="false" hidden="false" localSheetId="2" name="ZA124" vbProcedure="false">RAROC!$C$92+"bTriangular"+517+RAROC!$C$94+0+0.05632+RAROC!$C$93+0+0.0704+RAROC!$C$95+0+0.08448</definedName>
    <definedName function="false" hidden="false" localSheetId="2" name="ZA125" vbProcedure="false">RAROC!$D$92+"bTriangular"+517+RAROC!$D$94+0+0.05632+RAROC!$D$93+0+0.0704+RAROC!$D$95+0+0.08448</definedName>
    <definedName function="false" hidden="false" localSheetId="2" name="ZA126" vbProcedure="false">RAROC!$E$92+"bTriangular"+517+RAROC!$E$94+0+0.05632+RAROC!$E$93+0+0.0704+RAROC!$E$95+0+0.08448</definedName>
    <definedName function="false" hidden="false" localSheetId="2" name="ZA127" vbProcedure="false">RAROC!$B$119+"bForecast "+33+RAROC!$B$121+0+1311+RAROC!$B$120+0+1615+RAROC!$B$122+0+24757</definedName>
    <definedName function="false" hidden="false" localSheetId="2" name="ZA128" vbProcedure="false">RAROC!$C$119+"bGasMat"+33+RAROC!$C$121+0+1311+RAROC!$C$120+0+1615+RAROC!$C$122+0+24757</definedName>
    <definedName function="false" hidden="false" localSheetId="2" name="ZA129" vbProcedure="false">RAROC!$D$119+"bGasBol"+33+RAROC!$D$121+0+1311+RAROC!$D$120+0+1615+RAROC!$D$122+0+24757</definedName>
    <definedName function="false" hidden="false" localSheetId="2" name="ZA130" vbProcedure="false">RAROC!$B$125+"lForecast"+545+448+0.5+1+1+3+1+3+3+3+0+3+0+8</definedName>
    <definedName function="false" hidden="false" localSheetId="2" name="ZA130AA" vbProcedure="false">2+0.5+1+2+0.33+2+2+0.17+3+9</definedName>
    <definedName function="false" hidden="false" localSheetId="2" name="ZA131" vbProcedure="false">RAROC!$B$135+"eAForecast"+545+RAROC!$B$136+0+1+RAROC!$B$137+0+0.0448</definedName>
    <definedName function="false" hidden="false" localSheetId="2" name="ZA132" vbProcedure="false">RAROC!$B$142+"eAForecast"+545+RAROC!$B$143+0+1+RAROC!$B$144+0+0.02</definedName>
    <definedName function="false" hidden="false" localSheetId="2" name="ZA133" vbProcedure="false">RAROC!$B$149+"dForecast (1=On; 0=Off)"+545+RAROC!$B$150+0+0.5+1</definedName>
    <definedName function="false" hidden="false" localSheetId="2" name="ZA134" vbProcedure="false">RAROC!$B$103+"lForecast"+545+448+0.6+1+1+3+1+1+3+3+0+3+0+8</definedName>
    <definedName function="false" hidden="false" localSheetId="2" name="ZA134AA" vbProcedure="false">2+0.6+1+2+0.3+2+2+0.1+3+9</definedName>
    <definedName function="false" hidden="false" localSheetId="2" name="ZF103" vbProcedure="false">RAROC!$E$12+"Out 04"+""+41+41+441+0+0+0+0+4+3+"-"+"+"+2.6+50+2</definedName>
    <definedName function="false" hidden="false" localSheetId="2" name="ZF104" vbProcedure="false">RAROC!$F$12+"Out 05"+""+41+41+441+0+0+0+0+4+3+"-"+"+"+2.6+50+2</definedName>
    <definedName function="false" hidden="false" localSheetId="2" name="ZF105" vbProcedure="false">RAROC!$G$12+"Out 06"+""+41+41+441+0+0+0+0+4+3+"-"+"+"+2.6+50+2</definedName>
    <definedName function="false" hidden="false" localSheetId="2" name="ZF106" vbProcedure="false">RAROC!$H$12+"Out 07"+""+41+41+441+0+0+0+0+4+3+"-"+"+"+2.6+50+2</definedName>
    <definedName function="false" hidden="false" localSheetId="2" name="ZF107" vbProcedure="false">RAROC!$I$12+"Out 08"+""+41+41+441+0+0+0+0+4+3+"-"+"+"+2.6+50+2</definedName>
    <definedName function="false" hidden="false" localSheetId="2" name="ZF108" vbProcedure="false">RAROC!$J$12+"Out 09"+""+41+41+441+0+0+0+0+4+3+"-"+"+"+2.6+50+2</definedName>
    <definedName function="false" hidden="false" localSheetId="2" name="ZF109" vbProcedure="false">RAROC!$K$12+"Out 10"+""+41+41+441+0+0+0+0+4+3+"-"+"+"+2.6+50+2</definedName>
    <definedName function="false" hidden="false" localSheetId="2" name="ZF110" vbProcedure="false">RAROC!$L$12+"Out 11"+""+41+41+441+0+0+0+0+4+3+"-"+"+"+2.6+50+2</definedName>
    <definedName function="false" hidden="false" localSheetId="2" name="ZF111" vbProcedure="false">RAROC!$M$12+"Out 12"+""+41+41+441+0+0+0+0+4+3+"-"+"+"+2.6+50+2</definedName>
    <definedName function="false" hidden="false" localSheetId="2" name="ZF112" vbProcedure="false">RAROC!$N$12+"Out 13"+""+41+41+441+0+0+0+0+4+3+"-"+"+"+2.6+50+2</definedName>
    <definedName function="false" hidden="false" localSheetId="2" name="ZF113" vbProcedure="false">RAROC!$O$12+"Out 14"+""+41+41+441+0+0+0+0+4+3+"-"+"+"+2.6+50+2</definedName>
    <definedName function="false" hidden="false" localSheetId="2" name="ZF114" vbProcedure="false">RAROC!$P$12+"Out 15"+""+41+41+441+0+0+0+0+4+3+"-"+"+"+2.6+50+2</definedName>
    <definedName function="false" hidden="false" localSheetId="2" name="ZF115" vbProcedure="false">RAROC!$Q$12+"Out 16"+""+41+41+441+0+0+0+0+4+3+"-"+"+"+2.6+50+2</definedName>
    <definedName function="false" hidden="false" localSheetId="2" name="ZF116" vbProcedure="false">RAROC!$R$12+"Out 17"+""+41+41+441+0+0+0+0+4+3+"-"+"+"+2.6+50+2</definedName>
    <definedName function="false" hidden="false" localSheetId="2" name="ZF117" vbProcedure="false">RAROC!$S$12+"Out 18"+""+41+41+441+0+0+0+0+4+3+"-"+"+"+2.6+50+2</definedName>
    <definedName function="false" hidden="false" localSheetId="2" name="ZF118" vbProcedure="false">RAROC!$T$12+"Out 19"+""+41+41+441+0+0+0+0+4+3+"-"+"+"+2.6+50+2</definedName>
    <definedName function="false" hidden="false" localSheetId="2" name="ZF119" vbProcedure="false">RAROC!$U$12+"Out 20"+""+41+41+441+0+0+0+0+4+3+"-"+"+"+2.6+50+2</definedName>
    <definedName function="false" hidden="false" localSheetId="2" name="ZF120" vbProcedure="false">RAROC!$V$12+"Out 21"+""+41+41+441+0+0+0+0+4+3+"-"+"+"+2.6+50+2</definedName>
    <definedName function="false" hidden="false" localSheetId="2" name="ZF121" vbProcedure="false">RAROC!$W$12+"Out 22"+""+41+41+441+0+0+0+0+4+3+"-"+"+"+2.6+50+2</definedName>
    <definedName function="false" hidden="false" localSheetId="2" name="ZF122" vbProcedure="false">RAROC!$X$12+"Out 23"+""+41+41+441+0+0+0+0+4+3+"-"+"+"+2.6+50+2</definedName>
    <definedName function="false" hidden="false" localSheetId="2" name="ZF126" vbProcedure="false">RAROC!$E$18+"Fees 04"+""+41+41+441+0+0+0+0+4+3+"-"+"+"+2.6+50+2</definedName>
    <definedName function="false" hidden="false" localSheetId="2" name="ZF127" vbProcedure="false">RAROC!$F$18+"Fees 05"+""+41+41+441+0+0+0+0+4+3+"-"+"+"+2.6+50+2</definedName>
    <definedName function="false" hidden="false" localSheetId="2" name="ZF128" vbProcedure="false">RAROC!$G$18+"Fees 06"+""+41+41+441+0+0+0+0+4+3+"-"+"+"+2.6+50+2</definedName>
    <definedName function="false" hidden="false" localSheetId="2" name="ZF129" vbProcedure="false">RAROC!$H$18+"Fees 07"+""+41+41+441+0+0+0+0+4+3+"-"+"+"+2.6+50+2</definedName>
    <definedName function="false" hidden="false" localSheetId="2" name="ZF130" vbProcedure="false">RAROC!$I$18+"Fees 08"+""+41+41+441+0+0+0+0+4+3+"-"+"+"+2.6+50+2</definedName>
    <definedName function="false" hidden="false" localSheetId="2" name="ZF131" vbProcedure="false">RAROC!$J$18+"Fees 09"+""+41+41+441+0+0+0+0+4+3+"-"+"+"+2.6+50+2</definedName>
    <definedName function="false" hidden="false" localSheetId="2" name="ZF132" vbProcedure="false">RAROC!$K$18+"Fees 10"+""+41+41+441+0+0+0+0+4+3+"-"+"+"+2.6+50+2</definedName>
    <definedName function="false" hidden="false" localSheetId="2" name="ZF133" vbProcedure="false">RAROC!$L$18+"Fees 11"+""+41+41+441+0+0+0+0+4+3+"-"+"+"+2.6+50+2</definedName>
    <definedName function="false" hidden="false" localSheetId="2" name="ZF134" vbProcedure="false">RAROC!$M$18+"Fees 12"+""+41+41+441+0+0+0+0+4+3+"-"+"+"+2.6+50+2</definedName>
    <definedName function="false" hidden="false" localSheetId="2" name="ZF135" vbProcedure="false">RAROC!$N$18+"Fees 13"+""+41+41+441+0+0+0+0+4+3+"-"+"+"+2.6+50+2</definedName>
    <definedName function="false" hidden="false" localSheetId="2" name="ZF136" vbProcedure="false">RAROC!$O$18+"Fees 14"+""+41+41+441+0+0+0+0+4+3+"-"+"+"+2.6+50+2</definedName>
    <definedName function="false" hidden="false" localSheetId="2" name="ZF137" vbProcedure="false">RAROC!$P$18+"Fees 15"+""+41+41+441+0+0+0+0+4+3+"-"+"+"+2.6+50+2</definedName>
    <definedName function="false" hidden="false" localSheetId="2" name="ZF138" vbProcedure="false">RAROC!$Q$18+"Fees 16"+""+41+41+441+0+0+0+0+4+3+"-"+"+"+2.6+50+2</definedName>
    <definedName function="false" hidden="false" localSheetId="2" name="ZF139" vbProcedure="false">RAROC!$R$18+"Fees 17"+""+41+41+441+0+0+0+0+4+3+"-"+"+"+2.6+50+2</definedName>
    <definedName function="false" hidden="false" localSheetId="2" name="ZF140" vbProcedure="false">RAROC!$S$18+"Fees 18"+""+41+41+441+0+0+0+0+4+3+"-"+"+"+2.6+50+2</definedName>
    <definedName function="false" hidden="false" localSheetId="2" name="ZF141" vbProcedure="false">RAROC!$T$18+"Fees 19"+""+41+41+441+0+0+0+0+4+3+"-"+"+"+2.6+50+2</definedName>
    <definedName function="false" hidden="false" localSheetId="2" name="ZF142" vbProcedure="false">RAROC!$U$18+"Fees 20"+""+41+41+441+0+0+0+0+4+3+"-"+"+"+2.6+50+2</definedName>
    <definedName function="false" hidden="false" localSheetId="2" name="ZF143" vbProcedure="false">RAROC!$V$18+"Fees 21"+""+41+41+441+0+0+0+0+4+3+"-"+"+"+2.6+50+2</definedName>
    <definedName function="false" hidden="false" localSheetId="2" name="ZF144" vbProcedure="false">RAROC!$W$18+"Fees 22"+""+41+41+441+0+0+0+0+4+3+"-"+"+"+2.6+50+2</definedName>
    <definedName function="false" hidden="false" localSheetId="2" name="ZF145" vbProcedure="false">RAROC!$X$18+"Fees 23"+""+41+41+441+0+0+0+0+4+3+"-"+"+"+2.6+50+2</definedName>
    <definedName function="false" hidden="false" localSheetId="2" name="ZF149" vbProcedure="false">RAROC!$E$24+"CF 04"+""+41+41+441+0+0+0+0+4+3+"-"+"+"+2.6+50+2</definedName>
    <definedName function="false" hidden="false" localSheetId="2" name="ZF150" vbProcedure="false">RAROC!$F$24+"CF 05"+""+41+41+441+0+0+0+0+4+3+"-"+"+"+2.6+50+2</definedName>
    <definedName function="false" hidden="false" localSheetId="2" name="ZF151" vbProcedure="false">RAROC!$G$24+"CF 06"+""+41+41+441+0+0+0+0+4+3+"-"+"+"+2.6+50+2</definedName>
    <definedName function="false" hidden="false" localSheetId="2" name="ZF152" vbProcedure="false">RAROC!$H$24+"CF 07"+""+41+41+441+0+0+0+0+4+3+"-"+"+"+2.6+50+2</definedName>
    <definedName function="false" hidden="false" localSheetId="2" name="ZF153" vbProcedure="false">RAROC!$I$24+"CF 08"+""+41+41+441+0+0+0+0+4+3+"-"+"+"+2.6+50+2</definedName>
    <definedName function="false" hidden="false" localSheetId="2" name="ZF154" vbProcedure="false">RAROC!$J$24+"CF 09"+""+41+41+441+0+0+0+0+4+3+"-"+"+"+2.6+50+2</definedName>
    <definedName function="false" hidden="false" localSheetId="2" name="ZF155" vbProcedure="false">RAROC!$K$24+"CF 10"+""+41+41+441+0+0+0+0+4+3+"-"+"+"+2.6+50+2</definedName>
    <definedName function="false" hidden="false" localSheetId="2" name="ZF156" vbProcedure="false">RAROC!$L$24+"CF 11"+""+41+41+441+0+0+0+0+4+3+"-"+"+"+2.6+50+2</definedName>
    <definedName function="false" hidden="false" localSheetId="2" name="ZF157" vbProcedure="false">RAROC!$M$24+"CF 12"+""+41+41+441+0+0+0+0+4+3+"-"+"+"+2.6+50+2</definedName>
    <definedName function="false" hidden="false" localSheetId="2" name="ZF158" vbProcedure="false">RAROC!$N$24+"CF 13"+""+41+41+441+0+0+0+0+4+3+"-"+"+"+2.6+50+2</definedName>
    <definedName function="false" hidden="false" localSheetId="2" name="ZF159" vbProcedure="false">RAROC!$O$24+"CF 14"+""+41+41+441+0+0+0+0+4+3+"-"+"+"+2.6+50+2</definedName>
    <definedName function="false" hidden="false" localSheetId="2" name="ZF160" vbProcedure="false">RAROC!$P$24+"CF 15"+""+41+41+441+0+0+0+0+4+3+"-"+"+"+2.6+50+2</definedName>
    <definedName function="false" hidden="false" localSheetId="2" name="ZF161" vbProcedure="false">RAROC!$Q$24+"CF 16"+""+41+41+441+0+0+0+0+4+3+"-"+"+"+2.6+50+2</definedName>
    <definedName function="false" hidden="false" localSheetId="2" name="ZF162" vbProcedure="false">RAROC!$R$24+"CF 17"+""+41+41+441+0+0+0+0+4+3+"-"+"+"+2.6+50+2</definedName>
    <definedName function="false" hidden="false" localSheetId="2" name="ZF163" vbProcedure="false">RAROC!$S$24+"CF 18"+""+41+41+441+0+0+0+0+4+3+"-"+"+"+2.6+50+2</definedName>
    <definedName function="false" hidden="false" localSheetId="2" name="ZF164" vbProcedure="false">RAROC!$T$24+"CF 19"+""+41+41+441+0+0+0+0+4+3+"-"+"+"+2.6+50+2</definedName>
    <definedName function="false" hidden="false" localSheetId="2" name="ZF165" vbProcedure="false">RAROC!$U$24+"CF 20"+""+41+41+441+0+0+0+0+4+3+"-"+"+"+2.6+50+2</definedName>
    <definedName function="false" hidden="false" localSheetId="2" name="ZF166" vbProcedure="false">RAROC!$V$24+"CF 21"+""+41+41+441+0+0+0+0+4+3+"-"+"+"+2.6+50+2</definedName>
    <definedName function="false" hidden="false" localSheetId="2" name="ZF167" vbProcedure="false">RAROC!$W$24+"CF 22"+""+41+41+441+0+0+0+0+4+3+"-"+"+"+2.6+50+2</definedName>
    <definedName function="false" hidden="false" localSheetId="2" name="ZF168" vbProcedure="false">RAROC!$X$24+"CF 23"+""+41+41+441+0+0+0+0+4+3+"-"+"+"+2.6+50+2</definedName>
    <definedName function="false" hidden="false" localSheetId="2" name="ZF172" vbProcedure="false">RAROC!$E$30+"TV 04"+""+41+41+441+0+0+0+0+4+3+"-"+"+"+2.6+50+2</definedName>
    <definedName function="false" hidden="false" localSheetId="2" name="ZF173" vbProcedure="false">RAROC!$F$30+"TV 05"+""+41+41+441+0+0+0+0+4+3+"-"+"+"+2.6+50+2</definedName>
    <definedName function="false" hidden="false" localSheetId="2" name="ZF174" vbProcedure="false">RAROC!$G$30+"TV 06"+""+41+41+441+0+0+0+0+4+3+"-"+"+"+2.6+50+2</definedName>
    <definedName function="false" hidden="false" localSheetId="2" name="ZF175" vbProcedure="false">RAROC!$H$30+"TV 07"+""+41+41+441+0+0+0+0+4+3+"-"+"+"+2.6+50+2</definedName>
    <definedName function="false" hidden="false" localSheetId="2" name="ZF176" vbProcedure="false">RAROC!$I$30+"TV 08"+""+41+41+441+0+0+0+0+4+3+"-"+"+"+2.6+50+2</definedName>
    <definedName function="false" hidden="false" localSheetId="2" name="ZF177" vbProcedure="false">RAROC!$J$30+"TV 09"+""+41+41+441+0+0+0+0+4+3+"-"+"+"+2.6+50+2</definedName>
    <definedName function="false" hidden="false" localSheetId="2" name="ZF178" vbProcedure="false">RAROC!$K$30+"TV 10"+""+41+41+441+0+0+0+0+4+3+"-"+"+"+2.6+50+2</definedName>
    <definedName function="false" hidden="false" localSheetId="2" name="ZF179" vbProcedure="false">RAROC!$L$30+"TV 11"+""+41+41+441+0+0+0+0+4+3+"-"+"+"+2.6+50+2</definedName>
    <definedName function="false" hidden="false" localSheetId="2" name="ZF180" vbProcedure="false">RAROC!$M$30+"TV 12"+""+41+41+441+0+0+0+0+4+3+"-"+"+"+2.6+50+2</definedName>
    <definedName function="false" hidden="false" localSheetId="2" name="ZF181" vbProcedure="false">RAROC!$N$30+"TV 13"+""+41+41+441+0+0+0+0+4+3+"-"+"+"+2.6+50+2</definedName>
    <definedName function="false" hidden="false" localSheetId="2" name="ZF182" vbProcedure="false">RAROC!$O$30+"TV 14"+""+41+41+441+0+0+0+0+4+3+"-"+"+"+2.6+50+2</definedName>
    <definedName function="false" hidden="false" localSheetId="2" name="ZF183" vbProcedure="false">RAROC!$P$30+"TV 15"+""+41+41+441+0+0+0+0+4+3+"-"+"+"+2.6+50+2</definedName>
    <definedName function="false" hidden="false" localSheetId="2" name="ZF184" vbProcedure="false">RAROC!$Q$30+"TV 16"+""+41+41+441+0+0+0+0+4+3+"-"+"+"+2.6+50+2</definedName>
    <definedName function="false" hidden="false" localSheetId="2" name="ZF185" vbProcedure="false">RAROC!$R$30+"TV 17"+""+41+41+441+0+0+0+0+4+3+"-"+"+"+2.6+50+2</definedName>
    <definedName function="false" hidden="false" localSheetId="2" name="ZF186" vbProcedure="false">RAROC!$S$30+"TV 18"+""+41+41+441+0+0+0+0+4+3+"-"+"+"+2.6+50+2</definedName>
    <definedName function="false" hidden="false" localSheetId="2" name="ZF187" vbProcedure="false">RAROC!$T$30+"TV 19"+""+41+41+441+0+0+0+0+4+3+"-"+"+"+2.6+50+2</definedName>
    <definedName function="false" hidden="false" localSheetId="2" name="ZF188" vbProcedure="false">RAROC!$U$30+"TV 20"+""+41+41+441+0+0+0+0+4+3+"-"+"+"+2.6+50+2</definedName>
    <definedName function="false" hidden="false" localSheetId="2" name="ZF189" vbProcedure="false">RAROC!$V$30+"TV 21"+""+41+41+441+0+0+0+0+4+3+"-"+"+"+2.6+50+2</definedName>
    <definedName function="false" hidden="false" localSheetId="2" name="ZF190" vbProcedure="false">RAROC!$W$30+"TV 22"+""+41+41+441+0+0+0+0+4+3+"-"+"+"+2.6+50+2</definedName>
    <definedName function="false" hidden="false" localSheetId="2" name="ZF191" vbProcedure="false">RAROC!$X$30+"TV 23"+""+41+41+441+0+0+0+0+4+3+"-"+"+"+2.6+50+2</definedName>
    <definedName function="false" hidden="false" localSheetId="2" name="ZF197" vbProcedure="false">RAROC!$E$56+"BS 04"+""+33+33+440+0+0+0+0+4+3+"-"+"+"+2.6+50+2</definedName>
    <definedName function="false" hidden="false" localSheetId="2" name="ZF198" vbProcedure="false">RAROC!$F$56+"BS 05"+""+33+33+440+0+0+0+0+4+3+"-"+"+"+2.6+50+2</definedName>
    <definedName function="false" hidden="false" localSheetId="2" name="ZF199" vbProcedure="false">RAROC!$G$56+"BS 06"+""+33+33+440+0+0+0+0+4+3+"-"+"+"+2.6+50+2</definedName>
    <definedName function="false" hidden="false" localSheetId="2" name="ZF200" vbProcedure="false">RAROC!$H$56+"BS 07"+""+33+33+440+0+0+0+0+4+3+"-"+"+"+2.6+50+2</definedName>
    <definedName function="false" hidden="false" localSheetId="2" name="ZF201" vbProcedure="false">RAROC!$I$56+"BS 08"+""+33+33+440+0+0+0+0+4+3+"-"+"+"+2.6+50+2</definedName>
    <definedName function="false" hidden="false" localSheetId="2" name="ZF202" vbProcedure="false">RAROC!$J$56+"BS 09"+""+33+33+440+0+0+0+0+4+3+"-"+"+"+2.6+50+2</definedName>
    <definedName function="false" hidden="false" localSheetId="2" name="ZF203" vbProcedure="false">RAROC!$K$56+"BS 10"+""+33+33+440+0+0+0+0+4+3+"-"+"+"+2.6+50+2</definedName>
    <definedName function="false" hidden="false" localSheetId="2" name="ZF204" vbProcedure="false">RAROC!$L$56+"BS 11"+""+33+33+440+0+0+0+0+4+3+"-"+"+"+2.6+50+2</definedName>
    <definedName function="false" hidden="false" localSheetId="2" name="ZF205" vbProcedure="false">RAROC!$M$56+"BS 12"+""+33+33+440+0+0+0+0+4+3+"-"+"+"+2.6+50+2</definedName>
    <definedName function="false" hidden="false" localSheetId="2" name="ZF206" vbProcedure="false">RAROC!$N$56+"BS 13"+""+33+33+440+0+0+0+0+4+3+"-"+"+"+2.6+50+2</definedName>
    <definedName function="false" hidden="false" localSheetId="2" name="ZF207" vbProcedure="false">RAROC!$O$56+"BS 14"+""+33+33+440+0+0+0+0+4+3+"-"+"+"+2.6+50+2</definedName>
    <definedName function="false" hidden="false" localSheetId="2" name="ZF208" vbProcedure="false">RAROC!$P$56+"BS 15"+""+33+33+440+0+0+0+0+4+3+"-"+"+"+2.6+50+2</definedName>
    <definedName function="false" hidden="false" localSheetId="2" name="ZF209" vbProcedure="false">RAROC!$Q$56+"BS 16"+""+33+33+440+0+0+0+0+4+3+"-"+"+"+2.6+50+2</definedName>
    <definedName function="false" hidden="false" localSheetId="2" name="ZF210" vbProcedure="false">RAROC!$R$56+"BS 17"+""+33+33+440+0+0+0+0+4+3+"-"+"+"+2.6+50+2</definedName>
    <definedName function="false" hidden="false" localSheetId="2" name="ZF211" vbProcedure="false">RAROC!$S$56+"BS 18"+""+33+33+440+0+0+0+0+4+3+"-"+"+"+2.6+50+2</definedName>
    <definedName function="false" hidden="false" localSheetId="2" name="ZF212" vbProcedure="false">RAROC!$T$56+"BS 19"+""+33+33+440+0+0+0+0+4+3+"-"+"+"+2.6+50+2</definedName>
    <definedName function="false" hidden="false" localSheetId="2" name="ZF213" vbProcedure="false">RAROC!$U$56+"BS 20"+""+33+33+440+0+0+0+0+4+3+"-"+"+"+2.6+50+2</definedName>
    <definedName function="false" hidden="false" localSheetId="2" name="ZF214" vbProcedure="false">RAROC!$V$56+"BS 21"+""+33+33+440+0+0+0+0+4+3+"-"+"+"+2.6+50+2</definedName>
    <definedName function="false" hidden="false" localSheetId="2" name="ZF215" vbProcedure="false">RAROC!$W$56+"BS 22"+""+33+33+440+0+0+0+0+4+3+"-"+"+"+2.6+50+2</definedName>
    <definedName function="false" hidden="false" localSheetId="2" name="ZF216" vbProcedure="false">RAROC!$X$56+"BS 23"+""+33+33+440+0+0+0+0+4+3+"-"+"+"+2.6+50+2</definedName>
    <definedName function="false" hidden="false" localSheetId="2" name="ZF220" vbProcedure="false">RAROC!$E$64+"DFLT 04"+""+545+0+184+0+0+0+0+4+3+"-"+"+"+2.6+50+2</definedName>
    <definedName function="false" hidden="false" localSheetId="2" name="ZF221" vbProcedure="false">RAROC!$F$64+"DFLT 05"+""+545+0+184+0+0+0+0+4+3+"-"+"+"+2.6+50+2</definedName>
    <definedName function="false" hidden="false" localSheetId="2" name="ZF222" vbProcedure="false">RAROC!$G$64+"DFLT 06"+""+545+0+184+0+0+0+0+4+3+"-"+"+"+2.6+50+2</definedName>
    <definedName function="false" hidden="false" localSheetId="2" name="ZF223" vbProcedure="false">RAROC!$H$64+"DFLT 07"+""+545+0+184+0+0+0+0+4+3+"-"+"+"+2.6+50+2</definedName>
    <definedName function="false" hidden="false" localSheetId="2" name="ZF224" vbProcedure="false">RAROC!$I$64+"DFLT 08"+""+545+0+184+0+0+0+0+4+3+"-"+"+"+2.6+50+2</definedName>
    <definedName function="false" hidden="false" localSheetId="2" name="ZF225" vbProcedure="false">RAROC!$J$64+"DFLT 09"+""+545+0+184+0+0+0+0+4+3+"-"+"+"+2.6+50+2</definedName>
    <definedName function="false" hidden="false" localSheetId="2" name="ZF226" vbProcedure="false">RAROC!$K$64+"DFLT 10"+""+545+0+184+0+0+0+0+4+3+"-"+"+"+2.6+50+2</definedName>
    <definedName function="false" hidden="false" localSheetId="2" name="ZF227" vbProcedure="false">RAROC!$L$64+"DFLT 11"+""+545+0+184+0+0+0+0+4+3+"-"+"+"+2.6+50+2</definedName>
    <definedName function="false" hidden="false" localSheetId="2" name="ZF228" vbProcedure="false">RAROC!$M$64+"DFLT 12"+""+545+0+184+0+0+0+0+4+3+"-"+"+"+2.6+50+2</definedName>
    <definedName function="false" hidden="false" localSheetId="2" name="ZF229" vbProcedure="false">RAROC!$N$64+"DFLT 13"+""+545+0+184+0+0+0+0+4+3+"-"+"+"+2.6+50+2</definedName>
    <definedName function="false" hidden="false" localSheetId="2" name="ZF230" vbProcedure="false">RAROC!$O$64+"DFLT 14"+""+545+0+184+0+0+0+0+4+3+"-"+"+"+2.6+50+2</definedName>
    <definedName function="false" hidden="false" localSheetId="2" name="ZF231" vbProcedure="false">RAROC!$P$64+"DFLT 15"+""+545+0+184+0+0+0+0+4+3+"-"+"+"+2.6+50+2</definedName>
    <definedName function="false" hidden="false" localSheetId="2" name="ZF232" vbProcedure="false">RAROC!$Q$64+"DFLT 16"+""+545+0+184+0+0+0+0+4+3+"-"+"+"+2.6+50+2</definedName>
    <definedName function="false" hidden="false" localSheetId="2" name="ZF233" vbProcedure="false">RAROC!$R$64+"DFLT 17"+""+545+0+184+0+0+0+0+4+3+"-"+"+"+2.6+50+2</definedName>
    <definedName function="false" hidden="false" localSheetId="2" name="ZF234" vbProcedure="false">RAROC!$S$64+"DFLT 18"+""+545+0+184+0+0+0+0+4+3+"-"+"+"+2.6+50+2</definedName>
    <definedName function="false" hidden="false" localSheetId="2" name="ZF235" vbProcedure="false">RAROC!$T$64+"DFLT 19"+""+545+0+184+0+0+0+0+4+3+"-"+"+"+2.6+50+2</definedName>
    <definedName function="false" hidden="false" localSheetId="2" name="ZF236" vbProcedure="false">RAROC!$U$64+"DFLT 20"+""+545+0+184+0+0+0+0+4+3+"-"+"+"+2.6+50+2</definedName>
    <definedName function="false" hidden="false" localSheetId="2" name="ZF237" vbProcedure="false">RAROC!$V$64+"DFLT 21"+""+545+0+184+0+0+0+0+4+3+"-"+"+"+2.6+50+2</definedName>
    <definedName function="false" hidden="false" localSheetId="2" name="ZF238" vbProcedure="false">RAROC!$W$64+"DFLT 22"+""+545+0+184+0+0+0+0+4+3+"-"+"+"+2.6+50+2</definedName>
    <definedName function="false" hidden="false" localSheetId="2" name="ZF239" vbProcedure="false">RAROC!$X$64+"DFLT 23"+""+545+0+184+0+0+0+0+4+3+"-"+"+"+2.6+50+2</definedName>
    <definedName function="false" hidden="false" localSheetId="2" name="ZF243" vbProcedure="false">RAROC!$E$74+"DF COMP 04"+""+33+33+440+0+0+0+0+4+3+"-"+"+"+2.6+50+2</definedName>
    <definedName function="false" hidden="false" localSheetId="2" name="ZF244" vbProcedure="false">RAROC!$F$74+"DF COMP 05"+""+33+33+440+0+0+0+0+4+3+"-"+"+"+2.6+50+2</definedName>
    <definedName function="false" hidden="false" localSheetId="2" name="ZF245" vbProcedure="false">RAROC!$G$74+"DF COMP 06"+""+33+33+440+0+0+0+0+4+3+"-"+"+"+2.6+50+2</definedName>
    <definedName function="false" hidden="false" localSheetId="2" name="ZF246" vbProcedure="false">RAROC!$H$74+"DF COMP 07"+""+33+33+440+0+0+0+0+4+3+"-"+"+"+2.6+50+2</definedName>
    <definedName function="false" hidden="false" localSheetId="2" name="ZF247" vbProcedure="false">RAROC!$I$74+"DF COMP 08"+""+33+33+440+0+0+0+0+4+3+"-"+"+"+2.6+50+2</definedName>
    <definedName function="false" hidden="false" localSheetId="2" name="ZF248" vbProcedure="false">RAROC!$J$74+"DF COMP 09"+""+33+33+440+0+0+0+0+4+3+"-"+"+"+2.6+50+2</definedName>
    <definedName function="false" hidden="false" localSheetId="2" name="ZF249" vbProcedure="false">RAROC!$K$74+"DF COMP 10"+""+33+33+440+0+0+0+0+4+3+"-"+"+"+2.6+50+2</definedName>
    <definedName function="false" hidden="false" localSheetId="2" name="ZF250" vbProcedure="false">RAROC!$L$74+"DF COMP 11"+""+33+33+440+0+0+0+0+4+3+"-"+"+"+2.6+50+2</definedName>
    <definedName function="false" hidden="false" localSheetId="2" name="ZF251" vbProcedure="false">RAROC!$M$74+"DF COMP 12"+""+33+33+440+0+0+0+0+4+3+"-"+"+"+2.6+50+2</definedName>
    <definedName function="false" hidden="false" localSheetId="2" name="ZF252" vbProcedure="false">RAROC!$N$74+"DF COMP 13"+""+33+33+440+0+0+0+0+4+3+"-"+"+"+2.6+50+2</definedName>
    <definedName function="false" hidden="false" localSheetId="2" name="ZF253" vbProcedure="false">RAROC!$O$74+"DF COMP 14"+""+33+33+440+0+0+0+0+4+3+"-"+"+"+2.6+50+2</definedName>
    <definedName function="false" hidden="false" localSheetId="2" name="ZF254" vbProcedure="false">RAROC!$P$74+"DF COMP 15"+""+33+33+440+0+0+0+0+4+3+"-"+"+"+2.6+50+2</definedName>
    <definedName function="false" hidden="false" localSheetId="2" name="ZF255" vbProcedure="false">RAROC!$Q$74+"DF COMP 16"+""+33+33+440+0+0+0+0+4+3+"-"+"+"+2.6+50+2</definedName>
    <definedName function="false" hidden="false" localSheetId="2" name="ZF256" vbProcedure="false">RAROC!$R$74+"DF COMP 17"+""+33+33+440+0+0+0+0+4+3+"-"+"+"+2.6+50+2</definedName>
    <definedName function="false" hidden="false" localSheetId="2" name="ZF257" vbProcedure="false">RAROC!$S$74+"DF COMP 18"+""+33+33+440+0+0+0+0+4+3+"-"+"+"+2.6+50+2</definedName>
    <definedName function="false" hidden="false" localSheetId="2" name="ZF258" vbProcedure="false">RAROC!$T$74+"DF COMP 19"+""+33+33+440+0+0+0+0+4+3+"-"+"+"+2.6+50+2</definedName>
    <definedName function="false" hidden="false" localSheetId="2" name="ZF259" vbProcedure="false">RAROC!$U$74+"DF COMP 20"+""+33+33+440+0+0+0+0+4+3+"-"+"+"+2.6+50+2</definedName>
    <definedName function="false" hidden="false" localSheetId="2" name="ZF260" vbProcedure="false">RAROC!$V$74+"DF COMP 21"+""+33+33+440+0+0+0+0+4+3+"-"+"+"+2.6+50+2</definedName>
    <definedName function="false" hidden="false" localSheetId="2" name="ZF261" vbProcedure="false">RAROC!$W$74+"DF COMP 22"+""+33+33+440+0+0+0+0+4+3+"-"+"+"+2.6+50+2</definedName>
    <definedName function="false" hidden="false" localSheetId="2" name="ZF262" vbProcedure="false">RAROC!$X$74+"DF COMP 23"+""+33+33+440+0+0+0+0+4+3+"-"+"+"+2.6+50+2</definedName>
    <definedName function="false" hidden="false" localSheetId="7" name="Ret_Table" vbProcedure="false">'Enron Returns'!$E$6:$AB$82</definedName>
    <definedName function="false" hidden="false" localSheetId="8" name="Ret_Table" vbProcedure="false">'Shell &amp; Trans Returns'!$E$6:$AB$8</definedName>
    <definedName function="false" hidden="false" localSheetId="9" name="Ret_Table" vbProcedure="false">'100% Partner Cash Flow'!$E$6:$AB$8</definedName>
  </definedNames>
  <calcPr iterateCount="100" refMode="A1" iterate="true" iterateDelta="0.001"/>
  <extLst>
    <ext xmlns:loext="http://schemas.libreoffice.org/" uri="{7626C862-2A13-11E5-B345-FEFF819CDC9F}">
      <loext:extCalcPr stringRefSyntax="CalcA1"/>
    </ext>
  </extLst>
</workbook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S49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$1,000 Contingency is reduced by AFRMM amount above.   Per Emmanuel Rengade 05/25/99 Tax savings schedule.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19</xdr:col>
                <xdr:colOff>17</xdr:colOff>
                <xdr:row>47</xdr:row>
                <xdr:rowOff>9</xdr:rowOff>
              </xdr:from>
              <xdr:to>
                <xdr:col>20</xdr:col>
                <xdr:colOff>65</xdr:colOff>
                <xdr:row>51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J26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Jeremy Dawson says this number is adjusted each quarter and was 14% as of Oct, 1999.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54</xdr:colOff>
                <xdr:row>24</xdr:row>
                <xdr:rowOff>7</xdr:rowOff>
              </xdr:from>
              <xdr:to>
                <xdr:col>10</xdr:col>
                <xdr:colOff>14</xdr:colOff>
                <xdr:row>27</xdr:row>
                <xdr:rowOff>16</xdr:rowOff>
              </xdr:to>
            </anchor>
          </commentPr>
        </mc:Choice>
        <mc:Fallback/>
      </mc:AlternateContent>
    </comment>
    <comment ref="T54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Disputed Days Per Asset Mgmt:
1998 - 48 Days
1999 - Any Days After Feb 27th
Per R. Lammers (09/04/99) Increase # Of Days To Reach Damages Of $5.7M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16</xdr:col>
                <xdr:colOff>73</xdr:colOff>
                <xdr:row>51</xdr:row>
                <xdr:rowOff>16</xdr:rowOff>
              </xdr:from>
              <xdr:to>
                <xdr:col>19</xdr:col>
                <xdr:colOff>45</xdr:colOff>
                <xdr:row>57</xdr:row>
                <xdr:rowOff>8</xdr:rowOff>
              </xdr:to>
            </anchor>
          </commentPr>
        </mc:Choice>
        <mc:Fallback/>
      </mc:AlternateContent>
    </comment>
    <comment ref="AB36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BNDES debt is a plug tranche. When turned off, subdebt replaces BNDES.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24</xdr:col>
                <xdr:colOff>26</xdr:colOff>
                <xdr:row>34</xdr:row>
                <xdr:rowOff>4</xdr:rowOff>
              </xdr:from>
              <xdr:to>
                <xdr:col>26</xdr:col>
                <xdr:colOff>27</xdr:colOff>
                <xdr:row>37</xdr:row>
                <xdr:rowOff>15</xdr:rowOff>
              </xdr:to>
            </anchor>
          </commentPr>
        </mc:Choice>
        <mc:Fallback/>
      </mc:AlternateContent>
    </comment>
    <comment ref="AB45" authorId="0">
      <text>
        <r>
          <rPr>
            <b val="true"/>
            <sz val="8"/>
            <color rgb="FF000000"/>
            <rFont val="Tahoma"/>
            <family val="0"/>
          </rPr>
          <t xml:space="preserve">EI:
</t>
        </r>
        <r>
          <rPr>
            <sz val="8"/>
            <color rgb="FF000000"/>
            <rFont val="Tahoma"/>
            <family val="0"/>
          </rPr>
          <t xml:space="preserve">Total OPIC debt is $200MM spread among both pipelines first with the remainder coming to the power plant.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24</xdr:col>
                <xdr:colOff>26</xdr:colOff>
                <xdr:row>43</xdr:row>
                <xdr:rowOff>4</xdr:rowOff>
              </xdr:from>
              <xdr:to>
                <xdr:col>26</xdr:col>
                <xdr:colOff>27</xdr:colOff>
                <xdr:row>47</xdr:row>
                <xdr:rowOff>8</xdr:rowOff>
              </xdr:to>
            </anchor>
          </commentPr>
        </mc:Choice>
        <mc:Fallback/>
      </mc:AlternateContent>
    </comment>
  </commentList>
</comments>
</file>

<file path=xl/comments2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D Carneiro:
</t>
        </r>
        <r>
          <rPr>
            <sz val="8"/>
            <color rgb="FF000000"/>
            <rFont val="Tahoma"/>
            <family val="0"/>
          </rPr>
          <t xml:space="preserve">Does not include servicing of Sub Debt which is being treated as additional equity contributions from partners.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8</xdr:rowOff>
              </xdr:from>
              <xdr:to>
                <xdr:col>6</xdr:col>
                <xdr:colOff>54</xdr:colOff>
                <xdr:row>93</xdr:row>
                <xdr:rowOff>1</xdr:rowOff>
              </xdr:to>
            </anchor>
          </commentPr>
        </mc:Choice>
        <mc:Fallback/>
      </mc:AlternateContent>
    </comment>
  </commentList>
</comments>
</file>

<file path=xl/comments2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L62" authorId="0">
      <text>
        <r>
          <rPr>
            <b val="true"/>
            <sz val="8"/>
            <color rgb="FF000000"/>
            <rFont val="Tahoma"/>
            <family val="0"/>
          </rPr>
          <t xml:space="preserve">kkindal:
</t>
        </r>
        <r>
          <rPr>
            <sz val="8"/>
            <color rgb="FF000000"/>
            <rFont val="Tahoma"/>
            <family val="0"/>
          </rPr>
          <t xml:space="preserve">Trace start here.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12</xdr:col>
                <xdr:colOff>16</xdr:colOff>
                <xdr:row>60</xdr:row>
                <xdr:rowOff>8</xdr:rowOff>
              </xdr:from>
              <xdr:to>
                <xdr:col>13</xdr:col>
                <xdr:colOff>72</xdr:colOff>
                <xdr:row>64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66" authorId="0">
      <text>
        <r>
          <rPr>
            <b val="true"/>
            <sz val="8"/>
            <color rgb="FF000000"/>
            <rFont val="Tahoma"/>
            <family val="0"/>
          </rPr>
          <t xml:space="preserve">D Carneiro:
</t>
        </r>
        <r>
          <rPr>
            <sz val="8"/>
            <color rgb="FF000000"/>
            <rFont val="Tahoma"/>
            <family val="0"/>
          </rPr>
          <t xml:space="preserve">Terminal Value of Power Plant is assumed to be ZERO.    Off-taker has an option to purchase the power plant at end of PPA.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11</xdr:colOff>
                <xdr:row>63</xdr:row>
                <xdr:rowOff>0</xdr:rowOff>
              </xdr:from>
              <xdr:to>
                <xdr:col>2</xdr:col>
                <xdr:colOff>38</xdr:colOff>
                <xdr:row>71</xdr:row>
                <xdr:rowOff>35</xdr:rowOff>
              </xdr:to>
            </anchor>
          </commentPr>
        </mc:Choice>
        <mc:Fallback/>
      </mc:AlternateContent>
    </comment>
    <comment ref="A69" authorId="0">
      <text>
        <r>
          <rPr>
            <b val="true"/>
            <sz val="8"/>
            <color rgb="FF000000"/>
            <rFont val="Tahoma"/>
            <family val="0"/>
          </rPr>
          <t xml:space="preserve">D Carneiro:
</t>
        </r>
        <r>
          <rPr>
            <sz val="8"/>
            <color rgb="FF000000"/>
            <rFont val="Tahoma"/>
            <family val="0"/>
          </rPr>
          <t xml:space="preserve">TBS does not have material fixed assets to sell off in case of default.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65</xdr:row>
                <xdr:rowOff>15</xdr:rowOff>
              </xdr:from>
              <xdr:to>
                <xdr:col>2</xdr:col>
                <xdr:colOff>43</xdr:colOff>
                <xdr:row>71</xdr:row>
                <xdr:rowOff>35</xdr:rowOff>
              </xdr:to>
            </anchor>
          </commentPr>
        </mc:Choice>
        <mc:Fallback/>
      </mc:AlternateContent>
    </comment>
    <comment ref="B118" authorId="0">
      <text>
        <r>
          <rPr>
            <b val="true"/>
            <sz val="8"/>
            <color rgb="FF000000"/>
            <rFont val="Tahoma"/>
            <family val="0"/>
          </rPr>
          <t xml:space="preserve">D Carneiro:
</t>
        </r>
        <r>
          <rPr>
            <sz val="8"/>
            <color rgb="FF000000"/>
            <rFont val="Tahoma"/>
            <family val="0"/>
          </rPr>
          <t xml:space="preserve">Scenarios pulled from Worst, Modeled, and Best Case on Change Order Logs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</xdr:colOff>
                <xdr:row>114</xdr:row>
                <xdr:rowOff>5</xdr:rowOff>
              </xdr:from>
              <xdr:to>
                <xdr:col>3</xdr:col>
                <xdr:colOff>47</xdr:colOff>
                <xdr:row>121</xdr:row>
                <xdr:rowOff>8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I12" authorId="0">
      <text>
        <r>
          <rPr>
            <sz val="8"/>
            <color rgb="FF000000"/>
            <rFont val="Tahoma"/>
            <family val="0"/>
          </rPr>
          <t xml:space="preserve">Carol  E. North:
Per Jose Bestard - March 24, 1998.  Correction To PPA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45</xdr:colOff>
                <xdr:row>10</xdr:row>
                <xdr:rowOff>4</xdr:rowOff>
              </xdr:from>
              <xdr:to>
                <xdr:col>10</xdr:col>
                <xdr:colOff>1</xdr:colOff>
                <xdr:row>14</xdr:row>
                <xdr:rowOff>11</xdr:rowOff>
              </xdr:to>
            </anchor>
          </commentPr>
        </mc:Choice>
        <mc:Fallback/>
      </mc:AlternateContent>
    </comment>
    <comment ref="I13" authorId="0">
      <text>
        <r>
          <rPr>
            <sz val="8"/>
            <color rgb="FF000000"/>
            <rFont val="Tahoma"/>
            <family val="0"/>
          </rPr>
          <t xml:space="preserve">Carol  E. North:
Per Jose Bestard - March 24, 1998.  Correction To PPA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16</xdr:colOff>
                <xdr:row>11</xdr:row>
                <xdr:rowOff>7</xdr:rowOff>
              </xdr:from>
              <xdr:to>
                <xdr:col>11</xdr:col>
                <xdr:colOff>38</xdr:colOff>
                <xdr:row>15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H22" authorId="0">
      <text>
        <r>
          <rPr>
            <b val="true"/>
            <sz val="8"/>
            <color rgb="FF000000"/>
            <rFont val="Tahoma"/>
            <family val="0"/>
          </rPr>
          <t xml:space="preserve">kkindal:
</t>
        </r>
        <r>
          <rPr>
            <sz val="8"/>
            <color rgb="FF000000"/>
            <rFont val="Tahoma"/>
            <family val="0"/>
          </rPr>
          <t xml:space="preserve">This doesn’t match the info in the GTB model.
See [Cash_GTB_Bolivia_0400bMyCopy]CF!I39.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26</xdr:colOff>
                <xdr:row>27</xdr:row>
                <xdr:rowOff>0</xdr:rowOff>
              </xdr:from>
              <xdr:to>
                <xdr:col>12</xdr:col>
                <xdr:colOff>61</xdr:colOff>
                <xdr:row>30</xdr:row>
                <xdr:rowOff>1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<sst xmlns="http://schemas.openxmlformats.org/spreadsheetml/2006/main" count="3995" uniqueCount="1969">
  <si>
    <t xml:space="preserve">EMPRESSA PRODUTORA DE ENERGÍA LTDA (EPE)</t>
  </si>
  <si>
    <t xml:space="preserve">480 MW POWER PLANT (CUIABA, BRAZIL)</t>
  </si>
  <si>
    <t xml:space="preserve">ENRON INTERNATIONAL</t>
  </si>
  <si>
    <t xml:space="preserve">*** DRAFT COPY ***</t>
  </si>
  <si>
    <t xml:space="preserve">Table Of Contents</t>
  </si>
  <si>
    <t xml:space="preserve">Page #</t>
  </si>
  <si>
    <t xml:space="preserve">Assumptions</t>
  </si>
  <si>
    <t xml:space="preserve">1</t>
  </si>
  <si>
    <t xml:space="preserve">Tariff  Schedule</t>
  </si>
  <si>
    <t xml:space="preserve">2</t>
  </si>
  <si>
    <t xml:space="preserve">Revenue &amp; Expense Calculations</t>
  </si>
  <si>
    <t xml:space="preserve">3</t>
  </si>
  <si>
    <t xml:space="preserve">Project Book Income &amp; Cashflow</t>
  </si>
  <si>
    <t xml:space="preserve">4</t>
  </si>
  <si>
    <t xml:space="preserve">Project / Enron / Partner Returns</t>
  </si>
  <si>
    <t xml:space="preserve">5-7</t>
  </si>
  <si>
    <t xml:space="preserve">Enron Book Income</t>
  </si>
  <si>
    <t xml:space="preserve">9</t>
  </si>
  <si>
    <t xml:space="preserve">Political Risk / DSCR Calculations</t>
  </si>
  <si>
    <t xml:space="preserve">Trapped Cash, Partner Loans, Reserves</t>
  </si>
  <si>
    <t xml:space="preserve">10</t>
  </si>
  <si>
    <t xml:space="preserve">Turnkey Components &amp; Construction Taxes</t>
  </si>
  <si>
    <t xml:space="preserve">11</t>
  </si>
  <si>
    <t xml:space="preserve">Drawdown Schedule</t>
  </si>
  <si>
    <t xml:space="preserve">12</t>
  </si>
  <si>
    <t xml:space="preserve">Interest During Construction / Commitment Fee</t>
  </si>
  <si>
    <t xml:space="preserve">13</t>
  </si>
  <si>
    <t xml:space="preserve">Financing Amortization</t>
  </si>
  <si>
    <t xml:space="preserve">14</t>
  </si>
  <si>
    <t xml:space="preserve">Sudam Tax Credits / INE Calculation</t>
  </si>
  <si>
    <t xml:space="preserve">15</t>
  </si>
  <si>
    <t xml:space="preserve">Cash &amp; Book Taxes</t>
  </si>
  <si>
    <t xml:space="preserve">16</t>
  </si>
  <si>
    <t xml:space="preserve">Depreciation</t>
  </si>
  <si>
    <t xml:space="preserve">17</t>
  </si>
  <si>
    <t xml:space="preserve">Project Financial Statements</t>
  </si>
  <si>
    <t xml:space="preserve">18</t>
  </si>
  <si>
    <t xml:space="preserve">Reference Sheets</t>
  </si>
  <si>
    <t xml:space="preserve">19-22</t>
  </si>
  <si>
    <t xml:space="preserve">Appendix I - Plant Operations</t>
  </si>
  <si>
    <t xml:space="preserve">Appendix II - Availability Penalty</t>
  </si>
  <si>
    <t xml:space="preserve">Appendix III - Plant Tariff (Annex 12)</t>
  </si>
  <si>
    <t xml:space="preserve">Appendix IV - Gas Tariff (Annex 12)</t>
  </si>
  <si>
    <t xml:space="preserve">Appendix V - Plant Tariff (Annex 10)</t>
  </si>
  <si>
    <t xml:space="preserve">Appendix VI - Gas Tariff (Annex 10)</t>
  </si>
  <si>
    <t xml:space="preserve">Appendix VII - Fuel Expense Calculation</t>
  </si>
  <si>
    <t xml:space="preserve">Links From GasBol / GasMat Models</t>
  </si>
  <si>
    <t xml:space="preserve">ASSUMPTIONS</t>
  </si>
  <si>
    <t xml:space="preserve">                                                                                       </t>
  </si>
  <si>
    <t xml:space="preserve"> </t>
  </si>
  <si>
    <t xml:space="preserve">Power Plant Data</t>
  </si>
  <si>
    <t xml:space="preserve">Phase I</t>
  </si>
  <si>
    <t xml:space="preserve">Phase II</t>
  </si>
  <si>
    <t xml:space="preserve">Phase III</t>
  </si>
  <si>
    <t xml:space="preserve">Brazilian Taxes</t>
  </si>
  <si>
    <t xml:space="preserve">Project Structure</t>
  </si>
  <si>
    <t xml:space="preserve">Limitada</t>
  </si>
  <si>
    <t xml:space="preserve">Project Costs ($000)</t>
  </si>
  <si>
    <t xml:space="preserve">Financing ($000)</t>
  </si>
  <si>
    <t xml:space="preserve">Converge Table</t>
  </si>
  <si>
    <t xml:space="preserve">Values</t>
  </si>
  <si>
    <t xml:space="preserve">Inputs</t>
  </si>
  <si>
    <t xml:space="preserve">Diff</t>
  </si>
  <si>
    <t xml:space="preserve">Capacity</t>
  </si>
  <si>
    <t xml:space="preserve">MW</t>
  </si>
  <si>
    <t xml:space="preserve">Operating Taxes</t>
  </si>
  <si>
    <t xml:space="preserve">Total</t>
  </si>
  <si>
    <t xml:space="preserve">Rate</t>
  </si>
  <si>
    <t xml:space="preserve">Margin</t>
  </si>
  <si>
    <t xml:space="preserve">Availability</t>
  </si>
  <si>
    <t xml:space="preserve">See Availability Table (Tariff Sheet)</t>
  </si>
  <si>
    <t xml:space="preserve">Corporate Income Tax</t>
  </si>
  <si>
    <t xml:space="preserve">On Taxable income</t>
  </si>
  <si>
    <t xml:space="preserve">EPC Turnkey Contract</t>
  </si>
  <si>
    <t xml:space="preserve">Tranche 1: KFW / Hermes - A Loan</t>
  </si>
  <si>
    <t xml:space="preserve">Project Costs</t>
  </si>
  <si>
    <t xml:space="preserve">Heat Rate</t>
  </si>
  <si>
    <t xml:space="preserve">Btu / Kwh</t>
  </si>
  <si>
    <t xml:space="preserve">Additional Income Tax</t>
  </si>
  <si>
    <t xml:space="preserve">Income Over R$</t>
  </si>
  <si>
    <t xml:space="preserve">Approved Change Orders</t>
  </si>
  <si>
    <t xml:space="preserve">Amount</t>
  </si>
  <si>
    <t xml:space="preserve">Interest During Construction</t>
  </si>
  <si>
    <t xml:space="preserve">Dispatch </t>
  </si>
  <si>
    <t xml:space="preserve">See Dispatch Table (Tariff Sheet)</t>
  </si>
  <si>
    <t xml:space="preserve">Social Contribution Tax</t>
  </si>
  <si>
    <t xml:space="preserve">Pending Change Orders</t>
  </si>
  <si>
    <t xml:space="preserve">Loan Amortization Style (1=SL, 2=MTG, 3=Custom)</t>
  </si>
  <si>
    <t xml:space="preserve">W/H Tax - IDC</t>
  </si>
  <si>
    <t xml:space="preserve">Equipment</t>
  </si>
  <si>
    <t xml:space="preserve">2 V84.3A Seimens / 1 Steam Turbine</t>
  </si>
  <si>
    <r>
      <rPr>
        <sz val="10"/>
        <rFont val="Arial"/>
        <family val="2"/>
      </rPr>
      <t xml:space="preserve">NOL </t>
    </r>
    <r>
      <rPr>
        <i val="true"/>
        <sz val="8"/>
        <rFont val="Arial"/>
        <family val="2"/>
      </rPr>
      <t xml:space="preserve">(Unlimited Carryforward, No Carryback) - Capped @</t>
    </r>
  </si>
  <si>
    <t xml:space="preserve">Of Taxable Income</t>
  </si>
  <si>
    <t xml:space="preserve">Onshore Payment Adjustment</t>
  </si>
  <si>
    <t xml:space="preserve">Term - Years (Post Closing)</t>
  </si>
  <si>
    <t xml:space="preserve"># Of Debt Service Pmts</t>
  </si>
  <si>
    <t xml:space="preserve">Upfront Fee</t>
  </si>
  <si>
    <t xml:space="preserve">Withholding Tax - Dividends (Non-Residents)</t>
  </si>
  <si>
    <t xml:space="preserve">Income Earned After 1/1/96 Exempt</t>
  </si>
  <si>
    <r>
      <rPr>
        <sz val="10"/>
        <rFont val="Arial"/>
        <family val="2"/>
      </rPr>
      <t xml:space="preserve">Turnkey Tax Adjustment </t>
    </r>
    <r>
      <rPr>
        <i val="true"/>
        <sz val="9"/>
        <rFont val="Arial"/>
        <family val="2"/>
      </rPr>
      <t xml:space="preserve">(0=Off, 1=On)</t>
    </r>
  </si>
  <si>
    <t xml:space="preserve">Grace (Periods) - Post Closing</t>
  </si>
  <si>
    <t xml:space="preserve">Grace - Post Phase III</t>
  </si>
  <si>
    <t xml:space="preserve">Commitment Fee</t>
  </si>
  <si>
    <t xml:space="preserve">Project Operations</t>
  </si>
  <si>
    <t xml:space="preserve">Phase III+</t>
  </si>
  <si>
    <t xml:space="preserve">Withholding Tax - Interest (Non-MLA's)</t>
  </si>
  <si>
    <t xml:space="preserve">Gross Up For Interest Payments</t>
  </si>
  <si>
    <r>
      <rPr>
        <sz val="10"/>
        <rFont val="Arial"/>
        <family val="2"/>
      </rPr>
      <t xml:space="preserve">Delay/Performance Damages From SCC </t>
    </r>
    <r>
      <rPr>
        <i val="true"/>
        <sz val="9"/>
        <rFont val="Arial"/>
        <family val="2"/>
      </rPr>
      <t xml:space="preserve">(0=Off, 1=On)</t>
    </r>
  </si>
  <si>
    <t xml:space="preserve">Average Life Of Loan (Including Construction)</t>
  </si>
  <si>
    <t xml:space="preserve">Start Of Construction</t>
  </si>
  <si>
    <t xml:space="preserve">Withholding Tax - Interest (Non-MLA's - Cayman Islands)</t>
  </si>
  <si>
    <t xml:space="preserve">Interest Paid To Tax Haven Such AS Cayman Islands</t>
  </si>
  <si>
    <t xml:space="preserve">Total Turnkey Construction</t>
  </si>
  <si>
    <t xml:space="preserve">Interest Rate / Spread</t>
  </si>
  <si>
    <t xml:space="preserve">Total Converge Difference</t>
  </si>
  <si>
    <t xml:space="preserve">Term Of Construction - Months</t>
  </si>
  <si>
    <t xml:space="preserve">Withholding Tax - Services (Non-Residents)</t>
  </si>
  <si>
    <t xml:space="preserve">Gross Up At Project Level</t>
  </si>
  <si>
    <t xml:space="preserve">Start Of Operations</t>
  </si>
  <si>
    <t xml:space="preserve">PIS - Social Contribution</t>
  </si>
  <si>
    <t xml:space="preserve">On Gross Revenue</t>
  </si>
  <si>
    <t xml:space="preserve">Diesel Fuel Inventory</t>
  </si>
  <si>
    <t xml:space="preserve">MCM @</t>
  </si>
  <si>
    <t xml:space="preserve">Per MCM</t>
  </si>
  <si>
    <t xml:space="preserve">Loop Factor</t>
  </si>
  <si>
    <t xml:space="preserve">Term of Operations - Months</t>
  </si>
  <si>
    <t xml:space="preserve">COFINS - Social Contribution</t>
  </si>
  <si>
    <t xml:space="preserve">Land &amp; Rights Of Way</t>
  </si>
  <si>
    <t xml:space="preserve">Tranche 2: KFW / Hermes - B Loan</t>
  </si>
  <si>
    <t xml:space="preserve">Date Diesel Phase Begins</t>
  </si>
  <si>
    <t xml:space="preserve">Payroll Tax</t>
  </si>
  <si>
    <t xml:space="preserve">On Payroll (Included In O&amp;M)</t>
  </si>
  <si>
    <t xml:space="preserve">Owner's Engineer (Parson's)</t>
  </si>
  <si>
    <t xml:space="preserve">Term Of Contract - Years</t>
  </si>
  <si>
    <t xml:space="preserve">From Start Of Phase I</t>
  </si>
  <si>
    <t xml:space="preserve">Severance Fund</t>
  </si>
  <si>
    <t xml:space="preserve">Environmental &amp; Permitting</t>
  </si>
  <si>
    <t xml:space="preserve">End Date Of PPA</t>
  </si>
  <si>
    <t xml:space="preserve">Education Fund</t>
  </si>
  <si>
    <t xml:space="preserve">Consulting Fee</t>
  </si>
  <si>
    <t xml:space="preserve">+W/H Tax Of</t>
  </si>
  <si>
    <t xml:space="preserve">BOT</t>
  </si>
  <si>
    <t xml:space="preserve">ICMS - Electricity Sales</t>
  </si>
  <si>
    <t xml:space="preserve">Exempt</t>
  </si>
  <si>
    <t xml:space="preserve">Total Other Construction</t>
  </si>
  <si>
    <t xml:space="preserve">ICMS - Transportation</t>
  </si>
  <si>
    <t xml:space="preserve">Financial Closing</t>
  </si>
  <si>
    <t xml:space="preserve">ICMS - Fuel Purchases</t>
  </si>
  <si>
    <t xml:space="preserve">Interest During Construction "IDC "</t>
  </si>
  <si>
    <t xml:space="preserve">Date Of Financial Close</t>
  </si>
  <si>
    <t xml:space="preserve">ISS - Services Rendered Tax </t>
  </si>
  <si>
    <t xml:space="preserve">Avg Between 2%-5% (Exempt)</t>
  </si>
  <si>
    <t xml:space="preserve">Withholding Tax - IDC</t>
  </si>
  <si>
    <t xml:space="preserve">PPA To Financial Close - Months</t>
  </si>
  <si>
    <t xml:space="preserve">CCC - Conta Compensador De Combustivel</t>
  </si>
  <si>
    <t xml:space="preserve">Subsidy Of Fuel Costs</t>
  </si>
  <si>
    <t xml:space="preserve">First Debt Service Payment</t>
  </si>
  <si>
    <t xml:space="preserve">TJLP Interest Rate (From Finance Plan)</t>
  </si>
  <si>
    <t xml:space="preserve">Published Monthly In Diario Official By Banco Central</t>
  </si>
  <si>
    <t xml:space="preserve">Tranche 3: KFW (Uncovered Loan)</t>
  </si>
  <si>
    <t xml:space="preserve">Real Estate Transfer Tax</t>
  </si>
  <si>
    <t xml:space="preserve">Calc'd On Land Costs, Assumed Exempt</t>
  </si>
  <si>
    <t xml:space="preserve">Financing Costs (Borrower And Lender)</t>
  </si>
  <si>
    <t xml:space="preserve">Pricing</t>
  </si>
  <si>
    <t xml:space="preserve">Base Year For Tariff Pricing</t>
  </si>
  <si>
    <t xml:space="preserve">Real Property Tax</t>
  </si>
  <si>
    <t xml:space="preserve">Annual On Land, Assumed Exempt</t>
  </si>
  <si>
    <t xml:space="preserve">Financing Costs (Other)</t>
  </si>
  <si>
    <t xml:space="preserve">Annex 12 Escalation (0=Off, 1=On)</t>
  </si>
  <si>
    <t xml:space="preserve">Customs Duties</t>
  </si>
  <si>
    <t xml:space="preserve">3rd Party Legal Fees</t>
  </si>
  <si>
    <t xml:space="preserve">Capacity Payments</t>
  </si>
  <si>
    <t xml:space="preserve">Escalation</t>
  </si>
  <si>
    <t xml:space="preserve">ICMS - Equipment</t>
  </si>
  <si>
    <t xml:space="preserve">See Construction Tax Schedule</t>
  </si>
  <si>
    <t xml:space="preserve">Construction Insurance</t>
  </si>
  <si>
    <r>
      <rPr>
        <sz val="10"/>
        <rFont val="Arial"/>
        <family val="2"/>
      </rPr>
      <t xml:space="preserve">Plant &amp; Transmission </t>
    </r>
    <r>
      <rPr>
        <i val="true"/>
        <sz val="9"/>
        <rFont val="Arial"/>
        <family val="2"/>
      </rPr>
      <t xml:space="preserve">($/Kw-Mo)</t>
    </r>
  </si>
  <si>
    <t xml:space="preserve">See Tariff Sheet</t>
  </si>
  <si>
    <t xml:space="preserve">CPI / IGPM</t>
  </si>
  <si>
    <t xml:space="preserve">Import Duties - Equipment</t>
  </si>
  <si>
    <t xml:space="preserve">Total 3rd Party Dev / Financing Costs</t>
  </si>
  <si>
    <r>
      <rPr>
        <sz val="10"/>
        <rFont val="Arial"/>
        <family val="2"/>
      </rPr>
      <t xml:space="preserve">Transport Gas </t>
    </r>
    <r>
      <rPr>
        <i val="true"/>
        <sz val="9"/>
        <rFont val="Arial"/>
        <family val="2"/>
      </rPr>
      <t xml:space="preserve">($/Kw-Mo)</t>
    </r>
  </si>
  <si>
    <t xml:space="preserve">CPI</t>
  </si>
  <si>
    <t xml:space="preserve">Import Duties - Major Maintenance</t>
  </si>
  <si>
    <t xml:space="preserve">On Imported Equipment</t>
  </si>
  <si>
    <r>
      <rPr>
        <sz val="10"/>
        <rFont val="Arial"/>
        <family val="2"/>
      </rPr>
      <t xml:space="preserve">Commodity Gas </t>
    </r>
    <r>
      <rPr>
        <i val="true"/>
        <sz val="9"/>
        <rFont val="Arial"/>
        <family val="2"/>
      </rPr>
      <t xml:space="preserve">($/Kw-Mo)</t>
    </r>
  </si>
  <si>
    <t xml:space="preserve">CPI Less .0025</t>
  </si>
  <si>
    <t xml:space="preserve">IPI - Industrial Products Tax</t>
  </si>
  <si>
    <t xml:space="preserve">Rate Varies By Equipment Type</t>
  </si>
  <si>
    <t xml:space="preserve">Development Costs</t>
  </si>
  <si>
    <t xml:space="preserve">Energy (Variable) Payments</t>
  </si>
  <si>
    <t xml:space="preserve">Operations Mobilization - Plant</t>
  </si>
  <si>
    <t xml:space="preserve">Variable Commodity</t>
  </si>
  <si>
    <t xml:space="preserve">Sudam Tax Credits Reserve</t>
  </si>
  <si>
    <t xml:space="preserve">(0 = Off, 1 = On)</t>
  </si>
  <si>
    <t xml:space="preserve">Operations Mobilization - WTF</t>
  </si>
  <si>
    <t xml:space="preserve">Tranche 4: BNDES</t>
  </si>
  <si>
    <t xml:space="preserve">(0=Off, 1=On)</t>
  </si>
  <si>
    <t xml:space="preserve">Variable O&amp;M</t>
  </si>
  <si>
    <t xml:space="preserve">IGPM</t>
  </si>
  <si>
    <t xml:space="preserve">Credits Held In A Reserve (Non Distributable As Dividends, Only As Trapped Cash Loans)</t>
  </si>
  <si>
    <t xml:space="preserve">Total Development Costs / Fees</t>
  </si>
  <si>
    <t xml:space="preserve">Reserve Can Be Used Against Net Losses (Forward &amp; Backward)</t>
  </si>
  <si>
    <t xml:space="preserve">Fuel Purchases</t>
  </si>
  <si>
    <t xml:space="preserve">Base Year For Fuel Costs:</t>
  </si>
  <si>
    <t xml:space="preserve">Credit Available = Tax Rate X Operating Income Reduced By Below %</t>
  </si>
  <si>
    <t xml:space="preserve">Working Capital </t>
  </si>
  <si>
    <t xml:space="preserve">Final Year Of Tax Credits ==&gt;</t>
  </si>
  <si>
    <t xml:space="preserve">Spare Parts - Plant</t>
  </si>
  <si>
    <t xml:space="preserve">Diesel (Petrobras-Phase I Only)</t>
  </si>
  <si>
    <t xml:space="preserve">Spare Parts - WTF</t>
  </si>
  <si>
    <t xml:space="preserve">Kcal / Kg</t>
  </si>
  <si>
    <t xml:space="preserve">R$ / Cubic Meter (CM)</t>
  </si>
  <si>
    <t xml:space="preserve">ANP Index</t>
  </si>
  <si>
    <t xml:space="preserve">Tax Period Starting In Year</t>
  </si>
  <si>
    <t xml:space="preserve">Total Other Costs</t>
  </si>
  <si>
    <t xml:space="preserve">Kg / CM</t>
  </si>
  <si>
    <t xml:space="preserve">CM / MMBTU</t>
  </si>
  <si>
    <t xml:space="preserve">Operating Income Rate</t>
  </si>
  <si>
    <t xml:space="preserve">BTU / Kcal</t>
  </si>
  <si>
    <t xml:space="preserve">R$ / MMBTU</t>
  </si>
  <si>
    <t xml:space="preserve">Contingency - Diesel Burned</t>
  </si>
  <si>
    <t xml:space="preserve">MMBTU / CM</t>
  </si>
  <si>
    <t xml:space="preserve">$ / MMBTU</t>
  </si>
  <si>
    <t xml:space="preserve">@ Bid Exch</t>
  </si>
  <si>
    <t xml:space="preserve">US Taxes</t>
  </si>
  <si>
    <t xml:space="preserve">Contingency - Change Orders</t>
  </si>
  <si>
    <t xml:space="preserve">Tranche 5: MLA - OPIC</t>
  </si>
  <si>
    <t xml:space="preserve">$ / Kwh</t>
  </si>
  <si>
    <t xml:space="preserve">Tax Position / Structure</t>
  </si>
  <si>
    <t xml:space="preserve">Deferral</t>
  </si>
  <si>
    <t xml:space="preserve">Contingency - Other</t>
  </si>
  <si>
    <t xml:space="preserve">Natural Gas (TBS Contract)</t>
  </si>
  <si>
    <t xml:space="preserve">Federal Income Tax</t>
  </si>
  <si>
    <t xml:space="preserve">Total Contingency</t>
  </si>
  <si>
    <t xml:space="preserve">Variable Rate</t>
  </si>
  <si>
    <t xml:space="preserve">/ MMBTU</t>
  </si>
  <si>
    <t xml:space="preserve">Yabog Rate</t>
  </si>
  <si>
    <t xml:space="preserve">None</t>
  </si>
  <si>
    <t xml:space="preserve">Depreciation Assumptions</t>
  </si>
  <si>
    <t xml:space="preserve">Basis ($000)</t>
  </si>
  <si>
    <t xml:space="preserve">Life (Yrs)</t>
  </si>
  <si>
    <t xml:space="preserve">Method</t>
  </si>
  <si>
    <t xml:space="preserve">Total Project Costs</t>
  </si>
  <si>
    <t xml:space="preserve">(Variable &amp; Yabog Rates Based On Greater Of Consumed / Take Or Pay Volumes)</t>
  </si>
  <si>
    <t xml:space="preserve">Total Project Costs ($ / Kw)</t>
  </si>
  <si>
    <t xml:space="preserve">Tax</t>
  </si>
  <si>
    <t xml:space="preserve">S/L</t>
  </si>
  <si>
    <t xml:space="preserve">Fixed Transportation Rate</t>
  </si>
  <si>
    <t xml:space="preserve">See Tariff Sheet For Pricing</t>
  </si>
  <si>
    <t xml:space="preserve">Delay/Performance Damages (SCC)</t>
  </si>
  <si>
    <t xml:space="preserve">Damages</t>
  </si>
  <si>
    <t xml:space="preserve">Actual</t>
  </si>
  <si>
    <t xml:space="preserve">Disputed</t>
  </si>
  <si>
    <t xml:space="preserve">Net</t>
  </si>
  <si>
    <t xml:space="preserve">TOP Obligation (TBS)</t>
  </si>
  <si>
    <t xml:space="preserve">Outage</t>
  </si>
  <si>
    <t xml:space="preserve">Average</t>
  </si>
  <si>
    <t xml:space="preserve">From</t>
  </si>
  <si>
    <t xml:space="preserve">To</t>
  </si>
  <si>
    <t xml:space="preserve">$000 / Day</t>
  </si>
  <si>
    <t xml:space="preserve">Start Date</t>
  </si>
  <si>
    <t xml:space="preserve">Days</t>
  </si>
  <si>
    <t xml:space="preserve">Received</t>
  </si>
  <si>
    <t xml:space="preserve">Tranche 6: Subordinated Debt</t>
  </si>
  <si>
    <t xml:space="preserve">DCQ</t>
  </si>
  <si>
    <t xml:space="preserve">TOP%</t>
  </si>
  <si>
    <t xml:space="preserve">TOP</t>
  </si>
  <si>
    <t xml:space="preserve">Book</t>
  </si>
  <si>
    <t xml:space="preserve">Phase I Operations</t>
  </si>
  <si>
    <t xml:space="preserve">=IF(AB90=0,AB69,IF(AB97=1,AB69,0))</t>
  </si>
  <si>
    <t xml:space="preserve">Operating Expenses ($000) - Power Plant</t>
  </si>
  <si>
    <t xml:space="preserve">Base Year For Op Exp:</t>
  </si>
  <si>
    <t xml:space="preserve">Phase II Operations</t>
  </si>
  <si>
    <t xml:space="preserve">US GAAP</t>
  </si>
  <si>
    <t xml:space="preserve">Fixed (R$ Based)</t>
  </si>
  <si>
    <t xml:space="preserve">Interest Rate</t>
  </si>
  <si>
    <t xml:space="preserve">Payroll &amp; Burden (Includes WTF)</t>
  </si>
  <si>
    <t xml:space="preserve">IGP</t>
  </si>
  <si>
    <t xml:space="preserve">Phase III Operations</t>
  </si>
  <si>
    <t xml:space="preserve">Other O&amp;M Expenses</t>
  </si>
  <si>
    <t xml:space="preserve">Commercial Office</t>
  </si>
  <si>
    <t xml:space="preserve">Trapped Cash</t>
  </si>
  <si>
    <t xml:space="preserve">Sustaining Capital</t>
  </si>
  <si>
    <t xml:space="preserve">Distributions Are Limited To Retained Earnings</t>
  </si>
  <si>
    <t xml:space="preserve">(C)-Min Of (A)&amp;(B)</t>
  </si>
  <si>
    <t xml:space="preserve">(B)-Maximum</t>
  </si>
  <si>
    <t xml:space="preserve">(A)-Calculated</t>
  </si>
  <si>
    <t xml:space="preserve">Other Senior Debt Fees</t>
  </si>
  <si>
    <t xml:space="preserve">OPIC Agency Fee ($000)</t>
  </si>
  <si>
    <t xml:space="preserve">Minor Maintenance (Incl WTF)</t>
  </si>
  <si>
    <t xml:space="preserve">Apply Capital Reductions Of Excess Cash (0=No, 1=Yes)</t>
  </si>
  <si>
    <t xml:space="preserve">Total Delay Damages</t>
  </si>
  <si>
    <t xml:space="preserve">EPE Percent / Amount</t>
  </si>
  <si>
    <t xml:space="preserve">Major Maintenance (Avg)</t>
  </si>
  <si>
    <t xml:space="preserve">Trapped Cash Loans To Partners (0=No, 1=Yes)</t>
  </si>
  <si>
    <t xml:space="preserve">Total Performance Damages</t>
  </si>
  <si>
    <t xml:space="preserve">Final Year Of Payment</t>
  </si>
  <si>
    <t xml:space="preserve">Capital Reduction In Final Year To Liquidate Partner Loans</t>
  </si>
  <si>
    <t xml:space="preserve">Lesser Of (A) Or (B)</t>
  </si>
  <si>
    <t xml:space="preserve">Fixed (US$ Based)</t>
  </si>
  <si>
    <t xml:space="preserve">Capital Structure</t>
  </si>
  <si>
    <t xml:space="preserve">JVM Management Fee</t>
  </si>
  <si>
    <t xml:space="preserve">Interest Income To Project On Trapped Cash Loans</t>
  </si>
  <si>
    <t xml:space="preserve">Project / Enron Economics</t>
  </si>
  <si>
    <t xml:space="preserve">Senior Debt</t>
  </si>
  <si>
    <t xml:space="preserve">JVM G&amp;A</t>
  </si>
  <si>
    <t xml:space="preserve">Interest Expense To Shareholders On Trapped Cash Loans</t>
  </si>
  <si>
    <t xml:space="preserve">Disc Rate</t>
  </si>
  <si>
    <t xml:space="preserve">IRR</t>
  </si>
  <si>
    <t xml:space="preserve">NPV</t>
  </si>
  <si>
    <t xml:space="preserve">Subordinated Debt / Sudam Financing</t>
  </si>
  <si>
    <t xml:space="preserve">Operating Insurance</t>
  </si>
  <si>
    <t xml:space="preserve">Project w/o Trapped Cash</t>
  </si>
  <si>
    <t xml:space="preserve">Sudam Funding</t>
  </si>
  <si>
    <t xml:space="preserve">Exchange Rate</t>
  </si>
  <si>
    <t xml:space="preserve">Target IRR</t>
  </si>
  <si>
    <t xml:space="preserve">Equity</t>
  </si>
  <si>
    <t xml:space="preserve">Base Exchange Rate Per PPA (R$ Per US$)</t>
  </si>
  <si>
    <t xml:space="preserve">   Total Investment</t>
  </si>
  <si>
    <t xml:space="preserve">Start Date For Economic Equilibrium</t>
  </si>
  <si>
    <t xml:space="preserve">Maximum Life Of Loan</t>
  </si>
  <si>
    <t xml:space="preserve">Variable</t>
  </si>
  <si>
    <t xml:space="preserve">Apply Purchasing Power Parity (0=No, 1=Yes)</t>
  </si>
  <si>
    <t xml:space="preserve">WAvg Rate / Spread (Senior Debt)</t>
  </si>
  <si>
    <t xml:space="preserve">Chemicals (Includes WTF)</t>
  </si>
  <si>
    <t xml:space="preserve">Apply Escalation (0=No, 1=Yes)</t>
  </si>
  <si>
    <t xml:space="preserve">WAvg Financing Fee (Senior Debt)</t>
  </si>
  <si>
    <t xml:space="preserve">Based On Usage (Kwh)</t>
  </si>
  <si>
    <t xml:space="preserve">WAvg Commitment Fee (Senior Debt)</t>
  </si>
  <si>
    <t xml:space="preserve">Chemicals ($ / Kwh)</t>
  </si>
  <si>
    <t xml:space="preserve">Escalators</t>
  </si>
  <si>
    <t xml:space="preserve">TOTAL PARTNERS</t>
  </si>
  <si>
    <t xml:space="preserve">Use 09/04/98 Curves used for Bank Models (0=No, 1=Yes)</t>
  </si>
  <si>
    <t xml:space="preserve">DS Coverage Ratios</t>
  </si>
  <si>
    <t xml:space="preserve">Pre-Tax</t>
  </si>
  <si>
    <t xml:space="preserve">After-Tax</t>
  </si>
  <si>
    <t xml:space="preserve">A-T Target</t>
  </si>
  <si>
    <t xml:space="preserve">Working Capital</t>
  </si>
  <si>
    <t xml:space="preserve">(0=Project Costs, 1=W/C Facility, 2=Fund Project Cost W/Operating Cash)</t>
  </si>
  <si>
    <t xml:space="preserve">Plus: Political Risk Insurance</t>
  </si>
  <si>
    <t xml:space="preserve">(1)</t>
  </si>
  <si>
    <t xml:space="preserve">         Minimum</t>
  </si>
  <si>
    <t xml:space="preserve">Interest On Net Equity (INE)</t>
  </si>
  <si>
    <t xml:space="preserve">Plus: Interest Expense On Partner Loans</t>
  </si>
  <si>
    <t xml:space="preserve">         Average</t>
  </si>
  <si>
    <t xml:space="preserve">Components</t>
  </si>
  <si>
    <t xml:space="preserve">Fee</t>
  </si>
  <si>
    <t xml:space="preserve">Interest</t>
  </si>
  <si>
    <t xml:space="preserve">Limited To The Lesser Of</t>
  </si>
  <si>
    <t xml:space="preserve">Of Earnings Before Taxes</t>
  </si>
  <si>
    <t xml:space="preserve">Plus: Withholding On INE</t>
  </si>
  <si>
    <t xml:space="preserve">Days Of Commodity Fuel</t>
  </si>
  <si>
    <t xml:space="preserve">TJLP Rate Of Project Equity</t>
  </si>
  <si>
    <t xml:space="preserve">Less: Indemnity Fee</t>
  </si>
  <si>
    <t xml:space="preserve">Debt Reserve</t>
  </si>
  <si>
    <t xml:space="preserve">Service To Be Provided By</t>
  </si>
  <si>
    <t xml:space="preserve">Dresdner Bank</t>
  </si>
  <si>
    <t xml:space="preserve">Days Of Fuel Transportation</t>
  </si>
  <si>
    <t xml:space="preserve">Utilized</t>
  </si>
  <si>
    <t xml:space="preserve">Plus: W/H Tax On Indemnity Fee</t>
  </si>
  <si>
    <t xml:space="preserve">Months Of Debt Service Required</t>
  </si>
  <si>
    <t xml:space="preserve">Days Of O&amp;M Excl Insurance</t>
  </si>
  <si>
    <t xml:space="preserve">Net Rate</t>
  </si>
  <si>
    <t xml:space="preserve">Ownership (Pre Selldown)</t>
  </si>
  <si>
    <t xml:space="preserve">Equity $</t>
  </si>
  <si>
    <t xml:space="preserve">Equity %</t>
  </si>
  <si>
    <t xml:space="preserve">Cash Flow %</t>
  </si>
  <si>
    <t xml:space="preserve">Less: Consulting Fees Paid At Enron Level</t>
  </si>
  <si>
    <t xml:space="preserve">L/C Fee p.a.</t>
  </si>
  <si>
    <t xml:space="preserve">Years Of Operating Insurance</t>
  </si>
  <si>
    <t xml:space="preserve">Total Rate (B)</t>
  </si>
  <si>
    <t xml:space="preserve">Enron</t>
  </si>
  <si>
    <t xml:space="preserve">Less: Houston Overheads Not Included In Project Costs</t>
  </si>
  <si>
    <t xml:space="preserve">Total W/C Required (A)</t>
  </si>
  <si>
    <t xml:space="preserve">Annual Expense (A*B)</t>
  </si>
  <si>
    <t xml:space="preserve">Shell</t>
  </si>
  <si>
    <t xml:space="preserve">Less: JVM Management Fee</t>
  </si>
  <si>
    <t xml:space="preserve">Shareholder Constr Loan</t>
  </si>
  <si>
    <t xml:space="preserve">Transredes</t>
  </si>
  <si>
    <t xml:space="preserve">Plus: US Tax (Cost) / Benefit (1)'s Above</t>
  </si>
  <si>
    <t xml:space="preserve">Amount Of Construction Loan</t>
  </si>
  <si>
    <t xml:space="preserve">Reduction of Project Cost From Operating Cash</t>
  </si>
  <si>
    <t xml:space="preserve">   Total</t>
  </si>
  <si>
    <t xml:space="preserve">Plus: Bridge Loan Amount</t>
  </si>
  <si>
    <t xml:space="preserve">Cost Of Funds</t>
  </si>
  <si>
    <t xml:space="preserve">Less: Bridge Loan Repayment</t>
  </si>
  <si>
    <t xml:space="preserve">Bonds</t>
  </si>
  <si>
    <t xml:space="preserve">Term (Yrs)</t>
  </si>
  <si>
    <t xml:space="preserve">Expense</t>
  </si>
  <si>
    <t xml:space="preserve">Ownership (Post Selldown)</t>
  </si>
  <si>
    <t xml:space="preserve">Plus: Interest Income Bridge Loan</t>
  </si>
  <si>
    <t xml:space="preserve">(2)</t>
  </si>
  <si>
    <t xml:space="preserve">Sudam Financing Option</t>
  </si>
  <si>
    <t xml:space="preserve">Performance Bond</t>
  </si>
  <si>
    <t xml:space="preserve">Less: Political Risk Insurance - Bridge Loan</t>
  </si>
  <si>
    <t xml:space="preserve">Incorporate Sudam Financing Option (0=No, 1=Yes)</t>
  </si>
  <si>
    <t xml:space="preserve">US Tax (Cost) / Benefit (2)'s Above</t>
  </si>
  <si>
    <t xml:space="preserve">Date To Incorprate Sudam Financing</t>
  </si>
  <si>
    <t xml:space="preserve">YPF Guarantee</t>
  </si>
  <si>
    <t xml:space="preserve">Guarantee</t>
  </si>
  <si>
    <t xml:space="preserve">Plus: Subordinated Debt Amount</t>
  </si>
  <si>
    <t xml:space="preserve"># Of Months From Phase III Completion To Repurchase Preferred Shares</t>
  </si>
  <si>
    <t xml:space="preserve">New Investor</t>
  </si>
  <si>
    <t xml:space="preserve">Less: Subordinated Debt Repayment</t>
  </si>
  <si>
    <t xml:space="preserve">Date Of Repurchase Of Preferred Shares</t>
  </si>
  <si>
    <t xml:space="preserve">Plus: Interest Income Subordinated Debt</t>
  </si>
  <si>
    <t xml:space="preserve">(3)</t>
  </si>
  <si>
    <t xml:space="preserve">Est. Available Sudam Funds/Original Value Of Sudam Preferred Shares</t>
  </si>
  <si>
    <t xml:space="preserve">Interest On Cash Balances</t>
  </si>
  <si>
    <t xml:space="preserve">Less: Political Risk Insurance - Subordinated Debt</t>
  </si>
  <si>
    <t xml:space="preserve">Discount On Repurchase Of Preferred Shares</t>
  </si>
  <si>
    <t xml:space="preserve">Assumed Rate For Cash Held</t>
  </si>
  <si>
    <t xml:space="preserve">Enron Selldown</t>
  </si>
  <si>
    <t xml:space="preserve">US Tax (Cost) / Benefit (3)'s Above</t>
  </si>
  <si>
    <t xml:space="preserve">Transaction Costs</t>
  </si>
  <si>
    <t xml:space="preserve">New Investor Equity % (LJM)</t>
  </si>
  <si>
    <t xml:space="preserve">Less: Purchase Preferred Sudam Shares</t>
  </si>
  <si>
    <t xml:space="preserve">Purchasers Of Preferred Shares</t>
  </si>
  <si>
    <t xml:space="preserve">0=No, 1=Yes</t>
  </si>
  <si>
    <t xml:space="preserve">% Ownership</t>
  </si>
  <si>
    <t xml:space="preserve">Value Paid*</t>
  </si>
  <si>
    <t xml:space="preserve">Electronorte Purchase Price Option</t>
  </si>
  <si>
    <t xml:space="preserve">New Investor Subordinated Debt % (LJM)</t>
  </si>
  <si>
    <t xml:space="preserve">Less: Political Risk Insurance - Sudam Shares</t>
  </si>
  <si>
    <t xml:space="preserve">(4)</t>
  </si>
  <si>
    <t xml:space="preserve">Final Year Plant &amp; Transmission Capacity Tariff (R$/Mw-Month)</t>
  </si>
  <si>
    <t xml:space="preserve">Enron Ownership Post LJM Selldown</t>
  </si>
  <si>
    <t xml:space="preserve">US Tax (Cost) / Benefit (4) Above</t>
  </si>
  <si>
    <t xml:space="preserve">Final Year Plant Capacity (Mw)</t>
  </si>
  <si>
    <t xml:space="preserve">LGM Selldown Proceeds</t>
  </si>
  <si>
    <t xml:space="preserve">Subtotal Partner Level Adjustments</t>
  </si>
  <si>
    <t xml:space="preserve">PPA Multiple</t>
  </si>
  <si>
    <t xml:space="preserve">Times The Product Of </t>
  </si>
  <si>
    <t xml:space="preserve">LGM Sale Date (Temporary Sale)</t>
  </si>
  <si>
    <t xml:space="preserve">Electronorte Purchase Price (R$000)</t>
  </si>
  <si>
    <t xml:space="preserve">LGM Guaranteed ROR</t>
  </si>
  <si>
    <t xml:space="preserve">Reconciled Project NPV</t>
  </si>
  <si>
    <t xml:space="preserve">* Includes both Preferred Share price &amp; Transaction Costs</t>
  </si>
  <si>
    <t xml:space="preserve">Total Outflow</t>
  </si>
  <si>
    <t xml:space="preserve">Electronorte Purchase Price (US$000 @ Bid Exchange)</t>
  </si>
  <si>
    <t xml:space="preserve">Assumed LGM Cost To Project At New Investor Sale Date</t>
  </si>
  <si>
    <t xml:space="preserve">(0=No, 1=Yes)</t>
  </si>
  <si>
    <t xml:space="preserve">Unallocated Difference</t>
  </si>
  <si>
    <t xml:space="preserve">Cash Received By New Investor For Preferred Shares</t>
  </si>
  <si>
    <t xml:space="preserve">Date Of Selldown To Permanent Investor- Equity</t>
  </si>
  <si>
    <t xml:space="preserve">Date Of Selldown - Subdebt</t>
  </si>
  <si>
    <t xml:space="preserve">New Investor Proceeds (Equity)</t>
  </si>
  <si>
    <t xml:space="preserve">Consulting Fees Above $4,000 Cap</t>
  </si>
  <si>
    <t xml:space="preserve">New Investor Equity Percent</t>
  </si>
  <si>
    <t xml:space="preserve">Houston Overheads Not Included In Project Costs</t>
  </si>
  <si>
    <t xml:space="preserve">Enron Ownership Post Selldown</t>
  </si>
  <si>
    <t xml:space="preserve">Assume New Investor Assumes Share Of Subdebt</t>
  </si>
  <si>
    <t xml:space="preserve">Subdebt Assumed</t>
  </si>
  <si>
    <t xml:space="preserve">Enron Book Income (Including Enron Cost Of Funds)</t>
  </si>
  <si>
    <t xml:space="preserve">Enron Avg Book Income (Yrs 1-5) - Comm Ops</t>
  </si>
  <si>
    <t xml:space="preserve">Political Risk Insurance</t>
  </si>
  <si>
    <t xml:space="preserve">Partner Level Only</t>
  </si>
  <si>
    <t xml:space="preserve">Enron Avg Book Income (Project Life) - Comm Ops</t>
  </si>
  <si>
    <t xml:space="preserve">Book Earnings Method</t>
  </si>
  <si>
    <t xml:space="preserve">Of Equity Book Value</t>
  </si>
  <si>
    <t xml:space="preserve">RAROC</t>
  </si>
  <si>
    <t xml:space="preserve">Cash Flow Date</t>
  </si>
  <si>
    <t xml:space="preserve">Valutation Date</t>
  </si>
  <si>
    <t xml:space="preserve">CASH FLOW ANALYSIS</t>
  </si>
  <si>
    <t xml:space="preserve">Equity Outflows</t>
  </si>
  <si>
    <t xml:space="preserve">Out 01</t>
  </si>
  <si>
    <t xml:space="preserve">Out 02</t>
  </si>
  <si>
    <t xml:space="preserve">Out 03</t>
  </si>
  <si>
    <t xml:space="preserve">Out 04</t>
  </si>
  <si>
    <t xml:space="preserve">Out 05</t>
  </si>
  <si>
    <t xml:space="preserve">Out 06</t>
  </si>
  <si>
    <t xml:space="preserve">Out 07</t>
  </si>
  <si>
    <t xml:space="preserve">Out 08</t>
  </si>
  <si>
    <t xml:space="preserve">Out 09</t>
  </si>
  <si>
    <t xml:space="preserve">Out 10</t>
  </si>
  <si>
    <t xml:space="preserve">Out 11</t>
  </si>
  <si>
    <t xml:space="preserve">Out 12</t>
  </si>
  <si>
    <t xml:space="preserve">Out 13</t>
  </si>
  <si>
    <t xml:space="preserve">Out 14</t>
  </si>
  <si>
    <t xml:space="preserve">Out 15</t>
  </si>
  <si>
    <t xml:space="preserve">Out 16</t>
  </si>
  <si>
    <t xml:space="preserve">Out 17</t>
  </si>
  <si>
    <t xml:space="preserve">Out 18</t>
  </si>
  <si>
    <t xml:space="preserve">Out 19</t>
  </si>
  <si>
    <t xml:space="preserve">Out 20</t>
  </si>
  <si>
    <t xml:space="preserve">Out 21</t>
  </si>
  <si>
    <t xml:space="preserve">Out 22</t>
  </si>
  <si>
    <t xml:space="preserve">Out 23</t>
  </si>
  <si>
    <t xml:space="preserve">EPE</t>
  </si>
  <si>
    <t xml:space="preserve">GasMat</t>
  </si>
  <si>
    <t xml:space="preserve">GasBol</t>
  </si>
  <si>
    <t xml:space="preserve">TBS</t>
  </si>
  <si>
    <t xml:space="preserve">TOTAL</t>
  </si>
  <si>
    <t xml:space="preserve">Fees</t>
  </si>
  <si>
    <t xml:space="preserve">Fees 01</t>
  </si>
  <si>
    <t xml:space="preserve">Fees 02</t>
  </si>
  <si>
    <t xml:space="preserve">Fees 03</t>
  </si>
  <si>
    <t xml:space="preserve">Fees 04</t>
  </si>
  <si>
    <t xml:space="preserve">Fees 05</t>
  </si>
  <si>
    <t xml:space="preserve">Fees 06</t>
  </si>
  <si>
    <t xml:space="preserve">Fees 07</t>
  </si>
  <si>
    <t xml:space="preserve">Fees 08</t>
  </si>
  <si>
    <t xml:space="preserve">Fees 09</t>
  </si>
  <si>
    <t xml:space="preserve">Fees 10</t>
  </si>
  <si>
    <t xml:space="preserve">Fees 11</t>
  </si>
  <si>
    <t xml:space="preserve">Fees 12</t>
  </si>
  <si>
    <t xml:space="preserve">Fees 13</t>
  </si>
  <si>
    <t xml:space="preserve">Fees 14</t>
  </si>
  <si>
    <t xml:space="preserve">Fees 15</t>
  </si>
  <si>
    <t xml:space="preserve">Fees 16</t>
  </si>
  <si>
    <t xml:space="preserve">Fees 17</t>
  </si>
  <si>
    <t xml:space="preserve">Fees 18</t>
  </si>
  <si>
    <t xml:space="preserve">Fees 19</t>
  </si>
  <si>
    <t xml:space="preserve">Fees 20</t>
  </si>
  <si>
    <t xml:space="preserve">Fees 21</t>
  </si>
  <si>
    <t xml:space="preserve">Fees 22</t>
  </si>
  <si>
    <t xml:space="preserve">Fees 23</t>
  </si>
  <si>
    <t xml:space="preserve">Ongoing Cash Flows</t>
  </si>
  <si>
    <t xml:space="preserve">CF 01</t>
  </si>
  <si>
    <t xml:space="preserve">CF 02</t>
  </si>
  <si>
    <t xml:space="preserve">CF 03</t>
  </si>
  <si>
    <t xml:space="preserve">CF 04</t>
  </si>
  <si>
    <t xml:space="preserve">CF 05</t>
  </si>
  <si>
    <t xml:space="preserve">CF 06</t>
  </si>
  <si>
    <t xml:space="preserve">CF 07</t>
  </si>
  <si>
    <t xml:space="preserve">CF 08</t>
  </si>
  <si>
    <t xml:space="preserve">CF 09</t>
  </si>
  <si>
    <t xml:space="preserve">CF 10</t>
  </si>
  <si>
    <t xml:space="preserve">CF 11</t>
  </si>
  <si>
    <t xml:space="preserve">CF 12</t>
  </si>
  <si>
    <t xml:space="preserve">CF 13</t>
  </si>
  <si>
    <t xml:space="preserve">CF 14</t>
  </si>
  <si>
    <t xml:space="preserve">CF 15</t>
  </si>
  <si>
    <t xml:space="preserve">CF 16</t>
  </si>
  <si>
    <t xml:space="preserve">CF 17</t>
  </si>
  <si>
    <t xml:space="preserve">CF 18</t>
  </si>
  <si>
    <t xml:space="preserve">CF 19</t>
  </si>
  <si>
    <t xml:space="preserve">CF 20</t>
  </si>
  <si>
    <t xml:space="preserve">CF 21</t>
  </si>
  <si>
    <t xml:space="preserve">CF 22</t>
  </si>
  <si>
    <t xml:space="preserve">CF 23</t>
  </si>
  <si>
    <t xml:space="preserve">Terminal Value</t>
  </si>
  <si>
    <t xml:space="preserve">TV 01</t>
  </si>
  <si>
    <t xml:space="preserve">TV 02</t>
  </si>
  <si>
    <t xml:space="preserve">TV 03</t>
  </si>
  <si>
    <t xml:space="preserve">TV 04</t>
  </si>
  <si>
    <t xml:space="preserve">TV 05</t>
  </si>
  <si>
    <t xml:space="preserve">TV 06</t>
  </si>
  <si>
    <t xml:space="preserve">TV 07</t>
  </si>
  <si>
    <t xml:space="preserve">TV 08</t>
  </si>
  <si>
    <t xml:space="preserve">TV 09</t>
  </si>
  <si>
    <t xml:space="preserve">TV 10</t>
  </si>
  <si>
    <t xml:space="preserve">TV 11</t>
  </si>
  <si>
    <t xml:space="preserve">TV 12</t>
  </si>
  <si>
    <t xml:space="preserve">TV 13</t>
  </si>
  <si>
    <t xml:space="preserve">TV 14</t>
  </si>
  <si>
    <t xml:space="preserve">TV 15</t>
  </si>
  <si>
    <t xml:space="preserve">TV 16</t>
  </si>
  <si>
    <t xml:space="preserve">TV 17</t>
  </si>
  <si>
    <t xml:space="preserve">TV 18</t>
  </si>
  <si>
    <t xml:space="preserve">TV 19</t>
  </si>
  <si>
    <t xml:space="preserve">TV 20</t>
  </si>
  <si>
    <t xml:space="preserve">TV 21</t>
  </si>
  <si>
    <t xml:space="preserve">TV 22</t>
  </si>
  <si>
    <t xml:space="preserve">TV 23</t>
  </si>
  <si>
    <t xml:space="preserve">Summary ofTotal Cash Flows</t>
  </si>
  <si>
    <t xml:space="preserve">Consolidated</t>
  </si>
  <si>
    <t xml:space="preserve">Dif</t>
  </si>
  <si>
    <t xml:space="preserve">TBS </t>
  </si>
  <si>
    <t xml:space="preserve">Valuation Date</t>
  </si>
  <si>
    <t xml:space="preserve">Pipelines RFS</t>
  </si>
  <si>
    <t xml:space="preserve">Capital Price</t>
  </si>
  <si>
    <t xml:space="preserve">Phase II Start Date</t>
  </si>
  <si>
    <t xml:space="preserve">PV</t>
  </si>
  <si>
    <t xml:space="preserve">Phase III Start Date</t>
  </si>
  <si>
    <t xml:space="preserve">Phase III +</t>
  </si>
  <si>
    <t xml:space="preserve">BS 01</t>
  </si>
  <si>
    <t xml:space="preserve">BS 02</t>
  </si>
  <si>
    <t xml:space="preserve">BS 03</t>
  </si>
  <si>
    <t xml:space="preserve">BS 04</t>
  </si>
  <si>
    <t xml:space="preserve">BS 05</t>
  </si>
  <si>
    <t xml:space="preserve">BS 06</t>
  </si>
  <si>
    <t xml:space="preserve">BS 07</t>
  </si>
  <si>
    <t xml:space="preserve">BS 08</t>
  </si>
  <si>
    <t xml:space="preserve">BS 09</t>
  </si>
  <si>
    <t xml:space="preserve">BS 10</t>
  </si>
  <si>
    <t xml:space="preserve">BS 11</t>
  </si>
  <si>
    <t xml:space="preserve">BS 12</t>
  </si>
  <si>
    <t xml:space="preserve">BS 13</t>
  </si>
  <si>
    <t xml:space="preserve">BS 14</t>
  </si>
  <si>
    <t xml:space="preserve">BS 15</t>
  </si>
  <si>
    <t xml:space="preserve">BS 16</t>
  </si>
  <si>
    <t xml:space="preserve">BS 17</t>
  </si>
  <si>
    <t xml:space="preserve">BS 18</t>
  </si>
  <si>
    <t xml:space="preserve">BS 19</t>
  </si>
  <si>
    <t xml:space="preserve">BS 20</t>
  </si>
  <si>
    <t xml:space="preserve">BS 21</t>
  </si>
  <si>
    <t xml:space="preserve">BS 22</t>
  </si>
  <si>
    <t xml:space="preserve">BS 23</t>
  </si>
  <si>
    <t xml:space="preserve">Balance sheet Test</t>
  </si>
  <si>
    <t xml:space="preserve">DEFAULT</t>
  </si>
  <si>
    <t xml:space="preserve">NET CASH BEFORE SUBORDINATED DEBT PRINCIPAL REPAYMENT &lt; 0</t>
  </si>
  <si>
    <t xml:space="preserve">Consolidated (EPE+GasMat+GasBol+TBS)</t>
  </si>
  <si>
    <t xml:space="preserve">Min Test (0=DFLT; 1=No DFLT)</t>
  </si>
  <si>
    <t xml:space="preserve">DFLT 01</t>
  </si>
  <si>
    <t xml:space="preserve">DFLT 02</t>
  </si>
  <si>
    <t xml:space="preserve">DFLT 03</t>
  </si>
  <si>
    <t xml:space="preserve">DFLT 04</t>
  </si>
  <si>
    <t xml:space="preserve">DFLT 05</t>
  </si>
  <si>
    <t xml:space="preserve">DFLT 06</t>
  </si>
  <si>
    <t xml:space="preserve">DFLT 07</t>
  </si>
  <si>
    <t xml:space="preserve">DFLT 08</t>
  </si>
  <si>
    <t xml:space="preserve">DFLT 09</t>
  </si>
  <si>
    <t xml:space="preserve">DFLT 10</t>
  </si>
  <si>
    <t xml:space="preserve">DFLT 11</t>
  </si>
  <si>
    <t xml:space="preserve">DFLT 12</t>
  </si>
  <si>
    <t xml:space="preserve">DFLT 13</t>
  </si>
  <si>
    <t xml:space="preserve">DFLT 14</t>
  </si>
  <si>
    <t xml:space="preserve">DFLT 15</t>
  </si>
  <si>
    <t xml:space="preserve">DFLT 16</t>
  </si>
  <si>
    <t xml:space="preserve">DFLT 17</t>
  </si>
  <si>
    <t xml:space="preserve">DFLT 18</t>
  </si>
  <si>
    <t xml:space="preserve">DFLT 19</t>
  </si>
  <si>
    <t xml:space="preserve">DFLT 20</t>
  </si>
  <si>
    <t xml:space="preserve">DFLT 21</t>
  </si>
  <si>
    <t xml:space="preserve">DFLT 22</t>
  </si>
  <si>
    <t xml:space="preserve">DFLT 23</t>
  </si>
  <si>
    <t xml:space="preserve">Multiplier</t>
  </si>
  <si>
    <t xml:space="preserve">TV RECOVERY</t>
  </si>
  <si>
    <t xml:space="preserve">GasMat </t>
  </si>
  <si>
    <t xml:space="preserve">COMPARIS0N WITH DEFAULT BASED ON NET CASH BEFORE TRAPPED CASH &lt; 0 </t>
  </si>
  <si>
    <t xml:space="preserve">DF COMP 01</t>
  </si>
  <si>
    <t xml:space="preserve">DF COMP 02</t>
  </si>
  <si>
    <t xml:space="preserve">DF COMP 03</t>
  </si>
  <si>
    <t xml:space="preserve">DF COMP 04</t>
  </si>
  <si>
    <t xml:space="preserve">DF COMP 05</t>
  </si>
  <si>
    <t xml:space="preserve">DF COMP 06</t>
  </si>
  <si>
    <t xml:space="preserve">DF COMP 07</t>
  </si>
  <si>
    <t xml:space="preserve">DF COMP 08</t>
  </si>
  <si>
    <t xml:space="preserve">DF COMP 09</t>
  </si>
  <si>
    <t xml:space="preserve">DF COMP 10</t>
  </si>
  <si>
    <t xml:space="preserve">DF COMP 11</t>
  </si>
  <si>
    <t xml:space="preserve">DF COMP 12</t>
  </si>
  <si>
    <t xml:space="preserve">DF COMP 13</t>
  </si>
  <si>
    <t xml:space="preserve">DF COMP 14</t>
  </si>
  <si>
    <t xml:space="preserve">DF COMP 15</t>
  </si>
  <si>
    <t xml:space="preserve">DF COMP 16</t>
  </si>
  <si>
    <t xml:space="preserve">DF COMP 17</t>
  </si>
  <si>
    <t xml:space="preserve">DF COMP 18</t>
  </si>
  <si>
    <t xml:space="preserve">DF COMP 19</t>
  </si>
  <si>
    <t xml:space="preserve">DF COMP 20</t>
  </si>
  <si>
    <t xml:space="preserve">DF COMP 21</t>
  </si>
  <si>
    <t xml:space="preserve">DF COMP 22</t>
  </si>
  <si>
    <t xml:space="preserve">DF COMP 23</t>
  </si>
  <si>
    <t xml:space="preserve">OPEX</t>
  </si>
  <si>
    <t xml:space="preserve">Parallel Shift</t>
  </si>
  <si>
    <t xml:space="preserve">Normal</t>
  </si>
  <si>
    <t xml:space="preserve">Forecast</t>
  </si>
  <si>
    <t xml:space="preserve">Mean</t>
  </si>
  <si>
    <t xml:space="preserve">Standard Deviation</t>
  </si>
  <si>
    <t xml:space="preserve">Annual Cost Deviation</t>
  </si>
  <si>
    <t xml:space="preserve">Extreme Value</t>
  </si>
  <si>
    <t xml:space="preserve">Mode</t>
  </si>
  <si>
    <t xml:space="preserve">Scale</t>
  </si>
  <si>
    <t xml:space="preserve">Conversion</t>
  </si>
  <si>
    <t xml:space="preserve">FINANCING</t>
  </si>
  <si>
    <t xml:space="preserve">Interest Rates</t>
  </si>
  <si>
    <t xml:space="preserve">Hermes A</t>
  </si>
  <si>
    <t xml:space="preserve">Hermes B</t>
  </si>
  <si>
    <t xml:space="preserve">KFW</t>
  </si>
  <si>
    <t xml:space="preserve">OPIC</t>
  </si>
  <si>
    <t xml:space="preserve">Triangular</t>
  </si>
  <si>
    <t xml:space="preserve">Most Likely</t>
  </si>
  <si>
    <t xml:space="preserve">Min</t>
  </si>
  <si>
    <t xml:space="preserve">Max</t>
  </si>
  <si>
    <t xml:space="preserve">Guarantee Fee</t>
  </si>
  <si>
    <t xml:space="preserve">LOAN GUARANTEE FEE</t>
  </si>
  <si>
    <t xml:space="preserve">Custom</t>
  </si>
  <si>
    <t xml:space="preserve">#'s</t>
  </si>
  <si>
    <t xml:space="preserve">Probability</t>
  </si>
  <si>
    <t xml:space="preserve">CONSTRUCTION &amp; POWER PLANT PREPARATION</t>
  </si>
  <si>
    <t xml:space="preserve">Cost Overrun ($ ,000)</t>
  </si>
  <si>
    <t xml:space="preserve">Forecast </t>
  </si>
  <si>
    <t xml:space="preserve">Delay - Cuiaba Phase II &amp; III</t>
  </si>
  <si>
    <t xml:space="preserve">N.P. Volumes are below</t>
  </si>
  <si>
    <t xml:space="preserve">#</t>
  </si>
  <si>
    <t xml:space="preserve">Pipeline RFS</t>
  </si>
  <si>
    <t xml:space="preserve">On-Time</t>
  </si>
  <si>
    <t xml:space="preserve">3 Month Delay</t>
  </si>
  <si>
    <t xml:space="preserve">6 Months Delay</t>
  </si>
  <si>
    <t xml:space="preserve">This scenario ignores liquidated damages, which are assumed to be passed on the EPC contractor</t>
  </si>
  <si>
    <t xml:space="preserve">GASBOL RATE RESET</t>
  </si>
  <si>
    <t xml:space="preserve">Post financial close reset</t>
  </si>
  <si>
    <t xml:space="preserve">Lognormal</t>
  </si>
  <si>
    <t xml:space="preserve">EPE HEAT RATE</t>
  </si>
  <si>
    <t xml:space="preserve">EPE-Off-Taker Availability LDs</t>
  </si>
  <si>
    <t xml:space="preserve">Binomial</t>
  </si>
  <si>
    <t xml:space="preserve">Forecast (1=On; 0=Off)</t>
  </si>
  <si>
    <t xml:space="preserve">TARIFF SCHEDULE</t>
  </si>
  <si>
    <t xml:space="preserve">Tariff Table</t>
  </si>
  <si>
    <t xml:space="preserve">Natural Gas Fuel Expense</t>
  </si>
  <si>
    <t xml:space="preserve">Capacity Table</t>
  </si>
  <si>
    <t xml:space="preserve">Electronorte Offtake (Mwh)</t>
  </si>
  <si>
    <t xml:space="preserve">Fixed Revenue (R$/Mw-Mo)</t>
  </si>
  <si>
    <t xml:space="preserve">Variable Revenue (R$/Mwh)</t>
  </si>
  <si>
    <t xml:space="preserve">Commodity Gas</t>
  </si>
  <si>
    <t xml:space="preserve">Transportation</t>
  </si>
  <si>
    <t xml:space="preserve">Date Of</t>
  </si>
  <si>
    <t xml:space="preserve">Plant</t>
  </si>
  <si>
    <t xml:space="preserve">Guaranteed</t>
  </si>
  <si>
    <t xml:space="preserve">Net Capacity</t>
  </si>
  <si>
    <t xml:space="preserve">Per Operating Accord</t>
  </si>
  <si>
    <t xml:space="preserve">Tariff</t>
  </si>
  <si>
    <t xml:space="preserve">Starting</t>
  </si>
  <si>
    <t xml:space="preserve">Transmission</t>
  </si>
  <si>
    <t xml:space="preserve">US Dollar</t>
  </si>
  <si>
    <t xml:space="preserve">Reais</t>
  </si>
  <si>
    <t xml:space="preserve">Transport</t>
  </si>
  <si>
    <t xml:space="preserve">Commodity</t>
  </si>
  <si>
    <t xml:space="preserve">Yabog</t>
  </si>
  <si>
    <t xml:space="preserve">Pre-Phase III</t>
  </si>
  <si>
    <t xml:space="preserve">Post-Phase III</t>
  </si>
  <si>
    <t xml:space="preserve">Change</t>
  </si>
  <si>
    <t xml:space="preserve">Dispatch</t>
  </si>
  <si>
    <t xml:space="preserve">Factor</t>
  </si>
  <si>
    <t xml:space="preserve">Diesel Mwh</t>
  </si>
  <si>
    <t xml:space="preserve">Year</t>
  </si>
  <si>
    <t xml:space="preserve">Period</t>
  </si>
  <si>
    <t xml:space="preserve">&amp; Plant</t>
  </si>
  <si>
    <t xml:space="preserve">Poriton</t>
  </si>
  <si>
    <t xml:space="preserve">Portion</t>
  </si>
  <si>
    <t xml:space="preserve">Gas</t>
  </si>
  <si>
    <t xml:space="preserve">O&amp;M</t>
  </si>
  <si>
    <t xml:space="preserve">$/ MMBTU</t>
  </si>
  <si>
    <t xml:space="preserve">$/ Month</t>
  </si>
  <si>
    <t xml:space="preserve">2(a)</t>
  </si>
  <si>
    <t xml:space="preserve">2(b)</t>
  </si>
  <si>
    <t xml:space="preserve">Average MW Capacity During CC Conversion</t>
  </si>
  <si>
    <t xml:space="preserve">Through</t>
  </si>
  <si>
    <t xml:space="preserve">Total Mwh Produced During CC Conversion</t>
  </si>
  <si>
    <t xml:space="preserve">Total Hours During The CC Conversion</t>
  </si>
  <si>
    <t xml:space="preserve">Average MW Capacity</t>
  </si>
  <si>
    <t xml:space="preserve">Availability Factor</t>
  </si>
  <si>
    <t xml:space="preserve">Dispatch Factor</t>
  </si>
  <si>
    <t xml:space="preserve">Electronorte Phase II Diesel (Mwh)</t>
  </si>
  <si>
    <t xml:space="preserve">During Pipeline Completion</t>
  </si>
  <si>
    <t xml:space="preserve">150MW</t>
  </si>
  <si>
    <t xml:space="preserve">300MW</t>
  </si>
  <si>
    <t xml:space="preserve">Select Tariff Allocation (0=Original, 1=Revised)</t>
  </si>
  <si>
    <t xml:space="preserve">Year 2(b) Average Plant Tariff</t>
  </si>
  <si>
    <t xml:space="preserve">Original Tariff &amp;</t>
  </si>
  <si>
    <t xml:space="preserve">Proposed Tariff &amp;</t>
  </si>
  <si>
    <t xml:space="preserve">Allocations</t>
  </si>
  <si>
    <t xml:space="preserve">First 300MW</t>
  </si>
  <si>
    <t xml:space="preserve">Second 180MW</t>
  </si>
  <si>
    <t xml:space="preserve">Average Plant Tariff</t>
  </si>
  <si>
    <t xml:space="preserve">Mwhs Produced During</t>
  </si>
  <si>
    <t xml:space="preserve">300 MW Jan</t>
  </si>
  <si>
    <t xml:space="preserve">Phase II / III Conversion</t>
  </si>
  <si>
    <t xml:space="preserve">Gas Mwh</t>
  </si>
  <si>
    <t xml:space="preserve">REVENUES / EXPENSES</t>
  </si>
  <si>
    <t xml:space="preserve">Offset For</t>
  </si>
  <si>
    <t xml:space="preserve">Current Year</t>
  </si>
  <si>
    <t xml:space="preserve">"Rev_Exp_Table"</t>
  </si>
  <si>
    <t xml:space="preserve">Calendar Year</t>
  </si>
  <si>
    <t xml:space="preserve">Totals</t>
  </si>
  <si>
    <t xml:space="preserve">Months Of Operation - Phase I</t>
  </si>
  <si>
    <t xml:space="preserve">Months Of Operation - Phase II</t>
  </si>
  <si>
    <t xml:space="preserve">Months Of Operation - Phase III</t>
  </si>
  <si>
    <t xml:space="preserve">Total Number Of Months</t>
  </si>
  <si>
    <t xml:space="preserve">Units Produced (Mwh) Diesel Phase</t>
  </si>
  <si>
    <t xml:space="preserve">Units Produced (Mwh) Natural Gas Phase</t>
  </si>
  <si>
    <t xml:space="preserve">Total Units Produced</t>
  </si>
  <si>
    <t xml:space="preserve">Fuel Consumed (MMBTU's) - Diesel Phase</t>
  </si>
  <si>
    <t xml:space="preserve">Fuel Consumed (MMBTU's) - Natural Gas Phase</t>
  </si>
  <si>
    <t xml:space="preserve">Total MMBTU's Consumed</t>
  </si>
  <si>
    <t xml:space="preserve">MMBTU's Purchased (Min Per Fuel Contract) - Gas Only</t>
  </si>
  <si>
    <t xml:space="preserve">Base Year 1997 Indexes</t>
  </si>
  <si>
    <t xml:space="preserve">Inflation Factor - CPI (Adjusted Monthly From Bid Date)</t>
  </si>
  <si>
    <t xml:space="preserve">Inflation Factor - Brazilian IGP-DI</t>
  </si>
  <si>
    <t xml:space="preserve">Current Exchange Rate (R$ / US$)</t>
  </si>
  <si>
    <t xml:space="preserve">Revenues</t>
  </si>
  <si>
    <t xml:space="preserve">Fixed Payments: (Quoted To EletroNorte - Taxes Included)</t>
  </si>
  <si>
    <t xml:space="preserve">Plant &amp; Transmission</t>
  </si>
  <si>
    <t xml:space="preserve">Transport Gas</t>
  </si>
  <si>
    <t xml:space="preserve">Penalties Due To Unavailability Factor</t>
  </si>
  <si>
    <t xml:space="preserve">     Total Fixed Payments (Including Taxes)</t>
  </si>
  <si>
    <t xml:space="preserve">Energy (Variable) Payments (Based On Units Produced)</t>
  </si>
  <si>
    <t xml:space="preserve">Variable Commodity Gas</t>
  </si>
  <si>
    <t xml:space="preserve">     Total Variable Payments</t>
  </si>
  <si>
    <t xml:space="preserve">Total Revenues Before Backing Out Taxes</t>
  </si>
  <si>
    <t xml:space="preserve">Less: PIS/COFINS</t>
  </si>
  <si>
    <t xml:space="preserve">Total Revenues</t>
  </si>
  <si>
    <t xml:space="preserve">Calculated On Units Delivered (After Line Loss)</t>
  </si>
  <si>
    <t xml:space="preserve">Fixed Capacity Payments</t>
  </si>
  <si>
    <t xml:space="preserve">Variable (Energy Payments)</t>
  </si>
  <si>
    <t xml:space="preserve">     All-In Tariff (¢ / Kwh)</t>
  </si>
  <si>
    <t xml:space="preserve">Operating Expenses</t>
  </si>
  <si>
    <t xml:space="preserve">Commodity Fuel Expense</t>
  </si>
  <si>
    <t xml:space="preserve">Diesel Fuel</t>
  </si>
  <si>
    <t xml:space="preserve">Natual Gas (TBS Payment)</t>
  </si>
  <si>
    <t xml:space="preserve">Total Commodity Fuel Expense Before Taxes &amp; CCC Credit</t>
  </si>
  <si>
    <t xml:space="preserve">ICMS On Fuel </t>
  </si>
  <si>
    <t xml:space="preserve">Total Commodity Fuel Expense Before PIS / COFINS &amp; CCC</t>
  </si>
  <si>
    <t xml:space="preserve">Times: PIS / COFINS On Fuel</t>
  </si>
  <si>
    <t xml:space="preserve">Total Fuel Before CCC Credit</t>
  </si>
  <si>
    <t xml:space="preserve">Minus: CCC Credit</t>
  </si>
  <si>
    <t xml:space="preserve">     Total Fuel Cost</t>
  </si>
  <si>
    <t xml:space="preserve">Fixed Gas Transportation</t>
  </si>
  <si>
    <t xml:space="preserve">Fixed Gas Transportation (TBS Payment)</t>
  </si>
  <si>
    <t xml:space="preserve">Total Fixed Transportation Cost Before Taxes</t>
  </si>
  <si>
    <t xml:space="preserve">ICMS On Fixed Transportation</t>
  </si>
  <si>
    <t xml:space="preserve">Total Fixed Transportation Subject To PIS / COFINS</t>
  </si>
  <si>
    <t xml:space="preserve">PIS / COFINS Applied To Transportation Cost</t>
  </si>
  <si>
    <t xml:space="preserve">Total Fixed Transportation</t>
  </si>
  <si>
    <t xml:space="preserve">Fixed O&amp;M (R$ Based)</t>
  </si>
  <si>
    <t xml:space="preserve">Total R$ Based Fixed O&amp;M</t>
  </si>
  <si>
    <t xml:space="preserve">Fixed O&amp;M (US$ Based)</t>
  </si>
  <si>
    <t xml:space="preserve">Maint Reserve Schedule</t>
  </si>
  <si>
    <t xml:space="preserve">W/H Tax - Offshore Services (2's)</t>
  </si>
  <si>
    <t xml:space="preserve">Total US$ Based Fixed O&amp;M</t>
  </si>
  <si>
    <t xml:space="preserve">Variable O&amp;M:</t>
  </si>
  <si>
    <t xml:space="preserve">Total Variable O&amp;M</t>
  </si>
  <si>
    <t xml:space="preserve">Total Operating Expenses</t>
  </si>
  <si>
    <t xml:space="preserve">CASH FLOW - PROJECT</t>
  </si>
  <si>
    <t xml:space="preserve">"CF_Table"</t>
  </si>
  <si>
    <t xml:space="preserve">Total Fixed Payments: (Quoted To EletroNorte - Taxes Included)</t>
  </si>
  <si>
    <t xml:space="preserve">Total Energy (Variable) Payments</t>
  </si>
  <si>
    <t xml:space="preserve">Based On Units Produced</t>
  </si>
  <si>
    <t xml:space="preserve">     Total Revenues Before Backing Out Taxes</t>
  </si>
  <si>
    <t xml:space="preserve">     Total Revenues</t>
  </si>
  <si>
    <t xml:space="preserve">Total Fuel Cost</t>
  </si>
  <si>
    <t xml:space="preserve">Total Transportation &amp; Take Or Pay Cost</t>
  </si>
  <si>
    <t xml:space="preserve">Total Fixed O&amp;M (R$ Based)</t>
  </si>
  <si>
    <t xml:space="preserve">Total Fixed O&amp;M (US$ Based)</t>
  </si>
  <si>
    <t xml:space="preserve">Grossed Up</t>
  </si>
  <si>
    <t xml:space="preserve">     Total Operating Expenses</t>
  </si>
  <si>
    <t xml:space="preserve">Other Income / (Expenses)</t>
  </si>
  <si>
    <t xml:space="preserve">Plus: Interest Income - Partner Loans</t>
  </si>
  <si>
    <t xml:space="preserve">Less: Annual Property Tax</t>
  </si>
  <si>
    <t xml:space="preserve">Plus: Interest Income WCAP &amp; Maintenance Reserve</t>
  </si>
  <si>
    <t xml:space="preserve">Less: OPIC Agency Fee</t>
  </si>
  <si>
    <t xml:space="preserve">Less: L/C Fee - Debt Reserve</t>
  </si>
  <si>
    <t xml:space="preserve">Less: L/C Fee - Working Capital</t>
  </si>
  <si>
    <r>
      <rPr>
        <sz val="10"/>
        <rFont val="Arial"/>
        <family val="2"/>
      </rPr>
      <t xml:space="preserve">Less: L/C YPF Guarantee </t>
    </r>
    <r>
      <rPr>
        <b val="true"/>
        <sz val="10"/>
        <color rgb="FFFF00FF"/>
        <rFont val="arial"/>
        <family val="2"/>
      </rPr>
      <t xml:space="preserve">+ Loan Guarantee Fee</t>
    </r>
  </si>
  <si>
    <t xml:space="preserve">Less: Performance Bond</t>
  </si>
  <si>
    <t xml:space="preserve">     Total Other Income / (Expenses)</t>
  </si>
  <si>
    <t xml:space="preserve">Earnings Before Depr, Int &amp; Taxes (EBDIT)</t>
  </si>
  <si>
    <t xml:space="preserve">Less: Book Depreciation Expense</t>
  </si>
  <si>
    <t xml:space="preserve">Earnings Before Int &amp; Taxes (EBIT)</t>
  </si>
  <si>
    <t xml:space="preserve">Less: Interest Expense - Senior Debt</t>
  </si>
  <si>
    <t xml:space="preserve">Less: Interest Expense - Subordinated Debt</t>
  </si>
  <si>
    <t xml:space="preserve">Less: IDC To Be Expensed</t>
  </si>
  <si>
    <t xml:space="preserve">Earnings Before INE Expense &amp; Taxes</t>
  </si>
  <si>
    <t xml:space="preserve">Less: INE Interest Expense</t>
  </si>
  <si>
    <t xml:space="preserve">Earnings Before Taxes (EBT)</t>
  </si>
  <si>
    <t xml:space="preserve">Less:Book Provision For Income Taxes</t>
  </si>
  <si>
    <t xml:space="preserve">Earnings Before Sudam Credits</t>
  </si>
  <si>
    <t xml:space="preserve">Add: Sudam Credits Applied Against Losses</t>
  </si>
  <si>
    <t xml:space="preserve">Project Book Income</t>
  </si>
  <si>
    <t xml:space="preserve">Plus: Book Depreciation</t>
  </si>
  <si>
    <t xml:space="preserve">Plus: IDC To Be Expensed</t>
  </si>
  <si>
    <t xml:space="preserve">Plus: Liquidation Proceeds - Land</t>
  </si>
  <si>
    <t xml:space="preserve">Plus: Liquidation Proceeds - Working Capital</t>
  </si>
  <si>
    <t xml:space="preserve">Plus: Liquidation Proceeds - Spare Parts</t>
  </si>
  <si>
    <t xml:space="preserve">Plus: Book Provision For Income Taxes</t>
  </si>
  <si>
    <t xml:space="preserve">Less: Sudam Credits Applied Against Losses</t>
  </si>
  <si>
    <t xml:space="preserve">Less: Cash Taxes</t>
  </si>
  <si>
    <t xml:space="preserve">Less: Principal Payments - Senior Debt</t>
  </si>
  <si>
    <t xml:space="preserve">Net A-T Cashflow Before Subdebt Principal Repayment</t>
  </si>
  <si>
    <t xml:space="preserve">Less: Principal Payments - Subordinated Debt</t>
  </si>
  <si>
    <t xml:space="preserve">Net A-T Cashflow Before Trapped Cash</t>
  </si>
  <si>
    <t xml:space="preserve">Trapped Cash Loaned To Partners</t>
  </si>
  <si>
    <t xml:space="preserve">Repayment Of Prior Year Trapped Cash Loans</t>
  </si>
  <si>
    <t xml:space="preserve">Net A-T Cashflow Distributed</t>
  </si>
  <si>
    <t xml:space="preserve">Value From 1997 Or 1998 ===&gt;</t>
  </si>
  <si>
    <t xml:space="preserve">PROJECT / ENRON / NEW INVESTOR RETURNS</t>
  </si>
  <si>
    <t xml:space="preserve">Current Year </t>
  </si>
  <si>
    <t xml:space="preserve">Recon</t>
  </si>
  <si>
    <t xml:space="preserve">Project Returns</t>
  </si>
  <si>
    <t xml:space="preserve">Allocation Of Cashflows </t>
  </si>
  <si>
    <t xml:space="preserve">Original Quotas</t>
  </si>
  <si>
    <t xml:space="preserve">Net A-T Cash Flow Distributed</t>
  </si>
  <si>
    <t xml:space="preserve">Plus: Trapped Cash</t>
  </si>
  <si>
    <t xml:space="preserve">Plus: Interest On Net Equity (INE)</t>
  </si>
  <si>
    <t xml:space="preserve">Total Cash Flow - Original Quotas</t>
  </si>
  <si>
    <t xml:space="preserve">20 Year Running NPV  - Original Quotas</t>
  </si>
  <si>
    <t xml:space="preserve">20 Year Running IRR - Original Quotas</t>
  </si>
  <si>
    <t xml:space="preserve">Project IRR w/o TC</t>
  </si>
  <si>
    <t xml:space="preserve">Discounted Payback Year</t>
  </si>
  <si>
    <t xml:space="preserve">Equity % - Original Quotas</t>
  </si>
  <si>
    <t xml:space="preserve">Cashflow % - Original Quotas</t>
  </si>
  <si>
    <t xml:space="preserve">Purchase Of Enron Selldown (Original Quotas)</t>
  </si>
  <si>
    <t xml:space="preserve">Plus: Trapped Cash Loaned To Partners</t>
  </si>
  <si>
    <t xml:space="preserve">Less: Interest Expense - Partner Loans</t>
  </si>
  <si>
    <t xml:space="preserve">Less: W/H Tax - INE</t>
  </si>
  <si>
    <t xml:space="preserve">Less: Tax (Exp) / Benefit On (1)'s Above</t>
  </si>
  <si>
    <t xml:space="preserve">Total Cash Flow</t>
  </si>
  <si>
    <t xml:space="preserve">20 Year Running NPV</t>
  </si>
  <si>
    <t xml:space="preserve">20 Year Running IRR</t>
  </si>
  <si>
    <t xml:space="preserve">Cashflow Before Subordinated Debt</t>
  </si>
  <si>
    <t xml:space="preserve">Purchase Of Subordinated Debt (New Investor)</t>
  </si>
  <si>
    <t xml:space="preserve">Subordinated Debt Repayment</t>
  </si>
  <si>
    <t xml:space="preserve">Plus: Interest Income - Subordinated Debt</t>
  </si>
  <si>
    <t xml:space="preserve">Purchase Preferred Shares (Sudam Financing)</t>
  </si>
  <si>
    <t xml:space="preserve">US Tax (Exp) / Benefit (3)'s Above</t>
  </si>
  <si>
    <t xml:space="preserve">Total Cash Flow - w/ Subordinated Debt</t>
  </si>
  <si>
    <t xml:space="preserve">Cumlulative</t>
  </si>
  <si>
    <t xml:space="preserve">Individual</t>
  </si>
  <si>
    <t xml:space="preserve">PROJECT / ENRON / CIG RETURNS</t>
  </si>
  <si>
    <t xml:space="preserve">Enron Returns</t>
  </si>
  <si>
    <t xml:space="preserve">Cashflow % </t>
  </si>
  <si>
    <t xml:space="preserve">Equity </t>
  </si>
  <si>
    <t xml:space="preserve">Selldown Of Equity</t>
  </si>
  <si>
    <t xml:space="preserve">Temporary Selldown Cost</t>
  </si>
  <si>
    <t xml:space="preserve">Enron IRR</t>
  </si>
  <si>
    <t xml:space="preserve">Cashflow Before Other Fees</t>
  </si>
  <si>
    <t xml:space="preserve">Less: Political Risk Insurance</t>
  </si>
  <si>
    <t xml:space="preserve">Plus: Indemnity Fee</t>
  </si>
  <si>
    <t xml:space="preserve">Less: W/H Tax - Indemnity Fee</t>
  </si>
  <si>
    <t xml:space="preserve">Plus: JVM Management Fee</t>
  </si>
  <si>
    <t xml:space="preserve">Cashflow Before Bridge Loan</t>
  </si>
  <si>
    <t xml:space="preserve">Bridge Loan Amount</t>
  </si>
  <si>
    <t xml:space="preserve">Bridge Loan Repayment</t>
  </si>
  <si>
    <t xml:space="preserve">Less: W/H Tax - Bridge Loans</t>
  </si>
  <si>
    <t xml:space="preserve">US Tax (Exp) / Benefit (2)'s Above</t>
  </si>
  <si>
    <t xml:space="preserve">Total Cash Flow - w/ Bridge Loan</t>
  </si>
  <si>
    <t xml:space="preserve">Enron IRR (w/ Bridge Loan)</t>
  </si>
  <si>
    <t xml:space="preserve">Subordinated Debt Amount</t>
  </si>
  <si>
    <t xml:space="preserve">Selldown Of Subordinated Debt (New Investor)</t>
  </si>
  <si>
    <t xml:space="preserve">Less: W/H Tax - SubordinatDebt</t>
  </si>
  <si>
    <t xml:space="preserve">Less: Political Risk Insurance - Sudam Financing</t>
  </si>
  <si>
    <t xml:space="preserve">US Tax (Exp) / Benefit (4) Above</t>
  </si>
  <si>
    <t xml:space="preserve">Enron IRR (w/ Subdebt)</t>
  </si>
  <si>
    <t xml:space="preserve">SHELL / TRANSREDES RETURNS</t>
  </si>
  <si>
    <t xml:space="preserve">Less: W/H On Bridge Loan Interest</t>
  </si>
  <si>
    <t xml:space="preserve">Shell IRR (w/ Bridge Loan)</t>
  </si>
  <si>
    <t xml:space="preserve">Plus: WH Tax - Subordinated Debt</t>
  </si>
  <si>
    <t xml:space="preserve">Shell IRR (w/ Subdebt)</t>
  </si>
  <si>
    <t xml:space="preserve">Equity - Original Quotas</t>
  </si>
  <si>
    <t xml:space="preserve">Transredes IRR (w/ Bridge Loan)</t>
  </si>
  <si>
    <t xml:space="preserve">Transredes IRR (w/ Subdebt)</t>
  </si>
  <si>
    <t xml:space="preserve">100% Partner Cash Flow - Pre Tax</t>
  </si>
  <si>
    <t xml:space="preserve">Partner Returns</t>
  </si>
  <si>
    <t xml:space="preserve">NPV (w/ Subdebt)</t>
  </si>
  <si>
    <t xml:space="preserve"> IRR (w/ Subdebt)</t>
  </si>
  <si>
    <t xml:space="preserve">Discount</t>
  </si>
  <si>
    <t xml:space="preserve">New Investor Proceeds:</t>
  </si>
  <si>
    <t xml:space="preserve">Subordinated Debt</t>
  </si>
  <si>
    <t xml:space="preserve">Total New Investor Investment (pre-tax)</t>
  </si>
  <si>
    <t xml:space="preserve">ENRON BOOK INCOME</t>
  </si>
  <si>
    <t xml:space="preserve">Units Produced (Mwhs)</t>
  </si>
  <si>
    <t xml:space="preserve">Enron Earnings From Project Income</t>
  </si>
  <si>
    <t xml:space="preserve">Project Earnings Before Depr., Int. &amp;Taxes</t>
  </si>
  <si>
    <t xml:space="preserve">Less: US GAAP Depreciation</t>
  </si>
  <si>
    <t xml:space="preserve">Less: Fixed Capacity Revenues</t>
  </si>
  <si>
    <t xml:space="preserve">Plus: EITF91-6 Levelization Of Earnings</t>
  </si>
  <si>
    <t xml:space="preserve">Project Book Income Restated To US GAAP</t>
  </si>
  <si>
    <t xml:space="preserve">(A)</t>
  </si>
  <si>
    <t xml:space="preserve">Times: In-Country Effective Tax Rate</t>
  </si>
  <si>
    <t xml:space="preserve">Tax Applied To Book Income</t>
  </si>
  <si>
    <t xml:space="preserve">(B)</t>
  </si>
  <si>
    <t xml:space="preserve">Project Book Income Restated To US GAAP After Tax</t>
  </si>
  <si>
    <t xml:space="preserve">(A-B)</t>
  </si>
  <si>
    <t xml:space="preserve">Times: Enron's Ownership Percentage</t>
  </si>
  <si>
    <t xml:space="preserve">Subtotal - Enron Earnings From Project Income</t>
  </si>
  <si>
    <t xml:space="preserve">Enron Earnings From Other Income / (Expenses)</t>
  </si>
  <si>
    <t xml:space="preserve">Plus: INE Dividend Income</t>
  </si>
  <si>
    <t xml:space="preserve">Less: W/H Tax - INE Dividend Income</t>
  </si>
  <si>
    <t xml:space="preserve">Less: Political Risk Insurance - Expensed Currently</t>
  </si>
  <si>
    <t xml:space="preserve">Less: Political Risk Insurance - Capitalized &amp; Amortized</t>
  </si>
  <si>
    <t xml:space="preserve">Plus: Indemnity Fee - Recognized Currently</t>
  </si>
  <si>
    <t xml:space="preserve">Plus: Indemnity Fee - Capitalized and Amortized</t>
  </si>
  <si>
    <t xml:space="preserve">Subtotal - Enron Earnings From Other Income / (Expenses)</t>
  </si>
  <si>
    <t xml:space="preserve">Enron Earnings From Bridge Loans</t>
  </si>
  <si>
    <t xml:space="preserve">Less: Tax (Exp) / Benefit On (2)'s Above</t>
  </si>
  <si>
    <t xml:space="preserve">Subtotal - Enron Earnings From Bridge Loans</t>
  </si>
  <si>
    <t xml:space="preserve">Enron Combined Book Income</t>
  </si>
  <si>
    <t xml:space="preserve">Enron Book Income Prior To Cost Of Funds Charge</t>
  </si>
  <si>
    <t xml:space="preserve">Less: ENE Cost Of Funds Charge - Expensed Currently</t>
  </si>
  <si>
    <t xml:space="preserve">Less: ENE Cost Of Funds Charge - Capitalized &amp; Amortized</t>
  </si>
  <si>
    <t xml:space="preserve">Less: Tax (Exp) / Benefit On (3)'s Above</t>
  </si>
  <si>
    <t xml:space="preserve">Enron Book Income Including Cost Of Funds Charge</t>
  </si>
  <si>
    <t xml:space="preserve">Memo: Cumulative Book Income (Prior To Cost Of Funds Charge)</t>
  </si>
  <si>
    <t xml:space="preserve">Memo: Cumulative Book Income (Including Cost Of Funds Charge)</t>
  </si>
  <si>
    <t xml:space="preserve">w/o COF</t>
  </si>
  <si>
    <t xml:space="preserve">w/ COF</t>
  </si>
  <si>
    <r>
      <rPr>
        <b val="true"/>
        <sz val="10"/>
        <rFont val="Arial"/>
        <family val="2"/>
      </rPr>
      <t xml:space="preserve">Enron Avg Book Income (Years 1-5) </t>
    </r>
    <r>
      <rPr>
        <b val="true"/>
        <i val="true"/>
        <sz val="9"/>
        <rFont val="Arial"/>
        <family val="2"/>
      </rPr>
      <t xml:space="preserve">- Comm Ops</t>
    </r>
  </si>
  <si>
    <r>
      <rPr>
        <b val="true"/>
        <sz val="10"/>
        <rFont val="Arial"/>
        <family val="2"/>
      </rPr>
      <t xml:space="preserve">Enron Avg Book Income (Project Life) </t>
    </r>
    <r>
      <rPr>
        <b val="true"/>
        <i val="true"/>
        <sz val="9"/>
        <rFont val="Arial"/>
        <family val="2"/>
      </rPr>
      <t xml:space="preserve">- Comm Ops</t>
    </r>
  </si>
  <si>
    <t xml:space="preserve">Enron Equity Payback Year On Book Income</t>
  </si>
  <si>
    <t xml:space="preserve">ENE Cost Of Funds Charge Calculation (COF)</t>
  </si>
  <si>
    <t xml:space="preserve">Cumulative Equity Used (Common &amp; Preferred)</t>
  </si>
  <si>
    <t xml:space="preserve">Less: Cumulative A-T Cashflow Distributed (Common &amp; Preferred)</t>
  </si>
  <si>
    <t xml:space="preserve">Plus: Cumulative Bridge Loan Outstanding</t>
  </si>
  <si>
    <t xml:space="preserve">Less: Cumulative Interest Income / Fees From Bridge Loan</t>
  </si>
  <si>
    <t xml:space="preserve">Plus: Cumulative Subordinated Debt Outstanding</t>
  </si>
  <si>
    <t xml:space="preserve">Less: Cumulative Interest Income / Fees From Subordinated Debt</t>
  </si>
  <si>
    <t xml:space="preserve">Outstanding Amounts Subject To Cost Of Funds Charge</t>
  </si>
  <si>
    <t xml:space="preserve">Times: Enron Cost Of Funds Rate</t>
  </si>
  <si>
    <t xml:space="preserve">ENE Cost Of Funds Charge / (Benefit)</t>
  </si>
  <si>
    <t xml:space="preserve">Memo: Cumulative ENE Cost Of Funds Charge / (Benefit)</t>
  </si>
  <si>
    <t xml:space="preserve">Levelization Of Earnings</t>
  </si>
  <si>
    <t xml:space="preserve">Gross Fixed Capacity Revenue Received (Including Pis/Cofins)</t>
  </si>
  <si>
    <t xml:space="preserve">Net Fixed Capacity Revenue Received</t>
  </si>
  <si>
    <t xml:space="preserve">Levelized Tariff Per MWh (From Full Comm Ops)</t>
  </si>
  <si>
    <t xml:space="preserve">Times: Mwhs</t>
  </si>
  <si>
    <t xml:space="preserve">Levelized Revenue</t>
  </si>
  <si>
    <t xml:space="preserve">Beginning Deferred Revenue</t>
  </si>
  <si>
    <t xml:space="preserve">Plus: Current Year Deferred Revenue</t>
  </si>
  <si>
    <t xml:space="preserve">Less: Deferral Recognized</t>
  </si>
  <si>
    <t xml:space="preserve">Ending Deferred Revenue</t>
  </si>
  <si>
    <t xml:space="preserve">POLITICAL RISK CALCULATION / DEBT SERVICE COVERAGE RATIOS</t>
  </si>
  <si>
    <t xml:space="preserve">Political Risk Calculation - Common Equity @ Risk</t>
  </si>
  <si>
    <t xml:space="preserve">Beginning Balance - Common Equity</t>
  </si>
  <si>
    <t xml:space="preserve">Current Year Common Equity Issued</t>
  </si>
  <si>
    <t xml:space="preserve">Current Year Earnings</t>
  </si>
  <si>
    <t xml:space="preserve">Current Year Dividends</t>
  </si>
  <si>
    <t xml:space="preserve">Ending Balance - Common Equity</t>
  </si>
  <si>
    <t xml:space="preserve">Total Common Equity Balance (BOY)</t>
  </si>
  <si>
    <t xml:space="preserve">Times: Enron's Ownership %</t>
  </si>
  <si>
    <t xml:space="preserve">Enron's Common Equity Balance (BOY)</t>
  </si>
  <si>
    <t xml:space="preserve">a</t>
  </si>
  <si>
    <t xml:space="preserve">Total Common Equity Balance (EOY)</t>
  </si>
  <si>
    <t xml:space="preserve">Enron's Common Equity Balance (EOY)</t>
  </si>
  <si>
    <t xml:space="preserve">b</t>
  </si>
  <si>
    <t xml:space="preserve">Max Of (a &amp; b) &gt; 0</t>
  </si>
  <si>
    <t xml:space="preserve">c</t>
  </si>
  <si>
    <t xml:space="preserve">Min Of (a &amp; b) &gt; 0</t>
  </si>
  <si>
    <t xml:space="preserve">d</t>
  </si>
  <si>
    <t xml:space="preserve">Enron Common Equity @ Risk [ (c x 2) + d ] / 3</t>
  </si>
  <si>
    <t xml:space="preserve">Political Risk Rate</t>
  </si>
  <si>
    <t xml:space="preserve">Political Risk Insurance - Enron's Common Equity</t>
  </si>
  <si>
    <t xml:space="preserve">Political Risk Calculation - Preferred Equity @ Risk</t>
  </si>
  <si>
    <t xml:space="preserve">Beginning Balance - Preferred Equity</t>
  </si>
  <si>
    <t xml:space="preserve">Current Year Preferred Equity Issued</t>
  </si>
  <si>
    <t xml:space="preserve">Ending Balance - Preferred Equity</t>
  </si>
  <si>
    <t xml:space="preserve">Total Preferred Equity Balance (BOY)</t>
  </si>
  <si>
    <t xml:space="preserve">Enron's Preferred Equity Balance (BOY)</t>
  </si>
  <si>
    <t xml:space="preserve">Total Preferred Equity Balance (EOY)</t>
  </si>
  <si>
    <t xml:space="preserve">Enron's Preferred Equity Balance (EOY)</t>
  </si>
  <si>
    <t xml:space="preserve">Enron Preferred Equity @ Risk [ (c x 2) + d ] / 3</t>
  </si>
  <si>
    <t xml:space="preserve">Political Risk Insurance - Enron's Preferred Equity</t>
  </si>
  <si>
    <t xml:space="preserve">Political Risk Calculation - Bridge Loan</t>
  </si>
  <si>
    <t xml:space="preserve">Enron Bridge Loan Balance (BOY)</t>
  </si>
  <si>
    <t xml:space="preserve">Enron Bridge Loan Balance (EOY)</t>
  </si>
  <si>
    <t xml:space="preserve">Enron @ Risk Equity [ (c x 2) + d ] / 3</t>
  </si>
  <si>
    <r>
      <rPr>
        <sz val="10"/>
        <rFont val="Arial"/>
        <family val="2"/>
      </rPr>
      <t xml:space="preserve">Political Risk Insurance - Enron Bridge Loan </t>
    </r>
    <r>
      <rPr>
        <i val="true"/>
        <sz val="9"/>
        <rFont val="Arial"/>
        <family val="2"/>
      </rPr>
      <t xml:space="preserve">(Cash Payment)</t>
    </r>
  </si>
  <si>
    <t xml:space="preserve">Political Risk Calculation - Subordinated Debt</t>
  </si>
  <si>
    <t xml:space="preserve">Enron Subordinated Debt Balance (BOY)</t>
  </si>
  <si>
    <t xml:space="preserve">Enron Subordinated Debt Balance (EOY)</t>
  </si>
  <si>
    <r>
      <rPr>
        <sz val="10"/>
        <rFont val="Arial"/>
        <family val="2"/>
      </rPr>
      <t xml:space="preserve">Political Risk Insurance - Enron Subordinated Debt </t>
    </r>
    <r>
      <rPr>
        <i val="true"/>
        <sz val="9"/>
        <rFont val="Arial"/>
        <family val="2"/>
      </rPr>
      <t xml:space="preserve">(Cash Payment)</t>
    </r>
  </si>
  <si>
    <t xml:space="preserve">Debt Service Coverage Ratios</t>
  </si>
  <si>
    <t xml:space="preserve">Current Year Debt Service</t>
  </si>
  <si>
    <t xml:space="preserve">Pre-Tax Debt Coverage Ratio</t>
  </si>
  <si>
    <t xml:space="preserve">(EBDIT / Current Year Debt Service)</t>
  </si>
  <si>
    <t xml:space="preserve">Earnings Before Depr, Int &amp; Taxes (EBDIT) - Less Cash Taxes</t>
  </si>
  <si>
    <t xml:space="preserve">After-Tax Debt Coverage Ratio</t>
  </si>
  <si>
    <t xml:space="preserve">(EBDIT-AT / Current Year Debt Service)</t>
  </si>
  <si>
    <t xml:space="preserve">TRAPPED CASH, PARTNER LOANS, RESERVES</t>
  </si>
  <si>
    <t xml:space="preserve">"Trapped_Table"</t>
  </si>
  <si>
    <t xml:space="preserve">Months Of Operation</t>
  </si>
  <si>
    <t xml:space="preserve">Retained Earnings</t>
  </si>
  <si>
    <t xml:space="preserve">Beginning Balance</t>
  </si>
  <si>
    <t xml:space="preserve">Plus: Current Year Earnings</t>
  </si>
  <si>
    <t xml:space="preserve">Subtotal Available For Dividends</t>
  </si>
  <si>
    <t xml:space="preserve">Less: Current Year Dividends</t>
  </si>
  <si>
    <t xml:space="preserve">Ending Balance</t>
  </si>
  <si>
    <t xml:space="preserve">Cash (Excluding Working Capital)</t>
  </si>
  <si>
    <t xml:space="preserve">Plus: Prior Year Partner Loans Repayment</t>
  </si>
  <si>
    <t xml:space="preserve">Plus: Current Year Cashflow</t>
  </si>
  <si>
    <t xml:space="preserve">Subtotal Cashflow Available For Distribution</t>
  </si>
  <si>
    <t xml:space="preserve">Less: Current Year Capital Reductions</t>
  </si>
  <si>
    <t xml:space="preserve">Less: Current Year Partner Loans</t>
  </si>
  <si>
    <t xml:space="preserve">Beginning Trapped Cash</t>
  </si>
  <si>
    <t xml:space="preserve">Current Year Trapped Cash</t>
  </si>
  <si>
    <t xml:space="preserve">Relief Of Prior Years Trapped Cash</t>
  </si>
  <si>
    <t xml:space="preserve">Ending Trapped Cash</t>
  </si>
  <si>
    <t xml:space="preserve">PARTNER LOANS</t>
  </si>
  <si>
    <t xml:space="preserve">Plus: Prior Year Trapped Cash</t>
  </si>
  <si>
    <t xml:space="preserve">Less: Loan Repayment</t>
  </si>
  <si>
    <t xml:space="preserve">Interest Income - Project Company</t>
  </si>
  <si>
    <t xml:space="preserve">Interest Expense - Partners</t>
  </si>
  <si>
    <t xml:space="preserve">SUDAM TAX CREDIT RESERVE</t>
  </si>
  <si>
    <t xml:space="preserve">Beginning Reserve Balance</t>
  </si>
  <si>
    <t xml:space="preserve">Plus: Current Year Sudam Credits</t>
  </si>
  <si>
    <t xml:space="preserve">Less: Distribution Of Reserve (See Below)</t>
  </si>
  <si>
    <t xml:space="preserve">Ending Reserve Balance</t>
  </si>
  <si>
    <t xml:space="preserve">Current Year Earnings Before Sudam Credit</t>
  </si>
  <si>
    <t xml:space="preserve">Cumulative Earnings Before Sudam Credit</t>
  </si>
  <si>
    <t xml:space="preserve">Cumulative Sudam Credits Available</t>
  </si>
  <si>
    <t xml:space="preserve">Sudam Credits Distributed</t>
  </si>
  <si>
    <t xml:space="preserve">MAINTENANCE RESERVE</t>
  </si>
  <si>
    <t xml:space="preserve">Base Year For Escalation</t>
  </si>
  <si>
    <t xml:space="preserve">Unescalated Maintenance Expense</t>
  </si>
  <si>
    <t xml:space="preserve">Savings Factor</t>
  </si>
  <si>
    <t xml:space="preserve">R$ Percentage</t>
  </si>
  <si>
    <t xml:space="preserve">R$ Portion (In US$)</t>
  </si>
  <si>
    <t xml:space="preserve">US$ Portion</t>
  </si>
  <si>
    <t xml:space="preserve">Times: Inflation Factor (CPI-May)</t>
  </si>
  <si>
    <t xml:space="preserve">Escalated Maintenance Expense (Before Duties)</t>
  </si>
  <si>
    <t xml:space="preserve">Customs &amp; Duties Tax</t>
  </si>
  <si>
    <t xml:space="preserve">Escalated Maintenance Expense (After Duties)</t>
  </si>
  <si>
    <t xml:space="preserve">Maintenance Reserve Accrual</t>
  </si>
  <si>
    <t xml:space="preserve">Maintenance Accrual To Cash Adjustment</t>
  </si>
  <si>
    <t xml:space="preserve">Maintenance Reserve Account (US$ Portion)</t>
  </si>
  <si>
    <t xml:space="preserve">  Beginning Balance</t>
  </si>
  <si>
    <t xml:space="preserve">  Plus: Maintenance Reserve Accrual</t>
  </si>
  <si>
    <t xml:space="preserve">  Less: Maintenance Reserve Expense</t>
  </si>
  <si>
    <t xml:space="preserve">  Ending Balance</t>
  </si>
  <si>
    <t xml:space="preserve">Convert @ Bid Date Exchange</t>
  </si>
  <si>
    <t xml:space="preserve">Times: Inflation Factor (IGP)</t>
  </si>
  <si>
    <t xml:space="preserve">Escalated Maintenance Expense (R$)</t>
  </si>
  <si>
    <t xml:space="preserve">Current Exchange Rate</t>
  </si>
  <si>
    <t xml:space="preserve">Escalated Maintenance Expense (US$)</t>
  </si>
  <si>
    <t xml:space="preserve">Maintenance Reserve Account (R$ Portion)</t>
  </si>
  <si>
    <t xml:space="preserve">Interest Income On Maintenance Reserve &amp; WCAP</t>
  </si>
  <si>
    <t xml:space="preserve">Average Annual Maintenance Reserve Balance</t>
  </si>
  <si>
    <t xml:space="preserve">WCAP Balance</t>
  </si>
  <si>
    <t xml:space="preserve">Interest Expense On MR &amp; WCAP</t>
  </si>
  <si>
    <t xml:space="preserve">TURNKEY COMPONENTS &amp; CONSTRUCTION TAX ESTIMATES</t>
  </si>
  <si>
    <t xml:space="preserve">TURNKEY COMPONENTS</t>
  </si>
  <si>
    <t xml:space="preserve">EPC w/</t>
  </si>
  <si>
    <r>
      <rPr>
        <b val="true"/>
        <sz val="10"/>
        <rFont val="Arial"/>
        <family val="2"/>
      </rPr>
      <t xml:space="preserve">Approved Change Orders </t>
    </r>
    <r>
      <rPr>
        <sz val="10"/>
        <rFont val="Arial"/>
        <family val="2"/>
      </rPr>
      <t xml:space="preserve">(01/28/2000 Monthly Progress Report)</t>
    </r>
  </si>
  <si>
    <t xml:space="preserve">Equipment Detail</t>
  </si>
  <si>
    <t xml:space="preserve">Old Tax</t>
  </si>
  <si>
    <t xml:space="preserve">Lump Sum Power Plant</t>
  </si>
  <si>
    <t xml:space="preserve">PCO-003 Fuel System Low Flash Consultant</t>
  </si>
  <si>
    <t xml:space="preserve">     Subtotal - Power Plant Turnkey</t>
  </si>
  <si>
    <t xml:space="preserve">PCO-004 Step-Up Transformer Design Changes</t>
  </si>
  <si>
    <t xml:space="preserve">PCO-005 Effluent Discharge Line</t>
  </si>
  <si>
    <t xml:space="preserve">C.O. #1 - Late Payment Interest Expense</t>
  </si>
  <si>
    <t xml:space="preserve">PCO-009 Separate Site Access For Operations</t>
  </si>
  <si>
    <t xml:space="preserve">C.O. #2 - IPP Substation</t>
  </si>
  <si>
    <t xml:space="preserve">PCO-012 Cascading Blowdown</t>
  </si>
  <si>
    <t xml:space="preserve">C.O. #3 - Late Payment Interest Expense</t>
  </si>
  <si>
    <t xml:space="preserve">PCO-016 Water Treatment Chemicals &amp; Safety Equipment</t>
  </si>
  <si>
    <t xml:space="preserve">C.O. #4 - Warehouse Crane</t>
  </si>
  <si>
    <t xml:space="preserve">PCO-023 Credit To EPE For 8 Water Reducing Stations</t>
  </si>
  <si>
    <t xml:space="preserve">C.O. #5 - Water Treatment Plant</t>
  </si>
  <si>
    <t xml:space="preserve">PCO-025 Operating Accords - Engineering Support</t>
  </si>
  <si>
    <t xml:space="preserve">C.O. #6 - Evaporative Cooler Decarbonization</t>
  </si>
  <si>
    <t xml:space="preserve">PCO-026 Salvage Association Costs Trhough August 1999</t>
  </si>
  <si>
    <t xml:space="preserve">C.O. #7 - Relocation Of Fuel Oil Tanks</t>
  </si>
  <si>
    <t xml:space="preserve">PCO-029 Power Supply For River Water Intake</t>
  </si>
  <si>
    <t xml:space="preserve">C.O. #8 - Fuel Oil Metering Upgrade</t>
  </si>
  <si>
    <t xml:space="preserve">PCO-030 Water Treatment Intake, Pipeline And Treatment Plant</t>
  </si>
  <si>
    <t xml:space="preserve">C.O. #9 - Weather Station</t>
  </si>
  <si>
    <t xml:space="preserve">PCO-031 WTP-SCC Project Mgmt./Geotech. Investigation</t>
  </si>
  <si>
    <t xml:space="preserve">     Subtotal - Approved Change Orders</t>
  </si>
  <si>
    <t xml:space="preserve">PCO-033 C/T Return Lube Oil Pump Contro Logic</t>
  </si>
  <si>
    <t xml:space="preserve">PCO-034 Pressure Switch For Lube Oil Pump Control Logic</t>
  </si>
  <si>
    <t xml:space="preserve">Water Wells</t>
  </si>
  <si>
    <t xml:space="preserve">PCO-035 Additional Equip. For Coxipo Phase III Substation Bay</t>
  </si>
  <si>
    <t xml:space="preserve">Hydrology (Geosolo)</t>
  </si>
  <si>
    <t xml:space="preserve">PCO-036 Implementation Of Motor Hour-Meters Within The Teleperm</t>
  </si>
  <si>
    <t xml:space="preserve">Access Roads &amp; Laydown</t>
  </si>
  <si>
    <t xml:space="preserve">PCO-038 SCC Extended Overheads For 7/15/99 PPL RFS</t>
  </si>
  <si>
    <t xml:space="preserve">Transmission &amp; Distribution</t>
  </si>
  <si>
    <t xml:space="preserve">PCO-041 Supply &amp; Installation Of 3rd Grit Chamber For Water Intake</t>
  </si>
  <si>
    <t xml:space="preserve">     Subtotal - Offsites &amp; Interconnects</t>
  </si>
  <si>
    <t xml:space="preserve">PCO-050 Redesign Of Effluent Lagoons by ETEP</t>
  </si>
  <si>
    <t xml:space="preserve">PCO-052 Additional Road Design</t>
  </si>
  <si>
    <t xml:space="preserve">Pre-NTP Engineering</t>
  </si>
  <si>
    <t xml:space="preserve">PCO-064 Installation Of Additional HICOM Card</t>
  </si>
  <si>
    <t xml:space="preserve">Project Management</t>
  </si>
  <si>
    <t xml:space="preserve">     Total Approved Change Orders</t>
  </si>
  <si>
    <t xml:space="preserve">Construction Management</t>
  </si>
  <si>
    <t xml:space="preserve">Warranty Management</t>
  </si>
  <si>
    <r>
      <rPr>
        <b val="true"/>
        <sz val="10"/>
        <rFont val="Arial"/>
        <family val="2"/>
      </rPr>
      <t xml:space="preserve">Pending/Forecasted Change Orders </t>
    </r>
    <r>
      <rPr>
        <sz val="10"/>
        <rFont val="Arial"/>
        <family val="2"/>
      </rPr>
      <t xml:space="preserve">(01/28/2000 Monthly Progress Report)</t>
    </r>
  </si>
  <si>
    <t xml:space="preserve">Indemnity Fee Wrap</t>
  </si>
  <si>
    <t xml:space="preserve">     Subtotal - EE&amp;CC Costs</t>
  </si>
  <si>
    <t xml:space="preserve">Other Pending Change Orders</t>
  </si>
  <si>
    <t xml:space="preserve">Proposed Settlement - Effluent System</t>
  </si>
  <si>
    <r>
      <rPr>
        <sz val="10"/>
        <rFont val="Arial"/>
        <family val="2"/>
      </rPr>
      <t xml:space="preserve">Taxes &amp; Duties </t>
    </r>
    <r>
      <rPr>
        <i val="true"/>
        <sz val="9"/>
        <rFont val="Arial"/>
        <family val="2"/>
      </rPr>
      <t xml:space="preserve">(Not To Exceed Amount)</t>
    </r>
  </si>
  <si>
    <t xml:space="preserve">Forcasted Change Orders</t>
  </si>
  <si>
    <t xml:space="preserve">     Subtotal - Taxes &amp; Duties</t>
  </si>
  <si>
    <t xml:space="preserve">Total Turnkey Amount (Excluding Escalation On Brazilian Sourced)</t>
  </si>
  <si>
    <t xml:space="preserve">Adjustment For Turnkey Taxes (Based On Exemptions)</t>
  </si>
  <si>
    <t xml:space="preserve">Revised</t>
  </si>
  <si>
    <t xml:space="preserve">Original</t>
  </si>
  <si>
    <t xml:space="preserve">Gross</t>
  </si>
  <si>
    <t xml:space="preserve">Revised Tax Estimate</t>
  </si>
  <si>
    <t xml:space="preserve">Taxes</t>
  </si>
  <si>
    <t xml:space="preserve">Savings</t>
  </si>
  <si>
    <t xml:space="preserve">%</t>
  </si>
  <si>
    <t xml:space="preserve">II - Import Tax</t>
  </si>
  <si>
    <t xml:space="preserve">0=Filed For Reimbursment, 1=Non Exempt </t>
  </si>
  <si>
    <t xml:space="preserve">IPI - Federal Excise Tax</t>
  </si>
  <si>
    <t xml:space="preserve">0=Change In Law, 1=Non Exempt </t>
  </si>
  <si>
    <t xml:space="preserve">AFRMM</t>
  </si>
  <si>
    <t xml:space="preserve">0=Exempt, 1=Non Exempt </t>
  </si>
  <si>
    <t xml:space="preserve">ICMS - Merchandise</t>
  </si>
  <si>
    <t xml:space="preserve">ISS</t>
  </si>
  <si>
    <t xml:space="preserve">Witholding On Services</t>
  </si>
  <si>
    <t xml:space="preserve">Pis / Cofins</t>
  </si>
  <si>
    <t xml:space="preserve">Banking Charges</t>
  </si>
  <si>
    <t xml:space="preserve">Contingency Allowance</t>
  </si>
  <si>
    <t xml:space="preserve">0=On, 1=Off </t>
  </si>
  <si>
    <t xml:space="preserve">     Subtotal - Revised Taxes &amp; Duties</t>
  </si>
  <si>
    <t xml:space="preserve">(C)</t>
  </si>
  <si>
    <t xml:space="preserve">(D)</t>
  </si>
  <si>
    <t xml:space="preserve">(E)</t>
  </si>
  <si>
    <t xml:space="preserve">(F)</t>
  </si>
  <si>
    <t xml:space="preserve">(G)</t>
  </si>
  <si>
    <t xml:space="preserve">(H)</t>
  </si>
  <si>
    <t xml:space="preserve">(I)</t>
  </si>
  <si>
    <t xml:space="preserve">(J)</t>
  </si>
  <si>
    <t xml:space="preserve">(K)</t>
  </si>
  <si>
    <t xml:space="preserve">(L)</t>
  </si>
  <si>
    <t xml:space="preserve">(M)</t>
  </si>
  <si>
    <t xml:space="preserve">(N)</t>
  </si>
  <si>
    <t xml:space="preserve">II</t>
  </si>
  <si>
    <t xml:space="preserve">IPI</t>
  </si>
  <si>
    <t xml:space="preserve">=(D)+(E)+(F)</t>
  </si>
  <si>
    <t xml:space="preserve">ICMS</t>
  </si>
  <si>
    <t xml:space="preserve">W/H</t>
  </si>
  <si>
    <t xml:space="preserve">=(G)+(H)+(I)</t>
  </si>
  <si>
    <t xml:space="preserve">Pis/Cofins</t>
  </si>
  <si>
    <t xml:space="preserve">Bank Chg</t>
  </si>
  <si>
    <t xml:space="preserve">(E)ngineer</t>
  </si>
  <si>
    <t xml:space="preserve">CIF w/o E</t>
  </si>
  <si>
    <t xml:space="preserve">(F)reight</t>
  </si>
  <si>
    <t xml:space="preserve">CIF w/o E,F</t>
  </si>
  <si>
    <t xml:space="preserve">on (A)</t>
  </si>
  <si>
    <t xml:space="preserve">=(A)+(C)</t>
  </si>
  <si>
    <t xml:space="preserve">on (D)</t>
  </si>
  <si>
    <t xml:space="preserve">on (B)</t>
  </si>
  <si>
    <t xml:space="preserve">+(E)ng+(F)rt</t>
  </si>
  <si>
    <t xml:space="preserve">on (G)</t>
  </si>
  <si>
    <t xml:space="preserve">on (E)ng</t>
  </si>
  <si>
    <t xml:space="preserve">+(J) Less (E)</t>
  </si>
  <si>
    <t xml:space="preserve">on (K)</t>
  </si>
  <si>
    <t xml:space="preserve">+(J)+(L)</t>
  </si>
  <si>
    <t xml:space="preserve">on Debits</t>
  </si>
  <si>
    <t xml:space="preserve">Local Hardware</t>
  </si>
  <si>
    <t xml:space="preserve">Local Civil Hardware</t>
  </si>
  <si>
    <t xml:space="preserve">Local Software</t>
  </si>
  <si>
    <t xml:space="preserve">Total Onshore</t>
  </si>
  <si>
    <t xml:space="preserve">Cables</t>
  </si>
  <si>
    <t xml:space="preserve">Civil</t>
  </si>
  <si>
    <t xml:space="preserve">Condenser</t>
  </si>
  <si>
    <t xml:space="preserve">Cooling Tower</t>
  </si>
  <si>
    <t xml:space="preserve">CTG</t>
  </si>
  <si>
    <t xml:space="preserve">Fuel Supply</t>
  </si>
  <si>
    <t xml:space="preserve">HRSG</t>
  </si>
  <si>
    <t xml:space="preserve">I&amp;C</t>
  </si>
  <si>
    <t xml:space="preserve">Pipes</t>
  </si>
  <si>
    <t xml:space="preserve">Pumps</t>
  </si>
  <si>
    <t xml:space="preserve">STG</t>
  </si>
  <si>
    <t xml:space="preserve">Tanks</t>
  </si>
  <si>
    <t xml:space="preserve">Vessels</t>
  </si>
  <si>
    <t xml:space="preserve">Water Treatment</t>
  </si>
  <si>
    <t xml:space="preserve">Total Offshore</t>
  </si>
  <si>
    <t xml:space="preserve">Total Onshore &amp; Offshore</t>
  </si>
  <si>
    <t xml:space="preserve">Turnkey Original</t>
  </si>
  <si>
    <t xml:space="preserve">Price</t>
  </si>
  <si>
    <t xml:space="preserve">Sourcing %</t>
  </si>
  <si>
    <t xml:space="preserve">Allocation</t>
  </si>
  <si>
    <t xml:space="preserve">Tax %</t>
  </si>
  <si>
    <t xml:space="preserve">Tax Amounts</t>
  </si>
  <si>
    <t xml:space="preserve">Construction Tax Estimate</t>
  </si>
  <si>
    <t xml:space="preserve">Foreign</t>
  </si>
  <si>
    <t xml:space="preserve">Local</t>
  </si>
  <si>
    <t xml:space="preserve">Contingency</t>
  </si>
  <si>
    <t xml:space="preserve">Combustion Turbine Generator</t>
  </si>
  <si>
    <t xml:space="preserve">Steam Turbine Generator</t>
  </si>
  <si>
    <t xml:space="preserve">Heat Recovery Steam Generator</t>
  </si>
  <si>
    <t xml:space="preserve">Tanks - Shop Fabricated (SC)</t>
  </si>
  <si>
    <t xml:space="preserve">Emergency Generator</t>
  </si>
  <si>
    <t xml:space="preserve">Compressed Air Equipment</t>
  </si>
  <si>
    <t xml:space="preserve">Steam Condenser</t>
  </si>
  <si>
    <t xml:space="preserve">Pumps - Boiler Feed</t>
  </si>
  <si>
    <t xml:space="preserve">Pumps - Condensate</t>
  </si>
  <si>
    <t xml:space="preserve">Pumps - Circulating Water</t>
  </si>
  <si>
    <t xml:space="preserve">Pumps - Miscellaneous (SC)</t>
  </si>
  <si>
    <t xml:space="preserve">Filters</t>
  </si>
  <si>
    <t xml:space="preserve">Auxiliary Cranes &amp; Hoists</t>
  </si>
  <si>
    <t xml:space="preserve">Pipe- Local</t>
  </si>
  <si>
    <t xml:space="preserve">Pipe-Inported</t>
  </si>
  <si>
    <t xml:space="preserve">Valves - Local</t>
  </si>
  <si>
    <t xml:space="preserve">Valves - Imported</t>
  </si>
  <si>
    <t xml:space="preserve">Demineralization Equipment</t>
  </si>
  <si>
    <t xml:space="preserve">Chemical Water Treatment</t>
  </si>
  <si>
    <t xml:space="preserve">Dosing and Sampling</t>
  </si>
  <si>
    <t xml:space="preserve">Transformers - GSU</t>
  </si>
  <si>
    <t xml:space="preserve">Batteries &amp; Battery Charger</t>
  </si>
  <si>
    <t xml:space="preserve">Switchgear &amp; Bus Duct</t>
  </si>
  <si>
    <t xml:space="preserve">Electrical Equipment -Local</t>
  </si>
  <si>
    <t xml:space="preserve">Electrical Equipment -Imported</t>
  </si>
  <si>
    <t xml:space="preserve">I&amp;C Equipment</t>
  </si>
  <si>
    <t xml:space="preserve">Civil Work</t>
  </si>
  <si>
    <t xml:space="preserve">Construction Commisioning</t>
  </si>
  <si>
    <t xml:space="preserve">Total Direct Costs</t>
  </si>
  <si>
    <t xml:space="preserve">DRAWDOWN SCHEDULE</t>
  </si>
  <si>
    <t xml:space="preserve">Current Month</t>
  </si>
  <si>
    <t xml:space="preserve">Calendar Month</t>
  </si>
  <si>
    <t xml:space="preserve">   Total Drawdown (w/o IDC &amp; Commit)</t>
  </si>
  <si>
    <t xml:space="preserve">"Draw_Table"</t>
  </si>
  <si>
    <t xml:space="preserve">Turnkey Drawdown Schedule</t>
  </si>
  <si>
    <t xml:space="preserve">Historic Drawdown - For Comparison Only</t>
  </si>
  <si>
    <t xml:space="preserve">Monthly Drawdown Amount</t>
  </si>
  <si>
    <t xml:space="preserve">Cumulative Drawdown Amount</t>
  </si>
  <si>
    <t xml:space="preserve">Monthly Drawdown %</t>
  </si>
  <si>
    <t xml:space="preserve">Cumulative Drawdown %</t>
  </si>
  <si>
    <t xml:space="preserve">AMOUNTS IN US$</t>
  </si>
  <si>
    <t xml:space="preserve">Actuals</t>
  </si>
  <si>
    <t xml:space="preserve">INFORMATION PROVIDED BY ASSET MANAGEMENT</t>
  </si>
  <si>
    <t xml:space="preserve">Funding</t>
  </si>
  <si>
    <t xml:space="preserve">Equity Funding</t>
  </si>
  <si>
    <t xml:space="preserve">Construction Loans</t>
  </si>
  <si>
    <t xml:space="preserve">Interest Income (Cash In Bank)</t>
  </si>
  <si>
    <t xml:space="preserve">OPIC </t>
  </si>
  <si>
    <t xml:space="preserve">Energy Revenue</t>
  </si>
  <si>
    <t xml:space="preserve">Total Funding</t>
  </si>
  <si>
    <t xml:space="preserve">Disbursments</t>
  </si>
  <si>
    <t xml:space="preserve">Siemens Onshore Payments</t>
  </si>
  <si>
    <t xml:space="preserve">Siemens Offshore Payments</t>
  </si>
  <si>
    <t xml:space="preserve">Superior Offshore Payments</t>
  </si>
  <si>
    <t xml:space="preserve">Water Plant</t>
  </si>
  <si>
    <t xml:space="preserve">Offshore Legal</t>
  </si>
  <si>
    <t xml:space="preserve">Imports Purchase</t>
  </si>
  <si>
    <t xml:space="preserve">Insurance</t>
  </si>
  <si>
    <t xml:space="preserve">Onshore EPCB Payments</t>
  </si>
  <si>
    <t xml:space="preserve">Land &amp; Right Of Way</t>
  </si>
  <si>
    <t xml:space="preserve">Service Contractors</t>
  </si>
  <si>
    <t xml:space="preserve">Mobilization - Plant</t>
  </si>
  <si>
    <t xml:space="preserve">Owner's Engineer (Parsons)</t>
  </si>
  <si>
    <t xml:space="preserve">Other (includes development and mobilization)</t>
  </si>
  <si>
    <t xml:space="preserve">Total Disbursments</t>
  </si>
  <si>
    <t xml:space="preserve">INTEREST DURING CONSTRUCTION / COMMITMENT FEE</t>
  </si>
  <si>
    <t xml:space="preserve">"IDC_Table"</t>
  </si>
  <si>
    <t xml:space="preserve">(w/o IDC, W/H, Commit)</t>
  </si>
  <si>
    <t xml:space="preserve">Project Cost</t>
  </si>
  <si>
    <t xml:space="preserve">Shareholder Constr Loan Rate</t>
  </si>
  <si>
    <t xml:space="preserve">Senior Debt Rate</t>
  </si>
  <si>
    <t xml:space="preserve">Subordinated Debt Rate</t>
  </si>
  <si>
    <t xml:space="preserve">Construction Balance</t>
  </si>
  <si>
    <t xml:space="preserve">Beginning Construction Balance</t>
  </si>
  <si>
    <t xml:space="preserve">Construction Drawdown</t>
  </si>
  <si>
    <t xml:space="preserve">W/H Tax - Interest</t>
  </si>
  <si>
    <t xml:space="preserve">Ending Construction Balance</t>
  </si>
  <si>
    <t xml:space="preserve">  Cumulative % Complete (Excl IDC &amp; Prepayment)</t>
  </si>
  <si>
    <t xml:space="preserve">  All-In Cumulative % Complete (Excl Prepayment)</t>
  </si>
  <si>
    <t xml:space="preserve">Shareholder Construction Loan</t>
  </si>
  <si>
    <t xml:space="preserve">Shareholder Loan Repayment</t>
  </si>
  <si>
    <t xml:space="preserve">Senior Debt Proceeds</t>
  </si>
  <si>
    <t xml:space="preserve">Subordinated Debt Proceeds</t>
  </si>
  <si>
    <t xml:space="preserve">IDC - Shareholder Constr Loan</t>
  </si>
  <si>
    <t xml:space="preserve">IDC - Senior Debt</t>
  </si>
  <si>
    <t xml:space="preserve">IDC - Subordinated Debt</t>
  </si>
  <si>
    <t xml:space="preserve">Total IDC</t>
  </si>
  <si>
    <t xml:space="preserve">IDC - Cumulative</t>
  </si>
  <si>
    <t xml:space="preserve">W/H Tax - Shareholder Constr Loan</t>
  </si>
  <si>
    <t xml:space="preserve">W/H Tax - Subordinated Debt</t>
  </si>
  <si>
    <t xml:space="preserve">W/H Tax - Cumulative</t>
  </si>
  <si>
    <t xml:space="preserve">Monthly IDC To Be Expensed</t>
  </si>
  <si>
    <t xml:space="preserve">Cumulative IDC To Be Expensed</t>
  </si>
  <si>
    <t xml:space="preserve">Preferred Equity Balance (Sudam)</t>
  </si>
  <si>
    <t xml:space="preserve">Preferred Equity (Sudam) Proceeds</t>
  </si>
  <si>
    <r>
      <rPr>
        <sz val="10"/>
        <rFont val="Arial"/>
        <family val="2"/>
      </rPr>
      <t xml:space="preserve">Equity Ratio </t>
    </r>
    <r>
      <rPr>
        <i val="true"/>
        <sz val="7"/>
        <rFont val="Arial"/>
        <family val="2"/>
      </rPr>
      <t xml:space="preserve">(Integrated Project)</t>
    </r>
  </si>
  <si>
    <t xml:space="preserve">Common Equity Balance</t>
  </si>
  <si>
    <t xml:space="preserve">Actual Equity Contribution</t>
  </si>
  <si>
    <t xml:space="preserve">Cumulative Equity Contribution</t>
  </si>
  <si>
    <t xml:space="preserve">Total Interest During Construction</t>
  </si>
  <si>
    <t xml:space="preserve">Total W/H Tax - IDC</t>
  </si>
  <si>
    <t xml:space="preserve">Cumulative S/H Constr Loan (w/o Interest &amp; W/H)</t>
  </si>
  <si>
    <t xml:space="preserve">Cumulative S/H Constr Loan Interest</t>
  </si>
  <si>
    <t xml:space="preserve">Cumulative S/H Constr Loan W/H Tax</t>
  </si>
  <si>
    <t xml:space="preserve">Total Cumulative S/H Constr Loan</t>
  </si>
  <si>
    <t xml:space="preserve">Debt Balance</t>
  </si>
  <si>
    <t xml:space="preserve">Beginning Debt Committed</t>
  </si>
  <si>
    <t xml:space="preserve">Loopfactor</t>
  </si>
  <si>
    <t xml:space="preserve">Plus: Debt Committed</t>
  </si>
  <si>
    <t xml:space="preserve">Less: Amounts Debt Funds Drawn</t>
  </si>
  <si>
    <t xml:space="preserve">Ending Debt Committed</t>
  </si>
  <si>
    <t xml:space="preserve">Cummulative Commitment Fee</t>
  </si>
  <si>
    <t xml:space="preserve">Total Commitment Fee</t>
  </si>
  <si>
    <t xml:space="preserve">FINANCING AMORTIZATION</t>
  </si>
  <si>
    <t xml:space="preserve">"Fin_Sum_Table"</t>
  </si>
  <si>
    <t xml:space="preserve">Totals  </t>
  </si>
  <si>
    <t xml:space="preserve">   Interest</t>
  </si>
  <si>
    <t xml:space="preserve">   Principal</t>
  </si>
  <si>
    <t xml:space="preserve">         Total Senior Debt</t>
  </si>
  <si>
    <t xml:space="preserve">         Total Subordinated Debt</t>
  </si>
  <si>
    <t xml:space="preserve">Fee for Lender's Put Option</t>
  </si>
  <si>
    <t xml:space="preserve">Principal</t>
  </si>
  <si>
    <t xml:space="preserve">Repayment</t>
  </si>
  <si>
    <t xml:space="preserve">Term (Years)</t>
  </si>
  <si>
    <t xml:space="preserve"># Of Payments</t>
  </si>
  <si>
    <t xml:space="preserve">OPIC Custom Amortization</t>
  </si>
  <si>
    <t xml:space="preserve">Subdebt Custom Amortization</t>
  </si>
  <si>
    <t xml:space="preserve">Grace Period:</t>
  </si>
  <si>
    <t xml:space="preserve">Custom Amortization</t>
  </si>
  <si>
    <t xml:space="preserve">KFW A/B</t>
  </si>
  <si>
    <t xml:space="preserve">Straight Ln</t>
  </si>
  <si>
    <t xml:space="preserve">Cash Avail</t>
  </si>
  <si>
    <t xml:space="preserve">ENRON </t>
  </si>
  <si>
    <t xml:space="preserve">Tranche 1</t>
  </si>
  <si>
    <t xml:space="preserve">Amort</t>
  </si>
  <si>
    <t xml:space="preserve">Tranche 2</t>
  </si>
  <si>
    <t xml:space="preserve">Tranche 3</t>
  </si>
  <si>
    <t xml:space="preserve">Tranche 4</t>
  </si>
  <si>
    <t xml:space="preserve">Tranche 5</t>
  </si>
  <si>
    <t xml:space="preserve">Tranche 6</t>
  </si>
  <si>
    <t xml:space="preserve">Before Sub</t>
  </si>
  <si>
    <t xml:space="preserve">Begin Bal</t>
  </si>
  <si>
    <t xml:space="preserve">End Bal</t>
  </si>
  <si>
    <t xml:space="preserve">GUARANTEE FEE</t>
  </si>
  <si>
    <t xml:space="preserve">Percent</t>
  </si>
  <si>
    <t xml:space="preserve">Difference</t>
  </si>
  <si>
    <t xml:space="preserve">Subdebt Loopfactor</t>
  </si>
  <si>
    <t xml:space="preserve">SUDAM TAX CREDITS / INE</t>
  </si>
  <si>
    <t xml:space="preserve">Operating Income</t>
  </si>
  <si>
    <t xml:space="preserve">Operating Expenses (Fuel, Transportation, O&amp;M)</t>
  </si>
  <si>
    <t xml:space="preserve">Maintenance Accrual To Cash Adjustment (US$ Based)</t>
  </si>
  <si>
    <t xml:space="preserve">Maintenance Accrual To Cash Adjustment (R$ Based)</t>
  </si>
  <si>
    <t xml:space="preserve">Annual Property Tax</t>
  </si>
  <si>
    <t xml:space="preserve">Book Depreciation</t>
  </si>
  <si>
    <t xml:space="preserve">Net Operating Income</t>
  </si>
  <si>
    <t xml:space="preserve">Financial Income</t>
  </si>
  <si>
    <t xml:space="preserve">Interest Income - Partner Loans</t>
  </si>
  <si>
    <t xml:space="preserve">Interest Income WCAP &amp; Maintenance Reserve</t>
  </si>
  <si>
    <t xml:space="preserve">L/C Fee On Debt Reserve (Following Year)</t>
  </si>
  <si>
    <t xml:space="preserve">L/C Fee On Working Capital</t>
  </si>
  <si>
    <t xml:space="preserve">L/C YPF Guarantee</t>
  </si>
  <si>
    <t xml:space="preserve">Net Financial Income</t>
  </si>
  <si>
    <t xml:space="preserve">Pre-Tax Book Income</t>
  </si>
  <si>
    <t xml:space="preserve">Less: Financial Income In Excess Of Financial Losses</t>
  </si>
  <si>
    <t xml:space="preserve">Exploitation Profits</t>
  </si>
  <si>
    <t xml:space="preserve">Exploitation Profits Subject To Sudam (&gt;0)</t>
  </si>
  <si>
    <t xml:space="preserve">Times: Corporate Income Tax</t>
  </si>
  <si>
    <t xml:space="preserve">Total Corporate Income Tax Payable</t>
  </si>
  <si>
    <t xml:space="preserve">Less: Amount Not Subject To Add'l Tax</t>
  </si>
  <si>
    <t xml:space="preserve">Income Subject To Additional Tax</t>
  </si>
  <si>
    <t xml:space="preserve">Times: Additional Income Tax</t>
  </si>
  <si>
    <t xml:space="preserve">Total Additional Income Tax</t>
  </si>
  <si>
    <t xml:space="preserve">Income Taxes Subject To Sudam Credit</t>
  </si>
  <si>
    <t xml:space="preserve">Sudam Credit %</t>
  </si>
  <si>
    <t xml:space="preserve">Sudam Tax Credit Taken *</t>
  </si>
  <si>
    <t xml:space="preserve">* Sudam Tax Credit Taken Applied To A Reserve Account (See Trapped Cash Sheet)</t>
  </si>
  <si>
    <t xml:space="preserve">INE CALCULATION</t>
  </si>
  <si>
    <t xml:space="preserve">Total Equity</t>
  </si>
  <si>
    <t xml:space="preserve">Times: Maximum % Allowable</t>
  </si>
  <si>
    <t xml:space="preserve">Maximum INE Allowable</t>
  </si>
  <si>
    <t xml:space="preserve">(a)</t>
  </si>
  <si>
    <t xml:space="preserve">Current Year Earnings (EBT)</t>
  </si>
  <si>
    <t xml:space="preserve">Times: Current Year Limitation For INE</t>
  </si>
  <si>
    <t xml:space="preserve">Current Year EBT Limitation</t>
  </si>
  <si>
    <t xml:space="preserve">(b)</t>
  </si>
  <si>
    <t xml:space="preserve">INE Payable To Shareholders</t>
  </si>
  <si>
    <t xml:space="preserve">Min Of a &amp; b (Not&lt;0)</t>
  </si>
  <si>
    <t xml:space="preserve">CASH / BOOK TAXES</t>
  </si>
  <si>
    <t xml:space="preserve">CASH TAXES</t>
  </si>
  <si>
    <t xml:space="preserve">Taxable Income Calculation (Excluding Sudam)</t>
  </si>
  <si>
    <t xml:space="preserve">Earnings Before Depr, Int, &amp; Taxes</t>
  </si>
  <si>
    <t xml:space="preserve">Plus: Maintenance Accrual To Cash Adjustment (US$ Based)</t>
  </si>
  <si>
    <t xml:space="preserve">Plus: Maintenance Accrual To Cash Adjustment (R$ Based)</t>
  </si>
  <si>
    <t xml:space="preserve">Less: Tax Depreciation</t>
  </si>
  <si>
    <t xml:space="preserve">Taxable Income Before NOL Carryforward</t>
  </si>
  <si>
    <t xml:space="preserve">NOL Used In Current Year</t>
  </si>
  <si>
    <t xml:space="preserve">See Below</t>
  </si>
  <si>
    <t xml:space="preserve">Net Income Subject To Income Taxes (w/o Sudam)</t>
  </si>
  <si>
    <t xml:space="preserve">Net Operating Loss Calculation (Cash Taxes)</t>
  </si>
  <si>
    <t xml:space="preserve">Beginning NOL Balance</t>
  </si>
  <si>
    <t xml:space="preserve">Prior Year's NOL</t>
  </si>
  <si>
    <t xml:space="preserve">Ending NOL Balance</t>
  </si>
  <si>
    <t xml:space="preserve">Net Income Subject To Income Tax (w/o Sudam)</t>
  </si>
  <si>
    <t xml:space="preserve">Subtotal Corporate Income Tax &amp; Additional Income Tax</t>
  </si>
  <si>
    <r>
      <rPr>
        <sz val="10"/>
        <rFont val="Arial"/>
        <family val="2"/>
      </rPr>
      <t xml:space="preserve">Sudam Credit Used </t>
    </r>
    <r>
      <rPr>
        <sz val="9"/>
        <rFont val="Arial"/>
        <family val="2"/>
      </rPr>
      <t xml:space="preserve">(See Sudam Tax Credit Calculation)</t>
    </r>
  </si>
  <si>
    <t xml:space="preserve">Net Corporate Tax &amp; Additional Tax Payable</t>
  </si>
  <si>
    <t xml:space="preserve">Social Contribution Tax (Not Available For Sudam)</t>
  </si>
  <si>
    <t xml:space="preserve">Times: Social Contribution Tax Rate</t>
  </si>
  <si>
    <t xml:space="preserve">Total Social Contribution Tax </t>
  </si>
  <si>
    <t xml:space="preserve">Total Cash Taxes (Excluding Sudam Credit)</t>
  </si>
  <si>
    <t xml:space="preserve">Tax Savings Under Sudam (Applied To Reserve)</t>
  </si>
  <si>
    <t xml:space="preserve">Total Cash Taxes</t>
  </si>
  <si>
    <t xml:space="preserve">BOOK TAXES</t>
  </si>
  <si>
    <t xml:space="preserve">Earnings Before Taxes</t>
  </si>
  <si>
    <t xml:space="preserve">Net Income Subject To Income Taxes</t>
  </si>
  <si>
    <t xml:space="preserve">Net Operating Loss Calculation (Book Taxes)</t>
  </si>
  <si>
    <t xml:space="preserve">Book Provision For Income Tax</t>
  </si>
  <si>
    <t xml:space="preserve">Deferred Tax Asset/Liability Calculation</t>
  </si>
  <si>
    <t xml:space="preserve">Beginning Deferred Tax Asset / (Liability)</t>
  </si>
  <si>
    <t xml:space="preserve">Plus: Current Year Cash Taxes (Excluding Sudam Benefits)</t>
  </si>
  <si>
    <t xml:space="preserve">Less: Current Year Book Taxes</t>
  </si>
  <si>
    <t xml:space="preserve">Ending Deferred Tax Asset / (Liability)</t>
  </si>
  <si>
    <t xml:space="preserve">DEPRECIATION CALCULATION</t>
  </si>
  <si>
    <t xml:space="preserve">Months of Operation - Phase I</t>
  </si>
  <si>
    <t xml:space="preserve">Months of Operation - Phase II</t>
  </si>
  <si>
    <t xml:space="preserve">Months of Operation - Phase III</t>
  </si>
  <si>
    <t xml:space="preserve">Total Months Of Operation</t>
  </si>
  <si>
    <t xml:space="preserve">TAX</t>
  </si>
  <si>
    <t xml:space="preserve">Total Project Cost</t>
  </si>
  <si>
    <t xml:space="preserve">Less:  IDC To Be Expensed</t>
  </si>
  <si>
    <t xml:space="preserve">Less:  Land</t>
  </si>
  <si>
    <t xml:space="preserve">Less:  Working Capital</t>
  </si>
  <si>
    <t xml:space="preserve">Less:  Spare Parts</t>
  </si>
  <si>
    <t xml:space="preserve">Total Depreciable Basis</t>
  </si>
  <si>
    <t xml:space="preserve">Tax Depreciation:</t>
  </si>
  <si>
    <t xml:space="preserve">Depr</t>
  </si>
  <si>
    <t xml:space="preserve">Current Tax Depreciation:</t>
  </si>
  <si>
    <t xml:space="preserve">Life</t>
  </si>
  <si>
    <t xml:space="preserve">Basis</t>
  </si>
  <si>
    <t xml:space="preserve">Asset 1 - Phase I</t>
  </si>
  <si>
    <t xml:space="preserve">Asset 2 - Phase II</t>
  </si>
  <si>
    <t xml:space="preserve">Asset 3 - Phase III</t>
  </si>
  <si>
    <t xml:space="preserve">Total Current Tax Depreciation</t>
  </si>
  <si>
    <t xml:space="preserve">Accumulated Tax Depreciation</t>
  </si>
  <si>
    <t xml:space="preserve">Beginning Tax Basis</t>
  </si>
  <si>
    <t xml:space="preserve">Plus:  New Additions</t>
  </si>
  <si>
    <t xml:space="preserve">Less: Current Depreciation</t>
  </si>
  <si>
    <t xml:space="preserve">Ending Tax Basis</t>
  </si>
  <si>
    <t xml:space="preserve">Book Depreciation:</t>
  </si>
  <si>
    <t xml:space="preserve">Current Book Depreciation:</t>
  </si>
  <si>
    <t xml:space="preserve">Total Current Book Depreciation</t>
  </si>
  <si>
    <t xml:space="preserve">Accumulated Book Depreciation</t>
  </si>
  <si>
    <t xml:space="preserve">Beginning Book Basis</t>
  </si>
  <si>
    <t xml:space="preserve">Ending Book Basis</t>
  </si>
  <si>
    <t xml:space="preserve">US GAAP Depreciation:</t>
  </si>
  <si>
    <t xml:space="preserve">Current GAAP Depreciation:</t>
  </si>
  <si>
    <t xml:space="preserve">Beginning GAAP Basis</t>
  </si>
  <si>
    <t xml:space="preserve">Ending GAAP Basis</t>
  </si>
  <si>
    <t xml:space="preserve">COMMON SIZED FINANCIALS</t>
  </si>
  <si>
    <t xml:space="preserve">EMPRESA PRODUTORA DE ENERGIA - EPE</t>
  </si>
  <si>
    <t xml:space="preserve">Opening</t>
  </si>
  <si>
    <t xml:space="preserve">"BS_Table"</t>
  </si>
  <si>
    <t xml:space="preserve">BALANCE SHEET</t>
  </si>
  <si>
    <t xml:space="preserve">Balance</t>
  </si>
  <si>
    <t xml:space="preserve">Assets</t>
  </si>
  <si>
    <t xml:space="preserve">Cash &amp; Cash Equivalents</t>
  </si>
  <si>
    <t xml:space="preserve">Inventory - Spares</t>
  </si>
  <si>
    <t xml:space="preserve">N/R - Shareholder Loans</t>
  </si>
  <si>
    <t xml:space="preserve">Property, Plant &amp; Equipment</t>
  </si>
  <si>
    <t xml:space="preserve">Cost (Less Sale Of VAT)</t>
  </si>
  <si>
    <t xml:space="preserve">Accumulated Depreciation</t>
  </si>
  <si>
    <t xml:space="preserve">Property, Plant &amp; Equipment (Net)</t>
  </si>
  <si>
    <t xml:space="preserve">Land</t>
  </si>
  <si>
    <t xml:space="preserve">Deferred Tax Asset</t>
  </si>
  <si>
    <t xml:space="preserve">Total Assets</t>
  </si>
  <si>
    <t xml:space="preserve">Liabilities</t>
  </si>
  <si>
    <t xml:space="preserve">Deferred Tax Liability</t>
  </si>
  <si>
    <t xml:space="preserve">Bridge Loan</t>
  </si>
  <si>
    <t xml:space="preserve">Total Liabilities</t>
  </si>
  <si>
    <t xml:space="preserve">Stockholders' Equity</t>
  </si>
  <si>
    <t xml:space="preserve">Capital Stock (Common &amp; Preferred)</t>
  </si>
  <si>
    <t xml:space="preserve">Sudam Tax Credit Reserve</t>
  </si>
  <si>
    <t xml:space="preserve">Net Income</t>
  </si>
  <si>
    <t xml:space="preserve">Cashflow Distributed</t>
  </si>
  <si>
    <t xml:space="preserve">Total Stockholders' Equity</t>
  </si>
  <si>
    <t xml:space="preserve">Total Liabilities &amp; Stockholders' Equity</t>
  </si>
  <si>
    <t xml:space="preserve">INCOME STATEMENT</t>
  </si>
  <si>
    <t xml:space="preserve">Gross Revenue</t>
  </si>
  <si>
    <t xml:space="preserve">Less: PIS / COFINS</t>
  </si>
  <si>
    <t xml:space="preserve">Net Revenues</t>
  </si>
  <si>
    <t xml:space="preserve">Transportation &amp; Take Or Pay</t>
  </si>
  <si>
    <t xml:space="preserve">Operations &amp; Maintenance</t>
  </si>
  <si>
    <t xml:space="preserve">Interest Expense - Senior Debt</t>
  </si>
  <si>
    <t xml:space="preserve">Interest Expense - Subordinated Debt</t>
  </si>
  <si>
    <t xml:space="preserve">IDC To Be Expensed</t>
  </si>
  <si>
    <t xml:space="preserve">Total Depreciation &amp; Interest</t>
  </si>
  <si>
    <t xml:space="preserve">Income Before Income Taxes</t>
  </si>
  <si>
    <t xml:space="preserve">Provision For Income Taxes (Income &amp; Surtax)</t>
  </si>
  <si>
    <t xml:space="preserve">RATIO ANALYSIS</t>
  </si>
  <si>
    <t xml:space="preserve">Avg</t>
  </si>
  <si>
    <t xml:space="preserve">Return on Invested Capital</t>
  </si>
  <si>
    <t xml:space="preserve">ROA</t>
  </si>
  <si>
    <t xml:space="preserve">ROE</t>
  </si>
  <si>
    <t xml:space="preserve">Profitability</t>
  </si>
  <si>
    <t xml:space="preserve">Operating Profit Margin</t>
  </si>
  <si>
    <t xml:space="preserve">Net Profit Margin</t>
  </si>
  <si>
    <t xml:space="preserve">Operating CF to Income</t>
  </si>
  <si>
    <t xml:space="preserve">Asset Utilization</t>
  </si>
  <si>
    <t xml:space="preserve">Asset Turnover</t>
  </si>
  <si>
    <t xml:space="preserve">Cash Turnover</t>
  </si>
  <si>
    <t xml:space="preserve">n/m</t>
  </si>
  <si>
    <t xml:space="preserve">Net Fixed Asset Turnover</t>
  </si>
  <si>
    <t xml:space="preserve">Liquidity</t>
  </si>
  <si>
    <t xml:space="preserve">Current Ratio</t>
  </si>
  <si>
    <t xml:space="preserve">Quick Ratio</t>
  </si>
  <si>
    <t xml:space="preserve">Interest Coverage (EBIT/Interest)</t>
  </si>
  <si>
    <t xml:space="preserve">Debt Service Coverage (EBITDA/Debt Service)</t>
  </si>
  <si>
    <t xml:space="preserve">n/a</t>
  </si>
  <si>
    <t xml:space="preserve">.</t>
  </si>
  <si>
    <t xml:space="preserve">FINANCIAL STATEMENTS</t>
  </si>
  <si>
    <t xml:space="preserve">Balance Check</t>
  </si>
  <si>
    <t xml:space="preserve">STATEMENT OF CASH FLOWS</t>
  </si>
  <si>
    <t xml:space="preserve">Cash Flows From Operating Activities</t>
  </si>
  <si>
    <t xml:space="preserve">Gross Receipts</t>
  </si>
  <si>
    <t xml:space="preserve">Cash Paid To Suppliers &amp; Employees</t>
  </si>
  <si>
    <t xml:space="preserve">Interest Income - WCAP &amp; MR</t>
  </si>
  <si>
    <t xml:space="preserve">Cash Income Taxes</t>
  </si>
  <si>
    <t xml:space="preserve">Net Cash Provided By Operating Activities</t>
  </si>
  <si>
    <t xml:space="preserve">Cash Flows From Financing Activities</t>
  </si>
  <si>
    <t xml:space="preserve">Capital Contributions (Common &amp; Preferred)</t>
  </si>
  <si>
    <t xml:space="preserve">Bridge Loan - Proceeds</t>
  </si>
  <si>
    <t xml:space="preserve">Bridge Loan - Repayment</t>
  </si>
  <si>
    <t xml:space="preserve">Senior Debt - Proceeds</t>
  </si>
  <si>
    <t xml:space="preserve">Senior Debt - Principal Repayment</t>
  </si>
  <si>
    <t xml:space="preserve">Subordinated Debt - Proceeds</t>
  </si>
  <si>
    <t xml:space="preserve">Subordinated Debt - Principal Repayment</t>
  </si>
  <si>
    <t xml:space="preserve">Construction In Progress</t>
  </si>
  <si>
    <t xml:space="preserve">Purchase Of Land</t>
  </si>
  <si>
    <t xml:space="preserve">Liquidation Proceeds - Land</t>
  </si>
  <si>
    <t xml:space="preserve">Purchase Of Inventory - Spares</t>
  </si>
  <si>
    <t xml:space="preserve">Liquidation Proceeds - Spares</t>
  </si>
  <si>
    <t xml:space="preserve">Shareholders Loans - Trapped Cash</t>
  </si>
  <si>
    <t xml:space="preserve">Interest Income - Shareholders Loans</t>
  </si>
  <si>
    <t xml:space="preserve">Interest Payment - Senior Debt</t>
  </si>
  <si>
    <t xml:space="preserve">Interest Payment - Subordinated Debt</t>
  </si>
  <si>
    <t xml:space="preserve">INE Interest Expense</t>
  </si>
  <si>
    <t xml:space="preserve">OPIC Agency Fee</t>
  </si>
  <si>
    <t xml:space="preserve">L/C Fee - Debt Service</t>
  </si>
  <si>
    <t xml:space="preserve">L/C Fee - Working Capital Facility</t>
  </si>
  <si>
    <t xml:space="preserve">L/C - YPF Gurantee</t>
  </si>
  <si>
    <t xml:space="preserve">Net Cash Provided By Financing Activities</t>
  </si>
  <si>
    <t xml:space="preserve">Net Increase In Cash &amp; Cash Equivalents</t>
  </si>
  <si>
    <t xml:space="preserve">Cash &amp; Cash Equivalents (BOY)</t>
  </si>
  <si>
    <t xml:space="preserve">Cash &amp; Cash Equivalents (EOY)</t>
  </si>
  <si>
    <t xml:space="preserve">REFERENCE SHEET - 1</t>
  </si>
  <si>
    <t xml:space="preserve">Person(s)</t>
  </si>
  <si>
    <t xml:space="preserve">Current</t>
  </si>
  <si>
    <t xml:space="preserve">Responsible</t>
  </si>
  <si>
    <t xml:space="preserve">Assumption Category</t>
  </si>
  <si>
    <t xml:space="preserve">Assumption Description</t>
  </si>
  <si>
    <t xml:space="preserve">Assumption</t>
  </si>
  <si>
    <t xml:space="preserve">Assumption Reference</t>
  </si>
  <si>
    <t xml:space="preserve">Reference</t>
  </si>
  <si>
    <t xml:space="preserve">For Assumption</t>
  </si>
  <si>
    <t xml:space="preserve">Comments</t>
  </si>
  <si>
    <t xml:space="preserve">EPE / SCC EPC Contract</t>
  </si>
  <si>
    <t xml:space="preserve">N. Khan</t>
  </si>
  <si>
    <t xml:space="preserve">Article 1.1 (Definitions-Phase I,II,III)</t>
  </si>
  <si>
    <t xml:space="preserve">J. Bestard - Memo</t>
  </si>
  <si>
    <t xml:space="preserve">J. Bestard</t>
  </si>
  <si>
    <t xml:space="preserve">Bid Availability / Dispatch Assumptions</t>
  </si>
  <si>
    <t xml:space="preserve">H. Holland - Memo</t>
  </si>
  <si>
    <t xml:space="preserve">H. Holland</t>
  </si>
  <si>
    <t xml:space="preserve">Average Degraded Heat Rates</t>
  </si>
  <si>
    <t xml:space="preserve">EN/EPE Operating Accord</t>
  </si>
  <si>
    <t xml:space="preserve">Section 6.8</t>
  </si>
  <si>
    <t xml:space="preserve">Exhibit B-1(a) Opening Paragraph</t>
  </si>
  <si>
    <t xml:space="preserve">EPE / SCC - EPC Contract</t>
  </si>
  <si>
    <t xml:space="preserve">Exhibit C-1</t>
  </si>
  <si>
    <t xml:space="preserve">Months</t>
  </si>
  <si>
    <t xml:space="preserve">Calculation</t>
  </si>
  <si>
    <t xml:space="preserve">Diff Between Start Date &amp; Constr Date</t>
  </si>
  <si>
    <t xml:space="preserve">Lammers Verbal</t>
  </si>
  <si>
    <t xml:space="preserve">R. Lammers</t>
  </si>
  <si>
    <t xml:space="preserve">Move Phase III Start date to Feb. 01</t>
  </si>
  <si>
    <t xml:space="preserve">Diff Between Start Dates</t>
  </si>
  <si>
    <t xml:space="preserve">Years</t>
  </si>
  <si>
    <t xml:space="preserve">Power Purchase Contract</t>
  </si>
  <si>
    <t xml:space="preserve">Opening Page</t>
  </si>
  <si>
    <t xml:space="preserve">Opening Page (From Date Of Contract)</t>
  </si>
  <si>
    <t xml:space="preserve">Signing 09/06/99, Funding 07/01/00</t>
  </si>
  <si>
    <t xml:space="preserve">Diff Between Financial Close &amp; Constr</t>
  </si>
  <si>
    <t xml:space="preserve">S. Friedlander</t>
  </si>
  <si>
    <t xml:space="preserve">6 Months From Start Of Phase III</t>
  </si>
  <si>
    <t xml:space="preserve">PPA / J.Bestard - Memo</t>
  </si>
  <si>
    <t xml:space="preserve">J. Bestard (05/17/99)</t>
  </si>
  <si>
    <t xml:space="preserve">Annex 12, Section 2.2.4 / Annex 11</t>
  </si>
  <si>
    <t xml:space="preserve">Annex 12, Section 2.2.3</t>
  </si>
  <si>
    <t xml:space="preserve">Annex 12, Section 2.2.1</t>
  </si>
  <si>
    <t xml:space="preserve">Annex 12, Section 2.2.2</t>
  </si>
  <si>
    <t xml:space="preserve">Clause 65</t>
  </si>
  <si>
    <t xml:space="preserve">Base Year</t>
  </si>
  <si>
    <t xml:space="preserve">EPE / Petrobras Contract</t>
  </si>
  <si>
    <t xml:space="preserve">Liquid Fuel Contract - Exhibit A</t>
  </si>
  <si>
    <t xml:space="preserve">Standard Conversion</t>
  </si>
  <si>
    <t xml:space="preserve">Section 5.01 (Liquid Fuel Agreement)</t>
  </si>
  <si>
    <t xml:space="preserve">EPE / TGS Contract</t>
  </si>
  <si>
    <t xml:space="preserve">Exhibit 2.1.4 Section 1</t>
  </si>
  <si>
    <t xml:space="preserve">Exhibit 2.1.4 Section 2</t>
  </si>
  <si>
    <t xml:space="preserve">Section 3.1, 3.3, 4.1</t>
  </si>
  <si>
    <t xml:space="preserve">Escalation Factor</t>
  </si>
  <si>
    <t xml:space="preserve">J. Guidry</t>
  </si>
  <si>
    <t xml:space="preserve">O&amp;M Schedule</t>
  </si>
  <si>
    <t xml:space="preserve">D. Vincent - Memo</t>
  </si>
  <si>
    <t xml:space="preserve">D. Vincent</t>
  </si>
  <si>
    <t xml:space="preserve">Changed Timing Per J. Guidry - 09/15/98</t>
  </si>
  <si>
    <t xml:space="preserve">O&amp;M Schedule (Tied To Bid Amounts)</t>
  </si>
  <si>
    <t xml:space="preserve">REFERENCE SHEET - 2</t>
  </si>
  <si>
    <t xml:space="preserve">Responsible </t>
  </si>
  <si>
    <t xml:space="preserve">B. Rosen - Memo</t>
  </si>
  <si>
    <t xml:space="preserve">B. Rosen</t>
  </si>
  <si>
    <t xml:space="preserve">Item # 1</t>
  </si>
  <si>
    <t xml:space="preserve">Item # 2</t>
  </si>
  <si>
    <t xml:space="preserve">Item # 3</t>
  </si>
  <si>
    <t xml:space="preserve">Item # 4, 17</t>
  </si>
  <si>
    <t xml:space="preserve">Item # 78</t>
  </si>
  <si>
    <t xml:space="preserve">Item # 19</t>
  </si>
  <si>
    <t xml:space="preserve">Item # 75, 77</t>
  </si>
  <si>
    <t xml:space="preserve">Item # 29</t>
  </si>
  <si>
    <t xml:space="preserve">Item # 30</t>
  </si>
  <si>
    <t xml:space="preserve">Item # 33</t>
  </si>
  <si>
    <t xml:space="preserve">Item # 34</t>
  </si>
  <si>
    <t xml:space="preserve">1997 IBFD Document</t>
  </si>
  <si>
    <t xml:space="preserve">Section 9.03</t>
  </si>
  <si>
    <t xml:space="preserve">Point #2</t>
  </si>
  <si>
    <t xml:space="preserve">Item # 63, 64</t>
  </si>
  <si>
    <t xml:space="preserve">PPA - Clause 78;Annex 1&amp;2</t>
  </si>
  <si>
    <t xml:space="preserve">See PPA</t>
  </si>
  <si>
    <t xml:space="preserve">B. Rosen/A.A.</t>
  </si>
  <si>
    <t xml:space="preserve">See Arthur Andersen Presentation</t>
  </si>
  <si>
    <t xml:space="preserve">Item # 53</t>
  </si>
  <si>
    <t xml:space="preserve">Item # 54</t>
  </si>
  <si>
    <t xml:space="preserve">???</t>
  </si>
  <si>
    <t xml:space="preserve">Need Documentation</t>
  </si>
  <si>
    <t xml:space="preserve">Per Christina Arantes (Machado Meyer)</t>
  </si>
  <si>
    <t xml:space="preserve">Dario Suzuki - E:Mail</t>
  </si>
  <si>
    <t xml:space="preserve">D. Suzuki</t>
  </si>
  <si>
    <t xml:space="preserve">Standard Assumption</t>
  </si>
  <si>
    <t xml:space="preserve">Depreciation Method</t>
  </si>
  <si>
    <t xml:space="preserve">Depreciation Term</t>
  </si>
  <si>
    <t xml:space="preserve">B. Rosen - Tax Memo</t>
  </si>
  <si>
    <t xml:space="preserve">Item # 12</t>
  </si>
  <si>
    <t xml:space="preserve">Term Of Contract</t>
  </si>
  <si>
    <t xml:space="preserve">GAAP</t>
  </si>
  <si>
    <t xml:space="preserve">Shareholder's Agreement</t>
  </si>
  <si>
    <t xml:space="preserve">Schedule 1</t>
  </si>
  <si>
    <t xml:space="preserve">Annex 10, Table A10-1</t>
  </si>
  <si>
    <t xml:space="preserve">INE Issuance Paragraph 3</t>
  </si>
  <si>
    <t xml:space="preserve">B. Blesie - Verbal</t>
  </si>
  <si>
    <t xml:space="preserve">B. Blesie</t>
  </si>
  <si>
    <t xml:space="preserve">Standard Rate On Book Value</t>
  </si>
  <si>
    <t xml:space="preserve">Clause 33 - Paragraph 1</t>
  </si>
  <si>
    <t xml:space="preserve">REFERENCE SHEET - 3</t>
  </si>
  <si>
    <t xml:space="preserve">Monthly Progress Report</t>
  </si>
  <si>
    <t xml:space="preserve">T. Whipple</t>
  </si>
  <si>
    <t xml:space="preserve">Page 46</t>
  </si>
  <si>
    <t xml:space="preserve">EPC Contract Issues</t>
  </si>
  <si>
    <t xml:space="preserve">N. Khan/Alan Smithe</t>
  </si>
  <si>
    <t xml:space="preserve">Items #6 (50%) &amp; 8</t>
  </si>
  <si>
    <t xml:space="preserve">Exhibit C-2 Section II, Paragraph B</t>
  </si>
  <si>
    <t xml:space="preserve">Exhibit C-2 Section II, Paragraph C</t>
  </si>
  <si>
    <t xml:space="preserve">R. Lammers - Verbal</t>
  </si>
  <si>
    <t xml:space="preserve">E. Rengade - Memo</t>
  </si>
  <si>
    <t xml:space="preserve">E. Rengade</t>
  </si>
  <si>
    <t xml:space="preserve">Budget Review - 05/18/99</t>
  </si>
  <si>
    <t xml:space="preserve">P. Waggoner - Memo</t>
  </si>
  <si>
    <t xml:space="preserve">I. Boaventura</t>
  </si>
  <si>
    <t xml:space="preserve">Budget Review - 05/14/99</t>
  </si>
  <si>
    <t xml:space="preserve">Budget Review - 08/31/99</t>
  </si>
  <si>
    <t xml:space="preserve">J. Guidry - Schedule</t>
  </si>
  <si>
    <t xml:space="preserve">WTF Capital Costs</t>
  </si>
  <si>
    <t xml:space="preserve">Based On Standard Assumptions</t>
  </si>
  <si>
    <t xml:space="preserve">O&amp;M Schedule (L. Powell To Review)</t>
  </si>
  <si>
    <t xml:space="preserve">Budget Review - 04/06/00</t>
  </si>
  <si>
    <t xml:space="preserve">Exhibit C-3 Section II, Item 1</t>
  </si>
  <si>
    <t xml:space="preserve">Exhibit C-3 Section II, Item 2</t>
  </si>
  <si>
    <t xml:space="preserve">Exhibit C-3 Section II, Item 3</t>
  </si>
  <si>
    <t xml:space="preserve">Disputed Days Given By P. Waggoner</t>
  </si>
  <si>
    <t xml:space="preserve">Exhibit C-3 Section III, Item A</t>
  </si>
  <si>
    <t xml:space="preserve">Shareholders' Agreement</t>
  </si>
  <si>
    <t xml:space="preserve">Between Enron / Shell / Transredes</t>
  </si>
  <si>
    <t xml:space="preserve">Between Enron / Shell</t>
  </si>
  <si>
    <t xml:space="preserve">Between Enron / Transredes</t>
  </si>
  <si>
    <t xml:space="preserve">REFERENCE SHEET - 4</t>
  </si>
  <si>
    <t xml:space="preserve">Financing Plan</t>
  </si>
  <si>
    <t xml:space="preserve">Awaiting Final Termsheets</t>
  </si>
  <si>
    <t xml:space="preserve">REFERENCE SHEET - 5</t>
  </si>
  <si>
    <t xml:space="preserve">Minimum</t>
  </si>
  <si>
    <t xml:space="preserve">Target DSCR</t>
  </si>
  <si>
    <t xml:space="preserve">S. Friedlander - Verbal</t>
  </si>
  <si>
    <t xml:space="preserve">Per Conversations With OPIC</t>
  </si>
  <si>
    <t xml:space="preserve">Pre-Tax DSCR</t>
  </si>
  <si>
    <t xml:space="preserve">After-Tax DSCR</t>
  </si>
  <si>
    <t xml:space="preserve">Estimated Requirement Until Financing</t>
  </si>
  <si>
    <t xml:space="preserve">Enron Cost Of Funds</t>
  </si>
  <si>
    <t xml:space="preserve">C. Estrems</t>
  </si>
  <si>
    <t xml:space="preserve">Memo From Jeff Sommers</t>
  </si>
  <si>
    <t xml:space="preserve">Clause 7</t>
  </si>
  <si>
    <t xml:space="preserve">W/C Rate</t>
  </si>
  <si>
    <t xml:space="preserve">W/C Fee</t>
  </si>
  <si>
    <t xml:space="preserve">Standard Calculations</t>
  </si>
  <si>
    <r>
      <rPr>
        <u val="single"/>
        <sz val="10"/>
        <color rgb="FFFF00FF"/>
        <rFont val="Arial"/>
        <family val="2"/>
      </rPr>
      <t xml:space="preserve">Availability LD's (</t>
    </r>
    <r>
      <rPr>
        <sz val="10"/>
        <color rgb="FFFF00FF"/>
        <rFont val="arial"/>
        <family val="2"/>
      </rPr>
      <t xml:space="preserve">On=1/Off=0)</t>
    </r>
  </si>
  <si>
    <t xml:space="preserve">PPA COD</t>
  </si>
  <si>
    <t xml:space="preserve">PPA MW</t>
  </si>
  <si>
    <t xml:space="preserve">Min Avail</t>
  </si>
  <si>
    <t xml:space="preserve">EPE MW</t>
  </si>
  <si>
    <t xml:space="preserve">Theoretical Availability</t>
  </si>
  <si>
    <t xml:space="preserve">Phase I - Starts</t>
  </si>
  <si>
    <t xml:space="preserve">Phase II - Starts</t>
  </si>
  <si>
    <t xml:space="preserve">Phase III Commissioning</t>
  </si>
  <si>
    <t xml:space="preserve">Per amendment to PPA, availability factor during Phase III commissioning equals 100%</t>
  </si>
  <si>
    <t xml:space="preserve">Phase III - Starts</t>
  </si>
  <si>
    <t xml:space="preserve">Rolling Average Availability</t>
  </si>
  <si>
    <t xml:space="preserve">Guaranteed Capacity</t>
  </si>
  <si>
    <t xml:space="preserve">Installed Capacity</t>
  </si>
  <si>
    <t xml:space="preserve">PPA Minimum</t>
  </si>
  <si>
    <t xml:space="preserve">Monthly Availability</t>
  </si>
  <si>
    <t xml:space="preserve">APPENDIX I - PLANT OPERATIONS</t>
  </si>
  <si>
    <t xml:space="preserve">Plant Operations</t>
  </si>
  <si>
    <t xml:space="preserve">Hours</t>
  </si>
  <si>
    <t xml:space="preserve">Guarant</t>
  </si>
  <si>
    <t xml:space="preserve">Monthly</t>
  </si>
  <si>
    <t xml:space="preserve">Annual</t>
  </si>
  <si>
    <t xml:space="preserve">Per</t>
  </si>
  <si>
    <t xml:space="preserve">Avail</t>
  </si>
  <si>
    <t xml:space="preserve">Diesel</t>
  </si>
  <si>
    <t xml:space="preserve">MMBTU's</t>
  </si>
  <si>
    <t xml:space="preserve">Date</t>
  </si>
  <si>
    <t xml:space="preserve">Month</t>
  </si>
  <si>
    <t xml:space="preserve">Day</t>
  </si>
  <si>
    <t xml:space="preserve">Mwh</t>
  </si>
  <si>
    <t xml:space="preserve">Gas Only</t>
  </si>
  <si>
    <t xml:space="preserve">Consumed</t>
  </si>
  <si>
    <t xml:space="preserve">Purchased</t>
  </si>
  <si>
    <t xml:space="preserve">APPENDIX II - AVAILABILITY PENALTY CALCULATION</t>
  </si>
  <si>
    <t xml:space="preserve">Average Availability Calculation For Penalties</t>
  </si>
  <si>
    <t xml:space="preserve">12 Month</t>
  </si>
  <si>
    <t xml:space="preserve">Deficiency</t>
  </si>
  <si>
    <t xml:space="preserve">P&amp;T Cap</t>
  </si>
  <si>
    <t xml:space="preserve">TG Cap</t>
  </si>
  <si>
    <t xml:space="preserve">CG Cap</t>
  </si>
  <si>
    <t xml:space="preserve">Total Cap</t>
  </si>
  <si>
    <t xml:space="preserve">(Multiply By)</t>
  </si>
  <si>
    <t xml:space="preserve">Rolling</t>
  </si>
  <si>
    <t xml:space="preserve">Below PPA</t>
  </si>
  <si>
    <t xml:space="preserve">Penalty</t>
  </si>
  <si>
    <t xml:space="preserve">R$ 000</t>
  </si>
  <si>
    <t xml:space="preserve">Exch Rate</t>
  </si>
  <si>
    <t xml:space="preserve">US$ 000</t>
  </si>
  <si>
    <t xml:space="preserve">APPENDIX III - PLANT TARIFF (ANNEX 12)</t>
  </si>
  <si>
    <t xml:space="preserve">Plant &amp; Transmission Capacity Revenues</t>
  </si>
  <si>
    <t xml:space="preserve">Variable O&amp;M Revenues</t>
  </si>
  <si>
    <t xml:space="preserve">Unescalated</t>
  </si>
  <si>
    <t xml:space="preserve">Escalated</t>
  </si>
  <si>
    <t xml:space="preserve">(Divide By)</t>
  </si>
  <si>
    <t xml:space="preserve">Adjusted</t>
  </si>
  <si>
    <t xml:space="preserve">Diesel / Gas</t>
  </si>
  <si>
    <t xml:space="preserve">P&amp;T Tariff</t>
  </si>
  <si>
    <t xml:space="preserve">US $</t>
  </si>
  <si>
    <t xml:space="preserve">US$ Base</t>
  </si>
  <si>
    <t xml:space="preserve">Bid Date</t>
  </si>
  <si>
    <t xml:space="preserve">Reais $</t>
  </si>
  <si>
    <t xml:space="preserve">R$ Base</t>
  </si>
  <si>
    <t xml:space="preserve">Total Tariff</t>
  </si>
  <si>
    <t xml:space="preserve">VOM Tariff</t>
  </si>
  <si>
    <t xml:space="preserve">R$ / Mw-Mo</t>
  </si>
  <si>
    <t xml:space="preserve">US $000</t>
  </si>
  <si>
    <t xml:space="preserve">R$ / Mwh</t>
  </si>
  <si>
    <t xml:space="preserve">Total P&amp;T Revenues</t>
  </si>
  <si>
    <t xml:space="preserve">Total Variable O&amp;M Revenues</t>
  </si>
  <si>
    <t xml:space="preserve">APPENDIX IV - GAS TARIFF (ANNEX 12)</t>
  </si>
  <si>
    <t xml:space="preserve">Transport Gas Capacity Revenues</t>
  </si>
  <si>
    <t xml:space="preserve">Commodity Gas Capacity Revenues</t>
  </si>
  <si>
    <t xml:space="preserve">Variable Commodity Gas Revenues</t>
  </si>
  <si>
    <t xml:space="preserve">Commodity Gas Escalator</t>
  </si>
  <si>
    <t xml:space="preserve">Base</t>
  </si>
  <si>
    <t xml:space="preserve">TG Tariff</t>
  </si>
  <si>
    <t xml:space="preserve">CG Tariff</t>
  </si>
  <si>
    <t xml:space="preserve">VCG Tariff</t>
  </si>
  <si>
    <t xml:space="preserve">Mwhs</t>
  </si>
  <si>
    <t xml:space="preserve">Com Gas</t>
  </si>
  <si>
    <t xml:space="preserve">CG+Yabog</t>
  </si>
  <si>
    <t xml:space="preserve">R $000</t>
  </si>
  <si>
    <t xml:space="preserve">Escalator</t>
  </si>
  <si>
    <t xml:space="preserve">Produced</t>
  </si>
  <si>
    <t xml:space="preserve">Total Transport Gas Revenues</t>
  </si>
  <si>
    <t xml:space="preserve">Total Commodity Gas Revenues</t>
  </si>
  <si>
    <t xml:space="preserve">Total Variable Commodity Gas Revenues</t>
  </si>
  <si>
    <t xml:space="preserve">APPENDIX VI - PLANT TARIFF (ANNEX 10)</t>
  </si>
  <si>
    <t xml:space="preserve">Plant &amp; Transmission Tariff</t>
  </si>
  <si>
    <t xml:space="preserve">Variable O&amp;M Tariff</t>
  </si>
  <si>
    <t xml:space="preserve">APPENDIX VII - GAS TARIFF (ANNEX 10)</t>
  </si>
  <si>
    <t xml:space="preserve">Transport Gas Tariff</t>
  </si>
  <si>
    <t xml:space="preserve">Commodity Gas Tariff</t>
  </si>
  <si>
    <t xml:space="preserve">Variable Commodity Gas Tariff</t>
  </si>
  <si>
    <t xml:space="preserve">Annex 10</t>
  </si>
  <si>
    <t xml:space="preserve">Gas Esc</t>
  </si>
  <si>
    <t xml:space="preserve">$ / Mwh</t>
  </si>
  <si>
    <t xml:space="preserve">APPENDIX V - VARIABLE / FIXED FUEL EXPENSE</t>
  </si>
  <si>
    <t xml:space="preserve">Variable Commodity Gas Expense</t>
  </si>
  <si>
    <t xml:space="preserve">Fixed Gas Transportation Expense</t>
  </si>
  <si>
    <t xml:space="preserve">Base-Pre</t>
  </si>
  <si>
    <t xml:space="preserve">Base-Post</t>
  </si>
  <si>
    <t xml:space="preserve">$ / Month</t>
  </si>
  <si>
    <t xml:space="preserve">Total Variable Commodity Gas Expense</t>
  </si>
  <si>
    <t xml:space="preserve">Total Fixed Transport Expense</t>
  </si>
  <si>
    <t xml:space="preserve">PRICING CURVES</t>
  </si>
  <si>
    <t xml:space="preserve">Plant &amp; Transmission (US$)</t>
  </si>
  <si>
    <t xml:space="preserve">Plant &amp; Transmission (R$)</t>
  </si>
  <si>
    <t xml:space="preserve">Fixed Transportation Rev</t>
  </si>
  <si>
    <t xml:space="preserve">Fixed Commodity Gas Rev</t>
  </si>
  <si>
    <t xml:space="preserve">Variable Commodity Gas Rev</t>
  </si>
  <si>
    <t xml:space="preserve">Variable O&amp;M Rev</t>
  </si>
  <si>
    <t xml:space="preserve">TBS &amp; EPE (Commodity)</t>
  </si>
  <si>
    <t xml:space="preserve">TBS &amp; EPE (Transportation)</t>
  </si>
  <si>
    <t xml:space="preserve">Greater Of</t>
  </si>
  <si>
    <t xml:space="preserve">Change In Index</t>
  </si>
  <si>
    <t xml:space="preserve">Escalator For Annex 10 Gas Tariff</t>
  </si>
  <si>
    <t xml:space="preserve">Or</t>
  </si>
  <si>
    <t xml:space="preserve">Greater</t>
  </si>
  <si>
    <t xml:space="preserve">Date Of 1st Change</t>
  </si>
  <si>
    <t xml:space="preserve">Rate Base</t>
  </si>
  <si>
    <t xml:space="preserve">Brazil</t>
  </si>
  <si>
    <t xml:space="preserve">Of IGPM</t>
  </si>
  <si>
    <t xml:space="preserve">Cumul</t>
  </si>
  <si>
    <t xml:space="preserve">US</t>
  </si>
  <si>
    <t xml:space="preserve">R$ / $</t>
  </si>
  <si>
    <t xml:space="preserve">CPI Less</t>
  </si>
  <si>
    <t xml:space="preserve">Or % Base</t>
  </si>
  <si>
    <t xml:space="preserve">IGP-DI</t>
  </si>
  <si>
    <t xml:space="preserve">FX</t>
  </si>
  <si>
    <t xml:space="preserve">FX-PPP</t>
  </si>
  <si>
    <t xml:space="preserve">TARIFF TABLE FOR US$ BASED COSTS</t>
  </si>
  <si>
    <t xml:space="preserve">US$ PORTION OF TARIFF CALCULATION (ANNUAL)</t>
  </si>
  <si>
    <t xml:space="preserve">US$ PORTION OF TARIFF CALCULATION (ALLOCATED)</t>
  </si>
  <si>
    <t xml:space="preserve">US$ PORTION OF TARIFF CALCULATION (BY TARIFF YEAR)</t>
  </si>
  <si>
    <t xml:space="preserve">Project</t>
  </si>
  <si>
    <t xml:space="preserve">KFW A/B Loan</t>
  </si>
  <si>
    <t xml:space="preserve">OPIC Loan</t>
  </si>
  <si>
    <t xml:space="preserve">Total US$</t>
  </si>
  <si>
    <t xml:space="preserve">Debt Svcs</t>
  </si>
  <si>
    <t xml:space="preserve">L/C Fee</t>
  </si>
  <si>
    <t xml:space="preserve">Subdebt</t>
  </si>
  <si>
    <t xml:space="preserve">JVM</t>
  </si>
  <si>
    <t xml:space="preserve">Operating</t>
  </si>
  <si>
    <t xml:space="preserve">Minor</t>
  </si>
  <si>
    <t xml:space="preserve">Major</t>
  </si>
  <si>
    <t xml:space="preserve">W/H Tax</t>
  </si>
  <si>
    <t xml:space="preserve">Restated To</t>
  </si>
  <si>
    <t xml:space="preserve">Add Taxes</t>
  </si>
  <si>
    <t xml:space="preserve"># Of</t>
  </si>
  <si>
    <t xml:space="preserve">US$ Based</t>
  </si>
  <si>
    <t xml:space="preserve">Sr Debt</t>
  </si>
  <si>
    <t xml:space="preserve">Mgmt Fee</t>
  </si>
  <si>
    <t xml:space="preserve">G&amp;A</t>
  </si>
  <si>
    <t xml:space="preserve">Maint</t>
  </si>
  <si>
    <t xml:space="preserve">Reais @ Bid</t>
  </si>
  <si>
    <t xml:space="preserve">(Pis&amp;Cofin)</t>
  </si>
  <si>
    <t xml:space="preserve">Allocated</t>
  </si>
  <si>
    <t xml:space="preserve">By Tariff Yr</t>
  </si>
  <si>
    <t xml:space="preserve">Restated Tariff Table</t>
  </si>
  <si>
    <t xml:space="preserve">BREAKDOWN OF US$ SENIOR DEBT</t>
  </si>
  <si>
    <t xml:space="preserve">BREAKDOWN OF US$ SUBORDINATED DEBT</t>
  </si>
  <si>
    <t xml:space="preserve">BREAKDOWN OF US$ O&amp;M COSTS (UNESCALATED)</t>
  </si>
  <si>
    <t xml:space="preserve">Orig Tariff</t>
  </si>
  <si>
    <t xml:space="preserve">R$ Portion</t>
  </si>
  <si>
    <t xml:space="preserve">Total New</t>
  </si>
  <si>
    <t xml:space="preserve">Total </t>
  </si>
  <si>
    <t xml:space="preserve">TARIFF TABLE FOR R$ BASED COSTS</t>
  </si>
  <si>
    <t xml:space="preserve">R$ PORTION OF TARIFF CALCULATION</t>
  </si>
  <si>
    <t xml:space="preserve">Payroll</t>
  </si>
  <si>
    <t xml:space="preserve">Other</t>
  </si>
  <si>
    <t xml:space="preserve">Office</t>
  </si>
  <si>
    <t xml:space="preserve">Sustaining</t>
  </si>
  <si>
    <t xml:space="preserve">Total R$</t>
  </si>
  <si>
    <t xml:space="preserve">L/C On</t>
  </si>
  <si>
    <t xml:space="preserve">Perf</t>
  </si>
  <si>
    <t xml:space="preserve">Return</t>
  </si>
  <si>
    <t xml:space="preserve">R$ Based</t>
  </si>
  <si>
    <t xml:space="preserve">&amp; Burden</t>
  </si>
  <si>
    <t xml:space="preserve">Capital</t>
  </si>
  <si>
    <t xml:space="preserve">YPF</t>
  </si>
  <si>
    <t xml:space="preserve">Bond</t>
  </si>
  <si>
    <t xml:space="preserve">Recover</t>
  </si>
  <si>
    <t xml:space="preserve">Costs</t>
  </si>
  <si>
    <t xml:space="preserve">R$ Costs</t>
  </si>
  <si>
    <t xml:space="preserve">BREAKDOWN OF R$ O&amp;M COSTS (UNESCALATED)</t>
  </si>
  <si>
    <t xml:space="preserve">NPV OF TARIFF STREAM (UNESCALATED)</t>
  </si>
  <si>
    <t xml:space="preserve">Tariff Year</t>
  </si>
  <si>
    <t xml:space="preserve">MW Capacity</t>
  </si>
  <si>
    <t xml:space="preserve">Original Tariff Information</t>
  </si>
  <si>
    <t xml:space="preserve">Annual Payments (R$000)</t>
  </si>
  <si>
    <t xml:space="preserve">NPV Of Revenues @</t>
  </si>
  <si>
    <t xml:space="preserve">Proposed Tariff Information</t>
  </si>
</sst>
</file>

<file path=xl/styles.xml><?xml version="1.0" encoding="utf-8"?>
<styleSheet xmlns="http://schemas.openxmlformats.org/spreadsheetml/2006/main">
  <numFmts count="34">
    <numFmt numFmtId="164" formatCode="General"/>
    <numFmt numFmtId="165" formatCode="[$-409]#,##0_);[RED]\(#,##0\)"/>
    <numFmt numFmtId="166" formatCode="\$#,##0_);[RED]&quot;($&quot;#,##0\)"/>
    <numFmt numFmtId="167" formatCode="[$-409]#,##0.00_);[RED]\(#,##0.00\)"/>
    <numFmt numFmtId="168" formatCode="\$#,##0.00_);[RED]&quot;($&quot;#,##0.00\)"/>
    <numFmt numFmtId="169" formatCode="_(* #,##0_);_(* \(#,##0\);_(* \-_);_(@_)"/>
    <numFmt numFmtId="170" formatCode="#,##0.00"/>
    <numFmt numFmtId="171" formatCode="_(* #,##0.00_);_(* \(#,##0.00\);_(* \-??_);_(@_)"/>
    <numFmt numFmtId="172" formatCode="_(\$* #,##0_);_(\$* \(#,##0\);_(\$* \-_);_(@_)"/>
    <numFmt numFmtId="173" formatCode="_(\$* #,##0.00_);_(\$* \(#,##0.00\);_(\$* \-??_);_(@_)"/>
    <numFmt numFmtId="174" formatCode="0.00"/>
    <numFmt numFmtId="175" formatCode="[$-409]#,##0_);\(#,##0\)"/>
    <numFmt numFmtId="176" formatCode="#,##0"/>
    <numFmt numFmtId="177" formatCode="0"/>
    <numFmt numFmtId="178" formatCode="0.00%"/>
    <numFmt numFmtId="179" formatCode="@"/>
    <numFmt numFmtId="180" formatCode="0%"/>
    <numFmt numFmtId="181" formatCode="\$#,##0_);&quot;($&quot;#,##0\)"/>
    <numFmt numFmtId="182" formatCode="[$-409]mmm\-yy"/>
    <numFmt numFmtId="183" formatCode="_(* #,##0_);_(* \(#,##0\);_(* \-??_);_(@_)"/>
    <numFmt numFmtId="184" formatCode="\$#,##0.00_);&quot;($&quot;#,##0.00\)"/>
    <numFmt numFmtId="185" formatCode="[$-409]#,##0.00_);\(#,##0.00\)"/>
    <numFmt numFmtId="186" formatCode="[$-409]m/d/yyyy"/>
    <numFmt numFmtId="187" formatCode="0.000%"/>
    <numFmt numFmtId="188" formatCode="m/d/yy"/>
    <numFmt numFmtId="189" formatCode="0.0%"/>
    <numFmt numFmtId="190" formatCode="0.0000"/>
    <numFmt numFmtId="191" formatCode="[$R$ -416]#,##0.00_);\([$R$ -416]#,##0.00\)"/>
    <numFmt numFmtId="192" formatCode="_(* #,##0.0000_);_(* \(#,##0.0000\);_(* \-??_);_(@_)"/>
    <numFmt numFmtId="193" formatCode="0.000"/>
    <numFmt numFmtId="194" formatCode="\$#,##0.0000_);&quot;($&quot;#,##0.0000\)"/>
    <numFmt numFmtId="195" formatCode="mm/dd/yy"/>
    <numFmt numFmtId="196" formatCode="dd\-mmm\-yy"/>
    <numFmt numFmtId="197" formatCode="[$R$ -416]#,##0_);\([$R$ -416]#,##0\)"/>
  </numFmts>
  <fonts count="11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2"/>
    </font>
    <font>
      <sz val="12"/>
      <name val="???"/>
      <family val="3"/>
      <charset val="129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1"/>
      <name val="??"/>
      <family val="3"/>
      <charset val="129"/>
    </font>
    <font>
      <sz val="10"/>
      <name val="Arial"/>
      <family val="2"/>
    </font>
    <font>
      <sz val="11"/>
      <name val="???"/>
      <family val="1"/>
      <charset val="129"/>
    </font>
    <font>
      <sz val="11"/>
      <name val="???"/>
      <family val="3"/>
      <charset val="129"/>
    </font>
    <font>
      <b val="true"/>
      <sz val="10"/>
      <name val="Arial"/>
      <family val="0"/>
    </font>
    <font>
      <sz val="10"/>
      <name val="Times New Roman"/>
      <family val="0"/>
    </font>
    <font>
      <sz val="8"/>
      <name val="Arial"/>
      <family val="2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7"/>
      <name val="Small Fonts"/>
      <family val="0"/>
    </font>
    <font>
      <b val="true"/>
      <i val="true"/>
      <sz val="16"/>
      <name val="Arial"/>
      <family val="0"/>
    </font>
    <font>
      <sz val="8"/>
      <name val="Arial"/>
      <family val="0"/>
    </font>
    <font>
      <sz val="12"/>
      <name val="Arial"/>
      <family val="2"/>
    </font>
    <font>
      <sz val="10"/>
      <name val="Courier New"/>
      <family val="0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10"/>
      <name val="Book Antiqua"/>
      <family val="1"/>
    </font>
    <font>
      <sz val="10"/>
      <name val="Times New Roman"/>
      <family val="1"/>
    </font>
    <font>
      <sz val="8"/>
      <name val=""/>
      <family val="0"/>
    </font>
    <font>
      <sz val="8"/>
      <name val="MS Sans Serif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0"/>
    </font>
    <font>
      <sz val="12"/>
      <name val="Times New Roman"/>
      <family val="0"/>
    </font>
    <font>
      <sz val="10"/>
      <name val="Univers (W1)"/>
      <family val="2"/>
    </font>
    <font>
      <b val="true"/>
      <sz val="14"/>
      <name val="Times New Roman"/>
      <family val="1"/>
    </font>
    <font>
      <b val="true"/>
      <sz val="14"/>
      <name val="Times New Roman"/>
      <family val="0"/>
    </font>
    <font>
      <sz val="10"/>
      <name val="Geneva"/>
      <family val="0"/>
    </font>
    <font>
      <sz val="14"/>
      <name val="AngsanaUPC"/>
      <family val="1"/>
    </font>
    <font>
      <sz val="9"/>
      <name val="Arial Narrow"/>
      <family val="2"/>
    </font>
    <font>
      <sz val="7"/>
      <name val="Arial"/>
      <family val="2"/>
    </font>
    <font>
      <sz val="7"/>
      <name val="Arial"/>
      <family val="0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12"/>
      <name val="PathWay Access 3.0"/>
      <family val="3"/>
    </font>
    <font>
      <sz val="12"/>
      <name val="Arial"/>
      <family val="0"/>
    </font>
    <font>
      <sz val="8.5"/>
      <name val="MS Sans Serif"/>
      <family val="2"/>
    </font>
    <font>
      <sz val="10"/>
      <name val="Arial Narrow"/>
      <family val="2"/>
    </font>
    <font>
      <sz val="10"/>
      <color rgb="FF000000"/>
      <name val="MS Sans Serif"/>
      <family val="0"/>
    </font>
    <font>
      <sz val="9"/>
      <name val="Arial"/>
      <family val="0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name val="Times New Roman"/>
      <family val="1"/>
    </font>
    <font>
      <sz val="8"/>
      <color rgb="FF0000FF"/>
      <name val="Arial"/>
      <family val="2"/>
    </font>
    <font>
      <b val="true"/>
      <sz val="12"/>
      <name val="Arial"/>
      <family val="2"/>
    </font>
    <font>
      <b val="true"/>
      <sz val="14"/>
      <color rgb="FF0000FF"/>
      <name val="Arial"/>
      <family val="2"/>
    </font>
    <font>
      <b val="true"/>
      <sz val="12"/>
      <color rgb="FF0000FF"/>
      <name val="Arial"/>
      <family val="2"/>
    </font>
    <font>
      <b val="true"/>
      <sz val="11"/>
      <name val="Arial"/>
      <family val="2"/>
    </font>
    <font>
      <sz val="11"/>
      <name val="Arial"/>
      <family val="2"/>
    </font>
    <font>
      <b val="true"/>
      <sz val="11"/>
      <color rgb="FFFF0000"/>
      <name val="Arial"/>
      <family val="2"/>
    </font>
    <font>
      <b val="true"/>
      <u val="single"/>
      <sz val="12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9"/>
      <color rgb="FFFF0000"/>
      <name val="arial"/>
      <family val="2"/>
    </font>
    <font>
      <b val="true"/>
      <sz val="10"/>
      <color rgb="FFFF0000"/>
      <name val="Arial"/>
      <family val="2"/>
    </font>
    <font>
      <b val="true"/>
      <sz val="11"/>
      <color rgb="FF0000FF"/>
      <name val="Arial"/>
      <family val="2"/>
    </font>
    <font>
      <i val="true"/>
      <sz val="10"/>
      <color rgb="FF0000FF"/>
      <name val="Arial"/>
      <family val="2"/>
    </font>
    <font>
      <b val="true"/>
      <sz val="10"/>
      <name val="Arial"/>
      <family val="2"/>
    </font>
    <font>
      <b val="true"/>
      <sz val="10"/>
      <color rgb="FF0000FF"/>
      <name val="Arial"/>
      <family val="2"/>
    </font>
    <font>
      <b val="true"/>
      <i val="true"/>
      <sz val="10"/>
      <name val="Arial"/>
      <family val="2"/>
    </font>
    <font>
      <i val="true"/>
      <sz val="10"/>
      <name val="Arial"/>
      <family val="2"/>
    </font>
    <font>
      <b val="true"/>
      <u val="single"/>
      <sz val="10"/>
      <color rgb="FF000000"/>
      <name val="Arial"/>
      <family val="2"/>
    </font>
    <font>
      <i val="true"/>
      <u val="single"/>
      <sz val="10"/>
      <name val="Arial"/>
      <family val="2"/>
    </font>
    <font>
      <i val="true"/>
      <sz val="8"/>
      <name val="Arial"/>
      <family val="2"/>
    </font>
    <font>
      <sz val="10"/>
      <color rgb="FFFF00FF"/>
      <name val="arial"/>
      <family val="2"/>
    </font>
    <font>
      <i val="true"/>
      <sz val="9"/>
      <name val="Arial"/>
      <family val="2"/>
    </font>
    <font>
      <u val="single"/>
      <sz val="10"/>
      <name val="Arial"/>
      <family val="2"/>
    </font>
    <font>
      <sz val="9"/>
      <name val="Arial"/>
      <family val="2"/>
    </font>
    <font>
      <u val="single"/>
      <sz val="10"/>
      <color rgb="FF0000FF"/>
      <name val="arial"/>
      <family val="2"/>
    </font>
    <font>
      <b val="true"/>
      <sz val="10"/>
      <color rgb="FF0000FF"/>
      <name val="arial"/>
      <family val="2"/>
    </font>
    <font>
      <i val="true"/>
      <sz val="8"/>
      <color rgb="FFFFFFFF"/>
      <name val="arial"/>
      <family val="2"/>
    </font>
    <font>
      <sz val="10.1"/>
      <name val="Arial"/>
      <family val="2"/>
    </font>
    <font>
      <i val="true"/>
      <u val="single"/>
      <sz val="10.1"/>
      <name val="Arial"/>
      <family val="2"/>
    </font>
    <font>
      <i val="true"/>
      <sz val="9"/>
      <color rgb="FFFFFFFF"/>
      <name val="Arial"/>
      <family val="2"/>
    </font>
    <font>
      <sz val="10"/>
      <color rgb="FF000000"/>
      <name val="Arial"/>
      <family val="2"/>
    </font>
    <font>
      <b val="true"/>
      <sz val="10"/>
      <color rgb="FF000000"/>
      <name val="Arial"/>
      <family val="2"/>
    </font>
    <font>
      <u val="single"/>
      <sz val="10"/>
      <color rgb="FFFF00FF"/>
      <name val="Arial"/>
      <family val="2"/>
    </font>
    <font>
      <i val="true"/>
      <sz val="7.5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i val="true"/>
      <sz val="10"/>
      <name val="Arial"/>
      <family val="0"/>
    </font>
    <font>
      <b val="true"/>
      <sz val="10"/>
      <color rgb="FFFF00FF"/>
      <name val="arial"/>
      <family val="2"/>
    </font>
    <font>
      <sz val="10"/>
      <color rgb="FFFFFFFF"/>
      <name val="Arial"/>
      <family val="2"/>
    </font>
    <font>
      <i val="true"/>
      <u val="double"/>
      <sz val="10"/>
      <name val="arial"/>
      <family val="2"/>
    </font>
    <font>
      <i val="true"/>
      <sz val="10"/>
      <color rgb="FFFF00FF"/>
      <name val="Arial"/>
      <family val="2"/>
    </font>
    <font>
      <b val="true"/>
      <i val="true"/>
      <sz val="10"/>
      <color rgb="FFFF0000"/>
      <name val="Arial"/>
      <family val="2"/>
    </font>
    <font>
      <u val="single"/>
      <sz val="10"/>
      <color rgb="FF000000"/>
      <name val="arial"/>
      <family val="2"/>
    </font>
    <font>
      <u val="double"/>
      <sz val="10"/>
      <name val="arial"/>
      <family val="2"/>
    </font>
    <font>
      <u val="double"/>
      <sz val="10"/>
      <color rgb="FFFFFFFF"/>
      <name val="arial"/>
      <family val="2"/>
    </font>
    <font>
      <b val="true"/>
      <i val="true"/>
      <sz val="9"/>
      <name val="Arial"/>
      <family val="2"/>
    </font>
    <font>
      <b val="true"/>
      <i val="true"/>
      <sz val="10"/>
      <color rgb="FF0000FF"/>
      <name val="Arial"/>
      <family val="2"/>
    </font>
    <font>
      <b val="true"/>
      <i val="true"/>
      <sz val="12"/>
      <name val="Arial"/>
      <family val="2"/>
    </font>
    <font>
      <b val="true"/>
      <sz val="14"/>
      <name val="Arial"/>
      <family val="2"/>
    </font>
    <font>
      <i val="true"/>
      <sz val="7"/>
      <name val="Arial"/>
      <family val="2"/>
    </font>
    <font>
      <b val="true"/>
      <i val="true"/>
      <sz val="10"/>
      <color rgb="FFFF00FF"/>
      <name val="arial"/>
      <family val="2"/>
    </font>
    <font>
      <b val="true"/>
      <u val="single"/>
      <sz val="10"/>
      <color rgb="FFFF00FF"/>
      <name val="Arial"/>
      <family val="2"/>
    </font>
    <font>
      <b val="true"/>
      <i val="true"/>
      <u val="single"/>
      <sz val="10"/>
      <name val="Arial"/>
      <family val="2"/>
    </font>
    <font>
      <i val="true"/>
      <sz val="10"/>
      <color rgb="FF3333CC"/>
      <name val="Arial"/>
      <family val="2"/>
    </font>
    <font>
      <u val="single"/>
      <sz val="8"/>
      <name val="Arial"/>
      <family val="2"/>
    </font>
    <font>
      <i val="true"/>
      <sz val="10"/>
      <color rgb="FFFFFFFF"/>
      <name val="arial"/>
      <family val="2"/>
    </font>
    <font>
      <b val="true"/>
      <u val="single"/>
      <sz val="10"/>
      <color rgb="FF0000FF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A6CAF0"/>
        <bgColor rgb="FFC0C0C0"/>
      </patternFill>
    </fill>
    <fill>
      <patternFill patternType="solid">
        <fgColor rgb="FFC0C0C0"/>
        <bgColor rgb="FFA6CAF0"/>
      </patternFill>
    </fill>
    <fill>
      <patternFill patternType="solid">
        <fgColor rgb="FFFFFFC0"/>
        <bgColor rgb="FFFFFF99"/>
      </patternFill>
    </fill>
    <fill>
      <patternFill patternType="solid">
        <fgColor rgb="FFFFFFFF"/>
        <bgColor rgb="FFFFFFC0"/>
      </patternFill>
    </fill>
    <fill>
      <patternFill patternType="solid">
        <fgColor rgb="FFFFFF99"/>
        <bgColor rgb="FFFFFFC0"/>
      </patternFill>
    </fill>
    <fill>
      <patternFill patternType="solid">
        <fgColor rgb="FFE3E3E3"/>
        <bgColor rgb="FFCCFFCC"/>
      </patternFill>
    </fill>
    <fill>
      <patternFill patternType="solid">
        <fgColor rgb="FF969696"/>
        <bgColor rgb="FF808080"/>
      </patternFill>
    </fill>
    <fill>
      <patternFill patternType="solid">
        <fgColor rgb="FF999933"/>
        <bgColor rgb="FF969696"/>
      </patternFill>
    </fill>
    <fill>
      <patternFill patternType="solid">
        <fgColor rgb="FF00FFFF"/>
        <bgColor rgb="FF00FFFF"/>
      </patternFill>
    </fill>
    <fill>
      <patternFill patternType="solid">
        <fgColor rgb="FFCC9CCC"/>
        <bgColor rgb="FFFF99CC"/>
      </patternFill>
    </fill>
    <fill>
      <patternFill patternType="solid">
        <fgColor rgb="FFFF0000"/>
        <bgColor rgb="FF993300"/>
      </patternFill>
    </fill>
    <fill>
      <patternFill patternType="solid">
        <fgColor rgb="FFFFFF00"/>
        <bgColor rgb="FFFFFF00"/>
      </patternFill>
    </fill>
    <fill>
      <patternFill patternType="solid">
        <fgColor rgb="FF339933"/>
        <bgColor rgb="FF008000"/>
      </patternFill>
    </fill>
    <fill>
      <patternFill patternType="solid">
        <fgColor rgb="FF336666"/>
        <bgColor rgb="FF008080"/>
      </patternFill>
    </fill>
    <fill>
      <patternFill patternType="solid">
        <fgColor rgb="FFCCFFCC"/>
        <bgColor rgb="FFCCFFFF"/>
      </patternFill>
    </fill>
    <fill>
      <patternFill patternType="solid">
        <fgColor rgb="FF008000"/>
        <bgColor rgb="FF339933"/>
      </patternFill>
    </fill>
  </fills>
  <borders count="165">
    <border diagonalUp="false" diagonalDown="false">
      <left/>
      <right/>
      <top/>
      <bottom/>
      <diagonal/>
    </border>
    <border diagonalUp="false" diagonalDown="false">
      <left style="double"/>
      <right/>
      <top/>
      <bottom style="hair"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 style="medium"/>
      <right style="medium">
        <color rgb="FFFFFFFF"/>
      </right>
      <top style="medium"/>
      <bottom style="medium">
        <color rgb="FFFFFFFF"/>
      </bottom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dashDot"/>
      <right style="medium"/>
      <top style="medium"/>
      <bottom/>
      <diagonal/>
    </border>
    <border diagonalUp="false" diagonalDown="false">
      <left style="medium"/>
      <right/>
      <top style="medium"/>
      <bottom style="dashDot"/>
      <diagonal/>
    </border>
    <border diagonalUp="false" diagonalDown="false">
      <left style="dashDot"/>
      <right style="dashDot"/>
      <top style="medium"/>
      <bottom style="dashDot"/>
      <diagonal/>
    </border>
    <border diagonalUp="false" diagonalDown="false">
      <left style="dashDot"/>
      <right style="medium"/>
      <top style="medium"/>
      <bottom style="dashDot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dashDot"/>
      <right style="medium"/>
      <top/>
      <bottom/>
      <diagonal/>
    </border>
    <border diagonalUp="false" diagonalDown="false">
      <left style="dashDot"/>
      <right style="dashDot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>
        <color rgb="FFFFFFFF"/>
      </left>
      <right/>
      <top style="medium"/>
      <bottom/>
      <diagonal/>
    </border>
    <border diagonalUp="false" diagonalDown="false">
      <left style="dashDot"/>
      <right style="dashDot"/>
      <top/>
      <bottom style="dashDot"/>
      <diagonal/>
    </border>
    <border diagonalUp="false" diagonalDown="false">
      <left style="dashDot"/>
      <right style="medium"/>
      <top/>
      <bottom style="dashDot"/>
      <diagonal/>
    </border>
    <border diagonalUp="false" diagonalDown="false">
      <left style="medium"/>
      <right/>
      <top style="dashDot"/>
      <bottom style="medium"/>
      <diagonal/>
    </border>
    <border diagonalUp="false" diagonalDown="false">
      <left/>
      <right/>
      <top style="dashDot"/>
      <bottom style="medium"/>
      <diagonal/>
    </border>
    <border diagonalUp="false" diagonalDown="false">
      <left/>
      <right style="medium"/>
      <top style="dashDot"/>
      <bottom style="medium"/>
      <diagonal/>
    </border>
    <border diagonalUp="false" diagonalDown="false">
      <left style="medium"/>
      <right/>
      <top/>
      <bottom style="dashDot"/>
      <diagonal/>
    </border>
    <border diagonalUp="false" diagonalDown="false">
      <left/>
      <right/>
      <top/>
      <bottom style="dashDot"/>
      <diagonal/>
    </border>
    <border diagonalUp="false" diagonalDown="false">
      <left/>
      <right style="medium"/>
      <top/>
      <bottom style="dashDot"/>
      <diagonal/>
    </border>
    <border diagonalUp="false" diagonalDown="false">
      <left style="medium"/>
      <right style="medium"/>
      <top style="medium"/>
      <bottom style="dashDot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dashDot"/>
      <bottom/>
      <diagonal/>
    </border>
    <border diagonalUp="false" diagonalDown="false">
      <left/>
      <right/>
      <top style="dashDot"/>
      <bottom/>
      <diagonal/>
    </border>
    <border diagonalUp="false" diagonalDown="false">
      <left/>
      <right style="medium"/>
      <top style="dashDot"/>
      <bottom/>
      <diagonal/>
    </border>
    <border diagonalUp="false" diagonalDown="false">
      <left style="medium"/>
      <right/>
      <top style="thin"/>
      <bottom style="dashDot"/>
      <diagonal/>
    </border>
    <border diagonalUp="false" diagonalDown="false">
      <left/>
      <right/>
      <top style="thin"/>
      <bottom style="dashDot"/>
      <diagonal/>
    </border>
    <border diagonalUp="false" diagonalDown="false">
      <left style="dashDot"/>
      <right style="medium"/>
      <top style="thin"/>
      <bottom style="dashDot"/>
      <diagonal/>
    </border>
    <border diagonalUp="false" diagonalDown="false">
      <left style="dashDot"/>
      <right style="medium"/>
      <top style="dashDot"/>
      <bottom style="medium"/>
      <diagonal/>
    </border>
    <border diagonalUp="false" diagonalDown="false">
      <left style="medium"/>
      <right/>
      <top style="medium"/>
      <bottom style="medium">
        <color rgb="FFFFFFFF"/>
      </bottom>
      <diagonal/>
    </border>
    <border diagonalUp="false" diagonalDown="false">
      <left/>
      <right style="medium">
        <color rgb="FFFFFFFF"/>
      </right>
      <top style="medium"/>
      <bottom style="medium">
        <color rgb="FFFFFFFF"/>
      </bottom>
      <diagonal/>
    </border>
    <border diagonalUp="false" diagonalDown="false">
      <left style="medium"/>
      <right/>
      <top style="dashDot"/>
      <bottom style="dashDot"/>
      <diagonal/>
    </border>
    <border diagonalUp="false" diagonalDown="false">
      <left/>
      <right/>
      <top style="dashDot"/>
      <bottom style="dashDot"/>
      <diagonal/>
    </border>
    <border diagonalUp="false" diagonalDown="false">
      <left/>
      <right style="medium"/>
      <top style="dashDot"/>
      <bottom style="dashDot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dashDot"/>
      <top style="thin"/>
      <bottom/>
      <diagonal/>
    </border>
    <border diagonalUp="false" diagonalDown="false">
      <left style="dashDot"/>
      <right style="medium"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dashDot"/>
      <top/>
      <bottom/>
      <diagonal/>
    </border>
    <border diagonalUp="false" diagonalDown="false">
      <left style="dashDot"/>
      <right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/>
      <right style="dashDot"/>
      <top/>
      <bottom style="medium"/>
      <diagonal/>
    </border>
    <border diagonalUp="false" diagonalDown="false">
      <left style="dashDot"/>
      <right/>
      <top/>
      <bottom style="medium"/>
      <diagonal/>
    </border>
    <border diagonalUp="false" diagonalDown="false">
      <left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/>
      <top style="thin">
        <color rgb="FFFFFFFF"/>
      </top>
      <bottom style="thin">
        <color rgb="FFC0C0C0"/>
      </bottom>
      <diagonal/>
    </border>
    <border diagonalUp="false" diagonalDown="false">
      <left/>
      <right/>
      <top style="thin">
        <color rgb="FFFFFFFF"/>
      </top>
      <bottom style="thin">
        <color rgb="FFC0C0C0"/>
      </bottom>
      <diagonal/>
    </border>
    <border diagonalUp="false" diagonalDown="false">
      <left style="medium"/>
      <right style="medium"/>
      <top style="thin">
        <color rgb="FFFFFFFF"/>
      </top>
      <bottom style="thin">
        <color rgb="FFC0C0C0"/>
      </bottom>
      <diagonal/>
    </border>
    <border diagonalUp="false" diagonalDown="false">
      <left style="medium"/>
      <right/>
      <top style="thin">
        <color rgb="FFFFFFFF"/>
      </top>
      <bottom/>
      <diagonal/>
    </border>
    <border diagonalUp="false" diagonalDown="false">
      <left/>
      <right/>
      <top style="thin">
        <color rgb="FFFFFFFF"/>
      </top>
      <bottom/>
      <diagonal/>
    </border>
    <border diagonalUp="false" diagonalDown="false">
      <left style="dashDot">
        <color rgb="FF969696"/>
      </left>
      <right style="dashDot">
        <color rgb="FF969696"/>
      </right>
      <top style="thin">
        <color rgb="FFFFFFFF"/>
      </top>
      <bottom/>
      <diagonal/>
    </border>
    <border diagonalUp="false" diagonalDown="false">
      <left style="dashDot">
        <color rgb="FF969696"/>
      </left>
      <right/>
      <top style="thin">
        <color rgb="FFFFFFFF"/>
      </top>
      <bottom/>
      <diagonal/>
    </border>
    <border diagonalUp="false" diagonalDown="false">
      <left style="medium"/>
      <right style="medium"/>
      <top style="thin">
        <color rgb="FFFFFFFF"/>
      </top>
      <bottom/>
      <diagonal/>
    </border>
    <border diagonalUp="false" diagonalDown="false">
      <left style="dashDot">
        <color rgb="FF969696"/>
      </left>
      <right style="dashDot">
        <color rgb="FF969696"/>
      </right>
      <top/>
      <bottom/>
      <diagonal/>
    </border>
    <border diagonalUp="false" diagonalDown="false">
      <left style="dashDot">
        <color rgb="FF969696"/>
      </left>
      <right/>
      <top/>
      <bottom/>
      <diagonal/>
    </border>
    <border diagonalUp="false" diagonalDown="false">
      <left style="medium"/>
      <right/>
      <top/>
      <bottom style="thin">
        <color rgb="FFC0C0C0"/>
      </bottom>
      <diagonal/>
    </border>
    <border diagonalUp="false" diagonalDown="false">
      <left/>
      <right/>
      <top/>
      <bottom style="thin">
        <color rgb="FFC0C0C0"/>
      </bottom>
      <diagonal/>
    </border>
    <border diagonalUp="false" diagonalDown="false">
      <left style="dashDot">
        <color rgb="FF969696"/>
      </left>
      <right style="dashDot">
        <color rgb="FF969696"/>
      </right>
      <top/>
      <bottom style="thin">
        <color rgb="FFC0C0C0"/>
      </bottom>
      <diagonal/>
    </border>
    <border diagonalUp="false" diagonalDown="false">
      <left style="dashDot">
        <color rgb="FF969696"/>
      </left>
      <right/>
      <top/>
      <bottom style="thin">
        <color rgb="FFC0C0C0"/>
      </bottom>
      <diagonal/>
    </border>
    <border diagonalUp="false" diagonalDown="false">
      <left style="medium"/>
      <right style="medium"/>
      <top/>
      <bottom style="thin">
        <color rgb="FFC0C0C0"/>
      </bottom>
      <diagonal/>
    </border>
    <border diagonalUp="false" diagonalDown="false">
      <left style="thin">
        <color rgb="FFFFFFFF"/>
      </left>
      <right/>
      <top style="thin">
        <color rgb="FFFFFFFF"/>
      </top>
      <bottom/>
      <diagonal/>
    </border>
    <border diagonalUp="false" diagonalDown="false">
      <left/>
      <right style="thin">
        <color rgb="FFC0C0C0"/>
      </right>
      <top style="thin">
        <color rgb="FFFFFFFF"/>
      </top>
      <bottom/>
      <diagonal/>
    </border>
    <border diagonalUp="false" diagonalDown="false">
      <left style="thin">
        <color rgb="FFFFFFFF"/>
      </left>
      <right/>
      <top/>
      <bottom/>
      <diagonal/>
    </border>
    <border diagonalUp="false" diagonalDown="false">
      <left/>
      <right style="thin">
        <color rgb="FFC0C0C0"/>
      </right>
      <top/>
      <bottom/>
      <diagonal/>
    </border>
    <border diagonalUp="false" diagonalDown="false">
      <left style="thin">
        <color rgb="FFFFFFFF"/>
      </left>
      <right/>
      <top/>
      <bottom style="medium"/>
      <diagonal/>
    </border>
    <border diagonalUp="false" diagonalDown="false">
      <left/>
      <right style="thin">
        <color rgb="FFC0C0C0"/>
      </right>
      <top/>
      <bottom style="medium"/>
      <diagonal/>
    </border>
    <border diagonalUp="false" diagonalDown="false">
      <left style="thin">
        <color rgb="FFFFFFFF"/>
      </left>
      <right/>
      <top/>
      <bottom style="thin"/>
      <diagonal/>
    </border>
    <border diagonalUp="false" diagonalDown="false">
      <left/>
      <right style="thin">
        <color rgb="FFC0C0C0"/>
      </right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dashDot"/>
      <top/>
      <bottom/>
      <diagonal/>
    </border>
    <border diagonalUp="false" diagonalDown="false">
      <left style="dashDot"/>
      <right style="thin"/>
      <top/>
      <bottom/>
      <diagonal/>
    </border>
    <border diagonalUp="false" diagonalDown="false">
      <left style="dashDot"/>
      <right style="dashDot"/>
      <top style="medium"/>
      <bottom/>
      <diagonal/>
    </border>
    <border diagonalUp="false" diagonalDown="false">
      <left style="dashDot"/>
      <right style="thin"/>
      <top style="medium"/>
      <bottom/>
      <diagonal/>
    </border>
    <border diagonalUp="false" diagonalDown="false">
      <left style="dashDot"/>
      <right style="thin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thin"/>
      <right style="dashDot"/>
      <top style="medium"/>
      <bottom style="medium"/>
      <diagonal/>
    </border>
    <border diagonalUp="false" diagonalDown="false">
      <left style="dashDot"/>
      <right/>
      <top style="medium"/>
      <bottom style="medium"/>
      <diagonal/>
    </border>
    <border diagonalUp="false" diagonalDown="false">
      <left style="dashDot"/>
      <right style="thin"/>
      <top style="medium"/>
      <bottom style="medium"/>
      <diagonal/>
    </border>
    <border diagonalUp="false" diagonalDown="false">
      <left style="dashDot"/>
      <right style="dashDot"/>
      <top style="medium"/>
      <bottom style="medium"/>
      <diagonal/>
    </border>
    <border diagonalUp="false" diagonalDown="false">
      <left style="dashDot"/>
      <right style="medium"/>
      <top style="medium"/>
      <bottom style="medium"/>
      <diagonal/>
    </border>
    <border diagonalUp="false" diagonalDown="false">
      <left style="thin">
        <color rgb="FFC0C0C0"/>
      </left>
      <right/>
      <top style="thin">
        <color rgb="FFC0C0C0"/>
      </top>
      <bottom style="thin">
        <color rgb="FFFFFFFF"/>
      </bottom>
      <diagonal/>
    </border>
    <border diagonalUp="false" diagonalDown="false">
      <left/>
      <right/>
      <top style="thin">
        <color rgb="FFC0C0C0"/>
      </top>
      <bottom style="thin">
        <color rgb="FFFFFFFF"/>
      </bottom>
      <diagonal/>
    </border>
    <border diagonalUp="false" diagonalDown="false">
      <left/>
      <right style="thin">
        <color rgb="FFFFFFFF"/>
      </right>
      <top style="thin">
        <color rgb="FFC0C0C0"/>
      </top>
      <bottom style="thin">
        <color rgb="FFFFFFFF"/>
      </bottom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thin">
        <color rgb="FFC0C0C0"/>
      </right>
      <top/>
      <bottom style="thin">
        <color rgb="FFC0C0C0"/>
      </bottom>
      <diagonal/>
    </border>
    <border diagonalUp="false" diagonalDown="false">
      <left style="medium"/>
      <right style="thin">
        <color rgb="FFC0C0C0"/>
      </right>
      <top style="thin">
        <color rgb="FFFFFFFF"/>
      </top>
      <bottom style="thin">
        <color rgb="FFC0C0C0"/>
      </bottom>
      <diagonal/>
    </border>
    <border diagonalUp="false" diagonalDown="false">
      <left/>
      <right style="thin">
        <color rgb="FFC0C0C0"/>
      </right>
      <top style="thin">
        <color rgb="FFFFFFFF"/>
      </top>
      <bottom style="thin">
        <color rgb="FFC0C0C0"/>
      </bottom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dashDot">
        <color rgb="FF969696"/>
      </left>
      <right style="thin">
        <color rgb="FFC0C0C0"/>
      </right>
      <top style="thin">
        <color rgb="FFFFFFFF"/>
      </top>
      <bottom/>
      <diagonal/>
    </border>
    <border diagonalUp="false" diagonalDown="false">
      <left/>
      <right style="dashDot">
        <color rgb="FF969696"/>
      </right>
      <top/>
      <bottom/>
      <diagonal/>
    </border>
    <border diagonalUp="false" diagonalDown="false">
      <left style="thin">
        <color rgb="FFFFFFFF"/>
      </left>
      <right/>
      <top/>
      <bottom style="thin">
        <color rgb="FFC0C0C0"/>
      </bottom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 style="medium"/>
      <right style="thin"/>
      <top style="thin"/>
      <bottom style="dashDot"/>
      <diagonal/>
    </border>
    <border diagonalUp="false" diagonalDown="false">
      <left style="thin"/>
      <right style="thin"/>
      <top style="thin"/>
      <bottom style="dashDot"/>
      <diagonal/>
    </border>
    <border diagonalUp="false" diagonalDown="false">
      <left style="dashDot"/>
      <right style="thin"/>
      <top style="thin"/>
      <bottom style="dashDot"/>
      <diagonal/>
    </border>
    <border diagonalUp="false" diagonalDown="false">
      <left style="thin"/>
      <right style="medium"/>
      <top style="thin"/>
      <bottom style="dashDot"/>
      <diagonal/>
    </border>
    <border diagonalUp="false" diagonalDown="false">
      <left style="medium"/>
      <right style="thin"/>
      <top style="dashDot"/>
      <bottom style="medium"/>
      <diagonal/>
    </border>
    <border diagonalUp="false" diagonalDown="false">
      <left style="thin"/>
      <right style="thin"/>
      <top style="dashDot"/>
      <bottom style="medium"/>
      <diagonal/>
    </border>
    <border diagonalUp="false" diagonalDown="false">
      <left style="dashDot"/>
      <right style="thin"/>
      <top style="dashDot"/>
      <bottom style="medium"/>
      <diagonal/>
    </border>
    <border diagonalUp="false" diagonalDown="false">
      <left style="thin"/>
      <right style="medium"/>
      <top style="dashDot"/>
      <bottom style="medium"/>
      <diagonal/>
    </border>
    <border diagonalUp="false" diagonalDown="false">
      <left style="thin">
        <color rgb="FFFFFFFF"/>
      </left>
      <right style="thin">
        <color rgb="FFC0C0C0"/>
      </right>
      <top style="thin">
        <color rgb="FFFFFFFF"/>
      </top>
      <bottom style="thin">
        <color rgb="FFC0C0C0"/>
      </bottom>
      <diagonal/>
    </border>
    <border diagonalUp="false" diagonalDown="false">
      <left style="thin">
        <color rgb="FFFFFFFF"/>
      </left>
      <right/>
      <top style="thin">
        <color rgb="FFFFFFFF"/>
      </top>
      <bottom style="thin">
        <color rgb="FFC0C0C0"/>
      </bottom>
      <diagonal/>
    </border>
    <border diagonalUp="false" diagonalDown="false">
      <left style="medium"/>
      <right style="dashDot"/>
      <top style="medium"/>
      <bottom/>
      <diagonal/>
    </border>
    <border diagonalUp="false" diagonalDown="false">
      <left style="dashDot"/>
      <right/>
      <top style="medium"/>
      <bottom/>
      <diagonal/>
    </border>
    <border diagonalUp="false" diagonalDown="false">
      <left/>
      <right style="dashDot"/>
      <top style="medium"/>
      <bottom/>
      <diagonal/>
    </border>
    <border diagonalUp="false" diagonalDown="false">
      <left style="medium"/>
      <right style="dashDot"/>
      <top/>
      <bottom/>
      <diagonal/>
    </border>
    <border diagonalUp="false" diagonalDown="false">
      <left/>
      <right style="dashDot"/>
      <top style="medium"/>
      <bottom style="medium"/>
      <diagonal/>
    </border>
    <border diagonalUp="false" diagonalDown="false">
      <left style="medium"/>
      <right style="dashDot"/>
      <top style="medium"/>
      <bottom style="medium"/>
      <diagonal/>
    </border>
    <border diagonalUp="false" diagonalDown="false">
      <left/>
      <right style="dashDotDot"/>
      <top/>
      <bottom/>
      <diagonal/>
    </border>
    <border diagonalUp="false" diagonalDown="false">
      <left style="dashDot"/>
      <right style="medium"/>
      <top/>
      <bottom style="medium"/>
      <diagonal/>
    </border>
    <border diagonalUp="false" diagonalDown="false">
      <left/>
      <right style="dashDotDot"/>
      <top/>
      <bottom style="medium"/>
      <diagonal/>
    </border>
    <border diagonalUp="false" diagonalDown="false">
      <left style="medium"/>
      <right style="dashDot"/>
      <top/>
      <bottom style="medium"/>
      <diagonal/>
    </border>
    <border diagonalUp="false" diagonalDown="false">
      <left style="dashDot"/>
      <right style="dashDot"/>
      <top/>
      <bottom style="medium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</borders>
  <cellStyleXfs count="148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2" borderId="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4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8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3" borderId="0" applyFont="true" applyBorder="false" applyAlignment="false" applyProtection="false"/>
    <xf numFmtId="164" fontId="15" fillId="0" borderId="0" applyFont="true" applyBorder="false" applyAlignment="false" applyProtection="false"/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6" fillId="0" borderId="2" applyFont="true" applyBorder="true" applyAlignment="false" applyProtection="false"/>
    <xf numFmtId="164" fontId="14" fillId="4" borderId="0" applyFont="true" applyBorder="false" applyAlignment="false" applyProtection="false"/>
    <xf numFmtId="175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9" fillId="0" borderId="0" applyFont="true" applyBorder="false" applyAlignment="false" applyProtection="false"/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32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5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3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13" fillId="0" borderId="4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6" borderId="0" applyFont="true" applyBorder="false" applyAlignment="false" applyProtection="false"/>
    <xf numFmtId="17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3" borderId="0" applyFont="true" applyBorder="false" applyAlignment="false" applyProtection="false"/>
    <xf numFmtId="176" fontId="56" fillId="0" borderId="2" applyFont="true" applyBorder="true" applyAlignment="true" applyProtection="false">
      <alignment horizontal="general" vertical="bottom" textRotation="0" wrapText="false" indent="0" shrinkToFit="false"/>
    </xf>
  </cellStyleXfs>
  <cellXfs count="178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1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7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69" fillId="6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0" fillId="7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1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2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0" fontId="16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9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7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6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6" fillId="6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16" fillId="6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6" fillId="6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6" fillId="6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9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7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9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0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16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0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16" fillId="6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16" fillId="6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6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16" fillId="6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0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2" fontId="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9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9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5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81" fillId="6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16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16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16" fillId="6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5" fontId="1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1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81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67" fillId="6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16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16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0" fillId="0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70" fillId="0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70" fillId="0" borderId="3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7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8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0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6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2" fontId="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6" fillId="6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9" fillId="6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7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6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16" fillId="6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9" fillId="0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16" fillId="6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6" fillId="6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1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6" fillId="6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7" fillId="0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6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6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71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7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88" fillId="0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8" fontId="89" fillId="7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89" fillId="7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9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16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73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1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7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1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0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9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6" fillId="6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6" fillId="6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16" fillId="6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81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0" fontId="79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9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1" fontId="16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9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9" fillId="0" borderId="1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9" fillId="0" borderId="1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6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6" fillId="6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87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6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7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79" fillId="0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9" fillId="0" borderId="1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16" fillId="6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3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9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6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7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9" fillId="0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6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79" fillId="0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2" fontId="16" fillId="6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79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9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9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7" fontId="16" fillId="6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4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1" fontId="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8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3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9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3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11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1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6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6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6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2" fillId="6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3" fillId="6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93" fillId="6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3" fillId="6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0" fillId="10" borderId="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83" fontId="0" fillId="1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75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0" fillId="1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8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13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13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4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0" fillId="0" borderId="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0" fillId="1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6" fontId="7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6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5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5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16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6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9" fillId="0" borderId="6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16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77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1" fontId="1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1" fontId="16" fillId="6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16" fillId="6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16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9" fillId="0" borderId="5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16" fillId="6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16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77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16" fillId="6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16" fillId="1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9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5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7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7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9" fillId="0" borderId="6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16" fillId="6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16" fillId="6" borderId="5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16" fillId="6" borderId="1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1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6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6" fontId="7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1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2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0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1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15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7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9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7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9" fillId="0" borderId="7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73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5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1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1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1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6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7" borderId="7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7" borderId="7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7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7" borderId="7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7" borderId="7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7" borderId="7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7" borderId="7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7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7" borderId="7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7" borderId="7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7" borderId="8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8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8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7" borderId="8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7" borderId="8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8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8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8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8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8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8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3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7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7" fillId="3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7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64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7" borderId="7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8" fillId="7" borderId="7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8" fillId="7" borderId="7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8" fillId="7" borderId="7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1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7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4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0" borderId="7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7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87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0" borderId="7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7" borderId="8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7" borderId="8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7" borderId="9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0" fillId="7" borderId="9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7" borderId="9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0" fillId="7" borderId="9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0" borderId="2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4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9" fillId="0" borderId="7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0" fillId="0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7" borderId="9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0" fillId="7" borderId="9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9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5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70" fillId="7" borderId="7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0" fillId="7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0" fillId="7" borderId="9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9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7" fillId="9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11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1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11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11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7" fillId="11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0" fillId="11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9" fontId="9" fillId="11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9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9" fillId="11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9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1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79" fillId="11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11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9" fillId="11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0" fillId="7" borderId="9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0" borderId="7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9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6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3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7" fillId="3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9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9" fillId="3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87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0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0" fillId="7" borderId="9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70" fillId="7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7" borderId="9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70" fillId="17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1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1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17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7" fillId="17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70" fillId="7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0" fillId="7" borderId="9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87" fillId="11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0" fillId="6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6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1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9" fillId="0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0" fillId="0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70" fillId="7" borderId="9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71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16" fillId="6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0" borderId="1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16" borderId="9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16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16" borderId="9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16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9" fillId="1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16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7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7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7" borderId="7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7" borderId="8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7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7" borderId="9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7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7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0" fillId="7" borderId="9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9" fillId="0" borderId="7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3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3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7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5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79" fillId="5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5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9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7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3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9" fillId="0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3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6" fillId="6" borderId="7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7" borderId="7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7" borderId="8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7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9" fillId="7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1" fontId="79" fillId="7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7" borderId="8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7" borderId="8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3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7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81" fillId="6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3" fontId="7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7" borderId="7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77" fillId="7" borderId="7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9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72" fillId="0" borderId="9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72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72" fillId="0" borderId="6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6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9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0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10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10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81" fillId="6" borderId="10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0" borderId="6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16" fillId="6" borderId="10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0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0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0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77" fillId="6" borderId="10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9" fillId="6" borderId="10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0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0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0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0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4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70" fillId="0" borderId="6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70" fillId="0" borderId="9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70" fillId="0" borderId="6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5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10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6" fillId="6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6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6" fillId="6" borderId="4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6" borderId="11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" fillId="0" borderId="1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6" fillId="6" borderId="1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11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6" fillId="6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5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6" borderId="6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6" borderId="5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" fillId="0" borderId="5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6" fillId="6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5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" fillId="0" borderId="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81" fillId="6" borderId="6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81" fillId="6" borderId="5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9" fillId="0" borderId="5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9" fillId="0" borderId="5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9" fillId="0" borderId="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9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5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1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6" borderId="1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6" fillId="6" borderId="11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6" fillId="6" borderId="5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9" fillId="0" borderId="1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" fillId="0" borderId="1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6" fillId="6" borderId="11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9" fillId="0" borderId="5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" fillId="0" borderId="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6" borderId="1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9" fillId="0" borderId="11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9" fillId="0" borderId="5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9" fillId="0" borderId="1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" fillId="0" borderId="11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0" borderId="1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11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70" fillId="0" borderId="11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70" fillId="0" borderId="12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0" fillId="0" borderId="12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70" fillId="0" borderId="12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0" fillId="0" borderId="12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0" fillId="0" borderId="1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0" fillId="0" borderId="12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5" borderId="0" xfId="100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4" fillId="0" borderId="0" xfId="100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100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100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100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8" fillId="0" borderId="0" xfId="100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5" fillId="0" borderId="0" xfId="100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1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0" xfId="100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100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0" xfId="100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6" fontId="9" fillId="0" borderId="0" xfId="100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8" fillId="6" borderId="0" xfId="100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6" borderId="0" xfId="100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47" xfId="100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6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6" borderId="6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6" xfId="1002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5" borderId="7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0" xfId="100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0" fillId="5" borderId="16" xfId="100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5" borderId="17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2" fontId="70" fillId="5" borderId="17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2" fontId="70" fillId="5" borderId="17" xfId="1002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5" borderId="29" xfId="1002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47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71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2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9" fillId="5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9" fillId="0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7" fillId="6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9" fillId="5" borderId="71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16" fillId="6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9" fillId="5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9" fillId="5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81" fillId="6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9" fillId="5" borderId="71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89" fillId="6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9" fillId="0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95" fillId="5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95" fillId="5" borderId="71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4" fontId="9" fillId="5" borderId="0" xfId="100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0" fillId="0" borderId="16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0" fillId="0" borderId="17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0" fillId="5" borderId="17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0" fillId="5" borderId="29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9" fillId="5" borderId="0" xfId="100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12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9" fillId="5" borderId="0" xfId="1002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0" fillId="7" borderId="76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7" borderId="77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2" fontId="70" fillId="7" borderId="77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7" borderId="8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9" fillId="6" borderId="0" xfId="100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7" fillId="7" borderId="77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7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0" fillId="7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7" borderId="71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3" fillId="5" borderId="0" xfId="100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12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16" fillId="7" borderId="124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16" fillId="7" borderId="125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16" fillId="7" borderId="126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9" fillId="7" borderId="71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9" fillId="7" borderId="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9" fillId="7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9" fillId="7" borderId="71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7" borderId="83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7" borderId="84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7" borderId="87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16" xfId="100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17" xfId="100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29" xfId="100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5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5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5" fillId="5" borderId="5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0" fillId="5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70" fillId="5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5" borderId="10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5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4" fillId="7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7" fillId="7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7" fillId="7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7" borderId="0" xfId="100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7" fillId="7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6" fillId="7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7" fillId="7" borderId="6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5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7" borderId="6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81" fillId="7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9" fillId="7" borderId="6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0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7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5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6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5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1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5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5" borderId="0" xfId="100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4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70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0" fillId="0" borderId="12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9" fillId="7" borderId="7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9" fillId="7" borderId="8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7" borderId="9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7" borderId="9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9" fillId="7" borderId="12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89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7" fillId="7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7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3" fillId="1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79" fillId="1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16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3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5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3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9" fillId="5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81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2" fillId="7" borderId="7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2" fillId="7" borderId="7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2" fillId="7" borderId="8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2" fillId="7" borderId="8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2" fillId="7" borderId="8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2" fillId="7" borderId="1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0" fillId="7" borderId="1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110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2" fillId="5" borderId="44" xfId="100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5" borderId="111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56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2" fillId="5" borderId="0" xfId="100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5" borderId="57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101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2" fillId="5" borderId="3" xfId="1002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5" borderId="109" xfId="1002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2" fillId="7" borderId="7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2" fillId="7" borderId="7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2" fillId="7" borderId="1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0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4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10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9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4" fillId="3" borderId="6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4" fillId="3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9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0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4" fillId="3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1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7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6" borderId="4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1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6" borderId="1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4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5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5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7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7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4" fillId="3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6" fillId="6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6" fillId="6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6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0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10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0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5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1" fillId="6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9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1" fillId="6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1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8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1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4" fillId="3" borderId="1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7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9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0" fillId="0" borderId="7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7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0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7" borderId="7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8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7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7" borderId="7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7" borderId="1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9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7" borderId="8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7" borderId="9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7" borderId="8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7" borderId="1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7" borderId="8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7" borderId="9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1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8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7" borderId="8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7" borderId="1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9" fillId="0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79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73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1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1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5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6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6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4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6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7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9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0" fillId="0" borderId="1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4" fillId="0" borderId="1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0" borderId="1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0" borderId="29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9" fillId="6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4" fillId="0" borderId="4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9" fillId="0" borderId="1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79" fillId="0" borderId="1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9" fillId="0" borderId="14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9" fillId="0" borderId="14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14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64" fillId="0" borderId="1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4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70" fillId="0" borderId="14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70" fillId="0" borderId="14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7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0" fillId="7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7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7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7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7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0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7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7" borderId="7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3" fillId="7" borderId="7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3" fillId="7" borderId="7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7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1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7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9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70" fillId="0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70" fillId="0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70" fillId="0" borderId="1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6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9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9" fillId="0" borderId="9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9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16" fillId="6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6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0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16" fillId="6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0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0" borderId="10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1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16" fillId="6" borderId="1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9" fillId="0" borderId="9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9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9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9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9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1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6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9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6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9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9" fillId="0" borderId="6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5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9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5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9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6" borderId="6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2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5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3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75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0" fontId="7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2" fontId="9" fillId="0" borderId="1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2" fillId="0" borderId="9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6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5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9" fillId="0" borderId="5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9" fillId="0" borderId="5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9" fillId="0" borderId="5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6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4" fillId="0" borderId="9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9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6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5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9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0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0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7" fillId="0" borderId="9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9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6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7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8" fontId="9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0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6" borderId="1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9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6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0" fillId="6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0" fillId="6" borderId="1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7" fillId="0" borderId="6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9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6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5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6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6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6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9" fillId="0" borderId="6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9" fillId="0" borderId="9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6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6" fontId="16" fillId="6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6" fontId="16" fillId="6" borderId="1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7" fillId="0" borderId="1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6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6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7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9" fillId="0" borderId="1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4" fillId="0" borderId="1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1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9" fillId="0" borderId="1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1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1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9" fillId="0" borderId="1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0" fillId="0" borderId="1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9" fillId="0" borderId="1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6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5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9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9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9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9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9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1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79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1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16" fillId="6" borderId="9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5" fontId="16" fillId="6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9" fillId="0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9" fillId="0" borderId="5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16" fillId="6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9" fillId="0" borderId="9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6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9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9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0" fontId="9" fillId="0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6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9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16" fillId="6" borderId="6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9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9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9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9" fillId="0" borderId="9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9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9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5" borderId="6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9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9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79" fillId="0" borderId="99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9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7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9" fillId="0" borderId="1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9" fillId="0" borderId="1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9" fillId="0" borderId="6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9" fillId="0" borderId="99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6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6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99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0" fillId="0" borderId="6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9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1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1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11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77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77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6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1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77" fillId="0" borderId="10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0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6" fillId="0" borderId="10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0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82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7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7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2" fillId="7" borderId="1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9" fillId="0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7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6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77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0" fillId="0" borderId="5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0" fillId="0" borderId="5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1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2" fontId="95" fillId="0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3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0" fillId="0" borderId="13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2" fillId="7" borderId="1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81" fillId="6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9" fillId="0" borderId="1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7" fontId="0" fillId="0" borderId="5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97" fontId="0" fillId="0" borderId="5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90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0" fillId="0" borderId="1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6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0" fillId="0" borderId="13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9" fillId="0" borderId="7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1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0" fillId="14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0" fillId="14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0" fillId="1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1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14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1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7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7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9" fillId="14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14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9" fillId="1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14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9" fillId="0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110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110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8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9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7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3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6" borderId="56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13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3" fillId="0" borderId="0" xfId="110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12" xfId="110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6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6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6" borderId="12" xfId="110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110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110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110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13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0" xfId="110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69" fillId="6" borderId="13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69" fillId="6" borderId="56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69" fillId="6" borderId="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3" fillId="0" borderId="12" xfId="110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110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2" fontId="16" fillId="6" borderId="13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2" xfId="100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3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56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2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113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3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03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56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3" fillId="6" borderId="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2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6" borderId="0" xfId="100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100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16" fillId="6" borderId="103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9" fillId="0" borderId="56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9" fillId="0" borderId="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9" fillId="0" borderId="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16" fillId="6" borderId="56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16" fillId="6" borderId="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6" borderId="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77" fillId="6" borderId="13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9" fillId="0" borderId="12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9" fillId="0" borderId="0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16" fillId="6" borderId="13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9" fillId="0" borderId="12" xfId="100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9" fillId="0" borderId="0" xfId="100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16" fillId="6" borderId="0" xfId="100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0" fillId="0" borderId="103" xfId="110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9" fillId="0" borderId="56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9" fillId="0" borderId="13" xfId="110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4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2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110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2" fillId="0" borderId="0" xfId="110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71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7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7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4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1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5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15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5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5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6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5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5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4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64" fillId="0" borderId="5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7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0" fillId="0" borderId="1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58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5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1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1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0" fillId="0" borderId="5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5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16" fillId="6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9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6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1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15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1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1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1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2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5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3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5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5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5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8" fontId="9" fillId="0" borderId="1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0" fillId="0" borderId="158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7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9" fillId="0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0" fillId="0" borderId="5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0" borderId="5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9" fillId="0" borderId="5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9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0" fillId="0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7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5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6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0" fillId="0" borderId="6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6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17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16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18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6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15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16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5" fontId="0" fillId="0" borderId="16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9" fillId="0" borderId="1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3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64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1" fontId="9" fillId="0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77" fillId="0" borderId="5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0" fillId="0" borderId="1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16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1" fillId="6" borderId="1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1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</cellXfs>
  <cellStyles count="146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?? [0]_94???" xfId="20"/>
    <cellStyle name="?? [0]_94???_demand analysisrevised" xfId="21"/>
    <cellStyle name="?? [0]_??" xfId="22"/>
    <cellStyle name="?? [0]_???" xfId="23"/>
    <cellStyle name="?? [0]_?????" xfId="24"/>
    <cellStyle name="?? [0]_?????_???" xfId="25"/>
    <cellStyle name="?? [0]_?????_???_demand analysisrevised" xfId="26"/>
    <cellStyle name="?? [0]_?????_demand analysisrevised" xfId="27"/>
    <cellStyle name="?? [0]_???_demand analysisrevised" xfId="28"/>
    <cellStyle name="?? [0]_??_demand analysisrevised" xfId="29"/>
    <cellStyle name="?? [0]_dimon" xfId="30"/>
    <cellStyle name="?? [0]_form" xfId="31"/>
    <cellStyle name="?? [0]_form_demand analysisrevised" xfId="32"/>
    <cellStyle name="?? [0]_laroux" xfId="33"/>
    <cellStyle name="?? [0]_laroux_1" xfId="34"/>
    <cellStyle name="?? [0]_laroux_1_demand analysisrevised" xfId="35"/>
    <cellStyle name="?? [0]_laroux_2" xfId="36"/>
    <cellStyle name="?? [0]_laroux_demand analysisrevised" xfId="37"/>
    <cellStyle name="?? [0]_PERSONAL" xfId="38"/>
    <cellStyle name="?? [0]_PERSONAL_1" xfId="39"/>
    <cellStyle name="?? [0]_PERSONAL_1_demand analysisrevised" xfId="40"/>
    <cellStyle name="?? [0]_PERSONAL_2" xfId="41"/>
    <cellStyle name="?? [0]_PERSONAL_2_demand analysisrevised" xfId="42"/>
    <cellStyle name="?? [0]_PERSONAL_3" xfId="43"/>
    <cellStyle name="?? [0]_PERSONAL_demand analysisrevised" xfId="44"/>
    <cellStyle name="?? [0]_Sheet2" xfId="45"/>
    <cellStyle name="??_94???" xfId="46"/>
    <cellStyle name="??_94???_demand analysisrevised" xfId="47"/>
    <cellStyle name="??_970120" xfId="48"/>
    <cellStyle name="??_97???" xfId="49"/>
    <cellStyle name="??_?.????" xfId="50"/>
    <cellStyle name="??_??" xfId="51"/>
    <cellStyle name="??_???" xfId="52"/>
    <cellStyle name="??_????" xfId="53"/>
    <cellStyle name="??_?????" xfId="54"/>
    <cellStyle name="??_?????_1" xfId="55"/>
    <cellStyle name="??_?????_2" xfId="56"/>
    <cellStyle name="??_?????_???" xfId="57"/>
    <cellStyle name="??_?????_???_demand analysisrevised" xfId="58"/>
    <cellStyle name="??_?????_???_demand analysisrevised_1" xfId="59"/>
    <cellStyle name="??_?????_demand analysisrevised" xfId="60"/>
    <cellStyle name="??_?????_demand analysisrevised_1" xfId="61"/>
    <cellStyle name="??_????_1" xfId="62"/>
    <cellStyle name="??_???_demand analysisrevised" xfId="63"/>
    <cellStyle name="??_???_demand analysisrevised_1" xfId="64"/>
    <cellStyle name="??_??_1" xfId="65"/>
    <cellStyle name="??_??_????" xfId="66"/>
    <cellStyle name="??_??_????_demand analysisrevised" xfId="67"/>
    <cellStyle name="??_??_demand analysisrevised" xfId="68"/>
    <cellStyle name="??_??_demand analysisrevised_1" xfId="69"/>
    <cellStyle name="??_??_demand analysisrevised_2" xfId="70"/>
    <cellStyle name="??_BEBU_GI" xfId="71"/>
    <cellStyle name="??_dimon" xfId="72"/>
    <cellStyle name="??_dimon_demand analysisrevised" xfId="73"/>
    <cellStyle name="??_form" xfId="74"/>
    <cellStyle name="??_form_demand analysisrevised" xfId="75"/>
    <cellStyle name="??_form_demand analysisrevised_1" xfId="76"/>
    <cellStyle name="??_ga_PB" xfId="77"/>
    <cellStyle name="??_laroux" xfId="78"/>
    <cellStyle name="??_laroux_1" xfId="79"/>
    <cellStyle name="??_laroux_1_demand analysisrevised" xfId="80"/>
    <cellStyle name="??_laroux_1_demand analysisrevised_1" xfId="81"/>
    <cellStyle name="??_laroux_2" xfId="82"/>
    <cellStyle name="??_laroux_2_demand analysisrevised" xfId="83"/>
    <cellStyle name="??_laroux_3" xfId="84"/>
    <cellStyle name="??_laroux_4" xfId="85"/>
    <cellStyle name="??_laroux_5" xfId="86"/>
    <cellStyle name="??_laroux_6" xfId="87"/>
    <cellStyle name="??_laroux_7" xfId="88"/>
    <cellStyle name="??_laroux_8" xfId="89"/>
    <cellStyle name="??_laroux_demand analysisrevised" xfId="90"/>
    <cellStyle name="??_laroux_demand analysisrevised_1" xfId="91"/>
    <cellStyle name="??_PERSONAL" xfId="92"/>
    <cellStyle name="??_PERSONAL_1" xfId="93"/>
    <cellStyle name="??_PERSONAL_1_demand analysisrevised" xfId="94"/>
    <cellStyle name="??_PERSONAL_1_demand analysisrevised_1" xfId="95"/>
    <cellStyle name="??_PERSONAL_2" xfId="96"/>
    <cellStyle name="??_PERSONAL_2_demand analysisrevised" xfId="97"/>
    <cellStyle name="??_PERSONAL_2_demand analysisrevised_1" xfId="98"/>
    <cellStyle name="??_PERSONAL_3" xfId="99"/>
    <cellStyle name="??_PERSONAL_3_demand analysisrevised" xfId="100"/>
    <cellStyle name="??_PERSONAL_4" xfId="101"/>
    <cellStyle name="??_PERSONAL_demand analysisrevised" xfId="102"/>
    <cellStyle name="??_PERSONAL_demand analysisrevised_1" xfId="103"/>
    <cellStyle name="??_Query11" xfId="104"/>
    <cellStyle name="??_Sheet1" xfId="105"/>
    <cellStyle name="??_Sheet1 (2)" xfId="106"/>
    <cellStyle name="??_Sheet2" xfId="107"/>
    <cellStyle name="??_Sheet2_demand analysisrevised" xfId="108"/>
    <cellStyle name="Actual Date" xfId="109"/>
    <cellStyle name="Comma [0]_12matrix" xfId="110"/>
    <cellStyle name="Comma [0]_1995" xfId="111"/>
    <cellStyle name="Comma [0]_A" xfId="112"/>
    <cellStyle name="Comma [0]_A_dimon" xfId="113"/>
    <cellStyle name="Comma [0]_ACTUAL" xfId="114"/>
    <cellStyle name="Comma [0]_ACTUAL NA -OBU" xfId="115"/>
    <cellStyle name="Comma [0]_Actual vs." xfId="116"/>
    <cellStyle name="Comma [0]_algasdefault" xfId="117"/>
    <cellStyle name="Comma [0]_Alternative1" xfId="118"/>
    <cellStyle name="Comma [0]_Alternative1_1" xfId="119"/>
    <cellStyle name="Comma [0]_App E" xfId="120"/>
    <cellStyle name="Comma [0]_Apr" xfId="121"/>
    <cellStyle name="Comma [0]_Arapahoe" xfId="122"/>
    <cellStyle name="Comma [0]_Assumptions" xfId="123"/>
    <cellStyle name="Comma [0]_bahiadefault" xfId="124"/>
    <cellStyle name="Comma [0]_Book3" xfId="125"/>
    <cellStyle name="Comma [0]_BOP" xfId="126"/>
    <cellStyle name="Comma [0]_BOPBAL1" xfId="127"/>
    <cellStyle name="Comma [0]_BOPCBU" xfId="128"/>
    <cellStyle name="Comma [0]_BOPCBU (2)" xfId="129"/>
    <cellStyle name="Comma [0]_BOPCBU96" xfId="130"/>
    <cellStyle name="Comma [0]_BSAPPE.XLS" xfId="131"/>
    <cellStyle name="Comma [0]_Calculations" xfId="132"/>
    <cellStyle name="Comma [0]_Calculations (2)" xfId="133"/>
    <cellStyle name="Comma [0]_Calculations II" xfId="134"/>
    <cellStyle name="Comma [0]_Calculations III" xfId="135"/>
    <cellStyle name="Comma [0]_Calculations_1" xfId="136"/>
    <cellStyle name="Comma [0]_CAPEX" xfId="137"/>
    <cellStyle name="Comma [0]_CAPEX94" xfId="138"/>
    <cellStyle name="Comma [0]_CBU BOX CHART V PLAN" xfId="139"/>
    <cellStyle name="Comma [0]_CCA" xfId="140"/>
    <cellStyle name="Comma [0]_CCOCPX" xfId="141"/>
    <cellStyle name="Comma [0]_CHANGES.XLS" xfId="142"/>
    <cellStyle name="Comma [0]_Charts" xfId="143"/>
    <cellStyle name="Comma [0]_Comm File" xfId="144"/>
    <cellStyle name="Comma [0]_coperdefault" xfId="145"/>
    <cellStyle name="Comma [0]_Corp method" xfId="146"/>
    <cellStyle name="Comma [0]_CTCUR" xfId="147"/>
    <cellStyle name="Comma [0]_CUMPLTCH" xfId="148"/>
    <cellStyle name="Comma [0]_DEFAULT" xfId="149"/>
    <cellStyle name="Comma [0]_dimon" xfId="150"/>
    <cellStyle name="Comma [0]_Dowell C1b" xfId="151"/>
    <cellStyle name="Comma [0]_Dowell-C1a" xfId="152"/>
    <cellStyle name="Comma [0]_E&amp;ONW1" xfId="153"/>
    <cellStyle name="Comma [0]_E&amp;ONW2" xfId="154"/>
    <cellStyle name="Comma [0]_E&amp;OOCPX" xfId="155"/>
    <cellStyle name="Comma [0]_emserdefault" xfId="156"/>
    <cellStyle name="Comma [0]_F&amp;COCPX" xfId="157"/>
    <cellStyle name="Comma [0]_FEBRUARY" xfId="158"/>
    <cellStyle name="Comma [0]_FF" xfId="159"/>
    <cellStyle name="Comma [0]_FP 20 A (1)" xfId="160"/>
    <cellStyle name="Comma [0]_FP 20 A (2)" xfId="161"/>
    <cellStyle name="Comma [0]_FP-20 (App. E)" xfId="162"/>
    <cellStyle name="Comma [0]_FP-20 (App.A) " xfId="163"/>
    <cellStyle name="Comma [0]_FP-20 (App.D)" xfId="164"/>
    <cellStyle name="Comma [0]_FP-20(App.B)" xfId="165"/>
    <cellStyle name="Comma [0]_FP-20(C1) (a)" xfId="166"/>
    <cellStyle name="Comma [0]_FP-20(C1) (a) (2)" xfId="167"/>
    <cellStyle name="Comma [0]_FP-20(C1) (b)" xfId="168"/>
    <cellStyle name="Comma [0]_FP-20(C1) (b) " xfId="169"/>
    <cellStyle name="Comma [0]_FP-20(C1) (b) (2)" xfId="170"/>
    <cellStyle name="Comma [0]_GCM" xfId="171"/>
    <cellStyle name="Comma [0]_GenAssum" xfId="172"/>
    <cellStyle name="Comma [0]_GP C1a" xfId="173"/>
    <cellStyle name="Comma [0]_GP C1b" xfId="174"/>
    <cellStyle name="Comma [0]_GP_EI_3" xfId="175"/>
    <cellStyle name="Comma [0]_GQ C1A" xfId="176"/>
    <cellStyle name="Comma [0]_GQ C1B" xfId="177"/>
    <cellStyle name="Comma [0]_Inputs" xfId="178"/>
    <cellStyle name="Comma [0]_IPM C1b" xfId="179"/>
    <cellStyle name="Comma [0]_IPMC1a" xfId="180"/>
    <cellStyle name="Comma [0]_IS-Hold" xfId="181"/>
    <cellStyle name="Comma [0]_ITOCPX" xfId="182"/>
    <cellStyle name="Comma [0]_jancf" xfId="183"/>
    <cellStyle name="Comma [0]_JUNMTH55" xfId="184"/>
    <cellStyle name="Comma [0]_JUNMTH57" xfId="185"/>
    <cellStyle name="Comma [0]_JUNYTD55" xfId="186"/>
    <cellStyle name="Comma [0]_JUNYTD57" xfId="187"/>
    <cellStyle name="Comma [0]_laroux" xfId="188"/>
    <cellStyle name="Comma [0]_laroux_1" xfId="189"/>
    <cellStyle name="Comma [0]_laroux_1995" xfId="190"/>
    <cellStyle name="Comma [0]_laroux_1_dimon" xfId="191"/>
    <cellStyle name="Comma [0]_laroux_1_dimon_1" xfId="192"/>
    <cellStyle name="Comma [0]_laroux_1_laroux" xfId="193"/>
    <cellStyle name="Comma [0]_laroux_1_pldt" xfId="194"/>
    <cellStyle name="Comma [0]_laroux_1_PLDT_dimon" xfId="195"/>
    <cellStyle name="Comma [0]_laroux_1_VERA" xfId="196"/>
    <cellStyle name="Comma [0]_laroux_1_VIRUS-EDY" xfId="197"/>
    <cellStyle name="Comma [0]_laroux_2" xfId="198"/>
    <cellStyle name="Comma [0]_laroux_2_dimon" xfId="199"/>
    <cellStyle name="Comma [0]_laroux_2_dimon_1" xfId="200"/>
    <cellStyle name="Comma [0]_laroux_2_dimon_2" xfId="201"/>
    <cellStyle name="Comma [0]_laroux_2_laroux" xfId="202"/>
    <cellStyle name="Comma [0]_laroux_2_laroux_dimon" xfId="203"/>
    <cellStyle name="Comma [0]_laroux_2_pldt" xfId="204"/>
    <cellStyle name="Comma [0]_laroux_2_VERA" xfId="205"/>
    <cellStyle name="Comma [0]_laroux_3" xfId="206"/>
    <cellStyle name="Comma [0]_laroux_3_dimon" xfId="207"/>
    <cellStyle name="Comma [0]_laroux_dimon" xfId="208"/>
    <cellStyle name="Comma [0]_laroux_dimon_1" xfId="209"/>
    <cellStyle name="Comma [0]_laroux_laroux" xfId="210"/>
    <cellStyle name="Comma [0]_laroux_laroux_1" xfId="211"/>
    <cellStyle name="Comma [0]_laroux_laroux_dimon" xfId="212"/>
    <cellStyle name="Comma [0]_laroux_MATERAL2" xfId="213"/>
    <cellStyle name="Comma [0]_laroux_MATERAL2_dimon" xfId="214"/>
    <cellStyle name="Comma [0]_laroux_MATERAL2_laroux" xfId="215"/>
    <cellStyle name="Comma [0]_laroux_MATERAL2_laroux_dimon" xfId="216"/>
    <cellStyle name="Comma [0]_laroux_MATERAL2_pldt" xfId="217"/>
    <cellStyle name="Comma [0]_laroux_MATERAL2_VERA" xfId="218"/>
    <cellStyle name="Comma [0]_laroux_MATERAL2_VIRUS-EDY" xfId="219"/>
    <cellStyle name="Comma [0]_laroux_mud plant bolted" xfId="220"/>
    <cellStyle name="Comma [0]_laroux_mud plant bolted_dimon" xfId="221"/>
    <cellStyle name="Comma [0]_laroux_mud plant bolted_dimon_1" xfId="222"/>
    <cellStyle name="Comma [0]_laroux_pldt" xfId="223"/>
    <cellStyle name="Comma [0]_laroux_VERA" xfId="224"/>
    <cellStyle name="Comma [0]_laroux_VERA_1" xfId="225"/>
    <cellStyle name="Comma [0]_laroux_VIRUS-EDY" xfId="226"/>
    <cellStyle name="Comma [0]_MATERAL2" xfId="227"/>
    <cellStyle name="Comma [0]_MATERAL2_dimon" xfId="228"/>
    <cellStyle name="Comma [0]_MATERAL2_dimon_1" xfId="229"/>
    <cellStyle name="Comma [0]_may98dcr" xfId="230"/>
    <cellStyle name="Comma [0]_MKGOCPX" xfId="231"/>
    <cellStyle name="Comma [0]_MOBCPX" xfId="232"/>
    <cellStyle name="Comma [0]_mud plant bolted" xfId="233"/>
    <cellStyle name="Comma [0]_mud plant bolted_dimon" xfId="234"/>
    <cellStyle name="Comma [0]_mud plant bolted_laroux" xfId="235"/>
    <cellStyle name="Comma [0]_mud plant bolted_laroux_dimon" xfId="236"/>
    <cellStyle name="Comma [0]_mud plant bolted_pldt" xfId="237"/>
    <cellStyle name="Comma [0]_mud plant bolted_VERA" xfId="238"/>
    <cellStyle name="Comma [0]_mud plant bolted_VIRUS-EDY" xfId="239"/>
    <cellStyle name="Comma [0]_NA WITHOUT GOV'T &amp; PNX" xfId="240"/>
    <cellStyle name="Comma [0]_NAOBU10" xfId="241"/>
    <cellStyle name="Comma [0]_NAT ACCT" xfId="242"/>
    <cellStyle name="Comma [0]_NSACTUAL.XLS" xfId="243"/>
    <cellStyle name="Comma [0]_NX00" xfId="244"/>
    <cellStyle name="Comma [0]_Odner" xfId="245"/>
    <cellStyle name="Comma [0]_Odner (2)" xfId="246"/>
    <cellStyle name="Comma [0]_Odner (3)" xfId="247"/>
    <cellStyle name="Comma [0]_OSMOCPX" xfId="248"/>
    <cellStyle name="Comma [0]_Other Months" xfId="249"/>
    <cellStyle name="Comma [0]_Outlook" xfId="250"/>
    <cellStyle name="Comma [0]_pbdefault" xfId="251"/>
    <cellStyle name="Comma [0]_percentages" xfId="252"/>
    <cellStyle name="Comma [0]_PERSONAL" xfId="253"/>
    <cellStyle name="Comma [0]_PGMKOCPX" xfId="254"/>
    <cellStyle name="Comma [0]_PGNW1" xfId="255"/>
    <cellStyle name="Comma [0]_PGNW2" xfId="256"/>
    <cellStyle name="Comma [0]_PGNWOCPX" xfId="257"/>
    <cellStyle name="Comma [0]_Pink" xfId="258"/>
    <cellStyle name="Comma [0]_Plan" xfId="259"/>
    <cellStyle name="Comma [0]_PLANT" xfId="260"/>
    <cellStyle name="Comma [0]_PLDT" xfId="261"/>
    <cellStyle name="Comma [0]_pldt_1" xfId="262"/>
    <cellStyle name="Comma [0]_PLDT_1_dimon" xfId="263"/>
    <cellStyle name="Comma [0]_pldt_Calculations" xfId="264"/>
    <cellStyle name="Comma [0]_PLDT_dimon" xfId="265"/>
    <cellStyle name="Comma [0]_priccurv" xfId="266"/>
    <cellStyle name="Comma [0]_PROCDS&amp;G" xfId="267"/>
    <cellStyle name="Comma [0]_PROFILE4" xfId="268"/>
    <cellStyle name="Comma [0]_Projects" xfId="269"/>
    <cellStyle name="Comma [0]_Quarter End Months" xfId="270"/>
    <cellStyle name="Comma [0]_r1" xfId="271"/>
    <cellStyle name="Comma [0]_RFI" xfId="272"/>
    <cellStyle name="Comma [0]_RFI_1" xfId="273"/>
    <cellStyle name="Comma [0]_Sales Order" xfId="274"/>
    <cellStyle name="Comma [0]_SATOCPX" xfId="275"/>
    <cellStyle name="Comma [0]_Sheet1" xfId="276"/>
    <cellStyle name="Comma [0]_Sheet1_dimon" xfId="277"/>
    <cellStyle name="Comma [0]_SHENREPT" xfId="278"/>
    <cellStyle name="Comma [0]_Snr. CO" xfId="279"/>
    <cellStyle name="Comma [0]_sprint contr" xfId="280"/>
    <cellStyle name="Comma [0]_Subcont File" xfId="281"/>
    <cellStyle name="Comma [0]_Summary Info" xfId="282"/>
    <cellStyle name="Comma [0]_SUMPAGE" xfId="283"/>
    <cellStyle name="Comma [0]_TMSNW1" xfId="284"/>
    <cellStyle name="Comma [0]_TMSNW2" xfId="285"/>
    <cellStyle name="Comma [0]_TMSOCPX" xfId="286"/>
    <cellStyle name="Comma [0]_TOTAL MTH" xfId="287"/>
    <cellStyle name="Comma [0]_TOTAL YTD" xfId="288"/>
    <cellStyle name="Comma [0]_TRANSDSC.XLS" xfId="289"/>
    <cellStyle name="Comma [0]_TRANSFXA.XLS" xfId="290"/>
    <cellStyle name="Comma [0]_TRANSFXA.XLS_1" xfId="291"/>
    <cellStyle name="Comma [0]_TRANSIME.XLS" xfId="292"/>
    <cellStyle name="Comma [0]_TRANSIME.XLS_TRANSDSC.XLS" xfId="293"/>
    <cellStyle name="Comma [0]_TRANSIME.XLS_TRANSFXA.XLS" xfId="294"/>
    <cellStyle name="Comma [0]_VIRUS-EDY" xfId="295"/>
    <cellStyle name="Comma [0]_White" xfId="296"/>
    <cellStyle name="Comma [0]_WO Var. &amp; Tot. Exp." xfId="297"/>
    <cellStyle name="Comma [0]_WSP" xfId="298"/>
    <cellStyle name="Comma [0]_yrcao" xfId="299"/>
    <cellStyle name="Comma [0]_YREND55" xfId="300"/>
    <cellStyle name="Comma [0]_YREND57" xfId="301"/>
    <cellStyle name="Comma [0]_YTDCUR" xfId="302"/>
    <cellStyle name="Comma_12matrix" xfId="303"/>
    <cellStyle name="Comma_1995" xfId="304"/>
    <cellStyle name="Comma_A" xfId="305"/>
    <cellStyle name="Comma_A_dimon" xfId="306"/>
    <cellStyle name="Comma_ACTUAL" xfId="307"/>
    <cellStyle name="Comma_ACTUAL NA -OBU" xfId="308"/>
    <cellStyle name="Comma_Actual vs." xfId="309"/>
    <cellStyle name="Comma_algasdefault" xfId="310"/>
    <cellStyle name="Comma_algasdefault_1" xfId="311"/>
    <cellStyle name="Comma_Alternative1" xfId="312"/>
    <cellStyle name="Comma_Alternative1_1" xfId="313"/>
    <cellStyle name="Comma_App E" xfId="314"/>
    <cellStyle name="Comma_Apr" xfId="315"/>
    <cellStyle name="Comma_Arapahoe" xfId="316"/>
    <cellStyle name="Comma_Assumptions" xfId="317"/>
    <cellStyle name="Comma_bahiadefault" xfId="318"/>
    <cellStyle name="Comma_bahiadefault_1" xfId="319"/>
    <cellStyle name="Comma_Book3" xfId="320"/>
    <cellStyle name="Comma_BOP" xfId="321"/>
    <cellStyle name="Comma_BOPBAL1" xfId="322"/>
    <cellStyle name="Comma_BOPCBU" xfId="323"/>
    <cellStyle name="Comma_BOPCBU (2)" xfId="324"/>
    <cellStyle name="Comma_BOPCBU96" xfId="325"/>
    <cellStyle name="Comma_BSAPPE.XLS" xfId="326"/>
    <cellStyle name="Comma_C-Cap intensity" xfId="327"/>
    <cellStyle name="Comma_C-Capex%rev" xfId="328"/>
    <cellStyle name="Comma_C-Line per Staff" xfId="329"/>
    <cellStyle name="Comma_C-lines distribution" xfId="330"/>
    <cellStyle name="Comma_C-Orig PLDT lines" xfId="331"/>
    <cellStyle name="Comma_C-Ret on Rev" xfId="332"/>
    <cellStyle name="Comma_C-ROACE" xfId="333"/>
    <cellStyle name="Comma_Calculations" xfId="334"/>
    <cellStyle name="Comma_Calculations (2)" xfId="335"/>
    <cellStyle name="Comma_Calculations II" xfId="336"/>
    <cellStyle name="Comma_Calculations III" xfId="337"/>
    <cellStyle name="Comma_Calculations_1" xfId="338"/>
    <cellStyle name="Comma_Capex" xfId="339"/>
    <cellStyle name="Comma_Capex per line" xfId="340"/>
    <cellStyle name="Comma_Capex%rev" xfId="341"/>
    <cellStyle name="Comma_CAPEX94" xfId="342"/>
    <cellStyle name="Comma_CAPEX_dimon" xfId="343"/>
    <cellStyle name="Comma_CBU BOX CHART V PLAN" xfId="344"/>
    <cellStyle name="Comma_CCA" xfId="345"/>
    <cellStyle name="Comma_CCOCPX" xfId="346"/>
    <cellStyle name="Comma_CHANGES.XLS" xfId="347"/>
    <cellStyle name="Comma_Charts" xfId="348"/>
    <cellStyle name="Comma_Cht-Capex per line" xfId="349"/>
    <cellStyle name="Comma_Cht-Cum Real Opr Cf" xfId="350"/>
    <cellStyle name="Comma_Cht-Dep%Rev" xfId="351"/>
    <cellStyle name="Comma_Cht-Real Opr Cf" xfId="352"/>
    <cellStyle name="Comma_Cht-Rev dist" xfId="353"/>
    <cellStyle name="Comma_Cht-Rev p line" xfId="354"/>
    <cellStyle name="Comma_Cht-Rev per Staff" xfId="355"/>
    <cellStyle name="Comma_Cht-Staff cost%revenue" xfId="356"/>
    <cellStyle name="Comma_Comm File" xfId="357"/>
    <cellStyle name="Comma_coperdefault" xfId="358"/>
    <cellStyle name="Comma_coperdefault_1" xfId="359"/>
    <cellStyle name="Comma_Corp method" xfId="360"/>
    <cellStyle name="Comma_CROCF" xfId="361"/>
    <cellStyle name="Comma_CTCUR" xfId="362"/>
    <cellStyle name="Comma_Cum Real Opr Cf" xfId="363"/>
    <cellStyle name="Comma_CUMPLTCH" xfId="364"/>
    <cellStyle name="Comma_DEFAULT" xfId="365"/>
    <cellStyle name="Comma_Demand Fcst." xfId="366"/>
    <cellStyle name="Comma_Dep%Rev" xfId="367"/>
    <cellStyle name="Comma_dimon" xfId="368"/>
    <cellStyle name="Comma_Dowell C1b" xfId="369"/>
    <cellStyle name="Comma_Dowell-C1a" xfId="370"/>
    <cellStyle name="Comma_E&amp;ONW1" xfId="371"/>
    <cellStyle name="Comma_E&amp;ONW2" xfId="372"/>
    <cellStyle name="Comma_E&amp;OOCPX" xfId="373"/>
    <cellStyle name="Comma_emserdefault" xfId="374"/>
    <cellStyle name="Comma_emserdefault_1" xfId="375"/>
    <cellStyle name="Comma_EPS" xfId="376"/>
    <cellStyle name="Comma_F&amp;COCPX" xfId="377"/>
    <cellStyle name="Comma_FEBRUARY" xfId="378"/>
    <cellStyle name="Comma_FF" xfId="379"/>
    <cellStyle name="Comma_FP 20 A (1)" xfId="380"/>
    <cellStyle name="Comma_FP 20 A (2)" xfId="381"/>
    <cellStyle name="Comma_FP-20 (App. E)" xfId="382"/>
    <cellStyle name="Comma_FP-20 (App.A) " xfId="383"/>
    <cellStyle name="Comma_FP-20 (App.D)" xfId="384"/>
    <cellStyle name="Comma_FP-20(App.B)" xfId="385"/>
    <cellStyle name="Comma_FP-20(C1) (a)" xfId="386"/>
    <cellStyle name="Comma_FP-20(C1) (a) (2)" xfId="387"/>
    <cellStyle name="Comma_FP-20(C1) (b)" xfId="388"/>
    <cellStyle name="Comma_FP-20(C1) (b) " xfId="389"/>
    <cellStyle name="Comma_FP-20(C1) (b) (2)" xfId="390"/>
    <cellStyle name="Comma_GCM" xfId="391"/>
    <cellStyle name="Comma_GenAssum" xfId="392"/>
    <cellStyle name="Comma_GP C1a" xfId="393"/>
    <cellStyle name="Comma_GP C1b" xfId="394"/>
    <cellStyle name="Comma_GP_EI_3" xfId="395"/>
    <cellStyle name="Comma_GQ C1A" xfId="396"/>
    <cellStyle name="Comma_GQ C1B" xfId="397"/>
    <cellStyle name="Comma_Inputs" xfId="398"/>
    <cellStyle name="Comma_IPM C1b" xfId="399"/>
    <cellStyle name="Comma_IPMC1a" xfId="400"/>
    <cellStyle name="Comma_IRR" xfId="401"/>
    <cellStyle name="Comma_IS-Hold" xfId="402"/>
    <cellStyle name="Comma_ITOCPX" xfId="403"/>
    <cellStyle name="Comma_jancf" xfId="404"/>
    <cellStyle name="Comma_JUNMTH55" xfId="405"/>
    <cellStyle name="Comma_JUNMTH57" xfId="406"/>
    <cellStyle name="Comma_JUNYTD55" xfId="407"/>
    <cellStyle name="Comma_JUNYTD57" xfId="408"/>
    <cellStyle name="Comma_laroux" xfId="409"/>
    <cellStyle name="Comma_laroux_1" xfId="410"/>
    <cellStyle name="Comma_laroux_1995" xfId="411"/>
    <cellStyle name="Comma_laroux_1_dimon" xfId="412"/>
    <cellStyle name="Comma_laroux_1_dimon_1" xfId="413"/>
    <cellStyle name="Comma_laroux_1_laroux" xfId="414"/>
    <cellStyle name="Comma_laroux_1_pldt" xfId="415"/>
    <cellStyle name="Comma_laroux_1_pldt_1" xfId="416"/>
    <cellStyle name="Comma_laroux_1_PLDT_dimon" xfId="417"/>
    <cellStyle name="Comma_laroux_1_VERA" xfId="418"/>
    <cellStyle name="Comma_laroux_1_VERA_1" xfId="419"/>
    <cellStyle name="Comma_laroux_1_VIRUS-EDY" xfId="420"/>
    <cellStyle name="Comma_laroux_2" xfId="421"/>
    <cellStyle name="Comma_laroux_2_dimon" xfId="422"/>
    <cellStyle name="Comma_laroux_2_dimon_1" xfId="423"/>
    <cellStyle name="Comma_laroux_2_dimon_2" xfId="424"/>
    <cellStyle name="Comma_laroux_2_laroux" xfId="425"/>
    <cellStyle name="Comma_laroux_2_laroux_dimon" xfId="426"/>
    <cellStyle name="Comma_laroux_2_pldt" xfId="427"/>
    <cellStyle name="Comma_laroux_2_pldt_1" xfId="428"/>
    <cellStyle name="Comma_laroux_2_PLDT_dimon" xfId="429"/>
    <cellStyle name="Comma_laroux_2_VERA" xfId="430"/>
    <cellStyle name="Comma_laroux_2_VERA_1" xfId="431"/>
    <cellStyle name="Comma_laroux_3" xfId="432"/>
    <cellStyle name="Comma_laroux_3_dimon" xfId="433"/>
    <cellStyle name="Comma_laroux_3_dimon_1" xfId="434"/>
    <cellStyle name="Comma_laroux_3_dimon_2" xfId="435"/>
    <cellStyle name="Comma_laroux_dimon" xfId="436"/>
    <cellStyle name="Comma_laroux_dimon_1" xfId="437"/>
    <cellStyle name="Comma_laroux_laroux" xfId="438"/>
    <cellStyle name="Comma_laroux_laroux_1" xfId="439"/>
    <cellStyle name="Comma_laroux_laroux_dimon" xfId="440"/>
    <cellStyle name="Comma_laroux_pldt" xfId="441"/>
    <cellStyle name="Comma_laroux_pldt_1" xfId="442"/>
    <cellStyle name="Comma_laroux_VERA" xfId="443"/>
    <cellStyle name="Comma_laroux_VERA_1" xfId="444"/>
    <cellStyle name="Comma_laroux_VIRUS-EDY" xfId="445"/>
    <cellStyle name="Comma_Line Inst." xfId="446"/>
    <cellStyle name="Comma_MATERAL2" xfId="447"/>
    <cellStyle name="Comma_MATERAL2_dimon" xfId="448"/>
    <cellStyle name="Comma_MATERAL2_dimon_1" xfId="449"/>
    <cellStyle name="Comma_may98dcr" xfId="450"/>
    <cellStyle name="Comma_MKGOCPX" xfId="451"/>
    <cellStyle name="Comma_Mkt Shr" xfId="452"/>
    <cellStyle name="Comma_MOBCPX" xfId="453"/>
    <cellStyle name="Comma_mud plant bolted" xfId="454"/>
    <cellStyle name="Comma_NA WITHOUT GOV'T &amp; PNX" xfId="455"/>
    <cellStyle name="Comma_NAOBU10" xfId="456"/>
    <cellStyle name="Comma_NAT ACCT" xfId="457"/>
    <cellStyle name="Comma_NCR-C&amp;W Val" xfId="458"/>
    <cellStyle name="Comma_NCR-Cap intensity" xfId="459"/>
    <cellStyle name="Comma_NCR-Line per Staff" xfId="460"/>
    <cellStyle name="Comma_NCR-Rev dist" xfId="461"/>
    <cellStyle name="Comma_NSACTUAL.XLS" xfId="462"/>
    <cellStyle name="Comma_NX00" xfId="463"/>
    <cellStyle name="Comma_Odner" xfId="464"/>
    <cellStyle name="Comma_Odner (2)" xfId="465"/>
    <cellStyle name="Comma_Odner (3)" xfId="466"/>
    <cellStyle name="Comma_Op Cost Break" xfId="467"/>
    <cellStyle name="Comma_OSMOCPX" xfId="468"/>
    <cellStyle name="Comma_Other Months" xfId="469"/>
    <cellStyle name="Comma_Outlook" xfId="470"/>
    <cellStyle name="Comma_pbdefault" xfId="471"/>
    <cellStyle name="Comma_pbdefault_1" xfId="472"/>
    <cellStyle name="Comma_percentages" xfId="473"/>
    <cellStyle name="Comma_PERSONAL" xfId="474"/>
    <cellStyle name="Comma_PGMKOCPX" xfId="475"/>
    <cellStyle name="Comma_PGNW1" xfId="476"/>
    <cellStyle name="Comma_PGNW2" xfId="477"/>
    <cellStyle name="Comma_PGNWOCPX" xfId="478"/>
    <cellStyle name="Comma_Pink" xfId="479"/>
    <cellStyle name="Comma_Plan" xfId="480"/>
    <cellStyle name="Comma_PLANT" xfId="481"/>
    <cellStyle name="Comma_PLDT" xfId="482"/>
    <cellStyle name="Comma_pldt_1" xfId="483"/>
    <cellStyle name="Comma_PLDT_1_dimon" xfId="484"/>
    <cellStyle name="Comma_pldt_2" xfId="485"/>
    <cellStyle name="Comma_pldt_Calculations" xfId="486"/>
    <cellStyle name="Comma_PLDT_dimon" xfId="487"/>
    <cellStyle name="Comma_priccurv" xfId="488"/>
    <cellStyle name="Comma_PROCDS&amp;G" xfId="489"/>
    <cellStyle name="Comma_PROFILE4" xfId="490"/>
    <cellStyle name="Comma_Projects" xfId="491"/>
    <cellStyle name="Comma_Quarter End Months" xfId="492"/>
    <cellStyle name="Comma_r1" xfId="493"/>
    <cellStyle name="Comma_Real Opr Cf" xfId="494"/>
    <cellStyle name="Comma_Real Rev per Staff (1)" xfId="495"/>
    <cellStyle name="Comma_Real Rev per Staff (2)" xfId="496"/>
    <cellStyle name="Comma_Region 2-C&amp;W" xfId="497"/>
    <cellStyle name="Comma_Return on Rev" xfId="498"/>
    <cellStyle name="Comma_Rev p line" xfId="499"/>
    <cellStyle name="Comma_RFI" xfId="500"/>
    <cellStyle name="Comma_RFI_1" xfId="501"/>
    <cellStyle name="Comma_ROACE" xfId="502"/>
    <cellStyle name="Comma_ROCF (Tot)" xfId="503"/>
    <cellStyle name="Comma_Sales Order" xfId="504"/>
    <cellStyle name="Comma_SATOCPX" xfId="505"/>
    <cellStyle name="Comma_Sheet1" xfId="506"/>
    <cellStyle name="Comma_Sheet1_dimon" xfId="507"/>
    <cellStyle name="Comma_SHENREPT" xfId="508"/>
    <cellStyle name="Comma_Snr. CO" xfId="509"/>
    <cellStyle name="Comma_sprint contr" xfId="510"/>
    <cellStyle name="Comma_Staff cost%rev" xfId="511"/>
    <cellStyle name="Comma_Subcont File" xfId="512"/>
    <cellStyle name="Comma_Summary Info" xfId="513"/>
    <cellStyle name="Comma_SUMPAGE" xfId="514"/>
    <cellStyle name="Comma_TMSNW1" xfId="515"/>
    <cellStyle name="Comma_TMSNW2" xfId="516"/>
    <cellStyle name="Comma_TMSOCPX" xfId="517"/>
    <cellStyle name="Comma_TOTAL MTH" xfId="518"/>
    <cellStyle name="Comma_TOTAL YTD" xfId="519"/>
    <cellStyle name="Comma_Total-Rev dist." xfId="520"/>
    <cellStyle name="Comma_TRANSDSC.XLS" xfId="521"/>
    <cellStyle name="Comma_TRANSFXA.XLS" xfId="522"/>
    <cellStyle name="Comma_TRANSFXA.XLS_1" xfId="523"/>
    <cellStyle name="Comma_TRANSIME.XLS" xfId="524"/>
    <cellStyle name="Comma_TRANSIME.XLS_TRANSDSC.XLS" xfId="525"/>
    <cellStyle name="Comma_TRANSIME.XLS_TRANSFXA.XLS" xfId="526"/>
    <cellStyle name="Comma_VIRUS-EDY" xfId="527"/>
    <cellStyle name="Comma_White" xfId="528"/>
    <cellStyle name="Comma_WO Var. &amp; Tot. Exp." xfId="529"/>
    <cellStyle name="Comma_WSP" xfId="530"/>
    <cellStyle name="Comma_yrcao" xfId="531"/>
    <cellStyle name="Comma_YREND55" xfId="532"/>
    <cellStyle name="Comma_YREND57" xfId="533"/>
    <cellStyle name="Comma_YTDCUR" xfId="534"/>
    <cellStyle name="Currency [0]_12matrix" xfId="535"/>
    <cellStyle name="Currency [0]_1995" xfId="536"/>
    <cellStyle name="Currency [0]_A" xfId="537"/>
    <cellStyle name="Currency [0]_A_dimon" xfId="538"/>
    <cellStyle name="Currency [0]_ACTUAL" xfId="539"/>
    <cellStyle name="Currency [0]_ACTUAL NA -OBU" xfId="540"/>
    <cellStyle name="Currency [0]_Actual vs." xfId="541"/>
    <cellStyle name="Currency [0]_algasdefault" xfId="542"/>
    <cellStyle name="Currency [0]_Alternative1" xfId="543"/>
    <cellStyle name="Currency [0]_Alternative1_1" xfId="544"/>
    <cellStyle name="Currency [0]_App E" xfId="545"/>
    <cellStyle name="Currency [0]_Apr" xfId="546"/>
    <cellStyle name="Currency [0]_Arapahoe" xfId="547"/>
    <cellStyle name="Currency [0]_Assumptions" xfId="548"/>
    <cellStyle name="Currency [0]_bahiadefault" xfId="549"/>
    <cellStyle name="Currency [0]_Book3" xfId="550"/>
    <cellStyle name="Currency [0]_BOP" xfId="551"/>
    <cellStyle name="Currency [0]_BOPBAL1" xfId="552"/>
    <cellStyle name="Currency [0]_BOPCBU" xfId="553"/>
    <cellStyle name="Currency [0]_BOPCBU (2)" xfId="554"/>
    <cellStyle name="Currency [0]_BOPCBU96" xfId="555"/>
    <cellStyle name="Currency [0]_BSAPPE.XLS" xfId="556"/>
    <cellStyle name="Currency [0]_Calculations" xfId="557"/>
    <cellStyle name="Currency [0]_Calculations (2)" xfId="558"/>
    <cellStyle name="Currency [0]_Calculations II" xfId="559"/>
    <cellStyle name="Currency [0]_Calculations III" xfId="560"/>
    <cellStyle name="Currency [0]_Calculations_1" xfId="561"/>
    <cellStyle name="Currency [0]_CAPEX" xfId="562"/>
    <cellStyle name="Currency [0]_CAPEX94" xfId="563"/>
    <cellStyle name="Currency [0]_Cardig GHS" xfId="564"/>
    <cellStyle name="Currency [0]_Cash Flows" xfId="565"/>
    <cellStyle name="Currency [0]_CBU BOX CHART V PLAN" xfId="566"/>
    <cellStyle name="Currency [0]_CCA" xfId="567"/>
    <cellStyle name="Currency [0]_CCOCPX" xfId="568"/>
    <cellStyle name="Currency [0]_CHANGES.XLS" xfId="569"/>
    <cellStyle name="Currency [0]_Charts" xfId="570"/>
    <cellStyle name="Currency [0]_Comm File" xfId="571"/>
    <cellStyle name="Currency [0]_coperdefault" xfId="572"/>
    <cellStyle name="Currency [0]_Corp method" xfId="573"/>
    <cellStyle name="Currency [0]_Cost Code" xfId="574"/>
    <cellStyle name="Currency [0]_CTCUR" xfId="575"/>
    <cellStyle name="Currency [0]_CUMPLTCH" xfId="576"/>
    <cellStyle name="Currency [0]_DEFAULT" xfId="577"/>
    <cellStyle name="Currency [0]_dimon" xfId="578"/>
    <cellStyle name="Currency [0]_dimon_1" xfId="579"/>
    <cellStyle name="Currency [0]_dimon_2" xfId="580"/>
    <cellStyle name="Currency [0]_Dowell C1b" xfId="581"/>
    <cellStyle name="Currency [0]_Dowell-C1a" xfId="582"/>
    <cellStyle name="Currency [0]_E&amp;ONW1" xfId="583"/>
    <cellStyle name="Currency [0]_E&amp;ONW2" xfId="584"/>
    <cellStyle name="Currency [0]_E&amp;OOCPX" xfId="585"/>
    <cellStyle name="Currency [0]_emserdefault" xfId="586"/>
    <cellStyle name="Currency [0]_F&amp;COCPX" xfId="587"/>
    <cellStyle name="Currency [0]_FEBRUARY" xfId="588"/>
    <cellStyle name="Currency [0]_FF" xfId="589"/>
    <cellStyle name="Currency [0]_FP 20 A (1)" xfId="590"/>
    <cellStyle name="Currency [0]_FP 20 A (2)" xfId="591"/>
    <cellStyle name="Currency [0]_FP-20 (App. E)" xfId="592"/>
    <cellStyle name="Currency [0]_FP-20 (App.A) " xfId="593"/>
    <cellStyle name="Currency [0]_FP-20 (App.D)" xfId="594"/>
    <cellStyle name="Currency [0]_FP-20(App.B)" xfId="595"/>
    <cellStyle name="Currency [0]_FP-20(C1) (a)" xfId="596"/>
    <cellStyle name="Currency [0]_FP-20(C1) (a) (2)" xfId="597"/>
    <cellStyle name="Currency [0]_FP-20(C1) (b)" xfId="598"/>
    <cellStyle name="Currency [0]_FP-20(C1) (b) " xfId="599"/>
    <cellStyle name="Currency [0]_FP-20(C1) (b) (2)" xfId="600"/>
    <cellStyle name="Currency [0]_GCM" xfId="601"/>
    <cellStyle name="Currency [0]_GenAssum" xfId="602"/>
    <cellStyle name="Currency [0]_GP C1a" xfId="603"/>
    <cellStyle name="Currency [0]_GP C1b" xfId="604"/>
    <cellStyle name="Currency [0]_GP_EI_3" xfId="605"/>
    <cellStyle name="Currency [0]_GQ C1A" xfId="606"/>
    <cellStyle name="Currency [0]_GQ C1B" xfId="607"/>
    <cellStyle name="Currency [0]_Inputs" xfId="608"/>
    <cellStyle name="Currency [0]_IPM C1b" xfId="609"/>
    <cellStyle name="Currency [0]_IPMC1a" xfId="610"/>
    <cellStyle name="Currency [0]_IS-Hold" xfId="611"/>
    <cellStyle name="Currency [0]_ITOCPX" xfId="612"/>
    <cellStyle name="Currency [0]_jancf" xfId="613"/>
    <cellStyle name="Currency [0]_JUNMTH55" xfId="614"/>
    <cellStyle name="Currency [0]_JUNMTH57" xfId="615"/>
    <cellStyle name="Currency [0]_JUNYTD55" xfId="616"/>
    <cellStyle name="Currency [0]_JUNYTD57" xfId="617"/>
    <cellStyle name="Currency [0]_laroux" xfId="618"/>
    <cellStyle name="Currency [0]_laroux_1" xfId="619"/>
    <cellStyle name="Currency [0]_laroux_1995" xfId="620"/>
    <cellStyle name="Currency [0]_laroux_1_dimon" xfId="621"/>
    <cellStyle name="Currency [0]_laroux_1_dimon_1" xfId="622"/>
    <cellStyle name="Currency [0]_laroux_1_dimon_2" xfId="623"/>
    <cellStyle name="Currency [0]_laroux_1_dimon_3" xfId="624"/>
    <cellStyle name="Currency [0]_laroux_1_laroux" xfId="625"/>
    <cellStyle name="Currency [0]_laroux_1_laroux_1" xfId="626"/>
    <cellStyle name="Currency [0]_laroux_1_laroux_dimon" xfId="627"/>
    <cellStyle name="Currency [0]_laroux_1_Locas" xfId="628"/>
    <cellStyle name="Currency [0]_laroux_1_pldt" xfId="629"/>
    <cellStyle name="Currency [0]_laroux_1_PLDT_dimon" xfId="630"/>
    <cellStyle name="Currency [0]_laroux_1_VERA" xfId="631"/>
    <cellStyle name="Currency [0]_laroux_1_VERA_1" xfId="632"/>
    <cellStyle name="Currency [0]_laroux_1_VIRUS-EDY" xfId="633"/>
    <cellStyle name="Currency [0]_laroux_2" xfId="634"/>
    <cellStyle name="Currency [0]_laroux_2_dimon" xfId="635"/>
    <cellStyle name="Currency [0]_laroux_2_dimon_1" xfId="636"/>
    <cellStyle name="Currency [0]_laroux_2_dimon_2" xfId="637"/>
    <cellStyle name="Currency [0]_laroux_2_dimon_3" xfId="638"/>
    <cellStyle name="Currency [0]_laroux_2_laroux" xfId="639"/>
    <cellStyle name="Currency [0]_laroux_2_laroux_dimon" xfId="640"/>
    <cellStyle name="Currency [0]_laroux_2_Locas" xfId="641"/>
    <cellStyle name="Currency [0]_laroux_2_pldt" xfId="642"/>
    <cellStyle name="Currency [0]_laroux_2_PLDT_dimon" xfId="643"/>
    <cellStyle name="Currency [0]_laroux_2_VIRUS-EDY" xfId="644"/>
    <cellStyle name="Currency [0]_laroux_3" xfId="645"/>
    <cellStyle name="Currency [0]_laroux_3_dimon" xfId="646"/>
    <cellStyle name="Currency [0]_laroux_3_dimon_1" xfId="647"/>
    <cellStyle name="Currency [0]_laroux_3_dimon_2" xfId="648"/>
    <cellStyle name="Currency [0]_laroux_3_dimon_3" xfId="649"/>
    <cellStyle name="Currency [0]_laroux_4" xfId="650"/>
    <cellStyle name="Currency [0]_laroux_4_dimon" xfId="651"/>
    <cellStyle name="Currency [0]_laroux_4_dimon_1" xfId="652"/>
    <cellStyle name="Currency [0]_laroux_5" xfId="653"/>
    <cellStyle name="Currency [0]_laroux_6" xfId="654"/>
    <cellStyle name="Currency [0]_laroux_7" xfId="655"/>
    <cellStyle name="Currency [0]_laroux_dimon" xfId="656"/>
    <cellStyle name="Currency [0]_laroux_dimon_1" xfId="657"/>
    <cellStyle name="Currency [0]_laroux_dimon_2" xfId="658"/>
    <cellStyle name="Currency [0]_laroux_dimon_3" xfId="659"/>
    <cellStyle name="Currency [0]_laroux_laroux" xfId="660"/>
    <cellStyle name="Currency [0]_laroux_laroux_1" xfId="661"/>
    <cellStyle name="Currency [0]_laroux_laroux_1_dimon" xfId="662"/>
    <cellStyle name="Currency [0]_laroux_laroux_dimon" xfId="663"/>
    <cellStyle name="Currency [0]_laroux_Locas" xfId="664"/>
    <cellStyle name="Currency [0]_laroux_MATERAL2" xfId="665"/>
    <cellStyle name="Currency [0]_laroux_MATERAL2_dimon" xfId="666"/>
    <cellStyle name="Currency [0]_laroux_MATERAL2_dimon_1" xfId="667"/>
    <cellStyle name="Currency [0]_laroux_MATERAL2_laroux" xfId="668"/>
    <cellStyle name="Currency [0]_laroux_MATERAL2_laroux_dimon" xfId="669"/>
    <cellStyle name="Currency [0]_laroux_MATERAL2_pldt" xfId="670"/>
    <cellStyle name="Currency [0]_laroux_MATERAL2_VERA" xfId="671"/>
    <cellStyle name="Currency [0]_laroux_MATERAL2_VIRUS-EDY" xfId="672"/>
    <cellStyle name="Currency [0]_laroux_mud plant bolted" xfId="673"/>
    <cellStyle name="Currency [0]_laroux_mud plant bolted_dimon" xfId="674"/>
    <cellStyle name="Currency [0]_laroux_mud plant bolted_dimon_1" xfId="675"/>
    <cellStyle name="Currency [0]_laroux_pldt" xfId="676"/>
    <cellStyle name="Currency [0]_laroux_pldt_1" xfId="677"/>
    <cellStyle name="Currency [0]_laroux_VERA" xfId="678"/>
    <cellStyle name="Currency [0]_laroux_VERA_1" xfId="679"/>
    <cellStyle name="Currency [0]_laroux_VIRUS-EDY" xfId="680"/>
    <cellStyle name="Currency [0]_List" xfId="681"/>
    <cellStyle name="Currency [0]_MATERAL2" xfId="682"/>
    <cellStyle name="Currency [0]_MATERAL2_dimon" xfId="683"/>
    <cellStyle name="Currency [0]_MATERAL2_dimon_1" xfId="684"/>
    <cellStyle name="Currency [0]_may98dcr" xfId="685"/>
    <cellStyle name="Currency [0]_MKGOCPX" xfId="686"/>
    <cellStyle name="Currency [0]_MOBCPX" xfId="687"/>
    <cellStyle name="Currency [0]_mud plant bolted" xfId="688"/>
    <cellStyle name="Currency [0]_mud plant bolted_dimon" xfId="689"/>
    <cellStyle name="Currency [0]_mud plant bolted_dimon_1" xfId="690"/>
    <cellStyle name="Currency [0]_mud plant bolted_laroux" xfId="691"/>
    <cellStyle name="Currency [0]_mud plant bolted_laroux_dimon" xfId="692"/>
    <cellStyle name="Currency [0]_mud plant bolted_pldt" xfId="693"/>
    <cellStyle name="Currency [0]_mud plant bolted_VERA" xfId="694"/>
    <cellStyle name="Currency [0]_mud plant bolted_VIRUS-EDY" xfId="695"/>
    <cellStyle name="Currency [0]_NA WITHOUT GOV'T &amp; PNX" xfId="696"/>
    <cellStyle name="Currency [0]_NAOBU10" xfId="697"/>
    <cellStyle name="Currency [0]_NAT ACCT" xfId="698"/>
    <cellStyle name="Currency [0]_NSACTUAL.XLS" xfId="699"/>
    <cellStyle name="Currency [0]_NX00" xfId="700"/>
    <cellStyle name="Currency [0]_Odner" xfId="701"/>
    <cellStyle name="Currency [0]_Odner (2)" xfId="702"/>
    <cellStyle name="Currency [0]_Odner (3)" xfId="703"/>
    <cellStyle name="Currency [0]_OSMOCPX" xfId="704"/>
    <cellStyle name="Currency [0]_Other Months" xfId="705"/>
    <cellStyle name="Currency [0]_Outlook" xfId="706"/>
    <cellStyle name="Currency [0]_pbdefault" xfId="707"/>
    <cellStyle name="Currency [0]_percentages" xfId="708"/>
    <cellStyle name="Currency [0]_PERSONAL" xfId="709"/>
    <cellStyle name="Currency [0]_PGMKOCPX" xfId="710"/>
    <cellStyle name="Currency [0]_PGNW1" xfId="711"/>
    <cellStyle name="Currency [0]_PGNW2" xfId="712"/>
    <cellStyle name="Currency [0]_PGNWOCPX" xfId="713"/>
    <cellStyle name="Currency [0]_Pink" xfId="714"/>
    <cellStyle name="Currency [0]_Plan" xfId="715"/>
    <cellStyle name="Currency [0]_PLANT" xfId="716"/>
    <cellStyle name="Currency [0]_PLDT" xfId="717"/>
    <cellStyle name="Currency [0]_pldt_1" xfId="718"/>
    <cellStyle name="Currency [0]_PLDT_1_dimon" xfId="719"/>
    <cellStyle name="Currency [0]_pldt_1_dimon_1" xfId="720"/>
    <cellStyle name="Currency [0]_pldt_2" xfId="721"/>
    <cellStyle name="Currency [0]_pldt_Calculations" xfId="722"/>
    <cellStyle name="Currency [0]_PLDT_dimon" xfId="723"/>
    <cellStyle name="Currency [0]_pldt_dimon_1" xfId="724"/>
    <cellStyle name="Currency [0]_priccurv" xfId="725"/>
    <cellStyle name="Currency [0]_PROCDS&amp;G" xfId="726"/>
    <cellStyle name="Currency [0]_PROFILE4" xfId="727"/>
    <cellStyle name="Currency [0]_Projects" xfId="728"/>
    <cellStyle name="Currency [0]_Quarter End Months" xfId="729"/>
    <cellStyle name="Currency [0]_r1" xfId="730"/>
    <cellStyle name="Currency [0]_RFI" xfId="731"/>
    <cellStyle name="Currency [0]_RFI_1" xfId="732"/>
    <cellStyle name="Currency [0]_Sales Order" xfId="733"/>
    <cellStyle name="Currency [0]_SATOCPX" xfId="734"/>
    <cellStyle name="Currency [0]_Sheet1" xfId="735"/>
    <cellStyle name="Currency [0]_Sheet1 (2)" xfId="736"/>
    <cellStyle name="Currency [0]_Sheet1_dimon" xfId="737"/>
    <cellStyle name="Currency [0]_SHENREPT" xfId="738"/>
    <cellStyle name="Currency [0]_Snr. CO" xfId="739"/>
    <cellStyle name="Currency [0]_sprint contr" xfId="740"/>
    <cellStyle name="Currency [0]_Subcont File" xfId="741"/>
    <cellStyle name="Currency [0]_Summary Info" xfId="742"/>
    <cellStyle name="Currency [0]_SUMPAGE" xfId="743"/>
    <cellStyle name="Currency [0]_TMSNW1" xfId="744"/>
    <cellStyle name="Currency [0]_TMSNW2" xfId="745"/>
    <cellStyle name="Currency [0]_TMSOCPX" xfId="746"/>
    <cellStyle name="Currency [0]_TOTAL MTH" xfId="747"/>
    <cellStyle name="Currency [0]_TOTAL YTD" xfId="748"/>
    <cellStyle name="Currency [0]_TRANSDSC.XLS" xfId="749"/>
    <cellStyle name="Currency [0]_TRANSFXA.XLS" xfId="750"/>
    <cellStyle name="Currency [0]_TRANSFXA.XLS_1" xfId="751"/>
    <cellStyle name="Currency [0]_TRANSIME.XLS" xfId="752"/>
    <cellStyle name="Currency [0]_TRANSIME.XLS_TRANSDSC.XLS" xfId="753"/>
    <cellStyle name="Currency [0]_TRANSIME.XLS_TRANSFXA.XLS" xfId="754"/>
    <cellStyle name="Currency [0]_VERA" xfId="755"/>
    <cellStyle name="Currency [0]_VIRUS-EDY" xfId="756"/>
    <cellStyle name="Currency [0]_VIRUS-EDY_1" xfId="757"/>
    <cellStyle name="Currency [0]_White" xfId="758"/>
    <cellStyle name="Currency [0]_WO Var. &amp; Tot. Exp." xfId="759"/>
    <cellStyle name="Currency [0]_WSP" xfId="760"/>
    <cellStyle name="Currency [0]_yrcao" xfId="761"/>
    <cellStyle name="Currency [0]_YREND55" xfId="762"/>
    <cellStyle name="Currency [0]_YREND57" xfId="763"/>
    <cellStyle name="Currency [0]_YTDCUR" xfId="764"/>
    <cellStyle name="Currency_12matrix" xfId="765"/>
    <cellStyle name="Currency_1995" xfId="766"/>
    <cellStyle name="Currency_A" xfId="767"/>
    <cellStyle name="Currency_A_dimon" xfId="768"/>
    <cellStyle name="Currency_ACTUAL" xfId="769"/>
    <cellStyle name="Currency_ACTUAL NA -OBU" xfId="770"/>
    <cellStyle name="Currency_Actual vs." xfId="771"/>
    <cellStyle name="Currency_algasdefault" xfId="772"/>
    <cellStyle name="Currency_algasdefault_1" xfId="773"/>
    <cellStyle name="Currency_Alternative1" xfId="774"/>
    <cellStyle name="Currency_Alternative1_1" xfId="775"/>
    <cellStyle name="Currency_App E" xfId="776"/>
    <cellStyle name="Currency_Apr" xfId="777"/>
    <cellStyle name="Currency_Arapahoe" xfId="778"/>
    <cellStyle name="Currency_Assumptions" xfId="779"/>
    <cellStyle name="Currency_bahiadefault" xfId="780"/>
    <cellStyle name="Currency_bahiadefault_1" xfId="781"/>
    <cellStyle name="Currency_BIGOUT" xfId="782"/>
    <cellStyle name="Currency_Book3" xfId="783"/>
    <cellStyle name="Currency_BOP" xfId="784"/>
    <cellStyle name="Currency_BOPBAL1" xfId="785"/>
    <cellStyle name="Currency_BOPCBU" xfId="786"/>
    <cellStyle name="Currency_BOPCBU (2)" xfId="787"/>
    <cellStyle name="Currency_BOPCBU96" xfId="788"/>
    <cellStyle name="Currency_BSAPPE.XLS" xfId="789"/>
    <cellStyle name="Currency_Calculations" xfId="790"/>
    <cellStyle name="Currency_Calculations (2)" xfId="791"/>
    <cellStyle name="Currency_Calculations II" xfId="792"/>
    <cellStyle name="Currency_Calculations III" xfId="793"/>
    <cellStyle name="Currency_Calculations_1" xfId="794"/>
    <cellStyle name="Currency_CAPEX" xfId="795"/>
    <cellStyle name="Currency_CAPEX94" xfId="796"/>
    <cellStyle name="Currency_Cardig GHS" xfId="797"/>
    <cellStyle name="Currency_Cash Flows" xfId="798"/>
    <cellStyle name="Currency_CBU BOX CHART V PLAN" xfId="799"/>
    <cellStyle name="Currency_CCA" xfId="800"/>
    <cellStyle name="Currency_CCOCPX" xfId="801"/>
    <cellStyle name="Currency_CHANGES.XLS" xfId="802"/>
    <cellStyle name="Currency_Charts" xfId="803"/>
    <cellStyle name="Currency_Comm File" xfId="804"/>
    <cellStyle name="Currency_coperdefault" xfId="805"/>
    <cellStyle name="Currency_coperdefault_1" xfId="806"/>
    <cellStyle name="Currency_Corp method" xfId="807"/>
    <cellStyle name="Currency_Cost Code" xfId="808"/>
    <cellStyle name="Currency_CTCUR" xfId="809"/>
    <cellStyle name="Currency_CUMPLTCH" xfId="810"/>
    <cellStyle name="Currency_DEFAULT" xfId="811"/>
    <cellStyle name="Currency_dimon" xfId="812"/>
    <cellStyle name="Currency_dimon_1" xfId="813"/>
    <cellStyle name="Currency_dimon_2" xfId="814"/>
    <cellStyle name="Currency_Dowell C1b" xfId="815"/>
    <cellStyle name="Currency_Dowell-C1a" xfId="816"/>
    <cellStyle name="Currency_E&amp;ONW1" xfId="817"/>
    <cellStyle name="Currency_E&amp;ONW2" xfId="818"/>
    <cellStyle name="Currency_E&amp;OOCPX" xfId="819"/>
    <cellStyle name="Currency_emserdefault" xfId="820"/>
    <cellStyle name="Currency_emserdefault_1" xfId="821"/>
    <cellStyle name="Currency_F&amp;COCPX" xfId="822"/>
    <cellStyle name="Currency_FEBRUARY" xfId="823"/>
    <cellStyle name="Currency_FF" xfId="824"/>
    <cellStyle name="Currency_FP 20 A (1)" xfId="825"/>
    <cellStyle name="Currency_FP 20 A (2)" xfId="826"/>
    <cellStyle name="Currency_FP-20 (App. E)" xfId="827"/>
    <cellStyle name="Currency_FP-20 (App.A) " xfId="828"/>
    <cellStyle name="Currency_FP-20 (App.D)" xfId="829"/>
    <cellStyle name="Currency_FP-20(App.B)" xfId="830"/>
    <cellStyle name="Currency_FP-20(C1) (a)" xfId="831"/>
    <cellStyle name="Currency_FP-20(C1) (a) (2)" xfId="832"/>
    <cellStyle name="Currency_FP-20(C1) (b)" xfId="833"/>
    <cellStyle name="Currency_FP-20(C1) (b) " xfId="834"/>
    <cellStyle name="Currency_FP-20(C1) (b) (2)" xfId="835"/>
    <cellStyle name="Currency_GCM" xfId="836"/>
    <cellStyle name="Currency_GenAssum" xfId="837"/>
    <cellStyle name="Currency_GP C1a" xfId="838"/>
    <cellStyle name="Currency_GP C1b" xfId="839"/>
    <cellStyle name="Currency_GP_EI_3" xfId="840"/>
    <cellStyle name="Currency_GQ C1A" xfId="841"/>
    <cellStyle name="Currency_GQ C1B" xfId="842"/>
    <cellStyle name="Currency_Inputs" xfId="843"/>
    <cellStyle name="Currency_IPM C1b" xfId="844"/>
    <cellStyle name="Currency_IPMC1a" xfId="845"/>
    <cellStyle name="Currency_IS-Hold" xfId="846"/>
    <cellStyle name="Currency_ITOCPX" xfId="847"/>
    <cellStyle name="Currency_jancf" xfId="848"/>
    <cellStyle name="Currency_JUNMTH55" xfId="849"/>
    <cellStyle name="Currency_JUNMTH57" xfId="850"/>
    <cellStyle name="Currency_JUNYTD55" xfId="851"/>
    <cellStyle name="Currency_JUNYTD57" xfId="852"/>
    <cellStyle name="Currency_laroux" xfId="853"/>
    <cellStyle name="Currency_laroux_1" xfId="854"/>
    <cellStyle name="Currency_laroux_1995" xfId="855"/>
    <cellStyle name="Currency_laroux_1_dimon" xfId="856"/>
    <cellStyle name="Currency_laroux_1_dimon_1" xfId="857"/>
    <cellStyle name="Currency_laroux_1_dimon_2" xfId="858"/>
    <cellStyle name="Currency_laroux_1_dimon_3" xfId="859"/>
    <cellStyle name="Currency_laroux_1_laroux" xfId="860"/>
    <cellStyle name="Currency_laroux_1_laroux_1" xfId="861"/>
    <cellStyle name="Currency_laroux_1_laroux_dimon" xfId="862"/>
    <cellStyle name="Currency_laroux_1_Locas" xfId="863"/>
    <cellStyle name="Currency_laroux_1_pldt" xfId="864"/>
    <cellStyle name="Currency_laroux_1_PLDT_dimon" xfId="865"/>
    <cellStyle name="Currency_laroux_1_VERA" xfId="866"/>
    <cellStyle name="Currency_laroux_1_VERA_1" xfId="867"/>
    <cellStyle name="Currency_laroux_1_VIRUS-EDY" xfId="868"/>
    <cellStyle name="Currency_laroux_2" xfId="869"/>
    <cellStyle name="Currency_laroux_2_dimon" xfId="870"/>
    <cellStyle name="Currency_laroux_2_dimon_1" xfId="871"/>
    <cellStyle name="Currency_laroux_2_dimon_2" xfId="872"/>
    <cellStyle name="Currency_laroux_2_dimon_3" xfId="873"/>
    <cellStyle name="Currency_laroux_2_laroux" xfId="874"/>
    <cellStyle name="Currency_laroux_2_laroux_dimon" xfId="875"/>
    <cellStyle name="Currency_laroux_2_Locas" xfId="876"/>
    <cellStyle name="Currency_laroux_2_pldt" xfId="877"/>
    <cellStyle name="Currency_laroux_2_PLDT_dimon" xfId="878"/>
    <cellStyle name="Currency_laroux_2_VIRUS-EDY" xfId="879"/>
    <cellStyle name="Currency_laroux_3" xfId="880"/>
    <cellStyle name="Currency_laroux_3_dimon" xfId="881"/>
    <cellStyle name="Currency_laroux_3_dimon_1" xfId="882"/>
    <cellStyle name="Currency_laroux_3_dimon_2" xfId="883"/>
    <cellStyle name="Currency_laroux_3_dimon_3" xfId="884"/>
    <cellStyle name="Currency_laroux_4" xfId="885"/>
    <cellStyle name="Currency_laroux_4_dimon" xfId="886"/>
    <cellStyle name="Currency_laroux_4_dimon_1" xfId="887"/>
    <cellStyle name="Currency_laroux_5" xfId="888"/>
    <cellStyle name="Currency_laroux_6" xfId="889"/>
    <cellStyle name="Currency_laroux_7" xfId="890"/>
    <cellStyle name="Currency_laroux_8" xfId="891"/>
    <cellStyle name="Currency_laroux_dimon" xfId="892"/>
    <cellStyle name="Currency_laroux_dimon_1" xfId="893"/>
    <cellStyle name="Currency_laroux_dimon_2" xfId="894"/>
    <cellStyle name="Currency_laroux_dimon_3" xfId="895"/>
    <cellStyle name="Currency_laroux_laroux" xfId="896"/>
    <cellStyle name="Currency_laroux_laroux_1" xfId="897"/>
    <cellStyle name="Currency_laroux_laroux_1_dimon" xfId="898"/>
    <cellStyle name="Currency_laroux_laroux_dimon" xfId="899"/>
    <cellStyle name="Currency_laroux_Locas" xfId="900"/>
    <cellStyle name="Currency_laroux_pldt" xfId="901"/>
    <cellStyle name="Currency_laroux_pldt_1" xfId="902"/>
    <cellStyle name="Currency_laroux_VERA" xfId="903"/>
    <cellStyle name="Currency_laroux_VERA_1" xfId="904"/>
    <cellStyle name="Currency_laroux_VIRUS-EDY" xfId="905"/>
    <cellStyle name="Currency_List" xfId="906"/>
    <cellStyle name="Currency_MATERAL2" xfId="907"/>
    <cellStyle name="Currency_MATERAL2_dimon" xfId="908"/>
    <cellStyle name="Currency_MATERAL2_dimon_1" xfId="909"/>
    <cellStyle name="Currency_may98dcr" xfId="910"/>
    <cellStyle name="Currency_MKGOCPX" xfId="911"/>
    <cellStyle name="Currency_MOBCPX" xfId="912"/>
    <cellStyle name="Currency_mud plant bolted" xfId="913"/>
    <cellStyle name="Currency_mud plant bolted_dimon" xfId="914"/>
    <cellStyle name="Currency_mud plant bolted_dimon_1" xfId="915"/>
    <cellStyle name="Currency_mud plant bolted_PLDT" xfId="916"/>
    <cellStyle name="Currency_mud plant bolted_VERA" xfId="917"/>
    <cellStyle name="Currency_mud plant bolted_VERA_1" xfId="918"/>
    <cellStyle name="Currency_NA WITHOUT GOV'T &amp; PNX" xfId="919"/>
    <cellStyle name="Currency_NAOBU10" xfId="920"/>
    <cellStyle name="Currency_NAT ACCT" xfId="921"/>
    <cellStyle name="Currency_NSACTUAL.XLS" xfId="922"/>
    <cellStyle name="Currency_NX00" xfId="923"/>
    <cellStyle name="Currency_Odner" xfId="924"/>
    <cellStyle name="Currency_Odner (2)" xfId="925"/>
    <cellStyle name="Currency_Odner (3)" xfId="926"/>
    <cellStyle name="Currency_OSMOCPX" xfId="927"/>
    <cellStyle name="Currency_Other Months" xfId="928"/>
    <cellStyle name="Currency_Outlook" xfId="929"/>
    <cellStyle name="Currency_pbdefault" xfId="930"/>
    <cellStyle name="Currency_pbdefault_1" xfId="931"/>
    <cellStyle name="Currency_percentages" xfId="932"/>
    <cellStyle name="Currency_PERSONAL" xfId="933"/>
    <cellStyle name="Currency_PGMKOCPX" xfId="934"/>
    <cellStyle name="Currency_PGNW1" xfId="935"/>
    <cellStyle name="Currency_PGNW2" xfId="936"/>
    <cellStyle name="Currency_PGNWOCPX" xfId="937"/>
    <cellStyle name="Currency_Pink" xfId="938"/>
    <cellStyle name="Currency_Plan" xfId="939"/>
    <cellStyle name="Currency_PLANT" xfId="940"/>
    <cellStyle name="Currency_PLDT" xfId="941"/>
    <cellStyle name="Currency_pldt_1" xfId="942"/>
    <cellStyle name="Currency_PLDT_1_dimon" xfId="943"/>
    <cellStyle name="Currency_pldt_1_dimon_1" xfId="944"/>
    <cellStyle name="Currency_pldt_2" xfId="945"/>
    <cellStyle name="Currency_pldt_Calculations" xfId="946"/>
    <cellStyle name="Currency_PLDT_dimon" xfId="947"/>
    <cellStyle name="Currency_pldt_dimon_1" xfId="948"/>
    <cellStyle name="Currency_priccurv" xfId="949"/>
    <cellStyle name="Currency_PROCDS&amp;G" xfId="950"/>
    <cellStyle name="Currency_PROFILE4" xfId="951"/>
    <cellStyle name="Currency_Projects" xfId="952"/>
    <cellStyle name="Currency_Quarter End Months" xfId="953"/>
    <cellStyle name="Currency_r1" xfId="954"/>
    <cellStyle name="Currency_RFI" xfId="955"/>
    <cellStyle name="Currency_RFI_1" xfId="956"/>
    <cellStyle name="Currency_Sales Order" xfId="957"/>
    <cellStyle name="Currency_SATOCPX" xfId="958"/>
    <cellStyle name="Currency_Sheet1" xfId="959"/>
    <cellStyle name="Currency_Sheet1 (2)" xfId="960"/>
    <cellStyle name="Currency_Sheet1_dimon" xfId="961"/>
    <cellStyle name="Currency_SHENREPT" xfId="962"/>
    <cellStyle name="Currency_Snr. CO" xfId="963"/>
    <cellStyle name="Currency_sprint contr" xfId="964"/>
    <cellStyle name="Currency_Subcont File" xfId="965"/>
    <cellStyle name="Currency_Summary Info" xfId="966"/>
    <cellStyle name="Currency_SUMPAGE" xfId="967"/>
    <cellStyle name="Currency_TMSNW1" xfId="968"/>
    <cellStyle name="Currency_TMSNW2" xfId="969"/>
    <cellStyle name="Currency_TMSOCPX" xfId="970"/>
    <cellStyle name="Currency_TOTAL MTH" xfId="971"/>
    <cellStyle name="Currency_TOTAL YTD" xfId="972"/>
    <cellStyle name="Currency_TRANSDSC.XLS" xfId="973"/>
    <cellStyle name="Currency_TRANSFXA.XLS" xfId="974"/>
    <cellStyle name="Currency_TRANSFXA.XLS_1" xfId="975"/>
    <cellStyle name="Currency_TRANSIME.XLS" xfId="976"/>
    <cellStyle name="Currency_TRANSIME.XLS_TRANSDSC.XLS" xfId="977"/>
    <cellStyle name="Currency_TRANSIME.XLS_TRANSFXA.XLS" xfId="978"/>
    <cellStyle name="Currency_VERA" xfId="979"/>
    <cellStyle name="Currency_VIRUS-EDY" xfId="980"/>
    <cellStyle name="Currency_VIRUS-EDY_1" xfId="981"/>
    <cellStyle name="Currency_White" xfId="982"/>
    <cellStyle name="Currency_WO Var. &amp; Tot. Exp." xfId="983"/>
    <cellStyle name="Currency_WSP" xfId="984"/>
    <cellStyle name="Currency_yrcao" xfId="985"/>
    <cellStyle name="Currency_YREND55" xfId="986"/>
    <cellStyle name="Currency_YREND57" xfId="987"/>
    <cellStyle name="Currency_YTDCUR" xfId="988"/>
    <cellStyle name="Date" xfId="989"/>
    <cellStyle name="Fixed" xfId="990"/>
    <cellStyle name="Grey" xfId="991"/>
    <cellStyle name="HEADER" xfId="992"/>
    <cellStyle name="Heading 1" xfId="993"/>
    <cellStyle name="Heading2" xfId="994"/>
    <cellStyle name="HIGHLIGHT" xfId="995"/>
    <cellStyle name="Input [yellow]" xfId="996"/>
    <cellStyle name="no dec" xfId="997"/>
    <cellStyle name="Normal - Style1" xfId="998"/>
    <cellStyle name="Normal - Style1_dimon" xfId="999"/>
    <cellStyle name="Normal_022299" xfId="1000"/>
    <cellStyle name="Normal_03_06_98 list _ecm deals 030998 excel95" xfId="1001"/>
    <cellStyle name="Normal_0818_BRpipe" xfId="1002"/>
    <cellStyle name="Normal_0914_BRpwr" xfId="1003"/>
    <cellStyle name="Normal_0915_BRpwr" xfId="1004"/>
    <cellStyle name="Normal_0915_Curves" xfId="1005"/>
    <cellStyle name="Normal_12matrix" xfId="1006"/>
    <cellStyle name="Normal_20196" xfId="1007"/>
    <cellStyle name="Normal_4018fin" xfId="1008"/>
    <cellStyle name="Normal_4021fin" xfId="1009"/>
    <cellStyle name="Normal_95CHART" xfId="1010"/>
    <cellStyle name="Normal_990114_Tbs" xfId="1011"/>
    <cellStyle name="Normal_A" xfId="1012"/>
    <cellStyle name="Normal_A (2)" xfId="1013"/>
    <cellStyle name="Normal_A_dimon" xfId="1014"/>
    <cellStyle name="Normal_A_VERA" xfId="1015"/>
    <cellStyle name="Normal_ACTUAL" xfId="1016"/>
    <cellStyle name="Normal_ACTUAL NA -OBU" xfId="1017"/>
    <cellStyle name="Normal_Actual vs." xfId="1018"/>
    <cellStyle name="Normal_ACTUAL_1" xfId="1019"/>
    <cellStyle name="Normal_ACTUAL_NA WITHOUT GOV'T &amp; PNX" xfId="1020"/>
    <cellStyle name="Normal_algasdefault" xfId="1021"/>
    <cellStyle name="Normal_algasdefault_1" xfId="1022"/>
    <cellStyle name="Normal_Alternative1" xfId="1023"/>
    <cellStyle name="Normal_Alternative1_1" xfId="1024"/>
    <cellStyle name="Normal_AOPS" xfId="1025"/>
    <cellStyle name="Normal_App E" xfId="1026"/>
    <cellStyle name="Normal_APR" xfId="1027"/>
    <cellStyle name="Normal_APR_laroux" xfId="1028"/>
    <cellStyle name="Normal_Apr_pldt" xfId="1029"/>
    <cellStyle name="Normal_Arapahoe" xfId="1030"/>
    <cellStyle name="Normal_Assumptions" xfId="1031"/>
    <cellStyle name="Normal_bahiadefault" xfId="1032"/>
    <cellStyle name="Normal_bahiadefault_1" xfId="1033"/>
    <cellStyle name="Normal_BIGOUT" xfId="1034"/>
    <cellStyle name="Normal_Book3" xfId="1035"/>
    <cellStyle name="Normal_BOP" xfId="1036"/>
    <cellStyle name="Normal_BOPBAL1" xfId="1037"/>
    <cellStyle name="Normal_BOPCBU" xfId="1038"/>
    <cellStyle name="Normal_BOPCBU (2)" xfId="1039"/>
    <cellStyle name="Normal_BOPCBU96" xfId="1040"/>
    <cellStyle name="Normal_BREPAIR" xfId="1041"/>
    <cellStyle name="Normal_BSAPPE.XLS" xfId="1042"/>
    <cellStyle name="Normal_BUDGET" xfId="1043"/>
    <cellStyle name="Normal_C-Cap intensity" xfId="1044"/>
    <cellStyle name="Normal_C-Capex%rev" xfId="1045"/>
    <cellStyle name="Normal_C-Line per Staff" xfId="1046"/>
    <cellStyle name="Normal_C-lines distribution" xfId="1047"/>
    <cellStyle name="Normal_C-Orig PLDT lines" xfId="1048"/>
    <cellStyle name="Normal_C-Ret on Rev" xfId="1049"/>
    <cellStyle name="Normal_C-ROACE" xfId="1050"/>
    <cellStyle name="Normal_Calculations" xfId="1051"/>
    <cellStyle name="Normal_Calculations (2)" xfId="1052"/>
    <cellStyle name="Normal_Calculations II" xfId="1053"/>
    <cellStyle name="Normal_Calculations II_1" xfId="1054"/>
    <cellStyle name="Normal_Calculations III" xfId="1055"/>
    <cellStyle name="Normal_Calculations_1" xfId="1056"/>
    <cellStyle name="Normal_Calculations_2" xfId="1057"/>
    <cellStyle name="Normal_Capex" xfId="1058"/>
    <cellStyle name="Normal_Capex per line" xfId="1059"/>
    <cellStyle name="Normal_Capex%rev" xfId="1060"/>
    <cellStyle name="Normal_CAPEX2" xfId="1061"/>
    <cellStyle name="Normal_CAPEX94" xfId="1062"/>
    <cellStyle name="Normal_CAPEX_dimon" xfId="1063"/>
    <cellStyle name="Normal_CAPEX_VERA" xfId="1064"/>
    <cellStyle name="Normal_CAPEXPWI.XLS" xfId="1065"/>
    <cellStyle name="Normal_CAPEXPWO.XLS" xfId="1066"/>
    <cellStyle name="Normal_Cardig GHS" xfId="1067"/>
    <cellStyle name="Normal_Cash Flows" xfId="1068"/>
    <cellStyle name="Normal_CBU BOX CHART V PLAN" xfId="1069"/>
    <cellStyle name="Normal_CBU BOX CHART V PLAN_1" xfId="1070"/>
    <cellStyle name="Normal_CCOCPX" xfId="1071"/>
    <cellStyle name="Normal_CEL-C-CO.XLS" xfId="1072"/>
    <cellStyle name="Normal_Certs Q2" xfId="1073"/>
    <cellStyle name="Normal_Certs Q2 (2)" xfId="1074"/>
    <cellStyle name="Normal_CFMACROS.XLM" xfId="1075"/>
    <cellStyle name="Normal_CFMODEL.XLS" xfId="1076"/>
    <cellStyle name="Normal_CHANGES.XLS" xfId="1077"/>
    <cellStyle name="Normal_CHANGES.XLS_1" xfId="1078"/>
    <cellStyle name="Normal_Cht-Capex per line" xfId="1079"/>
    <cellStyle name="Normal_Cht-Cum Real Opr Cf" xfId="1080"/>
    <cellStyle name="Normal_Cht-Dep%Rev" xfId="1081"/>
    <cellStyle name="Normal_Cht-Real Opr Cf" xfId="1082"/>
    <cellStyle name="Normal_Cht-Rev dist" xfId="1083"/>
    <cellStyle name="Normal_Cht-Rev p line" xfId="1084"/>
    <cellStyle name="Normal_Cht-Rev per Staff" xfId="1085"/>
    <cellStyle name="Normal_Cht-Staff cost%revenue" xfId="1086"/>
    <cellStyle name="Normal_Co-wide Monthly" xfId="1087"/>
    <cellStyle name="Normal_Co-wide Monthly_dimon" xfId="1088"/>
    <cellStyle name="Normal_COMOTH" xfId="1089"/>
    <cellStyle name="Normal_coperdefault" xfId="1090"/>
    <cellStyle name="Normal_coperdefault_1" xfId="1091"/>
    <cellStyle name="Normal_Corp method" xfId="1092"/>
    <cellStyle name="Normal_Cost Code" xfId="1093"/>
    <cellStyle name="Normal_CROCF" xfId="1094"/>
    <cellStyle name="Normal_CTCUR" xfId="1095"/>
    <cellStyle name="Normal_Cum Real Opr Cf" xfId="1096"/>
    <cellStyle name="Normal_CUMPLTCH" xfId="1097"/>
    <cellStyle name="Normal_CurrencySKorea" xfId="1098"/>
    <cellStyle name="Normal_Curve Sheet" xfId="1099"/>
    <cellStyle name="Normal_Curves" xfId="1100"/>
    <cellStyle name="Normal_DEFAULT" xfId="1101"/>
    <cellStyle name="Normal_Demand Fcst." xfId="1102"/>
    <cellStyle name="Normal_Dep%Rev" xfId="1103"/>
    <cellStyle name="Normal_dimon" xfId="1104"/>
    <cellStyle name="Normal_dimon_1" xfId="1105"/>
    <cellStyle name="Normal_dimon_2" xfId="1106"/>
    <cellStyle name="Normal_dimon_3" xfId="1107"/>
    <cellStyle name="Normal_dimon_4" xfId="1108"/>
    <cellStyle name="Normal_DIV" xfId="1109"/>
    <cellStyle name="Normal_Dowell C1b" xfId="1110"/>
    <cellStyle name="Normal_Dowell-C1a" xfId="1111"/>
    <cellStyle name="Normal_DRAFT Order Summary" xfId="1112"/>
    <cellStyle name="Normal_E&amp;ONW1" xfId="1113"/>
    <cellStyle name="Normal_E&amp;ONW2" xfId="1114"/>
    <cellStyle name="Normal_E&amp;OOCPX" xfId="1115"/>
    <cellStyle name="Normal_emserdefault" xfId="1116"/>
    <cellStyle name="Normal_emserdefault_1" xfId="1117"/>
    <cellStyle name="Normal_EPS" xfId="1118"/>
    <cellStyle name="Normal_EQCON" xfId="1119"/>
    <cellStyle name="Normal_export 61898" xfId="1120"/>
    <cellStyle name="Normal_export deals 050898" xfId="1121"/>
    <cellStyle name="Normal_F&amp;COCPX" xfId="1122"/>
    <cellStyle name="Normal_FEBRUARY" xfId="1123"/>
    <cellStyle name="Normal_FF" xfId="1124"/>
    <cellStyle name="Normal_FP 20 A (1)" xfId="1125"/>
    <cellStyle name="Normal_FP 20 A (2)" xfId="1126"/>
    <cellStyle name="Normal_FP-20 (App. E)" xfId="1127"/>
    <cellStyle name="Normal_FP-20 (App.A) " xfId="1128"/>
    <cellStyle name="Normal_FP-20 (App.A) _1" xfId="1129"/>
    <cellStyle name="Normal_FP-20(C1) (a)" xfId="1130"/>
    <cellStyle name="Normal_FP-20(C1) (a) (2)" xfId="1131"/>
    <cellStyle name="Normal_FP-20(C1) (a)_1" xfId="1132"/>
    <cellStyle name="Normal_FP-20(C1) (b)" xfId="1133"/>
    <cellStyle name="Normal_FP-20(C1) (b) " xfId="1134"/>
    <cellStyle name="Normal_FP-20(C1) (b) (2)" xfId="1135"/>
    <cellStyle name="Normal_FP-20(C1) (e)" xfId="1136"/>
    <cellStyle name="Normal_FP20_C1A" xfId="1137"/>
    <cellStyle name="Normal_FP20_C1B" xfId="1138"/>
    <cellStyle name="Normal_GCM" xfId="1139"/>
    <cellStyle name="Normal_GE03" xfId="1140"/>
    <cellStyle name="Normal_GE04" xfId="1141"/>
    <cellStyle name="Normal_GenAssum" xfId="1142"/>
    <cellStyle name="Normal_GP C1a" xfId="1143"/>
    <cellStyle name="Normal_GP C1b" xfId="1144"/>
    <cellStyle name="Normal_GP_EI_3" xfId="1145"/>
    <cellStyle name="Normal_GQ C1A" xfId="1146"/>
    <cellStyle name="Normal_GQ C1B" xfId="1147"/>
    <cellStyle name="Normal_HC" xfId="1148"/>
    <cellStyle name="Normal_Igobox" xfId="1149"/>
    <cellStyle name="Normal_Igobox_1" xfId="1150"/>
    <cellStyle name="Normal_Igobox_2" xfId="1151"/>
    <cellStyle name="Normal_Igobox_Imacros" xfId="1152"/>
    <cellStyle name="Normal_Igobox_IPP" xfId="1153"/>
    <cellStyle name="Normal_Igobox_Iprintbox" xfId="1154"/>
    <cellStyle name="Normal_Imacros" xfId="1155"/>
    <cellStyle name="Normal_Imacros_1" xfId="1156"/>
    <cellStyle name="Normal_Imacros_2" xfId="1157"/>
    <cellStyle name="Normal_Input" xfId="1158"/>
    <cellStyle name="Normal_INPUT_1" xfId="1159"/>
    <cellStyle name="Normal_INPUT_GenAssum" xfId="1160"/>
    <cellStyle name="Normal_Inputs" xfId="1161"/>
    <cellStyle name="Normal_Inputs_dimon" xfId="1162"/>
    <cellStyle name="Normal_INVREV" xfId="1163"/>
    <cellStyle name="Normal_IPM C1b" xfId="1164"/>
    <cellStyle name="Normal_IPMC1a" xfId="1165"/>
    <cellStyle name="Normal_IPP" xfId="1166"/>
    <cellStyle name="Normal_IPP_1" xfId="1167"/>
    <cellStyle name="Normal_IPP_1_Igobox" xfId="1168"/>
    <cellStyle name="Normal_IPP_1_Imacros" xfId="1169"/>
    <cellStyle name="Normal_IPP_1_Iprintbox" xfId="1170"/>
    <cellStyle name="Normal_IPP_2" xfId="1171"/>
    <cellStyle name="Normal_Iprintbox" xfId="1172"/>
    <cellStyle name="Normal_Iprintbox_1" xfId="1173"/>
    <cellStyle name="Normal_Iprintbox_2" xfId="1174"/>
    <cellStyle name="Normal_IRR" xfId="1175"/>
    <cellStyle name="Normal_IS-Hold" xfId="1176"/>
    <cellStyle name="Normal_Iterbox" xfId="1177"/>
    <cellStyle name="Normal_ITOCPX" xfId="1178"/>
    <cellStyle name="Normal_jancf" xfId="1179"/>
    <cellStyle name="Normal_JUNMTH55" xfId="1180"/>
    <cellStyle name="Normal_JUNMTH57" xfId="1181"/>
    <cellStyle name="Normal_JUNYTD55" xfId="1182"/>
    <cellStyle name="Normal_JUNYTD57" xfId="1183"/>
    <cellStyle name="Normal_laroux" xfId="1184"/>
    <cellStyle name="Normal_laroux_1" xfId="1185"/>
    <cellStyle name="Normal_laroux_1_dimon" xfId="1186"/>
    <cellStyle name="Normal_laroux_1_dimon_1" xfId="1187"/>
    <cellStyle name="Normal_laroux_1_dimon_2" xfId="1188"/>
    <cellStyle name="Normal_laroux_1_laroux" xfId="1189"/>
    <cellStyle name="Normal_laroux_1_laroux_1" xfId="1190"/>
    <cellStyle name="Normal_laroux_1_laroux_2" xfId="1191"/>
    <cellStyle name="Normal_laroux_1_Locas" xfId="1192"/>
    <cellStyle name="Normal_laroux_1_Locas_1" xfId="1193"/>
    <cellStyle name="Normal_laroux_1_pldt" xfId="1194"/>
    <cellStyle name="Normal_laroux_1_pldt_1" xfId="1195"/>
    <cellStyle name="Normal_laroux_1_pldt_2" xfId="1196"/>
    <cellStyle name="Normal_laroux_1_pldt_3" xfId="1197"/>
    <cellStyle name="Normal_laroux_1_PLDT_dimon" xfId="1198"/>
    <cellStyle name="Normal_laroux_1_VERA" xfId="1199"/>
    <cellStyle name="Normal_laroux_1_VERA_1" xfId="1200"/>
    <cellStyle name="Normal_laroux_1_VIRUS-EDY" xfId="1201"/>
    <cellStyle name="Normal_laroux_2" xfId="1202"/>
    <cellStyle name="Normal_laroux_2_dimon" xfId="1203"/>
    <cellStyle name="Normal_laroux_2_dimon_1" xfId="1204"/>
    <cellStyle name="Normal_laroux_2_dimon_2" xfId="1205"/>
    <cellStyle name="Normal_laroux_2_dimon_3" xfId="1206"/>
    <cellStyle name="Normal_laroux_2_laroux" xfId="1207"/>
    <cellStyle name="Normal_laroux_2_laroux_1" xfId="1208"/>
    <cellStyle name="Normal_laroux_2_laroux_2" xfId="1209"/>
    <cellStyle name="Normal_laroux_2_Locas" xfId="1210"/>
    <cellStyle name="Normal_laroux_2_Locas_1" xfId="1211"/>
    <cellStyle name="Normal_laroux_2_pldt" xfId="1212"/>
    <cellStyle name="Normal_laroux_2_pldt_1" xfId="1213"/>
    <cellStyle name="Normal_laroux_2_pldt_2" xfId="1214"/>
    <cellStyle name="Normal_laroux_2_VIRUS-EDY" xfId="1215"/>
    <cellStyle name="Normal_laroux_3" xfId="1216"/>
    <cellStyle name="Normal_laroux_3_dimon" xfId="1217"/>
    <cellStyle name="Normal_laroux_3_dimon_1" xfId="1218"/>
    <cellStyle name="Normal_laroux_3_dimon_2" xfId="1219"/>
    <cellStyle name="Normal_laroux_3_dimon_3" xfId="1220"/>
    <cellStyle name="Normal_laroux_3_dimon_4" xfId="1221"/>
    <cellStyle name="Normal_laroux_3_laroux" xfId="1222"/>
    <cellStyle name="Normal_laroux_3_laroux_1" xfId="1223"/>
    <cellStyle name="Normal_laroux_3_laroux_2" xfId="1224"/>
    <cellStyle name="Normal_laroux_3_laroux_dimon" xfId="1225"/>
    <cellStyle name="Normal_laroux_3_Locas" xfId="1226"/>
    <cellStyle name="Normal_laroux_3_pldt" xfId="1227"/>
    <cellStyle name="Normal_laroux_3_pldt_1" xfId="1228"/>
    <cellStyle name="Normal_laroux_3_PLDT_dimon" xfId="1229"/>
    <cellStyle name="Normal_laroux_3_VERA" xfId="1230"/>
    <cellStyle name="Normal_laroux_3_VERA_1" xfId="1231"/>
    <cellStyle name="Normal_laroux_3_VIRUS-EDY" xfId="1232"/>
    <cellStyle name="Normal_laroux_4" xfId="1233"/>
    <cellStyle name="Normal_laroux_4_dimon" xfId="1234"/>
    <cellStyle name="Normal_laroux_4_dimon_1" xfId="1235"/>
    <cellStyle name="Normal_laroux_4_dimon_2" xfId="1236"/>
    <cellStyle name="Normal_laroux_4_dimon_3" xfId="1237"/>
    <cellStyle name="Normal_laroux_4_laroux" xfId="1238"/>
    <cellStyle name="Normal_laroux_4_laroux_1" xfId="1239"/>
    <cellStyle name="Normal_laroux_4_laroux_2" xfId="1240"/>
    <cellStyle name="Normal_laroux_4_pldt" xfId="1241"/>
    <cellStyle name="Normal_laroux_4_pldt_1" xfId="1242"/>
    <cellStyle name="Normal_laroux_4_pldt_2" xfId="1243"/>
    <cellStyle name="Normal_laroux_4_PLDT_dimon" xfId="1244"/>
    <cellStyle name="Normal_laroux_4_VERA" xfId="1245"/>
    <cellStyle name="Normal_laroux_4_VIRUS-EDY" xfId="1246"/>
    <cellStyle name="Normal_laroux_5" xfId="1247"/>
    <cellStyle name="Normal_laroux_5_dimon" xfId="1248"/>
    <cellStyle name="Normal_laroux_5_dimon_1" xfId="1249"/>
    <cellStyle name="Normal_laroux_5_dimon_2" xfId="1250"/>
    <cellStyle name="Normal_laroux_5_dimon_3" xfId="1251"/>
    <cellStyle name="Normal_laroux_5_laroux" xfId="1252"/>
    <cellStyle name="Normal_laroux_5_laroux_1" xfId="1253"/>
    <cellStyle name="Normal_laroux_5_laroux_2" xfId="1254"/>
    <cellStyle name="Normal_laroux_5_pldt" xfId="1255"/>
    <cellStyle name="Normal_laroux_5_pldt_1" xfId="1256"/>
    <cellStyle name="Normal_laroux_5_pldt_2" xfId="1257"/>
    <cellStyle name="Normal_laroux_5_pldt_3" xfId="1258"/>
    <cellStyle name="Normal_laroux_5_PLDT_dimon" xfId="1259"/>
    <cellStyle name="Normal_laroux_5_VERA" xfId="1260"/>
    <cellStyle name="Normal_laroux_5_VIRUS-EDY" xfId="1261"/>
    <cellStyle name="Normal_laroux_6" xfId="1262"/>
    <cellStyle name="Normal_laroux_6_dimon" xfId="1263"/>
    <cellStyle name="Normal_laroux_6_dimon_1" xfId="1264"/>
    <cellStyle name="Normal_laroux_6_dimon_2" xfId="1265"/>
    <cellStyle name="Normal_laroux_6_dimon_3" xfId="1266"/>
    <cellStyle name="Normal_laroux_6_laroux" xfId="1267"/>
    <cellStyle name="Normal_laroux_6_laroux_1" xfId="1268"/>
    <cellStyle name="Normal_laroux_6_laroux_dimon" xfId="1269"/>
    <cellStyle name="Normal_laroux_6_pldt" xfId="1270"/>
    <cellStyle name="Normal_laroux_6_pldt_1" xfId="1271"/>
    <cellStyle name="Normal_laroux_6_pldt_2" xfId="1272"/>
    <cellStyle name="Normal_laroux_6_PLDT_dimon" xfId="1273"/>
    <cellStyle name="Normal_laroux_6_VERA" xfId="1274"/>
    <cellStyle name="Normal_laroux_6_VIRUS-EDY" xfId="1275"/>
    <cellStyle name="Normal_laroux_7" xfId="1276"/>
    <cellStyle name="Normal_laroux_7_dimon" xfId="1277"/>
    <cellStyle name="Normal_laroux_7_dimon_1" xfId="1278"/>
    <cellStyle name="Normal_laroux_7_dimon_2" xfId="1279"/>
    <cellStyle name="Normal_laroux_7_laroux" xfId="1280"/>
    <cellStyle name="Normal_laroux_7_pldt" xfId="1281"/>
    <cellStyle name="Normal_laroux_7_pldt_1" xfId="1282"/>
    <cellStyle name="Normal_laroux_7_VERA" xfId="1283"/>
    <cellStyle name="Normal_laroux_7_VIRUS-EDY" xfId="1284"/>
    <cellStyle name="Normal_laroux_8" xfId="1285"/>
    <cellStyle name="Normal_laroux_8_dimon" xfId="1286"/>
    <cellStyle name="Normal_laroux_8_dimon_1" xfId="1287"/>
    <cellStyle name="Normal_laroux_8_pldt" xfId="1288"/>
    <cellStyle name="Normal_laroux_8_pldt_1" xfId="1289"/>
    <cellStyle name="Normal_laroux_8_VERA" xfId="1290"/>
    <cellStyle name="Normal_laroux_9" xfId="1291"/>
    <cellStyle name="Normal_laroux_9_dimon" xfId="1292"/>
    <cellStyle name="Normal_laroux_9_dimon_1" xfId="1293"/>
    <cellStyle name="Normal_laroux_A" xfId="1294"/>
    <cellStyle name="Normal_laroux_B" xfId="1295"/>
    <cellStyle name="Normal_laroux_C" xfId="1296"/>
    <cellStyle name="Normal_laroux_D" xfId="1297"/>
    <cellStyle name="Normal_laroux_dimon" xfId="1298"/>
    <cellStyle name="Normal_laroux_dimon_1" xfId="1299"/>
    <cellStyle name="Normal_laroux_dimon_2" xfId="1300"/>
    <cellStyle name="Normal_laroux_dimon_3" xfId="1301"/>
    <cellStyle name="Normal_laroux_dimon_4" xfId="1302"/>
    <cellStyle name="Normal_laroux_dimon_5" xfId="1303"/>
    <cellStyle name="Normal_laroux_laroux" xfId="1304"/>
    <cellStyle name="Normal_laroux_laroux_1" xfId="1305"/>
    <cellStyle name="Normal_laroux_laroux_2" xfId="1306"/>
    <cellStyle name="Normal_laroux_Locas" xfId="1307"/>
    <cellStyle name="Normal_laroux_pldt" xfId="1308"/>
    <cellStyle name="Normal_laroux_pldt_1" xfId="1309"/>
    <cellStyle name="Normal_laroux_pldt_2" xfId="1310"/>
    <cellStyle name="Normal_laroux_pldt_3" xfId="1311"/>
    <cellStyle name="Normal_laroux_PLDT_dimon" xfId="1312"/>
    <cellStyle name="Normal_laroux_VERA" xfId="1313"/>
    <cellStyle name="Normal_laroux_VERA_1" xfId="1314"/>
    <cellStyle name="Normal_laroux_VIRUS-EDY" xfId="1315"/>
    <cellStyle name="Normal_Line Inst." xfId="1316"/>
    <cellStyle name="Normal_List" xfId="1317"/>
    <cellStyle name="Normal_Locas" xfId="1318"/>
    <cellStyle name="Normal_Locas_1" xfId="1319"/>
    <cellStyle name="Normal_MAJREP" xfId="1320"/>
    <cellStyle name="Normal_MATERAL2" xfId="1321"/>
    <cellStyle name="Normal_MATERAL2_dimon" xfId="1322"/>
    <cellStyle name="Normal_may98dcr" xfId="1323"/>
    <cellStyle name="Normal_MED-A-CO.XLS" xfId="1324"/>
    <cellStyle name="Normal_MID CURVE" xfId="1325"/>
    <cellStyle name="Normal_MKGOCPX" xfId="1326"/>
    <cellStyle name="Normal_Mkt Shr" xfId="1327"/>
    <cellStyle name="Normal_MOBCPX" xfId="1328"/>
    <cellStyle name="Normal_Module1 (2)" xfId="1329"/>
    <cellStyle name="Normal_Module1 (2)_1" xfId="1330"/>
    <cellStyle name="Normal_MONTHLY" xfId="1331"/>
    <cellStyle name="Normal_MOR  - Supp" xfId="1332"/>
    <cellStyle name="Normal_mud plant bolted" xfId="1333"/>
    <cellStyle name="Normal_mud plant bolted_dimon" xfId="1334"/>
    <cellStyle name="Normal_Multikarya" xfId="1335"/>
    <cellStyle name="Normal_NA WITHOUT GOV'T &amp; PNX" xfId="1336"/>
    <cellStyle name="Normal_NAOBU10" xfId="1337"/>
    <cellStyle name="Normal_NAT ACCT" xfId="1338"/>
    <cellStyle name="Normal_NCR-C&amp;W Val" xfId="1339"/>
    <cellStyle name="Normal_NCR-Cap intensity" xfId="1340"/>
    <cellStyle name="Normal_NCR-Line per Staff" xfId="1341"/>
    <cellStyle name="Normal_NCR-Rev dist" xfId="1342"/>
    <cellStyle name="Normal_NEHQ-ACT.XLS" xfId="1343"/>
    <cellStyle name="Normal_NS-A-CO.XLS" xfId="1344"/>
    <cellStyle name="Normal_NS_AT" xfId="1345"/>
    <cellStyle name="Normal_NS_CONS GROUP" xfId="1346"/>
    <cellStyle name="Normal_NSACTUAL.XLS" xfId="1347"/>
    <cellStyle name="Normal_NSACTUAL.XLS_1" xfId="1348"/>
    <cellStyle name="Normal_NX00" xfId="1349"/>
    <cellStyle name="Normal_Op Cost Break" xfId="1350"/>
    <cellStyle name="Normal_OPSTAT" xfId="1351"/>
    <cellStyle name="Normal_OS-A-CO.XLS" xfId="1352"/>
    <cellStyle name="Normal_OSMOCPX" xfId="1353"/>
    <cellStyle name="Normal_Other Months" xfId="1354"/>
    <cellStyle name="Normal_Outlook" xfId="1355"/>
    <cellStyle name="Normal_Outlook_1" xfId="1356"/>
    <cellStyle name="Normal_OWN, AR, SNIPS" xfId="1357"/>
    <cellStyle name="Normal_PAGE 1" xfId="1358"/>
    <cellStyle name="Normal_pbdefault" xfId="1359"/>
    <cellStyle name="Normal_pbdefault_1" xfId="1360"/>
    <cellStyle name="Normal_percentages" xfId="1361"/>
    <cellStyle name="Normal_PERSONAL" xfId="1362"/>
    <cellStyle name="Normal_PERSONAL_dimon" xfId="1363"/>
    <cellStyle name="Normal_PERSONAL_Locas" xfId="1364"/>
    <cellStyle name="Normal_PGMKOCPX" xfId="1365"/>
    <cellStyle name="Normal_PGNW1" xfId="1366"/>
    <cellStyle name="Normal_PGNW2" xfId="1367"/>
    <cellStyle name="Normal_PGNWOCPX" xfId="1368"/>
    <cellStyle name="Normal_Picks" xfId="1369"/>
    <cellStyle name="Normal_Pink" xfId="1370"/>
    <cellStyle name="Normal_PLAN" xfId="1371"/>
    <cellStyle name="Normal_PLANT" xfId="1372"/>
    <cellStyle name="Normal_PLANTS" xfId="1373"/>
    <cellStyle name="Normal_PLDT" xfId="1374"/>
    <cellStyle name="Normal_PLDT_1" xfId="1375"/>
    <cellStyle name="Normal_pldt_1_Calculations" xfId="1376"/>
    <cellStyle name="Normal_PLDT_1_dimon" xfId="1377"/>
    <cellStyle name="Normal_pldt_2" xfId="1378"/>
    <cellStyle name="Normal_pldt_2_Calculations" xfId="1379"/>
    <cellStyle name="Normal_PLDT_2_dimon" xfId="1380"/>
    <cellStyle name="Normal_pldt_2_dimon_1" xfId="1381"/>
    <cellStyle name="Normal_pldt_2_pldt" xfId="1382"/>
    <cellStyle name="Normal_pldt_3" xfId="1383"/>
    <cellStyle name="Normal_pldt_3_dimon" xfId="1384"/>
    <cellStyle name="Normal_pldt_4" xfId="1385"/>
    <cellStyle name="Normal_pldt_4_dimon" xfId="1386"/>
    <cellStyle name="Normal_PLDT_4_dimon_1" xfId="1387"/>
    <cellStyle name="Normal_pldt_5" xfId="1388"/>
    <cellStyle name="Normal_pldt_6" xfId="1389"/>
    <cellStyle name="Normal_pldt_Calculations" xfId="1390"/>
    <cellStyle name="Normal_PLDT_dimon" xfId="1391"/>
    <cellStyle name="Normal_PLDT_dimon_1" xfId="1392"/>
    <cellStyle name="Normal_pldt_pldt" xfId="1393"/>
    <cellStyle name="Normal_POW-Provision" xfId="1394"/>
    <cellStyle name="Normal_priccurv" xfId="1395"/>
    <cellStyle name="Normal_priccurv_1" xfId="1396"/>
    <cellStyle name="Normal_priccurv_2" xfId="1397"/>
    <cellStyle name="Normal_PrintBox (2)" xfId="1398"/>
    <cellStyle name="Normal_PROCDS&amp;G" xfId="1399"/>
    <cellStyle name="Normal_PROD SALES" xfId="1400"/>
    <cellStyle name="Normal_PROD SALES by Region Pg 2" xfId="1401"/>
    <cellStyle name="Normal_PRODUCT" xfId="1402"/>
    <cellStyle name="Normal_Production Payment model" xfId="1403"/>
    <cellStyle name="Normal_production tony" xfId="1404"/>
    <cellStyle name="Normal_PROFILE4" xfId="1405"/>
    <cellStyle name="Normal_PSTNOCFP" xfId="1406"/>
    <cellStyle name="Normal_Q08-95.XLS" xfId="1407"/>
    <cellStyle name="Normal_QMM-1" xfId="1408"/>
    <cellStyle name="Normal_Quarter End Months" xfId="1409"/>
    <cellStyle name="Normal_r1" xfId="1410"/>
    <cellStyle name="Normal_Real Opr Cf" xfId="1411"/>
    <cellStyle name="Normal_Real Rev per Staff (1)" xfId="1412"/>
    <cellStyle name="Normal_Real Rev per Staff (2)" xfId="1413"/>
    <cellStyle name="Normal_Region 2-C&amp;W" xfId="1414"/>
    <cellStyle name="Normal_REPORT-budget" xfId="1415"/>
    <cellStyle name="Normal_REPORT-plan" xfId="1416"/>
    <cellStyle name="Normal_Return on Rev" xfId="1417"/>
    <cellStyle name="Normal_Rev p line" xfId="1418"/>
    <cellStyle name="Normal_ROACE" xfId="1419"/>
    <cellStyle name="Normal_ROCF (Tot)" xfId="1420"/>
    <cellStyle name="Normal_Sales Order" xfId="1421"/>
    <cellStyle name="Normal_SALES, BGP, MOI" xfId="1422"/>
    <cellStyle name="Normal_SATOCPX" xfId="1423"/>
    <cellStyle name="Normal_SC COP" xfId="1424"/>
    <cellStyle name="Normal_Sheet1" xfId="1425"/>
    <cellStyle name="Normal_Sheet1 (2)" xfId="1426"/>
    <cellStyle name="Normal_Sheet1 (2)_dimon" xfId="1427"/>
    <cellStyle name="Normal_Sheet1 (2)_VERA" xfId="1428"/>
    <cellStyle name="Normal_Sheet1 (2)_VERA_1" xfId="1429"/>
    <cellStyle name="Normal_Sheet1_1" xfId="1430"/>
    <cellStyle name="Normal_Sheet1_dimon" xfId="1431"/>
    <cellStyle name="Normal_Sheet1_FUNDS" xfId="1432"/>
    <cellStyle name="Normal_Sheet1_FUNDS (2)" xfId="1433"/>
    <cellStyle name="Normal_Sheet1_laroux" xfId="1434"/>
    <cellStyle name="Normal_Sheet1_List" xfId="1435"/>
    <cellStyle name="Normal_Sheet1_PLDT" xfId="1436"/>
    <cellStyle name="Normal_Sheet1_VERA" xfId="1437"/>
    <cellStyle name="Normal_Sheet1_VERA_1" xfId="1438"/>
    <cellStyle name="Normal_Sheet2" xfId="1439"/>
    <cellStyle name="Normal_Sheet3" xfId="1440"/>
    <cellStyle name="Normal_SHENREPT" xfId="1441"/>
    <cellStyle name="Normal_SHENREPT_laroux" xfId="1442"/>
    <cellStyle name="Normal_SHENREPT_pldt" xfId="1443"/>
    <cellStyle name="Normal_solInv_suppldata_qry" xfId="1444"/>
    <cellStyle name="Normal_SOP" xfId="1445"/>
    <cellStyle name="Normal_sprint contr" xfId="1446"/>
    <cellStyle name="Normal_Staff cost%rev" xfId="1447"/>
    <cellStyle name="Normal_Summary" xfId="1448"/>
    <cellStyle name="Normal_SUMPAGE" xfId="1449"/>
    <cellStyle name="Normal_SWI-C-CO.XLS" xfId="1450"/>
    <cellStyle name="Normal_Template" xfId="1451"/>
    <cellStyle name="Normal_TMSNW1" xfId="1452"/>
    <cellStyle name="Normal_TMSNW2" xfId="1453"/>
    <cellStyle name="Normal_TMSOCPX" xfId="1454"/>
    <cellStyle name="Normal_TOTAL MTH" xfId="1455"/>
    <cellStyle name="Normal_TOTAL NX CASH FLOW" xfId="1456"/>
    <cellStyle name="Normal_TOTAL YTD" xfId="1457"/>
    <cellStyle name="Normal_Total-Rev dist." xfId="1458"/>
    <cellStyle name="Normal_TRANSDSC.XLS" xfId="1459"/>
    <cellStyle name="Normal_TRANSFXA.XLS" xfId="1460"/>
    <cellStyle name="Normal_TRANSFXA.XLS_1" xfId="1461"/>
    <cellStyle name="Normal_TRANSFXA.XLS_2" xfId="1462"/>
    <cellStyle name="Normal_TRANSIME.XLS" xfId="1463"/>
    <cellStyle name="Normal_TRANSIME.XLS_1" xfId="1464"/>
    <cellStyle name="Normal_TRANSIME.XLS_TRANSDSC.XLS" xfId="1465"/>
    <cellStyle name="Normal_TRANSIME.XLS_TRANSFXA.XLS" xfId="1466"/>
    <cellStyle name="Normal_TRN-A-CO.XLS" xfId="1467"/>
    <cellStyle name="Normal_White" xfId="1468"/>
    <cellStyle name="Normal_WO Var. &amp; Tot. Exp." xfId="1469"/>
    <cellStyle name="Normal_WSP" xfId="1470"/>
    <cellStyle name="Normal_yrcao" xfId="1471"/>
    <cellStyle name="Normal_YREND55" xfId="1472"/>
    <cellStyle name="Normal_YREND57" xfId="1473"/>
    <cellStyle name="Normal_YTDCUR" xfId="1474"/>
    <cellStyle name="Percent [2]" xfId="1475"/>
    <cellStyle name="Total" xfId="1476"/>
    <cellStyle name="Unprot" xfId="1477"/>
    <cellStyle name="Unprot$" xfId="1478"/>
    <cellStyle name="Unprot_CurrencySKorea" xfId="1479"/>
    <cellStyle name="Unprotect" xfId="148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9933"/>
      <rgbColor rgb="FF800080"/>
      <rgbColor rgb="FF008080"/>
      <rgbColor rgb="FFC0C0C0"/>
      <rgbColor rgb="FF808080"/>
      <rgbColor rgb="FF9999FF"/>
      <rgbColor rgb="FF993366"/>
      <rgbColor rgb="FFFFFFC0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6CAF0"/>
      <rgbColor rgb="FFFF99CC"/>
      <rgbColor rgb="FFCC9CCC"/>
      <rgbColor rgb="FFFFCC99"/>
      <rgbColor rgb="FF3366FF"/>
      <rgbColor rgb="FF33CCCC"/>
      <rgbColor rgb="FF99CC00"/>
      <rgbColor rgb="FFFFCC00"/>
      <rgbColor rgb="FFFF9900"/>
      <rgbColor rgb="FFFF6600"/>
      <rgbColor rgb="FF336666"/>
      <rgbColor rgb="FF969696"/>
      <rgbColor rgb="FF003366"/>
      <rgbColor rgb="FF339933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worksheet" Target="worksheets/sheet39.xml"/><Relationship Id="rId42" Type="http://schemas.openxmlformats.org/officeDocument/2006/relationships/worksheet" Target="worksheets/sheet40.xml"/><Relationship Id="rId43" Type="http://schemas.openxmlformats.org/officeDocument/2006/relationships/externalLink" Target="externalLinks/externalLink1.xml"/><Relationship Id="rId44" Type="http://schemas.openxmlformats.org/officeDocument/2006/relationships/externalLink" Target="externalLinks/externalLink2.xml"/><Relationship Id="rId45" Type="http://schemas.openxmlformats.org/officeDocument/2006/relationships/externalLink" Target="externalLinks/externalLink3.xml"/><Relationship Id="rId46" Type="http://schemas.openxmlformats.org/officeDocument/2006/relationships/externalLink" Target="externalLinks/externalLink4.xml"/><Relationship Id="rId47" Type="http://schemas.openxmlformats.org/officeDocument/2006/relationships/externalLink" Target="externalLinks/externalLink5.xml"/><Relationship Id="rId48" Type="http://schemas.openxmlformats.org/officeDocument/2006/relationships/externalLink" Target="externalLinks/externalLink6.xml"/><Relationship Id="rId49" Type="http://schemas.openxmlformats.org/officeDocument/2006/relationships/externalLink" Target="externalLinks/externalLink7.xml"/><Relationship Id="rId50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1792080</xdr:colOff>
          <xdr:row>2</xdr:row>
          <xdr:rowOff>38520</xdr:rowOff>
        </xdr:from>
        <xdr:to>
          <xdr:col>2</xdr:col>
          <xdr:colOff>232920</xdr:colOff>
          <xdr:row>4</xdr:row>
          <xdr:rowOff>56880</xdr:rowOff>
        </xdr:to>
        <xdr:sp>
          <xdr:nvSpPr>
            <xdr:cNvPr id="1001" name="Button 93" descr="Converge&#10;Mode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Converge
Model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291960</xdr:colOff>
          <xdr:row>2</xdr:row>
          <xdr:rowOff>38520</xdr:rowOff>
        </xdr:from>
        <xdr:to>
          <xdr:col>3</xdr:col>
          <xdr:colOff>554040</xdr:colOff>
          <xdr:row>4</xdr:row>
          <xdr:rowOff>47520</xdr:rowOff>
        </xdr:to>
        <xdr:sp>
          <xdr:nvSpPr>
            <xdr:cNvPr id="1002" name="Button 95" descr="Converge&#10;Commitmen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Converge
Commitment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633600</xdr:colOff>
          <xdr:row>2</xdr:row>
          <xdr:rowOff>29160</xdr:rowOff>
        </xdr:from>
        <xdr:to>
          <xdr:col>5</xdr:col>
          <xdr:colOff>232200</xdr:colOff>
          <xdr:row>4</xdr:row>
          <xdr:rowOff>56880</xdr:rowOff>
        </xdr:to>
        <xdr:sp>
          <xdr:nvSpPr>
            <xdr:cNvPr id="1003" name="Button 96" descr="Print Entire&#10;Mode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Entire
Model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311760</xdr:colOff>
          <xdr:row>2</xdr:row>
          <xdr:rowOff>38520</xdr:rowOff>
        </xdr:from>
        <xdr:to>
          <xdr:col>7</xdr:col>
          <xdr:colOff>405360</xdr:colOff>
          <xdr:row>4</xdr:row>
          <xdr:rowOff>56880</xdr:rowOff>
        </xdr:to>
        <xdr:sp>
          <xdr:nvSpPr>
            <xdr:cNvPr id="1004" name="Button 97" descr="Print&#10;Appendix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
Appendix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462960</xdr:colOff>
          <xdr:row>2</xdr:row>
          <xdr:rowOff>38520</xdr:rowOff>
        </xdr:from>
        <xdr:to>
          <xdr:col>8</xdr:col>
          <xdr:colOff>-882720</xdr:colOff>
          <xdr:row>4</xdr:row>
          <xdr:rowOff>56880</xdr:rowOff>
        </xdr:to>
        <xdr:sp>
          <xdr:nvSpPr>
            <xdr:cNvPr id="1005" name="Button 393" descr="Recalc&#10;Subdeb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
Subdebt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432720</xdr:colOff>
          <xdr:row>1</xdr:row>
          <xdr:rowOff>190440</xdr:rowOff>
        </xdr:from>
        <xdr:to>
          <xdr:col>37</xdr:col>
          <xdr:colOff>383040</xdr:colOff>
          <xdr:row>4</xdr:row>
          <xdr:rowOff>123840</xdr:rowOff>
        </xdr:to>
        <xdr:sp>
          <xdr:nvSpPr>
            <xdr:cNvPr id="1001" name="Button 45" descr="Refresh Tariff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Tariff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ECM/RAAP/$LIBRARY/SOUTHERN%20CONE%20Deals/Cuiaba_Cemat%20Pwr/Reval_0400/F%20M%20V/CASH_Cons_0400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ECM/RAAP/$LIBRARY/SOUTHERN%20CONE%20Deals/Cuiaba_Cemat%20Pwr/Reval_0400/F%20M%20V/CASH_GasMat_0400-apos%20conv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ECM/RAAP/$LIBRARY/SOUTHERN%20CONE%20Deals/Cuiaba_Cemat%20Pwr/Reval_0400/F%20M%20V/CASH_GasBol_0400-apos%20converge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ECM/RAAP/$LIBRARY/SOUTHERN%20CONE%20Deals/Cuiaba_Cemat%20Pwr/Reval_0400/F%20M%20V/CASH_Curves_0400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xls/CASH_GasMat_0400MyCopy.xls" TargetMode="External"/>
</Relationships>
</file>

<file path=xl/externalLinks/_rels/externalLink6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O:/ECM/RAAP/$LIBRARY/SOUTHERN%20CONE%20Deals/Cuiaba_Cemat%20Pwr/Reval_0400/F%20M%20V/CASH_GasBol_0400.xls" TargetMode="External"/>
</Relationships>
</file>

<file path=xl/externalLinks/_rels/externalLink7.xml.rels><?xml version="1.0" encoding="UTF-8"?>
<Relationships xmlns="http://schemas.openxmlformats.org/package/2006/relationships"><Relationship Id="rId1" Type="http://schemas.openxmlformats.org/officeDocument/2006/relationships/externalLinkPath" Target="../xls/CASH_TBS_0400MyCopy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RAC_ASSUMP"/>
      <sheetName val="RAC_RATIOS"/>
      <sheetName val="Summary WO-TBS"/>
      <sheetName val="Summary W-TBS"/>
      <sheetName val="Enron Summary W-TBS"/>
      <sheetName val="Shell &amp; Transredes"/>
      <sheetName val="Fin Stmts WO-TBS"/>
      <sheetName val="Current Finance"/>
      <sheetName val="IDC"/>
      <sheetName val="Senior Debt Split"/>
      <sheetName val="Default Payment"/>
      <sheetName val="Consolidated Project Cost"/>
      <sheetName val="Funded Project Cost"/>
    </sheetNames>
    <definedNames>
      <definedName name="EPE_Disc" refersTo="[1]RAC_ASSUMP!$C$4"/>
    </definedNames>
    <sheetDataSet>
      <sheetData sheetId="0"/>
      <sheetData sheetId="1">
        <row r="4">
          <cell r="C4">
            <v>0.19</v>
          </cell>
        </row>
        <row r="5">
          <cell r="G5">
            <v>36251</v>
          </cell>
        </row>
        <row r="15">
          <cell r="C15">
            <v>36770</v>
          </cell>
        </row>
      </sheetData>
      <sheetData sheetId="2"/>
      <sheetData sheetId="3"/>
      <sheetData sheetId="4"/>
      <sheetData sheetId="5">
        <row r="86">
          <cell r="H86">
            <v>0</v>
          </cell>
          <cell r="I86">
            <v>0</v>
          </cell>
          <cell r="J86">
            <v>0</v>
          </cell>
          <cell r="K86">
            <v>528.103053938204</v>
          </cell>
          <cell r="L86">
            <v>816.491585416114</v>
          </cell>
          <cell r="M86">
            <v>1276.81761673389</v>
          </cell>
          <cell r="N86">
            <v>2412.10752746215</v>
          </cell>
          <cell r="O86">
            <v>3549.34359177779</v>
          </cell>
          <cell r="P86">
            <v>4236.85356583677</v>
          </cell>
          <cell r="Q86">
            <v>4609.07583164107</v>
          </cell>
          <cell r="R86">
            <v>4763.55014085012</v>
          </cell>
          <cell r="S86">
            <v>5018.90872499479</v>
          </cell>
          <cell r="T86">
            <v>5234.39933134557</v>
          </cell>
          <cell r="U86">
            <v>5416.66997604295</v>
          </cell>
          <cell r="V86">
            <v>5858.61467814325</v>
          </cell>
          <cell r="W86">
            <v>5827.45000935589</v>
          </cell>
          <cell r="X86">
            <v>5950.43486789725</v>
          </cell>
          <cell r="Y86">
            <v>6074.74701203984</v>
          </cell>
          <cell r="Z86">
            <v>6167.0167774867</v>
          </cell>
          <cell r="AA86">
            <v>6415.30626199127</v>
          </cell>
          <cell r="AB86">
            <v>6845.4965601944</v>
          </cell>
          <cell r="AC86">
            <v>72370.6530186574</v>
          </cell>
        </row>
        <row r="87">
          <cell r="H87">
            <v>-2535.159172224</v>
          </cell>
          <cell r="I87">
            <v>-20621.8629977828</v>
          </cell>
          <cell r="J87">
            <v>8103.5943912575</v>
          </cell>
          <cell r="K87">
            <v>1191.49207367046</v>
          </cell>
          <cell r="L87">
            <v>1516.53056381045</v>
          </cell>
          <cell r="M87">
            <v>1069.83010955448</v>
          </cell>
          <cell r="N87">
            <v>1550.84004608774</v>
          </cell>
          <cell r="O87">
            <v>339.118222250387</v>
          </cell>
          <cell r="P87">
            <v>1345.69082800949</v>
          </cell>
          <cell r="Q87">
            <v>1507.8438696587</v>
          </cell>
          <cell r="R87">
            <v>2607.57801787317</v>
          </cell>
          <cell r="S87">
            <v>3905.68303177604</v>
          </cell>
          <cell r="T87">
            <v>4227.85972496988</v>
          </cell>
          <cell r="U87">
            <v>3825.89686270416</v>
          </cell>
          <cell r="V87">
            <v>2594.40422969683</v>
          </cell>
          <cell r="W87">
            <v>2465.70126514765</v>
          </cell>
          <cell r="X87">
            <v>3083.41816647567</v>
          </cell>
          <cell r="Y87">
            <v>4127.50142873931</v>
          </cell>
          <cell r="Z87">
            <v>6147.25058908842</v>
          </cell>
          <cell r="AA87">
            <v>6298.72068366026</v>
          </cell>
          <cell r="AB87">
            <v>6467.60604098709</v>
          </cell>
          <cell r="AC87">
            <v>103642.335889257</v>
          </cell>
        </row>
        <row r="88">
          <cell r="H88">
            <v>-2806.62016208755</v>
          </cell>
          <cell r="I88">
            <v>-23365.6986788447</v>
          </cell>
          <cell r="J88">
            <v>3805.05753986848</v>
          </cell>
          <cell r="K88">
            <v>-376.980757468635</v>
          </cell>
          <cell r="L88">
            <v>-1357.41921238768</v>
          </cell>
          <cell r="M88">
            <v>-1853.19456118118</v>
          </cell>
          <cell r="N88">
            <v>-1174.92754756771</v>
          </cell>
          <cell r="O88">
            <v>-1214.56255456055</v>
          </cell>
          <cell r="P88">
            <v>-1106.08297900399</v>
          </cell>
          <cell r="Q88">
            <v>-774.212977299903</v>
          </cell>
          <cell r="R88">
            <v>754.904767933331</v>
          </cell>
          <cell r="S88">
            <v>2279.36686156312</v>
          </cell>
          <cell r="T88">
            <v>2744.38518807498</v>
          </cell>
          <cell r="U88">
            <v>2749.16954491711</v>
          </cell>
          <cell r="V88">
            <v>2763.49729329422</v>
          </cell>
          <cell r="W88">
            <v>2750.95531884383</v>
          </cell>
          <cell r="X88">
            <v>3494.55924338788</v>
          </cell>
          <cell r="Y88">
            <v>4943.4190229529</v>
          </cell>
          <cell r="Z88">
            <v>7708.38084705592</v>
          </cell>
          <cell r="AA88">
            <v>7997.02319459783</v>
          </cell>
          <cell r="AB88">
            <v>8120.01028511639</v>
          </cell>
          <cell r="AC88">
            <v>98381.2423929742</v>
          </cell>
        </row>
        <row r="89">
          <cell r="H89">
            <v>-76842.7860462856</v>
          </cell>
          <cell r="I89">
            <v>-27451.9718209792</v>
          </cell>
          <cell r="J89">
            <v>32320.4701512654</v>
          </cell>
          <cell r="K89">
            <v>1089.29215034139</v>
          </cell>
          <cell r="L89">
            <v>4565.99273715997</v>
          </cell>
          <cell r="M89">
            <v>7057.32749043818</v>
          </cell>
          <cell r="N89">
            <v>-243.713697293762</v>
          </cell>
          <cell r="O89">
            <v>10716.6238687696</v>
          </cell>
          <cell r="P89">
            <v>11398.1857973462</v>
          </cell>
          <cell r="Q89">
            <v>10081.6885899079</v>
          </cell>
          <cell r="R89">
            <v>9475.00710348284</v>
          </cell>
          <cell r="S89">
            <v>10731.429316319</v>
          </cell>
          <cell r="T89">
            <v>11473.3167793204</v>
          </cell>
          <cell r="U89">
            <v>9371.23469924549</v>
          </cell>
          <cell r="V89">
            <v>8816.85274774215</v>
          </cell>
          <cell r="W89">
            <v>11923.1843534139</v>
          </cell>
          <cell r="X89">
            <v>4883.67637389089</v>
          </cell>
          <cell r="Y89">
            <v>-860.921350374165</v>
          </cell>
          <cell r="Z89">
            <v>3441.70934610698</v>
          </cell>
          <cell r="AA89">
            <v>2690.79715989054</v>
          </cell>
          <cell r="AB89">
            <v>3468.70882005393</v>
          </cell>
          <cell r="AC89">
            <v>3437.8938598862</v>
          </cell>
        </row>
        <row r="90">
          <cell r="H90">
            <v>-82184.5653805972</v>
          </cell>
          <cell r="I90">
            <v>-71439.5334976067</v>
          </cell>
          <cell r="J90">
            <v>44229.1220823914</v>
          </cell>
          <cell r="K90">
            <v>2431.90652048141</v>
          </cell>
          <cell r="L90">
            <v>5541.59567399886</v>
          </cell>
          <cell r="M90">
            <v>7550.78065554537</v>
          </cell>
          <cell r="N90">
            <v>2544.30632868842</v>
          </cell>
          <cell r="O90">
            <v>13390.5231282372</v>
          </cell>
          <cell r="P90">
            <v>15874.6472121884</v>
          </cell>
          <cell r="Q90">
            <v>15424.3953139078</v>
          </cell>
          <cell r="R90">
            <v>17601.0400301395</v>
          </cell>
          <cell r="S90">
            <v>21935.387934653</v>
          </cell>
          <cell r="T90">
            <v>23679.9610237108</v>
          </cell>
          <cell r="U90">
            <v>21362.9710829097</v>
          </cell>
          <cell r="V90">
            <v>20033.3689488764</v>
          </cell>
          <cell r="W90">
            <v>22967.2909467613</v>
          </cell>
          <cell r="X90">
            <v>17412.0886516517</v>
          </cell>
          <cell r="Y90">
            <v>14284.7461133579</v>
          </cell>
          <cell r="Z90">
            <v>23464.357559738</v>
          </cell>
          <cell r="AA90">
            <v>23401.8473001399</v>
          </cell>
          <cell r="AB90">
            <v>24901.8217063518</v>
          </cell>
          <cell r="AC90">
            <v>277832.125160775</v>
          </cell>
        </row>
      </sheetData>
      <sheetData sheetId="6"/>
      <sheetData sheetId="7"/>
      <sheetData sheetId="8"/>
      <sheetData sheetId="9">
        <row r="72"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1</v>
          </cell>
          <cell r="AA72">
            <v>1</v>
          </cell>
          <cell r="AB72">
            <v>1</v>
          </cell>
          <cell r="AC72">
            <v>0.999999999999999</v>
          </cell>
          <cell r="AD72">
            <v>1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0.466169687524045</v>
          </cell>
          <cell r="AL72">
            <v>0.457956326181153</v>
          </cell>
          <cell r="AM72">
            <v>0.450071371279134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sm"/>
      <sheetName val="CF"/>
      <sheetName val="Returns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CommonSized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Converge_Model"/>
      <sheetName val="Commit"/>
    </sheetNames>
    <sheetDataSet>
      <sheetData sheetId="0"/>
      <sheetData sheetId="1">
        <row r="9">
          <cell r="X9">
            <v>73349.5306560353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sm"/>
      <sheetName val="CF"/>
      <sheetName val="RAROC"/>
      <sheetName val="CommonSize"/>
      <sheetName val="BS_IS"/>
      <sheetName val="Returns"/>
      <sheetName val="CS_INC"/>
      <sheetName val="EINC"/>
      <sheetName val="PLRisk"/>
      <sheetName val="Trapped"/>
      <sheetName val="Turnkey"/>
      <sheetName val="Drawdown"/>
      <sheetName val="IDC"/>
      <sheetName val="Debt Amort"/>
      <sheetName val="Taxes"/>
      <sheetName val="Depr"/>
      <sheetName val="Ref1"/>
      <sheetName val="Ref2"/>
      <sheetName val="Ref3"/>
      <sheetName val="Ref4"/>
      <sheetName val="Ref5"/>
      <sheetName val="Transportation"/>
      <sheetName val="Escalation"/>
      <sheetName val="Converge_Model"/>
      <sheetName val="Commit"/>
    </sheetNames>
    <sheetDataSet>
      <sheetData sheetId="0"/>
      <sheetData sheetId="1">
        <row r="9">
          <cell r="X9">
            <v>90299.3494329064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Valuation 4-30-00"/>
      <sheetName val="Annual Curve Selection"/>
      <sheetName val="Monthly Curve Calc."/>
      <sheetName val="11-17-99 CPI &amp; PPI"/>
      <sheetName val="1-28-2000 WTI"/>
      <sheetName val="012600 cpi-ppi"/>
      <sheetName val="02112000 USD-CPI-IGPM"/>
    </sheetNames>
    <sheetDataSet>
      <sheetData sheetId="0"/>
      <sheetData sheetId="1"/>
      <sheetData sheetId="2">
        <row r="12">
          <cell r="F12">
            <v>0</v>
          </cell>
        </row>
        <row r="22">
          <cell r="B22">
            <v>134.689</v>
          </cell>
          <cell r="C22">
            <v>159.1</v>
          </cell>
        </row>
        <row r="22">
          <cell r="F22">
            <v>1.0385</v>
          </cell>
        </row>
        <row r="23">
          <cell r="B23">
            <v>136.814</v>
          </cell>
          <cell r="C23">
            <v>159.1</v>
          </cell>
        </row>
        <row r="23">
          <cell r="F23">
            <v>1.0456</v>
          </cell>
        </row>
        <row r="24">
          <cell r="B24">
            <v>137.39</v>
          </cell>
          <cell r="C24">
            <v>159.6</v>
          </cell>
        </row>
        <row r="24">
          <cell r="F24">
            <v>1.051</v>
          </cell>
        </row>
        <row r="25">
          <cell r="B25">
            <v>138.99</v>
          </cell>
          <cell r="C25">
            <v>160</v>
          </cell>
        </row>
        <row r="25">
          <cell r="F25">
            <v>1.0594</v>
          </cell>
        </row>
        <row r="26">
          <cell r="B26">
            <v>139.807</v>
          </cell>
          <cell r="C26">
            <v>160.2</v>
          </cell>
        </row>
        <row r="26">
          <cell r="F26">
            <v>1.0635</v>
          </cell>
        </row>
        <row r="27">
          <cell r="B27">
            <v>140.22</v>
          </cell>
          <cell r="C27">
            <v>160.1</v>
          </cell>
        </row>
        <row r="27">
          <cell r="F27">
            <v>1.0703</v>
          </cell>
        </row>
        <row r="28">
          <cell r="B28">
            <v>141.207</v>
          </cell>
          <cell r="C28">
            <v>160.3</v>
          </cell>
        </row>
        <row r="28">
          <cell r="F28">
            <v>1.0766</v>
          </cell>
        </row>
        <row r="29">
          <cell r="B29">
            <v>141.33</v>
          </cell>
          <cell r="C29">
            <v>160.5</v>
          </cell>
        </row>
        <row r="29">
          <cell r="F29">
            <v>1.0829</v>
          </cell>
        </row>
        <row r="30">
          <cell r="B30">
            <v>141.26</v>
          </cell>
          <cell r="C30">
            <v>160.8</v>
          </cell>
        </row>
        <row r="30">
          <cell r="F30">
            <v>1.0913</v>
          </cell>
        </row>
        <row r="31">
          <cell r="B31">
            <v>142.101</v>
          </cell>
          <cell r="C31">
            <v>161.2</v>
          </cell>
        </row>
        <row r="31">
          <cell r="F31">
            <v>1.096</v>
          </cell>
        </row>
        <row r="32">
          <cell r="B32">
            <v>142.587</v>
          </cell>
          <cell r="C32">
            <v>161.6</v>
          </cell>
        </row>
        <row r="32">
          <cell r="F32">
            <v>1.1027</v>
          </cell>
        </row>
        <row r="33">
          <cell r="B33">
            <v>143.771</v>
          </cell>
          <cell r="C33">
            <v>161.5</v>
          </cell>
        </row>
        <row r="33">
          <cell r="F33">
            <v>1.1095</v>
          </cell>
        </row>
        <row r="34">
          <cell r="B34">
            <v>144.765</v>
          </cell>
          <cell r="C34">
            <v>161.3</v>
          </cell>
        </row>
        <row r="34">
          <cell r="F34">
            <v>1.116</v>
          </cell>
        </row>
        <row r="35">
          <cell r="B35">
            <v>146.038</v>
          </cell>
          <cell r="C35">
            <v>161.6</v>
          </cell>
        </row>
        <row r="35">
          <cell r="F35">
            <v>1.1234</v>
          </cell>
        </row>
        <row r="36">
          <cell r="B36">
            <v>146.067</v>
          </cell>
          <cell r="C36">
            <v>161.9</v>
          </cell>
        </row>
        <row r="36">
          <cell r="F36">
            <v>1.13</v>
          </cell>
        </row>
        <row r="37">
          <cell r="B37">
            <v>146.406</v>
          </cell>
          <cell r="C37">
            <v>162.2</v>
          </cell>
        </row>
        <row r="37">
          <cell r="F37">
            <v>1.137</v>
          </cell>
        </row>
        <row r="38">
          <cell r="B38">
            <v>146.211</v>
          </cell>
          <cell r="C38">
            <v>162.5</v>
          </cell>
        </row>
        <row r="38">
          <cell r="F38">
            <v>1.1443</v>
          </cell>
        </row>
        <row r="39">
          <cell r="B39">
            <v>146.544</v>
          </cell>
          <cell r="C39">
            <v>162.8</v>
          </cell>
        </row>
        <row r="39">
          <cell r="F39">
            <v>1.1501</v>
          </cell>
        </row>
        <row r="40">
          <cell r="B40">
            <v>146.951</v>
          </cell>
          <cell r="C40">
            <v>163</v>
          </cell>
        </row>
        <row r="40">
          <cell r="F40">
            <v>1.1565</v>
          </cell>
        </row>
        <row r="41">
          <cell r="B41">
            <v>146.39</v>
          </cell>
          <cell r="C41">
            <v>163.2</v>
          </cell>
        </row>
        <row r="41">
          <cell r="F41">
            <v>1.163</v>
          </cell>
        </row>
        <row r="42">
          <cell r="B42">
            <v>146.144</v>
          </cell>
          <cell r="C42">
            <v>163.4</v>
          </cell>
        </row>
        <row r="42">
          <cell r="F42">
            <v>1.1765</v>
          </cell>
        </row>
        <row r="43">
          <cell r="B43">
            <v>146.111</v>
          </cell>
          <cell r="C43">
            <v>163.6</v>
          </cell>
        </row>
        <row r="43">
          <cell r="F43">
            <v>1.1856</v>
          </cell>
        </row>
        <row r="44">
          <cell r="B44">
            <v>146.063</v>
          </cell>
          <cell r="C44">
            <v>164</v>
          </cell>
        </row>
        <row r="44">
          <cell r="F44">
            <v>1.1928</v>
          </cell>
        </row>
        <row r="45">
          <cell r="B45">
            <v>145.797</v>
          </cell>
          <cell r="C45">
            <v>164</v>
          </cell>
        </row>
        <row r="45">
          <cell r="F45">
            <v>1.2008</v>
          </cell>
        </row>
        <row r="46">
          <cell r="B46">
            <v>147.23</v>
          </cell>
          <cell r="C46">
            <v>163.9</v>
          </cell>
        </row>
        <row r="46">
          <cell r="F46">
            <v>1.2083</v>
          </cell>
        </row>
        <row r="47">
          <cell r="B47">
            <v>148.92</v>
          </cell>
          <cell r="C47">
            <v>164.3</v>
          </cell>
        </row>
        <row r="47">
          <cell r="F47">
            <v>2.05</v>
          </cell>
        </row>
        <row r="48">
          <cell r="B48">
            <v>155.53</v>
          </cell>
          <cell r="C48">
            <v>164.5</v>
          </cell>
        </row>
        <row r="48">
          <cell r="F48">
            <v>2.035</v>
          </cell>
        </row>
        <row r="49">
          <cell r="B49">
            <v>158.6</v>
          </cell>
          <cell r="C49">
            <v>165</v>
          </cell>
        </row>
        <row r="49">
          <cell r="F49">
            <v>1.7175</v>
          </cell>
        </row>
        <row r="50">
          <cell r="B50">
            <v>158.65</v>
          </cell>
          <cell r="C50">
            <v>166.2</v>
          </cell>
        </row>
        <row r="50">
          <cell r="F50">
            <v>1.665</v>
          </cell>
        </row>
        <row r="51">
          <cell r="B51">
            <v>158.1</v>
          </cell>
          <cell r="C51">
            <v>166.2</v>
          </cell>
        </row>
        <row r="51">
          <cell r="F51">
            <v>1.721</v>
          </cell>
        </row>
        <row r="52">
          <cell r="B52">
            <v>159.71</v>
          </cell>
          <cell r="C52">
            <v>166.2</v>
          </cell>
        </row>
        <row r="52">
          <cell r="F52">
            <v>1.7525</v>
          </cell>
        </row>
        <row r="53">
          <cell r="B53">
            <v>162.25</v>
          </cell>
          <cell r="C53">
            <v>166.7</v>
          </cell>
        </row>
        <row r="53">
          <cell r="F53">
            <v>1.801</v>
          </cell>
        </row>
        <row r="54">
          <cell r="B54">
            <v>164.61</v>
          </cell>
          <cell r="C54">
            <v>167.1</v>
          </cell>
        </row>
        <row r="54">
          <cell r="F54">
            <v>1.919</v>
          </cell>
        </row>
        <row r="55">
          <cell r="B55">
            <v>167.03</v>
          </cell>
          <cell r="C55">
            <v>167.9</v>
          </cell>
        </row>
        <row r="55">
          <cell r="F55">
            <v>1.9375</v>
          </cell>
        </row>
        <row r="56">
          <cell r="B56">
            <v>170.18</v>
          </cell>
          <cell r="C56">
            <v>168.2</v>
          </cell>
        </row>
        <row r="56">
          <cell r="F56">
            <v>1.949</v>
          </cell>
        </row>
        <row r="57">
          <cell r="B57">
            <v>174.5</v>
          </cell>
          <cell r="C57">
            <v>168.3</v>
          </cell>
        </row>
        <row r="57">
          <cell r="F57">
            <v>1.923</v>
          </cell>
        </row>
        <row r="58">
          <cell r="B58">
            <v>176.65</v>
          </cell>
          <cell r="C58">
            <v>168.3</v>
          </cell>
        </row>
        <row r="58">
          <cell r="F58">
            <v>1.799</v>
          </cell>
        </row>
        <row r="59">
          <cell r="B59">
            <v>177.962667619927</v>
          </cell>
          <cell r="C59">
            <v>168.759419216569</v>
          </cell>
        </row>
        <row r="59">
          <cell r="F59">
            <v>1.79475064868979</v>
          </cell>
        </row>
        <row r="60">
          <cell r="B60">
            <v>179.285089535243</v>
          </cell>
          <cell r="C60">
            <v>169.220092538999</v>
          </cell>
        </row>
        <row r="60">
          <cell r="F60">
            <v>1.79051133461502</v>
          </cell>
        </row>
        <row r="61">
          <cell r="B61">
            <v>180.617338229093</v>
          </cell>
          <cell r="C61">
            <v>169.682023390704</v>
          </cell>
        </row>
        <row r="61">
          <cell r="F61">
            <v>1.78628203406711</v>
          </cell>
        </row>
        <row r="62">
          <cell r="B62">
            <v>181.959486723239</v>
          </cell>
          <cell r="C62">
            <v>170.145215204442</v>
          </cell>
        </row>
        <row r="62">
          <cell r="F62">
            <v>1.78206272339347</v>
          </cell>
        </row>
        <row r="63">
          <cell r="B63">
            <v>183.311608582057</v>
          </cell>
          <cell r="C63">
            <v>170.609671422339</v>
          </cell>
        </row>
        <row r="63">
          <cell r="F63">
            <v>1.7778533789974</v>
          </cell>
        </row>
        <row r="64">
          <cell r="B64">
            <v>184.673777916574</v>
          </cell>
          <cell r="C64">
            <v>171.075395495921</v>
          </cell>
        </row>
        <row r="64">
          <cell r="F64">
            <v>1.77365397733792</v>
          </cell>
        </row>
        <row r="65">
          <cell r="B65">
            <v>186.046069388528</v>
          </cell>
          <cell r="C65">
            <v>171.542390886135</v>
          </cell>
        </row>
        <row r="65">
          <cell r="F65">
            <v>1.76946449492966</v>
          </cell>
        </row>
        <row r="66">
          <cell r="B66">
            <v>187.428558214461</v>
          </cell>
          <cell r="C66">
            <v>172.010661063373</v>
          </cell>
        </row>
        <row r="66">
          <cell r="F66">
            <v>1.76528490834273</v>
          </cell>
        </row>
        <row r="67">
          <cell r="B67">
            <v>188.82132016984</v>
          </cell>
          <cell r="C67">
            <v>172.480209507504</v>
          </cell>
        </row>
        <row r="67">
          <cell r="F67">
            <v>1.76111519420256</v>
          </cell>
        </row>
        <row r="68">
          <cell r="B68">
            <v>190.224431593213</v>
          </cell>
          <cell r="C68">
            <v>172.951039707894</v>
          </cell>
        </row>
        <row r="68">
          <cell r="F68">
            <v>1.75695532918982</v>
          </cell>
        </row>
        <row r="69">
          <cell r="B69">
            <v>191.637969390391</v>
          </cell>
          <cell r="C69">
            <v>173.423155163434</v>
          </cell>
        </row>
        <row r="69">
          <cell r="F69">
            <v>1.75280529004025</v>
          </cell>
        </row>
        <row r="70">
          <cell r="B70">
            <v>193.062011038664</v>
          </cell>
          <cell r="C70">
            <v>173.896559382566</v>
          </cell>
        </row>
        <row r="70">
          <cell r="F70">
            <v>1.80386772326803</v>
          </cell>
        </row>
        <row r="71">
          <cell r="B71">
            <v>194.453471372283</v>
          </cell>
          <cell r="C71">
            <v>174.362626231407</v>
          </cell>
        </row>
        <row r="71">
          <cell r="F71">
            <v>1.81882126905259</v>
          </cell>
        </row>
        <row r="72">
          <cell r="B72">
            <v>195.854960410408</v>
          </cell>
          <cell r="C72">
            <v>174.829942203913</v>
          </cell>
        </row>
        <row r="72">
          <cell r="F72">
            <v>1.8338987754406</v>
          </cell>
        </row>
        <row r="73">
          <cell r="B73">
            <v>197.266550433155</v>
          </cell>
          <cell r="C73">
            <v>175.298510647909</v>
          </cell>
        </row>
        <row r="73">
          <cell r="F73">
            <v>1.84910127002989</v>
          </cell>
        </row>
        <row r="74">
          <cell r="B74">
            <v>198.688314241586</v>
          </cell>
          <cell r="C74">
            <v>175.76833492019</v>
          </cell>
        </row>
        <row r="74">
          <cell r="F74">
            <v>1.8644297889368</v>
          </cell>
        </row>
        <row r="75">
          <cell r="B75">
            <v>200.120325161463</v>
          </cell>
          <cell r="C75">
            <v>176.239418386552</v>
          </cell>
        </row>
        <row r="75">
          <cell r="F75">
            <v>1.87988537686674</v>
          </cell>
        </row>
        <row r="76">
          <cell r="B76">
            <v>201.562657047032</v>
          </cell>
          <cell r="C76">
            <v>176.711764421808</v>
          </cell>
        </row>
        <row r="76">
          <cell r="F76">
            <v>1.89546908718545</v>
          </cell>
        </row>
        <row r="77">
          <cell r="B77">
            <v>203.01538428483</v>
          </cell>
          <cell r="C77">
            <v>177.185376409817</v>
          </cell>
        </row>
        <row r="77">
          <cell r="F77">
            <v>1.91118198199078</v>
          </cell>
        </row>
        <row r="78">
          <cell r="B78">
            <v>204.47858179752</v>
          </cell>
          <cell r="C78">
            <v>177.660257743509</v>
          </cell>
        </row>
        <row r="78">
          <cell r="F78">
            <v>1.92702513218504</v>
          </cell>
        </row>
        <row r="79">
          <cell r="B79">
            <v>205.95232504776</v>
          </cell>
          <cell r="C79">
            <v>178.136411824906</v>
          </cell>
        </row>
        <row r="79">
          <cell r="F79">
            <v>1.94299961754803</v>
          </cell>
        </row>
        <row r="80">
          <cell r="B80">
            <v>207.43669004209</v>
          </cell>
          <cell r="C80">
            <v>178.613842065146</v>
          </cell>
        </row>
        <row r="80">
          <cell r="F80">
            <v>1.95910652681061</v>
          </cell>
        </row>
        <row r="81">
          <cell r="B81">
            <v>208.931753334852</v>
          </cell>
          <cell r="C81">
            <v>179.092551884514</v>
          </cell>
        </row>
        <row r="81">
          <cell r="F81">
            <v>1.97534695772891</v>
          </cell>
        </row>
        <row r="82">
          <cell r="B82">
            <v>210.437592032144</v>
          </cell>
          <cell r="C82">
            <v>179.572544712458</v>
          </cell>
        </row>
        <row r="82">
          <cell r="F82">
            <v>1.99172201715913</v>
          </cell>
        </row>
        <row r="83">
          <cell r="B83">
            <v>211.87309067014</v>
          </cell>
          <cell r="C83">
            <v>180.021954839391</v>
          </cell>
        </row>
        <row r="83">
          <cell r="F83">
            <v>2.00248656102165</v>
          </cell>
        </row>
        <row r="84">
          <cell r="B84">
            <v>213.318381552572</v>
          </cell>
          <cell r="C84">
            <v>180.472489689831</v>
          </cell>
        </row>
        <row r="84">
          <cell r="F84">
            <v>2.01330928338677</v>
          </cell>
        </row>
        <row r="85">
          <cell r="B85">
            <v>214.773531477171</v>
          </cell>
          <cell r="C85">
            <v>180.924152078586</v>
          </cell>
        </row>
        <row r="85">
          <cell r="F85">
            <v>2.02419049868846</v>
          </cell>
        </row>
        <row r="86">
          <cell r="B86">
            <v>216.238607697327</v>
          </cell>
          <cell r="C86">
            <v>181.376944827506</v>
          </cell>
        </row>
        <row r="86">
          <cell r="F86">
            <v>2.03513052306008</v>
          </cell>
        </row>
        <row r="87">
          <cell r="B87">
            <v>217.713677925199</v>
          </cell>
          <cell r="C87">
            <v>181.830870765507</v>
          </cell>
        </row>
        <row r="87">
          <cell r="F87">
            <v>2.04612967434359</v>
          </cell>
        </row>
        <row r="88">
          <cell r="B88">
            <v>219.198810334845</v>
          </cell>
          <cell r="C88">
            <v>182.285932728581</v>
          </cell>
        </row>
        <row r="88">
          <cell r="F88">
            <v>2.05718827209876</v>
          </cell>
        </row>
        <row r="89">
          <cell r="B89">
            <v>220.694073565371</v>
          </cell>
          <cell r="C89">
            <v>182.742133559822</v>
          </cell>
        </row>
        <row r="89">
          <cell r="F89">
            <v>2.06830663761246</v>
          </cell>
        </row>
        <row r="90">
          <cell r="B90">
            <v>222.199536724104</v>
          </cell>
          <cell r="C90">
            <v>183.199476109434</v>
          </cell>
        </row>
        <row r="90">
          <cell r="F90">
            <v>2.07948509390801</v>
          </cell>
        </row>
        <row r="91">
          <cell r="B91">
            <v>223.715269389788</v>
          </cell>
          <cell r="C91">
            <v>183.657963234759</v>
          </cell>
        </row>
        <row r="91">
          <cell r="F91">
            <v>2.09072396575457</v>
          </cell>
        </row>
        <row r="92">
          <cell r="B92">
            <v>225.241341615795</v>
          </cell>
          <cell r="C92">
            <v>184.117597800287</v>
          </cell>
        </row>
        <row r="92">
          <cell r="F92">
            <v>2.10202357967654</v>
          </cell>
        </row>
        <row r="93">
          <cell r="B93">
            <v>226.777823933367</v>
          </cell>
          <cell r="C93">
            <v>184.578382677678</v>
          </cell>
        </row>
        <row r="93">
          <cell r="F93">
            <v>2.11338426396307</v>
          </cell>
        </row>
        <row r="94">
          <cell r="B94">
            <v>228.324787354876</v>
          </cell>
          <cell r="C94">
            <v>185.040320745779</v>
          </cell>
        </row>
        <row r="94">
          <cell r="F94">
            <v>2.12480634867759</v>
          </cell>
        </row>
        <row r="95">
          <cell r="B95">
            <v>229.793835911578</v>
          </cell>
          <cell r="C95">
            <v>185.488406521398</v>
          </cell>
        </row>
        <row r="95">
          <cell r="F95">
            <v>2.13087787834043</v>
          </cell>
        </row>
        <row r="96">
          <cell r="B96">
            <v>231.272336370926</v>
          </cell>
          <cell r="C96">
            <v>185.937577362486</v>
          </cell>
        </row>
        <row r="96">
          <cell r="F96">
            <v>2.13696675710073</v>
          </cell>
        </row>
        <row r="97">
          <cell r="B97">
            <v>232.760349546747</v>
          </cell>
          <cell r="C97">
            <v>186.38783589659</v>
          </cell>
        </row>
        <row r="97">
          <cell r="F97">
            <v>2.14307303453269</v>
          </cell>
        </row>
        <row r="98">
          <cell r="B98">
            <v>234.257936644146</v>
          </cell>
          <cell r="C98">
            <v>186.839184757623</v>
          </cell>
        </row>
        <row r="98">
          <cell r="F98">
            <v>2.14919676035217</v>
          </cell>
        </row>
        <row r="99">
          <cell r="B99">
            <v>235.765159262022</v>
          </cell>
          <cell r="C99">
            <v>187.291626585873</v>
          </cell>
        </row>
        <row r="99">
          <cell r="F99">
            <v>2.15533798441706</v>
          </cell>
        </row>
        <row r="100">
          <cell r="B100">
            <v>237.282079395603</v>
          </cell>
          <cell r="C100">
            <v>187.745164028023</v>
          </cell>
        </row>
        <row r="100">
          <cell r="F100">
            <v>2.16149675672775</v>
          </cell>
        </row>
        <row r="101">
          <cell r="B101">
            <v>238.808759438999</v>
          </cell>
          <cell r="C101">
            <v>188.199799737166</v>
          </cell>
        </row>
        <row r="101">
          <cell r="F101">
            <v>2.16767312742749</v>
          </cell>
        </row>
        <row r="102">
          <cell r="B102">
            <v>240.345262187762</v>
          </cell>
          <cell r="C102">
            <v>188.655536372818</v>
          </cell>
        </row>
        <row r="102">
          <cell r="F102">
            <v>2.17386714680281</v>
          </cell>
        </row>
        <row r="103">
          <cell r="B103">
            <v>241.891650841475</v>
          </cell>
          <cell r="C103">
            <v>189.112376600935</v>
          </cell>
        </row>
        <row r="103">
          <cell r="F103">
            <v>2.18007886528392</v>
          </cell>
        </row>
        <row r="104">
          <cell r="B104">
            <v>243.447989006347</v>
          </cell>
          <cell r="C104">
            <v>189.570323093932</v>
          </cell>
        </row>
        <row r="104">
          <cell r="F104">
            <v>2.18630833344516</v>
          </cell>
        </row>
        <row r="105">
          <cell r="B105">
            <v>245.014340697834</v>
          </cell>
          <cell r="C105">
            <v>190.02937853069</v>
          </cell>
        </row>
        <row r="105">
          <cell r="F105">
            <v>2.19255560200536</v>
          </cell>
        </row>
        <row r="106">
          <cell r="B106">
            <v>246.590770343266</v>
          </cell>
          <cell r="C106">
            <v>190.489545596583</v>
          </cell>
        </row>
        <row r="106">
          <cell r="F106">
            <v>2.19882072182829</v>
          </cell>
        </row>
        <row r="107">
          <cell r="B107">
            <v>248.177342784504</v>
          </cell>
          <cell r="C107">
            <v>190.939552895467</v>
          </cell>
        </row>
        <row r="107">
          <cell r="F107">
            <v>2.20450306493358</v>
          </cell>
        </row>
        <row r="108">
          <cell r="B108">
            <v>249.7741232806</v>
          </cell>
          <cell r="C108">
            <v>191.3906232793</v>
          </cell>
        </row>
        <row r="108">
          <cell r="F108">
            <v>2.21020009273911</v>
          </cell>
        </row>
        <row r="109">
          <cell r="B109">
            <v>251.381177510487</v>
          </cell>
          <cell r="C109">
            <v>191.842759259487</v>
          </cell>
        </row>
        <row r="109">
          <cell r="F109">
            <v>2.21591184319408</v>
          </cell>
        </row>
        <row r="110">
          <cell r="B110">
            <v>252.998571575677</v>
          </cell>
          <cell r="C110">
            <v>192.295963353362</v>
          </cell>
        </row>
        <row r="110">
          <cell r="F110">
            <v>2.22163835434577</v>
          </cell>
        </row>
        <row r="111">
          <cell r="B111">
            <v>254.626372002983</v>
          </cell>
          <cell r="C111">
            <v>192.750238084208</v>
          </cell>
        </row>
        <row r="111">
          <cell r="F111">
            <v>2.22737966433978</v>
          </cell>
        </row>
        <row r="112">
          <cell r="B112">
            <v>256.264645747251</v>
          </cell>
          <cell r="C112">
            <v>193.205585981269</v>
          </cell>
        </row>
        <row r="112">
          <cell r="F112">
            <v>2.23313581142029</v>
          </cell>
        </row>
        <row r="113">
          <cell r="B113">
            <v>257.913460194119</v>
          </cell>
          <cell r="C113">
            <v>193.662009579763</v>
          </cell>
        </row>
        <row r="113">
          <cell r="F113">
            <v>2.23890683393033</v>
          </cell>
        </row>
        <row r="114">
          <cell r="B114">
            <v>259.572883162783</v>
          </cell>
          <cell r="C114">
            <v>194.119511420898</v>
          </cell>
        </row>
        <row r="114">
          <cell r="F114">
            <v>2.24469277031199</v>
          </cell>
        </row>
        <row r="115">
          <cell r="B115">
            <v>261.242982908792</v>
          </cell>
          <cell r="C115">
            <v>194.578094051885</v>
          </cell>
        </row>
        <row r="115">
          <cell r="F115">
            <v>2.25049365910673</v>
          </cell>
        </row>
        <row r="116">
          <cell r="B116">
            <v>262.923828126855</v>
          </cell>
          <cell r="C116">
            <v>195.037760025952</v>
          </cell>
        </row>
        <row r="116">
          <cell r="F116">
            <v>2.25630953895558</v>
          </cell>
        </row>
        <row r="117">
          <cell r="B117">
            <v>264.61548795366</v>
          </cell>
          <cell r="C117">
            <v>195.49851190236</v>
          </cell>
        </row>
        <row r="117">
          <cell r="F117">
            <v>2.26214044859947</v>
          </cell>
        </row>
        <row r="118">
          <cell r="B118">
            <v>266.318031970727</v>
          </cell>
          <cell r="C118">
            <v>195.960352246414</v>
          </cell>
        </row>
        <row r="118">
          <cell r="F118">
            <v>2.26798642687942</v>
          </cell>
        </row>
        <row r="119">
          <cell r="B119">
            <v>267.927902908699</v>
          </cell>
          <cell r="C119">
            <v>196.415326114842</v>
          </cell>
        </row>
        <row r="119">
          <cell r="F119">
            <v>2.27329442304836</v>
          </cell>
        </row>
        <row r="120">
          <cell r="B120">
            <v>269.54750538613</v>
          </cell>
          <cell r="C120">
            <v>196.871356325631</v>
          </cell>
        </row>
        <row r="120">
          <cell r="F120">
            <v>2.27861484205326</v>
          </cell>
        </row>
        <row r="121">
          <cell r="B121">
            <v>271.176898229389</v>
          </cell>
          <cell r="C121">
            <v>197.328445331359</v>
          </cell>
        </row>
        <row r="121">
          <cell r="F121">
            <v>2.28394771296852</v>
          </cell>
        </row>
        <row r="122">
          <cell r="B122">
            <v>272.816140620445</v>
          </cell>
          <cell r="C122">
            <v>197.786595590298</v>
          </cell>
        </row>
        <row r="122">
          <cell r="F122">
            <v>2.2892930649366</v>
          </cell>
        </row>
        <row r="123">
          <cell r="B123">
            <v>274.465292099015</v>
          </cell>
          <cell r="C123">
            <v>198.245809566429</v>
          </cell>
        </row>
        <row r="123">
          <cell r="F123">
            <v>2.29465092716816</v>
          </cell>
        </row>
        <row r="124">
          <cell r="B124">
            <v>276.124412564732</v>
          </cell>
          <cell r="C124">
            <v>198.706089729453</v>
          </cell>
        </row>
        <row r="124">
          <cell r="F124">
            <v>2.30002132894223</v>
          </cell>
        </row>
        <row r="125">
          <cell r="B125">
            <v>277.793562279316</v>
          </cell>
          <cell r="C125">
            <v>199.167438554806</v>
          </cell>
        </row>
        <row r="125">
          <cell r="F125">
            <v>2.30540429960635</v>
          </cell>
        </row>
        <row r="126">
          <cell r="B126">
            <v>279.472801868764</v>
          </cell>
          <cell r="C126">
            <v>199.62985852367</v>
          </cell>
        </row>
        <row r="126">
          <cell r="F126">
            <v>2.31079986857675</v>
          </cell>
        </row>
        <row r="127">
          <cell r="B127">
            <v>281.162192325553</v>
          </cell>
          <cell r="C127">
            <v>200.093352122988</v>
          </cell>
        </row>
        <row r="127">
          <cell r="F127">
            <v>2.31620806533853</v>
          </cell>
        </row>
        <row r="128">
          <cell r="B128">
            <v>282.861795010853</v>
          </cell>
          <cell r="C128">
            <v>200.557921845479</v>
          </cell>
        </row>
        <row r="128">
          <cell r="F128">
            <v>2.32162891944576</v>
          </cell>
        </row>
        <row r="129">
          <cell r="B129">
            <v>284.571671656759</v>
          </cell>
          <cell r="C129">
            <v>201.023570189647</v>
          </cell>
        </row>
        <row r="129">
          <cell r="F129">
            <v>2.3270624605217</v>
          </cell>
        </row>
        <row r="130">
          <cell r="B130">
            <v>286.291884368532</v>
          </cell>
          <cell r="C130">
            <v>201.490299659798</v>
          </cell>
        </row>
        <row r="130">
          <cell r="F130">
            <v>2.33250871825894</v>
          </cell>
        </row>
        <row r="131">
          <cell r="B131">
            <v>288.022495626852</v>
          </cell>
          <cell r="C131">
            <v>201.947265641857</v>
          </cell>
        </row>
        <row r="131">
          <cell r="F131">
            <v>2.33788261742251</v>
          </cell>
        </row>
        <row r="132">
          <cell r="B132">
            <v>289.76356829009</v>
          </cell>
          <cell r="C132">
            <v>202.405267990972</v>
          </cell>
        </row>
        <row r="132">
          <cell r="F132">
            <v>2.34326889758685</v>
          </cell>
        </row>
        <row r="133">
          <cell r="B133">
            <v>291.515165596594</v>
          </cell>
          <cell r="C133">
            <v>202.864309057552</v>
          </cell>
        </row>
        <row r="133">
          <cell r="F133">
            <v>2.34866758727671</v>
          </cell>
        </row>
        <row r="134">
          <cell r="B134">
            <v>293.277351166978</v>
          </cell>
          <cell r="C134">
            <v>203.324391197336</v>
          </cell>
        </row>
        <row r="134">
          <cell r="F134">
            <v>2.35407871508258</v>
          </cell>
        </row>
        <row r="135">
          <cell r="B135">
            <v>295.050189006441</v>
          </cell>
          <cell r="C135">
            <v>203.785516771405</v>
          </cell>
        </row>
        <row r="135">
          <cell r="F135">
            <v>2.35950230966078</v>
          </cell>
        </row>
        <row r="136">
          <cell r="B136">
            <v>296.833743507087</v>
          </cell>
          <cell r="C136">
            <v>204.247688146196</v>
          </cell>
        </row>
        <row r="136">
          <cell r="F136">
            <v>2.36493839973371</v>
          </cell>
        </row>
        <row r="137">
          <cell r="B137">
            <v>298.628079450265</v>
          </cell>
          <cell r="C137">
            <v>204.710907693511</v>
          </cell>
        </row>
        <row r="137">
          <cell r="F137">
            <v>2.3703870140899</v>
          </cell>
        </row>
        <row r="138">
          <cell r="B138">
            <v>300.433262008922</v>
          </cell>
          <cell r="C138">
            <v>205.175177790535</v>
          </cell>
        </row>
        <row r="138">
          <cell r="F138">
            <v>2.37584818158422</v>
          </cell>
        </row>
        <row r="139">
          <cell r="B139">
            <v>302.249356749969</v>
          </cell>
          <cell r="C139">
            <v>205.640500819839</v>
          </cell>
        </row>
        <row r="139">
          <cell r="F139">
            <v>2.38132193113802</v>
          </cell>
        </row>
        <row r="140">
          <cell r="B140">
            <v>304.076429636667</v>
          </cell>
          <cell r="C140">
            <v>206.106879169401</v>
          </cell>
        </row>
        <row r="140">
          <cell r="F140">
            <v>2.38680829173927</v>
          </cell>
        </row>
        <row r="141">
          <cell r="B141">
            <v>305.914547031016</v>
          </cell>
          <cell r="C141">
            <v>206.574315232615</v>
          </cell>
        </row>
        <row r="141">
          <cell r="F141">
            <v>2.39230729244276</v>
          </cell>
        </row>
        <row r="142">
          <cell r="B142">
            <v>307.763775696172</v>
          </cell>
          <cell r="C142">
            <v>207.0428114083</v>
          </cell>
        </row>
        <row r="142">
          <cell r="F142">
            <v>2.39781896237018</v>
          </cell>
        </row>
        <row r="143">
          <cell r="B143">
            <v>309.624182798865</v>
          </cell>
          <cell r="C143">
            <v>207.501638963156</v>
          </cell>
        </row>
        <row r="143">
          <cell r="F143">
            <v>2.40318207825579</v>
          </cell>
        </row>
        <row r="144">
          <cell r="B144">
            <v>311.495835911847</v>
          </cell>
          <cell r="C144">
            <v>207.961483325712</v>
          </cell>
        </row>
        <row r="144">
          <cell r="F144">
            <v>2.40855718963083</v>
          </cell>
        </row>
        <row r="145">
          <cell r="B145">
            <v>313.378803016338</v>
          </cell>
          <cell r="C145">
            <v>208.422346749317</v>
          </cell>
        </row>
        <row r="145">
          <cell r="F145">
            <v>2.41394432332517</v>
          </cell>
        </row>
        <row r="146">
          <cell r="B146">
            <v>315.273152504501</v>
          </cell>
          <cell r="C146">
            <v>208.884231492312</v>
          </cell>
        </row>
        <row r="146">
          <cell r="F146">
            <v>2.41934350622871</v>
          </cell>
        </row>
        <row r="147">
          <cell r="B147">
            <v>317.178953181924</v>
          </cell>
          <cell r="C147">
            <v>209.347139818042</v>
          </cell>
        </row>
        <row r="147">
          <cell r="F147">
            <v>2.42475476529148</v>
          </cell>
        </row>
        <row r="148">
          <cell r="B148">
            <v>319.096274270119</v>
          </cell>
          <cell r="C148">
            <v>209.811073994869</v>
          </cell>
        </row>
        <row r="148">
          <cell r="F148">
            <v>2.4301781275238</v>
          </cell>
        </row>
        <row r="149">
          <cell r="B149">
            <v>321.025185409035</v>
          </cell>
          <cell r="C149">
            <v>210.276036296182</v>
          </cell>
        </row>
        <row r="149">
          <cell r="F149">
            <v>2.43561361999639</v>
          </cell>
        </row>
        <row r="150">
          <cell r="B150">
            <v>322.965756659591</v>
          </cell>
          <cell r="C150">
            <v>210.742029000406</v>
          </cell>
        </row>
        <row r="150">
          <cell r="F150">
            <v>2.44106126984052</v>
          </cell>
        </row>
        <row r="151">
          <cell r="B151">
            <v>324.918058506217</v>
          </cell>
          <cell r="C151">
            <v>211.209054391019</v>
          </cell>
        </row>
        <row r="151">
          <cell r="F151">
            <v>2.44652110424816</v>
          </cell>
        </row>
        <row r="152">
          <cell r="B152">
            <v>326.882161859417</v>
          </cell>
          <cell r="C152">
            <v>211.677114756556</v>
          </cell>
        </row>
        <row r="152">
          <cell r="F152">
            <v>2.45199315047208</v>
          </cell>
        </row>
        <row r="153">
          <cell r="B153">
            <v>328.858138058343</v>
          </cell>
          <cell r="C153">
            <v>212.146212390625</v>
          </cell>
        </row>
        <row r="153">
          <cell r="F153">
            <v>2.45747743582601</v>
          </cell>
        </row>
        <row r="154">
          <cell r="B154">
            <v>330.846058873385</v>
          </cell>
          <cell r="C154">
            <v>212.616349591916</v>
          </cell>
        </row>
        <row r="154">
          <cell r="F154">
            <v>2.46297398768479</v>
          </cell>
        </row>
        <row r="155">
          <cell r="B155">
            <v>332.84599650878</v>
          </cell>
          <cell r="C155">
            <v>213.078880911827</v>
          </cell>
        </row>
        <row r="155">
          <cell r="F155">
            <v>2.4681826378384</v>
          </cell>
        </row>
        <row r="156">
          <cell r="B156">
            <v>334.858023605236</v>
          </cell>
          <cell r="C156">
            <v>213.542418434801</v>
          </cell>
        </row>
        <row r="156">
          <cell r="F156">
            <v>2.47340230314547</v>
          </cell>
        </row>
        <row r="157">
          <cell r="B157">
            <v>336.882213242564</v>
          </cell>
          <cell r="C157">
            <v>214.006964349756</v>
          </cell>
        </row>
        <row r="157">
          <cell r="F157">
            <v>2.47863300690063</v>
          </cell>
        </row>
        <row r="158">
          <cell r="B158">
            <v>338.918638942339</v>
          </cell>
          <cell r="C158">
            <v>214.472520850378</v>
          </cell>
        </row>
        <row r="158">
          <cell r="F158">
            <v>2.48387477244777</v>
          </cell>
        </row>
        <row r="159">
          <cell r="B159">
            <v>340.967374670569</v>
          </cell>
          <cell r="C159">
            <v>214.93909013512</v>
          </cell>
        </row>
        <row r="159">
          <cell r="F159">
            <v>2.48912762318016</v>
          </cell>
        </row>
        <row r="160">
          <cell r="B160">
            <v>343.028494840378</v>
          </cell>
          <cell r="C160">
            <v>215.406674407222</v>
          </cell>
        </row>
        <row r="160">
          <cell r="F160">
            <v>2.49439158254055</v>
          </cell>
        </row>
        <row r="161">
          <cell r="B161">
            <v>345.102074314712</v>
          </cell>
          <cell r="C161">
            <v>215.875275874712</v>
          </cell>
        </row>
        <row r="161">
          <cell r="F161">
            <v>2.49966667402123</v>
          </cell>
        </row>
        <row r="162">
          <cell r="B162">
            <v>347.18818840906</v>
          </cell>
          <cell r="C162">
            <v>216.344896750427</v>
          </cell>
        </row>
        <row r="162">
          <cell r="F162">
            <v>2.50495292116421</v>
          </cell>
        </row>
        <row r="163">
          <cell r="B163">
            <v>349.286912894183</v>
          </cell>
          <cell r="C163">
            <v>216.815539252013</v>
          </cell>
        </row>
        <row r="163">
          <cell r="F163">
            <v>2.51025034756126</v>
          </cell>
        </row>
        <row r="164">
          <cell r="B164">
            <v>351.398323998873</v>
          </cell>
          <cell r="C164">
            <v>217.287205601944</v>
          </cell>
        </row>
        <row r="164">
          <cell r="F164">
            <v>2.51555897685407</v>
          </cell>
        </row>
        <row r="165">
          <cell r="B165">
            <v>353.522498412718</v>
          </cell>
          <cell r="C165">
            <v>217.759898027525</v>
          </cell>
        </row>
        <row r="165">
          <cell r="F165">
            <v>2.52087883273429</v>
          </cell>
        </row>
        <row r="166">
          <cell r="B166">
            <v>355.659513288888</v>
          </cell>
          <cell r="C166">
            <v>218.233618760911</v>
          </cell>
        </row>
        <row r="166">
          <cell r="F166">
            <v>2.52620993894371</v>
          </cell>
        </row>
        <row r="167">
          <cell r="B167">
            <v>357.726128124347</v>
          </cell>
          <cell r="C167">
            <v>218.700452127379</v>
          </cell>
        </row>
        <row r="167">
          <cell r="F167">
            <v>2.53141351780118</v>
          </cell>
        </row>
        <row r="168">
          <cell r="B168">
            <v>359.80475134625</v>
          </cell>
          <cell r="C168">
            <v>219.168284118134</v>
          </cell>
        </row>
        <row r="168">
          <cell r="F168">
            <v>2.53662781517912</v>
          </cell>
        </row>
        <row r="169">
          <cell r="B169">
            <v>361.895452731191</v>
          </cell>
          <cell r="C169">
            <v>219.637116869379</v>
          </cell>
        </row>
        <row r="169">
          <cell r="F169">
            <v>2.54185285315591</v>
          </cell>
        </row>
        <row r="170">
          <cell r="B170">
            <v>363.998302461213</v>
          </cell>
          <cell r="C170">
            <v>220.106952521885</v>
          </cell>
        </row>
        <row r="170">
          <cell r="F170">
            <v>2.54708865385545</v>
          </cell>
        </row>
        <row r="171">
          <cell r="B171">
            <v>366.113371126161</v>
          </cell>
          <cell r="C171">
            <v>220.577793221005</v>
          </cell>
        </row>
        <row r="171">
          <cell r="F171">
            <v>2.55233523944716</v>
          </cell>
        </row>
        <row r="172">
          <cell r="B172">
            <v>368.240729726054</v>
          </cell>
          <cell r="C172">
            <v>221.049641116678</v>
          </cell>
        </row>
        <row r="172">
          <cell r="F172">
            <v>2.55759263214617</v>
          </cell>
        </row>
        <row r="173">
          <cell r="B173">
            <v>370.380449673469</v>
          </cell>
          <cell r="C173">
            <v>221.522498363443</v>
          </cell>
        </row>
        <row r="173">
          <cell r="F173">
            <v>2.56286085421335</v>
          </cell>
        </row>
        <row r="174">
          <cell r="B174">
            <v>372.532602795934</v>
          </cell>
          <cell r="C174">
            <v>221.99636712045</v>
          </cell>
        </row>
        <row r="174">
          <cell r="F174">
            <v>2.56813992795542</v>
          </cell>
        </row>
        <row r="175">
          <cell r="B175">
            <v>374.697261338343</v>
          </cell>
          <cell r="C175">
            <v>222.471249551465</v>
          </cell>
        </row>
        <row r="175">
          <cell r="F175">
            <v>2.57342987572505</v>
          </cell>
        </row>
        <row r="176">
          <cell r="B176">
            <v>376.874497965382</v>
          </cell>
          <cell r="C176">
            <v>222.947147824885</v>
          </cell>
        </row>
        <row r="176">
          <cell r="F176">
            <v>2.57873071992097</v>
          </cell>
        </row>
        <row r="177">
          <cell r="B177">
            <v>379.064385763965</v>
          </cell>
          <cell r="C177">
            <v>223.424064113743</v>
          </cell>
        </row>
        <row r="177">
          <cell r="F177">
            <v>2.58404248298802</v>
          </cell>
        </row>
        <row r="178">
          <cell r="B178">
            <v>381.266998245689</v>
          </cell>
          <cell r="C178">
            <v>223.902000595721</v>
          </cell>
        </row>
        <row r="178">
          <cell r="F178">
            <v>2.58936518741729</v>
          </cell>
        </row>
        <row r="179">
          <cell r="B179">
            <v>383.4824093493</v>
          </cell>
          <cell r="C179">
            <v>224.373668201941</v>
          </cell>
        </row>
        <row r="179">
          <cell r="F179">
            <v>2.59440828709463</v>
          </cell>
        </row>
        <row r="180">
          <cell r="B180">
            <v>385.71069344318</v>
          </cell>
          <cell r="C180">
            <v>224.846329413979</v>
          </cell>
        </row>
        <row r="180">
          <cell r="F180">
            <v>2.59946120881426</v>
          </cell>
        </row>
        <row r="181">
          <cell r="B181">
            <v>387.951925327837</v>
          </cell>
          <cell r="C181">
            <v>225.319986324948</v>
          </cell>
        </row>
        <row r="181">
          <cell r="F181">
            <v>2.60452397170578</v>
          </cell>
        </row>
        <row r="182">
          <cell r="B182">
            <v>390.20618023842</v>
          </cell>
          <cell r="C182">
            <v>225.794641032367</v>
          </cell>
        </row>
        <row r="182">
          <cell r="F182">
            <v>2.60959659493605</v>
          </cell>
        </row>
        <row r="183">
          <cell r="B183">
            <v>392.473533847245</v>
          </cell>
          <cell r="C183">
            <v>226.270295638174</v>
          </cell>
        </row>
        <row r="183">
          <cell r="F183">
            <v>2.61467909770927</v>
          </cell>
        </row>
        <row r="184">
          <cell r="B184">
            <v>394.754062266331</v>
          </cell>
          <cell r="C184">
            <v>226.746952248737</v>
          </cell>
        </row>
        <row r="184">
          <cell r="F184">
            <v>2.61977149926703</v>
          </cell>
        </row>
        <row r="185">
          <cell r="B185">
            <v>397.047842049959</v>
          </cell>
          <cell r="C185">
            <v>227.224612974859</v>
          </cell>
        </row>
        <row r="185">
          <cell r="F185">
            <v>2.62487381888841</v>
          </cell>
        </row>
        <row r="186">
          <cell r="B186">
            <v>399.354950197241</v>
          </cell>
          <cell r="C186">
            <v>227.70327993179</v>
          </cell>
        </row>
        <row r="186">
          <cell r="F186">
            <v>2.62998607589002</v>
          </cell>
        </row>
        <row r="187">
          <cell r="B187">
            <v>401.675464154704</v>
          </cell>
          <cell r="C187">
            <v>228.182955239237</v>
          </cell>
        </row>
        <row r="187">
          <cell r="F187">
            <v>2.63510828962611</v>
          </cell>
        </row>
        <row r="188">
          <cell r="B188">
            <v>404.00946181889</v>
          </cell>
          <cell r="C188">
            <v>228.663641021371</v>
          </cell>
        </row>
        <row r="188">
          <cell r="F188">
            <v>2.64024047948862</v>
          </cell>
        </row>
        <row r="189">
          <cell r="B189">
            <v>406.357021538971</v>
          </cell>
          <cell r="C189">
            <v>229.145339406839</v>
          </cell>
        </row>
        <row r="189">
          <cell r="F189">
            <v>2.64538266490724</v>
          </cell>
        </row>
        <row r="190">
          <cell r="B190">
            <v>408.718222119378</v>
          </cell>
          <cell r="C190">
            <v>229.62805252877</v>
          </cell>
        </row>
        <row r="190">
          <cell r="F190">
            <v>2.65053486534952</v>
          </cell>
        </row>
        <row r="191">
          <cell r="B191">
            <v>411.09314282245</v>
          </cell>
          <cell r="C191">
            <v>230.106328427722</v>
          </cell>
        </row>
        <row r="191">
          <cell r="F191">
            <v>2.65513335215341</v>
          </cell>
        </row>
        <row r="192">
          <cell r="B192">
            <v>413.481863371089</v>
          </cell>
          <cell r="C192">
            <v>230.585600493445</v>
          </cell>
        </row>
        <row r="192">
          <cell r="F192">
            <v>2.6597398170002</v>
          </cell>
        </row>
        <row r="193">
          <cell r="B193">
            <v>415.884463951441</v>
          </cell>
          <cell r="C193">
            <v>231.065870800783</v>
          </cell>
        </row>
        <row r="193">
          <cell r="F193">
            <v>2.66435427373123</v>
          </cell>
        </row>
        <row r="194">
          <cell r="B194">
            <v>418.301025215587</v>
          </cell>
          <cell r="C194">
            <v>231.547141428902</v>
          </cell>
        </row>
        <row r="194">
          <cell r="F194">
            <v>2.66897673621184</v>
          </cell>
        </row>
        <row r="195">
          <cell r="B195">
            <v>420.731628284247</v>
          </cell>
          <cell r="C195">
            <v>232.0294144613</v>
          </cell>
        </row>
        <row r="195">
          <cell r="F195">
            <v>2.67360721833143</v>
          </cell>
        </row>
        <row r="196">
          <cell r="B196">
            <v>423.176354749506</v>
          </cell>
          <cell r="C196">
            <v>232.512691985813</v>
          </cell>
        </row>
        <row r="196">
          <cell r="F196">
            <v>2.67824573400349</v>
          </cell>
        </row>
        <row r="197">
          <cell r="B197">
            <v>425.635286677556</v>
          </cell>
          <cell r="C197">
            <v>232.996976094626</v>
          </cell>
        </row>
        <row r="197">
          <cell r="F197">
            <v>2.68289229716566</v>
          </cell>
        </row>
        <row r="198">
          <cell r="B198">
            <v>428.108506611442</v>
          </cell>
          <cell r="C198">
            <v>233.482268884281</v>
          </cell>
        </row>
        <row r="198">
          <cell r="F198">
            <v>2.68754692177975</v>
          </cell>
        </row>
        <row r="199">
          <cell r="B199">
            <v>430.596097573843</v>
          </cell>
          <cell r="C199">
            <v>233.968572455688</v>
          </cell>
        </row>
        <row r="199">
          <cell r="F199">
            <v>2.6922096218318</v>
          </cell>
        </row>
        <row r="200">
          <cell r="B200">
            <v>433.09814306985</v>
          </cell>
          <cell r="C200">
            <v>234.455888914132</v>
          </cell>
        </row>
        <row r="200">
          <cell r="F200">
            <v>2.69688041133211</v>
          </cell>
        </row>
        <row r="201">
          <cell r="B201">
            <v>435.614727089777</v>
          </cell>
          <cell r="C201">
            <v>234.944220369284</v>
          </cell>
        </row>
        <row r="201">
          <cell r="F201">
            <v>2.70155930431529</v>
          </cell>
        </row>
        <row r="202">
          <cell r="B202">
            <v>438.145934111974</v>
          </cell>
          <cell r="C202">
            <v>235.433568935207</v>
          </cell>
        </row>
        <row r="202">
          <cell r="F202">
            <v>2.70624631484031</v>
          </cell>
        </row>
        <row r="203">
          <cell r="B203">
            <v>440.691849105666</v>
          </cell>
          <cell r="C203">
            <v>235.920101317146</v>
          </cell>
        </row>
        <row r="203">
          <cell r="F203">
            <v>2.71071337566439</v>
          </cell>
        </row>
        <row r="204">
          <cell r="B204">
            <v>443.252557533807</v>
          </cell>
          <cell r="C204">
            <v>236.407639136668</v>
          </cell>
        </row>
        <row r="204">
          <cell r="F204">
            <v>2.71518781003473</v>
          </cell>
        </row>
        <row r="205">
          <cell r="B205">
            <v>445.828145355945</v>
          </cell>
          <cell r="C205">
            <v>236.896184471549</v>
          </cell>
        </row>
        <row r="205">
          <cell r="F205">
            <v>2.71966963012247</v>
          </cell>
        </row>
        <row r="206">
          <cell r="B206">
            <v>448.418699031109</v>
          </cell>
          <cell r="C206">
            <v>237.385739403857</v>
          </cell>
        </row>
        <row r="206">
          <cell r="F206">
            <v>2.72415884811883</v>
          </cell>
        </row>
        <row r="207">
          <cell r="B207">
            <v>451.024305520712</v>
          </cell>
          <cell r="C207">
            <v>237.876306019964</v>
          </cell>
        </row>
        <row r="207">
          <cell r="F207">
            <v>2.72865547623515</v>
          </cell>
        </row>
        <row r="208">
          <cell r="B208">
            <v>453.645052291471</v>
          </cell>
          <cell r="C208">
            <v>238.367886410552</v>
          </cell>
        </row>
        <row r="208">
          <cell r="F208">
            <v>2.73315952670294</v>
          </cell>
        </row>
        <row r="209">
          <cell r="B209">
            <v>456.28102731834</v>
          </cell>
          <cell r="C209">
            <v>238.860482670624</v>
          </cell>
        </row>
        <row r="209">
          <cell r="F209">
            <v>2.73767101177388</v>
          </cell>
        </row>
        <row r="210">
          <cell r="B210">
            <v>458.932319087466</v>
          </cell>
          <cell r="C210">
            <v>239.354096899514</v>
          </cell>
        </row>
        <row r="210">
          <cell r="F210">
            <v>2.7421899437199</v>
          </cell>
        </row>
        <row r="211">
          <cell r="B211">
            <v>461.59901659916</v>
          </cell>
          <cell r="C211">
            <v>239.848731200893</v>
          </cell>
        </row>
        <row r="211">
          <cell r="F211">
            <v>2.74671633483315</v>
          </cell>
        </row>
        <row r="212">
          <cell r="B212">
            <v>464.28120937088</v>
          </cell>
          <cell r="C212">
            <v>240.344387682778</v>
          </cell>
        </row>
        <row r="212">
          <cell r="F212">
            <v>2.75125019742612</v>
          </cell>
        </row>
        <row r="213">
          <cell r="B213">
            <v>466.978987440241</v>
          </cell>
          <cell r="C213">
            <v>240.841068457545</v>
          </cell>
        </row>
        <row r="213">
          <cell r="F213">
            <v>2.75579154383157</v>
          </cell>
        </row>
        <row r="214">
          <cell r="B214">
            <v>469.692441368036</v>
          </cell>
          <cell r="C214">
            <v>241.338775641934</v>
          </cell>
        </row>
        <row r="214">
          <cell r="F214">
            <v>2.76034038640265</v>
          </cell>
        </row>
        <row r="215">
          <cell r="B215">
            <v>472.348150718896</v>
          </cell>
          <cell r="C215">
            <v>241.838903844445</v>
          </cell>
        </row>
        <row r="215">
          <cell r="F215">
            <v>2.76492823407979</v>
          </cell>
        </row>
        <row r="216">
          <cell r="B216">
            <v>475.018875836533</v>
          </cell>
          <cell r="C216">
            <v>242.34006846648</v>
          </cell>
        </row>
        <row r="216">
          <cell r="F216">
            <v>2.76952370702894</v>
          </cell>
        </row>
        <row r="217">
          <cell r="B217">
            <v>477.704701622274</v>
          </cell>
          <cell r="C217">
            <v>242.84227165582</v>
          </cell>
        </row>
        <row r="217">
          <cell r="F217">
            <v>2.77412681792376</v>
          </cell>
        </row>
        <row r="218">
          <cell r="B218">
            <v>480.405713457494</v>
          </cell>
          <cell r="C218">
            <v>243.345515564694</v>
          </cell>
        </row>
        <row r="218">
          <cell r="F218">
            <v>2.77873757945897</v>
          </cell>
        </row>
        <row r="219">
          <cell r="B219">
            <v>483.121997206323</v>
          </cell>
          <cell r="C219">
            <v>243.849802349795</v>
          </cell>
        </row>
        <row r="219">
          <cell r="F219">
            <v>2.78335600435036</v>
          </cell>
        </row>
        <row r="220">
          <cell r="B220">
            <v>485.853639218381</v>
          </cell>
          <cell r="C220">
            <v>244.355134172282</v>
          </cell>
        </row>
        <row r="220">
          <cell r="F220">
            <v>2.7879821053349</v>
          </cell>
        </row>
        <row r="221">
          <cell r="B221">
            <v>488.600726331521</v>
          </cell>
          <cell r="C221">
            <v>244.861513197794</v>
          </cell>
        </row>
        <row r="221">
          <cell r="F221">
            <v>2.7926158951707</v>
          </cell>
        </row>
        <row r="222">
          <cell r="B222">
            <v>491.363345874592</v>
          </cell>
          <cell r="C222">
            <v>245.368941596459</v>
          </cell>
        </row>
        <row r="222">
          <cell r="F222">
            <v>2.79725738663708</v>
          </cell>
        </row>
        <row r="223">
          <cell r="B223">
            <v>494.141585670208</v>
          </cell>
          <cell r="C223">
            <v>245.877421542901</v>
          </cell>
        </row>
        <row r="223">
          <cell r="F223">
            <v>2.8019065925346</v>
          </cell>
        </row>
        <row r="224">
          <cell r="B224">
            <v>496.935534037551</v>
          </cell>
          <cell r="C224">
            <v>246.38695521625</v>
          </cell>
        </row>
        <row r="224">
          <cell r="F224">
            <v>2.80656352568511</v>
          </cell>
        </row>
        <row r="225">
          <cell r="B225">
            <v>499.745279795167</v>
          </cell>
          <cell r="C225">
            <v>246.897544800153</v>
          </cell>
        </row>
        <row r="225">
          <cell r="F225">
            <v>2.81122819893174</v>
          </cell>
        </row>
        <row r="226">
          <cell r="B226">
            <v>502.570912263798</v>
          </cell>
          <cell r="C226">
            <v>247.40919248278</v>
          </cell>
        </row>
        <row r="226">
          <cell r="F226">
            <v>2.81590062513899</v>
          </cell>
        </row>
        <row r="227">
          <cell r="B227">
            <v>505.412521269219</v>
          </cell>
          <cell r="C227">
            <v>247.929036811111</v>
          </cell>
        </row>
        <row r="227">
          <cell r="F227">
            <v>2.82055022749078</v>
          </cell>
        </row>
        <row r="228">
          <cell r="B228">
            <v>508.27019714509</v>
          </cell>
          <cell r="C228">
            <v>248.44997341141</v>
          </cell>
        </row>
        <row r="228">
          <cell r="F228">
            <v>2.82520750724491</v>
          </cell>
        </row>
        <row r="229">
          <cell r="B229">
            <v>511.144030735834</v>
          </cell>
          <cell r="C229">
            <v>248.972004578708</v>
          </cell>
        </row>
        <row r="229">
          <cell r="F229">
            <v>2.82987247707826</v>
          </cell>
        </row>
        <row r="230">
          <cell r="B230">
            <v>514.034113399518</v>
          </cell>
          <cell r="C230">
            <v>249.495132612855</v>
          </cell>
        </row>
        <row r="230">
          <cell r="F230">
            <v>2.83454514968866</v>
          </cell>
        </row>
        <row r="231">
          <cell r="B231">
            <v>516.940537010765</v>
          </cell>
          <cell r="C231">
            <v>250.019359818535</v>
          </cell>
        </row>
        <row r="231">
          <cell r="F231">
            <v>2.8392255377949</v>
          </cell>
        </row>
        <row r="232">
          <cell r="B232">
            <v>519.863393963667</v>
          </cell>
          <cell r="C232">
            <v>250.544688505276</v>
          </cell>
        </row>
        <row r="232">
          <cell r="F232">
            <v>2.84391365413677</v>
          </cell>
        </row>
        <row r="233">
          <cell r="B233">
            <v>522.802777174728</v>
          </cell>
          <cell r="C233">
            <v>251.071120987456</v>
          </cell>
        </row>
        <row r="233">
          <cell r="F233">
            <v>2.8486095114751</v>
          </cell>
        </row>
        <row r="234">
          <cell r="B234">
            <v>525.758780085813</v>
          </cell>
          <cell r="C234">
            <v>251.598659584318</v>
          </cell>
        </row>
        <row r="234">
          <cell r="F234">
            <v>2.85331312259178</v>
          </cell>
        </row>
        <row r="235">
          <cell r="B235">
            <v>528.731496667123</v>
          </cell>
          <cell r="C235">
            <v>252.127306619976</v>
          </cell>
        </row>
        <row r="235">
          <cell r="F235">
            <v>2.85802450028983</v>
          </cell>
        </row>
        <row r="236">
          <cell r="B236">
            <v>531.721021420179</v>
          </cell>
          <cell r="C236">
            <v>252.657064423429</v>
          </cell>
        </row>
        <row r="236">
          <cell r="F236">
            <v>2.86274365739339</v>
          </cell>
        </row>
        <row r="237">
          <cell r="B237">
            <v>534.727449380829</v>
          </cell>
          <cell r="C237">
            <v>253.187935328568</v>
          </cell>
        </row>
        <row r="237">
          <cell r="F237">
            <v>2.86747060674777</v>
          </cell>
        </row>
        <row r="238">
          <cell r="B238">
            <v>537.750876122264</v>
          </cell>
          <cell r="C238">
            <v>253.719921674191</v>
          </cell>
        </row>
        <row r="238">
          <cell r="F238">
            <v>2.8722053612195</v>
          </cell>
        </row>
        <row r="239">
          <cell r="B239">
            <v>540.749261996104</v>
          </cell>
          <cell r="C239">
            <v>254.261288552445</v>
          </cell>
        </row>
        <row r="239">
          <cell r="F239">
            <v>2.87694237018618</v>
          </cell>
        </row>
        <row r="240">
          <cell r="B240">
            <v>543.764366239448</v>
          </cell>
          <cell r="C240">
            <v>254.803810555196</v>
          </cell>
        </row>
        <row r="240">
          <cell r="F240">
            <v>2.88168719170494</v>
          </cell>
        </row>
        <row r="241">
          <cell r="B241">
            <v>546.796282070411</v>
          </cell>
          <cell r="C241">
            <v>255.347490147154</v>
          </cell>
        </row>
        <row r="241">
          <cell r="F241">
            <v>2.8864398386607</v>
          </cell>
        </row>
        <row r="242">
          <cell r="B242">
            <v>549.845103226873</v>
          </cell>
          <cell r="C242">
            <v>255.892329798289</v>
          </cell>
        </row>
        <row r="242">
          <cell r="F242">
            <v>2.89120032395961</v>
          </cell>
        </row>
        <row r="243">
          <cell r="B243">
            <v>552.910923969377</v>
          </cell>
          <cell r="C243">
            <v>256.438331983841</v>
          </cell>
        </row>
        <row r="243">
          <cell r="F243">
            <v>2.89596866052913</v>
          </cell>
        </row>
        <row r="244">
          <cell r="B244">
            <v>555.993839084041</v>
          </cell>
          <cell r="C244">
            <v>256.98549918433</v>
          </cell>
        </row>
        <row r="244">
          <cell r="F244">
            <v>2.90074486131804</v>
          </cell>
        </row>
        <row r="245">
          <cell r="B245">
            <v>559.093943885492</v>
          </cell>
          <cell r="C245">
            <v>257.53383388557</v>
          </cell>
        </row>
        <row r="245">
          <cell r="F245">
            <v>2.90552893929647</v>
          </cell>
        </row>
        <row r="246">
          <cell r="B246">
            <v>562.211334219812</v>
          </cell>
          <cell r="C246">
            <v>258.08333857868</v>
          </cell>
        </row>
        <row r="246">
          <cell r="F246">
            <v>2.91032090745594</v>
          </cell>
        </row>
        <row r="247">
          <cell r="B247">
            <v>565.346106467498</v>
          </cell>
          <cell r="C247">
            <v>258.634015760092</v>
          </cell>
        </row>
        <row r="247">
          <cell r="F247">
            <v>2.91512077880939</v>
          </cell>
        </row>
        <row r="248">
          <cell r="B248">
            <v>568.498357546447</v>
          </cell>
          <cell r="C248">
            <v>259.185867931567</v>
          </cell>
        </row>
        <row r="248">
          <cell r="F248">
            <v>2.91992856639125</v>
          </cell>
        </row>
        <row r="249">
          <cell r="B249">
            <v>571.668184914949</v>
          </cell>
          <cell r="C249">
            <v>259.738897600203</v>
          </cell>
        </row>
        <row r="249">
          <cell r="F249">
            <v>2.9247442832574</v>
          </cell>
        </row>
        <row r="250">
          <cell r="B250">
            <v>574.8556865747</v>
          </cell>
          <cell r="C250">
            <v>260.293107278446</v>
          </cell>
        </row>
        <row r="250">
          <cell r="F250">
            <v>2.9295679424853</v>
          </cell>
        </row>
        <row r="251">
          <cell r="B251">
            <v>578.060961073834</v>
          </cell>
          <cell r="C251">
            <v>260.859267560075</v>
          </cell>
        </row>
        <row r="251">
          <cell r="F251">
            <v>2.9344084151188</v>
          </cell>
        </row>
        <row r="252">
          <cell r="B252">
            <v>581.284107509969</v>
          </cell>
          <cell r="C252">
            <v>261.426659289851</v>
          </cell>
        </row>
        <row r="252">
          <cell r="F252">
            <v>2.93925688557853</v>
          </cell>
        </row>
        <row r="253">
          <cell r="B253">
            <v>584.525225533269</v>
          </cell>
          <cell r="C253">
            <v>261.99528514628</v>
          </cell>
        </row>
        <row r="253">
          <cell r="F253">
            <v>2.94411336707915</v>
          </cell>
        </row>
        <row r="254">
          <cell r="B254">
            <v>587.784415349527</v>
          </cell>
          <cell r="C254">
            <v>262.565147813697</v>
          </cell>
        </row>
        <row r="254">
          <cell r="F254">
            <v>2.94897787285716</v>
          </cell>
        </row>
        <row r="255">
          <cell r="B255">
            <v>591.061777723263</v>
          </cell>
          <cell r="C255">
            <v>263.136249982273</v>
          </cell>
        </row>
        <row r="255">
          <cell r="F255">
            <v>2.95385041617093</v>
          </cell>
        </row>
        <row r="256">
          <cell r="B256">
            <v>594.357413980839</v>
          </cell>
          <cell r="C256">
            <v>263.708594348032</v>
          </cell>
        </row>
        <row r="256">
          <cell r="F256">
            <v>2.95873101030073</v>
          </cell>
        </row>
        <row r="257">
          <cell r="B257">
            <v>597.671426013591</v>
          </cell>
          <cell r="C257">
            <v>264.282183612862</v>
          </cell>
        </row>
        <row r="257">
          <cell r="F257">
            <v>2.96361966854878</v>
          </cell>
        </row>
        <row r="258">
          <cell r="B258">
            <v>601.003916280978</v>
          </cell>
          <cell r="C258">
            <v>264.857020484526</v>
          </cell>
        </row>
        <row r="258">
          <cell r="F258">
            <v>2.96851640423929</v>
          </cell>
        </row>
        <row r="259">
          <cell r="B259">
            <v>604.354987813755</v>
          </cell>
          <cell r="C259">
            <v>265.43310767668</v>
          </cell>
        </row>
        <row r="259">
          <cell r="F259">
            <v>2.97342123071846</v>
          </cell>
        </row>
        <row r="260">
          <cell r="B260">
            <v>607.724744217151</v>
          </cell>
          <cell r="C260">
            <v>266.010447908878</v>
          </cell>
        </row>
        <row r="260">
          <cell r="F260">
            <v>2.97833416135456</v>
          </cell>
        </row>
        <row r="261">
          <cell r="B261">
            <v>611.11328967408</v>
          </cell>
          <cell r="C261">
            <v>266.589043906594</v>
          </cell>
        </row>
        <row r="261">
          <cell r="F261">
            <v>2.98325520953795</v>
          </cell>
        </row>
        <row r="262">
          <cell r="B262">
            <v>614.520728948354</v>
          </cell>
          <cell r="C262">
            <v>267.168898401227</v>
          </cell>
        </row>
        <row r="262">
          <cell r="F262">
            <v>2.9881843886811</v>
          </cell>
        </row>
        <row r="263">
          <cell r="B263">
            <v>617.898974975202</v>
          </cell>
          <cell r="C263">
            <v>267.760699845458</v>
          </cell>
        </row>
        <row r="263">
          <cell r="F263">
            <v>2.99310910169973</v>
          </cell>
        </row>
        <row r="264">
          <cell r="B264">
            <v>621.295792460556</v>
          </cell>
          <cell r="C264">
            <v>268.35381217936</v>
          </cell>
        </row>
        <row r="264">
          <cell r="F264">
            <v>2.99804193095055</v>
          </cell>
        </row>
        <row r="265">
          <cell r="B265">
            <v>624.711283498538</v>
          </cell>
          <cell r="C265">
            <v>268.948238306664</v>
          </cell>
        </row>
        <row r="265">
          <cell r="F265">
            <v>3.00298288980961</v>
          </cell>
        </row>
        <row r="266">
          <cell r="B266">
            <v>628.145550744524</v>
          </cell>
          <cell r="C266">
            <v>269.543981137531</v>
          </cell>
        </row>
        <row r="266">
          <cell r="F266">
            <v>3.00793199167501</v>
          </cell>
        </row>
        <row r="267">
          <cell r="B267">
            <v>631.59869741822</v>
          </cell>
          <cell r="C267">
            <v>270.14104358857</v>
          </cell>
        </row>
        <row r="267">
          <cell r="F267">
            <v>3.01288924996692</v>
          </cell>
        </row>
        <row r="268">
          <cell r="B268">
            <v>635.070827306771</v>
          </cell>
          <cell r="C268">
            <v>270.739428582851</v>
          </cell>
        </row>
        <row r="268">
          <cell r="F268">
            <v>3.01785467812765</v>
          </cell>
        </row>
        <row r="269">
          <cell r="B269">
            <v>638.562044767878</v>
          </cell>
          <cell r="C269">
            <v>271.339139049916</v>
          </cell>
        </row>
        <row r="269">
          <cell r="F269">
            <v>3.02282828962165</v>
          </cell>
        </row>
        <row r="270">
          <cell r="B270">
            <v>642.072454732934</v>
          </cell>
          <cell r="C270">
            <v>271.940177925799</v>
          </cell>
        </row>
        <row r="270">
          <cell r="F270">
            <v>3.02781009793555</v>
          </cell>
        </row>
        <row r="271">
          <cell r="B271">
            <v>645.602162710177</v>
          </cell>
          <cell r="C271">
            <v>272.542548153037</v>
          </cell>
        </row>
        <row r="271">
          <cell r="F271">
            <v>3.03280011657821</v>
          </cell>
        </row>
        <row r="272">
          <cell r="B272">
            <v>649.151274787866</v>
          </cell>
          <cell r="C272">
            <v>273.146252680685</v>
          </cell>
        </row>
        <row r="272">
          <cell r="F272">
            <v>3.03779835908079</v>
          </cell>
        </row>
        <row r="273">
          <cell r="B273">
            <v>652.719897637462</v>
          </cell>
          <cell r="C273">
            <v>273.751294464328</v>
          </cell>
        </row>
        <row r="273">
          <cell r="F273">
            <v>3.04280483899669</v>
          </cell>
        </row>
        <row r="274">
          <cell r="B274">
            <v>656.308138516842</v>
          </cell>
          <cell r="C274">
            <v>274.357676466101</v>
          </cell>
        </row>
        <row r="274">
          <cell r="F274">
            <v>3.04781956990169</v>
          </cell>
        </row>
        <row r="275">
          <cell r="B275">
            <v>659.916105273517</v>
          </cell>
          <cell r="C275">
            <v>274.973117170653</v>
          </cell>
        </row>
        <row r="275">
          <cell r="F275">
            <v>3.05285098115965</v>
          </cell>
        </row>
        <row r="276">
          <cell r="B276">
            <v>663.543906347874</v>
          </cell>
          <cell r="C276">
            <v>275.589938435303</v>
          </cell>
        </row>
        <row r="276">
          <cell r="F276">
            <v>3.05789069838804</v>
          </cell>
        </row>
        <row r="277">
          <cell r="B277">
            <v>667.19165077644</v>
          </cell>
          <cell r="C277">
            <v>276.208143356931</v>
          </cell>
        </row>
        <row r="277">
          <cell r="F277">
            <v>3.06293873529856</v>
          </cell>
        </row>
        <row r="278">
          <cell r="B278">
            <v>670.859448195152</v>
          </cell>
          <cell r="C278">
            <v>276.827735039366</v>
          </cell>
        </row>
        <row r="278">
          <cell r="F278">
            <v>3.06799510562553</v>
          </cell>
        </row>
        <row r="279">
          <cell r="B279">
            <v>674.54740884266</v>
          </cell>
          <cell r="C279">
            <v>277.448716593396</v>
          </cell>
        </row>
        <row r="279">
          <cell r="F279">
            <v>3.07305982312594</v>
          </cell>
        </row>
        <row r="280">
          <cell r="B280">
            <v>678.255643563632</v>
          </cell>
          <cell r="C280">
            <v>278.07109113679</v>
          </cell>
        </row>
        <row r="280">
          <cell r="F280">
            <v>3.07813290157952</v>
          </cell>
        </row>
        <row r="281">
          <cell r="B281">
            <v>681.984263812095</v>
          </cell>
          <cell r="C281">
            <v>278.694861794309</v>
          </cell>
        </row>
        <row r="281">
          <cell r="F281">
            <v>3.0832143547887</v>
          </cell>
        </row>
        <row r="282">
          <cell r="B282">
            <v>685.733381654774</v>
          </cell>
          <cell r="C282">
            <v>279.320031697725</v>
          </cell>
        </row>
        <row r="282">
          <cell r="F282">
            <v>3.08830419657873</v>
          </cell>
        </row>
        <row r="283">
          <cell r="B283">
            <v>689.50310977447</v>
          </cell>
          <cell r="C283">
            <v>279.946603985833</v>
          </cell>
        </row>
        <row r="283">
          <cell r="F283">
            <v>3.09340244079768</v>
          </cell>
        </row>
        <row r="284">
          <cell r="B284">
            <v>693.293561473441</v>
          </cell>
          <cell r="C284">
            <v>280.574581804471</v>
          </cell>
        </row>
        <row r="284">
          <cell r="F284">
            <v>3.09850910131647</v>
          </cell>
        </row>
        <row r="285">
          <cell r="B285">
            <v>697.10485067681</v>
          </cell>
          <cell r="C285">
            <v>281.203968306534</v>
          </cell>
        </row>
        <row r="285">
          <cell r="F285">
            <v>3.10362419202893</v>
          </cell>
        </row>
        <row r="286">
          <cell r="B286">
            <v>700.937091935988</v>
          </cell>
          <cell r="C286">
            <v>281.834766651987</v>
          </cell>
        </row>
        <row r="286">
          <cell r="F286">
            <v>3.10874772685181</v>
          </cell>
        </row>
        <row r="287">
          <cell r="B287">
            <v>704.790400432116</v>
          </cell>
          <cell r="C287">
            <v>282.480056369098</v>
          </cell>
        </row>
        <row r="287">
          <cell r="F287">
            <v>3.11389218833154</v>
          </cell>
        </row>
        <row r="288">
          <cell r="B288">
            <v>708.66489197953</v>
          </cell>
          <cell r="C288">
            <v>283.126823543458</v>
          </cell>
        </row>
        <row r="288">
          <cell r="F288">
            <v>3.11904516304111</v>
          </cell>
        </row>
        <row r="289">
          <cell r="B289">
            <v>712.560683029238</v>
          </cell>
          <cell r="C289">
            <v>283.775071557857</v>
          </cell>
        </row>
        <row r="289">
          <cell r="F289">
            <v>3.12420666506851</v>
          </cell>
        </row>
        <row r="290">
          <cell r="B290">
            <v>716.477890672423</v>
          </cell>
          <cell r="C290">
            <v>284.424803802831</v>
          </cell>
        </row>
        <row r="290">
          <cell r="F290">
            <v>3.12937670852503</v>
          </cell>
        </row>
        <row r="291">
          <cell r="B291">
            <v>720.416632643961</v>
          </cell>
          <cell r="C291">
            <v>285.076023676679</v>
          </cell>
        </row>
        <row r="291">
          <cell r="F291">
            <v>3.13455530754531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sm"/>
      <sheetName val="CF"/>
      <sheetName val="Returns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CommonSized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Converge_Model"/>
      <sheetName val="Commit"/>
    </sheetNames>
    <sheetDataSet>
      <sheetData sheetId="0"/>
      <sheetData sheetId="1"/>
      <sheetData sheetId="2">
        <row r="69">
          <cell r="E69">
            <v>0</v>
          </cell>
          <cell r="F69">
            <v>0</v>
          </cell>
          <cell r="G69">
            <v>417.210678711197</v>
          </cell>
          <cell r="H69">
            <v>-4130.59706142502</v>
          </cell>
          <cell r="I69">
            <v>-5096.21215898903</v>
          </cell>
          <cell r="J69">
            <v>-3710.70945178187</v>
          </cell>
          <cell r="K69">
            <v>-3914.67527170613</v>
          </cell>
          <cell r="L69">
            <v>-3834.33440813169</v>
          </cell>
          <cell r="M69">
            <v>-3243.15342618906</v>
          </cell>
          <cell r="N69">
            <v>255.792185148927</v>
          </cell>
          <cell r="O69">
            <v>3226.68020655313</v>
          </cell>
          <cell r="P69">
            <v>4035.70675039169</v>
          </cell>
          <cell r="Q69">
            <v>4029.1794731838</v>
          </cell>
          <cell r="R69">
            <v>4093.95213183549</v>
          </cell>
          <cell r="S69">
            <v>3964.07730633029</v>
          </cell>
          <cell r="T69">
            <v>5180.99532058638</v>
          </cell>
          <cell r="U69">
            <v>7805.10646010135</v>
          </cell>
          <cell r="V69">
            <v>13040.7608961221</v>
          </cell>
          <cell r="W69">
            <v>13367.4854220048</v>
          </cell>
          <cell r="X69">
            <v>13901.9690977088</v>
          </cell>
          <cell r="Y69">
            <v>4342.186990243</v>
          </cell>
        </row>
        <row r="73">
          <cell r="E73">
            <v>0</v>
          </cell>
          <cell r="F73">
            <v>0</v>
          </cell>
          <cell r="G73">
            <v>417.210678711197</v>
          </cell>
          <cell r="H73">
            <v>-5093.30482979046</v>
          </cell>
          <cell r="I73">
            <v>-6188.13937756332</v>
          </cell>
          <cell r="J73">
            <v>-4949.2006012693</v>
          </cell>
          <cell r="K73">
            <v>-5319.40289573351</v>
          </cell>
          <cell r="L73">
            <v>-5427.61159749414</v>
          </cell>
          <cell r="M73">
            <v>-5050.28824629368</v>
          </cell>
          <cell r="N73">
            <v>-1793.90530618424</v>
          </cell>
          <cell r="O73">
            <v>901.862069445765</v>
          </cell>
          <cell r="P73">
            <v>1398.83989883109</v>
          </cell>
          <cell r="Q73">
            <v>1038.37916847249</v>
          </cell>
          <cell r="R73">
            <v>701.7116562243</v>
          </cell>
          <cell r="S73">
            <v>3964.07730633029</v>
          </cell>
          <cell r="T73">
            <v>5180.99532058638</v>
          </cell>
          <cell r="U73">
            <v>7805.10646010135</v>
          </cell>
          <cell r="V73">
            <v>13040.7608961221</v>
          </cell>
          <cell r="W73">
            <v>13367.4854220048</v>
          </cell>
          <cell r="X73">
            <v>13901.9690977088</v>
          </cell>
          <cell r="Y73">
            <v>4342.186990243</v>
          </cell>
        </row>
      </sheetData>
      <sheetData sheetId="3">
        <row r="26">
          <cell r="E26">
            <v>-3318.98504282476</v>
          </cell>
          <cell r="F26">
            <v>-11246.2713707911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4.54747350886464E-013</v>
          </cell>
          <cell r="Q27">
            <v>-2.27373675443232E-013</v>
          </cell>
          <cell r="R27">
            <v>4.54747350886464E-013</v>
          </cell>
          <cell r="S27">
            <v>4.54747350886464E-013</v>
          </cell>
          <cell r="T27">
            <v>4.54747350886464E-013</v>
          </cell>
          <cell r="U27">
            <v>-9.09494701772928E-013</v>
          </cell>
          <cell r="V27">
            <v>0</v>
          </cell>
          <cell r="W27">
            <v>0</v>
          </cell>
          <cell r="X27">
            <v>2075.17985078896</v>
          </cell>
          <cell r="Y27">
            <v>3790.68443276208</v>
          </cell>
          <cell r="Z27">
            <v>10253.5017716754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96044.5674795895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208.605339355599</v>
          </cell>
          <cell r="I30">
            <v>-2546.65241489523</v>
          </cell>
          <cell r="J30">
            <v>-3094.06968878166</v>
          </cell>
          <cell r="K30">
            <v>-2474.60030063465</v>
          </cell>
          <cell r="L30">
            <v>-2659.70144786676</v>
          </cell>
          <cell r="M30">
            <v>-2713.80579874707</v>
          </cell>
          <cell r="N30">
            <v>-2525.14412314684</v>
          </cell>
          <cell r="O30">
            <v>-896.952653092121</v>
          </cell>
          <cell r="P30">
            <v>450.931034722882</v>
          </cell>
          <cell r="Q30">
            <v>699.419949415544</v>
          </cell>
          <cell r="R30">
            <v>519.189584236243</v>
          </cell>
          <cell r="S30">
            <v>350.85582811215</v>
          </cell>
          <cell r="T30">
            <v>1982.03865316515</v>
          </cell>
          <cell r="U30">
            <v>2590.49766029319</v>
          </cell>
          <cell r="V30">
            <v>3902.55323005067</v>
          </cell>
          <cell r="W30">
            <v>6520.38044806105</v>
          </cell>
          <cell r="X30">
            <v>4608.56286021344</v>
          </cell>
          <cell r="Y30">
            <v>3160.30011609231</v>
          </cell>
          <cell r="Z30">
            <v>-8082.40827655389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-12.5163203613359</v>
          </cell>
          <cell r="K31">
            <v>-12.5163203613359</v>
          </cell>
          <cell r="L31">
            <v>140.282824532378</v>
          </cell>
          <cell r="M31">
            <v>325.927005859278</v>
          </cell>
          <cell r="N31">
            <v>474.403023897357</v>
          </cell>
          <cell r="O31">
            <v>633.985110769362</v>
          </cell>
          <cell r="P31">
            <v>796.813458694186</v>
          </cell>
          <cell r="Q31">
            <v>948.322106082997</v>
          </cell>
          <cell r="R31">
            <v>975.083403185151</v>
          </cell>
          <cell r="S31">
            <v>933.118206220218</v>
          </cell>
          <cell r="T31">
            <v>901.966831166044</v>
          </cell>
          <cell r="U31">
            <v>880.915481479315</v>
          </cell>
          <cell r="V31">
            <v>761.993162289406</v>
          </cell>
          <cell r="W31">
            <v>606.563302671815</v>
          </cell>
          <cell r="X31">
            <v>372.410108868774</v>
          </cell>
          <cell r="Y31">
            <v>-18.8127180148886</v>
          </cell>
          <cell r="Z31">
            <v>-295.326489627695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-301.112494051387</v>
          </cell>
          <cell r="P32">
            <v>-289.230403885401</v>
          </cell>
          <cell r="Q32">
            <v>-232.047286200117</v>
          </cell>
          <cell r="R32">
            <v>-130.097882981924</v>
          </cell>
          <cell r="S32">
            <v>16.7364853011424</v>
          </cell>
          <cell r="T32">
            <v>221.323341293174</v>
          </cell>
          <cell r="U32">
            <v>414.084684470948</v>
          </cell>
          <cell r="V32">
            <v>685.320060083564</v>
          </cell>
          <cell r="W32">
            <v>997.911857361736</v>
          </cell>
          <cell r="X32">
            <v>1333.22572145414</v>
          </cell>
          <cell r="Y32">
            <v>1456.52564136159</v>
          </cell>
          <cell r="Z32">
            <v>485.508547120528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45.1668741077081</v>
          </cell>
          <cell r="P33">
            <v>43.3845605828101</v>
          </cell>
          <cell r="Q33">
            <v>34.8070929300175</v>
          </cell>
          <cell r="R33">
            <v>19.5146824472885</v>
          </cell>
          <cell r="S33">
            <v>-2.51047279517135</v>
          </cell>
          <cell r="T33">
            <v>-33.1985011939761</v>
          </cell>
          <cell r="U33">
            <v>-62.1127026706423</v>
          </cell>
          <cell r="V33">
            <v>-102.798009012535</v>
          </cell>
          <cell r="W33">
            <v>-149.68677860426</v>
          </cell>
          <cell r="X33">
            <v>-199.983858218121</v>
          </cell>
          <cell r="Y33">
            <v>-218.478846204238</v>
          </cell>
          <cell r="Z33">
            <v>-72.8262820680793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-110.198176289717</v>
          </cell>
          <cell r="I36">
            <v>6.35758709363754</v>
          </cell>
          <cell r="J36">
            <v>6.35758709363754</v>
          </cell>
          <cell r="K36">
            <v>6.35758709363754</v>
          </cell>
          <cell r="L36">
            <v>6.35758709363754</v>
          </cell>
          <cell r="M36">
            <v>6.35758709363754</v>
          </cell>
          <cell r="N36">
            <v>6.35758709363754</v>
          </cell>
          <cell r="O36">
            <v>6.35758709363754</v>
          </cell>
          <cell r="P36">
            <v>6.35758709363754</v>
          </cell>
          <cell r="Q36">
            <v>6.35758709363754</v>
          </cell>
          <cell r="R36">
            <v>6.35758709363754</v>
          </cell>
          <cell r="S36">
            <v>6.35758709363754</v>
          </cell>
          <cell r="T36">
            <v>6.35758709363754</v>
          </cell>
          <cell r="U36">
            <v>6.35758709363754</v>
          </cell>
          <cell r="V36">
            <v>6.35758709363754</v>
          </cell>
          <cell r="W36">
            <v>6.35758709363754</v>
          </cell>
          <cell r="X36">
            <v>6.35758709363754</v>
          </cell>
          <cell r="Y36">
            <v>6.35758709363754</v>
          </cell>
          <cell r="Z36">
            <v>2.11919569787918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-841.54128440367</v>
          </cell>
          <cell r="I37">
            <v>48.5504587155963</v>
          </cell>
          <cell r="J37">
            <v>48.5504587155963</v>
          </cell>
          <cell r="K37">
            <v>48.5504587155963</v>
          </cell>
          <cell r="L37">
            <v>48.5504587155963</v>
          </cell>
          <cell r="M37">
            <v>48.5504587155963</v>
          </cell>
          <cell r="N37">
            <v>48.5504587155963</v>
          </cell>
          <cell r="O37">
            <v>48.5504587155963</v>
          </cell>
          <cell r="P37">
            <v>48.5504587155963</v>
          </cell>
          <cell r="Q37">
            <v>48.5504587155963</v>
          </cell>
          <cell r="R37">
            <v>48.5504587155963</v>
          </cell>
          <cell r="S37">
            <v>48.5504587155963</v>
          </cell>
          <cell r="T37">
            <v>48.5504587155963</v>
          </cell>
          <cell r="U37">
            <v>48.5504587155963</v>
          </cell>
          <cell r="V37">
            <v>48.5504587155963</v>
          </cell>
          <cell r="W37">
            <v>48.5504587155963</v>
          </cell>
          <cell r="X37">
            <v>48.5504587155963</v>
          </cell>
          <cell r="Y37">
            <v>48.5504587155963</v>
          </cell>
          <cell r="Z37">
            <v>16.1834862385321</v>
          </cell>
        </row>
        <row r="38">
          <cell r="E38">
            <v>-22.126566952165</v>
          </cell>
          <cell r="F38">
            <v>-108.164992900188</v>
          </cell>
          <cell r="G38">
            <v>-145.652564136159</v>
          </cell>
          <cell r="H38">
            <v>-137.569303833754</v>
          </cell>
          <cell r="I38">
            <v>-105.882310345435</v>
          </cell>
          <cell r="J38">
            <v>-59.0315331873983</v>
          </cell>
          <cell r="K38">
            <v>-19.7328784066373</v>
          </cell>
          <cell r="L38">
            <v>-2.91659627278747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-1.11576568674282</v>
          </cell>
          <cell r="S38">
            <v>-15.3127722629163</v>
          </cell>
          <cell r="T38">
            <v>-34.983090341169</v>
          </cell>
          <cell r="U38">
            <v>-59.4908268212692</v>
          </cell>
          <cell r="V38">
            <v>-89.3714591602345</v>
          </cell>
          <cell r="W38">
            <v>-122.145443342334</v>
          </cell>
          <cell r="X38">
            <v>-141.54256680591</v>
          </cell>
          <cell r="Y38">
            <v>-145.652564136158</v>
          </cell>
          <cell r="Z38">
            <v>-115.199758640876</v>
          </cell>
        </row>
        <row r="39">
          <cell r="E39">
            <v>992.538969032817</v>
          </cell>
          <cell r="F39">
            <v>3827.78741660064</v>
          </cell>
          <cell r="G39">
            <v>67.8736143665419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E40">
            <v>-148.880845354923</v>
          </cell>
          <cell r="F40">
            <v>-574.168112490096</v>
          </cell>
          <cell r="G40">
            <v>-10.1810421549813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E41">
            <v>-303.96667598852</v>
          </cell>
          <cell r="F41">
            <v>-1163.81809514783</v>
          </cell>
          <cell r="G41">
            <v>32.5451970121012</v>
          </cell>
          <cell r="H41">
            <v>403.044242875042</v>
          </cell>
          <cell r="I41">
            <v>18.8604778783945</v>
          </cell>
          <cell r="J41">
            <v>6.15672886361511</v>
          </cell>
          <cell r="K41">
            <v>-8.38377340526646</v>
          </cell>
          <cell r="L41">
            <v>-71.141481405465</v>
          </cell>
          <cell r="M41">
            <v>-140.908969117349</v>
          </cell>
          <cell r="N41">
            <v>-195.845095791439</v>
          </cell>
          <cell r="O41">
            <v>-254.89046793408</v>
          </cell>
          <cell r="P41">
            <v>-315.136956666265</v>
          </cell>
          <cell r="Q41">
            <v>-371.195156200125</v>
          </cell>
          <cell r="R41">
            <v>-380.684002823828</v>
          </cell>
          <cell r="S41">
            <v>-359.903987513618</v>
          </cell>
          <cell r="T41">
            <v>-341.09996105462</v>
          </cell>
          <cell r="U41">
            <v>-324.243099172893</v>
          </cell>
          <cell r="V41">
            <v>-269.18600710721</v>
          </cell>
          <cell r="W41">
            <v>-199.550584901324</v>
          </cell>
          <cell r="X41">
            <v>-105.736967512676</v>
          </cell>
          <cell r="Y41">
            <v>40.5361774464709</v>
          </cell>
          <cell r="Z41">
            <v>145.122719542899</v>
          </cell>
        </row>
        <row r="52">
          <cell r="E52">
            <v>0</v>
          </cell>
          <cell r="F52">
            <v>-13609.1090523661</v>
          </cell>
          <cell r="G52">
            <v>-23083.0827028475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E53">
            <v>0</v>
          </cell>
          <cell r="F53">
            <v>0</v>
          </cell>
          <cell r="G53">
            <v>36692.1917552136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E54">
            <v>0</v>
          </cell>
          <cell r="F54">
            <v>211.983162518271</v>
          </cell>
          <cell r="G54">
            <v>933.315519181936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E55">
            <v>0</v>
          </cell>
          <cell r="F55">
            <v>-52.9957906295678</v>
          </cell>
          <cell r="G55">
            <v>-233.328879795484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E56">
            <v>0</v>
          </cell>
          <cell r="F56">
            <v>-90.7273936824407</v>
          </cell>
          <cell r="G56">
            <v>-90.7273936824407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E57">
            <v>0</v>
          </cell>
          <cell r="F57">
            <v>-25.2561919363171</v>
          </cell>
          <cell r="G57">
            <v>-225.425920910484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68">
          <cell r="E68">
            <v>0</v>
          </cell>
          <cell r="F68">
            <v>0</v>
          </cell>
          <cell r="G68">
            <v>-10535.3117843587</v>
          </cell>
          <cell r="H68">
            <v>-211.032730763911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481.353884182722</v>
          </cell>
          <cell r="J69">
            <v>545.963609287147</v>
          </cell>
          <cell r="K69">
            <v>619.245574743714</v>
          </cell>
          <cell r="L69">
            <v>702.363812013689</v>
          </cell>
          <cell r="M69">
            <v>796.638594681227</v>
          </cell>
          <cell r="N69">
            <v>903.567410052314</v>
          </cell>
          <cell r="O69">
            <v>1024.84874566659</v>
          </cell>
          <cell r="P69">
            <v>1162.40906855368</v>
          </cell>
          <cell r="Q69">
            <v>1318.4334257803</v>
          </cell>
          <cell r="R69">
            <v>1495.40015235566</v>
          </cell>
          <cell r="S69">
            <v>1696.12023780559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582.093661235809</v>
          </cell>
          <cell r="I70">
            <v>1381.87321191903</v>
          </cell>
          <cell r="J70">
            <v>1317.2634868146</v>
          </cell>
          <cell r="K70">
            <v>1243.98152135804</v>
          </cell>
          <cell r="L70">
            <v>1160.86328408806</v>
          </cell>
          <cell r="M70">
            <v>1066.58850142052</v>
          </cell>
          <cell r="N70">
            <v>959.659686049435</v>
          </cell>
          <cell r="O70">
            <v>838.378350435164</v>
          </cell>
          <cell r="P70">
            <v>700.818027548066</v>
          </cell>
          <cell r="Q70">
            <v>544.793670321448</v>
          </cell>
          <cell r="R70">
            <v>367.826943746087</v>
          </cell>
          <cell r="S70">
            <v>167.106858296149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-87.3140491853714</v>
          </cell>
          <cell r="I71">
            <v>-207.280981787854</v>
          </cell>
          <cell r="J71">
            <v>-197.58952302219</v>
          </cell>
          <cell r="K71">
            <v>-186.597228203705</v>
          </cell>
          <cell r="L71">
            <v>-174.129492613209</v>
          </cell>
          <cell r="M71">
            <v>-159.988275213078</v>
          </cell>
          <cell r="N71">
            <v>-143.948952907415</v>
          </cell>
          <cell r="O71">
            <v>-125.756752565275</v>
          </cell>
          <cell r="P71">
            <v>-105.12270413221</v>
          </cell>
          <cell r="Q71">
            <v>-81.7190505482172</v>
          </cell>
          <cell r="R71">
            <v>-55.1740415619131</v>
          </cell>
          <cell r="S71">
            <v>-25.0660287444224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E72">
            <v>0</v>
          </cell>
          <cell r="F72">
            <v>-90.7273936824407</v>
          </cell>
          <cell r="G72">
            <v>-90.7273936824407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E73">
            <v>0</v>
          </cell>
          <cell r="F73">
            <v>33.5691356625031</v>
          </cell>
          <cell r="G73">
            <v>33.5691356625031</v>
          </cell>
          <cell r="H73">
            <v>-183.068456458662</v>
          </cell>
          <cell r="I73">
            <v>-434.599125148535</v>
          </cell>
          <cell r="J73">
            <v>-414.279366603193</v>
          </cell>
          <cell r="K73">
            <v>-391.232188467102</v>
          </cell>
          <cell r="L73">
            <v>-365.091502845695</v>
          </cell>
          <cell r="M73">
            <v>-335.442083696754</v>
          </cell>
          <cell r="N73">
            <v>-301.812971262547</v>
          </cell>
          <cell r="O73">
            <v>-263.669991211859</v>
          </cell>
          <cell r="P73">
            <v>-220.407269663867</v>
          </cell>
          <cell r="Q73">
            <v>-171.337609316095</v>
          </cell>
          <cell r="R73">
            <v>-115.681573808144</v>
          </cell>
          <cell r="S73">
            <v>-52.5551069341389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">
          <cell r="I15">
            <v>124644.759668103</v>
          </cell>
          <cell r="J15">
            <v>121144.837783539</v>
          </cell>
          <cell r="K15">
            <v>114824.237551354</v>
          </cell>
          <cell r="L15">
            <v>108503.637319169</v>
          </cell>
          <cell r="M15">
            <v>102183.037086985</v>
          </cell>
          <cell r="N15">
            <v>95862.4368548001</v>
          </cell>
          <cell r="O15">
            <v>89541.8366226155</v>
          </cell>
          <cell r="P15">
            <v>83221.2363904309</v>
          </cell>
          <cell r="Q15">
            <v>76900.6361582462</v>
          </cell>
          <cell r="R15">
            <v>70580.0359260616</v>
          </cell>
          <cell r="S15">
            <v>64259.435693877</v>
          </cell>
          <cell r="T15">
            <v>57938.8354616924</v>
          </cell>
          <cell r="U15">
            <v>51618.2352295078</v>
          </cell>
          <cell r="V15">
            <v>45297.6349973231</v>
          </cell>
          <cell r="W15">
            <v>38977.0347651385</v>
          </cell>
          <cell r="X15">
            <v>32656.4345329539</v>
          </cell>
          <cell r="Y15">
            <v>26335.8343007693</v>
          </cell>
          <cell r="Z15">
            <v>20015.2340685847</v>
          </cell>
          <cell r="AA15">
            <v>13694.6338364001</v>
          </cell>
          <cell r="AB15">
            <v>11587.7670923385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2">
          <cell r="I22">
            <v>74443.6232721543</v>
          </cell>
          <cell r="J22">
            <v>75934.8027862155</v>
          </cell>
          <cell r="K22">
            <v>74795.8892227119</v>
          </cell>
          <cell r="L22">
            <v>72864.9756661482</v>
          </cell>
          <cell r="M22">
            <v>67441.0611814185</v>
          </cell>
          <cell r="N22">
            <v>60555.3294241944</v>
          </cell>
          <cell r="O22">
            <v>52754.5832933964</v>
          </cell>
          <cell r="P22">
            <v>44384.3261417018</v>
          </cell>
          <cell r="Q22">
            <v>38033.9347441205</v>
          </cell>
          <cell r="R22">
            <v>33703.4091006525</v>
          </cell>
          <cell r="S22">
            <v>29372.8834571845</v>
          </cell>
          <cell r="T22">
            <v>24032.4249366599</v>
          </cell>
          <cell r="U22">
            <v>17682.0335390786</v>
          </cell>
          <cell r="V22">
            <v>11331.6421414973</v>
          </cell>
          <cell r="W22">
            <v>4753.44633555733</v>
          </cell>
          <cell r="X22">
            <v>1.81898940354586E-011</v>
          </cell>
          <cell r="Y22">
            <v>1.81898940354586E-011</v>
          </cell>
          <cell r="Z22">
            <v>1.81898940354586E-011</v>
          </cell>
          <cell r="AA22">
            <v>1.81898940354586E-011</v>
          </cell>
          <cell r="AB22">
            <v>1.81898940354586E-011</v>
          </cell>
        </row>
        <row r="27">
          <cell r="I27">
            <v>29130.5128272317</v>
          </cell>
          <cell r="J27">
            <v>29130.5128272317</v>
          </cell>
          <cell r="K27">
            <v>29130.5128272317</v>
          </cell>
          <cell r="L27">
            <v>29130.5128272317</v>
          </cell>
          <cell r="M27">
            <v>29130.5128272317</v>
          </cell>
          <cell r="N27">
            <v>29130.5128272317</v>
          </cell>
          <cell r="O27">
            <v>29130.5128272317</v>
          </cell>
          <cell r="P27">
            <v>29130.5128272317</v>
          </cell>
          <cell r="Q27">
            <v>29130.5128272317</v>
          </cell>
          <cell r="R27">
            <v>29130.5128272317</v>
          </cell>
          <cell r="S27">
            <v>29130.5128272317</v>
          </cell>
          <cell r="T27">
            <v>29130.5128272317</v>
          </cell>
          <cell r="U27">
            <v>29130.5128272317</v>
          </cell>
          <cell r="V27">
            <v>29130.5128272317</v>
          </cell>
          <cell r="W27">
            <v>29130.5128272317</v>
          </cell>
          <cell r="X27">
            <v>29130.5128272317</v>
          </cell>
          <cell r="Y27">
            <v>29130.5128272317</v>
          </cell>
          <cell r="Z27">
            <v>29130.5128272317</v>
          </cell>
          <cell r="AA27">
            <v>29130.5128272317</v>
          </cell>
          <cell r="AB27">
            <v>29130.5128272317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2.91038304567337E-011</v>
          </cell>
          <cell r="AB35">
            <v>2.5465851649642E-011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sm"/>
      <sheetName val="CF"/>
      <sheetName val="RAROC"/>
      <sheetName val="CommonSize"/>
      <sheetName val="BS_IS"/>
      <sheetName val="Returns"/>
      <sheetName val="CS_INC"/>
      <sheetName val="EINC"/>
      <sheetName val="PLRisk"/>
      <sheetName val="Trapped"/>
      <sheetName val="Turnkey"/>
      <sheetName val="Drawdown"/>
      <sheetName val="IDC"/>
      <sheetName val="Debt Amort"/>
      <sheetName val="Taxes"/>
      <sheetName val="Depr"/>
      <sheetName val="Ref1"/>
      <sheetName val="Ref2"/>
      <sheetName val="Ref3"/>
      <sheetName val="Ref4"/>
      <sheetName val="Ref5"/>
      <sheetName val="Transportation"/>
      <sheetName val="Escalation"/>
      <sheetName val="Converge_Model"/>
      <sheetName val="Commit"/>
    </sheetNames>
    <sheetDataSet>
      <sheetData sheetId="0"/>
      <sheetData sheetId="1"/>
      <sheetData sheetId="2">
        <row r="67">
          <cell r="E67">
            <v>0</v>
          </cell>
          <cell r="F67">
            <v>-13.2759999379246</v>
          </cell>
          <cell r="G67">
            <v>6028.02074865771</v>
          </cell>
          <cell r="H67">
            <v>5345.65242516422</v>
          </cell>
          <cell r="I67">
            <v>4005.45949892385</v>
          </cell>
          <cell r="J67">
            <v>5730.44364659383</v>
          </cell>
          <cell r="K67">
            <v>1893.3945164058</v>
          </cell>
          <cell r="L67">
            <v>5582.58067264734</v>
          </cell>
          <cell r="M67">
            <v>6910.52878380658</v>
          </cell>
          <cell r="N67">
            <v>10709.2197969578</v>
          </cell>
          <cell r="O67">
            <v>15303.8737764335</v>
          </cell>
          <cell r="P67">
            <v>16695.193618093</v>
          </cell>
          <cell r="Q67">
            <v>15715.4946749393</v>
          </cell>
          <cell r="R67">
            <v>11991.4769956191</v>
          </cell>
          <cell r="S67">
            <v>11530.6079280492</v>
          </cell>
          <cell r="T67">
            <v>13835.2787785957</v>
          </cell>
          <cell r="U67">
            <v>17425.4368103906</v>
          </cell>
          <cell r="V67">
            <v>24229.5621598008</v>
          </cell>
          <cell r="W67">
            <v>25036.3602077258</v>
          </cell>
          <cell r="X67">
            <v>25910.7780279207</v>
          </cell>
          <cell r="Y67">
            <v>8646.59396617151</v>
          </cell>
        </row>
        <row r="71">
          <cell r="E71">
            <v>0</v>
          </cell>
          <cell r="F71">
            <v>-13.2759999379246</v>
          </cell>
          <cell r="G71">
            <v>6028.02074865771</v>
          </cell>
          <cell r="H71">
            <v>5234.85244341262</v>
          </cell>
          <cell r="I71">
            <v>3879.78738962163</v>
          </cell>
          <cell r="J71">
            <v>5587.90319842052</v>
          </cell>
          <cell r="K71">
            <v>1731.72157657643</v>
          </cell>
          <cell r="L71">
            <v>5399.20718246937</v>
          </cell>
          <cell r="M71">
            <v>6702.54198690948</v>
          </cell>
          <cell r="N71">
            <v>10473.3159722472</v>
          </cell>
          <cell r="O71">
            <v>15036.3057608511</v>
          </cell>
          <cell r="P71">
            <v>16391.7112856191</v>
          </cell>
          <cell r="Q71">
            <v>15371.2774263891</v>
          </cell>
          <cell r="R71">
            <v>11601.0571868822</v>
          </cell>
          <cell r="S71">
            <v>11530.6079280492</v>
          </cell>
          <cell r="T71">
            <v>13835.2787785957</v>
          </cell>
          <cell r="U71">
            <v>17425.4368103906</v>
          </cell>
          <cell r="V71">
            <v>24229.5621598008</v>
          </cell>
          <cell r="W71">
            <v>25036.3602077258</v>
          </cell>
          <cell r="X71">
            <v>25910.7780279207</v>
          </cell>
          <cell r="Y71">
            <v>8646.59396617151</v>
          </cell>
        </row>
      </sheetData>
      <sheetData sheetId="3"/>
      <sheetData sheetId="4"/>
      <sheetData sheetId="5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  <sheetData sheetId="6">
        <row r="24">
          <cell r="E24">
            <v>-3111.700911</v>
          </cell>
          <cell r="F24">
            <v>-8888.299092</v>
          </cell>
          <cell r="G24">
            <v>-6000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2.72848410531878E-013</v>
          </cell>
          <cell r="J25">
            <v>-1.36424205265939E-013</v>
          </cell>
          <cell r="K25">
            <v>-2.72848410531878E-013</v>
          </cell>
          <cell r="L25">
            <v>-1.36424205265939E-013</v>
          </cell>
          <cell r="M25">
            <v>576.694023587786</v>
          </cell>
          <cell r="N25">
            <v>2143.84587748888</v>
          </cell>
          <cell r="O25">
            <v>2423.00185913808</v>
          </cell>
          <cell r="P25">
            <v>2872.29492483912</v>
          </cell>
          <cell r="Q25">
            <v>3169.68954099385</v>
          </cell>
          <cell r="R25">
            <v>3535.51008623786</v>
          </cell>
          <cell r="S25">
            <v>4112.60118105559</v>
          </cell>
          <cell r="T25">
            <v>3978.51284191015</v>
          </cell>
          <cell r="U25">
            <v>4715.46647377635</v>
          </cell>
          <cell r="V25">
            <v>5096.86805491228</v>
          </cell>
          <cell r="W25">
            <v>5364.18097844821</v>
          </cell>
          <cell r="X25">
            <v>5594.11842210685</v>
          </cell>
          <cell r="Y25">
            <v>5843.3275008624</v>
          </cell>
          <cell r="Z25">
            <v>19585.6014456744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-3.41060513164848E-014</v>
          </cell>
          <cell r="J26">
            <v>1.70530256582424E-014</v>
          </cell>
          <cell r="K26">
            <v>3.41060513164848E-014</v>
          </cell>
          <cell r="L26">
            <v>1.70530256582424E-014</v>
          </cell>
          <cell r="M26">
            <v>-72.0867529484733</v>
          </cell>
          <cell r="N26">
            <v>-267.98073468611</v>
          </cell>
          <cell r="O26">
            <v>-302.87523239226</v>
          </cell>
          <cell r="P26">
            <v>-359.03686560489</v>
          </cell>
          <cell r="Q26">
            <v>-396.211192624231</v>
          </cell>
          <cell r="R26">
            <v>-441.938760779733</v>
          </cell>
          <cell r="S26">
            <v>-514.075147631948</v>
          </cell>
          <cell r="T26">
            <v>-497.314105238769</v>
          </cell>
          <cell r="U26">
            <v>-589.433309222044</v>
          </cell>
          <cell r="V26">
            <v>-637.108506864035</v>
          </cell>
          <cell r="W26">
            <v>-670.522622306026</v>
          </cell>
          <cell r="X26">
            <v>-699.264802763356</v>
          </cell>
          <cell r="Y26">
            <v>-730.4159376078</v>
          </cell>
          <cell r="Z26">
            <v>-2448.2001807093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103759.127594058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1808.40622459731</v>
          </cell>
          <cell r="I28">
            <v>1570.45573302378</v>
          </cell>
          <cell r="J28">
            <v>1163.93621688649</v>
          </cell>
          <cell r="K28">
            <v>1676.37095952616</v>
          </cell>
          <cell r="L28">
            <v>519.51647297293</v>
          </cell>
          <cell r="M28">
            <v>1043.06813115302</v>
          </cell>
          <cell r="N28">
            <v>-133.08328141604</v>
          </cell>
          <cell r="O28">
            <v>718.992932536078</v>
          </cell>
          <cell r="P28">
            <v>1638.5968034162</v>
          </cell>
          <cell r="Q28">
            <v>1747.82384469187</v>
          </cell>
          <cell r="R28">
            <v>1075.87314167885</v>
          </cell>
          <cell r="S28">
            <v>-632.284024990928</v>
          </cell>
          <cell r="T28">
            <v>-519.330463495396</v>
          </cell>
          <cell r="U28">
            <v>-564.882840197626</v>
          </cell>
          <cell r="V28">
            <v>130.762988204889</v>
          </cell>
          <cell r="W28">
            <v>1904.68766949202</v>
          </cell>
          <cell r="X28">
            <v>1916.7896402109</v>
          </cell>
          <cell r="Y28">
            <v>1929.90590751382</v>
          </cell>
          <cell r="Z28">
            <v>-16991.623255823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-90.2211712307968</v>
          </cell>
          <cell r="J29">
            <v>-168.743957881986</v>
          </cell>
          <cell r="K29">
            <v>-226.94076872631</v>
          </cell>
          <cell r="L29">
            <v>-310.759316702618</v>
          </cell>
          <cell r="M29">
            <v>-336.735140351265</v>
          </cell>
          <cell r="N29">
            <v>-388.888546908916</v>
          </cell>
          <cell r="O29">
            <v>-388.888546908916</v>
          </cell>
          <cell r="P29">
            <v>-418.184029464918</v>
          </cell>
          <cell r="Q29">
            <v>-500.113869635728</v>
          </cell>
          <cell r="R29">
            <v>-587.505061870322</v>
          </cell>
          <cell r="S29">
            <v>-641.298718954264</v>
          </cell>
          <cell r="T29">
            <v>-641.298718954264</v>
          </cell>
          <cell r="U29">
            <v>-609.684517704718</v>
          </cell>
          <cell r="V29">
            <v>-583.717994529948</v>
          </cell>
          <cell r="W29">
            <v>-562.012001930311</v>
          </cell>
          <cell r="X29">
            <v>-657.246385404912</v>
          </cell>
          <cell r="Y29">
            <v>-753.085867415457</v>
          </cell>
          <cell r="Z29">
            <v>-283.193720930383</v>
          </cell>
        </row>
        <row r="30">
          <cell r="E30">
            <v>-20.74467274</v>
          </cell>
          <cell r="F30">
            <v>-90.37233639</v>
          </cell>
          <cell r="G30">
            <v>-160.00000003</v>
          </cell>
          <cell r="H30">
            <v>-178.162491048583</v>
          </cell>
          <cell r="I30">
            <v>-170.900992485251</v>
          </cell>
          <cell r="J30">
            <v>-159.68277678015</v>
          </cell>
          <cell r="K30">
            <v>-155.365098581856</v>
          </cell>
          <cell r="L30">
            <v>-163.172747256528</v>
          </cell>
          <cell r="M30">
            <v>-176.604848772925</v>
          </cell>
          <cell r="N30">
            <v>-182.592817837376</v>
          </cell>
          <cell r="O30">
            <v>-183.819107240142</v>
          </cell>
          <cell r="P30">
            <v>-185.25201806625</v>
          </cell>
          <cell r="Q30">
            <v>-186.868101225342</v>
          </cell>
          <cell r="R30">
            <v>-188.664716964547</v>
          </cell>
          <cell r="S30">
            <v>-190.727999850223</v>
          </cell>
          <cell r="T30">
            <v>-192.845478247569</v>
          </cell>
          <cell r="U30">
            <v>-195.198012596598</v>
          </cell>
          <cell r="V30">
            <v>-197.813662172668</v>
          </cell>
          <cell r="W30">
            <v>-200.590018315091</v>
          </cell>
          <cell r="X30">
            <v>-203.493951266435</v>
          </cell>
          <cell r="Y30">
            <v>-206.525665902195</v>
          </cell>
          <cell r="Z30">
            <v>-149.109442053001</v>
          </cell>
        </row>
        <row r="31">
          <cell r="E31">
            <v>1069.58890267973</v>
          </cell>
          <cell r="F31">
            <v>4521.55363767299</v>
          </cell>
          <cell r="G31">
            <v>639.519459647283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E32">
            <v>-133.698612834966</v>
          </cell>
          <cell r="F32">
            <v>-565.194204709124</v>
          </cell>
          <cell r="G32">
            <v>-79.9399324559104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-160.444559155393</v>
          </cell>
          <cell r="I33">
            <v>9.25641687434958</v>
          </cell>
          <cell r="J33">
            <v>9.25641687434958</v>
          </cell>
          <cell r="K33">
            <v>9.25641687434958</v>
          </cell>
          <cell r="L33">
            <v>9.25641687434958</v>
          </cell>
          <cell r="M33">
            <v>9.25641687434958</v>
          </cell>
          <cell r="N33">
            <v>9.25641687434958</v>
          </cell>
          <cell r="O33">
            <v>9.25641687434958</v>
          </cell>
          <cell r="P33">
            <v>9.25641687434958</v>
          </cell>
          <cell r="Q33">
            <v>9.25641687434958</v>
          </cell>
          <cell r="R33">
            <v>9.25641687434958</v>
          </cell>
          <cell r="S33">
            <v>9.25641687434958</v>
          </cell>
          <cell r="T33">
            <v>9.25641687434958</v>
          </cell>
          <cell r="U33">
            <v>9.25641687434958</v>
          </cell>
          <cell r="V33">
            <v>9.25641687434958</v>
          </cell>
          <cell r="W33">
            <v>9.25641687434958</v>
          </cell>
          <cell r="X33">
            <v>9.25641687434958</v>
          </cell>
          <cell r="Y33">
            <v>9.25641687434958</v>
          </cell>
          <cell r="Z33">
            <v>3.08547229144986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-646.899082568807</v>
          </cell>
          <cell r="I34">
            <v>37.3211009174312</v>
          </cell>
          <cell r="J34">
            <v>37.3211009174312</v>
          </cell>
          <cell r="K34">
            <v>37.3211009174312</v>
          </cell>
          <cell r="L34">
            <v>37.3211009174312</v>
          </cell>
          <cell r="M34">
            <v>37.3211009174312</v>
          </cell>
          <cell r="N34">
            <v>37.3211009174312</v>
          </cell>
          <cell r="O34">
            <v>37.3211009174312</v>
          </cell>
          <cell r="P34">
            <v>37.3211009174312</v>
          </cell>
          <cell r="Q34">
            <v>37.3211009174312</v>
          </cell>
          <cell r="R34">
            <v>37.3211009174312</v>
          </cell>
          <cell r="S34">
            <v>37.3211009174312</v>
          </cell>
          <cell r="T34">
            <v>37.3211009174312</v>
          </cell>
          <cell r="U34">
            <v>37.3211009174312</v>
          </cell>
          <cell r="V34">
            <v>37.3211009174312</v>
          </cell>
          <cell r="W34">
            <v>37.3211009174312</v>
          </cell>
          <cell r="X34">
            <v>37.3211009174312</v>
          </cell>
          <cell r="Y34">
            <v>37.3211009174312</v>
          </cell>
          <cell r="Z34">
            <v>12.4403669724771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E37">
            <v>-338.603878328762</v>
          </cell>
          <cell r="F37">
            <v>-1430.41522573233</v>
          </cell>
          <cell r="G37">
            <v>-147.844425049708</v>
          </cell>
          <cell r="H37">
            <v>364.63726912593</v>
          </cell>
          <cell r="I37">
            <v>79.3815189919788</v>
          </cell>
          <cell r="J37">
            <v>104.284210242032</v>
          </cell>
          <cell r="K37">
            <v>124.219489321063</v>
          </cell>
          <cell r="L37">
            <v>158.121182081925</v>
          </cell>
          <cell r="M37">
            <v>172.702114392991</v>
          </cell>
          <cell r="N37">
            <v>194.214423373169</v>
          </cell>
          <cell r="O37">
            <v>194.668150452192</v>
          </cell>
          <cell r="P37">
            <v>206.037656003573</v>
          </cell>
          <cell r="Q37">
            <v>236.949647635637</v>
          </cell>
          <cell r="R37">
            <v>269.949136585943</v>
          </cell>
          <cell r="S37">
            <v>290.616204374701</v>
          </cell>
          <cell r="T37">
            <v>291.39967138172</v>
          </cell>
          <cell r="U37">
            <v>280.572854628528</v>
          </cell>
          <cell r="V37">
            <v>271.933031397009</v>
          </cell>
          <cell r="W37">
            <v>264.92906590784</v>
          </cell>
          <cell r="X37">
            <v>301.24024298544</v>
          </cell>
          <cell r="Y37">
            <v>337.822585744572</v>
          </cell>
          <cell r="Z37">
            <v>154.207609776199</v>
          </cell>
        </row>
        <row r="48">
          <cell r="E48">
            <v>0</v>
          </cell>
          <cell r="F48">
            <v>-13407.4325998723</v>
          </cell>
          <cell r="G48">
            <v>-7631.38853208427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E49">
            <v>0</v>
          </cell>
          <cell r="F49">
            <v>0</v>
          </cell>
          <cell r="G49">
            <v>21038.8211319565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E50">
            <v>0</v>
          </cell>
          <cell r="F50">
            <v>246.000979895534</v>
          </cell>
          <cell r="G50">
            <v>709.899118472099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E51">
            <v>0</v>
          </cell>
          <cell r="F51">
            <v>-30.7501224869417</v>
          </cell>
          <cell r="G51">
            <v>-88.7373898090123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E52">
            <v>0</v>
          </cell>
          <cell r="F52">
            <v>-89.3828839991485</v>
          </cell>
          <cell r="G52">
            <v>-89.3828839991485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E53">
            <v>0</v>
          </cell>
          <cell r="F53">
            <v>-46.5711501614941</v>
          </cell>
          <cell r="G53">
            <v>-196.758172525657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64">
          <cell r="E64">
            <v>0</v>
          </cell>
          <cell r="F64">
            <v>0</v>
          </cell>
          <cell r="G64">
            <v>-728.534139478906</v>
          </cell>
          <cell r="H64">
            <v>-13.5569593767984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33.2399945254818</v>
          </cell>
          <cell r="J65">
            <v>37.7016327906646</v>
          </cell>
          <cell r="K65">
            <v>42.7621344519915</v>
          </cell>
          <cell r="L65">
            <v>48.5018819488101</v>
          </cell>
          <cell r="M65">
            <v>55.0120470533891</v>
          </cell>
          <cell r="N65">
            <v>62.3960390691302</v>
          </cell>
          <cell r="O65">
            <v>70.7711474131842</v>
          </cell>
          <cell r="P65">
            <v>80.2704046747188</v>
          </cell>
          <cell r="Q65">
            <v>91.0446997421829</v>
          </cell>
          <cell r="R65">
            <v>103.265174565077</v>
          </cell>
          <cell r="S65">
            <v>117.125942621075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40.1966011880174</v>
          </cell>
          <cell r="I66">
            <v>95.4255476240473</v>
          </cell>
          <cell r="J66">
            <v>90.9639093588645</v>
          </cell>
          <cell r="K66">
            <v>85.9034076975376</v>
          </cell>
          <cell r="L66">
            <v>80.163660200719</v>
          </cell>
          <cell r="M66">
            <v>73.65349509614</v>
          </cell>
          <cell r="N66">
            <v>66.2695030803988</v>
          </cell>
          <cell r="O66">
            <v>57.8943947363448</v>
          </cell>
          <cell r="P66">
            <v>48.3951374748102</v>
          </cell>
          <cell r="Q66">
            <v>37.620842407346</v>
          </cell>
          <cell r="R66">
            <v>25.4003675844515</v>
          </cell>
          <cell r="S66">
            <v>11.539599528454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-5.02457514850217</v>
          </cell>
          <cell r="I67">
            <v>-11.9281934530059</v>
          </cell>
          <cell r="J67">
            <v>-11.3704886698581</v>
          </cell>
          <cell r="K67">
            <v>-10.7379259621922</v>
          </cell>
          <cell r="L67">
            <v>-10.0204575250899</v>
          </cell>
          <cell r="M67">
            <v>-9.2066868870175</v>
          </cell>
          <cell r="N67">
            <v>-8.28368788504985</v>
          </cell>
          <cell r="O67">
            <v>-7.2367993420431</v>
          </cell>
          <cell r="P67">
            <v>-6.04939218435127</v>
          </cell>
          <cell r="Q67">
            <v>-4.70260530091826</v>
          </cell>
          <cell r="R67">
            <v>-3.17504594805644</v>
          </cell>
          <cell r="S67">
            <v>-1.44244994105676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E68">
            <v>0</v>
          </cell>
          <cell r="F68">
            <v>0</v>
          </cell>
          <cell r="G68">
            <v>-4.85689426319271</v>
          </cell>
          <cell r="H68">
            <v>-7.37572112396772</v>
          </cell>
          <cell r="I68">
            <v>-7.31011100680544</v>
          </cell>
          <cell r="J68">
            <v>-6.96283893400002</v>
          </cell>
          <cell r="K68">
            <v>-6.56895426722228</v>
          </cell>
          <cell r="L68">
            <v>-6.1222004310463</v>
          </cell>
          <cell r="M68">
            <v>-5.61548106120961</v>
          </cell>
          <cell r="N68">
            <v>-5.04074728395658</v>
          </cell>
          <cell r="O68">
            <v>-4.38886986545176</v>
          </cell>
          <cell r="P68">
            <v>-3.64949420044814</v>
          </cell>
          <cell r="Q68">
            <v>-2.8108758368094</v>
          </cell>
          <cell r="R68">
            <v>-1.85969392331126</v>
          </cell>
          <cell r="S68">
            <v>-0.78083961747383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E69">
            <v>0</v>
          </cell>
          <cell r="F69">
            <v>0</v>
          </cell>
          <cell r="G69">
            <v>1.7970508773813</v>
          </cell>
          <cell r="H69">
            <v>-10.2846328187526</v>
          </cell>
          <cell r="I69">
            <v>-28.1892799707673</v>
          </cell>
          <cell r="J69">
            <v>-26.8733152493524</v>
          </cell>
          <cell r="K69">
            <v>-25.3807151632055</v>
          </cell>
          <cell r="L69">
            <v>-23.6877708304956</v>
          </cell>
          <cell r="M69">
            <v>-21.7675910447278</v>
          </cell>
          <cell r="N69">
            <v>-19.5896751272152</v>
          </cell>
          <cell r="O69">
            <v>-17.1194284456745</v>
          </cell>
          <cell r="P69">
            <v>-14.317612903304</v>
          </cell>
          <cell r="Q69">
            <v>-11.1397236697588</v>
          </cell>
          <cell r="R69">
            <v>-7.53528225384102</v>
          </cell>
          <cell r="S69">
            <v>-3.44703468887168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sm"/>
      <sheetName val="Cashflow"/>
      <sheetName val="Returns"/>
      <sheetName val="EINC"/>
      <sheetName val="Ref1"/>
      <sheetName val="MMBTU"/>
      <sheetName val="EPE Revenues"/>
      <sheetName val="SCG Commodity"/>
      <sheetName val="Transportation"/>
      <sheetName val="XNPV"/>
      <sheetName val="Escalation"/>
    </sheetNames>
    <sheetDataSet>
      <sheetData sheetId="0"/>
      <sheetData sheetId="1"/>
      <sheetData sheetId="2">
        <row r="38">
          <cell r="E38">
            <v>0</v>
          </cell>
          <cell r="F38">
            <v>-1468.1772</v>
          </cell>
          <cell r="G38">
            <v>728.418005432005</v>
          </cell>
          <cell r="H38">
            <v>1126.19529022912</v>
          </cell>
          <cell r="I38">
            <v>1761.12774721916</v>
          </cell>
          <cell r="J38">
            <v>3327.04486546503</v>
          </cell>
          <cell r="K38">
            <v>4895.64633348661</v>
          </cell>
          <cell r="L38">
            <v>5843.9359528783</v>
          </cell>
          <cell r="M38">
            <v>6357.34597467733</v>
          </cell>
          <cell r="N38">
            <v>6570.41398737948</v>
          </cell>
          <cell r="O38">
            <v>6922.63272413074</v>
          </cell>
          <cell r="P38">
            <v>7219.86114668355</v>
          </cell>
          <cell r="Q38">
            <v>7471.26893247304</v>
          </cell>
          <cell r="R38">
            <v>8080.84783192173</v>
          </cell>
          <cell r="S38">
            <v>8037.86208187019</v>
          </cell>
          <cell r="T38">
            <v>8207.49636951345</v>
          </cell>
          <cell r="U38">
            <v>8378.96139591702</v>
          </cell>
          <cell r="V38">
            <v>8506.23003791268</v>
          </cell>
          <cell r="W38">
            <v>8848.69829240176</v>
          </cell>
          <cell r="X38">
            <v>9442.0642209578</v>
          </cell>
          <cell r="Y38">
            <v>3375.60933620258</v>
          </cell>
        </row>
      </sheetData>
      <sheetData sheetId="3">
        <row r="23">
          <cell r="E23">
            <v>0</v>
          </cell>
          <cell r="F23">
            <v>0</v>
          </cell>
          <cell r="G23">
            <v>1064.42847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E24">
            <v>0</v>
          </cell>
          <cell r="F24">
            <v>0</v>
          </cell>
          <cell r="G24">
            <v>-1064.42847</v>
          </cell>
          <cell r="H24">
            <v>528.103053938204</v>
          </cell>
          <cell r="I24">
            <v>816.491585416114</v>
          </cell>
          <cell r="J24">
            <v>1276.81761673389</v>
          </cell>
          <cell r="K24">
            <v>2412.10752746215</v>
          </cell>
          <cell r="L24">
            <v>3549.34359177779</v>
          </cell>
          <cell r="M24">
            <v>4236.85356583677</v>
          </cell>
          <cell r="N24">
            <v>4609.07583164107</v>
          </cell>
          <cell r="O24">
            <v>4763.55014085012</v>
          </cell>
          <cell r="P24">
            <v>5018.90872499479</v>
          </cell>
          <cell r="Q24">
            <v>5234.39933134557</v>
          </cell>
          <cell r="R24">
            <v>5416.66997604295</v>
          </cell>
          <cell r="S24">
            <v>5858.61467814325</v>
          </cell>
          <cell r="T24">
            <v>5827.45000935589</v>
          </cell>
          <cell r="U24">
            <v>5950.43486789725</v>
          </cell>
          <cell r="V24">
            <v>6074.74701203984</v>
          </cell>
          <cell r="W24">
            <v>6167.0167774867</v>
          </cell>
          <cell r="X24">
            <v>6415.30626199127</v>
          </cell>
          <cell r="Y24">
            <v>6845.4965601944</v>
          </cell>
          <cell r="Z24">
            <v>2447.31676874687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69923.3362499105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5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Relationship Id="rId4" Type="http://schemas.openxmlformats.org/officeDocument/2006/relationships/ctrlProp" Target="../ctrlProps/ctrlProps2.xml"/><Relationship Id="rId5" Type="http://schemas.openxmlformats.org/officeDocument/2006/relationships/ctrlProp" Target="../ctrlProps/ctrlProps3.xml"/><Relationship Id="rId6" Type="http://schemas.openxmlformats.org/officeDocument/2006/relationships/ctrlProp" Target="../ctrlProps/ctrlProps4.xml"/><Relationship Id="rId7" Type="http://schemas.openxmlformats.org/officeDocument/2006/relationships/ctrlProp" Target="../ctrlProps/ctrlProps5.xml"/><Relationship Id="rId8" Type="http://schemas.openxmlformats.org/officeDocument/2006/relationships/ctrlProp" Target="../ctrlProps/ctrlProps6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comments" Target="../comments21.xml"/><Relationship Id="rId2" Type="http://schemas.openxmlformats.org/officeDocument/2006/relationships/vmlDrawing" Target="../drawings/vmlDrawing6.v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comments" Target="../comments22.xml"/><Relationship Id="rId2" Type="http://schemas.openxmlformats.org/officeDocument/2006/relationships/vmlDrawing" Target="../drawings/vmlDrawing7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3.vml"/><Relationship Id="rId4" Type="http://schemas.openxmlformats.org/officeDocument/2006/relationships/ctrlProp" Target="../ctrlProps/ctrlProps8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3.14"/>
    <col collapsed="false" customWidth="true" hidden="false" outlineLevel="0" max="2" min="2" style="1" width="50.7"/>
    <col collapsed="false" customWidth="true" hidden="false" outlineLevel="0" max="3" min="3" style="1" width="12.7"/>
    <col collapsed="false" customWidth="false" hidden="false" outlineLevel="0" max="257" min="4" style="1" width="9.14"/>
  </cols>
  <sheetData>
    <row r="1" customFormat="false" ht="15.75" hidden="false" customHeight="false" outlineLevel="0" collapsed="false">
      <c r="B1" s="2"/>
      <c r="C1" s="3"/>
    </row>
    <row r="2" customFormat="false" ht="18" hidden="false" customHeight="false" outlineLevel="0" collapsed="false">
      <c r="B2" s="4" t="s">
        <v>0</v>
      </c>
      <c r="C2" s="4"/>
    </row>
    <row r="3" customFormat="false" ht="15.75" hidden="false" customHeight="false" outlineLevel="0" collapsed="false">
      <c r="B3" s="5" t="s">
        <v>1</v>
      </c>
      <c r="C3" s="5"/>
    </row>
    <row r="4" customFormat="false" ht="15" hidden="false" customHeight="false" outlineLevel="0" collapsed="false">
      <c r="B4" s="6" t="s">
        <v>2</v>
      </c>
      <c r="C4" s="6"/>
    </row>
    <row r="6" customFormat="false" ht="15" hidden="false" customHeight="false" outlineLevel="0" collapsed="false">
      <c r="A6" s="7"/>
      <c r="B6" s="8" t="s">
        <v>3</v>
      </c>
      <c r="C6" s="8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</row>
    <row r="7" customFormat="false" ht="15" hidden="false" customHeight="false" outlineLevel="0" collapsed="false">
      <c r="A7" s="7"/>
      <c r="B7" s="9"/>
      <c r="C7" s="10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customFormat="false" ht="15.75" hidden="false" customHeight="false" outlineLevel="0" collapsed="false">
      <c r="B8" s="11" t="s">
        <v>4</v>
      </c>
      <c r="C8" s="11"/>
    </row>
    <row r="10" customFormat="false" ht="12.75" hidden="false" customHeight="false" outlineLevel="0" collapsed="false">
      <c r="C10" s="12" t="s">
        <v>5</v>
      </c>
    </row>
    <row r="11" customFormat="false" ht="12.75" hidden="false" customHeight="false" outlineLevel="0" collapsed="false">
      <c r="B11" s="1" t="s">
        <v>6</v>
      </c>
      <c r="C11" s="13" t="s">
        <v>7</v>
      </c>
    </row>
    <row r="12" customFormat="false" ht="12.75" hidden="false" customHeight="false" outlineLevel="0" collapsed="false">
      <c r="B12" s="1" t="s">
        <v>8</v>
      </c>
      <c r="C12" s="13" t="s">
        <v>9</v>
      </c>
    </row>
    <row r="13" customFormat="false" ht="12.75" hidden="false" customHeight="false" outlineLevel="0" collapsed="false">
      <c r="B13" s="1" t="s">
        <v>10</v>
      </c>
      <c r="C13" s="13" t="s">
        <v>11</v>
      </c>
    </row>
    <row r="14" customFormat="false" ht="12.75" hidden="false" customHeight="false" outlineLevel="0" collapsed="false">
      <c r="B14" s="1" t="s">
        <v>12</v>
      </c>
      <c r="C14" s="13" t="s">
        <v>13</v>
      </c>
    </row>
    <row r="15" customFormat="false" ht="12.75" hidden="false" customHeight="false" outlineLevel="0" collapsed="false">
      <c r="B15" s="1" t="s">
        <v>14</v>
      </c>
      <c r="C15" s="13" t="s">
        <v>15</v>
      </c>
    </row>
    <row r="16" customFormat="false" ht="12.75" hidden="false" customHeight="false" outlineLevel="0" collapsed="false">
      <c r="B16" s="1" t="s">
        <v>16</v>
      </c>
      <c r="C16" s="13" t="s">
        <v>17</v>
      </c>
    </row>
    <row r="17" customFormat="false" ht="12.75" hidden="false" customHeight="false" outlineLevel="0" collapsed="false">
      <c r="B17" s="1" t="s">
        <v>18</v>
      </c>
      <c r="C17" s="13" t="s">
        <v>17</v>
      </c>
    </row>
    <row r="18" customFormat="false" ht="12.75" hidden="false" customHeight="false" outlineLevel="0" collapsed="false">
      <c r="B18" s="1" t="s">
        <v>19</v>
      </c>
      <c r="C18" s="13" t="s">
        <v>20</v>
      </c>
    </row>
    <row r="19" customFormat="false" ht="12.75" hidden="false" customHeight="false" outlineLevel="0" collapsed="false">
      <c r="B19" s="1" t="s">
        <v>21</v>
      </c>
      <c r="C19" s="13" t="s">
        <v>22</v>
      </c>
    </row>
    <row r="20" customFormat="false" ht="12.75" hidden="false" customHeight="false" outlineLevel="0" collapsed="false">
      <c r="B20" s="1" t="s">
        <v>23</v>
      </c>
      <c r="C20" s="13" t="s">
        <v>24</v>
      </c>
    </row>
    <row r="21" customFormat="false" ht="12.75" hidden="false" customHeight="false" outlineLevel="0" collapsed="false">
      <c r="B21" s="1" t="s">
        <v>25</v>
      </c>
      <c r="C21" s="13" t="s">
        <v>26</v>
      </c>
    </row>
    <row r="22" customFormat="false" ht="12.75" hidden="false" customHeight="false" outlineLevel="0" collapsed="false">
      <c r="B22" s="1" t="s">
        <v>27</v>
      </c>
      <c r="C22" s="13" t="s">
        <v>28</v>
      </c>
    </row>
    <row r="23" customFormat="false" ht="12.75" hidden="false" customHeight="false" outlineLevel="0" collapsed="false">
      <c r="B23" s="1" t="s">
        <v>29</v>
      </c>
      <c r="C23" s="13" t="s">
        <v>30</v>
      </c>
    </row>
    <row r="24" customFormat="false" ht="12.75" hidden="false" customHeight="false" outlineLevel="0" collapsed="false">
      <c r="B24" s="1" t="s">
        <v>31</v>
      </c>
      <c r="C24" s="13" t="s">
        <v>32</v>
      </c>
    </row>
    <row r="25" customFormat="false" ht="12.75" hidden="false" customHeight="false" outlineLevel="0" collapsed="false">
      <c r="B25" s="1" t="s">
        <v>33</v>
      </c>
      <c r="C25" s="13" t="s">
        <v>34</v>
      </c>
    </row>
    <row r="26" customFormat="false" ht="12.75" hidden="false" customHeight="false" outlineLevel="0" collapsed="false">
      <c r="B26" s="1" t="s">
        <v>35</v>
      </c>
      <c r="C26" s="13" t="s">
        <v>36</v>
      </c>
    </row>
    <row r="27" customFormat="false" ht="12.75" hidden="false" customHeight="false" outlineLevel="0" collapsed="false">
      <c r="B27" s="1" t="s">
        <v>37</v>
      </c>
      <c r="C27" s="13" t="s">
        <v>38</v>
      </c>
    </row>
    <row r="29" customFormat="false" ht="12.75" hidden="false" customHeight="false" outlineLevel="0" collapsed="false">
      <c r="B29" s="1" t="s">
        <v>39</v>
      </c>
      <c r="C29" s="13"/>
    </row>
    <row r="30" customFormat="false" ht="12.75" hidden="false" customHeight="false" outlineLevel="0" collapsed="false">
      <c r="B30" s="1" t="s">
        <v>40</v>
      </c>
      <c r="C30" s="13"/>
    </row>
    <row r="31" customFormat="false" ht="12.75" hidden="false" customHeight="false" outlineLevel="0" collapsed="false">
      <c r="B31" s="1" t="s">
        <v>41</v>
      </c>
      <c r="C31" s="13"/>
    </row>
    <row r="32" customFormat="false" ht="12.75" hidden="false" customHeight="false" outlineLevel="0" collapsed="false">
      <c r="B32" s="1" t="s">
        <v>42</v>
      </c>
      <c r="C32" s="13"/>
    </row>
    <row r="33" customFormat="false" ht="12.75" hidden="false" customHeight="false" outlineLevel="0" collapsed="false">
      <c r="B33" s="1" t="s">
        <v>43</v>
      </c>
    </row>
    <row r="34" customFormat="false" ht="12.75" hidden="false" customHeight="false" outlineLevel="0" collapsed="false">
      <c r="B34" s="1" t="s">
        <v>44</v>
      </c>
    </row>
    <row r="35" customFormat="false" ht="12.75" hidden="false" customHeight="false" outlineLevel="0" collapsed="false">
      <c r="B35" s="1" t="s">
        <v>45</v>
      </c>
      <c r="C35" s="13"/>
    </row>
  </sheetData>
  <mergeCells count="5">
    <mergeCell ref="B2:C2"/>
    <mergeCell ref="B3:C3"/>
    <mergeCell ref="B4:C4"/>
    <mergeCell ref="B6:C6"/>
    <mergeCell ref="B8:C8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Directory: dev_fin\cemat\newexcel(model date)
Filename: &amp;F
Tabname: &amp;A&amp;R&amp;"Arial,Italic"Date: &amp;D
Time: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46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D42" activeCellId="0" sqref="D4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8" width="8.7"/>
    <col collapsed="false" customWidth="true" hidden="false" outlineLevel="0" max="2" min="2" style="38" width="35.7"/>
    <col collapsed="false" customWidth="true" hidden="false" outlineLevel="0" max="3" min="3" style="38" width="10.99"/>
    <col collapsed="false" customWidth="true" hidden="false" outlineLevel="0" max="4" min="4" style="38" width="9.7"/>
    <col collapsed="false" customWidth="true" hidden="false" outlineLevel="0" max="5" min="5" style="38" width="6.99"/>
    <col collapsed="false" customWidth="true" hidden="false" outlineLevel="0" max="11" min="6" style="38" width="10.56"/>
    <col collapsed="false" customWidth="true" hidden="false" outlineLevel="0" max="12" min="12" style="38" width="9.56"/>
    <col collapsed="false" customWidth="true" hidden="false" outlineLevel="0" max="27" min="13" style="38" width="9.7"/>
    <col collapsed="false" customWidth="true" hidden="false" outlineLevel="0" max="29" min="28" style="38" width="10.71"/>
    <col collapsed="false" customWidth="false" hidden="false" outlineLevel="0" max="30" min="30" style="38" width="9.14"/>
    <col collapsed="false" customWidth="false" hidden="false" outlineLevel="0" max="257" min="31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943</v>
      </c>
      <c r="B4" s="632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8"/>
      <c r="AB5" s="388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878</v>
      </c>
      <c r="B6" s="28"/>
      <c r="C6" s="28"/>
      <c r="D6" s="28"/>
      <c r="E6" s="28" t="n">
        <f aca="false">IF(E$7&lt;YEAR(Startops1),0,D6+1)</f>
        <v>0</v>
      </c>
      <c r="F6" s="28" t="n">
        <f aca="false">IF(F$7&lt;YEAR(Startops1),0,E6+1)</f>
        <v>0</v>
      </c>
      <c r="G6" s="28" t="n">
        <f aca="false">IF(G$7&lt;YEAR(Startops1),0,F6+1)</f>
        <v>1</v>
      </c>
      <c r="H6" s="28" t="n">
        <f aca="false">IF(H$7&lt;YEAR(Startops1),0,G6+1)</f>
        <v>2</v>
      </c>
      <c r="I6" s="28" t="n">
        <f aca="false">IF(I$7&lt;YEAR(Startops1),0,H6+1)</f>
        <v>3</v>
      </c>
      <c r="J6" s="28" t="n">
        <f aca="false">IF(J$7&lt;YEAR(Startops1),0,I6+1)</f>
        <v>4</v>
      </c>
      <c r="K6" s="28" t="n">
        <f aca="false">IF(K$7&lt;YEAR(Startops1),0,J6+1)</f>
        <v>5</v>
      </c>
      <c r="L6" s="28" t="n">
        <f aca="false">IF(L$7&lt;YEAR(Startops1),0,K6+1)</f>
        <v>6</v>
      </c>
      <c r="M6" s="28" t="n">
        <f aca="false">IF(M$7&lt;YEAR(Startops1),0,L6+1)</f>
        <v>7</v>
      </c>
      <c r="N6" s="28" t="n">
        <f aca="false">IF(N$7&lt;YEAR(Startops1),0,M6+1)</f>
        <v>8</v>
      </c>
      <c r="O6" s="28" t="n">
        <f aca="false">IF(O$7&lt;YEAR(Startops1),0,N6+1)</f>
        <v>9</v>
      </c>
      <c r="P6" s="28" t="n">
        <f aca="false">IF(P$7&lt;YEAR(Startops1),0,O6+1)</f>
        <v>10</v>
      </c>
      <c r="Q6" s="28" t="n">
        <f aca="false">IF(Q$7&lt;YEAR(Startops1),0,P6+1)</f>
        <v>11</v>
      </c>
      <c r="R6" s="28" t="n">
        <f aca="false">IF(R$7&lt;YEAR(Startops1),0,Q6+1)</f>
        <v>12</v>
      </c>
      <c r="S6" s="28" t="n">
        <f aca="false">IF(S$7&lt;YEAR(Startops1),0,R6+1)</f>
        <v>13</v>
      </c>
      <c r="T6" s="28" t="n">
        <f aca="false">IF(T$7&lt;YEAR(Startops1),0,S6+1)</f>
        <v>14</v>
      </c>
      <c r="U6" s="28" t="n">
        <f aca="false">IF(U$7&lt;YEAR(Startops1),0,T6+1)</f>
        <v>15</v>
      </c>
      <c r="V6" s="28" t="n">
        <f aca="false">IF(V$7&lt;YEAR(Startops1),0,U6+1)</f>
        <v>16</v>
      </c>
      <c r="W6" s="28" t="n">
        <f aca="false">IF(W$7&lt;YEAR(Startops1),0,V6+1)</f>
        <v>17</v>
      </c>
      <c r="X6" s="28" t="n">
        <f aca="false">IF(X$7&lt;YEAR(Startops1),0,W6+1)</f>
        <v>18</v>
      </c>
      <c r="Y6" s="28" t="n">
        <f aca="false">IF(Y$7&lt;YEAR(Startops1),0,X6+1)</f>
        <v>19</v>
      </c>
      <c r="Z6" s="28" t="n">
        <f aca="false">IF(Z$7&lt;YEAR(Startops1),0,Y6+1)</f>
        <v>20</v>
      </c>
      <c r="AA6" s="28" t="n">
        <f aca="false">IF(AA$7&lt;YEAR(Startops1),0,Z6+1)</f>
        <v>21</v>
      </c>
      <c r="AB6" s="539"/>
      <c r="AC6" s="633" t="s">
        <v>310</v>
      </c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634" t="s">
        <v>765</v>
      </c>
      <c r="B7" s="71"/>
      <c r="C7" s="71"/>
      <c r="D7" s="71"/>
      <c r="E7" s="372" t="n">
        <f aca="false">'Project &amp; Investor Returns'!E7</f>
        <v>1997</v>
      </c>
      <c r="F7" s="372" t="n">
        <f aca="false">'Project &amp; Investor Returns'!F7</f>
        <v>1998</v>
      </c>
      <c r="G7" s="372" t="n">
        <f aca="false">'Project &amp; Investor Returns'!G7</f>
        <v>1999</v>
      </c>
      <c r="H7" s="372" t="n">
        <f aca="false">'Project &amp; Investor Returns'!H7</f>
        <v>2000</v>
      </c>
      <c r="I7" s="372" t="n">
        <f aca="false">'Project &amp; Investor Returns'!I7</f>
        <v>2001</v>
      </c>
      <c r="J7" s="372" t="n">
        <f aca="false">'Project &amp; Investor Returns'!J7</f>
        <v>2002</v>
      </c>
      <c r="K7" s="372" t="n">
        <f aca="false">'Project &amp; Investor Returns'!K7</f>
        <v>2003</v>
      </c>
      <c r="L7" s="372" t="n">
        <f aca="false">'Project &amp; Investor Returns'!L7</f>
        <v>2004</v>
      </c>
      <c r="M7" s="372" t="n">
        <f aca="false">'Project &amp; Investor Returns'!M7</f>
        <v>2005</v>
      </c>
      <c r="N7" s="372" t="n">
        <f aca="false">'Project &amp; Investor Returns'!N7</f>
        <v>2006</v>
      </c>
      <c r="O7" s="372" t="n">
        <f aca="false">'Project &amp; Investor Returns'!O7</f>
        <v>2007</v>
      </c>
      <c r="P7" s="372" t="n">
        <f aca="false">'Project &amp; Investor Returns'!P7</f>
        <v>2008</v>
      </c>
      <c r="Q7" s="372" t="n">
        <f aca="false">'Project &amp; Investor Returns'!Q7</f>
        <v>2009</v>
      </c>
      <c r="R7" s="372" t="n">
        <f aca="false">'Project &amp; Investor Returns'!R7</f>
        <v>2010</v>
      </c>
      <c r="S7" s="372" t="n">
        <f aca="false">'Project &amp; Investor Returns'!S7</f>
        <v>2011</v>
      </c>
      <c r="T7" s="372" t="n">
        <f aca="false">'Project &amp; Investor Returns'!T7</f>
        <v>2012</v>
      </c>
      <c r="U7" s="372" t="n">
        <f aca="false">'Project &amp; Investor Returns'!U7</f>
        <v>2013</v>
      </c>
      <c r="V7" s="372" t="n">
        <f aca="false">'Project &amp; Investor Returns'!V7</f>
        <v>2014</v>
      </c>
      <c r="W7" s="372" t="n">
        <f aca="false">'Project &amp; Investor Returns'!W7</f>
        <v>2015</v>
      </c>
      <c r="X7" s="372" t="n">
        <f aca="false">'Project &amp; Investor Returns'!X7</f>
        <v>2016</v>
      </c>
      <c r="Y7" s="372" t="n">
        <f aca="false">'Project &amp; Investor Returns'!Y7</f>
        <v>2017</v>
      </c>
      <c r="Z7" s="372" t="n">
        <f aca="false">'Project &amp; Investor Returns'!Z7</f>
        <v>2018</v>
      </c>
      <c r="AA7" s="372" t="n">
        <f aca="false">'Project &amp; Investor Returns'!AA7</f>
        <v>2019</v>
      </c>
      <c r="AB7" s="544" t="s">
        <v>766</v>
      </c>
      <c r="AC7" s="544" t="s">
        <v>879</v>
      </c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23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539"/>
      <c r="AC8" s="539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</row>
    <row r="9" customFormat="false" ht="12.75" hidden="false" customHeight="false" outlineLevel="0" collapsed="false">
      <c r="A9" s="733" t="s">
        <v>944</v>
      </c>
      <c r="D9" s="62"/>
      <c r="AB9" s="555"/>
      <c r="AC9" s="557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737" t="n">
        <v>1</v>
      </c>
      <c r="B10" s="38" t="s">
        <v>317</v>
      </c>
      <c r="C10" s="189" t="n">
        <f aca="false">-F10</f>
        <v>92793.5702049191</v>
      </c>
      <c r="E10" s="217" t="n">
        <f aca="false">'Project &amp; Investor Returns'!E13*$A$10</f>
        <v>-0</v>
      </c>
      <c r="F10" s="217" t="n">
        <f aca="false">'Project &amp; Investor Returns'!F13*$A$10</f>
        <v>-92793.5702049191</v>
      </c>
      <c r="G10" s="217" t="n">
        <f aca="false">'Project &amp; Investor Returns'!G13*$A$10</f>
        <v>0</v>
      </c>
      <c r="H10" s="645" t="n">
        <f aca="false">-C10</f>
        <v>-92793.5702049191</v>
      </c>
      <c r="I10" s="217" t="n">
        <f aca="false">'Project &amp; Investor Returns'!I13*$A$10</f>
        <v>0</v>
      </c>
      <c r="J10" s="217" t="n">
        <f aca="false">'Project &amp; Investor Returns'!J13*$A$10</f>
        <v>0</v>
      </c>
      <c r="K10" s="217" t="n">
        <f aca="false">'Project &amp; Investor Returns'!K13*$A$10</f>
        <v>0</v>
      </c>
      <c r="L10" s="217" t="n">
        <f aca="false">'Project &amp; Investor Returns'!L13*$A$10</f>
        <v>0</v>
      </c>
      <c r="M10" s="217" t="n">
        <f aca="false">'Project &amp; Investor Returns'!M13*$A$10</f>
        <v>0</v>
      </c>
      <c r="N10" s="217" t="n">
        <f aca="false">'Project &amp; Investor Returns'!N13*$A$10</f>
        <v>0</v>
      </c>
      <c r="O10" s="217" t="n">
        <f aca="false">'Project &amp; Investor Returns'!O13*$A$10</f>
        <v>0</v>
      </c>
      <c r="P10" s="217" t="n">
        <f aca="false">'Project &amp; Investor Returns'!P13*$A$10</f>
        <v>0</v>
      </c>
      <c r="Q10" s="217" t="n">
        <f aca="false">'Project &amp; Investor Returns'!Q13*$A$10</f>
        <v>0</v>
      </c>
      <c r="R10" s="217" t="n">
        <f aca="false">'Project &amp; Investor Returns'!R13*$A$10</f>
        <v>0</v>
      </c>
      <c r="S10" s="217" t="n">
        <f aca="false">'Project &amp; Investor Returns'!S13*$A$10</f>
        <v>0</v>
      </c>
      <c r="T10" s="217" t="n">
        <f aca="false">'Project &amp; Investor Returns'!T13*$A$10</f>
        <v>0</v>
      </c>
      <c r="U10" s="217" t="n">
        <f aca="false">'Project &amp; Investor Returns'!U13*$A$10</f>
        <v>0</v>
      </c>
      <c r="V10" s="217" t="n">
        <f aca="false">'Project &amp; Investor Returns'!V13*$A$10</f>
        <v>0</v>
      </c>
      <c r="W10" s="217" t="n">
        <f aca="false">'Project &amp; Investor Returns'!W13*$A$10</f>
        <v>0</v>
      </c>
      <c r="X10" s="217" t="n">
        <f aca="false">'Project &amp; Investor Returns'!X13*$A$10</f>
        <v>0</v>
      </c>
      <c r="Y10" s="217" t="n">
        <f aca="false">'Project &amp; Investor Returns'!Y13*$A$10</f>
        <v>0</v>
      </c>
      <c r="Z10" s="217" t="n">
        <f aca="false">'Project &amp; Investor Returns'!Z13*$A$10</f>
        <v>0</v>
      </c>
      <c r="AA10" s="217" t="n">
        <f aca="false">'Project &amp; Investor Returns'!AA13*$A$10</f>
        <v>0</v>
      </c>
      <c r="AB10" s="574" t="n">
        <f aca="false">SUM(E10:AA10)</f>
        <v>-185587.140409838</v>
      </c>
      <c r="AC10" s="641" t="n">
        <f aca="false">IF('Project &amp; Investor Returns'!$I$3=0,F10+NPV(Disc,G10:AA10),E10+NPV(Disc,F10:AA10))</f>
        <v>-158321.124900858</v>
      </c>
    </row>
    <row r="11" customFormat="false" ht="12.75" hidden="false" customHeight="false" outlineLevel="0" collapsed="false">
      <c r="A11" s="659" t="n">
        <f aca="false">A10</f>
        <v>1</v>
      </c>
      <c r="B11" s="38" t="s">
        <v>883</v>
      </c>
      <c r="E11" s="217" t="n">
        <f aca="false">'Project &amp; Investor Returns'!E14*$A$11</f>
        <v>0</v>
      </c>
      <c r="F11" s="217" t="n">
        <f aca="false">'Project &amp; Investor Returns'!F14*$A$11</f>
        <v>0</v>
      </c>
      <c r="G11" s="217" t="n">
        <f aca="false">'Project &amp; Investor Returns'!G14*$A$11</f>
        <v>0</v>
      </c>
      <c r="H11" s="217" t="n">
        <f aca="false">'Project &amp; Investor Returns'!H14*$A$11</f>
        <v>0</v>
      </c>
      <c r="I11" s="217" t="n">
        <f aca="false">'Project &amp; Investor Returns'!I14*$A$11</f>
        <v>0</v>
      </c>
      <c r="J11" s="217" t="n">
        <f aca="false">'Project &amp; Investor Returns'!J14*$A$11</f>
        <v>0</v>
      </c>
      <c r="K11" s="217" t="n">
        <f aca="false">'Project &amp; Investor Returns'!K14*$A$11</f>
        <v>0</v>
      </c>
      <c r="L11" s="217" t="n">
        <f aca="false">'Project &amp; Investor Returns'!L14*$A$11</f>
        <v>0</v>
      </c>
      <c r="M11" s="217" t="n">
        <f aca="false">'Project &amp; Investor Returns'!M14*$A$11</f>
        <v>0</v>
      </c>
      <c r="N11" s="217" t="n">
        <f aca="false">'Project &amp; Investor Returns'!N14*$A$11</f>
        <v>0</v>
      </c>
      <c r="O11" s="217" t="n">
        <f aca="false">'Project &amp; Investor Returns'!O14*$A$11</f>
        <v>2297.05887236159</v>
      </c>
      <c r="P11" s="217" t="n">
        <f aca="false">'Project &amp; Investor Returns'!P14*$A$11</f>
        <v>5944.79635653065</v>
      </c>
      <c r="Q11" s="217" t="n">
        <f aca="false">'Project &amp; Investor Returns'!Q14*$A$11</f>
        <v>6215.41206820371</v>
      </c>
      <c r="R11" s="217" t="n">
        <f aca="false">'Project &amp; Investor Returns'!R14*$A$11</f>
        <v>7153.91447033936</v>
      </c>
      <c r="S11" s="217" t="n">
        <f aca="false">'Project &amp; Investor Returns'!S14*$A$11</f>
        <v>7772.62295499896</v>
      </c>
      <c r="T11" s="217" t="n">
        <f aca="false">'Project &amp; Investor Returns'!T14*$A$11</f>
        <v>5510.88806783188</v>
      </c>
      <c r="U11" s="217" t="n">
        <f aca="false">'Project &amp; Investor Returns'!U14*$A$11</f>
        <v>7093.26246476228</v>
      </c>
      <c r="V11" s="217" t="n">
        <f aca="false">'Project &amp; Investor Returns'!V14*$A$11</f>
        <v>2410.50492318655</v>
      </c>
      <c r="W11" s="217" t="n">
        <f aca="false">'Project &amp; Investor Returns'!W14*$A$11</f>
        <v>0</v>
      </c>
      <c r="X11" s="217" t="n">
        <f aca="false">'Project &amp; Investor Returns'!X14*$A$11</f>
        <v>0</v>
      </c>
      <c r="Y11" s="217" t="n">
        <f aca="false">'Project &amp; Investor Returns'!Y14*$A$11</f>
        <v>0</v>
      </c>
      <c r="Z11" s="217" t="n">
        <f aca="false">'Project &amp; Investor Returns'!Z14*$A$11</f>
        <v>0</v>
      </c>
      <c r="AA11" s="217" t="n">
        <f aca="false">'Project &amp; Investor Returns'!AA14*$A$11</f>
        <v>44618.2852720911</v>
      </c>
      <c r="AB11" s="574" t="n">
        <f aca="false">SUM(E11:AA11)</f>
        <v>89016.7454503061</v>
      </c>
      <c r="AC11" s="641" t="n">
        <f aca="false">IF('Project &amp; Investor Returns'!$I$3=0,F11+NPV(Disc,G11:AA11),E11+NPV(Disc,F11:AA11))</f>
        <v>6447.95164942976</v>
      </c>
    </row>
    <row r="12" customFormat="false" ht="12.75" hidden="false" customHeight="false" outlineLevel="0" collapsed="false">
      <c r="A12" s="659"/>
      <c r="B12" s="38" t="s">
        <v>894</v>
      </c>
      <c r="E12" s="217" t="n">
        <f aca="false">'Project &amp; Investor Returns'!E15*$A$11</f>
        <v>0</v>
      </c>
      <c r="F12" s="217" t="n">
        <f aca="false">'Project &amp; Investor Returns'!F15*$A$11</f>
        <v>0</v>
      </c>
      <c r="G12" s="217" t="n">
        <f aca="false">'Project &amp; Investor Returns'!G15*$A$11</f>
        <v>-1978.50807527969</v>
      </c>
      <c r="H12" s="217" t="n">
        <f aca="false">'Project &amp; Investor Returns'!H15*$A$11</f>
        <v>3358.33879983726</v>
      </c>
      <c r="I12" s="217" t="n">
        <f aca="false">'Project &amp; Investor Returns'!I15*$A$11</f>
        <v>15292.0993027562</v>
      </c>
      <c r="J12" s="217" t="n">
        <f aca="false">'Project &amp; Investor Returns'!J15*$A$11</f>
        <v>1764.3222505153</v>
      </c>
      <c r="K12" s="217" t="n">
        <f aca="false">'Project &amp; Investor Returns'!K15*$A$11</f>
        <v>4601.47099777068</v>
      </c>
      <c r="L12" s="217" t="n">
        <f aca="false">'Project &amp; Investor Returns'!L15*$A$11</f>
        <v>-7557.49672423914</v>
      </c>
      <c r="M12" s="217" t="n">
        <f aca="false">'Project &amp; Investor Returns'!M15*$A$11</f>
        <v>6357.2775341353</v>
      </c>
      <c r="N12" s="217" t="n">
        <f aca="false">'Project &amp; Investor Returns'!N15*$A$11</f>
        <v>6443.35428585609</v>
      </c>
      <c r="O12" s="217" t="n">
        <f aca="false">'Project &amp; Investor Returns'!O15*$A$11</f>
        <v>1798.90879566763</v>
      </c>
      <c r="P12" s="217" t="n">
        <f aca="false">'Project &amp; Investor Returns'!P15*$A$11</f>
        <v>-2518.81668588427</v>
      </c>
      <c r="Q12" s="217" t="n">
        <f aca="false">'Project &amp; Investor Returns'!Q15*$A$11</f>
        <v>-1145.38220441602</v>
      </c>
      <c r="R12" s="217" t="n">
        <f aca="false">'Project &amp; Investor Returns'!R15*$A$11</f>
        <v>-2296.24387477943</v>
      </c>
      <c r="S12" s="217" t="n">
        <f aca="false">'Project &amp; Investor Returns'!S15*$A$11</f>
        <v>-7513.89740534845</v>
      </c>
      <c r="T12" s="217" t="n">
        <f aca="false">'Project &amp; Investor Returns'!T15*$A$11</f>
        <v>-5218.33366649822</v>
      </c>
      <c r="U12" s="217" t="n">
        <f aca="false">'Project &amp; Investor Returns'!U15*$A$11</f>
        <v>7218.72588250839</v>
      </c>
      <c r="V12" s="217" t="n">
        <f aca="false">'Project &amp; Investor Returns'!V15*$A$11</f>
        <v>3399.26341716396</v>
      </c>
      <c r="W12" s="217" t="n">
        <f aca="false">'Project &amp; Investor Returns'!W15*$A$11</f>
        <v>-1989.41297351263</v>
      </c>
      <c r="X12" s="217" t="n">
        <f aca="false">'Project &amp; Investor Returns'!X15*$A$11</f>
        <v>6085.65046383107</v>
      </c>
      <c r="Y12" s="217" t="n">
        <f aca="false">'Project &amp; Investor Returns'!Y15*$A$11</f>
        <v>4689.91363850864</v>
      </c>
      <c r="Z12" s="217" t="n">
        <f aca="false">'Project &amp; Investor Returns'!Z15*$A$11</f>
        <v>6224.60529260744</v>
      </c>
      <c r="AA12" s="217" t="n">
        <f aca="false">'Project &amp; Investor Returns'!AA15*$A$11</f>
        <v>-37015.8390512002</v>
      </c>
      <c r="AB12" s="574" t="n">
        <f aca="false">SUM(E12:AA12)</f>
        <v>0</v>
      </c>
      <c r="AC12" s="641" t="n">
        <f aca="false">IF('Project &amp; Investor Returns'!$I$3=0,F12+NPV(Disc,G12:AA12),E12+NPV(Disc,F12:AA12))</f>
        <v>11962.2651611417</v>
      </c>
    </row>
    <row r="13" customFormat="false" ht="12.75" hidden="false" customHeight="false" outlineLevel="0" collapsed="false">
      <c r="A13" s="734"/>
      <c r="B13" s="38" t="s">
        <v>895</v>
      </c>
      <c r="D13" s="263" t="s">
        <v>341</v>
      </c>
      <c r="E13" s="217" t="n">
        <f aca="false">-Trapped!E40*'Project &amp; Investor Returns'!E$10*$A$11</f>
        <v>-0</v>
      </c>
      <c r="F13" s="217" t="n">
        <f aca="false">-Trapped!F40*'Project &amp; Investor Returns'!F$10*$A$11</f>
        <v>-0</v>
      </c>
      <c r="G13" s="217" t="n">
        <f aca="false">-Trapped!G40*'Project &amp; Investor Returns'!G$10*$A$11</f>
        <v>-0</v>
      </c>
      <c r="H13" s="217" t="n">
        <f aca="false">-Trapped!H40*'Project &amp; Investor Returns'!H$10*$A$11</f>
        <v>-0</v>
      </c>
      <c r="I13" s="217" t="n">
        <f aca="false">-Trapped!I40*'Project &amp; Investor Returns'!I$10*$A$11</f>
        <v>-82.7898434734539</v>
      </c>
      <c r="J13" s="217" t="n">
        <f aca="false">-Trapped!J40*'Project &amp; Investor Returns'!J$10*$A$11</f>
        <v>-1000.31580163883</v>
      </c>
      <c r="K13" s="217" t="n">
        <f aca="false">-Trapped!K40*'Project &amp; Investor Returns'!K$10*$A$11</f>
        <v>-1106.17513666975</v>
      </c>
      <c r="L13" s="217" t="n">
        <f aca="false">-Trapped!L40*'Project &amp; Investor Returns'!L$10*$A$11</f>
        <v>-1382.26339653599</v>
      </c>
      <c r="M13" s="217" t="n">
        <f aca="false">-Trapped!M40*'Project &amp; Investor Returns'!M$10*$A$11</f>
        <v>-1382.26339653599</v>
      </c>
      <c r="N13" s="217" t="n">
        <f aca="false">-Trapped!N40*'Project &amp; Investor Returns'!N$10*$A$11</f>
        <v>-1310.25024512976</v>
      </c>
      <c r="O13" s="217" t="n">
        <f aca="false">-Trapped!O40*'Project &amp; Investor Returns'!O$10*$A$11</f>
        <v>-1696.85150228112</v>
      </c>
      <c r="P13" s="217" t="n">
        <f aca="false">-Trapped!P40*'Project &amp; Investor Returns'!P$10*$A$11</f>
        <v>-1804.78603002118</v>
      </c>
      <c r="Q13" s="217" t="n">
        <f aca="false">-Trapped!Q40*'Project &amp; Investor Returns'!Q$10*$A$11</f>
        <v>-1804.78603002118</v>
      </c>
      <c r="R13" s="217" t="n">
        <f aca="false">-Trapped!R40*'Project &amp; Investor Returns'!R$10*$A$11</f>
        <v>-1653.65702886812</v>
      </c>
      <c r="S13" s="217" t="n">
        <f aca="false">-Trapped!S40*'Project &amp; Investor Returns'!S$10*$A$11</f>
        <v>-1584.93409660316</v>
      </c>
      <c r="T13" s="217" t="n">
        <f aca="false">-Trapped!T40*'Project &amp; Investor Returns'!T$10*$A$11</f>
        <v>-1447.1594641164</v>
      </c>
      <c r="U13" s="217" t="n">
        <f aca="false">-Trapped!U40*'Project &amp; Investor Returns'!U$10*$A$11</f>
        <v>-996.32561979549</v>
      </c>
      <c r="V13" s="217" t="n">
        <f aca="false">-Trapped!V40*'Project &amp; Investor Returns'!V$10*$A$11</f>
        <v>-1116.3491527561</v>
      </c>
      <c r="W13" s="217" t="n">
        <f aca="false">-Trapped!W40*'Project &amp; Investor Returns'!W$10*$A$11</f>
        <v>-1320.30495778594</v>
      </c>
      <c r="X13" s="217" t="n">
        <f aca="false">-Trapped!X40*'Project &amp; Investor Returns'!X$10*$A$11</f>
        <v>-1320.30495778594</v>
      </c>
      <c r="Y13" s="217" t="n">
        <f aca="false">-Trapped!Y40*'Project &amp; Investor Returns'!Y$10*$A$11</f>
        <v>-1566.07920720504</v>
      </c>
      <c r="Z13" s="217" t="n">
        <f aca="false">-Trapped!Z40*'Project &amp; Investor Returns'!Z$10*$A$11</f>
        <v>-1847.47402551556</v>
      </c>
      <c r="AA13" s="217" t="n">
        <f aca="false">-Trapped!AA40*'Project &amp; Investor Returns'!AA$10*$A$11</f>
        <v>-2220.95034307201</v>
      </c>
      <c r="AB13" s="574" t="n">
        <f aca="false">SUM(E13:AA13)</f>
        <v>-26644.020235811</v>
      </c>
      <c r="AC13" s="641" t="n">
        <f aca="false">IF('Project &amp; Investor Returns'!$I$3=0,F13+NPV(Disc,G13:AA13),E13+NPV(Disc,F13:AA13))</f>
        <v>-4108.48110739104</v>
      </c>
      <c r="AE13" s="414"/>
      <c r="AF13" s="414"/>
      <c r="AG13" s="667"/>
      <c r="AH13" s="414"/>
      <c r="AI13" s="414"/>
      <c r="AJ13" s="414"/>
      <c r="AK13" s="414"/>
      <c r="AL13" s="414"/>
      <c r="AM13" s="414"/>
      <c r="AN13" s="414"/>
      <c r="AO13" s="414"/>
      <c r="AP13" s="414"/>
      <c r="AQ13" s="414"/>
      <c r="AR13" s="414"/>
      <c r="AS13" s="414"/>
      <c r="AT13" s="414"/>
      <c r="AU13" s="414"/>
      <c r="AV13" s="414"/>
      <c r="AW13" s="414"/>
      <c r="AX13" s="414"/>
      <c r="AY13" s="414"/>
      <c r="AZ13" s="414"/>
      <c r="BA13" s="414"/>
      <c r="BB13" s="414"/>
      <c r="BC13" s="414"/>
      <c r="BD13" s="414"/>
      <c r="BE13" s="414"/>
      <c r="BF13" s="414"/>
      <c r="BG13" s="414"/>
      <c r="BH13" s="414"/>
      <c r="BI13" s="414"/>
      <c r="BJ13" s="414"/>
      <c r="BK13" s="414"/>
      <c r="BL13" s="414"/>
      <c r="BM13" s="414"/>
      <c r="BN13" s="414"/>
      <c r="BO13" s="414"/>
      <c r="BP13" s="414"/>
      <c r="BQ13" s="414"/>
      <c r="BR13" s="414"/>
      <c r="BS13" s="414"/>
      <c r="BT13" s="414"/>
      <c r="BU13" s="414"/>
      <c r="BV13" s="414"/>
      <c r="BW13" s="414"/>
      <c r="BX13" s="414"/>
      <c r="BY13" s="414"/>
      <c r="BZ13" s="414"/>
      <c r="CA13" s="414"/>
      <c r="CB13" s="414"/>
      <c r="CC13" s="414"/>
      <c r="CD13" s="414"/>
      <c r="CE13" s="414"/>
      <c r="CF13" s="414"/>
      <c r="CG13" s="414"/>
      <c r="CH13" s="414"/>
      <c r="CI13" s="414"/>
      <c r="CJ13" s="414"/>
      <c r="CK13" s="414"/>
      <c r="CL13" s="414"/>
      <c r="CM13" s="414"/>
      <c r="CN13" s="414"/>
      <c r="CO13" s="414"/>
      <c r="CP13" s="414"/>
      <c r="CQ13" s="414"/>
      <c r="CR13" s="414"/>
      <c r="CS13" s="414"/>
      <c r="CT13" s="414"/>
      <c r="CU13" s="414"/>
      <c r="CV13" s="414"/>
      <c r="CW13" s="414"/>
      <c r="CX13" s="414"/>
      <c r="CY13" s="414"/>
      <c r="CZ13" s="414"/>
      <c r="DA13" s="414"/>
      <c r="DB13" s="414"/>
      <c r="DC13" s="414"/>
      <c r="DD13" s="414"/>
      <c r="DE13" s="414"/>
      <c r="DF13" s="414"/>
      <c r="DG13" s="414"/>
      <c r="DH13" s="414"/>
      <c r="DI13" s="414"/>
      <c r="DJ13" s="414"/>
      <c r="DK13" s="414"/>
      <c r="DL13" s="414"/>
      <c r="DM13" s="414"/>
      <c r="DN13" s="414"/>
      <c r="DO13" s="414"/>
      <c r="DP13" s="414"/>
      <c r="DQ13" s="414"/>
      <c r="DR13" s="414"/>
      <c r="DS13" s="414"/>
      <c r="DT13" s="414"/>
      <c r="DU13" s="414"/>
      <c r="DV13" s="414"/>
      <c r="DW13" s="414"/>
      <c r="DX13" s="414"/>
      <c r="DY13" s="414"/>
      <c r="DZ13" s="414"/>
      <c r="EA13" s="414"/>
      <c r="EB13" s="414"/>
      <c r="EC13" s="414"/>
      <c r="ED13" s="414"/>
      <c r="EE13" s="414"/>
      <c r="EF13" s="414"/>
      <c r="EG13" s="414"/>
      <c r="EH13" s="414"/>
      <c r="EI13" s="414"/>
      <c r="EJ13" s="414"/>
      <c r="EK13" s="414"/>
      <c r="EL13" s="414"/>
      <c r="EM13" s="414"/>
      <c r="EN13" s="414"/>
      <c r="EO13" s="414"/>
      <c r="EP13" s="414"/>
      <c r="EQ13" s="414"/>
      <c r="ER13" s="414"/>
      <c r="ES13" s="414"/>
      <c r="ET13" s="414"/>
      <c r="EU13" s="414"/>
      <c r="EV13" s="414"/>
      <c r="EW13" s="414"/>
      <c r="EX13" s="414"/>
      <c r="EY13" s="414"/>
      <c r="EZ13" s="414"/>
      <c r="FA13" s="414"/>
      <c r="FB13" s="414"/>
      <c r="FC13" s="414"/>
      <c r="FD13" s="414"/>
      <c r="FE13" s="414"/>
      <c r="FF13" s="414"/>
      <c r="FG13" s="414"/>
      <c r="FH13" s="414"/>
      <c r="FI13" s="414"/>
      <c r="FJ13" s="414"/>
      <c r="FK13" s="414"/>
      <c r="FL13" s="414"/>
      <c r="FM13" s="414"/>
      <c r="FN13" s="414"/>
      <c r="FO13" s="414"/>
      <c r="FP13" s="414"/>
      <c r="FQ13" s="414"/>
      <c r="FR13" s="414"/>
      <c r="FS13" s="414"/>
      <c r="FT13" s="414"/>
      <c r="FU13" s="414"/>
      <c r="FV13" s="414"/>
      <c r="FW13" s="414"/>
      <c r="FX13" s="414"/>
      <c r="FY13" s="414"/>
      <c r="FZ13" s="414"/>
      <c r="GA13" s="414"/>
      <c r="GB13" s="414"/>
      <c r="GC13" s="414"/>
      <c r="GD13" s="414"/>
      <c r="GE13" s="414"/>
      <c r="GF13" s="414"/>
      <c r="GG13" s="414"/>
      <c r="GH13" s="414"/>
      <c r="GI13" s="414"/>
      <c r="GJ13" s="414"/>
      <c r="GK13" s="414"/>
      <c r="GL13" s="414"/>
      <c r="GM13" s="414"/>
      <c r="GN13" s="414"/>
      <c r="GO13" s="414"/>
      <c r="GP13" s="414"/>
      <c r="GQ13" s="414"/>
      <c r="GR13" s="414"/>
      <c r="GS13" s="414"/>
      <c r="GT13" s="414"/>
      <c r="GU13" s="414"/>
      <c r="GV13" s="414"/>
      <c r="GW13" s="414"/>
      <c r="GX13" s="414"/>
      <c r="GY13" s="414"/>
      <c r="GZ13" s="414"/>
      <c r="HA13" s="414"/>
      <c r="HB13" s="414"/>
      <c r="HC13" s="414"/>
      <c r="HD13" s="414"/>
      <c r="HE13" s="414"/>
      <c r="HF13" s="414"/>
      <c r="HG13" s="414"/>
      <c r="HH13" s="414"/>
      <c r="HI13" s="414"/>
      <c r="HJ13" s="414"/>
      <c r="HK13" s="414"/>
      <c r="HL13" s="414"/>
      <c r="HM13" s="414"/>
      <c r="HN13" s="414"/>
      <c r="HO13" s="414"/>
      <c r="HP13" s="414"/>
      <c r="HQ13" s="414"/>
      <c r="HR13" s="414"/>
      <c r="HS13" s="414"/>
      <c r="HT13" s="414"/>
      <c r="HU13" s="414"/>
      <c r="HV13" s="414"/>
      <c r="HW13" s="414"/>
      <c r="HX13" s="414"/>
      <c r="HY13" s="414"/>
      <c r="HZ13" s="414"/>
      <c r="IA13" s="414"/>
      <c r="IB13" s="414"/>
      <c r="IC13" s="414"/>
      <c r="ID13" s="414"/>
      <c r="IE13" s="414"/>
      <c r="IF13" s="414"/>
      <c r="IG13" s="414"/>
      <c r="IH13" s="414"/>
      <c r="II13" s="414"/>
      <c r="IJ13" s="414"/>
      <c r="IK13" s="414"/>
      <c r="IL13" s="414"/>
      <c r="IM13" s="414"/>
      <c r="IN13" s="414"/>
      <c r="IO13" s="414"/>
      <c r="IP13" s="414"/>
      <c r="IQ13" s="414"/>
      <c r="IR13" s="414"/>
      <c r="IS13" s="414"/>
      <c r="IT13" s="414"/>
      <c r="IU13" s="414"/>
      <c r="IV13" s="414"/>
      <c r="IW13" s="414"/>
    </row>
    <row r="14" customFormat="false" ht="12.75" hidden="false" customHeight="false" outlineLevel="0" collapsed="false">
      <c r="A14" s="734"/>
      <c r="B14" s="38" t="s">
        <v>885</v>
      </c>
      <c r="E14" s="217" t="n">
        <f aca="false">'Project &amp; Investor Returns'!E16*$A$11</f>
        <v>0</v>
      </c>
      <c r="F14" s="217" t="n">
        <f aca="false">'Project &amp; Investor Returns'!F16*$A$11</f>
        <v>0</v>
      </c>
      <c r="G14" s="217" t="n">
        <f aca="false">'Project &amp; Investor Returns'!G16*$A$11</f>
        <v>0</v>
      </c>
      <c r="H14" s="217" t="n">
        <f aca="false">'Project &amp; Investor Returns'!H16*$A$11</f>
        <v>0</v>
      </c>
      <c r="I14" s="217" t="n">
        <f aca="false">'Project &amp; Investor Returns'!I16*$A$11</f>
        <v>0</v>
      </c>
      <c r="J14" s="217" t="n">
        <f aca="false">'Project &amp; Investor Returns'!J16*$A$11</f>
        <v>0</v>
      </c>
      <c r="K14" s="217" t="n">
        <f aca="false">'Project &amp; Investor Returns'!K16*$A$11</f>
        <v>2042.89183669435</v>
      </c>
      <c r="L14" s="217" t="n">
        <f aca="false">'Project &amp; Investor Returns'!L16*$A$11</f>
        <v>0</v>
      </c>
      <c r="M14" s="217" t="n">
        <f aca="false">'Project &amp; Investor Returns'!M16*$A$11</f>
        <v>7865.571578684</v>
      </c>
      <c r="N14" s="217" t="n">
        <f aca="false">'Project &amp; Investor Returns'!N16*$A$11</f>
        <v>8917.34191599675</v>
      </c>
      <c r="O14" s="217" t="n">
        <f aca="false">'Project &amp; Investor Returns'!O16*$A$11</f>
        <v>8656.03734334056</v>
      </c>
      <c r="P14" s="217" t="n">
        <f aca="false">'Project &amp; Investor Returns'!P16*$A$11</f>
        <v>7717.72673158535</v>
      </c>
      <c r="Q14" s="217" t="n">
        <f aca="false">'Project &amp; Investor Returns'!Q16*$A$11</f>
        <v>8069.96215435123</v>
      </c>
      <c r="R14" s="217" t="n">
        <f aca="false">'Project &amp; Investor Returns'!R16*$A$11</f>
        <v>9279.35702049191</v>
      </c>
      <c r="S14" s="217" t="n">
        <f aca="false">'Project &amp; Investor Returns'!S16*$A$11</f>
        <v>9279.35702049191</v>
      </c>
      <c r="T14" s="217" t="n">
        <f aca="false">'Project &amp; Investor Returns'!T16*$A$11</f>
        <v>7154.66177092837</v>
      </c>
      <c r="U14" s="217" t="n">
        <f aca="false">'Project &amp; Investor Returns'!U16*$A$11</f>
        <v>9279.35702049191</v>
      </c>
      <c r="V14" s="217" t="n">
        <f aca="false">'Project &amp; Investor Returns'!V16*$A$11</f>
        <v>3584.93109373236</v>
      </c>
      <c r="W14" s="217" t="n">
        <f aca="false">'Project &amp; Investor Returns'!W16*$A$11</f>
        <v>0</v>
      </c>
      <c r="X14" s="217" t="n">
        <f aca="false">'Project &amp; Investor Returns'!X16*$A$11</f>
        <v>0</v>
      </c>
      <c r="Y14" s="217" t="n">
        <f aca="false">'Project &amp; Investor Returns'!Y16*$A$11</f>
        <v>0</v>
      </c>
      <c r="Z14" s="217" t="n">
        <f aca="false">'Project &amp; Investor Returns'!Z16*$A$11</f>
        <v>0</v>
      </c>
      <c r="AA14" s="217" t="n">
        <f aca="false">'Project &amp; Investor Returns'!AA16*$A$11</f>
        <v>0</v>
      </c>
      <c r="AB14" s="574" t="n">
        <f aca="false">SUM(E14:AA14)</f>
        <v>81847.1954867887</v>
      </c>
      <c r="AC14" s="641" t="n">
        <f aca="false">IF('Project &amp; Investor Returns'!$I$3=0,F14+NPV(Disc,G14:AA14),E14+NPV(Disc,F14:AA14))</f>
        <v>13404.7011999259</v>
      </c>
      <c r="AE14" s="414"/>
      <c r="AF14" s="414"/>
      <c r="AG14" s="667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4"/>
      <c r="AS14" s="414"/>
      <c r="AT14" s="414"/>
      <c r="AU14" s="414"/>
      <c r="AV14" s="414"/>
      <c r="AW14" s="414"/>
      <c r="AX14" s="414"/>
      <c r="AY14" s="414"/>
      <c r="AZ14" s="414"/>
      <c r="BA14" s="414"/>
      <c r="BB14" s="414"/>
      <c r="BC14" s="414"/>
      <c r="BD14" s="414"/>
      <c r="BE14" s="414"/>
      <c r="BF14" s="414"/>
      <c r="BG14" s="414"/>
      <c r="BH14" s="414"/>
      <c r="BI14" s="414"/>
      <c r="BJ14" s="414"/>
      <c r="BK14" s="414"/>
      <c r="BL14" s="414"/>
      <c r="BM14" s="414"/>
      <c r="BN14" s="414"/>
      <c r="BO14" s="414"/>
      <c r="BP14" s="414"/>
      <c r="BQ14" s="414"/>
      <c r="BR14" s="414"/>
      <c r="BS14" s="414"/>
      <c r="BT14" s="414"/>
      <c r="BU14" s="414"/>
      <c r="BV14" s="414"/>
      <c r="BW14" s="414"/>
      <c r="BX14" s="414"/>
      <c r="BY14" s="414"/>
      <c r="BZ14" s="414"/>
      <c r="CA14" s="414"/>
      <c r="CB14" s="414"/>
      <c r="CC14" s="414"/>
      <c r="CD14" s="414"/>
      <c r="CE14" s="414"/>
      <c r="CF14" s="414"/>
      <c r="CG14" s="414"/>
      <c r="CH14" s="414"/>
      <c r="CI14" s="414"/>
      <c r="CJ14" s="414"/>
      <c r="CK14" s="414"/>
      <c r="CL14" s="414"/>
      <c r="CM14" s="414"/>
      <c r="CN14" s="414"/>
      <c r="CO14" s="414"/>
      <c r="CP14" s="414"/>
      <c r="CQ14" s="414"/>
      <c r="CR14" s="414"/>
      <c r="CS14" s="414"/>
      <c r="CT14" s="414"/>
      <c r="CU14" s="414"/>
      <c r="CV14" s="414"/>
      <c r="CW14" s="414"/>
      <c r="CX14" s="414"/>
      <c r="CY14" s="414"/>
      <c r="CZ14" s="414"/>
      <c r="DA14" s="414"/>
      <c r="DB14" s="414"/>
      <c r="DC14" s="414"/>
      <c r="DD14" s="414"/>
      <c r="DE14" s="414"/>
      <c r="DF14" s="414"/>
      <c r="DG14" s="414"/>
      <c r="DH14" s="414"/>
      <c r="DI14" s="414"/>
      <c r="DJ14" s="414"/>
      <c r="DK14" s="414"/>
      <c r="DL14" s="414"/>
      <c r="DM14" s="414"/>
      <c r="DN14" s="414"/>
      <c r="DO14" s="414"/>
      <c r="DP14" s="414"/>
      <c r="DQ14" s="414"/>
      <c r="DR14" s="414"/>
      <c r="DS14" s="414"/>
      <c r="DT14" s="414"/>
      <c r="DU14" s="414"/>
      <c r="DV14" s="414"/>
      <c r="DW14" s="414"/>
      <c r="DX14" s="414"/>
      <c r="DY14" s="414"/>
      <c r="DZ14" s="414"/>
      <c r="EA14" s="414"/>
      <c r="EB14" s="414"/>
      <c r="EC14" s="414"/>
      <c r="ED14" s="414"/>
      <c r="EE14" s="414"/>
      <c r="EF14" s="414"/>
      <c r="EG14" s="414"/>
      <c r="EH14" s="414"/>
      <c r="EI14" s="414"/>
      <c r="EJ14" s="414"/>
      <c r="EK14" s="414"/>
      <c r="EL14" s="414"/>
      <c r="EM14" s="414"/>
      <c r="EN14" s="414"/>
      <c r="EO14" s="414"/>
      <c r="EP14" s="414"/>
      <c r="EQ14" s="414"/>
      <c r="ER14" s="414"/>
      <c r="ES14" s="414"/>
      <c r="ET14" s="414"/>
      <c r="EU14" s="414"/>
      <c r="EV14" s="414"/>
      <c r="EW14" s="414"/>
      <c r="EX14" s="414"/>
      <c r="EY14" s="414"/>
      <c r="EZ14" s="414"/>
      <c r="FA14" s="414"/>
      <c r="FB14" s="414"/>
      <c r="FC14" s="414"/>
      <c r="FD14" s="414"/>
      <c r="FE14" s="414"/>
      <c r="FF14" s="414"/>
      <c r="FG14" s="414"/>
      <c r="FH14" s="414"/>
      <c r="FI14" s="414"/>
      <c r="FJ14" s="414"/>
      <c r="FK14" s="414"/>
      <c r="FL14" s="414"/>
      <c r="FM14" s="414"/>
      <c r="FN14" s="414"/>
      <c r="FO14" s="414"/>
      <c r="FP14" s="414"/>
      <c r="FQ14" s="414"/>
      <c r="FR14" s="414"/>
      <c r="FS14" s="414"/>
      <c r="FT14" s="414"/>
      <c r="FU14" s="414"/>
      <c r="FV14" s="414"/>
      <c r="FW14" s="414"/>
      <c r="FX14" s="414"/>
      <c r="FY14" s="414"/>
      <c r="FZ14" s="414"/>
      <c r="GA14" s="414"/>
      <c r="GB14" s="414"/>
      <c r="GC14" s="414"/>
      <c r="GD14" s="414"/>
      <c r="GE14" s="414"/>
      <c r="GF14" s="414"/>
      <c r="GG14" s="414"/>
      <c r="GH14" s="414"/>
      <c r="GI14" s="414"/>
      <c r="GJ14" s="414"/>
      <c r="GK14" s="414"/>
      <c r="GL14" s="414"/>
      <c r="GM14" s="414"/>
      <c r="GN14" s="414"/>
      <c r="GO14" s="414"/>
      <c r="GP14" s="414"/>
      <c r="GQ14" s="414"/>
      <c r="GR14" s="414"/>
      <c r="GS14" s="414"/>
      <c r="GT14" s="414"/>
      <c r="GU14" s="414"/>
      <c r="GV14" s="414"/>
      <c r="GW14" s="414"/>
      <c r="GX14" s="414"/>
      <c r="GY14" s="414"/>
      <c r="GZ14" s="414"/>
      <c r="HA14" s="414"/>
      <c r="HB14" s="414"/>
      <c r="HC14" s="414"/>
      <c r="HD14" s="414"/>
      <c r="HE14" s="414"/>
      <c r="HF14" s="414"/>
      <c r="HG14" s="414"/>
      <c r="HH14" s="414"/>
      <c r="HI14" s="414"/>
      <c r="HJ14" s="414"/>
      <c r="HK14" s="414"/>
      <c r="HL14" s="414"/>
      <c r="HM14" s="414"/>
      <c r="HN14" s="414"/>
      <c r="HO14" s="414"/>
      <c r="HP14" s="414"/>
      <c r="HQ14" s="414"/>
      <c r="HR14" s="414"/>
      <c r="HS14" s="414"/>
      <c r="HT14" s="414"/>
      <c r="HU14" s="414"/>
      <c r="HV14" s="414"/>
      <c r="HW14" s="414"/>
      <c r="HX14" s="414"/>
      <c r="HY14" s="414"/>
      <c r="HZ14" s="414"/>
      <c r="IA14" s="414"/>
      <c r="IB14" s="414"/>
      <c r="IC14" s="414"/>
      <c r="ID14" s="414"/>
      <c r="IE14" s="414"/>
      <c r="IF14" s="414"/>
      <c r="IG14" s="414"/>
      <c r="IH14" s="414"/>
      <c r="II14" s="414"/>
      <c r="IJ14" s="414"/>
      <c r="IK14" s="414"/>
      <c r="IL14" s="414"/>
      <c r="IM14" s="414"/>
      <c r="IN14" s="414"/>
      <c r="IO14" s="414"/>
      <c r="IP14" s="414"/>
      <c r="IQ14" s="414"/>
      <c r="IR14" s="414"/>
      <c r="IS14" s="414"/>
      <c r="IT14" s="414"/>
      <c r="IU14" s="414"/>
      <c r="IV14" s="414"/>
      <c r="IW14" s="414"/>
    </row>
    <row r="15" customFormat="false" ht="12.75" hidden="false" customHeight="false" outlineLevel="0" collapsed="false">
      <c r="A15" s="734"/>
      <c r="B15" s="38" t="s">
        <v>896</v>
      </c>
      <c r="C15" s="529" t="n">
        <f aca="false">Wh_Int*0</f>
        <v>0</v>
      </c>
      <c r="E15" s="217" t="n">
        <f aca="false">-E14*$C15</f>
        <v>-0</v>
      </c>
      <c r="F15" s="217" t="n">
        <f aca="false">-F14*$C15</f>
        <v>-0</v>
      </c>
      <c r="G15" s="217" t="n">
        <f aca="false">-G14*$C15</f>
        <v>-0</v>
      </c>
      <c r="H15" s="217" t="n">
        <f aca="false">-H14*$C15</f>
        <v>-0</v>
      </c>
      <c r="I15" s="217" t="n">
        <f aca="false">-I14*$C15</f>
        <v>-0</v>
      </c>
      <c r="J15" s="217" t="n">
        <f aca="false">-J14*$C15</f>
        <v>-0</v>
      </c>
      <c r="K15" s="217" t="n">
        <f aca="false">-K14*$C15</f>
        <v>-0</v>
      </c>
      <c r="L15" s="217" t="n">
        <f aca="false">-L14*$C15</f>
        <v>-0</v>
      </c>
      <c r="M15" s="217" t="n">
        <f aca="false">-M14*$C15</f>
        <v>-0</v>
      </c>
      <c r="N15" s="217" t="n">
        <f aca="false">-N14*$C15</f>
        <v>-0</v>
      </c>
      <c r="O15" s="217" t="n">
        <f aca="false">-O14*$C15</f>
        <v>-0</v>
      </c>
      <c r="P15" s="217" t="n">
        <f aca="false">-P14*$C15</f>
        <v>-0</v>
      </c>
      <c r="Q15" s="217" t="n">
        <f aca="false">-Q14*$C15</f>
        <v>-0</v>
      </c>
      <c r="R15" s="217" t="n">
        <f aca="false">-R14*$C15</f>
        <v>-0</v>
      </c>
      <c r="S15" s="217" t="n">
        <f aca="false">-S14*$C15</f>
        <v>-0</v>
      </c>
      <c r="T15" s="217" t="n">
        <f aca="false">-T14*$C15</f>
        <v>-0</v>
      </c>
      <c r="U15" s="217" t="n">
        <f aca="false">-U14*$C15</f>
        <v>-0</v>
      </c>
      <c r="V15" s="217" t="n">
        <f aca="false">-V14*$C15</f>
        <v>-0</v>
      </c>
      <c r="W15" s="217" t="n">
        <f aca="false">-W14*$C15</f>
        <v>-0</v>
      </c>
      <c r="X15" s="217" t="n">
        <f aca="false">-X14*$C15</f>
        <v>-0</v>
      </c>
      <c r="Y15" s="217" t="n">
        <f aca="false">-Y14*$C15</f>
        <v>-0</v>
      </c>
      <c r="Z15" s="217" t="n">
        <f aca="false">-Z14*$C15</f>
        <v>-0</v>
      </c>
      <c r="AA15" s="217" t="n">
        <f aca="false">-AA14*$C15</f>
        <v>-0</v>
      </c>
      <c r="AB15" s="574" t="n">
        <f aca="false">SUM(E15:AA15)</f>
        <v>0</v>
      </c>
      <c r="AC15" s="641" t="n">
        <f aca="false">IF('Project &amp; Investor Returns'!$I$3=0,F15+NPV(Disc,G15:AA15),E15+NPV(Disc,F15:AA15))</f>
        <v>0</v>
      </c>
      <c r="AE15" s="414"/>
      <c r="AF15" s="414"/>
      <c r="AG15" s="667"/>
      <c r="AH15" s="414"/>
      <c r="AI15" s="414"/>
      <c r="AJ15" s="414"/>
      <c r="AK15" s="414"/>
      <c r="AL15" s="414"/>
      <c r="AM15" s="414"/>
      <c r="AN15" s="414"/>
      <c r="AO15" s="414"/>
      <c r="AP15" s="414"/>
      <c r="AQ15" s="414"/>
      <c r="AR15" s="414"/>
      <c r="AS15" s="414"/>
      <c r="AT15" s="414"/>
      <c r="AU15" s="414"/>
      <c r="AV15" s="414"/>
      <c r="AW15" s="414"/>
      <c r="AX15" s="414"/>
      <c r="AY15" s="414"/>
      <c r="AZ15" s="414"/>
      <c r="BA15" s="414"/>
      <c r="BB15" s="414"/>
      <c r="BC15" s="414"/>
      <c r="BD15" s="414"/>
      <c r="BE15" s="414"/>
      <c r="BF15" s="414"/>
      <c r="BG15" s="414"/>
      <c r="BH15" s="414"/>
      <c r="BI15" s="414"/>
      <c r="BJ15" s="414"/>
      <c r="BK15" s="414"/>
      <c r="BL15" s="414"/>
      <c r="BM15" s="414"/>
      <c r="BN15" s="414"/>
      <c r="BO15" s="414"/>
      <c r="BP15" s="414"/>
      <c r="BQ15" s="414"/>
      <c r="BR15" s="414"/>
      <c r="BS15" s="414"/>
      <c r="BT15" s="414"/>
      <c r="BU15" s="414"/>
      <c r="BV15" s="414"/>
      <c r="BW15" s="414"/>
      <c r="BX15" s="414"/>
      <c r="BY15" s="414"/>
      <c r="BZ15" s="414"/>
      <c r="CA15" s="414"/>
      <c r="CB15" s="414"/>
      <c r="CC15" s="414"/>
      <c r="CD15" s="414"/>
      <c r="CE15" s="414"/>
      <c r="CF15" s="414"/>
      <c r="CG15" s="414"/>
      <c r="CH15" s="414"/>
      <c r="CI15" s="414"/>
      <c r="CJ15" s="414"/>
      <c r="CK15" s="414"/>
      <c r="CL15" s="414"/>
      <c r="CM15" s="414"/>
      <c r="CN15" s="414"/>
      <c r="CO15" s="414"/>
      <c r="CP15" s="414"/>
      <c r="CQ15" s="414"/>
      <c r="CR15" s="414"/>
      <c r="CS15" s="414"/>
      <c r="CT15" s="414"/>
      <c r="CU15" s="414"/>
      <c r="CV15" s="414"/>
      <c r="CW15" s="414"/>
      <c r="CX15" s="414"/>
      <c r="CY15" s="414"/>
      <c r="CZ15" s="414"/>
      <c r="DA15" s="414"/>
      <c r="DB15" s="414"/>
      <c r="DC15" s="414"/>
      <c r="DD15" s="414"/>
      <c r="DE15" s="414"/>
      <c r="DF15" s="414"/>
      <c r="DG15" s="414"/>
      <c r="DH15" s="414"/>
      <c r="DI15" s="414"/>
      <c r="DJ15" s="414"/>
      <c r="DK15" s="414"/>
      <c r="DL15" s="414"/>
      <c r="DM15" s="414"/>
      <c r="DN15" s="414"/>
      <c r="DO15" s="414"/>
      <c r="DP15" s="414"/>
      <c r="DQ15" s="414"/>
      <c r="DR15" s="414"/>
      <c r="DS15" s="414"/>
      <c r="DT15" s="414"/>
      <c r="DU15" s="414"/>
      <c r="DV15" s="414"/>
      <c r="DW15" s="414"/>
      <c r="DX15" s="414"/>
      <c r="DY15" s="414"/>
      <c r="DZ15" s="414"/>
      <c r="EA15" s="414"/>
      <c r="EB15" s="414"/>
      <c r="EC15" s="414"/>
      <c r="ED15" s="414"/>
      <c r="EE15" s="414"/>
      <c r="EF15" s="414"/>
      <c r="EG15" s="414"/>
      <c r="EH15" s="414"/>
      <c r="EI15" s="414"/>
      <c r="EJ15" s="414"/>
      <c r="EK15" s="414"/>
      <c r="EL15" s="414"/>
      <c r="EM15" s="414"/>
      <c r="EN15" s="414"/>
      <c r="EO15" s="414"/>
      <c r="EP15" s="414"/>
      <c r="EQ15" s="414"/>
      <c r="ER15" s="414"/>
      <c r="ES15" s="414"/>
      <c r="ET15" s="414"/>
      <c r="EU15" s="414"/>
      <c r="EV15" s="414"/>
      <c r="EW15" s="414"/>
      <c r="EX15" s="414"/>
      <c r="EY15" s="414"/>
      <c r="EZ15" s="414"/>
      <c r="FA15" s="414"/>
      <c r="FB15" s="414"/>
      <c r="FC15" s="414"/>
      <c r="FD15" s="414"/>
      <c r="FE15" s="414"/>
      <c r="FF15" s="414"/>
      <c r="FG15" s="414"/>
      <c r="FH15" s="414"/>
      <c r="FI15" s="414"/>
      <c r="FJ15" s="414"/>
      <c r="FK15" s="414"/>
      <c r="FL15" s="414"/>
      <c r="FM15" s="414"/>
      <c r="FN15" s="414"/>
      <c r="FO15" s="414"/>
      <c r="FP15" s="414"/>
      <c r="FQ15" s="414"/>
      <c r="FR15" s="414"/>
      <c r="FS15" s="414"/>
      <c r="FT15" s="414"/>
      <c r="FU15" s="414"/>
      <c r="FV15" s="414"/>
      <c r="FW15" s="414"/>
      <c r="FX15" s="414"/>
      <c r="FY15" s="414"/>
      <c r="FZ15" s="414"/>
      <c r="GA15" s="414"/>
      <c r="GB15" s="414"/>
      <c r="GC15" s="414"/>
      <c r="GD15" s="414"/>
      <c r="GE15" s="414"/>
      <c r="GF15" s="414"/>
      <c r="GG15" s="414"/>
      <c r="GH15" s="414"/>
      <c r="GI15" s="414"/>
      <c r="GJ15" s="414"/>
      <c r="GK15" s="414"/>
      <c r="GL15" s="414"/>
      <c r="GM15" s="414"/>
      <c r="GN15" s="414"/>
      <c r="GO15" s="414"/>
      <c r="GP15" s="414"/>
      <c r="GQ15" s="414"/>
      <c r="GR15" s="414"/>
      <c r="GS15" s="414"/>
      <c r="GT15" s="414"/>
      <c r="GU15" s="414"/>
      <c r="GV15" s="414"/>
      <c r="GW15" s="414"/>
      <c r="GX15" s="414"/>
      <c r="GY15" s="414"/>
      <c r="GZ15" s="414"/>
      <c r="HA15" s="414"/>
      <c r="HB15" s="414"/>
      <c r="HC15" s="414"/>
      <c r="HD15" s="414"/>
      <c r="HE15" s="414"/>
      <c r="HF15" s="414"/>
      <c r="HG15" s="414"/>
      <c r="HH15" s="414"/>
      <c r="HI15" s="414"/>
      <c r="HJ15" s="414"/>
      <c r="HK15" s="414"/>
      <c r="HL15" s="414"/>
      <c r="HM15" s="414"/>
      <c r="HN15" s="414"/>
      <c r="HO15" s="414"/>
      <c r="HP15" s="414"/>
      <c r="HQ15" s="414"/>
      <c r="HR15" s="414"/>
      <c r="HS15" s="414"/>
      <c r="HT15" s="414"/>
      <c r="HU15" s="414"/>
      <c r="HV15" s="414"/>
      <c r="HW15" s="414"/>
      <c r="HX15" s="414"/>
      <c r="HY15" s="414"/>
      <c r="HZ15" s="414"/>
      <c r="IA15" s="414"/>
      <c r="IB15" s="414"/>
      <c r="IC15" s="414"/>
      <c r="ID15" s="414"/>
      <c r="IE15" s="414"/>
      <c r="IF15" s="414"/>
      <c r="IG15" s="414"/>
      <c r="IH15" s="414"/>
      <c r="II15" s="414"/>
      <c r="IJ15" s="414"/>
      <c r="IK15" s="414"/>
      <c r="IL15" s="414"/>
      <c r="IM15" s="414"/>
      <c r="IN15" s="414"/>
      <c r="IO15" s="414"/>
      <c r="IP15" s="414"/>
      <c r="IQ15" s="414"/>
      <c r="IR15" s="414"/>
      <c r="IS15" s="414"/>
      <c r="IT15" s="414"/>
      <c r="IU15" s="414"/>
      <c r="IV15" s="414"/>
      <c r="IW15" s="414"/>
    </row>
    <row r="16" customFormat="false" ht="12.75" hidden="false" customHeight="false" outlineLevel="0" collapsed="false">
      <c r="A16" s="734"/>
      <c r="B16" s="38" t="s">
        <v>897</v>
      </c>
      <c r="C16" s="529" t="n">
        <f aca="false">USTax*0</f>
        <v>0</v>
      </c>
      <c r="E16" s="220" t="n">
        <f aca="false">-SUM(E13)*C16</f>
        <v>-0</v>
      </c>
      <c r="F16" s="220" t="n">
        <f aca="false">-SUM(F13)*D16</f>
        <v>-0</v>
      </c>
      <c r="G16" s="220" t="n">
        <f aca="false">-SUM(G13)*E16</f>
        <v>0</v>
      </c>
      <c r="H16" s="220" t="n">
        <f aca="false">-SUM(H13)*F16</f>
        <v>0</v>
      </c>
      <c r="I16" s="220" t="n">
        <f aca="false">-SUM(I13)*G16</f>
        <v>0</v>
      </c>
      <c r="J16" s="220" t="n">
        <f aca="false">-SUM(J13)*H16</f>
        <v>0</v>
      </c>
      <c r="K16" s="220" t="n">
        <f aca="false">-SUM(K13)*I16</f>
        <v>0</v>
      </c>
      <c r="L16" s="220" t="n">
        <f aca="false">-SUM(L13)*J16</f>
        <v>0</v>
      </c>
      <c r="M16" s="220" t="n">
        <f aca="false">-SUM(M13)*K16</f>
        <v>0</v>
      </c>
      <c r="N16" s="220" t="n">
        <f aca="false">-SUM(N13)*L16</f>
        <v>0</v>
      </c>
      <c r="O16" s="220" t="n">
        <f aca="false">-SUM(O13)*M16</f>
        <v>0</v>
      </c>
      <c r="P16" s="220" t="n">
        <f aca="false">-SUM(P13)*N16</f>
        <v>0</v>
      </c>
      <c r="Q16" s="220" t="n">
        <f aca="false">-SUM(Q13)*O16</f>
        <v>0</v>
      </c>
      <c r="R16" s="220" t="n">
        <f aca="false">-SUM(R13)*P16</f>
        <v>0</v>
      </c>
      <c r="S16" s="220" t="n">
        <f aca="false">-SUM(S13)*Q16</f>
        <v>0</v>
      </c>
      <c r="T16" s="220" t="n">
        <f aca="false">-SUM(T13)*R16</f>
        <v>0</v>
      </c>
      <c r="U16" s="220" t="n">
        <f aca="false">-SUM(U13)*S16</f>
        <v>0</v>
      </c>
      <c r="V16" s="220" t="n">
        <f aca="false">-SUM(V13)*T16</f>
        <v>0</v>
      </c>
      <c r="W16" s="220" t="n">
        <f aca="false">-SUM(W13)*U16</f>
        <v>0</v>
      </c>
      <c r="X16" s="220" t="n">
        <f aca="false">-SUM(X13)*V16</f>
        <v>0</v>
      </c>
      <c r="Y16" s="220" t="n">
        <f aca="false">-SUM(Y13)*W16</f>
        <v>0</v>
      </c>
      <c r="Z16" s="220" t="n">
        <f aca="false">-SUM(Z13)*X16</f>
        <v>0</v>
      </c>
      <c r="AA16" s="220" t="n">
        <f aca="false">-SUM(AA13)*Y16</f>
        <v>0</v>
      </c>
      <c r="AB16" s="576" t="n">
        <f aca="false">SUM(E16:AA16)</f>
        <v>0</v>
      </c>
      <c r="AC16" s="643" t="n">
        <f aca="false">IF('Project &amp; Investor Returns'!$I$3=0,F16+NPV(Disc,G16:AA16),E16+NPV(Disc,F16:AA16))</f>
        <v>0</v>
      </c>
      <c r="AE16" s="414"/>
      <c r="AF16" s="414"/>
      <c r="AG16" s="667"/>
      <c r="AH16" s="414"/>
      <c r="AI16" s="414"/>
      <c r="AJ16" s="414"/>
      <c r="AK16" s="414"/>
      <c r="AL16" s="414"/>
      <c r="AM16" s="414"/>
      <c r="AN16" s="414"/>
      <c r="AO16" s="414"/>
      <c r="AP16" s="414"/>
      <c r="AQ16" s="414"/>
      <c r="AR16" s="414"/>
      <c r="AS16" s="414"/>
      <c r="AT16" s="414"/>
      <c r="AU16" s="414"/>
      <c r="AV16" s="414"/>
      <c r="AW16" s="414"/>
      <c r="AX16" s="414"/>
      <c r="AY16" s="414"/>
      <c r="AZ16" s="414"/>
      <c r="BA16" s="414"/>
      <c r="BB16" s="414"/>
      <c r="BC16" s="414"/>
      <c r="BD16" s="414"/>
      <c r="BE16" s="414"/>
      <c r="BF16" s="414"/>
      <c r="BG16" s="414"/>
      <c r="BH16" s="414"/>
      <c r="BI16" s="414"/>
      <c r="BJ16" s="414"/>
      <c r="BK16" s="414"/>
      <c r="BL16" s="414"/>
      <c r="BM16" s="414"/>
      <c r="BN16" s="414"/>
      <c r="BO16" s="414"/>
      <c r="BP16" s="414"/>
      <c r="BQ16" s="414"/>
      <c r="BR16" s="414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  <c r="CH16" s="414"/>
      <c r="CI16" s="414"/>
      <c r="CJ16" s="414"/>
      <c r="CK16" s="414"/>
      <c r="CL16" s="414"/>
      <c r="CM16" s="414"/>
      <c r="CN16" s="414"/>
      <c r="CO16" s="414"/>
      <c r="CP16" s="414"/>
      <c r="CQ16" s="414"/>
      <c r="CR16" s="414"/>
      <c r="CS16" s="414"/>
      <c r="CT16" s="414"/>
      <c r="CU16" s="414"/>
      <c r="CV16" s="414"/>
      <c r="CW16" s="414"/>
      <c r="CX16" s="414"/>
      <c r="CY16" s="414"/>
      <c r="CZ16" s="414"/>
      <c r="DA16" s="414"/>
      <c r="DB16" s="414"/>
      <c r="DC16" s="414"/>
      <c r="DD16" s="414"/>
      <c r="DE16" s="414"/>
      <c r="DF16" s="414"/>
      <c r="DG16" s="414"/>
      <c r="DH16" s="414"/>
      <c r="DI16" s="414"/>
      <c r="DJ16" s="414"/>
      <c r="DK16" s="414"/>
      <c r="DL16" s="414"/>
      <c r="DM16" s="414"/>
      <c r="DN16" s="414"/>
      <c r="DO16" s="414"/>
      <c r="DP16" s="414"/>
      <c r="DQ16" s="414"/>
      <c r="DR16" s="414"/>
      <c r="DS16" s="414"/>
      <c r="DT16" s="414"/>
      <c r="DU16" s="414"/>
      <c r="DV16" s="414"/>
      <c r="DW16" s="414"/>
      <c r="DX16" s="414"/>
      <c r="DY16" s="414"/>
      <c r="DZ16" s="414"/>
      <c r="EA16" s="414"/>
      <c r="EB16" s="414"/>
      <c r="EC16" s="414"/>
      <c r="ED16" s="414"/>
      <c r="EE16" s="414"/>
      <c r="EF16" s="414"/>
      <c r="EG16" s="414"/>
      <c r="EH16" s="414"/>
      <c r="EI16" s="414"/>
      <c r="EJ16" s="414"/>
      <c r="EK16" s="414"/>
      <c r="EL16" s="414"/>
      <c r="EM16" s="414"/>
      <c r="EN16" s="414"/>
      <c r="EO16" s="414"/>
      <c r="EP16" s="414"/>
      <c r="EQ16" s="414"/>
      <c r="ER16" s="414"/>
      <c r="ES16" s="414"/>
      <c r="ET16" s="414"/>
      <c r="EU16" s="414"/>
      <c r="EV16" s="414"/>
      <c r="EW16" s="414"/>
      <c r="EX16" s="414"/>
      <c r="EY16" s="414"/>
      <c r="EZ16" s="414"/>
      <c r="FA16" s="414"/>
      <c r="FB16" s="414"/>
      <c r="FC16" s="414"/>
      <c r="FD16" s="414"/>
      <c r="FE16" s="414"/>
      <c r="FF16" s="414"/>
      <c r="FG16" s="414"/>
      <c r="FH16" s="414"/>
      <c r="FI16" s="414"/>
      <c r="FJ16" s="414"/>
      <c r="FK16" s="414"/>
      <c r="FL16" s="414"/>
      <c r="FM16" s="414"/>
      <c r="FN16" s="414"/>
      <c r="FO16" s="414"/>
      <c r="FP16" s="414"/>
      <c r="FQ16" s="414"/>
      <c r="FR16" s="414"/>
      <c r="FS16" s="414"/>
      <c r="FT16" s="414"/>
      <c r="FU16" s="414"/>
      <c r="FV16" s="414"/>
      <c r="FW16" s="414"/>
      <c r="FX16" s="414"/>
      <c r="FY16" s="414"/>
      <c r="FZ16" s="414"/>
      <c r="GA16" s="414"/>
      <c r="GB16" s="414"/>
      <c r="GC16" s="414"/>
      <c r="GD16" s="414"/>
      <c r="GE16" s="414"/>
      <c r="GF16" s="414"/>
      <c r="GG16" s="414"/>
      <c r="GH16" s="414"/>
      <c r="GI16" s="414"/>
      <c r="GJ16" s="414"/>
      <c r="GK16" s="414"/>
      <c r="GL16" s="414"/>
      <c r="GM16" s="414"/>
      <c r="GN16" s="414"/>
      <c r="GO16" s="414"/>
      <c r="GP16" s="414"/>
      <c r="GQ16" s="414"/>
      <c r="GR16" s="414"/>
      <c r="GS16" s="414"/>
      <c r="GT16" s="414"/>
      <c r="GU16" s="414"/>
      <c r="GV16" s="414"/>
      <c r="GW16" s="414"/>
      <c r="GX16" s="414"/>
      <c r="GY16" s="414"/>
      <c r="GZ16" s="414"/>
      <c r="HA16" s="414"/>
      <c r="HB16" s="414"/>
      <c r="HC16" s="414"/>
      <c r="HD16" s="414"/>
      <c r="HE16" s="414"/>
      <c r="HF16" s="414"/>
      <c r="HG16" s="414"/>
      <c r="HH16" s="414"/>
      <c r="HI16" s="414"/>
      <c r="HJ16" s="414"/>
      <c r="HK16" s="414"/>
      <c r="HL16" s="414"/>
      <c r="HM16" s="414"/>
      <c r="HN16" s="414"/>
      <c r="HO16" s="414"/>
      <c r="HP16" s="414"/>
      <c r="HQ16" s="414"/>
      <c r="HR16" s="414"/>
      <c r="HS16" s="414"/>
      <c r="HT16" s="414"/>
      <c r="HU16" s="414"/>
      <c r="HV16" s="414"/>
      <c r="HW16" s="414"/>
      <c r="HX16" s="414"/>
      <c r="HY16" s="414"/>
      <c r="HZ16" s="414"/>
      <c r="IA16" s="414"/>
      <c r="IB16" s="414"/>
      <c r="IC16" s="414"/>
      <c r="ID16" s="414"/>
      <c r="IE16" s="414"/>
      <c r="IF16" s="414"/>
      <c r="IG16" s="414"/>
      <c r="IH16" s="414"/>
      <c r="II16" s="414"/>
      <c r="IJ16" s="414"/>
      <c r="IK16" s="414"/>
      <c r="IL16" s="414"/>
      <c r="IM16" s="414"/>
      <c r="IN16" s="414"/>
      <c r="IO16" s="414"/>
      <c r="IP16" s="414"/>
      <c r="IQ16" s="414"/>
      <c r="IR16" s="414"/>
      <c r="IS16" s="414"/>
      <c r="IT16" s="414"/>
      <c r="IU16" s="414"/>
      <c r="IV16" s="414"/>
      <c r="IW16" s="414"/>
    </row>
    <row r="17" customFormat="false" ht="12.75" hidden="false" customHeight="false" outlineLevel="0" collapsed="false">
      <c r="A17" s="735"/>
      <c r="B17" s="38" t="s">
        <v>898</v>
      </c>
      <c r="E17" s="217" t="n">
        <f aca="false">SUM(E10:E16)</f>
        <v>0</v>
      </c>
      <c r="F17" s="217" t="n">
        <f aca="false">SUM(F10:F16)</f>
        <v>-92793.5702049191</v>
      </c>
      <c r="G17" s="217" t="n">
        <f aca="false">SUM(G10:G16)</f>
        <v>-1978.50807527969</v>
      </c>
      <c r="H17" s="217" t="n">
        <f aca="false">SUM(H10:H16)</f>
        <v>-89435.2314050818</v>
      </c>
      <c r="I17" s="217" t="n">
        <f aca="false">SUM(I10:I16)</f>
        <v>15209.3094592828</v>
      </c>
      <c r="J17" s="217" t="n">
        <f aca="false">SUM(J10:J16)</f>
        <v>764.006448876475</v>
      </c>
      <c r="K17" s="217" t="n">
        <f aca="false">SUM(K10:K16)</f>
        <v>5538.18769779529</v>
      </c>
      <c r="L17" s="217" t="n">
        <f aca="false">SUM(L10:L16)</f>
        <v>-8939.76012077513</v>
      </c>
      <c r="M17" s="217" t="n">
        <f aca="false">SUM(M10:M16)</f>
        <v>12840.5857162833</v>
      </c>
      <c r="N17" s="217" t="n">
        <f aca="false">SUM(N10:N16)</f>
        <v>14050.4459567231</v>
      </c>
      <c r="O17" s="217" t="n">
        <f aca="false">SUM(O10:O16)</f>
        <v>11055.1535090887</v>
      </c>
      <c r="P17" s="217" t="n">
        <f aca="false">SUM(P10:P16)</f>
        <v>9338.92037221055</v>
      </c>
      <c r="Q17" s="217" t="n">
        <f aca="false">SUM(Q10:Q16)</f>
        <v>11335.2059881177</v>
      </c>
      <c r="R17" s="217" t="n">
        <f aca="false">SUM(R10:R16)</f>
        <v>12483.3705871837</v>
      </c>
      <c r="S17" s="217" t="n">
        <f aca="false">SUM(S10:S16)</f>
        <v>7953.14847353926</v>
      </c>
      <c r="T17" s="217" t="n">
        <f aca="false">SUM(T10:T16)</f>
        <v>6000.05670814563</v>
      </c>
      <c r="U17" s="217" t="n">
        <f aca="false">SUM(U10:U16)</f>
        <v>22595.0197479671</v>
      </c>
      <c r="V17" s="217" t="n">
        <f aca="false">SUM(V10:V16)</f>
        <v>8278.35028132677</v>
      </c>
      <c r="W17" s="217" t="n">
        <f aca="false">SUM(W10:W16)</f>
        <v>-3309.71793129856</v>
      </c>
      <c r="X17" s="217" t="n">
        <f aca="false">SUM(X10:X16)</f>
        <v>4765.34550604514</v>
      </c>
      <c r="Y17" s="217" t="n">
        <f aca="false">SUM(Y10:Y16)</f>
        <v>3123.83443130359</v>
      </c>
      <c r="Z17" s="217" t="n">
        <f aca="false">SUM(Z10:Z16)</f>
        <v>4377.13126709188</v>
      </c>
      <c r="AA17" s="217" t="n">
        <f aca="false">SUM(AA10:AA16)</f>
        <v>5381.49587781895</v>
      </c>
      <c r="AB17" s="574" t="n">
        <f aca="false">SUM(E17:AA17)</f>
        <v>-41367.2197085544</v>
      </c>
      <c r="AC17" s="574" t="n">
        <f aca="false">SUM(AC10:AC16)</f>
        <v>-130614.687997752</v>
      </c>
      <c r="AE17" s="666"/>
      <c r="AF17" s="666"/>
      <c r="AG17" s="666"/>
      <c r="AH17" s="666"/>
      <c r="AI17" s="666"/>
      <c r="AJ17" s="666"/>
      <c r="AK17" s="666"/>
      <c r="AL17" s="666"/>
      <c r="AM17" s="666"/>
      <c r="AN17" s="666"/>
      <c r="AO17" s="666"/>
      <c r="AP17" s="666"/>
      <c r="AQ17" s="666"/>
      <c r="AR17" s="666"/>
      <c r="AS17" s="666"/>
      <c r="AT17" s="666"/>
      <c r="AU17" s="666"/>
      <c r="AV17" s="666"/>
      <c r="AW17" s="666"/>
      <c r="AX17" s="666"/>
      <c r="AY17" s="666"/>
      <c r="AZ17" s="666"/>
      <c r="BA17" s="666"/>
      <c r="BB17" s="666"/>
      <c r="BC17" s="666"/>
      <c r="BD17" s="666"/>
      <c r="BE17" s="666"/>
      <c r="BF17" s="666"/>
      <c r="BG17" s="666"/>
      <c r="BH17" s="666"/>
      <c r="BI17" s="666"/>
      <c r="BJ17" s="666"/>
      <c r="BK17" s="666"/>
      <c r="BL17" s="666"/>
      <c r="BM17" s="666"/>
      <c r="BN17" s="666"/>
      <c r="BO17" s="666"/>
      <c r="BP17" s="666"/>
      <c r="BQ17" s="666"/>
      <c r="BR17" s="666"/>
      <c r="BS17" s="666"/>
      <c r="BT17" s="666"/>
      <c r="BU17" s="666"/>
      <c r="BV17" s="666"/>
      <c r="BW17" s="666"/>
      <c r="BX17" s="666"/>
      <c r="BY17" s="666"/>
      <c r="BZ17" s="666"/>
      <c r="CA17" s="666"/>
      <c r="CB17" s="666"/>
      <c r="CC17" s="666"/>
      <c r="CD17" s="666"/>
      <c r="CE17" s="666"/>
      <c r="CF17" s="666"/>
      <c r="CG17" s="666"/>
      <c r="CH17" s="666"/>
      <c r="CI17" s="666"/>
      <c r="CJ17" s="666"/>
      <c r="CK17" s="666"/>
      <c r="CL17" s="666"/>
      <c r="CM17" s="666"/>
      <c r="CN17" s="666"/>
      <c r="CO17" s="666"/>
      <c r="CP17" s="666"/>
      <c r="CQ17" s="666"/>
      <c r="CR17" s="666"/>
      <c r="CS17" s="666"/>
      <c r="CT17" s="666"/>
      <c r="CU17" s="666"/>
      <c r="CV17" s="666"/>
      <c r="CW17" s="666"/>
      <c r="CX17" s="666"/>
      <c r="CY17" s="666"/>
      <c r="CZ17" s="666"/>
      <c r="DA17" s="666"/>
      <c r="DB17" s="666"/>
      <c r="DC17" s="666"/>
      <c r="DD17" s="666"/>
      <c r="DE17" s="666"/>
      <c r="DF17" s="666"/>
      <c r="DG17" s="666"/>
      <c r="DH17" s="666"/>
      <c r="DI17" s="666"/>
      <c r="DJ17" s="666"/>
      <c r="DK17" s="666"/>
      <c r="DL17" s="666"/>
      <c r="DM17" s="666"/>
      <c r="DN17" s="666"/>
      <c r="DO17" s="666"/>
      <c r="DP17" s="666"/>
      <c r="DQ17" s="666"/>
      <c r="DR17" s="666"/>
      <c r="DS17" s="666"/>
      <c r="DT17" s="666"/>
      <c r="DU17" s="666"/>
      <c r="DV17" s="666"/>
      <c r="DW17" s="666"/>
      <c r="DX17" s="666"/>
      <c r="DY17" s="666"/>
      <c r="DZ17" s="666"/>
      <c r="EA17" s="666"/>
      <c r="EB17" s="666"/>
      <c r="EC17" s="666"/>
      <c r="ED17" s="666"/>
      <c r="EE17" s="666"/>
      <c r="EF17" s="666"/>
      <c r="EG17" s="666"/>
      <c r="EH17" s="666"/>
      <c r="EI17" s="666"/>
      <c r="EJ17" s="666"/>
      <c r="EK17" s="666"/>
      <c r="EL17" s="666"/>
      <c r="EM17" s="666"/>
      <c r="EN17" s="666"/>
      <c r="EO17" s="666"/>
      <c r="EP17" s="666"/>
      <c r="EQ17" s="666"/>
      <c r="ER17" s="666"/>
      <c r="ES17" s="666"/>
      <c r="ET17" s="666"/>
      <c r="EU17" s="666"/>
      <c r="EV17" s="666"/>
      <c r="EW17" s="666"/>
      <c r="EX17" s="666"/>
      <c r="EY17" s="666"/>
      <c r="EZ17" s="666"/>
      <c r="FA17" s="666"/>
      <c r="FB17" s="666"/>
      <c r="FC17" s="666"/>
      <c r="FD17" s="666"/>
      <c r="FE17" s="666"/>
      <c r="FF17" s="666"/>
      <c r="FG17" s="666"/>
      <c r="FH17" s="666"/>
      <c r="FI17" s="666"/>
      <c r="FJ17" s="666"/>
      <c r="FK17" s="666"/>
      <c r="FL17" s="666"/>
      <c r="FM17" s="666"/>
      <c r="FN17" s="666"/>
      <c r="FO17" s="666"/>
      <c r="FP17" s="666"/>
      <c r="FQ17" s="666"/>
      <c r="FR17" s="666"/>
      <c r="FS17" s="666"/>
      <c r="FT17" s="666"/>
      <c r="FU17" s="666"/>
      <c r="FV17" s="666"/>
      <c r="FW17" s="666"/>
      <c r="FX17" s="666"/>
      <c r="FY17" s="666"/>
      <c r="FZ17" s="666"/>
      <c r="GA17" s="666"/>
      <c r="GB17" s="666"/>
      <c r="GC17" s="666"/>
      <c r="GD17" s="666"/>
      <c r="GE17" s="666"/>
      <c r="GF17" s="666"/>
      <c r="GG17" s="666"/>
      <c r="GH17" s="666"/>
      <c r="GI17" s="666"/>
      <c r="GJ17" s="666"/>
      <c r="GK17" s="666"/>
      <c r="GL17" s="666"/>
      <c r="GM17" s="666"/>
      <c r="GN17" s="666"/>
      <c r="GO17" s="666"/>
      <c r="GP17" s="666"/>
      <c r="GQ17" s="666"/>
      <c r="GR17" s="666"/>
      <c r="GS17" s="666"/>
      <c r="GT17" s="666"/>
      <c r="GU17" s="666"/>
      <c r="GV17" s="666"/>
      <c r="GW17" s="666"/>
      <c r="GX17" s="666"/>
      <c r="GY17" s="666"/>
      <c r="GZ17" s="666"/>
      <c r="HA17" s="666"/>
      <c r="HB17" s="666"/>
      <c r="HC17" s="666"/>
      <c r="HD17" s="666"/>
      <c r="HE17" s="666"/>
      <c r="HF17" s="666"/>
      <c r="HG17" s="666"/>
      <c r="HH17" s="666"/>
      <c r="HI17" s="666"/>
      <c r="HJ17" s="666"/>
      <c r="HK17" s="666"/>
      <c r="HL17" s="666"/>
      <c r="HM17" s="666"/>
      <c r="HN17" s="666"/>
      <c r="HO17" s="666"/>
      <c r="HP17" s="666"/>
      <c r="HQ17" s="666"/>
      <c r="HR17" s="666"/>
      <c r="HS17" s="666"/>
      <c r="HT17" s="666"/>
      <c r="HU17" s="666"/>
      <c r="HV17" s="666"/>
      <c r="HW17" s="666"/>
      <c r="HX17" s="666"/>
      <c r="HY17" s="666"/>
      <c r="HZ17" s="666"/>
      <c r="IA17" s="666"/>
      <c r="IB17" s="666"/>
      <c r="IC17" s="666"/>
      <c r="ID17" s="666"/>
      <c r="IE17" s="666"/>
      <c r="IF17" s="666"/>
      <c r="IG17" s="666"/>
      <c r="IH17" s="666"/>
      <c r="II17" s="666"/>
      <c r="IJ17" s="666"/>
      <c r="IK17" s="666"/>
      <c r="IL17" s="666"/>
      <c r="IM17" s="666"/>
      <c r="IN17" s="666"/>
      <c r="IO17" s="666"/>
      <c r="IP17" s="666"/>
      <c r="IQ17" s="666"/>
      <c r="IR17" s="666"/>
      <c r="IS17" s="666"/>
      <c r="IT17" s="666"/>
      <c r="IU17" s="666"/>
      <c r="IV17" s="666"/>
      <c r="IW17" s="666"/>
    </row>
    <row r="18" customFormat="false" ht="12.75" hidden="false" customHeight="false" outlineLevel="0" collapsed="false">
      <c r="A18" s="735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574"/>
      <c r="AC18" s="574"/>
      <c r="AE18" s="666"/>
      <c r="AF18" s="666"/>
      <c r="AG18" s="666"/>
      <c r="AH18" s="666"/>
      <c r="AI18" s="666"/>
      <c r="AJ18" s="666"/>
      <c r="AK18" s="666"/>
      <c r="AL18" s="666"/>
      <c r="AM18" s="666"/>
      <c r="AN18" s="666"/>
      <c r="AO18" s="666"/>
      <c r="AP18" s="666"/>
      <c r="AQ18" s="666"/>
      <c r="AR18" s="666"/>
      <c r="AS18" s="666"/>
      <c r="AT18" s="666"/>
      <c r="AU18" s="666"/>
      <c r="AV18" s="666"/>
      <c r="AW18" s="666"/>
      <c r="AX18" s="666"/>
      <c r="AY18" s="666"/>
      <c r="AZ18" s="666"/>
      <c r="BA18" s="666"/>
      <c r="BB18" s="666"/>
      <c r="BC18" s="666"/>
      <c r="BD18" s="666"/>
      <c r="BE18" s="666"/>
      <c r="BF18" s="666"/>
      <c r="BG18" s="666"/>
      <c r="BH18" s="666"/>
      <c r="BI18" s="666"/>
      <c r="BJ18" s="666"/>
      <c r="BK18" s="666"/>
      <c r="BL18" s="666"/>
      <c r="BM18" s="666"/>
      <c r="BN18" s="666"/>
      <c r="BO18" s="666"/>
      <c r="BP18" s="666"/>
      <c r="BQ18" s="666"/>
      <c r="BR18" s="666"/>
      <c r="BS18" s="666"/>
      <c r="BT18" s="666"/>
      <c r="BU18" s="666"/>
      <c r="BV18" s="666"/>
      <c r="BW18" s="666"/>
      <c r="BX18" s="666"/>
      <c r="BY18" s="666"/>
      <c r="BZ18" s="666"/>
      <c r="CA18" s="666"/>
      <c r="CB18" s="666"/>
      <c r="CC18" s="666"/>
      <c r="CD18" s="666"/>
      <c r="CE18" s="666"/>
      <c r="CF18" s="666"/>
      <c r="CG18" s="666"/>
      <c r="CH18" s="666"/>
      <c r="CI18" s="666"/>
      <c r="CJ18" s="666"/>
      <c r="CK18" s="666"/>
      <c r="CL18" s="666"/>
      <c r="CM18" s="666"/>
      <c r="CN18" s="666"/>
      <c r="CO18" s="666"/>
      <c r="CP18" s="666"/>
      <c r="CQ18" s="666"/>
      <c r="CR18" s="666"/>
      <c r="CS18" s="666"/>
      <c r="CT18" s="666"/>
      <c r="CU18" s="666"/>
      <c r="CV18" s="666"/>
      <c r="CW18" s="666"/>
      <c r="CX18" s="666"/>
      <c r="CY18" s="666"/>
      <c r="CZ18" s="666"/>
      <c r="DA18" s="666"/>
      <c r="DB18" s="666"/>
      <c r="DC18" s="666"/>
      <c r="DD18" s="666"/>
      <c r="DE18" s="666"/>
      <c r="DF18" s="666"/>
      <c r="DG18" s="666"/>
      <c r="DH18" s="666"/>
      <c r="DI18" s="666"/>
      <c r="DJ18" s="666"/>
      <c r="DK18" s="666"/>
      <c r="DL18" s="666"/>
      <c r="DM18" s="666"/>
      <c r="DN18" s="666"/>
      <c r="DO18" s="666"/>
      <c r="DP18" s="666"/>
      <c r="DQ18" s="666"/>
      <c r="DR18" s="666"/>
      <c r="DS18" s="666"/>
      <c r="DT18" s="666"/>
      <c r="DU18" s="666"/>
      <c r="DV18" s="666"/>
      <c r="DW18" s="666"/>
      <c r="DX18" s="666"/>
      <c r="DY18" s="666"/>
      <c r="DZ18" s="666"/>
      <c r="EA18" s="666"/>
      <c r="EB18" s="666"/>
      <c r="EC18" s="666"/>
      <c r="ED18" s="666"/>
      <c r="EE18" s="666"/>
      <c r="EF18" s="666"/>
      <c r="EG18" s="666"/>
      <c r="EH18" s="666"/>
      <c r="EI18" s="666"/>
      <c r="EJ18" s="666"/>
      <c r="EK18" s="666"/>
      <c r="EL18" s="666"/>
      <c r="EM18" s="666"/>
      <c r="EN18" s="666"/>
      <c r="EO18" s="666"/>
      <c r="EP18" s="666"/>
      <c r="EQ18" s="666"/>
      <c r="ER18" s="666"/>
      <c r="ES18" s="666"/>
      <c r="ET18" s="666"/>
      <c r="EU18" s="666"/>
      <c r="EV18" s="666"/>
      <c r="EW18" s="666"/>
      <c r="EX18" s="666"/>
      <c r="EY18" s="666"/>
      <c r="EZ18" s="666"/>
      <c r="FA18" s="666"/>
      <c r="FB18" s="666"/>
      <c r="FC18" s="666"/>
      <c r="FD18" s="666"/>
      <c r="FE18" s="666"/>
      <c r="FF18" s="666"/>
      <c r="FG18" s="666"/>
      <c r="FH18" s="666"/>
      <c r="FI18" s="666"/>
      <c r="FJ18" s="666"/>
      <c r="FK18" s="666"/>
      <c r="FL18" s="666"/>
      <c r="FM18" s="666"/>
      <c r="FN18" s="666"/>
      <c r="FO18" s="666"/>
      <c r="FP18" s="666"/>
      <c r="FQ18" s="666"/>
      <c r="FR18" s="666"/>
      <c r="FS18" s="666"/>
      <c r="FT18" s="666"/>
      <c r="FU18" s="666"/>
      <c r="FV18" s="666"/>
      <c r="FW18" s="666"/>
      <c r="FX18" s="666"/>
      <c r="FY18" s="666"/>
      <c r="FZ18" s="666"/>
      <c r="GA18" s="666"/>
      <c r="GB18" s="666"/>
      <c r="GC18" s="666"/>
      <c r="GD18" s="666"/>
      <c r="GE18" s="666"/>
      <c r="GF18" s="666"/>
      <c r="GG18" s="666"/>
      <c r="GH18" s="666"/>
      <c r="GI18" s="666"/>
      <c r="GJ18" s="666"/>
      <c r="GK18" s="666"/>
      <c r="GL18" s="666"/>
      <c r="GM18" s="666"/>
      <c r="GN18" s="666"/>
      <c r="GO18" s="666"/>
      <c r="GP18" s="666"/>
      <c r="GQ18" s="666"/>
      <c r="GR18" s="666"/>
      <c r="GS18" s="666"/>
      <c r="GT18" s="666"/>
      <c r="GU18" s="666"/>
      <c r="GV18" s="666"/>
      <c r="GW18" s="666"/>
      <c r="GX18" s="666"/>
      <c r="GY18" s="666"/>
      <c r="GZ18" s="666"/>
      <c r="HA18" s="666"/>
      <c r="HB18" s="666"/>
      <c r="HC18" s="666"/>
      <c r="HD18" s="666"/>
      <c r="HE18" s="666"/>
      <c r="HF18" s="666"/>
      <c r="HG18" s="666"/>
      <c r="HH18" s="666"/>
      <c r="HI18" s="666"/>
      <c r="HJ18" s="666"/>
      <c r="HK18" s="666"/>
      <c r="HL18" s="666"/>
      <c r="HM18" s="666"/>
      <c r="HN18" s="666"/>
      <c r="HO18" s="666"/>
      <c r="HP18" s="666"/>
      <c r="HQ18" s="666"/>
      <c r="HR18" s="666"/>
      <c r="HS18" s="666"/>
      <c r="HT18" s="666"/>
      <c r="HU18" s="666"/>
      <c r="HV18" s="666"/>
      <c r="HW18" s="666"/>
      <c r="HX18" s="666"/>
      <c r="HY18" s="666"/>
      <c r="HZ18" s="666"/>
      <c r="IA18" s="666"/>
      <c r="IB18" s="666"/>
      <c r="IC18" s="666"/>
      <c r="ID18" s="666"/>
      <c r="IE18" s="666"/>
      <c r="IF18" s="666"/>
      <c r="IG18" s="666"/>
      <c r="IH18" s="666"/>
      <c r="II18" s="666"/>
      <c r="IJ18" s="666"/>
      <c r="IK18" s="666"/>
      <c r="IL18" s="666"/>
      <c r="IM18" s="666"/>
      <c r="IN18" s="666"/>
      <c r="IO18" s="666"/>
      <c r="IP18" s="666"/>
      <c r="IQ18" s="666"/>
      <c r="IR18" s="666"/>
      <c r="IS18" s="666"/>
      <c r="IT18" s="666"/>
      <c r="IU18" s="666"/>
      <c r="IV18" s="666"/>
      <c r="IW18" s="666"/>
    </row>
    <row r="19" customFormat="false" ht="12.75" hidden="true" customHeight="false" outlineLevel="0" collapsed="false">
      <c r="A19" s="280"/>
      <c r="B19" s="38" t="s">
        <v>899</v>
      </c>
      <c r="E19" s="645" t="n">
        <f aca="false">$E17</f>
        <v>0</v>
      </c>
      <c r="F19" s="645" t="n">
        <f aca="false">IF('Project &amp; Investor Returns'!$I$3=0,$F17,$E17+NPV(Disc,$F17:F17))</f>
        <v>-92793.5702049191</v>
      </c>
      <c r="G19" s="217" t="n">
        <f aca="false">IF('Project &amp; Investor Returns'!$I$3=0,$F17+NPV(Disc,$G17:G17),$E17+NPV(Disc,$F17:G17))</f>
        <v>-94456.1820328852</v>
      </c>
      <c r="H19" s="217" t="n">
        <f aca="false">IF('Project &amp; Investor Returns'!$I$3=0,$F17+NPV(Disc,$G17:H17),$E17+NPV(Disc,$F17:H17))</f>
        <v>-157612.196018537</v>
      </c>
      <c r="I19" s="217" t="n">
        <f aca="false">IF('Project &amp; Investor Returns'!$I$3=0,$F17+NPV(Disc,$G17:I17),$E17+NPV(Disc,$F17:I17))</f>
        <v>-148586.751262711</v>
      </c>
      <c r="J19" s="217" t="n">
        <f aca="false">IF('Project &amp; Investor Returns'!$I$3=0,$F17+NPV(Disc,$G17:J17),$E17+NPV(Disc,$F17:J17))</f>
        <v>-148205.765120783</v>
      </c>
      <c r="K19" s="217" t="n">
        <f aca="false">IF('Project &amp; Investor Returns'!$I$3=0,$F17+NPV(Disc,$G17:K17),$E17+NPV(Disc,$F17:K17))</f>
        <v>-145884.991049924</v>
      </c>
      <c r="L19" s="217" t="n">
        <f aca="false">IF('Project &amp; Investor Returns'!$I$3=0,$F17+NPV(Disc,$G17:L17),$E17+NPV(Disc,$F17:L17))</f>
        <v>-149033.058995205</v>
      </c>
      <c r="M19" s="217" t="n">
        <f aca="false">IF('Project &amp; Investor Returns'!$I$3=0,$F17+NPV(Disc,$G17:M17),$E17+NPV(Disc,$F17:M17))</f>
        <v>-145233.299538391</v>
      </c>
      <c r="N19" s="217" t="n">
        <f aca="false">IF('Project &amp; Investor Returns'!$I$3=0,$F17+NPV(Disc,$G17:N17),$E17+NPV(Disc,$F17:N17))</f>
        <v>-141739.367785088</v>
      </c>
      <c r="O19" s="217" t="n">
        <f aca="false">IF('Project &amp; Investor Returns'!$I$3=0,$F17+NPV(Disc,$G17:O17),$E17+NPV(Disc,$F17:O17))</f>
        <v>-139429.207438934</v>
      </c>
      <c r="P19" s="217" t="n">
        <f aca="false">IF('Project &amp; Investor Returns'!$I$3=0,$F17+NPV(Disc,$G17:P17),$E17+NPV(Disc,$F17:P17))</f>
        <v>-137789.270839045</v>
      </c>
      <c r="Q19" s="217" t="n">
        <f aca="false">IF('Project &amp; Investor Returns'!$I$3=0,$F17+NPV(Disc,$G17:Q17),$E17+NPV(Disc,$F17:Q17))</f>
        <v>-136116.590926629</v>
      </c>
      <c r="R19" s="217" t="n">
        <f aca="false">IF('Project &amp; Investor Returns'!$I$3=0,$F17+NPV(Disc,$G17:R17),$E17+NPV(Disc,$F17:R17))</f>
        <v>-134568.60029985</v>
      </c>
      <c r="S19" s="217" t="n">
        <f aca="false">IF('Project &amp; Investor Returns'!$I$3=0,$F17+NPV(Disc,$G17:S17),$E17+NPV(Disc,$F17:S17))</f>
        <v>-133739.840661805</v>
      </c>
      <c r="T19" s="217" t="n">
        <f aca="false">IF('Project &amp; Investor Returns'!$I$3=0,$F17+NPV(Disc,$G17:T17),$E17+NPV(Disc,$F17:T17))</f>
        <v>-133214.431192675</v>
      </c>
      <c r="U19" s="217" t="n">
        <f aca="false">IF('Project &amp; Investor Returns'!$I$3=0,$F17+NPV(Disc,$G17:U17),$E17+NPV(Disc,$F17:U17))</f>
        <v>-131551.752603218</v>
      </c>
      <c r="V19" s="217" t="n">
        <f aca="false">IF('Project &amp; Investor Returns'!$I$3=0,$F17+NPV(Disc,$G17:V17),$E17+NPV(Disc,$F17:V17))</f>
        <v>-131039.844014127</v>
      </c>
      <c r="W19" s="217" t="n">
        <f aca="false">IF('Project &amp; Investor Returns'!$I$3=0,$F17+NPV(Disc,$G17:W17),$E17+NPV(Disc,$F17:W17))</f>
        <v>-131211.82983326</v>
      </c>
      <c r="X19" s="217" t="n">
        <f aca="false">IF('Project &amp; Investor Returns'!$I$3=0,$F17+NPV(Disc,$G17:X17),$E17+NPV(Disc,$F17:X17))</f>
        <v>-131003.740849579</v>
      </c>
      <c r="Y19" s="217" t="n">
        <f aca="false">IF('Project &amp; Investor Returns'!$I$3=0,$F17+NPV(Disc,$G17:Y17),$E17+NPV(Disc,$F17:Y17))</f>
        <v>-130889.111523012</v>
      </c>
      <c r="Z19" s="217" t="n">
        <f aca="false">IF('Project &amp; Investor Returns'!$I$3=0,$F17+NPV(Disc,$G17:Z17),$E17+NPV(Disc,$F17:Z17))</f>
        <v>-130754.137453207</v>
      </c>
      <c r="AA19" s="217" t="n">
        <f aca="false">IF('Project &amp; Investor Returns'!$I$3=0,$F17+NPV(Disc,$G17:AA17),$E17+NPV(Disc,$F17:AA17))</f>
        <v>-130614.687997752</v>
      </c>
      <c r="AB19" s="640"/>
      <c r="AC19" s="574" t="n">
        <f aca="false">AC17</f>
        <v>-130614.687997752</v>
      </c>
    </row>
    <row r="20" customFormat="false" ht="12.75" hidden="true" customHeight="false" outlineLevel="0" collapsed="false">
      <c r="A20" s="280"/>
      <c r="B20" s="38" t="s">
        <v>900</v>
      </c>
      <c r="E20" s="260" t="e">
        <f aca="false">IRR($E17:E17,-0.9)</f>
        <v>#N/A</v>
      </c>
      <c r="F20" s="260" t="e">
        <f aca="false">IRR($E17:F17,-0.9)</f>
        <v>#N/A</v>
      </c>
      <c r="G20" s="260" t="e">
        <f aca="false">IRR($E17:G17,-0.9)</f>
        <v>#N/A</v>
      </c>
      <c r="H20" s="260" t="e">
        <f aca="false">IRR($E17:H17,-0.9)</f>
        <v>#N/A</v>
      </c>
      <c r="I20" s="260" t="n">
        <f aca="false">IRR($E17:I17,-0.9)</f>
        <v>-0.835186455778113</v>
      </c>
      <c r="J20" s="260" t="n">
        <f aca="false">IRR($E17:J17,-0.9)</f>
        <v>-0.797334722631147</v>
      </c>
      <c r="K20" s="260" t="n">
        <f aca="false">IRR($E17:K17,-0.9)</f>
        <v>-0.567412485668883</v>
      </c>
      <c r="L20" s="260" t="e">
        <f aca="false">IRR($E17:L17,-0.9)</f>
        <v>#N/A</v>
      </c>
      <c r="M20" s="260" t="e">
        <f aca="false">IRR($E17:M17,-0.9)</f>
        <v>#N/A</v>
      </c>
      <c r="N20" s="260" t="e">
        <f aca="false">IRR($E17:N17,-0.9)</f>
        <v>#N/A</v>
      </c>
      <c r="O20" s="260" t="e">
        <f aca="false">IRR($E17:O17,-0.9)</f>
        <v>#N/A</v>
      </c>
      <c r="P20" s="260" t="e">
        <f aca="false">IRR($E17:P17,-0.9)</f>
        <v>#N/A</v>
      </c>
      <c r="Q20" s="260" t="e">
        <f aca="false">IRR($E17:Q17,-0.9)</f>
        <v>#N/A</v>
      </c>
      <c r="R20" s="260" t="e">
        <f aca="false">IRR($E17:R17,-0.9)</f>
        <v>#N/A</v>
      </c>
      <c r="S20" s="260" t="e">
        <f aca="false">IRR($E17:S17,-0.9)</f>
        <v>#N/A</v>
      </c>
      <c r="T20" s="260" t="e">
        <f aca="false">IRR($E17:T17,-0.9)</f>
        <v>#N/A</v>
      </c>
      <c r="U20" s="260" t="e">
        <f aca="false">IRR($E17:U17,-0.9)</f>
        <v>#N/A</v>
      </c>
      <c r="V20" s="260" t="e">
        <f aca="false">IRR($E17:V17,-0.9)</f>
        <v>#N/A</v>
      </c>
      <c r="W20" s="260" t="e">
        <f aca="false">IRR($E17:W17,-0.9)</f>
        <v>#N/A</v>
      </c>
      <c r="X20" s="260" t="e">
        <f aca="false">IRR($E17:X17,-0.9)</f>
        <v>#N/A</v>
      </c>
      <c r="Y20" s="260" t="e">
        <f aca="false">IRR($E17:Y17,-0.9)</f>
        <v>#N/A</v>
      </c>
      <c r="Z20" s="260" t="e">
        <f aca="false">IRR($E17:Z17,-0.9)</f>
        <v>#N/A</v>
      </c>
      <c r="AA20" s="260" t="e">
        <f aca="false">IRR($E17:AA17,-0.9)</f>
        <v>#N/A</v>
      </c>
      <c r="AB20" s="638"/>
      <c r="AC20" s="646" t="e">
        <f aca="false">IRR(E17:AA17,-0.9)</f>
        <v>#N/A</v>
      </c>
    </row>
    <row r="21" customFormat="false" ht="12.75" hidden="true" customHeight="false" outlineLevel="0" collapsed="false">
      <c r="A21" s="280"/>
      <c r="AB21" s="555"/>
      <c r="AC21" s="557"/>
    </row>
    <row r="22" customFormat="false" ht="12.75" hidden="true" customHeight="false" outlineLevel="0" collapsed="false">
      <c r="A22" s="280"/>
      <c r="B22" s="647" t="s">
        <v>310</v>
      </c>
      <c r="C22" s="648" t="n">
        <f aca="false">AC19</f>
        <v>-130614.687997752</v>
      </c>
      <c r="D22" s="62"/>
      <c r="AB22" s="555"/>
      <c r="AC22" s="557"/>
    </row>
    <row r="23" customFormat="false" ht="12.75" hidden="true" customHeight="false" outlineLevel="0" collapsed="false">
      <c r="A23" s="563"/>
      <c r="B23" s="662" t="s">
        <v>309</v>
      </c>
      <c r="C23" s="736" t="e">
        <f aca="false">AC20</f>
        <v>#N/A</v>
      </c>
      <c r="D23" s="464"/>
      <c r="E23" s="700"/>
      <c r="F23" s="700"/>
      <c r="G23" s="700"/>
      <c r="H23" s="700"/>
      <c r="I23" s="700"/>
      <c r="J23" s="700"/>
      <c r="K23" s="700"/>
      <c r="L23" s="700"/>
      <c r="M23" s="700"/>
      <c r="N23" s="700"/>
      <c r="O23" s="700"/>
      <c r="P23" s="700"/>
      <c r="Q23" s="700"/>
      <c r="R23" s="700"/>
      <c r="S23" s="700"/>
      <c r="T23" s="700"/>
      <c r="U23" s="700"/>
      <c r="V23" s="700"/>
      <c r="W23" s="700"/>
      <c r="X23" s="700"/>
      <c r="Y23" s="700"/>
      <c r="Z23" s="700"/>
      <c r="AA23" s="700"/>
      <c r="AB23" s="701"/>
      <c r="AC23" s="665"/>
    </row>
    <row r="24" customFormat="false" ht="12.75" hidden="false" customHeight="false" outlineLevel="0" collapsed="false">
      <c r="A24" s="37"/>
      <c r="AB24" s="555"/>
      <c r="AC24" s="555"/>
    </row>
    <row r="25" customFormat="false" ht="12.75" hidden="false" customHeight="false" outlineLevel="0" collapsed="false">
      <c r="A25" s="698"/>
      <c r="B25" s="38" t="s">
        <v>901</v>
      </c>
      <c r="E25" s="217" t="n">
        <f aca="false">E17</f>
        <v>0</v>
      </c>
      <c r="F25" s="217" t="n">
        <f aca="false">F17</f>
        <v>-92793.5702049191</v>
      </c>
      <c r="G25" s="217" t="n">
        <f aca="false">G17</f>
        <v>-1978.50807527969</v>
      </c>
      <c r="H25" s="217" t="n">
        <f aca="false">H17</f>
        <v>-89435.2314050818</v>
      </c>
      <c r="I25" s="217" t="n">
        <f aca="false">I17</f>
        <v>15209.3094592828</v>
      </c>
      <c r="J25" s="217" t="n">
        <f aca="false">J17</f>
        <v>764.006448876475</v>
      </c>
      <c r="K25" s="217" t="n">
        <f aca="false">K17</f>
        <v>5538.18769779529</v>
      </c>
      <c r="L25" s="217" t="n">
        <f aca="false">L17</f>
        <v>-8939.76012077513</v>
      </c>
      <c r="M25" s="217" t="n">
        <f aca="false">M17</f>
        <v>12840.5857162833</v>
      </c>
      <c r="N25" s="217" t="n">
        <f aca="false">N17</f>
        <v>14050.4459567231</v>
      </c>
      <c r="O25" s="217" t="n">
        <f aca="false">O17</f>
        <v>11055.1535090887</v>
      </c>
      <c r="P25" s="217" t="n">
        <f aca="false">P17</f>
        <v>9338.92037221055</v>
      </c>
      <c r="Q25" s="217" t="n">
        <f aca="false">Q17</f>
        <v>11335.2059881177</v>
      </c>
      <c r="R25" s="217" t="n">
        <f aca="false">R17</f>
        <v>12483.3705871837</v>
      </c>
      <c r="S25" s="217" t="n">
        <f aca="false">S17</f>
        <v>7953.14847353926</v>
      </c>
      <c r="T25" s="217" t="n">
        <f aca="false">T17</f>
        <v>6000.05670814563</v>
      </c>
      <c r="U25" s="217" t="n">
        <f aca="false">U17</f>
        <v>22595.0197479671</v>
      </c>
      <c r="V25" s="217" t="n">
        <f aca="false">V17</f>
        <v>8278.35028132677</v>
      </c>
      <c r="W25" s="217" t="n">
        <f aca="false">W17</f>
        <v>-3309.71793129856</v>
      </c>
      <c r="X25" s="217" t="n">
        <f aca="false">X17</f>
        <v>4765.34550604514</v>
      </c>
      <c r="Y25" s="217" t="n">
        <f aca="false">Y17</f>
        <v>3123.83443130359</v>
      </c>
      <c r="Z25" s="217" t="n">
        <f aca="false">Z17</f>
        <v>4377.13126709188</v>
      </c>
      <c r="AA25" s="217" t="n">
        <f aca="false">AA17</f>
        <v>5381.49587781895</v>
      </c>
      <c r="AB25" s="574" t="n">
        <f aca="false">SUM(E25:AA25)</f>
        <v>-41367.2197085544</v>
      </c>
      <c r="AC25" s="641" t="n">
        <f aca="false">IF('Project &amp; Investor Returns'!$I$3=0,F25+NPV(Disc,G25:AA25),E25+NPV(Disc,F25:AA25))</f>
        <v>-130614.687997752</v>
      </c>
      <c r="AE25" s="666"/>
      <c r="AF25" s="666"/>
      <c r="AG25" s="666"/>
      <c r="AH25" s="666"/>
      <c r="AI25" s="666"/>
      <c r="AJ25" s="666"/>
      <c r="AK25" s="666"/>
      <c r="AL25" s="666"/>
      <c r="AM25" s="666"/>
      <c r="AN25" s="666"/>
      <c r="AO25" s="666"/>
      <c r="AP25" s="666"/>
      <c r="AQ25" s="666"/>
      <c r="AR25" s="666"/>
      <c r="AS25" s="666"/>
      <c r="AT25" s="666"/>
      <c r="AU25" s="666"/>
      <c r="AV25" s="666"/>
      <c r="AW25" s="666"/>
      <c r="AX25" s="666"/>
      <c r="AY25" s="666"/>
      <c r="AZ25" s="666"/>
      <c r="BA25" s="666"/>
      <c r="BB25" s="666"/>
      <c r="BC25" s="666"/>
      <c r="BD25" s="666"/>
      <c r="BE25" s="666"/>
      <c r="BF25" s="666"/>
      <c r="BG25" s="666"/>
      <c r="BH25" s="666"/>
      <c r="BI25" s="666"/>
      <c r="BJ25" s="666"/>
      <c r="BK25" s="666"/>
      <c r="BL25" s="666"/>
      <c r="BM25" s="666"/>
      <c r="BN25" s="666"/>
      <c r="BO25" s="666"/>
      <c r="BP25" s="666"/>
      <c r="BQ25" s="666"/>
      <c r="BR25" s="666"/>
      <c r="BS25" s="666"/>
      <c r="BT25" s="666"/>
      <c r="BU25" s="666"/>
      <c r="BV25" s="666"/>
      <c r="BW25" s="666"/>
      <c r="BX25" s="666"/>
      <c r="BY25" s="666"/>
      <c r="BZ25" s="666"/>
      <c r="CA25" s="666"/>
      <c r="CB25" s="666"/>
      <c r="CC25" s="666"/>
      <c r="CD25" s="666"/>
      <c r="CE25" s="666"/>
      <c r="CF25" s="666"/>
      <c r="CG25" s="666"/>
      <c r="CH25" s="666"/>
      <c r="CI25" s="666"/>
      <c r="CJ25" s="666"/>
      <c r="CK25" s="666"/>
      <c r="CL25" s="666"/>
      <c r="CM25" s="666"/>
      <c r="CN25" s="666"/>
      <c r="CO25" s="666"/>
      <c r="CP25" s="666"/>
      <c r="CQ25" s="666"/>
      <c r="CR25" s="666"/>
      <c r="CS25" s="666"/>
      <c r="CT25" s="666"/>
      <c r="CU25" s="666"/>
      <c r="CV25" s="666"/>
      <c r="CW25" s="666"/>
      <c r="CX25" s="666"/>
      <c r="CY25" s="666"/>
      <c r="CZ25" s="666"/>
      <c r="DA25" s="666"/>
      <c r="DB25" s="666"/>
      <c r="DC25" s="666"/>
      <c r="DD25" s="666"/>
      <c r="DE25" s="666"/>
      <c r="DF25" s="666"/>
      <c r="DG25" s="666"/>
      <c r="DH25" s="666"/>
      <c r="DI25" s="666"/>
      <c r="DJ25" s="666"/>
      <c r="DK25" s="666"/>
      <c r="DL25" s="666"/>
      <c r="DM25" s="666"/>
      <c r="DN25" s="666"/>
      <c r="DO25" s="666"/>
      <c r="DP25" s="666"/>
      <c r="DQ25" s="666"/>
      <c r="DR25" s="666"/>
      <c r="DS25" s="666"/>
      <c r="DT25" s="666"/>
      <c r="DU25" s="666"/>
      <c r="DV25" s="666"/>
      <c r="DW25" s="666"/>
      <c r="DX25" s="666"/>
      <c r="DY25" s="666"/>
      <c r="DZ25" s="666"/>
      <c r="EA25" s="666"/>
      <c r="EB25" s="666"/>
      <c r="EC25" s="666"/>
      <c r="ED25" s="666"/>
      <c r="EE25" s="666"/>
      <c r="EF25" s="666"/>
      <c r="EG25" s="666"/>
      <c r="EH25" s="666"/>
      <c r="EI25" s="666"/>
      <c r="EJ25" s="666"/>
      <c r="EK25" s="666"/>
      <c r="EL25" s="666"/>
      <c r="EM25" s="666"/>
      <c r="EN25" s="666"/>
      <c r="EO25" s="666"/>
      <c r="EP25" s="666"/>
      <c r="EQ25" s="666"/>
      <c r="ER25" s="666"/>
      <c r="ES25" s="666"/>
      <c r="ET25" s="666"/>
      <c r="EU25" s="666"/>
      <c r="EV25" s="666"/>
      <c r="EW25" s="666"/>
      <c r="EX25" s="666"/>
      <c r="EY25" s="666"/>
      <c r="EZ25" s="666"/>
      <c r="FA25" s="666"/>
      <c r="FB25" s="666"/>
      <c r="FC25" s="666"/>
      <c r="FD25" s="666"/>
      <c r="FE25" s="666"/>
      <c r="FF25" s="666"/>
      <c r="FG25" s="666"/>
      <c r="FH25" s="666"/>
      <c r="FI25" s="666"/>
      <c r="FJ25" s="666"/>
      <c r="FK25" s="666"/>
      <c r="FL25" s="666"/>
      <c r="FM25" s="666"/>
      <c r="FN25" s="666"/>
      <c r="FO25" s="666"/>
      <c r="FP25" s="666"/>
      <c r="FQ25" s="666"/>
      <c r="FR25" s="666"/>
      <c r="FS25" s="666"/>
      <c r="FT25" s="666"/>
      <c r="FU25" s="666"/>
      <c r="FV25" s="666"/>
      <c r="FW25" s="666"/>
      <c r="FX25" s="666"/>
      <c r="FY25" s="666"/>
      <c r="FZ25" s="666"/>
      <c r="GA25" s="666"/>
      <c r="GB25" s="666"/>
      <c r="GC25" s="666"/>
      <c r="GD25" s="666"/>
      <c r="GE25" s="666"/>
      <c r="GF25" s="666"/>
      <c r="GG25" s="666"/>
      <c r="GH25" s="666"/>
      <c r="GI25" s="666"/>
      <c r="GJ25" s="666"/>
      <c r="GK25" s="666"/>
      <c r="GL25" s="666"/>
      <c r="GM25" s="666"/>
      <c r="GN25" s="666"/>
      <c r="GO25" s="666"/>
      <c r="GP25" s="666"/>
      <c r="GQ25" s="666"/>
      <c r="GR25" s="666"/>
      <c r="GS25" s="666"/>
      <c r="GT25" s="666"/>
      <c r="GU25" s="666"/>
      <c r="GV25" s="666"/>
      <c r="GW25" s="666"/>
      <c r="GX25" s="666"/>
      <c r="GY25" s="666"/>
      <c r="GZ25" s="666"/>
      <c r="HA25" s="666"/>
      <c r="HB25" s="666"/>
      <c r="HC25" s="666"/>
      <c r="HD25" s="666"/>
      <c r="HE25" s="666"/>
      <c r="HF25" s="666"/>
      <c r="HG25" s="666"/>
      <c r="HH25" s="666"/>
      <c r="HI25" s="666"/>
      <c r="HJ25" s="666"/>
      <c r="HK25" s="666"/>
      <c r="HL25" s="666"/>
      <c r="HM25" s="666"/>
      <c r="HN25" s="666"/>
      <c r="HO25" s="666"/>
      <c r="HP25" s="666"/>
      <c r="HQ25" s="666"/>
      <c r="HR25" s="666"/>
      <c r="HS25" s="666"/>
      <c r="HT25" s="666"/>
      <c r="HU25" s="666"/>
      <c r="HV25" s="666"/>
      <c r="HW25" s="666"/>
      <c r="HX25" s="666"/>
      <c r="HY25" s="666"/>
      <c r="HZ25" s="666"/>
      <c r="IA25" s="666"/>
      <c r="IB25" s="666"/>
      <c r="IC25" s="666"/>
      <c r="ID25" s="666"/>
      <c r="IE25" s="666"/>
      <c r="IF25" s="666"/>
      <c r="IG25" s="666"/>
      <c r="IH25" s="666"/>
      <c r="II25" s="666"/>
      <c r="IJ25" s="666"/>
      <c r="IK25" s="666"/>
      <c r="IL25" s="666"/>
      <c r="IM25" s="666"/>
      <c r="IN25" s="666"/>
      <c r="IO25" s="666"/>
      <c r="IP25" s="666"/>
      <c r="IQ25" s="666"/>
      <c r="IR25" s="666"/>
      <c r="IS25" s="666"/>
      <c r="IT25" s="666"/>
      <c r="IU25" s="666"/>
      <c r="IV25" s="666"/>
      <c r="IW25" s="666"/>
    </row>
    <row r="26" customFormat="false" ht="12.75" hidden="false" customHeight="false" outlineLevel="0" collapsed="false">
      <c r="A26" s="659" t="n">
        <f aca="false">A11</f>
        <v>1</v>
      </c>
      <c r="B26" s="38" t="s">
        <v>929</v>
      </c>
      <c r="E26" s="217" t="n">
        <f aca="false">-HLOOKUP(DATE(E$7,12,31),Idc_Table,IDC!$BB$49)*$A26-SUM($D26:D26)</f>
        <v>-0</v>
      </c>
      <c r="F26" s="217" t="n">
        <f aca="false">-HLOOKUP(DATE(F$7,12,31),Idc_Table,IDC!$BB$49)*$A26-SUM($D26:E26)</f>
        <v>-0</v>
      </c>
      <c r="G26" s="217" t="n">
        <f aca="false">-HLOOKUP(DATE(G$7,12,31),Idc_Table,IDC!$BB$49)*$A26-SUM($D26:F26)</f>
        <v>-0</v>
      </c>
      <c r="H26" s="217" t="n">
        <f aca="false">-HLOOKUP(DATE(H$7,12,31),Idc_Table,IDC!$BB$49)*$A26-SUM($D26:G26)</f>
        <v>-37368.7595067085</v>
      </c>
      <c r="I26" s="217" t="n">
        <f aca="false">-HLOOKUP(DATE(I$7,12,31),Idc_Table,IDC!$BB$49)*$A26-SUM($D26:H26)</f>
        <v>-12381.0535660502</v>
      </c>
      <c r="J26" s="217" t="n">
        <f aca="false">-HLOOKUP(DATE(J$7,12,31),Idc_Table,IDC!$BB$49)*$A26-SUM($D26:I26)</f>
        <v>0</v>
      </c>
      <c r="K26" s="217" t="n">
        <f aca="false">-HLOOKUP(DATE(K$7,12,31),Idc_Table,IDC!$BB$49)*$A26-SUM($D26:J26)</f>
        <v>0</v>
      </c>
      <c r="L26" s="217" t="n">
        <f aca="false">-HLOOKUP(DATE(L$7,12,31),Idc_Table,IDC!$BB$49)*$A26-SUM($D26:K26)</f>
        <v>0</v>
      </c>
      <c r="M26" s="217" t="n">
        <f aca="false">-HLOOKUP(DATE(M$7,12,31),Idc_Table,IDC!$BB$49)*$A26-SUM($D26:L26)</f>
        <v>0</v>
      </c>
      <c r="N26" s="217" t="n">
        <f aca="false">-HLOOKUP(DATE(N$7,12,31),Idc_Table,IDC!$BB$49)*$A26-SUM($D26:M26)</f>
        <v>0</v>
      </c>
      <c r="O26" s="217" t="n">
        <f aca="false">-HLOOKUP(DATE(O$7,12,31),Idc_Table,IDC!$BB$49)*$A26-SUM($D26:N26)</f>
        <v>0</v>
      </c>
      <c r="P26" s="217" t="n">
        <f aca="false">-HLOOKUP(DATE(P$7,12,31),Idc_Table,IDC!$BB$49)*$A26-SUM($D26:O26)</f>
        <v>0</v>
      </c>
      <c r="Q26" s="217" t="n">
        <f aca="false">-HLOOKUP(DATE(Q$7,12,31),Idc_Table,IDC!$BB$49)*$A26-SUM($D26:P26)</f>
        <v>0</v>
      </c>
      <c r="R26" s="217" t="n">
        <f aca="false">-HLOOKUP(DATE(R$7,12,31),Idc_Table,IDC!$BB$49)*$A26-SUM($D26:Q26)</f>
        <v>0</v>
      </c>
      <c r="S26" s="217" t="n">
        <f aca="false">-HLOOKUP(DATE(S$7,12,31),Idc_Table,IDC!$BB$49)*$A26-SUM($D26:R26)</f>
        <v>0</v>
      </c>
      <c r="T26" s="217" t="n">
        <f aca="false">-HLOOKUP(DATE(T$7,12,31),Idc_Table,IDC!$BB$49)*$A26-SUM($D26:S26)</f>
        <v>0</v>
      </c>
      <c r="U26" s="217" t="n">
        <f aca="false">-HLOOKUP(DATE(U$7,12,31),Idc_Table,IDC!$BB$49)*$A26-SUM($D26:T26)</f>
        <v>0</v>
      </c>
      <c r="V26" s="217" t="n">
        <f aca="false">-HLOOKUP(DATE(V$7,12,31),Idc_Table,IDC!$BB$49)*$A26-SUM($D26:U26)</f>
        <v>0</v>
      </c>
      <c r="W26" s="217" t="n">
        <f aca="false">-HLOOKUP(DATE(W$7,12,31),Idc_Table,IDC!$BB$49)*$A26-SUM($D26:V26)</f>
        <v>0</v>
      </c>
      <c r="X26" s="217" t="n">
        <f aca="false">-HLOOKUP(DATE(X$7,12,31),Idc_Table,IDC!$BB$49)*$A26-SUM($D26:W26)</f>
        <v>0</v>
      </c>
      <c r="Y26" s="217" t="n">
        <f aca="false">-HLOOKUP(DATE(Y$7,12,31),Idc_Table,IDC!$BB$49)*$A26-SUM($D26:X26)</f>
        <v>0</v>
      </c>
      <c r="Z26" s="217" t="n">
        <f aca="false">-HLOOKUP(DATE(Z$7,12,31),Idc_Table,IDC!$BB$49)*$A26-SUM($D26:Y26)</f>
        <v>0</v>
      </c>
      <c r="AA26" s="217" t="n">
        <f aca="false">-HLOOKUP(DATE(AA$7,12,31),Idc_Table,IDC!$BB$49)*$A26-SUM($D26:Z26)</f>
        <v>0</v>
      </c>
      <c r="AB26" s="574" t="n">
        <f aca="false">SUM(E26:AA26)</f>
        <v>-49749.8130727587</v>
      </c>
      <c r="AC26" s="641" t="n">
        <f aca="false">IF('Project &amp; Investor Returns'!$I$3=0,F26+NPV(Disc,G26:AA26),E26+NPV(Disc,F26:AA26))</f>
        <v>-33735.6162706506</v>
      </c>
    </row>
    <row r="27" customFormat="false" ht="12.75" hidden="false" customHeight="false" outlineLevel="0" collapsed="false">
      <c r="A27" s="659"/>
      <c r="B27" s="38" t="s">
        <v>903</v>
      </c>
      <c r="E27" s="610" t="n">
        <f aca="false">IF(E$7&lt;YEAR(Startops1),0,-HLOOKUP(E$7,CF_Table,CF!$AB$71)*$A26)</f>
        <v>0</v>
      </c>
      <c r="F27" s="610" t="n">
        <f aca="false">IF(F$7&lt;YEAR(Startops1),0,-HLOOKUP(F$7,CF_Table,CF!$AB$71)*$A26)</f>
        <v>0</v>
      </c>
      <c r="G27" s="610" t="n">
        <f aca="false">IF(G$7&lt;YEAR(Startops1),0,-HLOOKUP(G$7,CF_Table,CF!$AB$71)*$A26)</f>
        <v>0</v>
      </c>
      <c r="H27" s="610" t="n">
        <f aca="false">IF(H$7&lt;YEAR(Startops1),0,-HLOOKUP(H$7,CF_Table,CF!$AB$71)*$A26)</f>
        <v>0</v>
      </c>
      <c r="I27" s="610" t="n">
        <f aca="false">IF(I$7&lt;YEAR(Startops1),0,-HLOOKUP(I$7,CF_Table,CF!$AB$71)*$A26)</f>
        <v>0</v>
      </c>
      <c r="J27" s="610" t="n">
        <f aca="false">IF(J$7&lt;YEAR(Startops1),0,-HLOOKUP(J$7,CF_Table,CF!$AB$71)*$A26)</f>
        <v>2228.4103888757</v>
      </c>
      <c r="K27" s="610" t="n">
        <f aca="false">IF(K$7&lt;YEAR(Startops1),0,-HLOOKUP(K$7,CF_Table,CF!$AB$71)*$A26)</f>
        <v>2527.51877332254</v>
      </c>
      <c r="L27" s="610" t="n">
        <f aca="false">IF(L$7&lt;YEAR(Startops1),0,-HLOOKUP(L$7,CF_Table,CF!$AB$71)*$A26)</f>
        <v>2866.77498067176</v>
      </c>
      <c r="M27" s="610" t="n">
        <f aca="false">IF(M$7&lt;YEAR(Startops1),0,-HLOOKUP(M$7,CF_Table,CF!$AB$71)*$A26)</f>
        <v>3251.56785245242</v>
      </c>
      <c r="N27" s="610" t="n">
        <f aca="false">IF(N$7&lt;YEAR(Startops1),0,-HLOOKUP(N$7,CF_Table,CF!$AB$71)*$A26)</f>
        <v>3688.00954744785</v>
      </c>
      <c r="O27" s="610" t="n">
        <f aca="false">IF(O$7&lt;YEAR(Startops1),0,-HLOOKUP(O$7,CF_Table,CF!$AB$71)*$A26)</f>
        <v>4183.03262895404</v>
      </c>
      <c r="P27" s="610" t="n">
        <f aca="false">IF(P$7&lt;YEAR(Startops1),0,-HLOOKUP(P$7,CF_Table,CF!$AB$71)*$A26)</f>
        <v>4744.5001835754</v>
      </c>
      <c r="Q27" s="610" t="n">
        <f aca="false">IF(Q$7&lt;YEAR(Startops1),0,-HLOOKUP(Q$7,CF_Table,CF!$AB$71)*$A26)</f>
        <v>5381.3307207158</v>
      </c>
      <c r="R27" s="610" t="n">
        <f aca="false">IF(R$7&lt;YEAR(Startops1),0,-HLOOKUP(R$7,CF_Table,CF!$AB$71)*$A26)</f>
        <v>6103.63983670388</v>
      </c>
      <c r="S27" s="610" t="n">
        <f aca="false">IF(S$7&lt;YEAR(Startops1),0,-HLOOKUP(S$7,CF_Table,CF!$AB$71)*$A26)</f>
        <v>6922.90089378546</v>
      </c>
      <c r="T27" s="610" t="n">
        <f aca="false">IF(T$7&lt;YEAR(Startops1),0,-HLOOKUP(T$7,CF_Table,CF!$AB$71)*$A26)</f>
        <v>7852.12726625381</v>
      </c>
      <c r="U27" s="610" t="n">
        <f aca="false">IF(U$7&lt;YEAR(Startops1),0,-HLOOKUP(U$7,CF_Table,CF!$AB$71)*$A26)</f>
        <v>0</v>
      </c>
      <c r="V27" s="610" t="n">
        <f aca="false">IF(V$7&lt;YEAR(Startops1),0,-HLOOKUP(V$7,CF_Table,CF!$AB$71)*$A26)</f>
        <v>0</v>
      </c>
      <c r="W27" s="610" t="n">
        <f aca="false">IF(W$7&lt;YEAR(Startops1),0,-HLOOKUP(W$7,CF_Table,CF!$AB$71)*$A26)</f>
        <v>0</v>
      </c>
      <c r="X27" s="610" t="n">
        <f aca="false">IF(X$7&lt;YEAR(Startops1),0,-HLOOKUP(X$7,CF_Table,CF!$AB$71)*$A26)</f>
        <v>0</v>
      </c>
      <c r="Y27" s="610" t="n">
        <f aca="false">IF(Y$7&lt;YEAR(Startops1),0,-HLOOKUP(Y$7,CF_Table,CF!$AB$71)*$A26)</f>
        <v>0</v>
      </c>
      <c r="Z27" s="610" t="n">
        <f aca="false">IF(Z$7&lt;YEAR(Startops1),0,-HLOOKUP(Z$7,CF_Table,CF!$AB$71)*$A26)</f>
        <v>0</v>
      </c>
      <c r="AA27" s="610" t="n">
        <f aca="false">IF(AA$7&lt;YEAR(Startops1),0,-HLOOKUP(AA$7,CF_Table,CF!$AB$71)*$A26)</f>
        <v>0</v>
      </c>
      <c r="AB27" s="574" t="n">
        <f aca="false">SUM(E27:AA27)</f>
        <v>49749.8130727587</v>
      </c>
      <c r="AC27" s="641" t="n">
        <f aca="false">IF('Project &amp; Investor Returns'!$I$3=0,F27+NPV(Disc,G27:AA27),E27+NPV(Disc,F27:AA27))</f>
        <v>9726.42985846738</v>
      </c>
    </row>
    <row r="28" customFormat="false" ht="12.75" hidden="false" customHeight="false" outlineLevel="0" collapsed="false">
      <c r="A28" s="37"/>
      <c r="B28" s="38" t="s">
        <v>904</v>
      </c>
      <c r="D28" s="263" t="s">
        <v>407</v>
      </c>
      <c r="E28" s="610" t="n">
        <f aca="false">IF(E$7&lt;YEAR(Startops1),0,-HLOOKUP(E$7,CF_Table,CF!$AB$45)*$A26)</f>
        <v>0</v>
      </c>
      <c r="F28" s="610" t="n">
        <f aca="false">IF(F$7&lt;YEAR(Startops1),0,-HLOOKUP(F$7,CF_Table,CF!$AB$45)*$A26)</f>
        <v>0</v>
      </c>
      <c r="G28" s="610" t="n">
        <f aca="false">IF(G$7&lt;YEAR(Startops1),0,-HLOOKUP(G$7,CF_Table,CF!$AB$45)*$A26)</f>
        <v>0</v>
      </c>
      <c r="H28" s="610" t="n">
        <f aca="false">IF(H$7&lt;YEAR(Startops1),0,-HLOOKUP(H$7,CF_Table,CF!$AB$45)*$A26)</f>
        <v>0</v>
      </c>
      <c r="I28" s="610" t="n">
        <f aca="false">IF(I$7&lt;YEAR(Startops1),0,-HLOOKUP(I$7,CF_Table,CF!$AB$45)*$A26)</f>
        <v>2694.78154144109</v>
      </c>
      <c r="J28" s="610" t="n">
        <f aca="false">IF(J$7&lt;YEAR(Startops1),0,-HLOOKUP(J$7,CF_Table,CF!$AB$45)*$A26)</f>
        <v>6397.33203104365</v>
      </c>
      <c r="K28" s="610" t="n">
        <f aca="false">IF(K$7&lt;YEAR(Startops1),0,-HLOOKUP(K$7,CF_Table,CF!$AB$45)*$A26)</f>
        <v>6098.22364659681</v>
      </c>
      <c r="L28" s="610" t="n">
        <f aca="false">IF(L$7&lt;YEAR(Startops1),0,-HLOOKUP(L$7,CF_Table,CF!$AB$45)*$A26)</f>
        <v>5758.9674392476</v>
      </c>
      <c r="M28" s="610" t="n">
        <f aca="false">IF(M$7&lt;YEAR(Startops1),0,-HLOOKUP(M$7,CF_Table,CF!$AB$45)*$A26)</f>
        <v>5374.17456746693</v>
      </c>
      <c r="N28" s="610" t="n">
        <f aca="false">IF(N$7&lt;YEAR(Startops1),0,-HLOOKUP(N$7,CF_Table,CF!$AB$45)*$A26)</f>
        <v>4937.7328724715</v>
      </c>
      <c r="O28" s="610" t="n">
        <f aca="false">IF(O$7&lt;YEAR(Startops1),0,-HLOOKUP(O$7,CF_Table,CF!$AB$45)*$A26)</f>
        <v>4442.70979096531</v>
      </c>
      <c r="P28" s="610" t="n">
        <f aca="false">IF(P$7&lt;YEAR(Startops1),0,-HLOOKUP(P$7,CF_Table,CF!$AB$45)*$A26)</f>
        <v>3881.24223634396</v>
      </c>
      <c r="Q28" s="610" t="n">
        <f aca="false">IF(Q$7&lt;YEAR(Startops1),0,-HLOOKUP(Q$7,CF_Table,CF!$AB$45)*$A26)</f>
        <v>3244.41169920355</v>
      </c>
      <c r="R28" s="610" t="n">
        <f aca="false">IF(R$7&lt;YEAR(Startops1),0,-HLOOKUP(R$7,CF_Table,CF!$AB$45)*$A26)</f>
        <v>2522.10258321547</v>
      </c>
      <c r="S28" s="610" t="n">
        <f aca="false">IF(S$7&lt;YEAR(Startops1),0,-HLOOKUP(S$7,CF_Table,CF!$AB$45)*$A26)</f>
        <v>1702.84152613389</v>
      </c>
      <c r="T28" s="610" t="n">
        <f aca="false">IF(T$7&lt;YEAR(Startops1),0,-HLOOKUP(T$7,CF_Table,CF!$AB$45)*$A26)</f>
        <v>773.615153665539</v>
      </c>
      <c r="U28" s="610" t="n">
        <f aca="false">IF(U$7&lt;YEAR(Startops1),0,-HLOOKUP(U$7,CF_Table,CF!$AB$45)*$A26)</f>
        <v>0</v>
      </c>
      <c r="V28" s="610" t="n">
        <f aca="false">IF(V$7&lt;YEAR(Startops1),0,-HLOOKUP(V$7,CF_Table,CF!$AB$45)*$A26)</f>
        <v>0</v>
      </c>
      <c r="W28" s="610" t="n">
        <f aca="false">IF(W$7&lt;YEAR(Startops1),0,-HLOOKUP(W$7,CF_Table,CF!$AB$45)*$A26)</f>
        <v>0</v>
      </c>
      <c r="X28" s="610" t="n">
        <f aca="false">IF(X$7&lt;YEAR(Startops1),0,-HLOOKUP(X$7,CF_Table,CF!$AB$45)*$A26)</f>
        <v>0</v>
      </c>
      <c r="Y28" s="610" t="n">
        <f aca="false">IF(Y$7&lt;YEAR(Startops1),0,-HLOOKUP(Y$7,CF_Table,CF!$AB$45)*$A26)</f>
        <v>0</v>
      </c>
      <c r="Z28" s="610" t="n">
        <f aca="false">IF(Z$7&lt;YEAR(Startops1),0,-HLOOKUP(Z$7,CF_Table,CF!$AB$45)*$A26)</f>
        <v>0</v>
      </c>
      <c r="AA28" s="610" t="n">
        <f aca="false">IF(AA$7&lt;YEAR(Startops1),0,-HLOOKUP(AA$7,CF_Table,CF!$AB$45)*$A26)</f>
        <v>0</v>
      </c>
      <c r="AB28" s="574" t="n">
        <f aca="false">SUM(E28:AA28)</f>
        <v>47828.1350877953</v>
      </c>
      <c r="AC28" s="641" t="n">
        <f aca="false">IF('Project &amp; Investor Returns'!$I$3=0,F28+NPV(Disc,G28:AA28),E28+NPV(Disc,F28:AA28))</f>
        <v>14837.5275746668</v>
      </c>
      <c r="AG28" s="667"/>
    </row>
    <row r="29" customFormat="false" ht="12.75" hidden="false" customHeight="false" outlineLevel="0" collapsed="false">
      <c r="A29" s="37"/>
      <c r="B29" s="38" t="s">
        <v>905</v>
      </c>
      <c r="D29" s="263"/>
      <c r="E29" s="610" t="n">
        <f aca="false">IF(E7=YEAR(Assm!$AB$94),-Assm!$AB$103,0)*$A$26</f>
        <v>0</v>
      </c>
      <c r="F29" s="610" t="n">
        <f aca="false">IF(F7=YEAR(Assm!$AB$94),-Assm!$AB$103,0)*$A$26</f>
        <v>0</v>
      </c>
      <c r="G29" s="610" t="n">
        <f aca="false">IF(G7=YEAR(Assm!$AB$94),-Assm!$AB$103,0)*$A$26</f>
        <v>0</v>
      </c>
      <c r="H29" s="610" t="n">
        <f aca="false">IF(H7=YEAR(Assm!$AB$94),-Assm!$AB$103,0)*$A$26</f>
        <v>0</v>
      </c>
      <c r="I29" s="610" t="n">
        <f aca="false">IF(I7=YEAR(Assm!$AB$94),-Assm!$AB$103,0)*$A$26</f>
        <v>-0</v>
      </c>
      <c r="J29" s="610" t="n">
        <f aca="false">IF(J7=YEAR(Assm!$AB$94),-Assm!$AB$103,0)*$A$26</f>
        <v>0</v>
      </c>
      <c r="K29" s="610" t="n">
        <f aca="false">IF(K7=YEAR(Assm!$AB$94),-Assm!$AB$103,0)*$A$26</f>
        <v>0</v>
      </c>
      <c r="L29" s="610" t="n">
        <f aca="false">IF(L7=YEAR(Assm!$AB$94),-Assm!$AB$103,0)*$A$26</f>
        <v>0</v>
      </c>
      <c r="M29" s="610" t="n">
        <f aca="false">IF(M7=YEAR(Assm!$AB$94),-Assm!$AB$103,0)*$A$26</f>
        <v>0</v>
      </c>
      <c r="N29" s="610" t="n">
        <f aca="false">IF(N7=YEAR(Assm!$AB$94),-Assm!$AB$103,0)*$A$26</f>
        <v>0</v>
      </c>
      <c r="O29" s="610" t="n">
        <f aca="false">IF(O7=YEAR(Assm!$AB$94),-Assm!$AB$103,0)*$A$26</f>
        <v>0</v>
      </c>
      <c r="P29" s="610" t="n">
        <f aca="false">IF(P7=YEAR(Assm!$AB$94),-Assm!$AB$103,0)*$A$26</f>
        <v>0</v>
      </c>
      <c r="Q29" s="610" t="n">
        <f aca="false">IF(Q7=YEAR(Assm!$AB$94),-Assm!$AB$103,0)*$A$26</f>
        <v>0</v>
      </c>
      <c r="R29" s="610" t="n">
        <f aca="false">IF(R7=YEAR(Assm!$AB$94),-Assm!$AB$103,0)*$A$26</f>
        <v>0</v>
      </c>
      <c r="S29" s="610" t="n">
        <f aca="false">IF(S7=YEAR(Assm!$AB$94),-Assm!$AB$103,0)*$A$26</f>
        <v>0</v>
      </c>
      <c r="T29" s="610" t="n">
        <f aca="false">IF(T7=YEAR(Assm!$AB$94),-Assm!$AB$103,0)*$A$26</f>
        <v>0</v>
      </c>
      <c r="U29" s="610" t="n">
        <f aca="false">IF(U7=YEAR(Assm!$AB$94),-Assm!$AB$103,0)*$A$26</f>
        <v>0</v>
      </c>
      <c r="V29" s="610" t="n">
        <f aca="false">IF(V7=YEAR(Assm!$AB$94),-Assm!$AB$103,0)*$A$26</f>
        <v>0</v>
      </c>
      <c r="W29" s="610" t="n">
        <f aca="false">IF(W7=YEAR(Assm!$AB$94),-Assm!$AB$103,0)*$A$26</f>
        <v>0</v>
      </c>
      <c r="X29" s="610" t="n">
        <f aca="false">IF(X7=YEAR(Assm!$AB$94),-Assm!$AB$103,0)*$A$26</f>
        <v>0</v>
      </c>
      <c r="Y29" s="610" t="n">
        <f aca="false">IF(Y7=YEAR(Assm!$AB$94),-Assm!$AB$103,0)*$A$26</f>
        <v>0</v>
      </c>
      <c r="Z29" s="610" t="n">
        <f aca="false">IF(Z7=YEAR(Assm!$AB$94),-Assm!$AB$103,0)*$A$26</f>
        <v>0</v>
      </c>
      <c r="AA29" s="610" t="n">
        <f aca="false">IF(AA7=YEAR(Assm!$AB$94),-Assm!$AB$103,0)*$A$26</f>
        <v>0</v>
      </c>
      <c r="AB29" s="574" t="n">
        <f aca="false">SUM(E29:AA29)</f>
        <v>0</v>
      </c>
      <c r="AC29" s="641" t="n">
        <f aca="false">IF('Project &amp; Investor Returns'!$I$3=0,F29+NPV(Disc,G29:AA29),E29+NPV(Disc,F29:AA29))</f>
        <v>0</v>
      </c>
      <c r="AG29" s="667"/>
    </row>
    <row r="30" customFormat="false" ht="12.75" hidden="false" customHeight="false" outlineLevel="0" collapsed="false">
      <c r="A30" s="302"/>
      <c r="B30" s="38" t="s">
        <v>906</v>
      </c>
      <c r="C30" s="529" t="n">
        <f aca="false">USTax*0</f>
        <v>0</v>
      </c>
      <c r="D30" s="79"/>
      <c r="E30" s="220" t="n">
        <f aca="false">-SUM(E28)*C30</f>
        <v>-0</v>
      </c>
      <c r="F30" s="220" t="n">
        <f aca="false">-SUM(F28)*D30</f>
        <v>-0</v>
      </c>
      <c r="G30" s="220" t="n">
        <f aca="false">-SUM(G28)*E30</f>
        <v>0</v>
      </c>
      <c r="H30" s="220" t="n">
        <f aca="false">-SUM(H28)*F30</f>
        <v>0</v>
      </c>
      <c r="I30" s="220" t="n">
        <f aca="false">-SUM(I28)*G30</f>
        <v>-0</v>
      </c>
      <c r="J30" s="220" t="n">
        <f aca="false">-SUM(J28)*H30</f>
        <v>-0</v>
      </c>
      <c r="K30" s="220" t="n">
        <f aca="false">-SUM(K28)*I30</f>
        <v>0</v>
      </c>
      <c r="L30" s="220" t="n">
        <f aca="false">-SUM(L28)*J30</f>
        <v>0</v>
      </c>
      <c r="M30" s="220" t="n">
        <f aca="false">-SUM(M28)*K30</f>
        <v>-0</v>
      </c>
      <c r="N30" s="220" t="n">
        <f aca="false">-SUM(N28)*L30</f>
        <v>-0</v>
      </c>
      <c r="O30" s="220" t="n">
        <f aca="false">-SUM(O28)*M30</f>
        <v>0</v>
      </c>
      <c r="P30" s="220" t="n">
        <f aca="false">-SUM(P28)*N30</f>
        <v>0</v>
      </c>
      <c r="Q30" s="220" t="n">
        <f aca="false">-SUM(Q28)*O30</f>
        <v>-0</v>
      </c>
      <c r="R30" s="220" t="n">
        <f aca="false">-SUM(R28)*P30</f>
        <v>-0</v>
      </c>
      <c r="S30" s="220" t="n">
        <f aca="false">-SUM(S28)*Q30</f>
        <v>0</v>
      </c>
      <c r="T30" s="220" t="n">
        <f aca="false">-SUM(T28)*R30</f>
        <v>0</v>
      </c>
      <c r="U30" s="220" t="n">
        <f aca="false">-SUM(U28)*S30</f>
        <v>-0</v>
      </c>
      <c r="V30" s="220" t="n">
        <f aca="false">-SUM(V28)*T30</f>
        <v>-0</v>
      </c>
      <c r="W30" s="220" t="n">
        <f aca="false">-SUM(W28)*U30</f>
        <v>0</v>
      </c>
      <c r="X30" s="220" t="n">
        <f aca="false">-SUM(X28)*V30</f>
        <v>0</v>
      </c>
      <c r="Y30" s="220" t="n">
        <f aca="false">-SUM(Y28)*W30</f>
        <v>-0</v>
      </c>
      <c r="Z30" s="220" t="n">
        <f aca="false">-SUM(Z28)*X30</f>
        <v>-0</v>
      </c>
      <c r="AA30" s="220" t="n">
        <f aca="false">-SUM(AA28)*Y30</f>
        <v>0</v>
      </c>
      <c r="AB30" s="576" t="n">
        <f aca="false">SUM(E30:AA30)</f>
        <v>0</v>
      </c>
      <c r="AC30" s="643" t="n">
        <f aca="false">IF('Project &amp; Investor Returns'!$I$3=0,F30+NPV(Disc,G30:AA30),E30+NPV(Disc,F30:AA30))</f>
        <v>0</v>
      </c>
      <c r="AE30" s="414"/>
      <c r="AF30" s="414"/>
      <c r="AG30" s="667"/>
      <c r="AH30" s="414"/>
      <c r="AI30" s="414"/>
      <c r="AJ30" s="414"/>
      <c r="AK30" s="414"/>
      <c r="AL30" s="414"/>
      <c r="AM30" s="414"/>
      <c r="AN30" s="414"/>
      <c r="AO30" s="414"/>
      <c r="AP30" s="414"/>
      <c r="AQ30" s="414"/>
      <c r="AR30" s="414"/>
      <c r="AS30" s="414"/>
      <c r="AT30" s="414"/>
      <c r="AU30" s="414"/>
      <c r="AV30" s="414"/>
      <c r="AW30" s="414"/>
      <c r="AX30" s="414"/>
      <c r="AY30" s="414"/>
      <c r="AZ30" s="414"/>
      <c r="BA30" s="414"/>
      <c r="BB30" s="414"/>
      <c r="BC30" s="414"/>
      <c r="BD30" s="414"/>
      <c r="BE30" s="414"/>
      <c r="BF30" s="414"/>
      <c r="BG30" s="414"/>
      <c r="BH30" s="414"/>
      <c r="BI30" s="414"/>
      <c r="BJ30" s="414"/>
      <c r="BK30" s="414"/>
      <c r="BL30" s="414"/>
      <c r="BM30" s="414"/>
      <c r="BN30" s="414"/>
      <c r="BO30" s="414"/>
      <c r="BP30" s="414"/>
      <c r="BQ30" s="414"/>
      <c r="BR30" s="414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  <c r="CH30" s="414"/>
      <c r="CI30" s="414"/>
      <c r="CJ30" s="414"/>
      <c r="CK30" s="414"/>
      <c r="CL30" s="414"/>
      <c r="CM30" s="414"/>
      <c r="CN30" s="414"/>
      <c r="CO30" s="414"/>
      <c r="CP30" s="414"/>
      <c r="CQ30" s="414"/>
      <c r="CR30" s="414"/>
      <c r="CS30" s="414"/>
      <c r="CT30" s="414"/>
      <c r="CU30" s="414"/>
      <c r="CV30" s="414"/>
      <c r="CW30" s="414"/>
      <c r="CX30" s="414"/>
      <c r="CY30" s="414"/>
      <c r="CZ30" s="414"/>
      <c r="DA30" s="414"/>
      <c r="DB30" s="414"/>
      <c r="DC30" s="414"/>
      <c r="DD30" s="414"/>
      <c r="DE30" s="414"/>
      <c r="DF30" s="414"/>
      <c r="DG30" s="414"/>
      <c r="DH30" s="414"/>
      <c r="DI30" s="414"/>
      <c r="DJ30" s="414"/>
      <c r="DK30" s="414"/>
      <c r="DL30" s="414"/>
      <c r="DM30" s="414"/>
      <c r="DN30" s="414"/>
      <c r="DO30" s="414"/>
      <c r="DP30" s="414"/>
      <c r="DQ30" s="414"/>
      <c r="DR30" s="414"/>
      <c r="DS30" s="414"/>
      <c r="DT30" s="414"/>
      <c r="DU30" s="414"/>
      <c r="DV30" s="414"/>
      <c r="DW30" s="414"/>
      <c r="DX30" s="414"/>
      <c r="DY30" s="414"/>
      <c r="DZ30" s="414"/>
      <c r="EA30" s="414"/>
      <c r="EB30" s="414"/>
      <c r="EC30" s="414"/>
      <c r="ED30" s="414"/>
      <c r="EE30" s="414"/>
      <c r="EF30" s="414"/>
      <c r="EG30" s="414"/>
      <c r="EH30" s="414"/>
      <c r="EI30" s="414"/>
      <c r="EJ30" s="414"/>
      <c r="EK30" s="414"/>
      <c r="EL30" s="414"/>
      <c r="EM30" s="414"/>
      <c r="EN30" s="414"/>
      <c r="EO30" s="414"/>
      <c r="EP30" s="414"/>
      <c r="EQ30" s="414"/>
      <c r="ER30" s="414"/>
      <c r="ES30" s="414"/>
      <c r="ET30" s="414"/>
      <c r="EU30" s="414"/>
      <c r="EV30" s="414"/>
      <c r="EW30" s="414"/>
      <c r="EX30" s="414"/>
      <c r="EY30" s="414"/>
      <c r="EZ30" s="414"/>
      <c r="FA30" s="414"/>
      <c r="FB30" s="414"/>
      <c r="FC30" s="414"/>
      <c r="FD30" s="414"/>
      <c r="FE30" s="414"/>
      <c r="FF30" s="414"/>
      <c r="FG30" s="414"/>
      <c r="FH30" s="414"/>
      <c r="FI30" s="414"/>
      <c r="FJ30" s="414"/>
      <c r="FK30" s="414"/>
      <c r="FL30" s="414"/>
      <c r="FM30" s="414"/>
      <c r="FN30" s="414"/>
      <c r="FO30" s="414"/>
      <c r="FP30" s="414"/>
      <c r="FQ30" s="414"/>
      <c r="FR30" s="414"/>
      <c r="FS30" s="414"/>
      <c r="FT30" s="414"/>
      <c r="FU30" s="414"/>
      <c r="FV30" s="414"/>
      <c r="FW30" s="414"/>
      <c r="FX30" s="414"/>
      <c r="FY30" s="414"/>
      <c r="FZ30" s="414"/>
      <c r="GA30" s="414"/>
      <c r="GB30" s="414"/>
      <c r="GC30" s="414"/>
      <c r="GD30" s="414"/>
      <c r="GE30" s="414"/>
      <c r="GF30" s="414"/>
      <c r="GG30" s="414"/>
      <c r="GH30" s="414"/>
      <c r="GI30" s="414"/>
      <c r="GJ30" s="414"/>
      <c r="GK30" s="414"/>
      <c r="GL30" s="414"/>
      <c r="GM30" s="414"/>
      <c r="GN30" s="414"/>
      <c r="GO30" s="414"/>
      <c r="GP30" s="414"/>
      <c r="GQ30" s="414"/>
      <c r="GR30" s="414"/>
      <c r="GS30" s="414"/>
      <c r="GT30" s="414"/>
      <c r="GU30" s="414"/>
      <c r="GV30" s="414"/>
      <c r="GW30" s="414"/>
      <c r="GX30" s="414"/>
      <c r="GY30" s="414"/>
      <c r="GZ30" s="414"/>
      <c r="HA30" s="414"/>
      <c r="HB30" s="414"/>
      <c r="HC30" s="414"/>
      <c r="HD30" s="414"/>
      <c r="HE30" s="414"/>
      <c r="HF30" s="414"/>
      <c r="HG30" s="414"/>
      <c r="HH30" s="414"/>
      <c r="HI30" s="414"/>
      <c r="HJ30" s="414"/>
      <c r="HK30" s="414"/>
      <c r="HL30" s="414"/>
      <c r="HM30" s="414"/>
      <c r="HN30" s="414"/>
      <c r="HO30" s="414"/>
      <c r="HP30" s="414"/>
      <c r="HQ30" s="414"/>
      <c r="HR30" s="414"/>
      <c r="HS30" s="414"/>
      <c r="HT30" s="414"/>
      <c r="HU30" s="414"/>
      <c r="HV30" s="414"/>
      <c r="HW30" s="414"/>
      <c r="HX30" s="414"/>
      <c r="HY30" s="414"/>
      <c r="HZ30" s="414"/>
      <c r="IA30" s="414"/>
      <c r="IB30" s="414"/>
      <c r="IC30" s="414"/>
      <c r="ID30" s="414"/>
      <c r="IE30" s="414"/>
      <c r="IF30" s="414"/>
      <c r="IG30" s="414"/>
      <c r="IH30" s="414"/>
      <c r="II30" s="414"/>
      <c r="IJ30" s="414"/>
      <c r="IK30" s="414"/>
      <c r="IL30" s="414"/>
      <c r="IM30" s="414"/>
      <c r="IN30" s="414"/>
      <c r="IO30" s="414"/>
      <c r="IP30" s="414"/>
      <c r="IQ30" s="414"/>
      <c r="IR30" s="414"/>
      <c r="IS30" s="414"/>
      <c r="IT30" s="414"/>
      <c r="IU30" s="414"/>
      <c r="IV30" s="414"/>
      <c r="IW30" s="414"/>
    </row>
    <row r="31" customFormat="false" ht="12.75" hidden="false" customHeight="false" outlineLevel="0" collapsed="false">
      <c r="A31" s="698"/>
      <c r="B31" s="38" t="s">
        <v>907</v>
      </c>
      <c r="E31" s="217" t="n">
        <f aca="false">SUM(E25:E30)</f>
        <v>0</v>
      </c>
      <c r="F31" s="217" t="n">
        <f aca="false">SUM(F25:F30)</f>
        <v>-92793.5702049191</v>
      </c>
      <c r="G31" s="217" t="n">
        <f aca="false">SUM(G25:G30)</f>
        <v>-1978.50807527969</v>
      </c>
      <c r="H31" s="217" t="n">
        <f aca="false">SUM(H25:H30)</f>
        <v>-126803.99091179</v>
      </c>
      <c r="I31" s="217" t="n">
        <f aca="false">SUM(I25:I30)</f>
        <v>5523.03743467368</v>
      </c>
      <c r="J31" s="217" t="n">
        <f aca="false">SUM(J25:J30)</f>
        <v>9389.74886879583</v>
      </c>
      <c r="K31" s="217" t="n">
        <f aca="false">SUM(K25:K30)</f>
        <v>14163.9301177146</v>
      </c>
      <c r="L31" s="217" t="n">
        <f aca="false">SUM(L25:L30)</f>
        <v>-314.017700855777</v>
      </c>
      <c r="M31" s="217" t="n">
        <f aca="false">SUM(M25:M30)</f>
        <v>21466.3281362027</v>
      </c>
      <c r="N31" s="217" t="n">
        <f aca="false">SUM(N25:N30)</f>
        <v>22676.1883766424</v>
      </c>
      <c r="O31" s="217" t="n">
        <f aca="false">SUM(O25:O30)</f>
        <v>19680.895929008</v>
      </c>
      <c r="P31" s="217" t="n">
        <f aca="false">SUM(P25:P30)</f>
        <v>17964.6627921299</v>
      </c>
      <c r="Q31" s="217" t="n">
        <f aca="false">SUM(Q25:Q30)</f>
        <v>19960.9484080371</v>
      </c>
      <c r="R31" s="217" t="n">
        <f aca="false">SUM(R25:R30)</f>
        <v>21109.1130071031</v>
      </c>
      <c r="S31" s="217" t="n">
        <f aca="false">SUM(S25:S30)</f>
        <v>16578.8908934586</v>
      </c>
      <c r="T31" s="217" t="n">
        <f aca="false">SUM(T25:T30)</f>
        <v>14625.799128065</v>
      </c>
      <c r="U31" s="217" t="n">
        <f aca="false">SUM(U25:U30)</f>
        <v>22595.0197479671</v>
      </c>
      <c r="V31" s="217" t="n">
        <f aca="false">SUM(V25:V30)</f>
        <v>8278.35028132677</v>
      </c>
      <c r="W31" s="217" t="n">
        <f aca="false">SUM(W25:W30)</f>
        <v>-3309.71793129856</v>
      </c>
      <c r="X31" s="217" t="n">
        <f aca="false">SUM(X25:X30)</f>
        <v>4765.34550604514</v>
      </c>
      <c r="Y31" s="217" t="n">
        <f aca="false">SUM(Y25:Y30)</f>
        <v>3123.83443130359</v>
      </c>
      <c r="Z31" s="217" t="n">
        <f aca="false">SUM(Z25:Z30)</f>
        <v>4377.13126709188</v>
      </c>
      <c r="AA31" s="217" t="n">
        <f aca="false">SUM(AA25:AA30)</f>
        <v>5381.49587781895</v>
      </c>
      <c r="AB31" s="574" t="n">
        <f aca="false">SUM(E31:AA31)</f>
        <v>6460.91537924092</v>
      </c>
      <c r="AC31" s="574" t="n">
        <f aca="false">SUM(AC25:AC30)</f>
        <v>-139786.346835268</v>
      </c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666"/>
      <c r="BH31" s="666"/>
      <c r="BI31" s="666"/>
      <c r="BJ31" s="666"/>
      <c r="BK31" s="666"/>
      <c r="BL31" s="666"/>
      <c r="BM31" s="666"/>
      <c r="BN31" s="666"/>
      <c r="BO31" s="666"/>
      <c r="BP31" s="666"/>
      <c r="BQ31" s="666"/>
      <c r="BR31" s="666"/>
      <c r="BS31" s="666"/>
      <c r="BT31" s="666"/>
      <c r="BU31" s="666"/>
      <c r="BV31" s="666"/>
      <c r="BW31" s="666"/>
      <c r="BX31" s="666"/>
      <c r="BY31" s="666"/>
      <c r="BZ31" s="666"/>
      <c r="CA31" s="666"/>
      <c r="CB31" s="666"/>
      <c r="CC31" s="666"/>
      <c r="CD31" s="666"/>
      <c r="CE31" s="666"/>
      <c r="CF31" s="666"/>
      <c r="CG31" s="666"/>
      <c r="CH31" s="666"/>
      <c r="CI31" s="666"/>
      <c r="CJ31" s="666"/>
      <c r="CK31" s="666"/>
      <c r="CL31" s="666"/>
      <c r="CM31" s="666"/>
      <c r="CN31" s="666"/>
      <c r="CO31" s="666"/>
      <c r="CP31" s="666"/>
      <c r="CQ31" s="666"/>
      <c r="CR31" s="666"/>
      <c r="CS31" s="666"/>
      <c r="CT31" s="666"/>
      <c r="CU31" s="666"/>
      <c r="CV31" s="666"/>
      <c r="CW31" s="666"/>
      <c r="CX31" s="666"/>
      <c r="CY31" s="666"/>
      <c r="CZ31" s="666"/>
      <c r="DA31" s="666"/>
      <c r="DB31" s="666"/>
      <c r="DC31" s="666"/>
      <c r="DD31" s="666"/>
      <c r="DE31" s="666"/>
      <c r="DF31" s="666"/>
      <c r="DG31" s="666"/>
      <c r="DH31" s="666"/>
      <c r="DI31" s="666"/>
      <c r="DJ31" s="666"/>
      <c r="DK31" s="666"/>
      <c r="DL31" s="666"/>
      <c r="DM31" s="666"/>
      <c r="DN31" s="666"/>
      <c r="DO31" s="666"/>
      <c r="DP31" s="666"/>
      <c r="DQ31" s="666"/>
      <c r="DR31" s="666"/>
      <c r="DS31" s="666"/>
      <c r="DT31" s="666"/>
      <c r="DU31" s="666"/>
      <c r="DV31" s="666"/>
      <c r="DW31" s="666"/>
      <c r="DX31" s="666"/>
      <c r="DY31" s="666"/>
      <c r="DZ31" s="666"/>
      <c r="EA31" s="666"/>
      <c r="EB31" s="666"/>
      <c r="EC31" s="666"/>
      <c r="ED31" s="666"/>
      <c r="EE31" s="666"/>
      <c r="EF31" s="666"/>
      <c r="EG31" s="666"/>
      <c r="EH31" s="666"/>
      <c r="EI31" s="666"/>
      <c r="EJ31" s="666"/>
      <c r="EK31" s="666"/>
      <c r="EL31" s="666"/>
      <c r="EM31" s="666"/>
      <c r="EN31" s="666"/>
      <c r="EO31" s="666"/>
      <c r="EP31" s="666"/>
      <c r="EQ31" s="666"/>
      <c r="ER31" s="666"/>
      <c r="ES31" s="666"/>
      <c r="ET31" s="666"/>
      <c r="EU31" s="666"/>
      <c r="EV31" s="666"/>
      <c r="EW31" s="666"/>
      <c r="EX31" s="666"/>
      <c r="EY31" s="666"/>
      <c r="EZ31" s="666"/>
      <c r="FA31" s="666"/>
      <c r="FB31" s="666"/>
      <c r="FC31" s="666"/>
      <c r="FD31" s="666"/>
      <c r="FE31" s="666"/>
      <c r="FF31" s="666"/>
      <c r="FG31" s="666"/>
      <c r="FH31" s="666"/>
      <c r="FI31" s="666"/>
      <c r="FJ31" s="666"/>
      <c r="FK31" s="666"/>
      <c r="FL31" s="666"/>
      <c r="FM31" s="666"/>
      <c r="FN31" s="666"/>
      <c r="FO31" s="666"/>
      <c r="FP31" s="666"/>
      <c r="FQ31" s="666"/>
      <c r="FR31" s="666"/>
      <c r="FS31" s="666"/>
      <c r="FT31" s="666"/>
      <c r="FU31" s="666"/>
      <c r="FV31" s="666"/>
      <c r="FW31" s="666"/>
      <c r="FX31" s="666"/>
      <c r="FY31" s="666"/>
      <c r="FZ31" s="666"/>
      <c r="GA31" s="666"/>
      <c r="GB31" s="666"/>
      <c r="GC31" s="666"/>
      <c r="GD31" s="666"/>
      <c r="GE31" s="666"/>
      <c r="GF31" s="666"/>
      <c r="GG31" s="666"/>
      <c r="GH31" s="666"/>
      <c r="GI31" s="666"/>
      <c r="GJ31" s="666"/>
      <c r="GK31" s="666"/>
      <c r="GL31" s="666"/>
      <c r="GM31" s="666"/>
      <c r="GN31" s="666"/>
      <c r="GO31" s="666"/>
      <c r="GP31" s="666"/>
      <c r="GQ31" s="666"/>
      <c r="GR31" s="666"/>
      <c r="GS31" s="666"/>
      <c r="GT31" s="666"/>
      <c r="GU31" s="666"/>
      <c r="GV31" s="666"/>
      <c r="GW31" s="666"/>
      <c r="GX31" s="666"/>
      <c r="GY31" s="666"/>
      <c r="GZ31" s="666"/>
      <c r="HA31" s="666"/>
      <c r="HB31" s="666"/>
      <c r="HC31" s="666"/>
      <c r="HD31" s="666"/>
      <c r="HE31" s="666"/>
      <c r="HF31" s="666"/>
      <c r="HG31" s="666"/>
      <c r="HH31" s="666"/>
      <c r="HI31" s="666"/>
      <c r="HJ31" s="666"/>
      <c r="HK31" s="666"/>
      <c r="HL31" s="666"/>
      <c r="HM31" s="666"/>
      <c r="HN31" s="666"/>
      <c r="HO31" s="666"/>
      <c r="HP31" s="666"/>
      <c r="HQ31" s="666"/>
      <c r="HR31" s="666"/>
      <c r="HS31" s="666"/>
      <c r="HT31" s="666"/>
      <c r="HU31" s="666"/>
      <c r="HV31" s="666"/>
      <c r="HW31" s="666"/>
      <c r="HX31" s="666"/>
      <c r="HY31" s="666"/>
      <c r="HZ31" s="666"/>
      <c r="IA31" s="666"/>
      <c r="IB31" s="666"/>
      <c r="IC31" s="666"/>
      <c r="ID31" s="666"/>
      <c r="IE31" s="666"/>
      <c r="IF31" s="666"/>
      <c r="IG31" s="666"/>
      <c r="IH31" s="666"/>
      <c r="II31" s="666"/>
      <c r="IJ31" s="666"/>
      <c r="IK31" s="666"/>
      <c r="IL31" s="666"/>
      <c r="IM31" s="666"/>
      <c r="IN31" s="666"/>
      <c r="IO31" s="666"/>
      <c r="IP31" s="666"/>
      <c r="IQ31" s="666"/>
      <c r="IR31" s="666"/>
      <c r="IS31" s="666"/>
      <c r="IT31" s="666"/>
      <c r="IU31" s="666"/>
      <c r="IV31" s="666"/>
      <c r="IW31" s="666"/>
    </row>
    <row r="32" customFormat="false" ht="12.75" hidden="true" customHeight="false" outlineLevel="0" collapsed="false">
      <c r="A32" s="698"/>
      <c r="E32" s="668" t="n">
        <f aca="false">SUM(E26:E30)</f>
        <v>0</v>
      </c>
      <c r="F32" s="668" t="n">
        <f aca="false">SUM(F26:F30)</f>
        <v>0</v>
      </c>
      <c r="G32" s="668" t="n">
        <f aca="false">SUM(G26:G30)</f>
        <v>0</v>
      </c>
      <c r="H32" s="668" t="n">
        <f aca="false">SUM(H26:H30)</f>
        <v>-37368.7595067085</v>
      </c>
      <c r="I32" s="668" t="n">
        <f aca="false">SUM(I26:I30)</f>
        <v>-9686.27202460909</v>
      </c>
      <c r="J32" s="668" t="n">
        <f aca="false">SUM(J26:J30)</f>
        <v>8625.74241991935</v>
      </c>
      <c r="K32" s="668" t="n">
        <f aca="false">SUM(K26:K30)</f>
        <v>8625.74241991935</v>
      </c>
      <c r="L32" s="668" t="n">
        <f aca="false">SUM(L26:L30)</f>
        <v>8625.74241991935</v>
      </c>
      <c r="M32" s="668" t="n">
        <f aca="false">SUM(M26:M30)</f>
        <v>8625.74241991935</v>
      </c>
      <c r="N32" s="668" t="n">
        <f aca="false">SUM(N26:N30)</f>
        <v>8625.74241991935</v>
      </c>
      <c r="O32" s="668" t="n">
        <f aca="false">SUM(O26:O30)</f>
        <v>8625.74241991935</v>
      </c>
      <c r="P32" s="668" t="n">
        <f aca="false">SUM(P26:P30)</f>
        <v>8625.74241991935</v>
      </c>
      <c r="Q32" s="668" t="n">
        <f aca="false">SUM(Q26:Q30)</f>
        <v>8625.74241991935</v>
      </c>
      <c r="R32" s="668" t="n">
        <f aca="false">SUM(R26:R30)</f>
        <v>8625.74241991935</v>
      </c>
      <c r="S32" s="668" t="n">
        <f aca="false">SUM(S26:S30)</f>
        <v>8625.74241991935</v>
      </c>
      <c r="T32" s="668" t="n">
        <f aca="false">SUM(T26:T30)</f>
        <v>8625.74241991935</v>
      </c>
      <c r="U32" s="668" t="n">
        <f aca="false">SUM(U26:U30)</f>
        <v>0</v>
      </c>
      <c r="V32" s="668" t="n">
        <f aca="false">SUM(V26:V30)</f>
        <v>0</v>
      </c>
      <c r="W32" s="668" t="n">
        <f aca="false">SUM(W26:W30)</f>
        <v>0</v>
      </c>
      <c r="X32" s="668" t="n">
        <f aca="false">SUM(X26:X30)</f>
        <v>0</v>
      </c>
      <c r="Y32" s="668" t="n">
        <f aca="false">SUM(Y26:Y30)</f>
        <v>0</v>
      </c>
      <c r="Z32" s="668" t="n">
        <f aca="false">SUM(Z26:Z30)</f>
        <v>0</v>
      </c>
      <c r="AA32" s="668" t="n">
        <f aca="false">SUM(AA26:AA30)</f>
        <v>0</v>
      </c>
      <c r="AB32" s="669" t="n">
        <f aca="false">SUM(AB26:AB30)</f>
        <v>47828.1350877953</v>
      </c>
      <c r="AC32" s="669" t="n">
        <f aca="false">SUM(AC26:AC30)</f>
        <v>-9171.65883751638</v>
      </c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666"/>
      <c r="BH32" s="666"/>
      <c r="BI32" s="666"/>
      <c r="BJ32" s="666"/>
      <c r="BK32" s="666"/>
      <c r="BL32" s="666"/>
      <c r="BM32" s="666"/>
      <c r="BN32" s="666"/>
      <c r="BO32" s="666"/>
      <c r="BP32" s="666"/>
      <c r="BQ32" s="666"/>
      <c r="BR32" s="666"/>
      <c r="BS32" s="666"/>
      <c r="BT32" s="666"/>
      <c r="BU32" s="666"/>
      <c r="BV32" s="666"/>
      <c r="BW32" s="666"/>
      <c r="BX32" s="666"/>
      <c r="BY32" s="666"/>
      <c r="BZ32" s="666"/>
      <c r="CA32" s="666"/>
      <c r="CB32" s="666"/>
      <c r="CC32" s="666"/>
      <c r="CD32" s="666"/>
      <c r="CE32" s="666"/>
      <c r="CF32" s="666"/>
      <c r="CG32" s="666"/>
      <c r="CH32" s="666"/>
      <c r="CI32" s="666"/>
      <c r="CJ32" s="666"/>
      <c r="CK32" s="666"/>
      <c r="CL32" s="666"/>
      <c r="CM32" s="666"/>
      <c r="CN32" s="666"/>
      <c r="CO32" s="666"/>
      <c r="CP32" s="666"/>
      <c r="CQ32" s="666"/>
      <c r="CR32" s="666"/>
      <c r="CS32" s="666"/>
      <c r="CT32" s="666"/>
      <c r="CU32" s="666"/>
      <c r="CV32" s="666"/>
      <c r="CW32" s="666"/>
      <c r="CX32" s="666"/>
      <c r="CY32" s="666"/>
      <c r="CZ32" s="666"/>
      <c r="DA32" s="666"/>
      <c r="DB32" s="666"/>
      <c r="DC32" s="666"/>
      <c r="DD32" s="666"/>
      <c r="DE32" s="666"/>
      <c r="DF32" s="666"/>
      <c r="DG32" s="666"/>
      <c r="DH32" s="666"/>
      <c r="DI32" s="666"/>
      <c r="DJ32" s="666"/>
      <c r="DK32" s="666"/>
      <c r="DL32" s="666"/>
      <c r="DM32" s="666"/>
      <c r="DN32" s="666"/>
      <c r="DO32" s="666"/>
      <c r="DP32" s="666"/>
      <c r="DQ32" s="666"/>
      <c r="DR32" s="666"/>
      <c r="DS32" s="666"/>
      <c r="DT32" s="666"/>
      <c r="DU32" s="666"/>
      <c r="DV32" s="666"/>
      <c r="DW32" s="666"/>
      <c r="DX32" s="666"/>
      <c r="DY32" s="666"/>
      <c r="DZ32" s="666"/>
      <c r="EA32" s="666"/>
      <c r="EB32" s="666"/>
      <c r="EC32" s="666"/>
      <c r="ED32" s="666"/>
      <c r="EE32" s="666"/>
      <c r="EF32" s="666"/>
      <c r="EG32" s="666"/>
      <c r="EH32" s="666"/>
      <c r="EI32" s="666"/>
      <c r="EJ32" s="666"/>
      <c r="EK32" s="666"/>
      <c r="EL32" s="666"/>
      <c r="EM32" s="666"/>
      <c r="EN32" s="666"/>
      <c r="EO32" s="666"/>
      <c r="EP32" s="666"/>
      <c r="EQ32" s="666"/>
      <c r="ER32" s="666"/>
      <c r="ES32" s="666"/>
      <c r="ET32" s="666"/>
      <c r="EU32" s="666"/>
      <c r="EV32" s="666"/>
      <c r="EW32" s="666"/>
      <c r="EX32" s="666"/>
      <c r="EY32" s="666"/>
      <c r="EZ32" s="666"/>
      <c r="FA32" s="666"/>
      <c r="FB32" s="666"/>
      <c r="FC32" s="666"/>
      <c r="FD32" s="666"/>
      <c r="FE32" s="666"/>
      <c r="FF32" s="666"/>
      <c r="FG32" s="666"/>
      <c r="FH32" s="666"/>
      <c r="FI32" s="666"/>
      <c r="FJ32" s="666"/>
      <c r="FK32" s="666"/>
      <c r="FL32" s="666"/>
      <c r="FM32" s="666"/>
      <c r="FN32" s="666"/>
      <c r="FO32" s="666"/>
      <c r="FP32" s="666"/>
      <c r="FQ32" s="666"/>
      <c r="FR32" s="666"/>
      <c r="FS32" s="666"/>
      <c r="FT32" s="666"/>
      <c r="FU32" s="666"/>
      <c r="FV32" s="666"/>
      <c r="FW32" s="666"/>
      <c r="FX32" s="666"/>
      <c r="FY32" s="666"/>
      <c r="FZ32" s="666"/>
      <c r="GA32" s="666"/>
      <c r="GB32" s="666"/>
      <c r="GC32" s="666"/>
      <c r="GD32" s="666"/>
      <c r="GE32" s="666"/>
      <c r="GF32" s="666"/>
      <c r="GG32" s="666"/>
      <c r="GH32" s="666"/>
      <c r="GI32" s="666"/>
      <c r="GJ32" s="666"/>
      <c r="GK32" s="666"/>
      <c r="GL32" s="666"/>
      <c r="GM32" s="666"/>
      <c r="GN32" s="666"/>
      <c r="GO32" s="666"/>
      <c r="GP32" s="666"/>
      <c r="GQ32" s="666"/>
      <c r="GR32" s="666"/>
      <c r="GS32" s="666"/>
      <c r="GT32" s="666"/>
      <c r="GU32" s="666"/>
      <c r="GV32" s="666"/>
      <c r="GW32" s="666"/>
      <c r="GX32" s="666"/>
      <c r="GY32" s="666"/>
      <c r="GZ32" s="666"/>
      <c r="HA32" s="666"/>
      <c r="HB32" s="666"/>
      <c r="HC32" s="666"/>
      <c r="HD32" s="666"/>
      <c r="HE32" s="666"/>
      <c r="HF32" s="666"/>
      <c r="HG32" s="666"/>
      <c r="HH32" s="666"/>
      <c r="HI32" s="666"/>
      <c r="HJ32" s="666"/>
      <c r="HK32" s="666"/>
      <c r="HL32" s="666"/>
      <c r="HM32" s="666"/>
      <c r="HN32" s="666"/>
      <c r="HO32" s="666"/>
      <c r="HP32" s="666"/>
      <c r="HQ32" s="666"/>
      <c r="HR32" s="666"/>
      <c r="HS32" s="666"/>
      <c r="HT32" s="666"/>
      <c r="HU32" s="666"/>
      <c r="HV32" s="666"/>
      <c r="HW32" s="666"/>
      <c r="HX32" s="666"/>
      <c r="HY32" s="666"/>
      <c r="HZ32" s="666"/>
      <c r="IA32" s="666"/>
      <c r="IB32" s="666"/>
      <c r="IC32" s="666"/>
      <c r="ID32" s="666"/>
      <c r="IE32" s="666"/>
      <c r="IF32" s="666"/>
      <c r="IG32" s="666"/>
      <c r="IH32" s="666"/>
      <c r="II32" s="666"/>
      <c r="IJ32" s="666"/>
      <c r="IK32" s="666"/>
      <c r="IL32" s="666"/>
      <c r="IM32" s="666"/>
      <c r="IN32" s="666"/>
      <c r="IO32" s="666"/>
      <c r="IP32" s="666"/>
      <c r="IQ32" s="666"/>
      <c r="IR32" s="666"/>
      <c r="IS32" s="666"/>
      <c r="IT32" s="666"/>
      <c r="IU32" s="666"/>
      <c r="IV32" s="666"/>
      <c r="IW32" s="666"/>
    </row>
    <row r="33" customFormat="false" ht="12.75" hidden="true" customHeight="false" outlineLevel="0" collapsed="false">
      <c r="A33" s="37"/>
      <c r="B33" s="38" t="s">
        <v>899</v>
      </c>
      <c r="E33" s="645" t="n">
        <f aca="false">$E31</f>
        <v>0</v>
      </c>
      <c r="F33" s="645" t="n">
        <f aca="false">IF('Project &amp; Investor Returns'!$I$3=0,$F31,$E31+NPV(Disc,$F31:F31))</f>
        <v>-92793.5702049191</v>
      </c>
      <c r="G33" s="217" t="n">
        <f aca="false">IF('Project &amp; Investor Returns'!$I$3=0,$F31+NPV(Disc,$G31:G31),$E31+NPV(Disc,$F31:G31))</f>
        <v>-94456.1820328852</v>
      </c>
      <c r="H33" s="217" t="n">
        <f aca="false">IF('Project &amp; Investor Returns'!$I$3=0,$F31+NPV(Disc,$G31:H31),$E31+NPV(Disc,$F31:H31))</f>
        <v>-184000.699306941</v>
      </c>
      <c r="I33" s="217" t="n">
        <f aca="false">IF('Project &amp; Investor Returns'!$I$3=0,$F31+NPV(Disc,$G31:I31),$E31+NPV(Disc,$F31:I31))</f>
        <v>-180723.241550923</v>
      </c>
      <c r="J33" s="217" t="n">
        <f aca="false">IF('Project &amp; Investor Returns'!$I$3=0,$F31+NPV(Disc,$G31:J31),$E31+NPV(Disc,$F31:J31))</f>
        <v>-176040.867206487</v>
      </c>
      <c r="K33" s="217" t="n">
        <f aca="false">IF('Project &amp; Investor Returns'!$I$3=0,$F31+NPV(Disc,$G31:K31),$E31+NPV(Disc,$F31:K31))</f>
        <v>-170105.481200748</v>
      </c>
      <c r="L33" s="217" t="n">
        <f aca="false">IF('Project &amp; Investor Returns'!$I$3=0,$F31+NPV(Disc,$G31:L31),$E31+NPV(Disc,$F31:L31))</f>
        <v>-170216.060125121</v>
      </c>
      <c r="M33" s="217" t="n">
        <f aca="false">IF('Project &amp; Investor Returns'!$I$3=0,$F31+NPV(Disc,$G31:M31),$E31+NPV(Disc,$F31:M31))</f>
        <v>-163863.788886032</v>
      </c>
      <c r="N33" s="217" t="n">
        <f aca="false">IF('Project &amp; Investor Returns'!$I$3=0,$F31+NPV(Disc,$G31:N31),$E31+NPV(Disc,$F31:N31))</f>
        <v>-158224.889248464</v>
      </c>
      <c r="O33" s="217" t="n">
        <f aca="false">IF('Project &amp; Investor Returns'!$I$3=0,$F31+NPV(Disc,$G31:O31),$E31+NPV(Disc,$F31:O31))</f>
        <v>-154112.234881919</v>
      </c>
      <c r="P33" s="217" t="n">
        <f aca="false">IF('Project &amp; Investor Returns'!$I$3=0,$F31+NPV(Disc,$G31:P31),$E31+NPV(Disc,$F31:P31))</f>
        <v>-150957.597424559</v>
      </c>
      <c r="Q33" s="217" t="n">
        <f aca="false">IF('Project &amp; Investor Returns'!$I$3=0,$F31+NPV(Disc,$G31:Q31),$E31+NPV(Disc,$F31:Q31))</f>
        <v>-148012.059648722</v>
      </c>
      <c r="R33" s="217" t="n">
        <f aca="false">IF('Project &amp; Investor Returns'!$I$3=0,$F31+NPV(Disc,$G31:R31),$E31+NPV(Disc,$F31:R31))</f>
        <v>-145394.440565287</v>
      </c>
      <c r="S33" s="217" t="n">
        <f aca="false">IF('Project &amp; Investor Returns'!$I$3=0,$F31+NPV(Disc,$G31:S31),$E31+NPV(Disc,$F31:S31))</f>
        <v>-143666.833484673</v>
      </c>
      <c r="T33" s="217" t="n">
        <f aca="false">IF('Project &amp; Investor Returns'!$I$3=0,$F31+NPV(Disc,$G31:T31),$E31+NPV(Disc,$F31:T31))</f>
        <v>-142386.090030191</v>
      </c>
      <c r="U33" s="217" t="n">
        <f aca="false">IF('Project &amp; Investor Returns'!$I$3=0,$F31+NPV(Disc,$G31:U31),$E31+NPV(Disc,$F31:U31))</f>
        <v>-140723.411440734</v>
      </c>
      <c r="V33" s="217" t="n">
        <f aca="false">IF('Project &amp; Investor Returns'!$I$3=0,$F31+NPV(Disc,$G31:V31),$E31+NPV(Disc,$F31:V31))</f>
        <v>-140211.502851643</v>
      </c>
      <c r="W33" s="217" t="n">
        <f aca="false">IF('Project &amp; Investor Returns'!$I$3=0,$F31+NPV(Disc,$G31:W31),$E31+NPV(Disc,$F31:W31))</f>
        <v>-140383.488670776</v>
      </c>
      <c r="X33" s="217" t="n">
        <f aca="false">IF('Project &amp; Investor Returns'!$I$3=0,$F31+NPV(Disc,$G31:X31),$E31+NPV(Disc,$F31:X31))</f>
        <v>-140175.399687095</v>
      </c>
      <c r="Y33" s="217" t="n">
        <f aca="false">IF('Project &amp; Investor Returns'!$I$3=0,$F31+NPV(Disc,$G31:Y31),$E31+NPV(Disc,$F31:Y31))</f>
        <v>-140060.770360528</v>
      </c>
      <c r="Z33" s="217" t="n">
        <f aca="false">IF('Project &amp; Investor Returns'!$I$3=0,$F31+NPV(Disc,$G31:Z31),$E31+NPV(Disc,$F31:Z31))</f>
        <v>-139925.796290723</v>
      </c>
      <c r="AA33" s="217" t="n">
        <f aca="false">IF('Project &amp; Investor Returns'!$I$3=0,$F31+NPV(Disc,$G31:AA31),$E31+NPV(Disc,$F31:AA31))</f>
        <v>-139786.346835268</v>
      </c>
      <c r="AB33" s="640"/>
      <c r="AC33" s="574" t="n">
        <f aca="false">AC31</f>
        <v>-139786.346835268</v>
      </c>
      <c r="AD33" s="668" t="n">
        <f aca="false">NPV(Disc,F32:AA32)+E32</f>
        <v>-7707.27633404738</v>
      </c>
    </row>
    <row r="34" customFormat="false" ht="12.75" hidden="true" customHeight="false" outlineLevel="0" collapsed="false">
      <c r="A34" s="37"/>
      <c r="B34" s="38" t="s">
        <v>900</v>
      </c>
      <c r="E34" s="260" t="e">
        <f aca="false">IRR($E31:E31,-0.9)</f>
        <v>#N/A</v>
      </c>
      <c r="F34" s="260" t="e">
        <f aca="false">IRR($E31:F31,-0.9)</f>
        <v>#N/A</v>
      </c>
      <c r="G34" s="260" t="e">
        <f aca="false">IRR($E31:G31,-0.9)</f>
        <v>#N/A</v>
      </c>
      <c r="H34" s="260" t="e">
        <f aca="false">IRR($E31:H31,-0.9)</f>
        <v>#N/A</v>
      </c>
      <c r="I34" s="260" t="e">
        <f aca="false">IRR($E31:I31,-0.9)</f>
        <v>#N/A</v>
      </c>
      <c r="J34" s="260" t="n">
        <f aca="false">IRR($E31:J31,-0.9)</f>
        <v>-0.71491885945634</v>
      </c>
      <c r="K34" s="260" t="n">
        <f aca="false">IRR($E31:K31,-0.9)</f>
        <v>-0.488007451390757</v>
      </c>
      <c r="L34" s="260" t="n">
        <f aca="false">IRR($E31:L31,-0.9)</f>
        <v>-0.493353520604161</v>
      </c>
      <c r="M34" s="260" t="e">
        <f aca="false">IRR($E31:M31,-0.9)</f>
        <v>#N/A</v>
      </c>
      <c r="N34" s="260" t="e">
        <f aca="false">IRR($E31:N31,-0.9)</f>
        <v>#N/A</v>
      </c>
      <c r="O34" s="260" t="e">
        <f aca="false">IRR($E31:O31,-0.9)</f>
        <v>#N/A</v>
      </c>
      <c r="P34" s="260" t="e">
        <f aca="false">IRR($E31:P31,-0.9)</f>
        <v>#N/A</v>
      </c>
      <c r="Q34" s="260" t="e">
        <f aca="false">IRR($E31:Q31,-0.9)</f>
        <v>#N/A</v>
      </c>
      <c r="R34" s="260" t="e">
        <f aca="false">IRR($E31:R31,-0.9)</f>
        <v>#N/A</v>
      </c>
      <c r="S34" s="260" t="e">
        <f aca="false">IRR($E31:S31,-0.9)</f>
        <v>#N/A</v>
      </c>
      <c r="T34" s="260" t="e">
        <f aca="false">IRR($E31:T31,-0.9)</f>
        <v>#N/A</v>
      </c>
      <c r="U34" s="260" t="e">
        <f aca="false">IRR($E31:U31,-0.9)</f>
        <v>#N/A</v>
      </c>
      <c r="V34" s="260" t="e">
        <f aca="false">IRR($E31:V31,-0.9)</f>
        <v>#N/A</v>
      </c>
      <c r="W34" s="260" t="e">
        <f aca="false">IRR($E31:W31,-0.9)</f>
        <v>#N/A</v>
      </c>
      <c r="X34" s="260" t="e">
        <f aca="false">IRR($E31:X31,-0.9)</f>
        <v>#N/A</v>
      </c>
      <c r="Y34" s="260" t="e">
        <f aca="false">IRR($E31:Y31,-0.9)</f>
        <v>#N/A</v>
      </c>
      <c r="Z34" s="260" t="e">
        <f aca="false">IRR($E31:Z31,-0.9)</f>
        <v>#N/A</v>
      </c>
      <c r="AA34" s="260" t="e">
        <f aca="false">IRR($E31:AA31,-0.9)</f>
        <v>#N/A</v>
      </c>
      <c r="AB34" s="638"/>
      <c r="AC34" s="646" t="e">
        <f aca="false">IRR(E31:AA31,-0.9)</f>
        <v>#N/A</v>
      </c>
      <c r="AD34" s="670" t="str">
        <f aca="false">IF(ISERROR(IRR(E32:AA32,-0.9)),"Infinite",IRR(E32:AA32,-0.9))</f>
        <v>Infinite</v>
      </c>
    </row>
    <row r="35" customFormat="false" ht="12.75" hidden="true" customHeight="true" outlineLevel="0" collapsed="false">
      <c r="A35" s="37"/>
      <c r="C35" s="671" t="s">
        <v>908</v>
      </c>
      <c r="D35" s="671" t="s">
        <v>909</v>
      </c>
      <c r="E35" s="637"/>
      <c r="F35" s="637"/>
      <c r="G35" s="637"/>
      <c r="H35" s="637"/>
      <c r="I35" s="637"/>
      <c r="J35" s="637"/>
      <c r="K35" s="637"/>
      <c r="L35" s="637"/>
      <c r="M35" s="637"/>
      <c r="N35" s="637"/>
      <c r="O35" s="637"/>
      <c r="P35" s="637"/>
      <c r="Q35" s="637"/>
      <c r="R35" s="637"/>
      <c r="S35" s="637"/>
      <c r="T35" s="637"/>
      <c r="U35" s="637"/>
      <c r="V35" s="637"/>
      <c r="W35" s="637"/>
      <c r="X35" s="637"/>
      <c r="Y35" s="637"/>
      <c r="Z35" s="637"/>
      <c r="AA35" s="637"/>
      <c r="AB35" s="638"/>
      <c r="AC35" s="555"/>
    </row>
    <row r="36" customFormat="false" ht="12.75" hidden="true" customHeight="false" outlineLevel="0" collapsed="false">
      <c r="A36" s="37"/>
      <c r="B36" s="647" t="s">
        <v>945</v>
      </c>
      <c r="C36" s="672" t="n">
        <f aca="false">AC33</f>
        <v>-139786.346835268</v>
      </c>
      <c r="D36" s="648" t="n">
        <f aca="false">AD33</f>
        <v>-7707.27633404738</v>
      </c>
      <c r="F36" s="649"/>
      <c r="G36" s="649"/>
      <c r="H36" s="649"/>
      <c r="I36" s="649"/>
      <c r="J36" s="649"/>
      <c r="K36" s="649"/>
      <c r="L36" s="649"/>
      <c r="M36" s="649"/>
      <c r="N36" s="649"/>
      <c r="O36" s="649"/>
      <c r="P36" s="649"/>
      <c r="Q36" s="649"/>
      <c r="R36" s="649"/>
      <c r="S36" s="649"/>
      <c r="T36" s="649"/>
      <c r="U36" s="649"/>
      <c r="V36" s="649"/>
      <c r="W36" s="649"/>
      <c r="X36" s="649"/>
      <c r="Y36" s="649"/>
      <c r="Z36" s="649"/>
      <c r="AA36" s="649"/>
      <c r="AB36" s="638"/>
      <c r="AC36" s="555"/>
    </row>
    <row r="37" customFormat="false" ht="13.5" hidden="true" customHeight="false" outlineLevel="0" collapsed="false">
      <c r="A37" s="70"/>
      <c r="B37" s="652" t="s">
        <v>946</v>
      </c>
      <c r="C37" s="673" t="e">
        <f aca="false">AC34</f>
        <v>#N/A</v>
      </c>
      <c r="D37" s="674" t="str">
        <f aca="false">AD34</f>
        <v>Infinite</v>
      </c>
      <c r="E37" s="71"/>
      <c r="F37" s="654"/>
      <c r="G37" s="654"/>
      <c r="H37" s="654"/>
      <c r="I37" s="654"/>
      <c r="J37" s="654"/>
      <c r="K37" s="654"/>
      <c r="L37" s="654"/>
      <c r="M37" s="654"/>
      <c r="N37" s="654"/>
      <c r="O37" s="654"/>
      <c r="P37" s="654"/>
      <c r="Q37" s="654"/>
      <c r="R37" s="654"/>
      <c r="S37" s="654"/>
      <c r="T37" s="654"/>
      <c r="U37" s="654"/>
      <c r="V37" s="654"/>
      <c r="W37" s="654"/>
      <c r="X37" s="654"/>
      <c r="Y37" s="654"/>
      <c r="Z37" s="654"/>
      <c r="AA37" s="654"/>
      <c r="AB37" s="655"/>
      <c r="AC37" s="611"/>
    </row>
    <row r="38" customFormat="false" ht="13.5" hidden="false" customHeight="false" outlineLevel="0" collapsed="false">
      <c r="A38" s="70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4"/>
    </row>
    <row r="39" customFormat="false" ht="12.75" hidden="false" customHeight="false" outlineLevel="0" collapsed="false">
      <c r="A39" s="523" t="s">
        <v>947</v>
      </c>
      <c r="B39" s="28"/>
      <c r="C39" s="738" t="n">
        <v>0.15</v>
      </c>
    </row>
    <row r="40" customFormat="false" ht="12.75" hidden="false" customHeight="false" outlineLevel="0" collapsed="false">
      <c r="A40" s="37" t="s">
        <v>310</v>
      </c>
      <c r="C40" s="739" t="n">
        <f aca="false">NPV(C39,H31:AA31)</f>
        <v>-42490.6349724756</v>
      </c>
    </row>
    <row r="41" customFormat="false" ht="12.75" hidden="false" customHeight="false" outlineLevel="0" collapsed="false">
      <c r="A41" s="37" t="s">
        <v>309</v>
      </c>
      <c r="C41" s="94" t="n">
        <f aca="false">IRR(H31:AA31)</f>
        <v>0.0740658071568948</v>
      </c>
    </row>
    <row r="42" customFormat="false" ht="12.75" hidden="false" customHeight="false" outlineLevel="0" collapsed="false">
      <c r="A42" s="37"/>
      <c r="C42" s="43"/>
    </row>
    <row r="43" customFormat="false" ht="12.75" hidden="false" customHeight="false" outlineLevel="0" collapsed="false">
      <c r="A43" s="55" t="s">
        <v>948</v>
      </c>
      <c r="C43" s="43"/>
    </row>
    <row r="44" customFormat="false" ht="12.75" hidden="false" customHeight="false" outlineLevel="0" collapsed="false">
      <c r="A44" s="37" t="s">
        <v>317</v>
      </c>
      <c r="C44" s="218" t="n">
        <f aca="false">C10</f>
        <v>92793.5702049191</v>
      </c>
    </row>
    <row r="45" customFormat="false" ht="12.75" hidden="false" customHeight="false" outlineLevel="0" collapsed="false">
      <c r="A45" s="37" t="s">
        <v>949</v>
      </c>
      <c r="C45" s="256" t="n">
        <f aca="false">-SUM(H26:I26)</f>
        <v>49749.8130727587</v>
      </c>
    </row>
    <row r="46" customFormat="false" ht="13.5" hidden="false" customHeight="false" outlineLevel="0" collapsed="false">
      <c r="A46" s="70" t="s">
        <v>950</v>
      </c>
      <c r="B46" s="71"/>
      <c r="C46" s="319" t="n">
        <f aca="false">SUM(C44:C45)</f>
        <v>142543.383277678</v>
      </c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3"/>
  <sheetViews>
    <sheetView showFormulas="false" showGridLines="false" showRowColHeaders="true" showZeros="true" rightToLeft="false" tabSelected="false" showOutlineSymbols="true" defaultGridColor="true" view="normal" topLeftCell="A34" colorId="64" zoomScale="90" zoomScaleNormal="90" zoomScalePageLayoutView="100" workbookViewId="0">
      <selection pane="topLeft" activeCell="A76" activeCellId="0" sqref="A7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8" width="1.7"/>
    <col collapsed="false" customWidth="true" hidden="false" outlineLevel="0" max="2" min="2" style="1" width="45.7"/>
    <col collapsed="false" customWidth="true" hidden="false" outlineLevel="0" max="4" min="3" style="1" width="9.7"/>
    <col collapsed="false" customWidth="true" hidden="false" outlineLevel="0" max="27" min="5" style="1" width="10.71"/>
    <col collapsed="false" customWidth="true" hidden="false" outlineLevel="0" max="28" min="28" style="38" width="12.7"/>
    <col collapsed="false" customWidth="false" hidden="false" outlineLevel="0" max="257" min="29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"/>
      <c r="AE1" s="3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"/>
      <c r="AE2" s="3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"/>
      <c r="AE3" s="3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951</v>
      </c>
      <c r="B4" s="632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"/>
      <c r="AE4" s="3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8"/>
      <c r="AB5" s="388"/>
      <c r="AC5" s="0"/>
      <c r="AD5" s="38"/>
      <c r="AE5" s="38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763</v>
      </c>
      <c r="B6" s="28"/>
      <c r="C6" s="28"/>
      <c r="D6" s="28"/>
      <c r="E6" s="28" t="n">
        <f aca="false">'Project &amp; Investor Returns'!E$6</f>
        <v>0</v>
      </c>
      <c r="F6" s="28" t="n">
        <f aca="false">'Project &amp; Investor Returns'!F$6</f>
        <v>0</v>
      </c>
      <c r="G6" s="28" t="n">
        <f aca="false">'Project &amp; Investor Returns'!G$6</f>
        <v>1</v>
      </c>
      <c r="H6" s="28" t="n">
        <f aca="false">'Project &amp; Investor Returns'!H$6</f>
        <v>2</v>
      </c>
      <c r="I6" s="28" t="n">
        <f aca="false">'Project &amp; Investor Returns'!I$6</f>
        <v>3</v>
      </c>
      <c r="J6" s="28" t="n">
        <f aca="false">'Project &amp; Investor Returns'!J$6</f>
        <v>4</v>
      </c>
      <c r="K6" s="28" t="n">
        <f aca="false">'Project &amp; Investor Returns'!K$6</f>
        <v>5</v>
      </c>
      <c r="L6" s="28" t="n">
        <f aca="false">'Project &amp; Investor Returns'!L$6</f>
        <v>6</v>
      </c>
      <c r="M6" s="28" t="n">
        <f aca="false">'Project &amp; Investor Returns'!M$6</f>
        <v>7</v>
      </c>
      <c r="N6" s="28" t="n">
        <f aca="false">'Project &amp; Investor Returns'!N$6</f>
        <v>8</v>
      </c>
      <c r="O6" s="28" t="n">
        <f aca="false">'Project &amp; Investor Returns'!O$6</f>
        <v>9</v>
      </c>
      <c r="P6" s="28" t="n">
        <f aca="false">'Project &amp; Investor Returns'!P$6</f>
        <v>10</v>
      </c>
      <c r="Q6" s="28" t="n">
        <f aca="false">'Project &amp; Investor Returns'!Q$6</f>
        <v>11</v>
      </c>
      <c r="R6" s="28" t="n">
        <f aca="false">'Project &amp; Investor Returns'!R$6</f>
        <v>12</v>
      </c>
      <c r="S6" s="28" t="n">
        <f aca="false">'Project &amp; Investor Returns'!S$6</f>
        <v>13</v>
      </c>
      <c r="T6" s="28" t="n">
        <f aca="false">'Project &amp; Investor Returns'!T$6</f>
        <v>14</v>
      </c>
      <c r="U6" s="28" t="n">
        <f aca="false">'Project &amp; Investor Returns'!U$6</f>
        <v>15</v>
      </c>
      <c r="V6" s="28" t="n">
        <f aca="false">'Project &amp; Investor Returns'!V$6</f>
        <v>16</v>
      </c>
      <c r="W6" s="28" t="n">
        <f aca="false">'Project &amp; Investor Returns'!W$6</f>
        <v>17</v>
      </c>
      <c r="X6" s="28" t="n">
        <f aca="false">'Project &amp; Investor Returns'!X$6</f>
        <v>18</v>
      </c>
      <c r="Y6" s="28" t="n">
        <f aca="false">'Project &amp; Investor Returns'!Y$6</f>
        <v>19</v>
      </c>
      <c r="Z6" s="28" t="n">
        <f aca="false">'Project &amp; Investor Returns'!Z$6</f>
        <v>20</v>
      </c>
      <c r="AA6" s="28" t="n">
        <f aca="false">'Project &amp; Investor Returns'!AA$6</f>
        <v>21</v>
      </c>
      <c r="AB6" s="539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634" t="s">
        <v>765</v>
      </c>
      <c r="B7" s="71"/>
      <c r="C7" s="71"/>
      <c r="D7" s="71"/>
      <c r="E7" s="372" t="n">
        <f aca="false">'Project &amp; Investor Returns'!E$7</f>
        <v>1997</v>
      </c>
      <c r="F7" s="372" t="n">
        <f aca="false">'Project &amp; Investor Returns'!F$7</f>
        <v>1998</v>
      </c>
      <c r="G7" s="372" t="n">
        <f aca="false">'Project &amp; Investor Returns'!G$7</f>
        <v>1999</v>
      </c>
      <c r="H7" s="372" t="n">
        <f aca="false">'Project &amp; Investor Returns'!H$7</f>
        <v>2000</v>
      </c>
      <c r="I7" s="372" t="n">
        <f aca="false">'Project &amp; Investor Returns'!I$7</f>
        <v>2001</v>
      </c>
      <c r="J7" s="372" t="n">
        <f aca="false">'Project &amp; Investor Returns'!J$7</f>
        <v>2002</v>
      </c>
      <c r="K7" s="372" t="n">
        <f aca="false">'Project &amp; Investor Returns'!K$7</f>
        <v>2003</v>
      </c>
      <c r="L7" s="372" t="n">
        <f aca="false">'Project &amp; Investor Returns'!L$7</f>
        <v>2004</v>
      </c>
      <c r="M7" s="372" t="n">
        <f aca="false">'Project &amp; Investor Returns'!M$7</f>
        <v>2005</v>
      </c>
      <c r="N7" s="372" t="n">
        <f aca="false">'Project &amp; Investor Returns'!N$7</f>
        <v>2006</v>
      </c>
      <c r="O7" s="372" t="n">
        <f aca="false">'Project &amp; Investor Returns'!O$7</f>
        <v>2007</v>
      </c>
      <c r="P7" s="372" t="n">
        <f aca="false">'Project &amp; Investor Returns'!P$7</f>
        <v>2008</v>
      </c>
      <c r="Q7" s="372" t="n">
        <f aca="false">'Project &amp; Investor Returns'!Q$7</f>
        <v>2009</v>
      </c>
      <c r="R7" s="372" t="n">
        <f aca="false">'Project &amp; Investor Returns'!R$7</f>
        <v>2010</v>
      </c>
      <c r="S7" s="372" t="n">
        <f aca="false">'Project &amp; Investor Returns'!S$7</f>
        <v>2011</v>
      </c>
      <c r="T7" s="372" t="n">
        <f aca="false">'Project &amp; Investor Returns'!T$7</f>
        <v>2012</v>
      </c>
      <c r="U7" s="372" t="n">
        <f aca="false">'Project &amp; Investor Returns'!U$7</f>
        <v>2013</v>
      </c>
      <c r="V7" s="372" t="n">
        <f aca="false">'Project &amp; Investor Returns'!V$7</f>
        <v>2014</v>
      </c>
      <c r="W7" s="372" t="n">
        <f aca="false">'Project &amp; Investor Returns'!W$7</f>
        <v>2015</v>
      </c>
      <c r="X7" s="372" t="n">
        <f aca="false">'Project &amp; Investor Returns'!X$7</f>
        <v>2016</v>
      </c>
      <c r="Y7" s="372" t="n">
        <f aca="false">'Project &amp; Investor Returns'!Y$7</f>
        <v>2017</v>
      </c>
      <c r="Z7" s="372" t="n">
        <f aca="false">'Project &amp; Investor Returns'!Z$7</f>
        <v>2018</v>
      </c>
      <c r="AA7" s="372" t="n">
        <f aca="false">'Project &amp; Investor Returns'!AA$7</f>
        <v>2019</v>
      </c>
      <c r="AB7" s="544" t="s">
        <v>766</v>
      </c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45"/>
      <c r="B8" s="38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  <c r="T8" s="388"/>
      <c r="U8" s="388"/>
      <c r="V8" s="388"/>
      <c r="W8" s="388"/>
      <c r="X8" s="388"/>
      <c r="Y8" s="388"/>
      <c r="Z8" s="388"/>
      <c r="AA8" s="388"/>
      <c r="AB8" s="614"/>
      <c r="AC8" s="0"/>
      <c r="AD8" s="38"/>
      <c r="AE8" s="38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12.75" hidden="false" customHeight="false" outlineLevel="0" collapsed="false">
      <c r="A9" s="37" t="s">
        <v>767</v>
      </c>
      <c r="B9" s="38"/>
      <c r="C9" s="38"/>
      <c r="D9" s="38"/>
      <c r="E9" s="215" t="n">
        <f aca="false">Rev_Exp!C9</f>
        <v>0</v>
      </c>
      <c r="F9" s="215" t="n">
        <f aca="false">Rev_Exp!D9</f>
        <v>0</v>
      </c>
      <c r="G9" s="215" t="n">
        <f aca="false">Rev_Exp!E9</f>
        <v>9</v>
      </c>
      <c r="H9" s="215" t="n">
        <f aca="false">Rev_Exp!F9</f>
        <v>12</v>
      </c>
      <c r="I9" s="215" t="n">
        <f aca="false">Rev_Exp!G9</f>
        <v>0</v>
      </c>
      <c r="J9" s="215" t="n">
        <f aca="false">Rev_Exp!H9</f>
        <v>0</v>
      </c>
      <c r="K9" s="215" t="n">
        <f aca="false">Rev_Exp!I9</f>
        <v>0</v>
      </c>
      <c r="L9" s="215" t="n">
        <f aca="false">Rev_Exp!J9</f>
        <v>0</v>
      </c>
      <c r="M9" s="215" t="n">
        <f aca="false">Rev_Exp!K9</f>
        <v>0</v>
      </c>
      <c r="N9" s="215" t="n">
        <f aca="false">Rev_Exp!L9</f>
        <v>0</v>
      </c>
      <c r="O9" s="215" t="n">
        <f aca="false">Rev_Exp!M9</f>
        <v>0</v>
      </c>
      <c r="P9" s="215" t="n">
        <f aca="false">Rev_Exp!N9</f>
        <v>0</v>
      </c>
      <c r="Q9" s="215" t="n">
        <f aca="false">Rev_Exp!O9</f>
        <v>0</v>
      </c>
      <c r="R9" s="215" t="n">
        <f aca="false">Rev_Exp!P9</f>
        <v>0</v>
      </c>
      <c r="S9" s="215" t="n">
        <f aca="false">Rev_Exp!Q9</f>
        <v>0</v>
      </c>
      <c r="T9" s="215" t="n">
        <f aca="false">Rev_Exp!R9</f>
        <v>0</v>
      </c>
      <c r="U9" s="215" t="n">
        <f aca="false">Rev_Exp!S9</f>
        <v>0</v>
      </c>
      <c r="V9" s="215" t="n">
        <f aca="false">Rev_Exp!T9</f>
        <v>0</v>
      </c>
      <c r="W9" s="215" t="n">
        <f aca="false">Rev_Exp!U9</f>
        <v>0</v>
      </c>
      <c r="X9" s="215" t="n">
        <f aca="false">Rev_Exp!V9</f>
        <v>0</v>
      </c>
      <c r="Y9" s="215" t="n">
        <f aca="false">Rev_Exp!W9</f>
        <v>0</v>
      </c>
      <c r="Z9" s="215" t="n">
        <f aca="false">Rev_Exp!X9</f>
        <v>0</v>
      </c>
      <c r="AA9" s="215" t="n">
        <f aca="false">Rev_Exp!Y9</f>
        <v>0</v>
      </c>
      <c r="AB9" s="555" t="n">
        <f aca="false">SUM(E9:AA9)</f>
        <v>21</v>
      </c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37" t="s">
        <v>768</v>
      </c>
      <c r="B10" s="38"/>
      <c r="C10" s="38"/>
      <c r="D10" s="38"/>
      <c r="E10" s="215" t="n">
        <f aca="false">Rev_Exp!C10</f>
        <v>0</v>
      </c>
      <c r="F10" s="215" t="n">
        <f aca="false">Rev_Exp!D10</f>
        <v>0</v>
      </c>
      <c r="G10" s="215" t="n">
        <f aca="false">Rev_Exp!E10</f>
        <v>0</v>
      </c>
      <c r="H10" s="215" t="n">
        <f aca="false">Rev_Exp!F10</f>
        <v>0</v>
      </c>
      <c r="I10" s="215" t="n">
        <f aca="false">Rev_Exp!G10</f>
        <v>7</v>
      </c>
      <c r="J10" s="215" t="n">
        <f aca="false">Rev_Exp!H10</f>
        <v>0</v>
      </c>
      <c r="K10" s="215" t="n">
        <f aca="false">Rev_Exp!I10</f>
        <v>0</v>
      </c>
      <c r="L10" s="215" t="n">
        <f aca="false">Rev_Exp!J10</f>
        <v>0</v>
      </c>
      <c r="M10" s="215" t="n">
        <f aca="false">Rev_Exp!K10</f>
        <v>0</v>
      </c>
      <c r="N10" s="215" t="n">
        <f aca="false">Rev_Exp!L10</f>
        <v>0</v>
      </c>
      <c r="O10" s="215" t="n">
        <f aca="false">Rev_Exp!M10</f>
        <v>0</v>
      </c>
      <c r="P10" s="215" t="n">
        <f aca="false">Rev_Exp!N10</f>
        <v>0</v>
      </c>
      <c r="Q10" s="215" t="n">
        <f aca="false">Rev_Exp!O10</f>
        <v>0</v>
      </c>
      <c r="R10" s="215" t="n">
        <f aca="false">Rev_Exp!P10</f>
        <v>0</v>
      </c>
      <c r="S10" s="215" t="n">
        <f aca="false">Rev_Exp!Q10</f>
        <v>0</v>
      </c>
      <c r="T10" s="215" t="n">
        <f aca="false">Rev_Exp!R10</f>
        <v>0</v>
      </c>
      <c r="U10" s="215" t="n">
        <f aca="false">Rev_Exp!S10</f>
        <v>0</v>
      </c>
      <c r="V10" s="215" t="n">
        <f aca="false">Rev_Exp!T10</f>
        <v>0</v>
      </c>
      <c r="W10" s="215" t="n">
        <f aca="false">Rev_Exp!U10</f>
        <v>0</v>
      </c>
      <c r="X10" s="215" t="n">
        <f aca="false">Rev_Exp!V10</f>
        <v>0</v>
      </c>
      <c r="Y10" s="215" t="n">
        <f aca="false">Rev_Exp!W10</f>
        <v>0</v>
      </c>
      <c r="Z10" s="215" t="n">
        <f aca="false">Rev_Exp!X10</f>
        <v>0</v>
      </c>
      <c r="AA10" s="215" t="n">
        <f aca="false">Rev_Exp!Y10</f>
        <v>0</v>
      </c>
      <c r="AB10" s="555" t="n">
        <f aca="false">SUM(E10:AA10)</f>
        <v>7</v>
      </c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</row>
    <row r="11" customFormat="false" ht="12.75" hidden="false" customHeight="false" outlineLevel="0" collapsed="false">
      <c r="A11" s="37" t="s">
        <v>769</v>
      </c>
      <c r="B11" s="38"/>
      <c r="C11" s="38"/>
      <c r="D11" s="38"/>
      <c r="E11" s="551" t="n">
        <f aca="false">Rev_Exp!C11</f>
        <v>0</v>
      </c>
      <c r="F11" s="551" t="n">
        <f aca="false">Rev_Exp!D11</f>
        <v>0</v>
      </c>
      <c r="G11" s="551" t="n">
        <f aca="false">Rev_Exp!E11</f>
        <v>0</v>
      </c>
      <c r="H11" s="551" t="n">
        <f aca="false">Rev_Exp!F11</f>
        <v>0</v>
      </c>
      <c r="I11" s="551" t="n">
        <f aca="false">Rev_Exp!G11</f>
        <v>5</v>
      </c>
      <c r="J11" s="551" t="n">
        <f aca="false">Rev_Exp!H11</f>
        <v>12</v>
      </c>
      <c r="K11" s="551" t="n">
        <f aca="false">Rev_Exp!I11</f>
        <v>12</v>
      </c>
      <c r="L11" s="551" t="n">
        <f aca="false">Rev_Exp!J11</f>
        <v>12</v>
      </c>
      <c r="M11" s="551" t="n">
        <f aca="false">Rev_Exp!K11</f>
        <v>12</v>
      </c>
      <c r="N11" s="551" t="n">
        <f aca="false">Rev_Exp!L11</f>
        <v>12</v>
      </c>
      <c r="O11" s="551" t="n">
        <f aca="false">Rev_Exp!M11</f>
        <v>12</v>
      </c>
      <c r="P11" s="551" t="n">
        <f aca="false">Rev_Exp!N11</f>
        <v>12</v>
      </c>
      <c r="Q11" s="551" t="n">
        <f aca="false">Rev_Exp!O11</f>
        <v>12</v>
      </c>
      <c r="R11" s="551" t="n">
        <f aca="false">Rev_Exp!P11</f>
        <v>12</v>
      </c>
      <c r="S11" s="551" t="n">
        <f aca="false">Rev_Exp!Q11</f>
        <v>12</v>
      </c>
      <c r="T11" s="551" t="n">
        <f aca="false">Rev_Exp!R11</f>
        <v>12</v>
      </c>
      <c r="U11" s="551" t="n">
        <f aca="false">Rev_Exp!S11</f>
        <v>12</v>
      </c>
      <c r="V11" s="551" t="n">
        <f aca="false">Rev_Exp!T11</f>
        <v>12</v>
      </c>
      <c r="W11" s="551" t="n">
        <f aca="false">Rev_Exp!U11</f>
        <v>12</v>
      </c>
      <c r="X11" s="551" t="n">
        <f aca="false">Rev_Exp!V11</f>
        <v>12</v>
      </c>
      <c r="Y11" s="551" t="n">
        <f aca="false">Rev_Exp!W11</f>
        <v>12</v>
      </c>
      <c r="Z11" s="551" t="n">
        <f aca="false">Rev_Exp!X11</f>
        <v>12</v>
      </c>
      <c r="AA11" s="551" t="n">
        <f aca="false">Rev_Exp!Y11</f>
        <v>4</v>
      </c>
      <c r="AB11" s="740" t="n">
        <f aca="false">SUM(E11:AA11)</f>
        <v>213</v>
      </c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</row>
    <row r="12" customFormat="false" ht="12.75" hidden="false" customHeight="false" outlineLevel="0" collapsed="false">
      <c r="A12" s="55" t="s">
        <v>770</v>
      </c>
      <c r="B12" s="38"/>
      <c r="C12" s="62"/>
      <c r="D12" s="62"/>
      <c r="E12" s="553" t="n">
        <f aca="false">Rev_Exp!C12</f>
        <v>0</v>
      </c>
      <c r="F12" s="553" t="n">
        <f aca="false">Rev_Exp!D12</f>
        <v>0</v>
      </c>
      <c r="G12" s="553" t="n">
        <f aca="false">Rev_Exp!E12</f>
        <v>9</v>
      </c>
      <c r="H12" s="553" t="n">
        <f aca="false">Rev_Exp!F12</f>
        <v>12</v>
      </c>
      <c r="I12" s="553" t="n">
        <f aca="false">Rev_Exp!G12</f>
        <v>12</v>
      </c>
      <c r="J12" s="553" t="n">
        <f aca="false">Rev_Exp!H12</f>
        <v>12</v>
      </c>
      <c r="K12" s="553" t="n">
        <f aca="false">Rev_Exp!I12</f>
        <v>12</v>
      </c>
      <c r="L12" s="553" t="n">
        <f aca="false">Rev_Exp!J12</f>
        <v>12</v>
      </c>
      <c r="M12" s="553" t="n">
        <f aca="false">Rev_Exp!K12</f>
        <v>12</v>
      </c>
      <c r="N12" s="553" t="n">
        <f aca="false">Rev_Exp!L12</f>
        <v>12</v>
      </c>
      <c r="O12" s="553" t="n">
        <f aca="false">Rev_Exp!M12</f>
        <v>12</v>
      </c>
      <c r="P12" s="553" t="n">
        <f aca="false">Rev_Exp!N12</f>
        <v>12</v>
      </c>
      <c r="Q12" s="553" t="n">
        <f aca="false">Rev_Exp!O12</f>
        <v>12</v>
      </c>
      <c r="R12" s="553" t="n">
        <f aca="false">Rev_Exp!P12</f>
        <v>12</v>
      </c>
      <c r="S12" s="553" t="n">
        <f aca="false">Rev_Exp!Q12</f>
        <v>12</v>
      </c>
      <c r="T12" s="553" t="n">
        <f aca="false">Rev_Exp!R12</f>
        <v>12</v>
      </c>
      <c r="U12" s="553" t="n">
        <f aca="false">Rev_Exp!S12</f>
        <v>12</v>
      </c>
      <c r="V12" s="553" t="n">
        <f aca="false">Rev_Exp!T12</f>
        <v>12</v>
      </c>
      <c r="W12" s="553" t="n">
        <f aca="false">Rev_Exp!U12</f>
        <v>12</v>
      </c>
      <c r="X12" s="553" t="n">
        <f aca="false">Rev_Exp!V12</f>
        <v>12</v>
      </c>
      <c r="Y12" s="553" t="n">
        <f aca="false">Rev_Exp!W12</f>
        <v>12</v>
      </c>
      <c r="Z12" s="553" t="n">
        <f aca="false">Rev_Exp!X12</f>
        <v>12</v>
      </c>
      <c r="AA12" s="553" t="n">
        <f aca="false">Rev_Exp!Y12</f>
        <v>4</v>
      </c>
      <c r="AB12" s="741" t="n">
        <f aca="false">SUM(E12:AA12)</f>
        <v>241</v>
      </c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</row>
    <row r="13" customFormat="false" ht="12.75" hidden="false" customHeight="false" outlineLevel="0" collapsed="false">
      <c r="A13" s="37" t="s">
        <v>952</v>
      </c>
      <c r="B13" s="38"/>
      <c r="C13" s="38"/>
      <c r="D13" s="38"/>
      <c r="E13" s="742" t="n">
        <f aca="false">Rev_Exp!C16</f>
        <v>0</v>
      </c>
      <c r="F13" s="742" t="n">
        <f aca="false">Rev_Exp!D16</f>
        <v>0</v>
      </c>
      <c r="G13" s="742" t="n">
        <f aca="false">Rev_Exp!E16</f>
        <v>107900</v>
      </c>
      <c r="H13" s="742" t="n">
        <f aca="false">Rev_Exp!F16</f>
        <v>691778.88</v>
      </c>
      <c r="I13" s="742" t="n">
        <f aca="false">Rev_Exp!G16</f>
        <v>2349654.512</v>
      </c>
      <c r="J13" s="742" t="n">
        <f aca="false">Rev_Exp!H16</f>
        <v>3520258.56</v>
      </c>
      <c r="K13" s="742" t="n">
        <f aca="false">Rev_Exp!I16</f>
        <v>3520258.56</v>
      </c>
      <c r="L13" s="742" t="n">
        <f aca="false">Rev_Exp!J16</f>
        <v>3529903.104</v>
      </c>
      <c r="M13" s="742" t="n">
        <f aca="false">Rev_Exp!K16</f>
        <v>3520258.56</v>
      </c>
      <c r="N13" s="742" t="n">
        <f aca="false">Rev_Exp!L16</f>
        <v>3520258.56</v>
      </c>
      <c r="O13" s="742" t="n">
        <f aca="false">Rev_Exp!M16</f>
        <v>3520258.56</v>
      </c>
      <c r="P13" s="742" t="n">
        <f aca="false">Rev_Exp!N16</f>
        <v>3529903.104</v>
      </c>
      <c r="Q13" s="742" t="n">
        <f aca="false">Rev_Exp!O16</f>
        <v>3520258.56</v>
      </c>
      <c r="R13" s="742" t="n">
        <f aca="false">Rev_Exp!P16</f>
        <v>3520258.56</v>
      </c>
      <c r="S13" s="742" t="n">
        <f aca="false">Rev_Exp!Q16</f>
        <v>3520258.56</v>
      </c>
      <c r="T13" s="742" t="n">
        <f aca="false">Rev_Exp!R16</f>
        <v>3529903.104</v>
      </c>
      <c r="U13" s="742" t="n">
        <f aca="false">Rev_Exp!S16</f>
        <v>3520258.56</v>
      </c>
      <c r="V13" s="742" t="n">
        <f aca="false">Rev_Exp!T16</f>
        <v>3520258.56</v>
      </c>
      <c r="W13" s="742" t="n">
        <f aca="false">Rev_Exp!U16</f>
        <v>3520258.56</v>
      </c>
      <c r="X13" s="742" t="n">
        <f aca="false">Rev_Exp!V16</f>
        <v>3529903.104</v>
      </c>
      <c r="Y13" s="742" t="n">
        <f aca="false">Rev_Exp!W16</f>
        <v>3520258.56</v>
      </c>
      <c r="Z13" s="742" t="n">
        <f aca="false">Rev_Exp!X16</f>
        <v>3520258.56</v>
      </c>
      <c r="AA13" s="742" t="n">
        <f aca="false">Rev_Exp!Y16</f>
        <v>1157345.28</v>
      </c>
      <c r="AB13" s="743" t="n">
        <f aca="false">SUM(E13:AA13)</f>
        <v>64189652.368</v>
      </c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</row>
    <row r="14" customFormat="false" ht="12.75" hidden="false" customHeight="false" outlineLevel="0" collapsed="false">
      <c r="A14" s="744"/>
      <c r="B14" s="3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388"/>
      <c r="AA14" s="388"/>
      <c r="AB14" s="614"/>
      <c r="AC14" s="0"/>
      <c r="AD14" s="38"/>
      <c r="AE14" s="38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</row>
    <row r="15" customFormat="false" ht="12.75" hidden="false" customHeight="false" outlineLevel="0" collapsed="false">
      <c r="A15" s="130" t="s">
        <v>953</v>
      </c>
      <c r="B15" s="38"/>
      <c r="C15" s="38"/>
      <c r="D15" s="38"/>
      <c r="E15" s="556"/>
      <c r="F15" s="556"/>
      <c r="G15" s="556"/>
      <c r="H15" s="556"/>
      <c r="I15" s="556"/>
      <c r="J15" s="556"/>
      <c r="K15" s="556"/>
      <c r="L15" s="556"/>
      <c r="M15" s="556"/>
      <c r="N15" s="556"/>
      <c r="O15" s="556"/>
      <c r="P15" s="556"/>
      <c r="Q15" s="556"/>
      <c r="R15" s="556"/>
      <c r="S15" s="556"/>
      <c r="T15" s="556"/>
      <c r="U15" s="556"/>
      <c r="V15" s="556"/>
      <c r="W15" s="556"/>
      <c r="X15" s="556"/>
      <c r="Y15" s="556"/>
      <c r="Z15" s="556"/>
      <c r="AA15" s="556"/>
      <c r="AB15" s="557"/>
    </row>
    <row r="16" customFormat="false" ht="12.75" hidden="false" customHeight="false" outlineLevel="0" collapsed="false">
      <c r="A16" s="37" t="s">
        <v>954</v>
      </c>
      <c r="B16" s="38"/>
      <c r="C16" s="38"/>
      <c r="D16" s="38"/>
      <c r="E16" s="217" t="n">
        <f aca="false">IF(E$7&lt;YEAR(Startops1),0,HLOOKUP(E$7,CF_Table,CF!$AB$40))</f>
        <v>0</v>
      </c>
      <c r="F16" s="217" t="n">
        <f aca="false">IF(F$7&lt;YEAR(Startops1),0,HLOOKUP(F$7,CF_Table,CF!$AB$40))</f>
        <v>0</v>
      </c>
      <c r="G16" s="217" t="n">
        <f aca="false">IF(G$7&lt;YEAR(Startops1),0,HLOOKUP(G$7,CF_Table,CF!$AB$40))</f>
        <v>-1884.6838151903</v>
      </c>
      <c r="H16" s="217" t="n">
        <f aca="false">IF(H$7&lt;YEAR(Startops1),0,HLOOKUP(H$7,CF_Table,CF!$AB$40))</f>
        <v>3833.74712967368</v>
      </c>
      <c r="I16" s="217" t="n">
        <f aca="false">IF(I$7&lt;YEAR(Startops1),0,HLOOKUP(I$7,CF_Table,CF!$AB$40))</f>
        <v>24853.0197201171</v>
      </c>
      <c r="J16" s="217" t="n">
        <f aca="false">IF(J$7&lt;YEAR(Startops1),0,HLOOKUP(J$7,CF_Table,CF!$AB$40))</f>
        <v>38790.7275667574</v>
      </c>
      <c r="K16" s="217" t="n">
        <f aca="false">IF(K$7&lt;YEAR(Startops1),0,HLOOKUP(K$7,CF_Table,CF!$AB$40))</f>
        <v>43280.3400438581</v>
      </c>
      <c r="L16" s="217" t="n">
        <f aca="false">IF(L$7&lt;YEAR(Startops1),0,HLOOKUP(L$7,CF_Table,CF!$AB$40))</f>
        <v>29847.3477043082</v>
      </c>
      <c r="M16" s="217" t="n">
        <f aca="false">IF(M$7&lt;YEAR(Startops1),0,HLOOKUP(M$7,CF_Table,CF!$AB$40))</f>
        <v>51952.4098857647</v>
      </c>
      <c r="N16" s="217" t="n">
        <f aca="false">IF(N$7&lt;YEAR(Startops1),0,HLOOKUP(N$7,CF_Table,CF!$AB$40))</f>
        <v>52322.0480752249</v>
      </c>
      <c r="O16" s="217" t="n">
        <f aca="false">IF(O$7&lt;YEAR(Startops1),0,HLOOKUP(O$7,CF_Table,CF!$AB$40))</f>
        <v>49934.0316145643</v>
      </c>
      <c r="P16" s="217" t="n">
        <f aca="false">IF(P$7&lt;YEAR(Startops1),0,HLOOKUP(P$7,CF_Table,CF!$AB$40))</f>
        <v>46089.9747587696</v>
      </c>
      <c r="Q16" s="217" t="n">
        <f aca="false">IF(Q$7&lt;YEAR(Startops1),0,HLOOKUP(Q$7,CF_Table,CF!$AB$40))</f>
        <v>44888.8101807472</v>
      </c>
      <c r="R16" s="217" t="n">
        <f aca="false">IF(R$7&lt;YEAR(Startops1),0,HLOOKUP(R$7,CF_Table,CF!$AB$40))</f>
        <v>45356.3852692199</v>
      </c>
      <c r="S16" s="217" t="n">
        <f aca="false">IF(S$7&lt;YEAR(Startops1),0,HLOOKUP(S$7,CF_Table,CF!$AB$40))</f>
        <v>44074.7339724755</v>
      </c>
      <c r="T16" s="217" t="n">
        <f aca="false">IF(T$7&lt;YEAR(Startops1),0,HLOOKUP(T$7,CF_Table,CF!$AB$40))</f>
        <v>36792.506934077</v>
      </c>
      <c r="U16" s="217" t="n">
        <f aca="false">IF(U$7&lt;YEAR(Startops1),0,HLOOKUP(U$7,CF_Table,CF!$AB$40))</f>
        <v>39497.5760432047</v>
      </c>
      <c r="V16" s="217" t="n">
        <f aca="false">IF(V$7&lt;YEAR(Startops1),0,HLOOKUP(V$7,CF_Table,CF!$AB$40))</f>
        <v>26755.4236569239</v>
      </c>
      <c r="W16" s="217" t="n">
        <f aca="false">IF(W$7&lt;YEAR(Startops1),0,HLOOKUP(W$7,CF_Table,CF!$AB$40))</f>
        <v>11005.8168680975</v>
      </c>
      <c r="X16" s="217" t="n">
        <f aca="false">IF(X$7&lt;YEAR(Startops1),0,HLOOKUP(X$7,CF_Table,CF!$AB$40))</f>
        <v>6085.65046383107</v>
      </c>
      <c r="Y16" s="217" t="n">
        <f aca="false">IF(Y$7&lt;YEAR(Startops1),0,HLOOKUP(Y$7,CF_Table,CF!$AB$40))</f>
        <v>4689.91363850864</v>
      </c>
      <c r="Z16" s="217" t="n">
        <f aca="false">IF(Z$7&lt;YEAR(Startops1),0,HLOOKUP(Z$7,CF_Table,CF!$AB$40))</f>
        <v>6224.60529260744</v>
      </c>
      <c r="AA16" s="217" t="n">
        <f aca="false">IF(AA$7&lt;YEAR(Startops1),0,HLOOKUP(AA$7,CF_Table,CF!$AB$40))</f>
        <v>2417.95222089096</v>
      </c>
      <c r="AB16" s="574" t="n">
        <f aca="false">SUM(E16:AA16)</f>
        <v>606808.337224432</v>
      </c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</row>
    <row r="17" customFormat="false" ht="12.75" hidden="false" customHeight="false" outlineLevel="0" collapsed="false">
      <c r="A17" s="37" t="s">
        <v>955</v>
      </c>
      <c r="B17" s="38"/>
      <c r="C17" s="38"/>
      <c r="D17" s="38"/>
      <c r="E17" s="217" t="n">
        <f aca="false">-Depr!F57</f>
        <v>-0</v>
      </c>
      <c r="F17" s="217" t="n">
        <f aca="false">-Depr!G57</f>
        <v>-0</v>
      </c>
      <c r="G17" s="217" t="n">
        <f aca="false">-Depr!H57</f>
        <v>-3704.81055000091</v>
      </c>
      <c r="H17" s="217" t="n">
        <f aca="false">-Depr!I57</f>
        <v>-4939.74740000121</v>
      </c>
      <c r="I17" s="217" t="n">
        <f aca="false">-Depr!J57</f>
        <v>-12563.7993949493</v>
      </c>
      <c r="J17" s="217" t="n">
        <f aca="false">-Depr!K57</f>
        <v>-17799.2181695267</v>
      </c>
      <c r="K17" s="217" t="n">
        <f aca="false">-Depr!L57</f>
        <v>-17799.2181695267</v>
      </c>
      <c r="L17" s="217" t="n">
        <f aca="false">-Depr!M57</f>
        <v>-17799.2181695267</v>
      </c>
      <c r="M17" s="217" t="n">
        <f aca="false">-Depr!N57</f>
        <v>-17799.2181695267</v>
      </c>
      <c r="N17" s="217" t="n">
        <f aca="false">-Depr!O57</f>
        <v>-17799.2181695267</v>
      </c>
      <c r="O17" s="217" t="n">
        <f aca="false">-Depr!P57</f>
        <v>-17799.2181695267</v>
      </c>
      <c r="P17" s="217" t="n">
        <f aca="false">-Depr!Q57</f>
        <v>-17799.2181695267</v>
      </c>
      <c r="Q17" s="217" t="n">
        <f aca="false">-Depr!R57</f>
        <v>-17799.2181695267</v>
      </c>
      <c r="R17" s="217" t="n">
        <f aca="false">-Depr!S57</f>
        <v>-17799.2181695267</v>
      </c>
      <c r="S17" s="217" t="n">
        <f aca="false">-Depr!T57</f>
        <v>-17799.2181695267</v>
      </c>
      <c r="T17" s="217" t="n">
        <f aca="false">-Depr!U57</f>
        <v>-17799.2181695267</v>
      </c>
      <c r="U17" s="217" t="n">
        <f aca="false">-Depr!V57</f>
        <v>-17799.2181695267</v>
      </c>
      <c r="V17" s="217" t="n">
        <f aca="false">-Depr!W57</f>
        <v>-17799.2181695267</v>
      </c>
      <c r="W17" s="217" t="n">
        <f aca="false">-Depr!X57</f>
        <v>-17799.2181695267</v>
      </c>
      <c r="X17" s="217" t="n">
        <f aca="false">-Depr!Y57</f>
        <v>-17799.2181695267</v>
      </c>
      <c r="Y17" s="217" t="n">
        <f aca="false">-Depr!Z57</f>
        <v>-17799.2181695267</v>
      </c>
      <c r="Z17" s="217" t="n">
        <f aca="false">-Depr!AA57</f>
        <v>-17799.2181695267</v>
      </c>
      <c r="AA17" s="217" t="n">
        <f aca="false">-Depr!AB57</f>
        <v>-5521.42710650878</v>
      </c>
      <c r="AB17" s="574" t="n">
        <f aca="false">SUM(E17:AA17)</f>
        <v>-329316.493333414</v>
      </c>
    </row>
    <row r="18" customFormat="false" ht="12.75" hidden="false" customHeight="false" outlineLevel="0" collapsed="false">
      <c r="A18" s="37" t="s">
        <v>851</v>
      </c>
      <c r="B18" s="38"/>
      <c r="C18" s="38"/>
      <c r="D18" s="38"/>
      <c r="E18" s="217" t="n">
        <f aca="false">IF(E$7&lt;YEAR(Startops1),0,HLOOKUP(E$7,CF_Table,CF!$AB$44))</f>
        <v>0</v>
      </c>
      <c r="F18" s="217" t="n">
        <f aca="false">IF(F$7&lt;YEAR(Startops1),0,HLOOKUP(F$7,CF_Table,CF!$AB$44))</f>
        <v>0</v>
      </c>
      <c r="G18" s="217" t="n">
        <f aca="false">IF(G$7&lt;YEAR(Startops1),0,HLOOKUP(G$7,CF_Table,CF!$AB$44))</f>
        <v>-0</v>
      </c>
      <c r="H18" s="217" t="n">
        <f aca="false">IF(H$7&lt;YEAR(Startops1),0,HLOOKUP(H$7,CF_Table,CF!$AB$44))</f>
        <v>-0</v>
      </c>
      <c r="I18" s="217" t="n">
        <f aca="false">IF(I$7&lt;YEAR(Startops1),0,HLOOKUP(I$7,CF_Table,CF!$AB$44))</f>
        <v>-6866.1388759198</v>
      </c>
      <c r="J18" s="217" t="n">
        <f aca="false">IF(J$7&lt;YEAR(Startops1),0,HLOOKUP(J$7,CF_Table,CF!$AB$44))</f>
        <v>-16245.849069511</v>
      </c>
      <c r="K18" s="217" t="n">
        <f aca="false">IF(K$7&lt;YEAR(Startops1),0,HLOOKUP(K$7,CF_Table,CF!$AB$44))</f>
        <v>-15297.1145543459</v>
      </c>
      <c r="L18" s="217" t="n">
        <f aca="false">IF(L$7&lt;YEAR(Startops1),0,HLOOKUP(L$7,CF_Table,CF!$AB$44))</f>
        <v>-14256.7267686017</v>
      </c>
      <c r="M18" s="217" t="n">
        <f aca="false">IF(M$7&lt;YEAR(Startops1),0,HLOOKUP(M$7,CF_Table,CF!$AB$44))</f>
        <v>-13047.8739914031</v>
      </c>
      <c r="N18" s="217" t="n">
        <f aca="false">IF(N$7&lt;YEAR(Startops1),0,HLOOKUP(N$7,CF_Table,CF!$AB$44))</f>
        <v>-11750.4132012332</v>
      </c>
      <c r="O18" s="217" t="n">
        <f aca="false">IF(O$7&lt;YEAR(Startops1),0,HLOOKUP(O$7,CF_Table,CF!$AB$44))</f>
        <v>-10380.0289673911</v>
      </c>
      <c r="P18" s="217" t="n">
        <f aca="false">IF(P$7&lt;YEAR(Startops1),0,HLOOKUP(P$7,CF_Table,CF!$AB$44))</f>
        <v>-8974.06088972822</v>
      </c>
      <c r="Q18" s="217" t="n">
        <f aca="false">IF(Q$7&lt;YEAR(Startops1),0,HLOOKUP(Q$7,CF_Table,CF!$AB$44))</f>
        <v>-7705.25600331445</v>
      </c>
      <c r="R18" s="217" t="n">
        <f aca="false">IF(R$7&lt;YEAR(Startops1),0,HLOOKUP(R$7,CF_Table,CF!$AB$44))</f>
        <v>-6465.01759721142</v>
      </c>
      <c r="S18" s="217" t="n">
        <f aca="false">IF(S$7&lt;YEAR(Startops1),0,HLOOKUP(S$7,CF_Table,CF!$AB$44))</f>
        <v>-5197.77633917085</v>
      </c>
      <c r="T18" s="217" t="n">
        <f aca="false">IF(T$7&lt;YEAR(Startops1),0,HLOOKUP(T$7,CF_Table,CF!$AB$44))</f>
        <v>-3910.35006902801</v>
      </c>
      <c r="U18" s="217" t="n">
        <f aca="false">IF(U$7&lt;YEAR(Startops1),0,HLOOKUP(U$7,CF_Table,CF!$AB$44))</f>
        <v>-2848.34668448025</v>
      </c>
      <c r="V18" s="217" t="n">
        <f aca="false">IF(V$7&lt;YEAR(Startops1),0,HLOOKUP(V$7,CF_Table,CF!$AB$44))</f>
        <v>-1786.34329993249</v>
      </c>
      <c r="W18" s="217" t="n">
        <f aca="false">IF(W$7&lt;YEAR(Startops1),0,HLOOKUP(W$7,CF_Table,CF!$AB$44))</f>
        <v>-701.827212434818</v>
      </c>
      <c r="X18" s="217" t="n">
        <f aca="false">IF(X$7&lt;YEAR(Startops1),0,HLOOKUP(X$7,CF_Table,CF!$AB$44))</f>
        <v>-0</v>
      </c>
      <c r="Y18" s="217" t="n">
        <f aca="false">IF(Y$7&lt;YEAR(Startops1),0,HLOOKUP(Y$7,CF_Table,CF!$AB$44))</f>
        <v>-0</v>
      </c>
      <c r="Z18" s="217" t="n">
        <f aca="false">IF(Z$7&lt;YEAR(Startops1),0,HLOOKUP(Z$7,CF_Table,CF!$AB$44))</f>
        <v>-0</v>
      </c>
      <c r="AA18" s="217" t="n">
        <f aca="false">IF(AA$7&lt;YEAR(Startops1),0,HLOOKUP(AA$7,CF_Table,CF!$AB$44))</f>
        <v>-0</v>
      </c>
      <c r="AB18" s="574" t="n">
        <f aca="false">SUM(E18:AA18)</f>
        <v>-125433.123523706</v>
      </c>
    </row>
    <row r="19" customFormat="false" ht="12.75" hidden="false" customHeight="false" outlineLevel="0" collapsed="false">
      <c r="A19" s="37" t="s">
        <v>852</v>
      </c>
      <c r="B19" s="38"/>
      <c r="C19" s="38"/>
      <c r="D19" s="38"/>
      <c r="E19" s="217" t="n">
        <f aca="false">IF(E$7&lt;YEAR(Startops1),0,HLOOKUP(E$7,CF_Table,CF!$AB$45))</f>
        <v>0</v>
      </c>
      <c r="F19" s="217" t="n">
        <f aca="false">IF(F$7&lt;YEAR(Startops1),0,HLOOKUP(F$7,CF_Table,CF!$AB$45))</f>
        <v>0</v>
      </c>
      <c r="G19" s="217" t="n">
        <f aca="false">IF(G$7&lt;YEAR(Startops1),0,HLOOKUP(G$7,CF_Table,CF!$AB$45))</f>
        <v>-0</v>
      </c>
      <c r="H19" s="217" t="n">
        <f aca="false">IF(H$7&lt;YEAR(Startops1),0,HLOOKUP(H$7,CF_Table,CF!$AB$45))</f>
        <v>-0</v>
      </c>
      <c r="I19" s="217" t="n">
        <f aca="false">IF(I$7&lt;YEAR(Startops1),0,HLOOKUP(I$7,CF_Table,CF!$AB$45))</f>
        <v>-2694.78154144109</v>
      </c>
      <c r="J19" s="217" t="n">
        <f aca="false">IF(J$7&lt;YEAR(Startops1),0,HLOOKUP(J$7,CF_Table,CF!$AB$45))</f>
        <v>-6397.33203104365</v>
      </c>
      <c r="K19" s="217" t="n">
        <f aca="false">IF(K$7&lt;YEAR(Startops1),0,HLOOKUP(K$7,CF_Table,CF!$AB$45))</f>
        <v>-6098.22364659681</v>
      </c>
      <c r="L19" s="217" t="n">
        <f aca="false">IF(L$7&lt;YEAR(Startops1),0,HLOOKUP(L$7,CF_Table,CF!$AB$45))</f>
        <v>-5758.9674392476</v>
      </c>
      <c r="M19" s="217" t="n">
        <f aca="false">IF(M$7&lt;YEAR(Startops1),0,HLOOKUP(M$7,CF_Table,CF!$AB$45))</f>
        <v>-5374.17456746693</v>
      </c>
      <c r="N19" s="217" t="n">
        <f aca="false">IF(N$7&lt;YEAR(Startops1),0,HLOOKUP(N$7,CF_Table,CF!$AB$45))</f>
        <v>-4937.7328724715</v>
      </c>
      <c r="O19" s="217" t="n">
        <f aca="false">IF(O$7&lt;YEAR(Startops1),0,HLOOKUP(O$7,CF_Table,CF!$AB$45))</f>
        <v>-4442.70979096531</v>
      </c>
      <c r="P19" s="217" t="n">
        <f aca="false">IF(P$7&lt;YEAR(Startops1),0,HLOOKUP(P$7,CF_Table,CF!$AB$45))</f>
        <v>-3881.24223634396</v>
      </c>
      <c r="Q19" s="217" t="n">
        <f aca="false">IF(Q$7&lt;YEAR(Startops1),0,HLOOKUP(Q$7,CF_Table,CF!$AB$45))</f>
        <v>-3244.41169920355</v>
      </c>
      <c r="R19" s="217" t="n">
        <f aca="false">IF(R$7&lt;YEAR(Startops1),0,HLOOKUP(R$7,CF_Table,CF!$AB$45))</f>
        <v>-2522.10258321547</v>
      </c>
      <c r="S19" s="217" t="n">
        <f aca="false">IF(S$7&lt;YEAR(Startops1),0,HLOOKUP(S$7,CF_Table,CF!$AB$45))</f>
        <v>-1702.84152613389</v>
      </c>
      <c r="T19" s="217" t="n">
        <f aca="false">IF(T$7&lt;YEAR(Startops1),0,HLOOKUP(T$7,CF_Table,CF!$AB$45))</f>
        <v>-773.615153665539</v>
      </c>
      <c r="U19" s="217" t="n">
        <f aca="false">IF(U$7&lt;YEAR(Startops1),0,HLOOKUP(U$7,CF_Table,CF!$AB$45))</f>
        <v>-0</v>
      </c>
      <c r="V19" s="217" t="n">
        <f aca="false">IF(V$7&lt;YEAR(Startops1),0,HLOOKUP(V$7,CF_Table,CF!$AB$45))</f>
        <v>-0</v>
      </c>
      <c r="W19" s="217" t="n">
        <f aca="false">IF(W$7&lt;YEAR(Startops1),0,HLOOKUP(W$7,CF_Table,CF!$AB$45))</f>
        <v>-0</v>
      </c>
      <c r="X19" s="217" t="n">
        <f aca="false">IF(X$7&lt;YEAR(Startops1),0,HLOOKUP(X$7,CF_Table,CF!$AB$45))</f>
        <v>-0</v>
      </c>
      <c r="Y19" s="217" t="n">
        <f aca="false">IF(Y$7&lt;YEAR(Startops1),0,HLOOKUP(Y$7,CF_Table,CF!$AB$45))</f>
        <v>-0</v>
      </c>
      <c r="Z19" s="217" t="n">
        <f aca="false">IF(Z$7&lt;YEAR(Startops1),0,HLOOKUP(Z$7,CF_Table,CF!$AB$45))</f>
        <v>-0</v>
      </c>
      <c r="AA19" s="217" t="n">
        <f aca="false">IF(AA$7&lt;YEAR(Startops1),0,HLOOKUP(AA$7,CF_Table,CF!$AB$45))</f>
        <v>-0</v>
      </c>
      <c r="AB19" s="574" t="n">
        <f aca="false">SUM(E19:AA19)</f>
        <v>-47828.1350877953</v>
      </c>
    </row>
    <row r="20" customFormat="false" ht="12.75" hidden="false" customHeight="false" outlineLevel="0" collapsed="false">
      <c r="A20" s="37" t="s">
        <v>956</v>
      </c>
      <c r="B20" s="38"/>
      <c r="C20" s="38"/>
      <c r="D20" s="38"/>
      <c r="E20" s="217" t="n">
        <f aca="false">-E84</f>
        <v>-0</v>
      </c>
      <c r="F20" s="217" t="n">
        <f aca="false">-F84</f>
        <v>-0</v>
      </c>
      <c r="G20" s="217" t="n">
        <f aca="false">-G84</f>
        <v>-8697.77801574771</v>
      </c>
      <c r="H20" s="217" t="n">
        <f aca="false">-H84</f>
        <v>-14326.7593849746</v>
      </c>
      <c r="I20" s="217" t="n">
        <f aca="false">-I84</f>
        <v>-93085.2993854401</v>
      </c>
      <c r="J20" s="217" t="n">
        <f aca="false">-J84</f>
        <v>-132706.858984453</v>
      </c>
      <c r="K20" s="217" t="n">
        <f aca="false">-K84</f>
        <v>-139182.413958268</v>
      </c>
      <c r="L20" s="217" t="n">
        <f aca="false">-L84</f>
        <v>-144627.07046259</v>
      </c>
      <c r="M20" s="217" t="n">
        <f aca="false">-M84</f>
        <v>-148097.906174054</v>
      </c>
      <c r="N20" s="217" t="n">
        <f aca="false">-N84</f>
        <v>-151043.372192738</v>
      </c>
      <c r="O20" s="217" t="n">
        <f aca="false">-O84</f>
        <v>-150642.567236922</v>
      </c>
      <c r="P20" s="217" t="n">
        <f aca="false">-P84</f>
        <v>-148854.701469524</v>
      </c>
      <c r="Q20" s="217" t="n">
        <f aca="false">-Q84</f>
        <v>-150012.974820409</v>
      </c>
      <c r="R20" s="217" t="n">
        <f aca="false">-R84</f>
        <v>-153398.821154641</v>
      </c>
      <c r="S20" s="217" t="n">
        <f aca="false">-S84</f>
        <v>-154607.096195379</v>
      </c>
      <c r="T20" s="217" t="n">
        <f aca="false">-T84</f>
        <v>-149835.341254755</v>
      </c>
      <c r="U20" s="217" t="n">
        <f aca="false">-U84</f>
        <v>-155617.20913508</v>
      </c>
      <c r="V20" s="217" t="n">
        <f aca="false">-V84</f>
        <v>-145684.008230416</v>
      </c>
      <c r="W20" s="217" t="n">
        <f aca="false">-W84</f>
        <v>-132107.965961271</v>
      </c>
      <c r="X20" s="217" t="n">
        <f aca="false">-X84</f>
        <v>-130166.869138707</v>
      </c>
      <c r="Y20" s="217" t="n">
        <f aca="false">-Y84</f>
        <v>-131984.801277013</v>
      </c>
      <c r="Z20" s="217" t="n">
        <f aca="false">-Z84</f>
        <v>-130053.521734026</v>
      </c>
      <c r="AA20" s="217" t="n">
        <f aca="false">-AA84</f>
        <v>-42960.2977006278</v>
      </c>
      <c r="AB20" s="574" t="n">
        <f aca="false">SUM(E20:AA20)</f>
        <v>-2607693.63386704</v>
      </c>
    </row>
    <row r="21" customFormat="false" ht="12.75" hidden="false" customHeight="false" outlineLevel="0" collapsed="false">
      <c r="A21" s="37" t="s">
        <v>957</v>
      </c>
      <c r="B21" s="38"/>
      <c r="C21" s="38"/>
      <c r="D21" s="38"/>
      <c r="E21" s="220" t="n">
        <f aca="false">E88</f>
        <v>0</v>
      </c>
      <c r="F21" s="220" t="n">
        <f aca="false">F88</f>
        <v>0</v>
      </c>
      <c r="G21" s="220" t="n">
        <f aca="false">G88</f>
        <v>4383.41902026755</v>
      </c>
      <c r="H21" s="220" t="n">
        <f aca="false">H88</f>
        <v>28103.3985209581</v>
      </c>
      <c r="I21" s="220" t="n">
        <f aca="false">I88</f>
        <v>95454.3121312166</v>
      </c>
      <c r="J21" s="220" t="n">
        <f aca="false">J88</f>
        <v>143009.901095122</v>
      </c>
      <c r="K21" s="220" t="n">
        <f aca="false">K88</f>
        <v>143009.901095122</v>
      </c>
      <c r="L21" s="220" t="n">
        <f aca="false">L88</f>
        <v>143401.709043328</v>
      </c>
      <c r="M21" s="220" t="n">
        <f aca="false">M88</f>
        <v>143009.901095122</v>
      </c>
      <c r="N21" s="220" t="n">
        <f aca="false">N88</f>
        <v>143009.901095122</v>
      </c>
      <c r="O21" s="220" t="n">
        <f aca="false">O88</f>
        <v>143009.901095122</v>
      </c>
      <c r="P21" s="220" t="n">
        <f aca="false">P88</f>
        <v>143401.709043328</v>
      </c>
      <c r="Q21" s="220" t="n">
        <f aca="false">Q88</f>
        <v>143009.901095122</v>
      </c>
      <c r="R21" s="220" t="n">
        <f aca="false">R88</f>
        <v>143009.901095122</v>
      </c>
      <c r="S21" s="220" t="n">
        <f aca="false">S88</f>
        <v>143009.901095122</v>
      </c>
      <c r="T21" s="220" t="n">
        <f aca="false">T88</f>
        <v>143401.709043328</v>
      </c>
      <c r="U21" s="220" t="n">
        <f aca="false">U88</f>
        <v>143009.901095122</v>
      </c>
      <c r="V21" s="220" t="n">
        <f aca="false">V88</f>
        <v>143009.901095122</v>
      </c>
      <c r="W21" s="220" t="n">
        <f aca="false">W88</f>
        <v>143009.901095122</v>
      </c>
      <c r="X21" s="220" t="n">
        <f aca="false">X88</f>
        <v>143401.709043328</v>
      </c>
      <c r="Y21" s="220" t="n">
        <f aca="false">Y88</f>
        <v>143009.901095122</v>
      </c>
      <c r="Z21" s="220" t="n">
        <f aca="false">Z88</f>
        <v>143009.901095122</v>
      </c>
      <c r="AA21" s="220" t="n">
        <f aca="false">AA88</f>
        <v>47016.9537846976</v>
      </c>
      <c r="AB21" s="576" t="n">
        <f aca="false">SUM(E21:AA21)</f>
        <v>2607693.63386704</v>
      </c>
    </row>
    <row r="22" customFormat="false" ht="12.75" hidden="false" customHeight="false" outlineLevel="0" collapsed="false">
      <c r="A22" s="37" t="s">
        <v>958</v>
      </c>
      <c r="B22" s="38"/>
      <c r="C22" s="38"/>
      <c r="D22" s="79" t="s">
        <v>959</v>
      </c>
      <c r="E22" s="217" t="n">
        <f aca="false">SUM(E15:E21)</f>
        <v>0</v>
      </c>
      <c r="F22" s="217" t="n">
        <f aca="false">SUM(F15:F21)</f>
        <v>0</v>
      </c>
      <c r="G22" s="217" t="n">
        <f aca="false">SUM(G15:G21)</f>
        <v>-9903.85336067137</v>
      </c>
      <c r="H22" s="217" t="n">
        <f aca="false">SUM(H15:H21)</f>
        <v>12670.638865656</v>
      </c>
      <c r="I22" s="217" t="n">
        <f aca="false">SUM(I15:I21)</f>
        <v>5097.31265358336</v>
      </c>
      <c r="J22" s="217" t="n">
        <f aca="false">SUM(J15:J21)</f>
        <v>8651.37040734504</v>
      </c>
      <c r="K22" s="217" t="n">
        <f aca="false">SUM(K15:K21)</f>
        <v>7913.27081024271</v>
      </c>
      <c r="L22" s="217" t="n">
        <f aca="false">SUM(L15:L21)</f>
        <v>-9192.92609233031</v>
      </c>
      <c r="M22" s="217" t="n">
        <f aca="false">SUM(M15:M21)</f>
        <v>10643.1380784358</v>
      </c>
      <c r="N22" s="217" t="n">
        <f aca="false">SUM(N15:N21)</f>
        <v>9801.21273437739</v>
      </c>
      <c r="O22" s="217" t="n">
        <f aca="false">SUM(O15:O21)</f>
        <v>9679.40854488101</v>
      </c>
      <c r="P22" s="217" t="n">
        <f aca="false">SUM(P15:P21)</f>
        <v>9982.46103697465</v>
      </c>
      <c r="Q22" s="217" t="n">
        <f aca="false">SUM(Q15:Q21)</f>
        <v>9136.8505834153</v>
      </c>
      <c r="R22" s="217" t="n">
        <f aca="false">SUM(R15:R21)</f>
        <v>8181.12685974778</v>
      </c>
      <c r="S22" s="217" t="n">
        <f aca="false">SUM(S15:S21)</f>
        <v>7777.70283738701</v>
      </c>
      <c r="T22" s="217" t="n">
        <f aca="false">SUM(T15:T21)</f>
        <v>7875.69133042917</v>
      </c>
      <c r="U22" s="217" t="n">
        <f aca="false">SUM(U15:U21)</f>
        <v>6242.70314923962</v>
      </c>
      <c r="V22" s="217" t="n">
        <f aca="false">SUM(V15:V21)</f>
        <v>4495.75505217101</v>
      </c>
      <c r="W22" s="217" t="n">
        <f aca="false">SUM(W15:W21)</f>
        <v>3406.70661998741</v>
      </c>
      <c r="X22" s="217" t="n">
        <f aca="false">SUM(X15:X21)</f>
        <v>1521.27219892471</v>
      </c>
      <c r="Y22" s="217" t="n">
        <f aca="false">SUM(Y15:Y21)</f>
        <v>-2084.20471290933</v>
      </c>
      <c r="Z22" s="217" t="n">
        <f aca="false">SUM(Z15:Z21)</f>
        <v>1381.76648417671</v>
      </c>
      <c r="AA22" s="217" t="n">
        <f aca="false">SUM(AA15:AA21)</f>
        <v>953.181198452039</v>
      </c>
      <c r="AB22" s="574" t="n">
        <f aca="false">SUM(E22:AA22)</f>
        <v>104230.585279516</v>
      </c>
    </row>
    <row r="23" customFormat="false" ht="12.75" hidden="false" customHeight="false" outlineLevel="0" collapsed="false">
      <c r="A23" s="37" t="s">
        <v>960</v>
      </c>
      <c r="B23" s="38"/>
      <c r="C23" s="306" t="n">
        <f aca="false">Tax+AddTax+Social</f>
        <v>0.33</v>
      </c>
      <c r="D23" s="38"/>
      <c r="E23" s="745" t="n">
        <f aca="false">$C23</f>
        <v>0.33</v>
      </c>
      <c r="F23" s="746" t="n">
        <f aca="false">$C23</f>
        <v>0.33</v>
      </c>
      <c r="G23" s="746" t="n">
        <f aca="false">$C23</f>
        <v>0.33</v>
      </c>
      <c r="H23" s="746" t="n">
        <f aca="false">$C23</f>
        <v>0.33</v>
      </c>
      <c r="I23" s="746" t="n">
        <f aca="false">$C23</f>
        <v>0.33</v>
      </c>
      <c r="J23" s="746" t="n">
        <f aca="false">$C23</f>
        <v>0.33</v>
      </c>
      <c r="K23" s="746" t="n">
        <f aca="false">$C23</f>
        <v>0.33</v>
      </c>
      <c r="L23" s="746" t="n">
        <f aca="false">$C23</f>
        <v>0.33</v>
      </c>
      <c r="M23" s="746" t="n">
        <f aca="false">$C23</f>
        <v>0.33</v>
      </c>
      <c r="N23" s="746" t="n">
        <f aca="false">$C23</f>
        <v>0.33</v>
      </c>
      <c r="O23" s="746" t="n">
        <f aca="false">$C23</f>
        <v>0.33</v>
      </c>
      <c r="P23" s="746" t="n">
        <f aca="false">$C23</f>
        <v>0.33</v>
      </c>
      <c r="Q23" s="746" t="n">
        <f aca="false">$C23</f>
        <v>0.33</v>
      </c>
      <c r="R23" s="746" t="n">
        <f aca="false">$C23</f>
        <v>0.33</v>
      </c>
      <c r="S23" s="746" t="n">
        <f aca="false">$C23</f>
        <v>0.33</v>
      </c>
      <c r="T23" s="746" t="n">
        <f aca="false">$C23</f>
        <v>0.33</v>
      </c>
      <c r="U23" s="746" t="n">
        <f aca="false">$C23</f>
        <v>0.33</v>
      </c>
      <c r="V23" s="746" t="n">
        <f aca="false">$C23</f>
        <v>0.33</v>
      </c>
      <c r="W23" s="746" t="n">
        <f aca="false">$C23</f>
        <v>0.33</v>
      </c>
      <c r="X23" s="746" t="n">
        <f aca="false">$C23</f>
        <v>0.33</v>
      </c>
      <c r="Y23" s="746" t="n">
        <f aca="false">$C23</f>
        <v>0.33</v>
      </c>
      <c r="Z23" s="746" t="n">
        <f aca="false">$C23</f>
        <v>0.33</v>
      </c>
      <c r="AA23" s="746" t="n">
        <f aca="false">$C23</f>
        <v>0.33</v>
      </c>
      <c r="AB23" s="747" t="n">
        <f aca="false">$C23</f>
        <v>0.33</v>
      </c>
    </row>
    <row r="24" customFormat="false" ht="12.75" hidden="false" customHeight="false" outlineLevel="0" collapsed="false">
      <c r="A24" s="37" t="s">
        <v>961</v>
      </c>
      <c r="B24" s="38"/>
      <c r="C24" s="38"/>
      <c r="D24" s="79" t="s">
        <v>962</v>
      </c>
      <c r="E24" s="220" t="n">
        <f aca="false">-E22*E23</f>
        <v>-0</v>
      </c>
      <c r="F24" s="220" t="n">
        <f aca="false">-F22*F23</f>
        <v>-0</v>
      </c>
      <c r="G24" s="220" t="n">
        <f aca="false">-G22*G23</f>
        <v>3268.27160902155</v>
      </c>
      <c r="H24" s="220" t="n">
        <f aca="false">-H22*H23</f>
        <v>-4181.31082566647</v>
      </c>
      <c r="I24" s="220" t="n">
        <f aca="false">-I22*I23</f>
        <v>-1682.11317568251</v>
      </c>
      <c r="J24" s="220" t="n">
        <f aca="false">-J22*J23</f>
        <v>-2854.95223442386</v>
      </c>
      <c r="K24" s="220" t="n">
        <f aca="false">-K22*K23</f>
        <v>-2611.3793673801</v>
      </c>
      <c r="L24" s="220" t="n">
        <f aca="false">-L22*L23</f>
        <v>3033.665610469</v>
      </c>
      <c r="M24" s="220" t="n">
        <f aca="false">-M22*M23</f>
        <v>-3512.23556588383</v>
      </c>
      <c r="N24" s="220" t="n">
        <f aca="false">-N22*N23</f>
        <v>-3234.40020234454</v>
      </c>
      <c r="O24" s="220" t="n">
        <f aca="false">-O22*O23</f>
        <v>-3194.20481981073</v>
      </c>
      <c r="P24" s="220" t="n">
        <f aca="false">-P22*P23</f>
        <v>-3294.21214220164</v>
      </c>
      <c r="Q24" s="220" t="n">
        <f aca="false">-Q22*Q23</f>
        <v>-3015.16069252705</v>
      </c>
      <c r="R24" s="220" t="n">
        <f aca="false">-R22*R23</f>
        <v>-2699.77186371677</v>
      </c>
      <c r="S24" s="220" t="n">
        <f aca="false">-S22*S23</f>
        <v>-2566.64193633771</v>
      </c>
      <c r="T24" s="220" t="n">
        <f aca="false">-T22*T23</f>
        <v>-2598.97813904163</v>
      </c>
      <c r="U24" s="220" t="n">
        <f aca="false">-U22*U23</f>
        <v>-2060.09203924908</v>
      </c>
      <c r="V24" s="220" t="n">
        <f aca="false">-V22*V23</f>
        <v>-1483.59916721643</v>
      </c>
      <c r="W24" s="220" t="n">
        <f aca="false">-W22*W23</f>
        <v>-1124.21318459585</v>
      </c>
      <c r="X24" s="220" t="n">
        <f aca="false">-X22*X23</f>
        <v>-502.019825645154</v>
      </c>
      <c r="Y24" s="220" t="n">
        <f aca="false">-Y22*Y23</f>
        <v>687.787555260078</v>
      </c>
      <c r="Z24" s="220" t="n">
        <f aca="false">-Z22*Z23</f>
        <v>-455.982939778315</v>
      </c>
      <c r="AA24" s="220" t="n">
        <f aca="false">-AA22*AA23</f>
        <v>-314.549795489173</v>
      </c>
      <c r="AB24" s="576" t="n">
        <f aca="false">SUM(E24:AA24)</f>
        <v>-34396.0931422402</v>
      </c>
    </row>
    <row r="25" customFormat="false" ht="12.75" hidden="false" customHeight="false" outlineLevel="0" collapsed="false">
      <c r="A25" s="37" t="s">
        <v>963</v>
      </c>
      <c r="B25" s="38"/>
      <c r="C25" s="38"/>
      <c r="D25" s="79" t="s">
        <v>964</v>
      </c>
      <c r="E25" s="217" t="n">
        <f aca="false">SUM(E22,E24)</f>
        <v>0</v>
      </c>
      <c r="F25" s="217" t="n">
        <f aca="false">SUM(F22,F24)</f>
        <v>0</v>
      </c>
      <c r="G25" s="217" t="n">
        <f aca="false">SUM(G22,G24)</f>
        <v>-6635.58175164982</v>
      </c>
      <c r="H25" s="217" t="n">
        <f aca="false">SUM(H22,H24)</f>
        <v>8489.32803998951</v>
      </c>
      <c r="I25" s="217" t="n">
        <f aca="false">SUM(I22,I24)</f>
        <v>3415.19947790085</v>
      </c>
      <c r="J25" s="217" t="n">
        <f aca="false">SUM(J22,J24)</f>
        <v>5796.41817292117</v>
      </c>
      <c r="K25" s="217" t="n">
        <f aca="false">SUM(K22,K24)</f>
        <v>5301.89144286262</v>
      </c>
      <c r="L25" s="217" t="n">
        <f aca="false">SUM(L22,L24)</f>
        <v>-6159.26048186131</v>
      </c>
      <c r="M25" s="217" t="n">
        <f aca="false">SUM(M22,M24)</f>
        <v>7130.90251255202</v>
      </c>
      <c r="N25" s="217" t="n">
        <f aca="false">SUM(N22,N24)</f>
        <v>6566.81253203285</v>
      </c>
      <c r="O25" s="217" t="n">
        <f aca="false">SUM(O22,O24)</f>
        <v>6485.20372507027</v>
      </c>
      <c r="P25" s="217" t="n">
        <f aca="false">SUM(P22,P24)</f>
        <v>6688.24889477302</v>
      </c>
      <c r="Q25" s="217" t="n">
        <f aca="false">SUM(Q22,Q24)</f>
        <v>6121.68989088825</v>
      </c>
      <c r="R25" s="217" t="n">
        <f aca="false">SUM(R22,R24)</f>
        <v>5481.35499603101</v>
      </c>
      <c r="S25" s="217" t="n">
        <f aca="false">SUM(S22,S24)</f>
        <v>5211.0609010493</v>
      </c>
      <c r="T25" s="217" t="n">
        <f aca="false">SUM(T22,T24)</f>
        <v>5276.71319138754</v>
      </c>
      <c r="U25" s="217" t="n">
        <f aca="false">SUM(U22,U24)</f>
        <v>4182.61110999055</v>
      </c>
      <c r="V25" s="217" t="n">
        <f aca="false">SUM(V22,V24)</f>
        <v>3012.15588495457</v>
      </c>
      <c r="W25" s="217" t="n">
        <f aca="false">SUM(W22,W24)</f>
        <v>2282.49343539156</v>
      </c>
      <c r="X25" s="217" t="n">
        <f aca="false">SUM(X22,X24)</f>
        <v>1019.25237327955</v>
      </c>
      <c r="Y25" s="217" t="n">
        <f aca="false">SUM(Y22,Y24)</f>
        <v>-1396.41715764925</v>
      </c>
      <c r="Z25" s="217" t="n">
        <f aca="false">SUM(Z22,Z24)</f>
        <v>925.783544398396</v>
      </c>
      <c r="AA25" s="217" t="n">
        <f aca="false">SUM(AA22,AA24)</f>
        <v>638.631402962866</v>
      </c>
      <c r="AB25" s="574" t="n">
        <f aca="false">SUM(E25:AA25)</f>
        <v>69834.4921372755</v>
      </c>
    </row>
    <row r="26" customFormat="false" ht="12.75" hidden="false" customHeight="false" outlineLevel="0" collapsed="false">
      <c r="A26" s="37" t="s">
        <v>965</v>
      </c>
      <c r="B26" s="38"/>
      <c r="C26" s="38"/>
      <c r="D26" s="38"/>
      <c r="E26" s="748" t="n">
        <f aca="false">'Enron Returns'!E10</f>
        <v>0.65625</v>
      </c>
      <c r="F26" s="748" t="n">
        <f aca="false">'Enron Returns'!F10</f>
        <v>0.65625</v>
      </c>
      <c r="G26" s="748" t="n">
        <f aca="false">'Enron Returns'!G10</f>
        <v>0.65625</v>
      </c>
      <c r="H26" s="748" t="n">
        <f aca="false">'Enron Returns'!H10</f>
        <v>0.52625</v>
      </c>
      <c r="I26" s="748" t="n">
        <f aca="false">'Enron Returns'!I10</f>
        <v>0.52625</v>
      </c>
      <c r="J26" s="748" t="n">
        <f aca="false">'Enron Returns'!J10</f>
        <v>0.52625</v>
      </c>
      <c r="K26" s="748" t="n">
        <f aca="false">'Enron Returns'!K10</f>
        <v>0.52625</v>
      </c>
      <c r="L26" s="748" t="n">
        <f aca="false">'Enron Returns'!L10</f>
        <v>0.52625</v>
      </c>
      <c r="M26" s="748" t="n">
        <f aca="false">'Enron Returns'!M10</f>
        <v>0.52625</v>
      </c>
      <c r="N26" s="748" t="n">
        <f aca="false">'Enron Returns'!N10</f>
        <v>0.52625</v>
      </c>
      <c r="O26" s="748" t="n">
        <f aca="false">'Enron Returns'!O10</f>
        <v>0.52625</v>
      </c>
      <c r="P26" s="748" t="n">
        <f aca="false">'Enron Returns'!P10</f>
        <v>0.52625</v>
      </c>
      <c r="Q26" s="748" t="n">
        <f aca="false">'Enron Returns'!Q10</f>
        <v>0.52625</v>
      </c>
      <c r="R26" s="748" t="n">
        <f aca="false">'Enron Returns'!R10</f>
        <v>0.52625</v>
      </c>
      <c r="S26" s="748" t="n">
        <f aca="false">'Enron Returns'!S10</f>
        <v>0.52625</v>
      </c>
      <c r="T26" s="748" t="n">
        <f aca="false">'Enron Returns'!T10</f>
        <v>0.52625</v>
      </c>
      <c r="U26" s="748" t="n">
        <f aca="false">'Enron Returns'!U10</f>
        <v>0.52625</v>
      </c>
      <c r="V26" s="748" t="n">
        <f aca="false">'Enron Returns'!V10</f>
        <v>0.52625</v>
      </c>
      <c r="W26" s="748" t="n">
        <f aca="false">'Enron Returns'!W10</f>
        <v>0.52625</v>
      </c>
      <c r="X26" s="748" t="n">
        <f aca="false">'Enron Returns'!X10</f>
        <v>0.52625</v>
      </c>
      <c r="Y26" s="748" t="n">
        <f aca="false">'Enron Returns'!Y10</f>
        <v>0.52625</v>
      </c>
      <c r="Z26" s="748" t="n">
        <f aca="false">'Enron Returns'!Z10</f>
        <v>0.52625</v>
      </c>
      <c r="AA26" s="748" t="n">
        <f aca="false">'Enron Returns'!AA10</f>
        <v>0.52625</v>
      </c>
      <c r="AB26" s="557"/>
    </row>
    <row r="27" customFormat="false" ht="12.75" hidden="false" customHeight="false" outlineLevel="0" collapsed="false">
      <c r="A27" s="37"/>
      <c r="B27" s="38" t="s">
        <v>966</v>
      </c>
      <c r="C27" s="38"/>
      <c r="D27" s="38"/>
      <c r="E27" s="217" t="n">
        <f aca="false">E25*E26</f>
        <v>0</v>
      </c>
      <c r="F27" s="217" t="n">
        <f aca="false">F25*F26</f>
        <v>0</v>
      </c>
      <c r="G27" s="217" t="n">
        <f aca="false">G25*G26</f>
        <v>-4354.60052452019</v>
      </c>
      <c r="H27" s="217" t="n">
        <f aca="false">H25*H26</f>
        <v>4467.50888104448</v>
      </c>
      <c r="I27" s="217" t="n">
        <f aca="false">I25*I26</f>
        <v>1797.24872524532</v>
      </c>
      <c r="J27" s="217" t="n">
        <f aca="false">J25*J26</f>
        <v>3050.36506349977</v>
      </c>
      <c r="K27" s="217" t="n">
        <f aca="false">K25*K26</f>
        <v>2790.12037180645</v>
      </c>
      <c r="L27" s="217" t="n">
        <f aca="false">L25*L26</f>
        <v>-3241.31082857951</v>
      </c>
      <c r="M27" s="217" t="n">
        <f aca="false">M25*M26</f>
        <v>3752.6374472305</v>
      </c>
      <c r="N27" s="217" t="n">
        <f aca="false">N25*N26</f>
        <v>3455.78509498229</v>
      </c>
      <c r="O27" s="217" t="n">
        <f aca="false">O25*O26</f>
        <v>3412.83846031823</v>
      </c>
      <c r="P27" s="217" t="n">
        <f aca="false">P25*P26</f>
        <v>3519.6909808743</v>
      </c>
      <c r="Q27" s="217" t="n">
        <f aca="false">Q25*Q26</f>
        <v>3221.53930507994</v>
      </c>
      <c r="R27" s="217" t="n">
        <f aca="false">R25*R26</f>
        <v>2884.56306666132</v>
      </c>
      <c r="S27" s="217" t="n">
        <f aca="false">S25*S26</f>
        <v>2742.32079917719</v>
      </c>
      <c r="T27" s="217" t="n">
        <f aca="false">T25*T26</f>
        <v>2776.87031696769</v>
      </c>
      <c r="U27" s="217" t="n">
        <f aca="false">U25*U26</f>
        <v>2201.09909663252</v>
      </c>
      <c r="V27" s="217" t="n">
        <f aca="false">V25*V26</f>
        <v>1585.14703445734</v>
      </c>
      <c r="W27" s="217" t="n">
        <f aca="false">W25*W26</f>
        <v>1201.16217037481</v>
      </c>
      <c r="X27" s="217" t="n">
        <f aca="false">X25*X26</f>
        <v>536.381561438365</v>
      </c>
      <c r="Y27" s="217" t="n">
        <f aca="false">Y25*Y26</f>
        <v>-734.864529212917</v>
      </c>
      <c r="Z27" s="217" t="n">
        <f aca="false">Z25*Z26</f>
        <v>487.193590239656</v>
      </c>
      <c r="AA27" s="217" t="n">
        <f aca="false">AA25*AA26</f>
        <v>336.079775809208</v>
      </c>
      <c r="AB27" s="574" t="n">
        <f aca="false">SUM(E27:AA27)</f>
        <v>35887.7758595268</v>
      </c>
    </row>
    <row r="28" customFormat="false" ht="12.75" hidden="false" customHeight="false" outlineLevel="0" collapsed="false">
      <c r="A28" s="37"/>
      <c r="B28" s="38"/>
      <c r="C28" s="38"/>
      <c r="D28" s="38"/>
      <c r="E28" s="556"/>
      <c r="F28" s="556"/>
      <c r="G28" s="556"/>
      <c r="H28" s="556"/>
      <c r="I28" s="556"/>
      <c r="J28" s="556"/>
      <c r="K28" s="556"/>
      <c r="L28" s="556"/>
      <c r="M28" s="556"/>
      <c r="N28" s="556"/>
      <c r="O28" s="556"/>
      <c r="P28" s="556"/>
      <c r="Q28" s="556"/>
      <c r="R28" s="556"/>
      <c r="S28" s="556"/>
      <c r="T28" s="556"/>
      <c r="U28" s="556"/>
      <c r="V28" s="556"/>
      <c r="W28" s="556"/>
      <c r="X28" s="556"/>
      <c r="Y28" s="556"/>
      <c r="Z28" s="556"/>
      <c r="AA28" s="556"/>
      <c r="AB28" s="557"/>
    </row>
    <row r="29" customFormat="false" ht="12.75" hidden="false" customHeight="false" outlineLevel="0" collapsed="false">
      <c r="A29" s="130" t="s">
        <v>967</v>
      </c>
      <c r="B29" s="38"/>
      <c r="C29" s="38"/>
      <c r="D29" s="38"/>
      <c r="E29" s="556"/>
      <c r="F29" s="556"/>
      <c r="G29" s="556"/>
      <c r="H29" s="556"/>
      <c r="I29" s="556"/>
      <c r="J29" s="556"/>
      <c r="K29" s="556"/>
      <c r="L29" s="556"/>
      <c r="M29" s="556"/>
      <c r="N29" s="556"/>
      <c r="O29" s="556"/>
      <c r="P29" s="556"/>
      <c r="Q29" s="556"/>
      <c r="R29" s="556"/>
      <c r="S29" s="556"/>
      <c r="T29" s="556"/>
      <c r="U29" s="556"/>
      <c r="V29" s="556"/>
      <c r="W29" s="556"/>
      <c r="X29" s="556"/>
      <c r="Y29" s="556"/>
      <c r="Z29" s="556"/>
      <c r="AA29" s="556"/>
      <c r="AB29" s="557"/>
    </row>
    <row r="30" customFormat="false" ht="12.75" hidden="false" customHeight="false" outlineLevel="0" collapsed="false">
      <c r="A30" s="37" t="s">
        <v>968</v>
      </c>
      <c r="B30" s="38"/>
      <c r="C30" s="38"/>
      <c r="D30" s="263" t="s">
        <v>341</v>
      </c>
      <c r="E30" s="217" t="n">
        <f aca="false">'Enron Returns'!E20</f>
        <v>0</v>
      </c>
      <c r="F30" s="217" t="n">
        <f aca="false">'Enron Returns'!F20</f>
        <v>0</v>
      </c>
      <c r="G30" s="217" t="n">
        <f aca="false">'Enron Returns'!G20</f>
        <v>0</v>
      </c>
      <c r="H30" s="217" t="n">
        <f aca="false">'Enron Returns'!H20</f>
        <v>0</v>
      </c>
      <c r="I30" s="217" t="n">
        <f aca="false">'Enron Returns'!I20</f>
        <v>0</v>
      </c>
      <c r="J30" s="217" t="n">
        <f aca="false">'Enron Returns'!J20</f>
        <v>0</v>
      </c>
      <c r="K30" s="217" t="n">
        <f aca="false">'Enron Returns'!K20</f>
        <v>1075.0718290604</v>
      </c>
      <c r="L30" s="217" t="n">
        <f aca="false">'Enron Returns'!L20</f>
        <v>0</v>
      </c>
      <c r="M30" s="217" t="n">
        <f aca="false">'Enron Returns'!M20</f>
        <v>4139.25704328246</v>
      </c>
      <c r="N30" s="217" t="n">
        <f aca="false">'Enron Returns'!N20</f>
        <v>4692.75118329329</v>
      </c>
      <c r="O30" s="217" t="n">
        <f aca="false">'Enron Returns'!O20</f>
        <v>4555.23965193297</v>
      </c>
      <c r="P30" s="217" t="n">
        <f aca="false">'Enron Returns'!P20</f>
        <v>4061.45369249679</v>
      </c>
      <c r="Q30" s="217" t="n">
        <f aca="false">'Enron Returns'!Q20</f>
        <v>4246.81758372734</v>
      </c>
      <c r="R30" s="217" t="n">
        <f aca="false">'Enron Returns'!R20</f>
        <v>4883.26163203387</v>
      </c>
      <c r="S30" s="217" t="n">
        <f aca="false">'Enron Returns'!S20</f>
        <v>4883.26163203387</v>
      </c>
      <c r="T30" s="217" t="n">
        <f aca="false">'Enron Returns'!T20</f>
        <v>3765.14075695105</v>
      </c>
      <c r="U30" s="217" t="n">
        <f aca="false">'Enron Returns'!U20</f>
        <v>4883.26163203387</v>
      </c>
      <c r="V30" s="217" t="n">
        <f aca="false">'Enron Returns'!V20</f>
        <v>1886.56998807666</v>
      </c>
      <c r="W30" s="217" t="n">
        <f aca="false">'Enron Returns'!W20</f>
        <v>0</v>
      </c>
      <c r="X30" s="217" t="n">
        <f aca="false">'Enron Returns'!X20</f>
        <v>0</v>
      </c>
      <c r="Y30" s="217" t="n">
        <f aca="false">'Enron Returns'!Y20</f>
        <v>0</v>
      </c>
      <c r="Z30" s="217" t="n">
        <f aca="false">'Enron Returns'!Z20</f>
        <v>0</v>
      </c>
      <c r="AA30" s="217" t="n">
        <f aca="false">'Enron Returns'!AA20</f>
        <v>0</v>
      </c>
      <c r="AB30" s="574" t="n">
        <f aca="false">SUM(E30:AA30)</f>
        <v>43072.0866249226</v>
      </c>
    </row>
    <row r="31" customFormat="false" ht="12.75" hidden="false" customHeight="false" outlineLevel="0" collapsed="false">
      <c r="A31" s="37" t="s">
        <v>969</v>
      </c>
      <c r="B31" s="38"/>
      <c r="C31" s="38"/>
      <c r="D31" s="263" t="s">
        <v>341</v>
      </c>
      <c r="E31" s="217" t="n">
        <f aca="false">'Enron Returns'!E21</f>
        <v>-0</v>
      </c>
      <c r="F31" s="217" t="n">
        <f aca="false">'Enron Returns'!F21</f>
        <v>-0</v>
      </c>
      <c r="G31" s="217" t="n">
        <f aca="false">'Enron Returns'!G21</f>
        <v>-0</v>
      </c>
      <c r="H31" s="217" t="n">
        <f aca="false">'Enron Returns'!H21</f>
        <v>-0</v>
      </c>
      <c r="I31" s="217" t="n">
        <f aca="false">'Enron Returns'!I21</f>
        <v>-0</v>
      </c>
      <c r="J31" s="217" t="n">
        <f aca="false">'Enron Returns'!J21</f>
        <v>-0</v>
      </c>
      <c r="K31" s="217" t="n">
        <f aca="false">'Enron Returns'!K21</f>
        <v>-161.26077435906</v>
      </c>
      <c r="L31" s="217" t="n">
        <f aca="false">'Enron Returns'!L21</f>
        <v>-0</v>
      </c>
      <c r="M31" s="217" t="n">
        <f aca="false">'Enron Returns'!M21</f>
        <v>-620.888556492369</v>
      </c>
      <c r="N31" s="217" t="n">
        <f aca="false">'Enron Returns'!N21</f>
        <v>-703.912677493993</v>
      </c>
      <c r="O31" s="217" t="n">
        <f aca="false">'Enron Returns'!O21</f>
        <v>-683.285947789946</v>
      </c>
      <c r="P31" s="217" t="n">
        <f aca="false">'Enron Returns'!P21</f>
        <v>-609.218053874519</v>
      </c>
      <c r="Q31" s="217" t="n">
        <f aca="false">'Enron Returns'!Q21</f>
        <v>-637.0226375591</v>
      </c>
      <c r="R31" s="217" t="n">
        <f aca="false">'Enron Returns'!R21</f>
        <v>-732.48924480508</v>
      </c>
      <c r="S31" s="217" t="n">
        <f aca="false">'Enron Returns'!S21</f>
        <v>-732.48924480508</v>
      </c>
      <c r="T31" s="217" t="n">
        <f aca="false">'Enron Returns'!T21</f>
        <v>-564.771113542658</v>
      </c>
      <c r="U31" s="217" t="n">
        <f aca="false">'Enron Returns'!U21</f>
        <v>-732.48924480508</v>
      </c>
      <c r="V31" s="217" t="n">
        <f aca="false">'Enron Returns'!V21</f>
        <v>-282.985498211499</v>
      </c>
      <c r="W31" s="217" t="n">
        <f aca="false">'Enron Returns'!W21</f>
        <v>-0</v>
      </c>
      <c r="X31" s="217" t="n">
        <f aca="false">'Enron Returns'!X21</f>
        <v>-0</v>
      </c>
      <c r="Y31" s="217" t="n">
        <f aca="false">'Enron Returns'!Y21</f>
        <v>-0</v>
      </c>
      <c r="Z31" s="217" t="n">
        <f aca="false">'Enron Returns'!Z21</f>
        <v>-0</v>
      </c>
      <c r="AA31" s="217" t="n">
        <f aca="false">'Enron Returns'!AA21</f>
        <v>-0</v>
      </c>
      <c r="AB31" s="574" t="n">
        <f aca="false">SUM(E31:AA31)</f>
        <v>-6460.81299373838</v>
      </c>
    </row>
    <row r="32" customFormat="false" ht="12.75" hidden="false" customHeight="false" outlineLevel="0" collapsed="false">
      <c r="A32" s="37" t="s">
        <v>970</v>
      </c>
      <c r="B32" s="38"/>
      <c r="C32" s="38"/>
      <c r="D32" s="263" t="s">
        <v>341</v>
      </c>
      <c r="E32" s="217" t="n">
        <f aca="false">IF(E$7&lt;YEAR(Startops1),0,'Enron Returns'!E33)</f>
        <v>0</v>
      </c>
      <c r="F32" s="217" t="n">
        <f aca="false">IF(F$7&lt;YEAR(Startops1),0,'Enron Returns'!F33)</f>
        <v>0</v>
      </c>
      <c r="G32" s="217" t="n">
        <f aca="false">IF(G$7&lt;YEAR(Startops1),0,'Enron Returns'!G33)</f>
        <v>-594.824106750334</v>
      </c>
      <c r="H32" s="217" t="n">
        <f aca="false">IF(H$7&lt;YEAR(Startops1),0,'Enron Returns'!H33)</f>
        <v>-448.797073859379</v>
      </c>
      <c r="I32" s="217" t="n">
        <f aca="false">IF(I$7&lt;YEAR(Startops1),0,'Enron Returns'!I33)</f>
        <v>-432.459469877058</v>
      </c>
      <c r="J32" s="217" t="n">
        <f aca="false">IF(J$7&lt;YEAR(Startops1),0,'Enron Returns'!J33)</f>
        <v>-418.996757787622</v>
      </c>
      <c r="K32" s="217" t="n">
        <f aca="false">IF(K$7&lt;YEAR(Startops1),0,'Enron Returns'!K33)</f>
        <v>-419.237820527866</v>
      </c>
      <c r="L32" s="217" t="n">
        <f aca="false">IF(L$7&lt;YEAR(Startops1),0,'Enron Returns'!L33)</f>
        <v>-467.202295732063</v>
      </c>
      <c r="M32" s="217" t="n">
        <f aca="false">IF(M$7&lt;YEAR(Startops1),0,'Enron Returns'!M33)</f>
        <v>-513.649951595858</v>
      </c>
      <c r="N32" s="217" t="n">
        <f aca="false">IF(N$7&lt;YEAR(Startops1),0,'Enron Returns'!N33)</f>
        <v>-552.005520978202</v>
      </c>
      <c r="O32" s="217" t="n">
        <f aca="false">IF(O$7&lt;YEAR(Startops1),0,'Enron Returns'!O33)</f>
        <v>-586.8468583354</v>
      </c>
      <c r="P32" s="217" t="n">
        <f aca="false">IF(P$7&lt;YEAR(Startops1),0,'Enron Returns'!P33)</f>
        <v>-597.675426877148</v>
      </c>
      <c r="Q32" s="217" t="n">
        <f aca="false">IF(Q$7&lt;YEAR(Startops1),0,'Enron Returns'!Q33)</f>
        <v>-597.675426877148</v>
      </c>
      <c r="R32" s="217" t="n">
        <f aca="false">IF(R$7&lt;YEAR(Startops1),0,'Enron Returns'!R33)</f>
        <v>-597.675426877148</v>
      </c>
      <c r="S32" s="217" t="n">
        <f aca="false">IF(S$7&lt;YEAR(Startops1),0,'Enron Returns'!S33)</f>
        <v>-597.675426877148</v>
      </c>
      <c r="T32" s="217" t="n">
        <f aca="false">IF(T$7&lt;YEAR(Startops1),0,'Enron Returns'!T33)</f>
        <v>-597.675426877148</v>
      </c>
      <c r="U32" s="217" t="n">
        <f aca="false">IF(U$7&lt;YEAR(Startops1),0,'Enron Returns'!U33)</f>
        <v>-597.675426877148</v>
      </c>
      <c r="V32" s="217" t="n">
        <f aca="false">IF(V$7&lt;YEAR(Startops1),0,'Enron Returns'!V33)</f>
        <v>-597.675426877148</v>
      </c>
      <c r="W32" s="217" t="n">
        <f aca="false">IF(W$7&lt;YEAR(Startops1),0,'Enron Returns'!W33)</f>
        <v>-584.527546859078</v>
      </c>
      <c r="X32" s="217" t="n">
        <f aca="false">IF(X$7&lt;YEAR(Startops1),0,'Enron Returns'!X33)</f>
        <v>-537.684236805864</v>
      </c>
      <c r="Y32" s="217" t="n">
        <f aca="false">IF(Y$7&lt;YEAR(Startops1),0,'Enron Returns'!Y33)</f>
        <v>-473.593231740221</v>
      </c>
      <c r="Z32" s="217" t="n">
        <f aca="false">IF(Z$7&lt;YEAR(Startops1),0,'Enron Returns'!Z33)</f>
        <v>-413.60349625943</v>
      </c>
      <c r="AA32" s="217" t="n">
        <f aca="false">IF(AA$7&lt;YEAR(Startops1),0,'Enron Returns'!AA33)</f>
        <v>-303.000702367525</v>
      </c>
      <c r="AB32" s="574" t="n">
        <f aca="false">SUM(E32:AA32)</f>
        <v>-10930.1570576159</v>
      </c>
      <c r="AC32" s="749" t="str">
        <f aca="false">IF(AB32+AB33-'Enron Returns'!AB33=0," ","CHECK")</f>
        <v> </v>
      </c>
    </row>
    <row r="33" customFormat="false" ht="12.75" hidden="false" customHeight="false" outlineLevel="0" collapsed="false">
      <c r="A33" s="37" t="s">
        <v>971</v>
      </c>
      <c r="B33" s="38"/>
      <c r="C33" s="38"/>
      <c r="D33" s="263" t="s">
        <v>341</v>
      </c>
      <c r="E33" s="217" t="n">
        <f aca="false">IF(E$7&gt;=YEAR(Startops1),('Enron Returns'!$AB$33-$AB32)*E$12/$AB$12,0)</f>
        <v>0</v>
      </c>
      <c r="F33" s="217" t="n">
        <f aca="false">IF(F$7&gt;=YEAR(Startops1),('Enron Returns'!$AB$33-$AB32)*F$12/$AB$12,0)</f>
        <v>0</v>
      </c>
      <c r="G33" s="217" t="n">
        <f aca="false">IF(G$7&gt;=YEAR(Startops1),('Enron Returns'!$AB$33-$AB32)*G$12/$AB$12,0)</f>
        <v>-15.1607752150153</v>
      </c>
      <c r="H33" s="217" t="n">
        <f aca="false">IF(H$7&gt;=YEAR(Startops1),('Enron Returns'!$AB$33-$AB32)*H$12/$AB$12,0)</f>
        <v>-20.2143669533537</v>
      </c>
      <c r="I33" s="217" t="n">
        <f aca="false">IF(I$7&gt;=YEAR(Startops1),('Enron Returns'!$AB$33-$AB32)*I$12/$AB$12,0)</f>
        <v>-20.2143669533537</v>
      </c>
      <c r="J33" s="217" t="n">
        <f aca="false">IF(J$7&gt;=YEAR(Startops1),('Enron Returns'!$AB$33-$AB32)*J$12/$AB$12,0)</f>
        <v>-20.2143669533537</v>
      </c>
      <c r="K33" s="217" t="n">
        <f aca="false">IF(K$7&gt;=YEAR(Startops1),('Enron Returns'!$AB$33-$AB32)*K$12/$AB$12,0)</f>
        <v>-20.2143669533537</v>
      </c>
      <c r="L33" s="217" t="n">
        <f aca="false">IF(L$7&gt;=YEAR(Startops1),('Enron Returns'!$AB$33-$AB32)*L$12/$AB$12,0)</f>
        <v>-20.2143669533537</v>
      </c>
      <c r="M33" s="217" t="n">
        <f aca="false">IF(M$7&gt;=YEAR(Startops1),('Enron Returns'!$AB$33-$AB32)*M$12/$AB$12,0)</f>
        <v>-20.2143669533537</v>
      </c>
      <c r="N33" s="217" t="n">
        <f aca="false">IF(N$7&gt;=YEAR(Startops1),('Enron Returns'!$AB$33-$AB32)*N$12/$AB$12,0)</f>
        <v>-20.2143669533537</v>
      </c>
      <c r="O33" s="217" t="n">
        <f aca="false">IF(O$7&gt;=YEAR(Startops1),('Enron Returns'!$AB$33-$AB32)*O$12/$AB$12,0)</f>
        <v>-20.2143669533537</v>
      </c>
      <c r="P33" s="217" t="n">
        <f aca="false">IF(P$7&gt;=YEAR(Startops1),('Enron Returns'!$AB$33-$AB32)*P$12/$AB$12,0)</f>
        <v>-20.2143669533537</v>
      </c>
      <c r="Q33" s="217" t="n">
        <f aca="false">IF(Q$7&gt;=YEAR(Startops1),('Enron Returns'!$AB$33-$AB32)*Q$12/$AB$12,0)</f>
        <v>-20.2143669533537</v>
      </c>
      <c r="R33" s="217" t="n">
        <f aca="false">IF(R$7&gt;=YEAR(Startops1),('Enron Returns'!$AB$33-$AB32)*R$12/$AB$12,0)</f>
        <v>-20.2143669533537</v>
      </c>
      <c r="S33" s="217" t="n">
        <f aca="false">IF(S$7&gt;=YEAR(Startops1),('Enron Returns'!$AB$33-$AB32)*S$12/$AB$12,0)</f>
        <v>-20.2143669533537</v>
      </c>
      <c r="T33" s="217" t="n">
        <f aca="false">IF(T$7&gt;=YEAR(Startops1),('Enron Returns'!$AB$33-$AB32)*T$12/$AB$12,0)</f>
        <v>-20.2143669533537</v>
      </c>
      <c r="U33" s="217" t="n">
        <f aca="false">IF(U$7&gt;=YEAR(Startops1),('Enron Returns'!$AB$33-$AB32)*U$12/$AB$12,0)</f>
        <v>-20.2143669533537</v>
      </c>
      <c r="V33" s="217" t="n">
        <f aca="false">IF(V$7&gt;=YEAR(Startops1),('Enron Returns'!$AB$33-$AB32)*V$12/$AB$12,0)</f>
        <v>-20.2143669533537</v>
      </c>
      <c r="W33" s="217" t="n">
        <f aca="false">IF(W$7&gt;=YEAR(Startops1),('Enron Returns'!$AB$33-$AB32)*W$12/$AB$12,0)</f>
        <v>-20.2143669533537</v>
      </c>
      <c r="X33" s="217" t="n">
        <f aca="false">IF(X$7&gt;=YEAR(Startops1),('Enron Returns'!$AB$33-$AB32)*X$12/$AB$12,0)</f>
        <v>-20.2143669533537</v>
      </c>
      <c r="Y33" s="217" t="n">
        <f aca="false">IF(Y$7&gt;=YEAR(Startops1),('Enron Returns'!$AB$33-$AB32)*Y$12/$AB$12,0)</f>
        <v>-20.2143669533537</v>
      </c>
      <c r="Z33" s="217" t="n">
        <f aca="false">IF(Z$7&gt;=YEAR(Startops1),('Enron Returns'!$AB$33-$AB32)*Z$12/$AB$12,0)</f>
        <v>-20.2143669533537</v>
      </c>
      <c r="AA33" s="217" t="n">
        <f aca="false">IF(AA$7&gt;=YEAR(Startops1),('Enron Returns'!$AB$33-$AB32)*AA$12/$AB$12,0)</f>
        <v>-6.73812231778458</v>
      </c>
      <c r="AB33" s="574" t="n">
        <f aca="false">SUM(E33:AA33)</f>
        <v>-405.971869646521</v>
      </c>
    </row>
    <row r="34" customFormat="false" ht="12.75" hidden="false" customHeight="false" outlineLevel="0" collapsed="false">
      <c r="A34" s="37" t="s">
        <v>972</v>
      </c>
      <c r="B34" s="38"/>
      <c r="C34" s="38"/>
      <c r="D34" s="263" t="s">
        <v>341</v>
      </c>
      <c r="E34" s="217" t="n">
        <f aca="false">IF(E$7&lt;YEAR(Assm!$L$105),'Enron Returns'!E34*(1-Assm!$K$85),IF(E$7&gt;YEAR(Assm!$L$105),'Enron Returns'!E34*(1-Assm!$K$100),SUM('Enron Returns'!$E34:E34)*Assm!$K$100-SUM($D34:D34)))</f>
        <v>0</v>
      </c>
      <c r="F34" s="217" t="n">
        <f aca="false">IF(F$7&lt;YEAR(Assm!$L$105),'Enron Returns'!F34*(1-Assm!$K$85),IF(F$7&gt;YEAR(Assm!$L$105),'Enron Returns'!F34*(1-Assm!$K$100),SUM('Enron Returns'!$E34:F34)*Assm!$K$100-SUM($D34:E34)))</f>
        <v>1398.65838608673</v>
      </c>
      <c r="G34" s="217" t="n">
        <f aca="false">IF(G$7&lt;YEAR(Assm!$L$105),'Enron Returns'!G34*(1-Assm!$K$85),IF(G$7&gt;YEAR(Assm!$L$105),'Enron Returns'!G34*(1-Assm!$K$100),SUM('Enron Returns'!$E34:G34)*Assm!$K$100-SUM($D34:F34)))</f>
        <v>967.033238097355</v>
      </c>
      <c r="H34" s="217" t="n">
        <f aca="false">IF(H$7&lt;YEAR(Assm!$L$105),'Enron Returns'!H34*(1-Assm!$K$85),IF(H$7&gt;YEAR(Assm!$L$105),'Enron Returns'!H34*(1-Assm!$K$100),SUM('Enron Returns'!$E34:H34)*Assm!$K$100-SUM($D34:G34)))</f>
        <v>1781.75514331591</v>
      </c>
      <c r="I34" s="217" t="n">
        <f aca="false">IF(I$7&lt;YEAR(Assm!$L$105),'Enron Returns'!I34*(1-Assm!$K$85),IF(I$7&gt;YEAR(Assm!$L$105),'Enron Returns'!I34*(1-Assm!$K$100),SUM('Enron Returns'!$E34:I34)*Assm!$K$100-SUM($D34:H34)))</f>
        <v>0</v>
      </c>
      <c r="J34" s="217" t="n">
        <f aca="false">IF(J$7&lt;YEAR(Assm!$L$105),'Enron Returns'!J34*(1-Assm!$K$85),IF(J$7&gt;YEAR(Assm!$L$105),'Enron Returns'!J34*(1-Assm!$K$100),SUM('Enron Returns'!$E34:J34)*Assm!$K$100-SUM($D34:I34)))</f>
        <v>0</v>
      </c>
      <c r="K34" s="217" t="n">
        <f aca="false">IF(K$7&lt;YEAR(Assm!$L$105),'Enron Returns'!K34*(1-Assm!$K$85),IF(K$7&gt;YEAR(Assm!$L$105),'Enron Returns'!K34*(1-Assm!$K$100),SUM('Enron Returns'!$E34:K34)*Assm!$K$100-SUM($D34:J34)))</f>
        <v>0</v>
      </c>
      <c r="L34" s="217" t="n">
        <f aca="false">IF(L$7&lt;YEAR(Assm!$L$105),'Enron Returns'!L34*(1-Assm!$K$85),IF(L$7&gt;YEAR(Assm!$L$105),'Enron Returns'!L34*(1-Assm!$K$100),SUM('Enron Returns'!$E34:L34)*Assm!$K$100-SUM($D34:K34)))</f>
        <v>0</v>
      </c>
      <c r="M34" s="217" t="n">
        <f aca="false">IF(M$7&lt;YEAR(Assm!$L$105),'Enron Returns'!M34*(1-Assm!$K$85),IF(M$7&gt;YEAR(Assm!$L$105),'Enron Returns'!M34*(1-Assm!$K$100),SUM('Enron Returns'!$E34:M34)*Assm!$K$100-SUM($D34:L34)))</f>
        <v>0</v>
      </c>
      <c r="N34" s="217" t="n">
        <f aca="false">IF(N$7&lt;YEAR(Assm!$L$105),'Enron Returns'!N34*(1-Assm!$K$85),IF(N$7&gt;YEAR(Assm!$L$105),'Enron Returns'!N34*(1-Assm!$K$100),SUM('Enron Returns'!$E34:N34)*Assm!$K$100-SUM($D34:M34)))</f>
        <v>0</v>
      </c>
      <c r="O34" s="217" t="n">
        <f aca="false">IF(O$7&lt;YEAR(Assm!$L$105),'Enron Returns'!O34*(1-Assm!$K$85),IF(O$7&gt;YEAR(Assm!$L$105),'Enron Returns'!O34*(1-Assm!$K$100),SUM('Enron Returns'!$E34:O34)*Assm!$K$100-SUM($D34:N34)))</f>
        <v>0</v>
      </c>
      <c r="P34" s="217" t="n">
        <f aca="false">IF(P$7&lt;YEAR(Assm!$L$105),'Enron Returns'!P34*(1-Assm!$K$85),IF(P$7&gt;YEAR(Assm!$L$105),'Enron Returns'!P34*(1-Assm!$K$100),SUM('Enron Returns'!$E34:P34)*Assm!$K$100-SUM($D34:O34)))</f>
        <v>0</v>
      </c>
      <c r="Q34" s="217" t="n">
        <f aca="false">IF(Q$7&lt;YEAR(Assm!$L$105),'Enron Returns'!Q34*(1-Assm!$K$85),IF(Q$7&gt;YEAR(Assm!$L$105),'Enron Returns'!Q34*(1-Assm!$K$100),SUM('Enron Returns'!$E34:Q34)*Assm!$K$100-SUM($D34:P34)))</f>
        <v>0</v>
      </c>
      <c r="R34" s="217" t="n">
        <f aca="false">IF(R$7&lt;YEAR(Assm!$L$105),'Enron Returns'!R34*(1-Assm!$K$85),IF(R$7&gt;YEAR(Assm!$L$105),'Enron Returns'!R34*(1-Assm!$K$100),SUM('Enron Returns'!$E34:R34)*Assm!$K$100-SUM($D34:Q34)))</f>
        <v>0</v>
      </c>
      <c r="S34" s="217" t="n">
        <f aca="false">IF(S$7&lt;YEAR(Assm!$L$105),'Enron Returns'!S34*(1-Assm!$K$85),IF(S$7&gt;YEAR(Assm!$L$105),'Enron Returns'!S34*(1-Assm!$K$100),SUM('Enron Returns'!$E34:S34)*Assm!$K$100-SUM($D34:R34)))</f>
        <v>0</v>
      </c>
      <c r="T34" s="217" t="n">
        <f aca="false">IF(T$7&lt;YEAR(Assm!$L$105),'Enron Returns'!T34*(1-Assm!$K$85),IF(T$7&gt;YEAR(Assm!$L$105),'Enron Returns'!T34*(1-Assm!$K$100),SUM('Enron Returns'!$E34:T34)*Assm!$K$100-SUM($D34:S34)))</f>
        <v>0</v>
      </c>
      <c r="U34" s="217" t="n">
        <f aca="false">IF(U$7&lt;YEAR(Assm!$L$105),'Enron Returns'!U34*(1-Assm!$K$85),IF(U$7&gt;YEAR(Assm!$L$105),'Enron Returns'!U34*(1-Assm!$K$100),SUM('Enron Returns'!$E34:U34)*Assm!$K$100-SUM($D34:T34)))</f>
        <v>0</v>
      </c>
      <c r="V34" s="217" t="n">
        <f aca="false">IF(V$7&lt;YEAR(Assm!$L$105),'Enron Returns'!V34*(1-Assm!$K$85),IF(V$7&gt;YEAR(Assm!$L$105),'Enron Returns'!V34*(1-Assm!$K$100),SUM('Enron Returns'!$E34:V34)*Assm!$K$100-SUM($D34:U34)))</f>
        <v>0</v>
      </c>
      <c r="W34" s="217" t="n">
        <f aca="false">IF(W$7&lt;YEAR(Assm!$L$105),'Enron Returns'!W34*(1-Assm!$K$85),IF(W$7&gt;YEAR(Assm!$L$105),'Enron Returns'!W34*(1-Assm!$K$100),SUM('Enron Returns'!$E34:W34)*Assm!$K$100-SUM($D34:V34)))</f>
        <v>0</v>
      </c>
      <c r="X34" s="217" t="n">
        <f aca="false">IF(X$7&lt;YEAR(Assm!$L$105),'Enron Returns'!X34*(1-Assm!$K$85),IF(X$7&gt;YEAR(Assm!$L$105),'Enron Returns'!X34*(1-Assm!$K$100),SUM('Enron Returns'!$E34:X34)*Assm!$K$100-SUM($D34:W34)))</f>
        <v>0</v>
      </c>
      <c r="Y34" s="217" t="n">
        <f aca="false">IF(Y$7&lt;YEAR(Assm!$L$105),'Enron Returns'!Y34*(1-Assm!$K$85),IF(Y$7&gt;YEAR(Assm!$L$105),'Enron Returns'!Y34*(1-Assm!$K$100),SUM('Enron Returns'!$E34:Y34)*Assm!$K$100-SUM($D34:X34)))</f>
        <v>0</v>
      </c>
      <c r="Z34" s="217" t="n">
        <f aca="false">IF(Z$7&lt;YEAR(Assm!$L$105),'Enron Returns'!Z34*(1-Assm!$K$85),IF(Z$7&gt;YEAR(Assm!$L$105),'Enron Returns'!Z34*(1-Assm!$K$100),SUM('Enron Returns'!$E34:Z34)*Assm!$K$100-SUM($D34:Y34)))</f>
        <v>0</v>
      </c>
      <c r="AA34" s="217" t="n">
        <f aca="false">IF(AA$7&lt;YEAR(Assm!$L$105),'Enron Returns'!AA34*(1-Assm!$K$85),IF(AA$7&gt;YEAR(Assm!$L$105),'Enron Returns'!AA34*(1-Assm!$K$100),SUM('Enron Returns'!$E34:AA34)*Assm!$K$100-SUM($D34:Z34)))</f>
        <v>0</v>
      </c>
      <c r="AB34" s="574" t="n">
        <f aca="false">SUM(E34:AA34)</f>
        <v>4147.4467675</v>
      </c>
      <c r="AC34" s="749" t="str">
        <f aca="false">IF(ROUND(AB34+AB35-'Enron Returns'!AB34,2)=0," ","CHECK")</f>
        <v> </v>
      </c>
    </row>
    <row r="35" customFormat="false" ht="12.75" hidden="false" customHeight="false" outlineLevel="0" collapsed="false">
      <c r="A35" s="37" t="s">
        <v>973</v>
      </c>
      <c r="B35" s="38"/>
      <c r="C35" s="38"/>
      <c r="D35" s="263" t="s">
        <v>341</v>
      </c>
      <c r="E35" s="217" t="n">
        <f aca="false">IF(E$7&lt;YEAR(Startops1),0,('Enron Returns'!$AB$34-$AB34)*E$12/$AB$12)</f>
        <v>0</v>
      </c>
      <c r="F35" s="217" t="n">
        <f aca="false">IF(F$7&lt;YEAR(Startops1),0,('Enron Returns'!$AB$34-$AB34)*F$12/$AB$12)</f>
        <v>0</v>
      </c>
      <c r="G35" s="217" t="n">
        <f aca="false">IF(G$7&lt;YEAR(Startops1),0,('Enron Returns'!$AB$34-$AB34)*G$12/$AB$12)</f>
        <v>139.432303288382</v>
      </c>
      <c r="H35" s="217" t="n">
        <f aca="false">IF(H$7&lt;YEAR(Startops1),0,('Enron Returns'!$AB$34-$AB34)*H$12/$AB$12)</f>
        <v>185.909737717842</v>
      </c>
      <c r="I35" s="217" t="n">
        <f aca="false">IF(I$7&lt;YEAR(Startops1),0,('Enron Returns'!$AB$34-$AB34)*I$12/$AB$12)</f>
        <v>185.909737717842</v>
      </c>
      <c r="J35" s="217" t="n">
        <f aca="false">IF(J$7&lt;YEAR(Startops1),0,('Enron Returns'!$AB$34-$AB34)*J$12/$AB$12)</f>
        <v>185.909737717842</v>
      </c>
      <c r="K35" s="217" t="n">
        <f aca="false">IF(K$7&lt;YEAR(Startops1),0,('Enron Returns'!$AB$34-$AB34)*K$12/$AB$12)</f>
        <v>185.909737717842</v>
      </c>
      <c r="L35" s="217" t="n">
        <f aca="false">IF(L$7&lt;YEAR(Startops1),0,('Enron Returns'!$AB$34-$AB34)*L$12/$AB$12)</f>
        <v>185.909737717842</v>
      </c>
      <c r="M35" s="217" t="n">
        <f aca="false">IF(M$7&lt;YEAR(Startops1),0,('Enron Returns'!$AB$34-$AB34)*M$12/$AB$12)</f>
        <v>185.909737717842</v>
      </c>
      <c r="N35" s="217" t="n">
        <f aca="false">IF(N$7&lt;YEAR(Startops1),0,('Enron Returns'!$AB$34-$AB34)*N$12/$AB$12)</f>
        <v>185.909737717842</v>
      </c>
      <c r="O35" s="217" t="n">
        <f aca="false">IF(O$7&lt;YEAR(Startops1),0,('Enron Returns'!$AB$34-$AB34)*O$12/$AB$12)</f>
        <v>185.909737717842</v>
      </c>
      <c r="P35" s="217" t="n">
        <f aca="false">IF(P$7&lt;YEAR(Startops1),0,('Enron Returns'!$AB$34-$AB34)*P$12/$AB$12)</f>
        <v>185.909737717842</v>
      </c>
      <c r="Q35" s="217" t="n">
        <f aca="false">IF(Q$7&lt;YEAR(Startops1),0,('Enron Returns'!$AB$34-$AB34)*Q$12/$AB$12)</f>
        <v>185.909737717842</v>
      </c>
      <c r="R35" s="217" t="n">
        <f aca="false">IF(R$7&lt;YEAR(Startops1),0,('Enron Returns'!$AB$34-$AB34)*R$12/$AB$12)</f>
        <v>185.909737717842</v>
      </c>
      <c r="S35" s="217" t="n">
        <f aca="false">IF(S$7&lt;YEAR(Startops1),0,('Enron Returns'!$AB$34-$AB34)*S$12/$AB$12)</f>
        <v>185.909737717842</v>
      </c>
      <c r="T35" s="217" t="n">
        <f aca="false">IF(T$7&lt;YEAR(Startops1),0,('Enron Returns'!$AB$34-$AB34)*T$12/$AB$12)</f>
        <v>185.909737717842</v>
      </c>
      <c r="U35" s="217" t="n">
        <f aca="false">IF(U$7&lt;YEAR(Startops1),0,('Enron Returns'!$AB$34-$AB34)*U$12/$AB$12)</f>
        <v>185.909737717842</v>
      </c>
      <c r="V35" s="217" t="n">
        <f aca="false">IF(V$7&lt;YEAR(Startops1),0,('Enron Returns'!$AB$34-$AB34)*V$12/$AB$12)</f>
        <v>185.909737717842</v>
      </c>
      <c r="W35" s="217" t="n">
        <f aca="false">IF(W$7&lt;YEAR(Startops1),0,('Enron Returns'!$AB$34-$AB34)*W$12/$AB$12)</f>
        <v>185.909737717842</v>
      </c>
      <c r="X35" s="217" t="n">
        <f aca="false">IF(X$7&lt;YEAR(Startops1),0,('Enron Returns'!$AB$34-$AB34)*X$12/$AB$12)</f>
        <v>185.909737717842</v>
      </c>
      <c r="Y35" s="217" t="n">
        <f aca="false">IF(Y$7&lt;YEAR(Startops1),0,('Enron Returns'!$AB$34-$AB34)*Y$12/$AB$12)</f>
        <v>185.909737717842</v>
      </c>
      <c r="Z35" s="217" t="n">
        <f aca="false">IF(Z$7&lt;YEAR(Startops1),0,('Enron Returns'!$AB$34-$AB34)*Z$12/$AB$12)</f>
        <v>185.909737717842</v>
      </c>
      <c r="AA35" s="217" t="n">
        <f aca="false">IF(AA$7&lt;YEAR(Startops1),0,('Enron Returns'!$AB$34-$AB34)*AA$12/$AB$12)</f>
        <v>61.9699125726141</v>
      </c>
      <c r="AB35" s="574" t="n">
        <f aca="false">SUM(E35:AA35)</f>
        <v>3733.6872325</v>
      </c>
    </row>
    <row r="36" customFormat="false" ht="12.75" hidden="false" customHeight="false" outlineLevel="0" collapsed="false">
      <c r="A36" s="37" t="s">
        <v>920</v>
      </c>
      <c r="B36" s="38"/>
      <c r="C36" s="306" t="n">
        <f aca="false">Wh_Serv*0+17.65%</f>
        <v>0.1765</v>
      </c>
      <c r="D36" s="263" t="s">
        <v>341</v>
      </c>
      <c r="E36" s="628" t="n">
        <f aca="false">-SUM(E34:E35)*$C36</f>
        <v>-0</v>
      </c>
      <c r="F36" s="628" t="n">
        <f aca="false">-SUM(F34:F35)*$C36</f>
        <v>-246.863205144308</v>
      </c>
      <c r="G36" s="628" t="n">
        <f aca="false">-SUM(G34:G35)*$C36</f>
        <v>-195.291168054582</v>
      </c>
      <c r="H36" s="628" t="n">
        <f aca="false">-SUM(H34:H35)*$C36</f>
        <v>-347.292851502458</v>
      </c>
      <c r="I36" s="628" t="n">
        <f aca="false">-SUM(I34:I35)*$C36</f>
        <v>-32.8130687071992</v>
      </c>
      <c r="J36" s="628" t="n">
        <f aca="false">-SUM(J34:J35)*$C36</f>
        <v>-32.8130687071992</v>
      </c>
      <c r="K36" s="628" t="n">
        <f aca="false">-SUM(K34:K35)*$C36</f>
        <v>-32.8130687071992</v>
      </c>
      <c r="L36" s="628" t="n">
        <f aca="false">-SUM(L34:L35)*$C36</f>
        <v>-32.8130687071992</v>
      </c>
      <c r="M36" s="628" t="n">
        <f aca="false">-SUM(M34:M35)*$C36</f>
        <v>-32.8130687071992</v>
      </c>
      <c r="N36" s="628" t="n">
        <f aca="false">-SUM(N34:N35)*$C36</f>
        <v>-32.8130687071992</v>
      </c>
      <c r="O36" s="628" t="n">
        <f aca="false">-SUM(O34:O35)*$C36</f>
        <v>-32.8130687071992</v>
      </c>
      <c r="P36" s="628" t="n">
        <f aca="false">-SUM(P34:P35)*$C36</f>
        <v>-32.8130687071992</v>
      </c>
      <c r="Q36" s="628" t="n">
        <f aca="false">-SUM(Q34:Q35)*$C36</f>
        <v>-32.8130687071992</v>
      </c>
      <c r="R36" s="628" t="n">
        <f aca="false">-SUM(R34:R35)*$C36</f>
        <v>-32.8130687071992</v>
      </c>
      <c r="S36" s="628" t="n">
        <f aca="false">-SUM(S34:S35)*$C36</f>
        <v>-32.8130687071992</v>
      </c>
      <c r="T36" s="628" t="n">
        <f aca="false">-SUM(T34:T35)*$C36</f>
        <v>-32.8130687071992</v>
      </c>
      <c r="U36" s="628" t="n">
        <f aca="false">-SUM(U34:U35)*$C36</f>
        <v>-32.8130687071992</v>
      </c>
      <c r="V36" s="628" t="n">
        <f aca="false">-SUM(V34:V35)*$C36</f>
        <v>-32.8130687071992</v>
      </c>
      <c r="W36" s="628" t="n">
        <f aca="false">-SUM(W34:W35)*$C36</f>
        <v>-32.8130687071992</v>
      </c>
      <c r="X36" s="628" t="n">
        <f aca="false">-SUM(X34:X35)*$C36</f>
        <v>-32.8130687071992</v>
      </c>
      <c r="Y36" s="628" t="n">
        <f aca="false">-SUM(Y34:Y35)*$C36</f>
        <v>-32.8130687071992</v>
      </c>
      <c r="Z36" s="628" t="n">
        <f aca="false">-SUM(Z34:Z35)*$C36</f>
        <v>-32.8130687071992</v>
      </c>
      <c r="AA36" s="628" t="n">
        <f aca="false">-SUM(AA34:AA35)*$C36</f>
        <v>-10.9376895690664</v>
      </c>
      <c r="AB36" s="629" t="n">
        <f aca="false">SUM(E36:AA36)</f>
        <v>-1391.020151</v>
      </c>
    </row>
    <row r="37" customFormat="false" ht="12.75" hidden="false" customHeight="false" outlineLevel="0" collapsed="false">
      <c r="A37" s="37" t="s">
        <v>921</v>
      </c>
      <c r="B37" s="38"/>
      <c r="C37" s="38"/>
      <c r="D37" s="263" t="s">
        <v>341</v>
      </c>
      <c r="E37" s="217" t="n">
        <f aca="false">'Enron Returns'!E36</f>
        <v>0</v>
      </c>
      <c r="F37" s="217" t="n">
        <f aca="false">'Enron Returns'!F36</f>
        <v>0</v>
      </c>
      <c r="G37" s="217" t="n">
        <f aca="false">'Enron Returns'!G36</f>
        <v>350.140449438202</v>
      </c>
      <c r="H37" s="217" t="n">
        <f aca="false">'Enron Returns'!H36</f>
        <v>477.935997765286</v>
      </c>
      <c r="I37" s="217" t="n">
        <f aca="false">'Enron Returns'!I36</f>
        <v>987.462555731407</v>
      </c>
      <c r="J37" s="217" t="n">
        <f aca="false">'Enron Returns'!J36</f>
        <v>1018.97160015453</v>
      </c>
      <c r="K37" s="217" t="n">
        <f aca="false">'Enron Returns'!K36</f>
        <v>1049.65834133496</v>
      </c>
      <c r="L37" s="217" t="n">
        <f aca="false">'Enron Returns'!L36</f>
        <v>1080.31440086159</v>
      </c>
      <c r="M37" s="217" t="n">
        <f aca="false">'Enron Returns'!M36</f>
        <v>1111.1606493837</v>
      </c>
      <c r="N37" s="217" t="n">
        <f aca="false">'Enron Returns'!N36</f>
        <v>1142.27186065919</v>
      </c>
      <c r="O37" s="217" t="n">
        <f aca="false">'Enron Returns'!O36</f>
        <v>1173.50691849613</v>
      </c>
      <c r="P37" s="217" t="n">
        <f aca="false">'Enron Returns'!P36</f>
        <v>1204.90180253021</v>
      </c>
      <c r="Q37" s="217" t="n">
        <f aca="false">'Enron Returns'!Q36</f>
        <v>1236.5559130443</v>
      </c>
      <c r="R37" s="217" t="n">
        <f aca="false">'Enron Returns'!R36</f>
        <v>1268.50921928296</v>
      </c>
      <c r="S37" s="217" t="n">
        <f aca="false">'Enron Returns'!S36</f>
        <v>1300.82663724103</v>
      </c>
      <c r="T37" s="217" t="n">
        <f aca="false">'Enron Returns'!T36</f>
        <v>1333.62774945987</v>
      </c>
      <c r="U37" s="217" t="n">
        <f aca="false">'Enron Returns'!U36</f>
        <v>1367.1096380039</v>
      </c>
      <c r="V37" s="217" t="n">
        <f aca="false">'Enron Returns'!V36</f>
        <v>1401.65804838683</v>
      </c>
      <c r="W37" s="217" t="n">
        <f aca="false">'Enron Returns'!W36</f>
        <v>1437.59735841736</v>
      </c>
      <c r="X37" s="217" t="n">
        <f aca="false">'Enron Returns'!X36</f>
        <v>1475.08510007695</v>
      </c>
      <c r="Y37" s="217" t="n">
        <f aca="false">'Enron Returns'!Y36</f>
        <v>1514.29202886253</v>
      </c>
      <c r="Z37" s="217" t="n">
        <f aca="false">'Enron Returns'!Z36</f>
        <v>1555.21199460318</v>
      </c>
      <c r="AA37" s="217" t="n">
        <f aca="false">'Enron Returns'!AA36</f>
        <v>532.630718731894</v>
      </c>
      <c r="AB37" s="574" t="n">
        <f aca="false">SUM(E37:AA37)</f>
        <v>24019.428982466</v>
      </c>
    </row>
    <row r="38" customFormat="false" ht="12.75" hidden="false" customHeight="false" outlineLevel="0" collapsed="false">
      <c r="A38" s="750" t="s">
        <v>368</v>
      </c>
      <c r="B38" s="751"/>
      <c r="C38" s="751"/>
      <c r="D38" s="752" t="s">
        <v>341</v>
      </c>
      <c r="E38" s="575" t="n">
        <f aca="false">IF(E$7&gt;=YEAR(Startops1),-Assm!$V$107/$AB$12*E12,0)</f>
        <v>0</v>
      </c>
      <c r="F38" s="575" t="n">
        <f aca="false">IF(F$7&gt;=YEAR(Startops1),-Assm!$V$107/$AB$12*F12,0)</f>
        <v>0</v>
      </c>
      <c r="G38" s="575" t="n">
        <f aca="false">IF(G$7&gt;=YEAR(Startops1),-Assm!$V$107/$AB$12*G12,0)</f>
        <v>-18.3816834316019</v>
      </c>
      <c r="H38" s="575" t="n">
        <f aca="false">IF(H$7&gt;=YEAR(Startops1),-Assm!$V$107/$AB$12*H12,0)</f>
        <v>-24.5089112421359</v>
      </c>
      <c r="I38" s="575" t="n">
        <f aca="false">IF(I$7&gt;=YEAR(Startops1),-Assm!$V$107/$AB$12*I12,0)</f>
        <v>-24.5089112421359</v>
      </c>
      <c r="J38" s="575" t="n">
        <f aca="false">IF(J$7&gt;=YEAR(Startops1),-Assm!$V$107/$AB$12*J12,0)</f>
        <v>-24.5089112421359</v>
      </c>
      <c r="K38" s="575" t="n">
        <f aca="false">IF(K$7&gt;=YEAR(Startops1),-Assm!$V$107/$AB$12*K12,0)</f>
        <v>-24.5089112421359</v>
      </c>
      <c r="L38" s="575" t="n">
        <f aca="false">IF(L$7&gt;=YEAR(Startops1),-Assm!$V$107/$AB$12*L12,0)</f>
        <v>-24.5089112421359</v>
      </c>
      <c r="M38" s="575" t="n">
        <f aca="false">IF(M$7&gt;=YEAR(Startops1),-Assm!$V$107/$AB$12*M12,0)</f>
        <v>-24.5089112421359</v>
      </c>
      <c r="N38" s="575" t="n">
        <f aca="false">IF(N$7&gt;=YEAR(Startops1),-Assm!$V$107/$AB$12*N12,0)</f>
        <v>-24.5089112421359</v>
      </c>
      <c r="O38" s="575" t="n">
        <f aca="false">IF(O$7&gt;=YEAR(Startops1),-Assm!$V$107/$AB$12*O12,0)</f>
        <v>-24.5089112421359</v>
      </c>
      <c r="P38" s="575" t="n">
        <f aca="false">IF(P$7&gt;=YEAR(Startops1),-Assm!$V$107/$AB$12*P12,0)</f>
        <v>-24.5089112421359</v>
      </c>
      <c r="Q38" s="575" t="n">
        <f aca="false">IF(Q$7&gt;=YEAR(Startops1),-Assm!$V$107/$AB$12*Q12,0)</f>
        <v>-24.5089112421359</v>
      </c>
      <c r="R38" s="575" t="n">
        <f aca="false">IF(R$7&gt;=YEAR(Startops1),-Assm!$V$107/$AB$12*R12,0)</f>
        <v>-24.5089112421359</v>
      </c>
      <c r="S38" s="575" t="n">
        <f aca="false">IF(S$7&gt;=YEAR(Startops1),-Assm!$V$107/$AB$12*S12,0)</f>
        <v>-24.5089112421359</v>
      </c>
      <c r="T38" s="575" t="n">
        <f aca="false">IF(T$7&gt;=YEAR(Startops1),-Assm!$V$107/$AB$12*T12,0)</f>
        <v>-24.5089112421359</v>
      </c>
      <c r="U38" s="575" t="n">
        <f aca="false">IF(U$7&gt;=YEAR(Startops1),-Assm!$V$107/$AB$12*U12,0)</f>
        <v>-24.5089112421359</v>
      </c>
      <c r="V38" s="575" t="n">
        <f aca="false">IF(V$7&gt;=YEAR(Startops1),-Assm!$V$107/$AB$12*V12,0)</f>
        <v>-24.5089112421359</v>
      </c>
      <c r="W38" s="575" t="n">
        <f aca="false">IF(W$7&gt;=YEAR(Startops1),-Assm!$V$107/$AB$12*W12,0)</f>
        <v>-24.5089112421359</v>
      </c>
      <c r="X38" s="575" t="n">
        <f aca="false">IF(X$7&gt;=YEAR(Startops1),-Assm!$V$107/$AB$12*X12,0)</f>
        <v>-24.5089112421359</v>
      </c>
      <c r="Y38" s="575" t="n">
        <f aca="false">IF(Y$7&gt;=YEAR(Startops1),-Assm!$V$107/$AB$12*Y12,0)</f>
        <v>-24.5089112421359</v>
      </c>
      <c r="Z38" s="575" t="n">
        <f aca="false">IF(Z$7&gt;=YEAR(Startops1),-Assm!$V$107/$AB$12*Z12,0)</f>
        <v>-24.5089112421359</v>
      </c>
      <c r="AA38" s="575" t="n">
        <f aca="false">IF(AA$7&gt;=YEAR(Startops1),-Assm!$V$107/$AB$12*AA12,0)</f>
        <v>-8.16963708071197</v>
      </c>
      <c r="AB38" s="753" t="n">
        <f aca="false">SUM(E38:AA38)</f>
        <v>-492.220634112896</v>
      </c>
    </row>
    <row r="39" customFormat="false" ht="12.75" hidden="false" customHeight="false" outlineLevel="0" collapsed="false">
      <c r="A39" s="750" t="s">
        <v>373</v>
      </c>
      <c r="B39" s="751"/>
      <c r="C39" s="751"/>
      <c r="D39" s="752" t="s">
        <v>341</v>
      </c>
      <c r="E39" s="575" t="n">
        <f aca="false">IF(E$7&gt;=YEAR(Startops1),-Assm!$V$108/$AB$12*E12,0)</f>
        <v>0</v>
      </c>
      <c r="F39" s="575" t="n">
        <f aca="false">IF(F$7&gt;=YEAR(Startops1),-Assm!$V$108/$AB$12*F12,0)</f>
        <v>0</v>
      </c>
      <c r="G39" s="575" t="n">
        <f aca="false">IF(G$7&gt;=YEAR(Startops1),-Assm!$V$108/$AB$12*G12,0)</f>
        <v>-84.3609958506224</v>
      </c>
      <c r="H39" s="575" t="n">
        <f aca="false">IF(H$7&gt;=YEAR(Startops1),-Assm!$V$108/$AB$12*H12,0)</f>
        <v>-112.48132780083</v>
      </c>
      <c r="I39" s="575" t="n">
        <f aca="false">IF(I$7&gt;=YEAR(Startops1),-Assm!$V$108/$AB$12*I12,0)</f>
        <v>-112.48132780083</v>
      </c>
      <c r="J39" s="575" t="n">
        <f aca="false">IF(J$7&gt;=YEAR(Startops1),-Assm!$V$108/$AB$12*J12,0)</f>
        <v>-112.48132780083</v>
      </c>
      <c r="K39" s="575" t="n">
        <f aca="false">IF(K$7&gt;=YEAR(Startops1),-Assm!$V$108/$AB$12*K12,0)</f>
        <v>-112.48132780083</v>
      </c>
      <c r="L39" s="575" t="n">
        <f aca="false">IF(L$7&gt;=YEAR(Startops1),-Assm!$V$108/$AB$12*L12,0)</f>
        <v>-112.48132780083</v>
      </c>
      <c r="M39" s="575" t="n">
        <f aca="false">IF(M$7&gt;=YEAR(Startops1),-Assm!$V$108/$AB$12*M12,0)</f>
        <v>-112.48132780083</v>
      </c>
      <c r="N39" s="575" t="n">
        <f aca="false">IF(N$7&gt;=YEAR(Startops1),-Assm!$V$108/$AB$12*N12,0)</f>
        <v>-112.48132780083</v>
      </c>
      <c r="O39" s="575" t="n">
        <f aca="false">IF(O$7&gt;=YEAR(Startops1),-Assm!$V$108/$AB$12*O12,0)</f>
        <v>-112.48132780083</v>
      </c>
      <c r="P39" s="575" t="n">
        <f aca="false">IF(P$7&gt;=YEAR(Startops1),-Assm!$V$108/$AB$12*P12,0)</f>
        <v>-112.48132780083</v>
      </c>
      <c r="Q39" s="575" t="n">
        <f aca="false">IF(Q$7&gt;=YEAR(Startops1),-Assm!$V$108/$AB$12*Q12,0)</f>
        <v>-112.48132780083</v>
      </c>
      <c r="R39" s="575" t="n">
        <f aca="false">IF(R$7&gt;=YEAR(Startops1),-Assm!$V$108/$AB$12*R12,0)</f>
        <v>-112.48132780083</v>
      </c>
      <c r="S39" s="575" t="n">
        <f aca="false">IF(S$7&gt;=YEAR(Startops1),-Assm!$V$108/$AB$12*S12,0)</f>
        <v>-112.48132780083</v>
      </c>
      <c r="T39" s="575" t="n">
        <f aca="false">IF(T$7&gt;=YEAR(Startops1),-Assm!$V$108/$AB$12*T12,0)</f>
        <v>-112.48132780083</v>
      </c>
      <c r="U39" s="575" t="n">
        <f aca="false">IF(U$7&gt;=YEAR(Startops1),-Assm!$V$108/$AB$12*U12,0)</f>
        <v>-112.48132780083</v>
      </c>
      <c r="V39" s="575" t="n">
        <f aca="false">IF(V$7&gt;=YEAR(Startops1),-Assm!$V$108/$AB$12*V12,0)</f>
        <v>-112.48132780083</v>
      </c>
      <c r="W39" s="575" t="n">
        <f aca="false">IF(W$7&gt;=YEAR(Startops1),-Assm!$V$108/$AB$12*W12,0)</f>
        <v>-112.48132780083</v>
      </c>
      <c r="X39" s="575" t="n">
        <f aca="false">IF(X$7&gt;=YEAR(Startops1),-Assm!$V$108/$AB$12*X12,0)</f>
        <v>-112.48132780083</v>
      </c>
      <c r="Y39" s="575" t="n">
        <f aca="false">IF(Y$7&gt;=YEAR(Startops1),-Assm!$V$108/$AB$12*Y12,0)</f>
        <v>-112.48132780083</v>
      </c>
      <c r="Z39" s="575" t="n">
        <f aca="false">IF(Z$7&gt;=YEAR(Startops1),-Assm!$V$108/$AB$12*Z12,0)</f>
        <v>-112.48132780083</v>
      </c>
      <c r="AA39" s="575" t="n">
        <f aca="false">IF(AA$7&gt;=YEAR(Startops1),-Assm!$V$108/$AB$12*AA12,0)</f>
        <v>-37.49377593361</v>
      </c>
      <c r="AB39" s="753" t="n">
        <f aca="false">SUM(E39:AA39)</f>
        <v>-2259</v>
      </c>
    </row>
    <row r="40" customFormat="false" ht="12.75" hidden="false" customHeight="false" outlineLevel="0" collapsed="false">
      <c r="A40" s="37" t="s">
        <v>897</v>
      </c>
      <c r="B40" s="38"/>
      <c r="C40" s="38"/>
      <c r="D40" s="38"/>
      <c r="E40" s="220" t="n">
        <f aca="false">-SUM(E30:E39)*USTax</f>
        <v>-0</v>
      </c>
      <c r="F40" s="220" t="n">
        <f aca="false">-SUM(F30:F39)*USTax</f>
        <v>-426.164216948697</v>
      </c>
      <c r="G40" s="220" t="n">
        <f aca="false">-SUM(G30:G39)*USTax</f>
        <v>-202.97728676306</v>
      </c>
      <c r="H40" s="220" t="n">
        <f aca="false">-SUM(H30:H39)*USTax</f>
        <v>-552.153348553127</v>
      </c>
      <c r="I40" s="220" t="n">
        <f aca="false">-SUM(I30:I39)*USTax</f>
        <v>-203.831205081409</v>
      </c>
      <c r="J40" s="220" t="n">
        <f aca="false">-SUM(J30:J39)*USTax</f>
        <v>-220.470754991055</v>
      </c>
      <c r="K40" s="220" t="n">
        <f aca="false">-SUM(K30:K39)*USTax</f>
        <v>-569.845746253421</v>
      </c>
      <c r="L40" s="220" t="n">
        <f aca="false">-SUM(L30:L39)*USTax</f>
        <v>-225.331542213223</v>
      </c>
      <c r="M40" s="220" t="n">
        <f aca="false">-SUM(M30:M39)*USTax</f>
        <v>-1521.35536160913</v>
      </c>
      <c r="N40" s="220" t="n">
        <f aca="false">-SUM(N30:N39)*USTax</f>
        <v>-1692.748856143</v>
      </c>
      <c r="O40" s="220" t="n">
        <f aca="false">-SUM(O30:O39)*USTax</f>
        <v>-1648.16715610769</v>
      </c>
      <c r="P40" s="220" t="n">
        <f aca="false">-SUM(P30:P39)*USTax</f>
        <v>-1500.48100859717</v>
      </c>
      <c r="Q40" s="220" t="n">
        <f aca="false">-SUM(Q30:Q39)*USTax</f>
        <v>-1570.48997327939</v>
      </c>
      <c r="R40" s="220" t="n">
        <f aca="false">-SUM(R30:R39)*USTax</f>
        <v>-1782.4743497801</v>
      </c>
      <c r="S40" s="220" t="n">
        <f aca="false">-SUM(S30:S39)*USTax</f>
        <v>-1794.43179442459</v>
      </c>
      <c r="T40" s="220" t="n">
        <f aca="false">-SUM(T30:T39)*USTax</f>
        <v>-1454.91919073202</v>
      </c>
      <c r="U40" s="220" t="n">
        <f aca="false">-SUM(U30:U39)*USTax</f>
        <v>-1818.95650470685</v>
      </c>
      <c r="V40" s="220" t="n">
        <f aca="false">-SUM(V30:V39)*USTax</f>
        <v>-889.279894523989</v>
      </c>
      <c r="W40" s="220" t="n">
        <f aca="false">-SUM(W30:W39)*USTax</f>
        <v>-314.115893591863</v>
      </c>
      <c r="X40" s="220" t="n">
        <f aca="false">-SUM(X30:X39)*USTax</f>
        <v>-345.318382725601</v>
      </c>
      <c r="Y40" s="220" t="n">
        <f aca="false">-SUM(Y30:Y39)*USTax</f>
        <v>-383.538618250556</v>
      </c>
      <c r="Z40" s="220" t="n">
        <f aca="false">-SUM(Z30:Z39)*USTax</f>
        <v>-420.875207702488</v>
      </c>
      <c r="AA40" s="220" t="n">
        <f aca="false">-SUM(AA30:AA39)*USTax</f>
        <v>-84.4564604932496</v>
      </c>
      <c r="AB40" s="576" t="n">
        <f aca="false">SUM(E40:AA40)</f>
        <v>-19622.3827534717</v>
      </c>
    </row>
    <row r="41" customFormat="false" ht="12.75" hidden="false" customHeight="false" outlineLevel="0" collapsed="false">
      <c r="A41" s="37"/>
      <c r="B41" s="38" t="s">
        <v>974</v>
      </c>
      <c r="C41" s="38"/>
      <c r="D41" s="38"/>
      <c r="E41" s="217" t="n">
        <f aca="false">SUM(E29:E40)</f>
        <v>0</v>
      </c>
      <c r="F41" s="217" t="n">
        <f aca="false">SUM(F29:F40)</f>
        <v>725.630963993727</v>
      </c>
      <c r="G41" s="217" t="n">
        <f aca="false">SUM(G29:G40)</f>
        <v>345.609974758723</v>
      </c>
      <c r="H41" s="217" t="n">
        <f aca="false">SUM(H29:H40)</f>
        <v>940.152998887757</v>
      </c>
      <c r="I41" s="217" t="n">
        <f aca="false">SUM(I29:I40)</f>
        <v>347.063943787264</v>
      </c>
      <c r="J41" s="217" t="n">
        <f aca="false">SUM(J29:J40)</f>
        <v>375.396150390175</v>
      </c>
      <c r="K41" s="217" t="n">
        <f aca="false">SUM(K29:K40)</f>
        <v>970.277892269339</v>
      </c>
      <c r="L41" s="217" t="n">
        <f aca="false">SUM(L29:L40)</f>
        <v>383.672625930623</v>
      </c>
      <c r="M41" s="217" t="n">
        <f aca="false">SUM(M29:M40)</f>
        <v>2590.41588598312</v>
      </c>
      <c r="N41" s="217" t="n">
        <f aca="false">SUM(N29:N40)</f>
        <v>2882.2480523516</v>
      </c>
      <c r="O41" s="217" t="n">
        <f aca="false">SUM(O29:O40)</f>
        <v>2806.33867121039</v>
      </c>
      <c r="P41" s="217" t="n">
        <f aca="false">SUM(P29:P40)</f>
        <v>2554.87306869249</v>
      </c>
      <c r="Q41" s="217" t="n">
        <f aca="false">SUM(Q29:Q40)</f>
        <v>2674.07752207032</v>
      </c>
      <c r="R41" s="217" t="n">
        <f aca="false">SUM(R29:R40)</f>
        <v>3035.02389286882</v>
      </c>
      <c r="S41" s="217" t="n">
        <f aca="false">SUM(S29:S40)</f>
        <v>3055.3838661824</v>
      </c>
      <c r="T41" s="217" t="n">
        <f aca="false">SUM(T29:T40)</f>
        <v>2477.29483827343</v>
      </c>
      <c r="U41" s="217" t="n">
        <f aca="false">SUM(U29:U40)</f>
        <v>3097.14215666301</v>
      </c>
      <c r="V41" s="217" t="n">
        <f aca="false">SUM(V29:V40)</f>
        <v>1514.17927986517</v>
      </c>
      <c r="W41" s="217" t="n">
        <f aca="false">SUM(W29:W40)</f>
        <v>534.84598098074</v>
      </c>
      <c r="X41" s="217" t="n">
        <f aca="false">SUM(X29:X40)</f>
        <v>587.974543559808</v>
      </c>
      <c r="Y41" s="217" t="n">
        <f aca="false">SUM(Y29:Y40)</f>
        <v>653.052241886081</v>
      </c>
      <c r="Z41" s="217" t="n">
        <f aca="false">SUM(Z29:Z40)</f>
        <v>716.625353655587</v>
      </c>
      <c r="AA41" s="217" t="n">
        <f aca="false">SUM(AA29:AA40)</f>
        <v>143.80424354256</v>
      </c>
      <c r="AB41" s="574" t="n">
        <f aca="false">SUM(E41:AA41)</f>
        <v>33411.0841478031</v>
      </c>
    </row>
    <row r="42" customFormat="false" ht="12.75" hidden="false" customHeight="false" outlineLevel="0" collapsed="false">
      <c r="A42" s="37"/>
      <c r="B42" s="38"/>
      <c r="C42" s="38"/>
      <c r="D42" s="38"/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56"/>
      <c r="Z42" s="556"/>
      <c r="AA42" s="556"/>
      <c r="AB42" s="557"/>
    </row>
    <row r="43" customFormat="false" ht="12.75" hidden="false" customHeight="false" outlineLevel="0" collapsed="false">
      <c r="A43" s="130" t="s">
        <v>975</v>
      </c>
      <c r="B43" s="38"/>
      <c r="C43" s="38"/>
      <c r="D43" s="38"/>
      <c r="E43" s="556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56"/>
      <c r="Q43" s="556"/>
      <c r="R43" s="556"/>
      <c r="S43" s="556"/>
      <c r="T43" s="556"/>
      <c r="U43" s="556"/>
      <c r="V43" s="556"/>
      <c r="W43" s="556"/>
      <c r="X43" s="556"/>
      <c r="Y43" s="556"/>
      <c r="Z43" s="556"/>
      <c r="AA43" s="556"/>
      <c r="AB43" s="557"/>
    </row>
    <row r="44" customFormat="false" ht="12.75" hidden="false" customHeight="false" outlineLevel="0" collapsed="false">
      <c r="A44" s="37" t="str">
        <f aca="false">CONCATENATE("Plus: Interest Income - ",TEXT(Int_BL,"0.00%"))</f>
        <v>Plus: Interest Income - 6.00%</v>
      </c>
      <c r="B44" s="38"/>
      <c r="C44" s="38"/>
      <c r="D44" s="263" t="s">
        <v>392</v>
      </c>
      <c r="E44" s="217" t="n">
        <f aca="false">'Enron Returns'!E52</f>
        <v>0</v>
      </c>
      <c r="F44" s="217" t="n">
        <f aca="false">'Enron Returns'!F52</f>
        <v>90.7705236934696</v>
      </c>
      <c r="G44" s="217" t="n">
        <f aca="false">'Enron Returns'!G52</f>
        <v>2440.47669194356</v>
      </c>
      <c r="H44" s="217" t="n">
        <f aca="false">'Enron Returns'!H52</f>
        <v>2577.38338793371</v>
      </c>
      <c r="I44" s="217" t="n">
        <f aca="false">'Enron Returns'!I52</f>
        <v>0</v>
      </c>
      <c r="J44" s="217" t="n">
        <f aca="false">'Enron Returns'!J52</f>
        <v>0</v>
      </c>
      <c r="K44" s="217" t="n">
        <f aca="false">'Enron Returns'!K52</f>
        <v>0</v>
      </c>
      <c r="L44" s="217" t="n">
        <f aca="false">'Enron Returns'!L52</f>
        <v>0</v>
      </c>
      <c r="M44" s="217" t="n">
        <f aca="false">'Enron Returns'!M52</f>
        <v>0</v>
      </c>
      <c r="N44" s="217" t="n">
        <f aca="false">'Enron Returns'!N52</f>
        <v>0</v>
      </c>
      <c r="O44" s="217" t="n">
        <f aca="false">'Enron Returns'!O52</f>
        <v>0</v>
      </c>
      <c r="P44" s="217" t="n">
        <f aca="false">'Enron Returns'!P52</f>
        <v>0</v>
      </c>
      <c r="Q44" s="217" t="n">
        <f aca="false">'Enron Returns'!Q52</f>
        <v>0</v>
      </c>
      <c r="R44" s="217" t="n">
        <f aca="false">'Enron Returns'!R52</f>
        <v>0</v>
      </c>
      <c r="S44" s="217" t="n">
        <f aca="false">'Enron Returns'!S52</f>
        <v>0</v>
      </c>
      <c r="T44" s="217" t="n">
        <f aca="false">'Enron Returns'!T52</f>
        <v>0</v>
      </c>
      <c r="U44" s="217" t="n">
        <f aca="false">'Enron Returns'!U52</f>
        <v>0</v>
      </c>
      <c r="V44" s="217" t="n">
        <f aca="false">'Enron Returns'!V52</f>
        <v>0</v>
      </c>
      <c r="W44" s="217" t="n">
        <f aca="false">'Enron Returns'!W52</f>
        <v>0</v>
      </c>
      <c r="X44" s="217" t="n">
        <f aca="false">'Enron Returns'!X52</f>
        <v>0</v>
      </c>
      <c r="Y44" s="217" t="n">
        <f aca="false">'Enron Returns'!Y52</f>
        <v>0</v>
      </c>
      <c r="Z44" s="217" t="n">
        <f aca="false">'Enron Returns'!Z52</f>
        <v>0</v>
      </c>
      <c r="AA44" s="217" t="n">
        <f aca="false">'Enron Returns'!AA52</f>
        <v>0</v>
      </c>
      <c r="AB44" s="574" t="n">
        <f aca="false">SUM(E44:AA44)</f>
        <v>5108.63060357073</v>
      </c>
    </row>
    <row r="45" customFormat="false" ht="12.75" hidden="false" customHeight="false" outlineLevel="0" collapsed="false">
      <c r="A45" s="37" t="str">
        <f aca="false">CONCATENATE("Less: Enron Cost Of Funds - ",TEXT(Ecf,"0.00%"))</f>
        <v>Less: Enron Cost Of Funds - 6.50%</v>
      </c>
      <c r="B45" s="38"/>
      <c r="C45" s="38"/>
      <c r="D45" s="263" t="s">
        <v>392</v>
      </c>
      <c r="E45" s="217" t="n">
        <f aca="false">-E44/Int_BL*Ecf</f>
        <v>-0</v>
      </c>
      <c r="F45" s="217" t="n">
        <f aca="false">-F44/Int_BL*Ecf</f>
        <v>-98.3347340012588</v>
      </c>
      <c r="G45" s="217" t="n">
        <f aca="false">-G44/Int_BL*Ecf</f>
        <v>-2643.84974960552</v>
      </c>
      <c r="H45" s="217" t="n">
        <f aca="false">-H44/Int_BL*Ecf</f>
        <v>-2792.16533692818</v>
      </c>
      <c r="I45" s="217" t="n">
        <f aca="false">-I44/Int_BL*Ecf</f>
        <v>-0</v>
      </c>
      <c r="J45" s="217" t="n">
        <f aca="false">-J44/Int_BL*Ecf</f>
        <v>-0</v>
      </c>
      <c r="K45" s="217" t="n">
        <f aca="false">-K44/Int_BL*Ecf</f>
        <v>-0</v>
      </c>
      <c r="L45" s="217" t="n">
        <f aca="false">-L44/Int_BL*Ecf</f>
        <v>-0</v>
      </c>
      <c r="M45" s="217" t="n">
        <f aca="false">-M44/Int_BL*Ecf</f>
        <v>-0</v>
      </c>
      <c r="N45" s="217" t="n">
        <f aca="false">-N44/Int_BL*Ecf</f>
        <v>-0</v>
      </c>
      <c r="O45" s="217" t="n">
        <f aca="false">-O44/Int_BL*Ecf</f>
        <v>-0</v>
      </c>
      <c r="P45" s="217" t="n">
        <f aca="false">-P44/Int_BL*Ecf</f>
        <v>-0</v>
      </c>
      <c r="Q45" s="217" t="n">
        <f aca="false">-Q44/Int_BL*Ecf</f>
        <v>-0</v>
      </c>
      <c r="R45" s="217" t="n">
        <f aca="false">-R44/Int_BL*Ecf</f>
        <v>-0</v>
      </c>
      <c r="S45" s="217" t="n">
        <f aca="false">-S44/Int_BL*Ecf</f>
        <v>-0</v>
      </c>
      <c r="T45" s="217" t="n">
        <f aca="false">-T44/Int_BL*Ecf</f>
        <v>-0</v>
      </c>
      <c r="U45" s="217" t="n">
        <f aca="false">-U44/Int_BL*Ecf</f>
        <v>-0</v>
      </c>
      <c r="V45" s="217" t="n">
        <f aca="false">-V44/Int_BL*Ecf</f>
        <v>-0</v>
      </c>
      <c r="W45" s="217" t="n">
        <f aca="false">-W44/Int_BL*Ecf</f>
        <v>-0</v>
      </c>
      <c r="X45" s="217" t="n">
        <f aca="false">-X44/Int_BL*Ecf</f>
        <v>-0</v>
      </c>
      <c r="Y45" s="217" t="n">
        <f aca="false">-Y44/Int_BL*Ecf</f>
        <v>-0</v>
      </c>
      <c r="Z45" s="217" t="n">
        <f aca="false">-Z44/Int_BL*Ecf</f>
        <v>-0</v>
      </c>
      <c r="AA45" s="217" t="n">
        <f aca="false">-AA44/Int_BL*Ecf</f>
        <v>-0</v>
      </c>
      <c r="AB45" s="574" t="n">
        <f aca="false">SUM(E45:AA45)</f>
        <v>-5534.34982053496</v>
      </c>
    </row>
    <row r="46" customFormat="false" ht="12.75" hidden="false" customHeight="false" outlineLevel="0" collapsed="false">
      <c r="A46" s="37" t="str">
        <f aca="false">CONCATENATE("Less: Political Risk Insurance - ",TEXT(Opic,"0.00%"))</f>
        <v>Less: Political Risk Insurance - 1.00%</v>
      </c>
      <c r="B46" s="38"/>
      <c r="C46" s="38"/>
      <c r="D46" s="263" t="s">
        <v>392</v>
      </c>
      <c r="E46" s="217" t="n">
        <f aca="false">'Enron Returns'!E54</f>
        <v>0</v>
      </c>
      <c r="F46" s="217" t="n">
        <f aca="false">'Enron Returns'!F54</f>
        <v>-115.171339272285</v>
      </c>
      <c r="G46" s="217" t="n">
        <f aca="false">'Enron Returns'!G54</f>
        <v>-413.469139267437</v>
      </c>
      <c r="H46" s="217" t="n">
        <f aca="false">'Enron Returns'!H54</f>
        <v>-355.883469631294</v>
      </c>
      <c r="I46" s="217" t="n">
        <f aca="false">'Enron Returns'!I54</f>
        <v>0</v>
      </c>
      <c r="J46" s="217" t="n">
        <f aca="false">'Enron Returns'!J54</f>
        <v>0</v>
      </c>
      <c r="K46" s="217" t="n">
        <f aca="false">'Enron Returns'!K54</f>
        <v>0</v>
      </c>
      <c r="L46" s="217" t="n">
        <f aca="false">'Enron Returns'!L54</f>
        <v>0</v>
      </c>
      <c r="M46" s="217" t="n">
        <f aca="false">'Enron Returns'!M54</f>
        <v>0</v>
      </c>
      <c r="N46" s="217" t="n">
        <f aca="false">'Enron Returns'!N54</f>
        <v>0</v>
      </c>
      <c r="O46" s="217" t="n">
        <f aca="false">'Enron Returns'!O54</f>
        <v>0</v>
      </c>
      <c r="P46" s="217" t="n">
        <f aca="false">'Enron Returns'!P54</f>
        <v>0</v>
      </c>
      <c r="Q46" s="217" t="n">
        <f aca="false">'Enron Returns'!Q54</f>
        <v>0</v>
      </c>
      <c r="R46" s="217" t="n">
        <f aca="false">'Enron Returns'!R54</f>
        <v>0</v>
      </c>
      <c r="S46" s="217" t="n">
        <f aca="false">'Enron Returns'!S54</f>
        <v>0</v>
      </c>
      <c r="T46" s="217" t="n">
        <f aca="false">'Enron Returns'!T54</f>
        <v>0</v>
      </c>
      <c r="U46" s="217" t="n">
        <f aca="false">'Enron Returns'!U54</f>
        <v>0</v>
      </c>
      <c r="V46" s="217" t="n">
        <f aca="false">'Enron Returns'!V54</f>
        <v>0</v>
      </c>
      <c r="W46" s="217" t="n">
        <f aca="false">'Enron Returns'!W54</f>
        <v>0</v>
      </c>
      <c r="X46" s="217" t="n">
        <f aca="false">'Enron Returns'!X54</f>
        <v>0</v>
      </c>
      <c r="Y46" s="217" t="n">
        <f aca="false">'Enron Returns'!Y54</f>
        <v>0</v>
      </c>
      <c r="Z46" s="217" t="n">
        <f aca="false">'Enron Returns'!Z54</f>
        <v>0</v>
      </c>
      <c r="AA46" s="217" t="n">
        <f aca="false">'Enron Returns'!AA54</f>
        <v>0</v>
      </c>
      <c r="AB46" s="574" t="n">
        <f aca="false">SUM(E46:AA46)</f>
        <v>-884.523948171016</v>
      </c>
    </row>
    <row r="47" customFormat="false" ht="12.75" hidden="false" customHeight="false" outlineLevel="0" collapsed="false">
      <c r="A47" s="37" t="s">
        <v>976</v>
      </c>
      <c r="B47" s="38"/>
      <c r="C47" s="38"/>
      <c r="D47" s="38"/>
      <c r="E47" s="220" t="n">
        <f aca="false">-SUM(E44:E46)*USTax</f>
        <v>-0</v>
      </c>
      <c r="F47" s="220" t="n">
        <f aca="false">-SUM(F44:F46)*USTax</f>
        <v>45.4121533446276</v>
      </c>
      <c r="G47" s="220" t="n">
        <f aca="false">-SUM(G44:G46)*USTax</f>
        <v>228.231612863878</v>
      </c>
      <c r="H47" s="220" t="n">
        <f aca="false">-SUM(H44:H46)*USTax</f>
        <v>211.146204891535</v>
      </c>
      <c r="I47" s="220" t="n">
        <f aca="false">-SUM(I44:I46)*USTax</f>
        <v>-0</v>
      </c>
      <c r="J47" s="220" t="n">
        <f aca="false">-SUM(J44:J46)*USTax</f>
        <v>-0</v>
      </c>
      <c r="K47" s="220" t="n">
        <f aca="false">-SUM(K44:K46)*USTax</f>
        <v>-0</v>
      </c>
      <c r="L47" s="220" t="n">
        <f aca="false">-SUM(L44:L46)*USTax</f>
        <v>-0</v>
      </c>
      <c r="M47" s="220" t="n">
        <f aca="false">-SUM(M44:M46)*USTax</f>
        <v>-0</v>
      </c>
      <c r="N47" s="220" t="n">
        <f aca="false">-SUM(N44:N46)*USTax</f>
        <v>-0</v>
      </c>
      <c r="O47" s="220" t="n">
        <f aca="false">-SUM(O44:O46)*USTax</f>
        <v>-0</v>
      </c>
      <c r="P47" s="220" t="n">
        <f aca="false">-SUM(P44:P46)*USTax</f>
        <v>-0</v>
      </c>
      <c r="Q47" s="220" t="n">
        <f aca="false">-SUM(Q44:Q46)*USTax</f>
        <v>-0</v>
      </c>
      <c r="R47" s="220" t="n">
        <f aca="false">-SUM(R44:R46)*USTax</f>
        <v>-0</v>
      </c>
      <c r="S47" s="220" t="n">
        <f aca="false">-SUM(S44:S46)*USTax</f>
        <v>-0</v>
      </c>
      <c r="T47" s="220" t="n">
        <f aca="false">-SUM(T44:T46)*USTax</f>
        <v>-0</v>
      </c>
      <c r="U47" s="220" t="n">
        <f aca="false">-SUM(U44:U46)*USTax</f>
        <v>-0</v>
      </c>
      <c r="V47" s="220" t="n">
        <f aca="false">-SUM(V44:V46)*USTax</f>
        <v>-0</v>
      </c>
      <c r="W47" s="220" t="n">
        <f aca="false">-SUM(W44:W46)*USTax</f>
        <v>-0</v>
      </c>
      <c r="X47" s="220" t="n">
        <f aca="false">-SUM(X44:X46)*USTax</f>
        <v>-0</v>
      </c>
      <c r="Y47" s="220" t="n">
        <f aca="false">-SUM(Y44:Y46)*USTax</f>
        <v>-0</v>
      </c>
      <c r="Z47" s="220" t="n">
        <f aca="false">-SUM(Z44:Z46)*USTax</f>
        <v>-0</v>
      </c>
      <c r="AA47" s="220" t="n">
        <f aca="false">-SUM(AA44:AA46)*USTax</f>
        <v>-0</v>
      </c>
      <c r="AB47" s="576" t="n">
        <f aca="false">SUM(E47:AA47)</f>
        <v>484.78997110004</v>
      </c>
    </row>
    <row r="48" customFormat="false" ht="12.75" hidden="false" customHeight="false" outlineLevel="0" collapsed="false">
      <c r="A48" s="37"/>
      <c r="B48" s="38" t="s">
        <v>977</v>
      </c>
      <c r="C48" s="38"/>
      <c r="D48" s="38"/>
      <c r="E48" s="217" t="n">
        <f aca="false">SUM(E43:E47)</f>
        <v>0</v>
      </c>
      <c r="F48" s="217" t="n">
        <f aca="false">SUM(F43:F47)</f>
        <v>-77.3233962354469</v>
      </c>
      <c r="G48" s="217" t="n">
        <f aca="false">SUM(G43:G47)</f>
        <v>-388.610584065522</v>
      </c>
      <c r="H48" s="217" t="n">
        <f aca="false">SUM(H43:H47)</f>
        <v>-359.519213734235</v>
      </c>
      <c r="I48" s="217" t="n">
        <f aca="false">SUM(I43:I47)</f>
        <v>0</v>
      </c>
      <c r="J48" s="217" t="n">
        <f aca="false">SUM(J43:J47)</f>
        <v>0</v>
      </c>
      <c r="K48" s="217" t="n">
        <f aca="false">SUM(K43:K47)</f>
        <v>0</v>
      </c>
      <c r="L48" s="217" t="n">
        <f aca="false">SUM(L43:L47)</f>
        <v>0</v>
      </c>
      <c r="M48" s="217" t="n">
        <f aca="false">SUM(M43:M47)</f>
        <v>0</v>
      </c>
      <c r="N48" s="217" t="n">
        <f aca="false">SUM(N43:N47)</f>
        <v>0</v>
      </c>
      <c r="O48" s="217" t="n">
        <f aca="false">SUM(O43:O47)</f>
        <v>0</v>
      </c>
      <c r="P48" s="217" t="n">
        <f aca="false">SUM(P43:P47)</f>
        <v>0</v>
      </c>
      <c r="Q48" s="217" t="n">
        <f aca="false">SUM(Q43:Q47)</f>
        <v>0</v>
      </c>
      <c r="R48" s="217" t="n">
        <f aca="false">SUM(R43:R47)</f>
        <v>0</v>
      </c>
      <c r="S48" s="217" t="n">
        <f aca="false">SUM(S43:S47)</f>
        <v>0</v>
      </c>
      <c r="T48" s="217" t="n">
        <f aca="false">SUM(T43:T47)</f>
        <v>0</v>
      </c>
      <c r="U48" s="217" t="n">
        <f aca="false">SUM(U43:U47)</f>
        <v>0</v>
      </c>
      <c r="V48" s="217" t="n">
        <f aca="false">SUM(V43:V47)</f>
        <v>0</v>
      </c>
      <c r="W48" s="217" t="n">
        <f aca="false">SUM(W43:W47)</f>
        <v>0</v>
      </c>
      <c r="X48" s="217" t="n">
        <f aca="false">SUM(X43:X47)</f>
        <v>0</v>
      </c>
      <c r="Y48" s="217" t="n">
        <f aca="false">SUM(Y43:Y47)</f>
        <v>0</v>
      </c>
      <c r="Z48" s="217" t="n">
        <f aca="false">SUM(Z43:Z47)</f>
        <v>0</v>
      </c>
      <c r="AA48" s="217" t="n">
        <f aca="false">SUM(AA43:AA47)</f>
        <v>0</v>
      </c>
      <c r="AB48" s="574" t="n">
        <f aca="false">SUM(E48:AA48)</f>
        <v>-825.453194035204</v>
      </c>
    </row>
    <row r="49" customFormat="false" ht="12.75" hidden="false" customHeight="false" outlineLevel="0" collapsed="false">
      <c r="A49" s="37"/>
      <c r="B49" s="38"/>
      <c r="C49" s="38"/>
      <c r="D49" s="38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56"/>
      <c r="Q49" s="556"/>
      <c r="R49" s="556"/>
      <c r="S49" s="556"/>
      <c r="T49" s="556"/>
      <c r="U49" s="556"/>
      <c r="V49" s="556"/>
      <c r="W49" s="556"/>
      <c r="X49" s="556"/>
      <c r="Y49" s="556"/>
      <c r="Z49" s="556"/>
      <c r="AA49" s="556"/>
      <c r="AB49" s="557"/>
    </row>
    <row r="50" customFormat="false" ht="12.75" hidden="false" customHeight="false" outlineLevel="0" collapsed="false">
      <c r="A50" s="130" t="s">
        <v>978</v>
      </c>
      <c r="B50" s="38"/>
      <c r="C50" s="38"/>
      <c r="D50" s="38"/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6"/>
      <c r="Q50" s="556"/>
      <c r="R50" s="556"/>
      <c r="S50" s="556"/>
      <c r="T50" s="556"/>
      <c r="U50" s="556"/>
      <c r="V50" s="556"/>
      <c r="W50" s="556"/>
      <c r="X50" s="556"/>
      <c r="Y50" s="556"/>
      <c r="Z50" s="556"/>
      <c r="AA50" s="556"/>
      <c r="AB50" s="557"/>
    </row>
    <row r="51" customFormat="false" ht="12.75" hidden="false" customHeight="false" outlineLevel="0" collapsed="false">
      <c r="A51" s="37"/>
      <c r="B51" s="38" t="s">
        <v>966</v>
      </c>
      <c r="C51" s="38"/>
      <c r="D51" s="38"/>
      <c r="E51" s="217" t="n">
        <f aca="false">E27</f>
        <v>0</v>
      </c>
      <c r="F51" s="217" t="n">
        <f aca="false">F27</f>
        <v>0</v>
      </c>
      <c r="G51" s="217" t="n">
        <f aca="false">G27</f>
        <v>-4354.60052452019</v>
      </c>
      <c r="H51" s="217" t="n">
        <f aca="false">H27</f>
        <v>4467.50888104448</v>
      </c>
      <c r="I51" s="217" t="n">
        <f aca="false">I27</f>
        <v>1797.24872524532</v>
      </c>
      <c r="J51" s="217" t="n">
        <f aca="false">J27</f>
        <v>3050.36506349977</v>
      </c>
      <c r="K51" s="217" t="n">
        <f aca="false">K27</f>
        <v>2790.12037180645</v>
      </c>
      <c r="L51" s="217" t="n">
        <f aca="false">L27</f>
        <v>-3241.31082857951</v>
      </c>
      <c r="M51" s="217" t="n">
        <f aca="false">M27</f>
        <v>3752.6374472305</v>
      </c>
      <c r="N51" s="217" t="n">
        <f aca="false">N27</f>
        <v>3455.78509498229</v>
      </c>
      <c r="O51" s="217" t="n">
        <f aca="false">O27</f>
        <v>3412.83846031823</v>
      </c>
      <c r="P51" s="217" t="n">
        <f aca="false">P27</f>
        <v>3519.6909808743</v>
      </c>
      <c r="Q51" s="217" t="n">
        <f aca="false">Q27</f>
        <v>3221.53930507994</v>
      </c>
      <c r="R51" s="217" t="n">
        <f aca="false">R27</f>
        <v>2884.56306666132</v>
      </c>
      <c r="S51" s="217" t="n">
        <f aca="false">S27</f>
        <v>2742.32079917719</v>
      </c>
      <c r="T51" s="217" t="n">
        <f aca="false">T27</f>
        <v>2776.87031696769</v>
      </c>
      <c r="U51" s="217" t="n">
        <f aca="false">U27</f>
        <v>2201.09909663252</v>
      </c>
      <c r="V51" s="217" t="n">
        <f aca="false">V27</f>
        <v>1585.14703445734</v>
      </c>
      <c r="W51" s="217" t="n">
        <f aca="false">W27</f>
        <v>1201.16217037481</v>
      </c>
      <c r="X51" s="217" t="n">
        <f aca="false">X27</f>
        <v>536.381561438365</v>
      </c>
      <c r="Y51" s="217" t="n">
        <f aca="false">Y27</f>
        <v>-734.864529212917</v>
      </c>
      <c r="Z51" s="217" t="n">
        <f aca="false">Z27</f>
        <v>487.193590239656</v>
      </c>
      <c r="AA51" s="217" t="n">
        <f aca="false">AA27</f>
        <v>336.079775809208</v>
      </c>
      <c r="AB51" s="574" t="n">
        <f aca="false">SUM(E51:AA51)</f>
        <v>35887.7758595268</v>
      </c>
    </row>
    <row r="52" customFormat="false" ht="12.75" hidden="false" customHeight="false" outlineLevel="0" collapsed="false">
      <c r="A52" s="37"/>
      <c r="B52" s="38" t="s">
        <v>974</v>
      </c>
      <c r="C52" s="38"/>
      <c r="D52" s="38"/>
      <c r="E52" s="217" t="n">
        <f aca="false">E41</f>
        <v>0</v>
      </c>
      <c r="F52" s="217" t="n">
        <f aca="false">F41</f>
        <v>725.630963993727</v>
      </c>
      <c r="G52" s="217" t="n">
        <f aca="false">G41</f>
        <v>345.609974758723</v>
      </c>
      <c r="H52" s="217" t="n">
        <f aca="false">H41</f>
        <v>940.152998887757</v>
      </c>
      <c r="I52" s="217" t="n">
        <f aca="false">I41</f>
        <v>347.063943787264</v>
      </c>
      <c r="J52" s="217" t="n">
        <f aca="false">J41</f>
        <v>375.396150390175</v>
      </c>
      <c r="K52" s="217" t="n">
        <f aca="false">K41</f>
        <v>970.277892269339</v>
      </c>
      <c r="L52" s="217" t="n">
        <f aca="false">L41</f>
        <v>383.672625930623</v>
      </c>
      <c r="M52" s="217" t="n">
        <f aca="false">M41</f>
        <v>2590.41588598312</v>
      </c>
      <c r="N52" s="217" t="n">
        <f aca="false">N41</f>
        <v>2882.2480523516</v>
      </c>
      <c r="O52" s="217" t="n">
        <f aca="false">O41</f>
        <v>2806.33867121039</v>
      </c>
      <c r="P52" s="217" t="n">
        <f aca="false">P41</f>
        <v>2554.87306869249</v>
      </c>
      <c r="Q52" s="217" t="n">
        <f aca="false">Q41</f>
        <v>2674.07752207032</v>
      </c>
      <c r="R52" s="217" t="n">
        <f aca="false">R41</f>
        <v>3035.02389286882</v>
      </c>
      <c r="S52" s="217" t="n">
        <f aca="false">S41</f>
        <v>3055.3838661824</v>
      </c>
      <c r="T52" s="217" t="n">
        <f aca="false">T41</f>
        <v>2477.29483827343</v>
      </c>
      <c r="U52" s="217" t="n">
        <f aca="false">U41</f>
        <v>3097.14215666301</v>
      </c>
      <c r="V52" s="217" t="n">
        <f aca="false">V41</f>
        <v>1514.17927986517</v>
      </c>
      <c r="W52" s="217" t="n">
        <f aca="false">W41</f>
        <v>534.84598098074</v>
      </c>
      <c r="X52" s="217" t="n">
        <f aca="false">X41</f>
        <v>587.974543559808</v>
      </c>
      <c r="Y52" s="217" t="n">
        <f aca="false">Y41</f>
        <v>653.052241886081</v>
      </c>
      <c r="Z52" s="217" t="n">
        <f aca="false">Z41</f>
        <v>716.625353655587</v>
      </c>
      <c r="AA52" s="217" t="n">
        <f aca="false">AA41</f>
        <v>143.80424354256</v>
      </c>
      <c r="AB52" s="574" t="n">
        <f aca="false">SUM(E52:AA52)</f>
        <v>33411.0841478031</v>
      </c>
    </row>
    <row r="53" customFormat="false" ht="12.75" hidden="false" customHeight="false" outlineLevel="0" collapsed="false">
      <c r="A53" s="37"/>
      <c r="B53" s="38" t="s">
        <v>977</v>
      </c>
      <c r="C53" s="38"/>
      <c r="D53" s="38"/>
      <c r="E53" s="220" t="n">
        <f aca="false">E48</f>
        <v>0</v>
      </c>
      <c r="F53" s="220" t="n">
        <f aca="false">F48</f>
        <v>-77.3233962354469</v>
      </c>
      <c r="G53" s="220" t="n">
        <f aca="false">G48</f>
        <v>-388.610584065522</v>
      </c>
      <c r="H53" s="220" t="n">
        <f aca="false">H48</f>
        <v>-359.519213734235</v>
      </c>
      <c r="I53" s="220" t="n">
        <f aca="false">I48</f>
        <v>0</v>
      </c>
      <c r="J53" s="220" t="n">
        <f aca="false">J48</f>
        <v>0</v>
      </c>
      <c r="K53" s="220" t="n">
        <f aca="false">K48</f>
        <v>0</v>
      </c>
      <c r="L53" s="220" t="n">
        <f aca="false">L48</f>
        <v>0</v>
      </c>
      <c r="M53" s="220" t="n">
        <f aca="false">M48</f>
        <v>0</v>
      </c>
      <c r="N53" s="220" t="n">
        <f aca="false">N48</f>
        <v>0</v>
      </c>
      <c r="O53" s="220" t="n">
        <f aca="false">O48</f>
        <v>0</v>
      </c>
      <c r="P53" s="220" t="n">
        <f aca="false">P48</f>
        <v>0</v>
      </c>
      <c r="Q53" s="220" t="n">
        <f aca="false">Q48</f>
        <v>0</v>
      </c>
      <c r="R53" s="220" t="n">
        <f aca="false">R48</f>
        <v>0</v>
      </c>
      <c r="S53" s="220" t="n">
        <f aca="false">S48</f>
        <v>0</v>
      </c>
      <c r="T53" s="220" t="n">
        <f aca="false">T48</f>
        <v>0</v>
      </c>
      <c r="U53" s="220" t="n">
        <f aca="false">U48</f>
        <v>0</v>
      </c>
      <c r="V53" s="220" t="n">
        <f aca="false">V48</f>
        <v>0</v>
      </c>
      <c r="W53" s="220" t="n">
        <f aca="false">W48</f>
        <v>0</v>
      </c>
      <c r="X53" s="220" t="n">
        <f aca="false">X48</f>
        <v>0</v>
      </c>
      <c r="Y53" s="220" t="n">
        <f aca="false">Y48</f>
        <v>0</v>
      </c>
      <c r="Z53" s="220" t="n">
        <f aca="false">Z48</f>
        <v>0</v>
      </c>
      <c r="AA53" s="220" t="n">
        <f aca="false">AA48</f>
        <v>0</v>
      </c>
      <c r="AB53" s="576" t="n">
        <f aca="false">SUM(E53:AA53)</f>
        <v>-825.453194035204</v>
      </c>
    </row>
    <row r="54" customFormat="false" ht="12.75" hidden="false" customHeight="false" outlineLevel="0" collapsed="false">
      <c r="A54" s="37"/>
      <c r="B54" s="62" t="s">
        <v>979</v>
      </c>
      <c r="C54" s="38"/>
      <c r="D54" s="38"/>
      <c r="E54" s="577" t="n">
        <f aca="false">SUM(E50:E53)</f>
        <v>0</v>
      </c>
      <c r="F54" s="577" t="n">
        <f aca="false">SUM(F50:F53)</f>
        <v>648.30756775828</v>
      </c>
      <c r="G54" s="577" t="n">
        <f aca="false">SUM(G50:G53)</f>
        <v>-4397.60113382699</v>
      </c>
      <c r="H54" s="577" t="n">
        <f aca="false">SUM(H50:H53)</f>
        <v>5048.142666198</v>
      </c>
      <c r="I54" s="577" t="n">
        <f aca="false">SUM(I50:I53)</f>
        <v>2144.31266903259</v>
      </c>
      <c r="J54" s="577" t="n">
        <f aca="false">SUM(J50:J53)</f>
        <v>3425.76121388994</v>
      </c>
      <c r="K54" s="577" t="n">
        <f aca="false">SUM(K50:K53)</f>
        <v>3760.39826407579</v>
      </c>
      <c r="L54" s="577" t="n">
        <f aca="false">SUM(L50:L53)</f>
        <v>-2857.63820264889</v>
      </c>
      <c r="M54" s="577" t="n">
        <f aca="false">SUM(M50:M53)</f>
        <v>6343.05333321362</v>
      </c>
      <c r="N54" s="577" t="n">
        <f aca="false">SUM(N50:N53)</f>
        <v>6338.03314733389</v>
      </c>
      <c r="O54" s="577" t="n">
        <f aca="false">SUM(O50:O53)</f>
        <v>6219.17713152862</v>
      </c>
      <c r="P54" s="577" t="n">
        <f aca="false">SUM(P50:P53)</f>
        <v>6074.56404956679</v>
      </c>
      <c r="Q54" s="577" t="n">
        <f aca="false">SUM(Q50:Q53)</f>
        <v>5895.61682715026</v>
      </c>
      <c r="R54" s="577" t="n">
        <f aca="false">SUM(R50:R53)</f>
        <v>5919.58695953014</v>
      </c>
      <c r="S54" s="577" t="n">
        <f aca="false">SUM(S50:S53)</f>
        <v>5797.7046653596</v>
      </c>
      <c r="T54" s="577" t="n">
        <f aca="false">SUM(T50:T53)</f>
        <v>5254.16515524113</v>
      </c>
      <c r="U54" s="577" t="n">
        <f aca="false">SUM(U50:U53)</f>
        <v>5298.24125329554</v>
      </c>
      <c r="V54" s="577" t="n">
        <f aca="false">SUM(V50:V53)</f>
        <v>3099.32631432252</v>
      </c>
      <c r="W54" s="577" t="n">
        <f aca="false">SUM(W50:W53)</f>
        <v>1736.00815135555</v>
      </c>
      <c r="X54" s="577" t="n">
        <f aca="false">SUM(X50:X53)</f>
        <v>1124.35610499817</v>
      </c>
      <c r="Y54" s="577" t="n">
        <f aca="false">SUM(Y50:Y53)</f>
        <v>-81.8122873268359</v>
      </c>
      <c r="Z54" s="577" t="n">
        <f aca="false">SUM(Z50:Z53)</f>
        <v>1203.81894389524</v>
      </c>
      <c r="AA54" s="577" t="n">
        <f aca="false">SUM(AA50:AA53)</f>
        <v>479.884019351768</v>
      </c>
      <c r="AB54" s="579" t="n">
        <f aca="false">SUM(E54:AA54)</f>
        <v>68473.4068132947</v>
      </c>
    </row>
    <row r="55" customFormat="false" ht="12.75" hidden="false" customHeight="false" outlineLevel="0" collapsed="false">
      <c r="A55" s="37"/>
      <c r="B55" s="38" t="s">
        <v>980</v>
      </c>
      <c r="C55" s="38"/>
      <c r="D55" s="263" t="s">
        <v>407</v>
      </c>
      <c r="E55" s="217" t="n">
        <f aca="false">IF(E$7&lt;YEAR(Startops1),0,-E77)</f>
        <v>0</v>
      </c>
      <c r="F55" s="217" t="n">
        <f aca="false">IF(F$7&lt;YEAR(Startops1),0,-F77)</f>
        <v>0</v>
      </c>
      <c r="G55" s="217" t="n">
        <f aca="false">IF(G$7&lt;YEAR(Startops1),0,-G77)</f>
        <v>-7512.48529304485</v>
      </c>
      <c r="H55" s="217" t="n">
        <f aca="false">IF(H$7&lt;YEAR(Startops1),0,-H77)</f>
        <v>-3927.7452875678</v>
      </c>
      <c r="I55" s="217" t="n">
        <f aca="false">IF(I$7&lt;YEAR(Startops1),0,-I77)</f>
        <v>-3406.44403174538</v>
      </c>
      <c r="J55" s="217" t="n">
        <f aca="false">IF(J$7&lt;YEAR(Startops1),0,-J77)</f>
        <v>-3367.64992676927</v>
      </c>
      <c r="K55" s="217" t="n">
        <f aca="false">IF(K$7&lt;YEAR(Startops1),0,-K77)</f>
        <v>-3174.69114595548</v>
      </c>
      <c r="L55" s="217" t="n">
        <f aca="false">IF(L$7&lt;YEAR(Startops1),0,-L77)</f>
        <v>-3462.99245808287</v>
      </c>
      <c r="M55" s="217" t="n">
        <f aca="false">IF(M$7&lt;YEAR(Startops1),0,-M77)</f>
        <v>-3046.62757159339</v>
      </c>
      <c r="N55" s="217" t="n">
        <f aca="false">IF(N$7&lt;YEAR(Startops1),0,-N77)</f>
        <v>-2595.18589206777</v>
      </c>
      <c r="O55" s="217" t="n">
        <f aca="false">IF(O$7&lt;YEAR(Startops1),0,-O77)</f>
        <v>-2239.96825107489</v>
      </c>
      <c r="P55" s="217" t="n">
        <f aca="false">IF(P$7&lt;YEAR(Startops1),0,-P77)</f>
        <v>-1937.27604360322</v>
      </c>
      <c r="Q55" s="217" t="n">
        <f aca="false">IF(Q$7&lt;YEAR(Startops1),0,-Q77)</f>
        <v>-1568.10568922193</v>
      </c>
      <c r="R55" s="217" t="n">
        <f aca="false">IF(R$7&lt;YEAR(Startops1),0,-R77)</f>
        <v>-1167.77899486123</v>
      </c>
      <c r="S55" s="217" t="n">
        <f aca="false">IF(S$7&lt;YEAR(Startops1),0,-S77)</f>
        <v>-923.283989582045</v>
      </c>
      <c r="T55" s="217" t="n">
        <f aca="false">IF(T$7&lt;YEAR(Startops1),0,-T77)</f>
        <v>-736.438969774122</v>
      </c>
      <c r="U55" s="217" t="n">
        <f aca="false">IF(U$7&lt;YEAR(Startops1),0,-U77)</f>
        <v>1.44993196333515</v>
      </c>
      <c r="V55" s="217" t="n">
        <f aca="false">IF(V$7&lt;YEAR(Startops1),0,-V77)</f>
        <v>280.356057626613</v>
      </c>
      <c r="W55" s="217" t="n">
        <f aca="false">IF(W$7&lt;YEAR(Startops1),0,-W77)</f>
        <v>183.85321078017</v>
      </c>
      <c r="X55" s="217" t="n">
        <f aca="false">IF(X$7&lt;YEAR(Startops1),0,-X77)</f>
        <v>363.568002637365</v>
      </c>
      <c r="Y55" s="217" t="n">
        <f aca="false">IF(Y$7&lt;YEAR(Startops1),0,-Y77)</f>
        <v>490.243451999282</v>
      </c>
      <c r="Z55" s="217" t="n">
        <f aca="false">IF(Z$7&lt;YEAR(Startops1),0,-Z77)</f>
        <v>663.350907006801</v>
      </c>
      <c r="AA55" s="217" t="n">
        <f aca="false">IF(AA$7&lt;YEAR(Startops1),0,-AA77)</f>
        <v>875.540741966348</v>
      </c>
      <c r="AB55" s="574" t="n">
        <f aca="false">SUM(E55:AA55)</f>
        <v>-36208.3112409643</v>
      </c>
      <c r="AC55" s="749" t="str">
        <f aca="false">IF(ROUND(AB55+AB56+AB77,2)=0," ","CHECK")</f>
        <v> </v>
      </c>
    </row>
    <row r="56" customFormat="false" ht="12.75" hidden="false" customHeight="false" outlineLevel="0" collapsed="false">
      <c r="A56" s="37"/>
      <c r="B56" s="38" t="s">
        <v>981</v>
      </c>
      <c r="C56" s="38"/>
      <c r="D56" s="263" t="s">
        <v>407</v>
      </c>
      <c r="E56" s="217" t="n">
        <f aca="false">IF(E$7&gt;=YEAR(Startops1),-($AB$77+$AB55)*E$12/$AB$12,0)</f>
        <v>0</v>
      </c>
      <c r="F56" s="217" t="n">
        <f aca="false">IF(F$7&gt;=YEAR(Startops1),-($AB$77+$AB55)*F$12/$AB$12,0)</f>
        <v>0</v>
      </c>
      <c r="G56" s="217" t="n">
        <f aca="false">IF(G$7&gt;=YEAR(Startops1),-($AB$77+$AB55)*G$12/$AB$12,0)</f>
        <v>-147.817558346399</v>
      </c>
      <c r="H56" s="217" t="n">
        <f aca="false">IF(H$7&gt;=YEAR(Startops1),-($AB$77+$AB55)*H$12/$AB$12,0)</f>
        <v>-197.090077795199</v>
      </c>
      <c r="I56" s="217" t="n">
        <f aca="false">IF(I$7&gt;=YEAR(Startops1),-($AB$77+$AB55)*I$12/$AB$12,0)</f>
        <v>-197.090077795199</v>
      </c>
      <c r="J56" s="217" t="n">
        <f aca="false">IF(J$7&gt;=YEAR(Startops1),-($AB$77+$AB55)*J$12/$AB$12,0)</f>
        <v>-197.090077795199</v>
      </c>
      <c r="K56" s="217" t="n">
        <f aca="false">IF(K$7&gt;=YEAR(Startops1),-($AB$77+$AB55)*K$12/$AB$12,0)</f>
        <v>-197.090077795199</v>
      </c>
      <c r="L56" s="217" t="n">
        <f aca="false">IF(L$7&gt;=YEAR(Startops1),-($AB$77+$AB55)*L$12/$AB$12,0)</f>
        <v>-197.090077795199</v>
      </c>
      <c r="M56" s="217" t="n">
        <f aca="false">IF(M$7&gt;=YEAR(Startops1),-($AB$77+$AB55)*M$12/$AB$12,0)</f>
        <v>-197.090077795199</v>
      </c>
      <c r="N56" s="217" t="n">
        <f aca="false">IF(N$7&gt;=YEAR(Startops1),-($AB$77+$AB55)*N$12/$AB$12,0)</f>
        <v>-197.090077795199</v>
      </c>
      <c r="O56" s="217" t="n">
        <f aca="false">IF(O$7&gt;=YEAR(Startops1),-($AB$77+$AB55)*O$12/$AB$12,0)</f>
        <v>-197.090077795199</v>
      </c>
      <c r="P56" s="217" t="n">
        <f aca="false">IF(P$7&gt;=YEAR(Startops1),-($AB$77+$AB55)*P$12/$AB$12,0)</f>
        <v>-197.090077795199</v>
      </c>
      <c r="Q56" s="217" t="n">
        <f aca="false">IF(Q$7&gt;=YEAR(Startops1),-($AB$77+$AB55)*Q$12/$AB$12,0)</f>
        <v>-197.090077795199</v>
      </c>
      <c r="R56" s="217" t="n">
        <f aca="false">IF(R$7&gt;=YEAR(Startops1),-($AB$77+$AB55)*R$12/$AB$12,0)</f>
        <v>-197.090077795199</v>
      </c>
      <c r="S56" s="217" t="n">
        <f aca="false">IF(S$7&gt;=YEAR(Startops1),-($AB$77+$AB55)*S$12/$AB$12,0)</f>
        <v>-197.090077795199</v>
      </c>
      <c r="T56" s="217" t="n">
        <f aca="false">IF(T$7&gt;=YEAR(Startops1),-($AB$77+$AB55)*T$12/$AB$12,0)</f>
        <v>-197.090077795199</v>
      </c>
      <c r="U56" s="217" t="n">
        <f aca="false">IF(U$7&gt;=YEAR(Startops1),-($AB$77+$AB55)*U$12/$AB$12,0)</f>
        <v>-197.090077795199</v>
      </c>
      <c r="V56" s="217" t="n">
        <f aca="false">IF(V$7&gt;=YEAR(Startops1),-($AB$77+$AB55)*V$12/$AB$12,0)</f>
        <v>-197.090077795199</v>
      </c>
      <c r="W56" s="217" t="n">
        <f aca="false">IF(W$7&gt;=YEAR(Startops1),-($AB$77+$AB55)*W$12/$AB$12,0)</f>
        <v>-197.090077795199</v>
      </c>
      <c r="X56" s="217" t="n">
        <f aca="false">IF(X$7&gt;=YEAR(Startops1),-($AB$77+$AB55)*X$12/$AB$12,0)</f>
        <v>-197.090077795199</v>
      </c>
      <c r="Y56" s="217" t="n">
        <f aca="false">IF(Y$7&gt;=YEAR(Startops1),-($AB$77+$AB55)*Y$12/$AB$12,0)</f>
        <v>-197.090077795199</v>
      </c>
      <c r="Z56" s="217" t="n">
        <f aca="false">IF(Z$7&gt;=YEAR(Startops1),-($AB$77+$AB55)*Z$12/$AB$12,0)</f>
        <v>-197.090077795199</v>
      </c>
      <c r="AA56" s="217" t="n">
        <f aca="false">IF(AA$7&gt;=YEAR(Startops1),-($AB$77+$AB55)*AA$12/$AB$12,0)</f>
        <v>-65.6966925983996</v>
      </c>
      <c r="AB56" s="574" t="n">
        <f aca="false">SUM(E56:AA56)</f>
        <v>-3958.22572905358</v>
      </c>
    </row>
    <row r="57" customFormat="false" ht="12.75" hidden="false" customHeight="false" outlineLevel="0" collapsed="false">
      <c r="A57" s="37"/>
      <c r="B57" s="38" t="s">
        <v>982</v>
      </c>
      <c r="C57" s="38"/>
      <c r="D57" s="38"/>
      <c r="E57" s="220" t="n">
        <f aca="false">-SUM(E55:E56)*USTax</f>
        <v>-0</v>
      </c>
      <c r="F57" s="220" t="n">
        <f aca="false">-SUM(F55:F56)*USTax</f>
        <v>-0</v>
      </c>
      <c r="G57" s="220" t="n">
        <f aca="false">-SUM(G55:G56)*USTax</f>
        <v>2834.31205501476</v>
      </c>
      <c r="H57" s="220" t="n">
        <f aca="false">-SUM(H55:H56)*USTax</f>
        <v>1526.18908518431</v>
      </c>
      <c r="I57" s="220" t="n">
        <f aca="false">-SUM(I55:I56)*USTax</f>
        <v>1333.30762053001</v>
      </c>
      <c r="J57" s="220" t="n">
        <f aca="false">-SUM(J55:J56)*USTax</f>
        <v>1318.95380168885</v>
      </c>
      <c r="K57" s="220" t="n">
        <f aca="false">-SUM(K55:K56)*USTax</f>
        <v>1247.55905278775</v>
      </c>
      <c r="L57" s="220" t="n">
        <f aca="false">-SUM(L55:L56)*USTax</f>
        <v>1354.23053827489</v>
      </c>
      <c r="M57" s="220" t="n">
        <f aca="false">-SUM(M55:M56)*USTax</f>
        <v>1200.17553027378</v>
      </c>
      <c r="N57" s="220" t="n">
        <f aca="false">-SUM(N55:N56)*USTax</f>
        <v>1033.1421088493</v>
      </c>
      <c r="O57" s="220" t="n">
        <f aca="false">-SUM(O55:O56)*USTax</f>
        <v>901.711581681933</v>
      </c>
      <c r="P57" s="220" t="n">
        <f aca="false">-SUM(P55:P56)*USTax</f>
        <v>789.715464917417</v>
      </c>
      <c r="Q57" s="220" t="n">
        <f aca="false">-SUM(Q55:Q56)*USTax</f>
        <v>653.122433796338</v>
      </c>
      <c r="R57" s="220" t="n">
        <f aca="false">-SUM(R55:R56)*USTax</f>
        <v>505.001556882879</v>
      </c>
      <c r="S57" s="220" t="n">
        <f aca="false">-SUM(S55:S56)*USTax</f>
        <v>414.53840492958</v>
      </c>
      <c r="T57" s="220" t="n">
        <f aca="false">-SUM(T55:T56)*USTax</f>
        <v>345.405747600649</v>
      </c>
      <c r="U57" s="220" t="n">
        <f aca="false">-SUM(U55:U56)*USTax</f>
        <v>72.3868539577896</v>
      </c>
      <c r="V57" s="220" t="n">
        <f aca="false">-SUM(V55:V56)*USTax</f>
        <v>-30.8084125376233</v>
      </c>
      <c r="W57" s="220" t="n">
        <f aca="false">-SUM(W55:W56)*USTax</f>
        <v>4.89764079556067</v>
      </c>
      <c r="X57" s="220" t="n">
        <f aca="false">-SUM(X55:X56)*USTax</f>
        <v>-61.5968321916013</v>
      </c>
      <c r="Y57" s="220" t="n">
        <f aca="false">-SUM(Y55:Y56)*USTax</f>
        <v>-108.466748455511</v>
      </c>
      <c r="Z57" s="220" t="n">
        <f aca="false">-SUM(Z55:Z56)*USTax</f>
        <v>-172.516506808293</v>
      </c>
      <c r="AA57" s="220" t="n">
        <f aca="false">-SUM(AA55:AA56)*USTax</f>
        <v>-299.642298266141</v>
      </c>
      <c r="AB57" s="576" t="n">
        <f aca="false">SUM(E57:AA57)</f>
        <v>14861.6186789066</v>
      </c>
    </row>
    <row r="58" customFormat="false" ht="12.75" hidden="false" customHeight="false" outlineLevel="0" collapsed="false">
      <c r="A58" s="37"/>
      <c r="B58" s="62" t="s">
        <v>983</v>
      </c>
      <c r="C58" s="38"/>
      <c r="D58" s="38"/>
      <c r="E58" s="577" t="n">
        <f aca="false">SUM(E54:E57)</f>
        <v>0</v>
      </c>
      <c r="F58" s="577" t="n">
        <f aca="false">SUM(F54:F57)</f>
        <v>648.30756775828</v>
      </c>
      <c r="G58" s="577" t="n">
        <f aca="false">SUM(G54:G57)</f>
        <v>-9223.59193020348</v>
      </c>
      <c r="H58" s="577" t="n">
        <f aca="false">SUM(H54:H57)</f>
        <v>2449.49638601931</v>
      </c>
      <c r="I58" s="577" t="n">
        <f aca="false">SUM(I54:I57)</f>
        <v>-125.913819977978</v>
      </c>
      <c r="J58" s="577" t="n">
        <f aca="false">SUM(J54:J57)</f>
        <v>1179.97501101433</v>
      </c>
      <c r="K58" s="577" t="n">
        <f aca="false">SUM(K54:K57)</f>
        <v>1636.17609311287</v>
      </c>
      <c r="L58" s="577" t="n">
        <f aca="false">SUM(L54:L57)</f>
        <v>-5163.49020025207</v>
      </c>
      <c r="M58" s="577" t="n">
        <f aca="false">SUM(M54:M57)</f>
        <v>4299.51121409881</v>
      </c>
      <c r="N58" s="577" t="n">
        <f aca="false">SUM(N54:N57)</f>
        <v>4578.89928632022</v>
      </c>
      <c r="O58" s="577" t="n">
        <f aca="false">SUM(O54:O57)</f>
        <v>4683.83038434047</v>
      </c>
      <c r="P58" s="577" t="n">
        <f aca="false">SUM(P54:P57)</f>
        <v>4729.91339308578</v>
      </c>
      <c r="Q58" s="577" t="n">
        <f aca="false">SUM(Q54:Q57)</f>
        <v>4783.54349392947</v>
      </c>
      <c r="R58" s="577" t="n">
        <f aca="false">SUM(R54:R57)</f>
        <v>5059.71944375659</v>
      </c>
      <c r="S58" s="577" t="n">
        <f aca="false">SUM(S54:S57)</f>
        <v>5091.86900291193</v>
      </c>
      <c r="T58" s="577" t="n">
        <f aca="false">SUM(T54:T57)</f>
        <v>4666.04185527245</v>
      </c>
      <c r="U58" s="577" t="n">
        <f aca="false">SUM(U54:U57)</f>
        <v>5174.98796142146</v>
      </c>
      <c r="V58" s="577" t="n">
        <f aca="false">SUM(V54:V57)</f>
        <v>3151.78388161631</v>
      </c>
      <c r="W58" s="577" t="n">
        <f aca="false">SUM(W54:W57)</f>
        <v>1727.66892513608</v>
      </c>
      <c r="X58" s="577" t="n">
        <f aca="false">SUM(X54:X57)</f>
        <v>1229.23719764874</v>
      </c>
      <c r="Y58" s="577" t="n">
        <f aca="false">SUM(Y54:Y57)</f>
        <v>102.874338421736</v>
      </c>
      <c r="Z58" s="577" t="n">
        <f aca="false">SUM(Z54:Z57)</f>
        <v>1497.56326629855</v>
      </c>
      <c r="AA58" s="577" t="n">
        <f aca="false">SUM(AA54:AA57)</f>
        <v>990.085770453576</v>
      </c>
      <c r="AB58" s="579" t="n">
        <f aca="false">SUM(E58:AA58)</f>
        <v>43168.4885221834</v>
      </c>
    </row>
    <row r="59" customFormat="false" ht="12.75" hidden="false" customHeight="false" outlineLevel="0" collapsed="false">
      <c r="A59" s="37"/>
      <c r="B59" s="38"/>
      <c r="C59" s="38"/>
      <c r="D59" s="38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56"/>
      <c r="Q59" s="556"/>
      <c r="R59" s="556"/>
      <c r="S59" s="556"/>
      <c r="T59" s="556"/>
      <c r="U59" s="556"/>
      <c r="V59" s="556"/>
      <c r="W59" s="556"/>
      <c r="X59" s="556"/>
      <c r="Y59" s="556"/>
      <c r="Z59" s="556"/>
      <c r="AA59" s="556"/>
      <c r="AB59" s="557"/>
    </row>
    <row r="60" customFormat="false" ht="12.75" hidden="false" customHeight="false" outlineLevel="0" collapsed="false">
      <c r="A60" s="37"/>
      <c r="B60" s="131" t="s">
        <v>984</v>
      </c>
      <c r="C60" s="38"/>
      <c r="D60" s="38"/>
      <c r="E60" s="754" t="n">
        <f aca="false">SUM($E54:E54)</f>
        <v>0</v>
      </c>
      <c r="F60" s="754" t="n">
        <f aca="false">SUM($E54:F54)</f>
        <v>648.30756775828</v>
      </c>
      <c r="G60" s="754" t="n">
        <f aca="false">SUM($E54:G54)</f>
        <v>-3749.29356606871</v>
      </c>
      <c r="H60" s="754" t="n">
        <f aca="false">SUM($E54:H54)</f>
        <v>1298.84910012929</v>
      </c>
      <c r="I60" s="754" t="n">
        <f aca="false">SUM($E54:I54)</f>
        <v>3443.16176916187</v>
      </c>
      <c r="J60" s="754" t="n">
        <f aca="false">SUM($E54:J54)</f>
        <v>6868.92298305181</v>
      </c>
      <c r="K60" s="754" t="n">
        <f aca="false">SUM($E54:K54)</f>
        <v>10629.3212471276</v>
      </c>
      <c r="L60" s="754" t="n">
        <f aca="false">SUM($E54:L54)</f>
        <v>7771.68304447872</v>
      </c>
      <c r="M60" s="754" t="n">
        <f aca="false">SUM($E54:M54)</f>
        <v>14114.7363776923</v>
      </c>
      <c r="N60" s="754" t="n">
        <f aca="false">SUM($E54:N54)</f>
        <v>20452.7695250262</v>
      </c>
      <c r="O60" s="754" t="n">
        <f aca="false">SUM($E54:O54)</f>
        <v>26671.9466565548</v>
      </c>
      <c r="P60" s="754" t="n">
        <f aca="false">SUM($E54:P54)</f>
        <v>32746.5107061216</v>
      </c>
      <c r="Q60" s="754" t="n">
        <f aca="false">SUM($E54:Q54)</f>
        <v>38642.1275332719</v>
      </c>
      <c r="R60" s="754" t="n">
        <f aca="false">SUM($E54:R54)</f>
        <v>44561.714492802</v>
      </c>
      <c r="S60" s="754" t="n">
        <f aca="false">SUM($E54:S54)</f>
        <v>50359.4191581616</v>
      </c>
      <c r="T60" s="754" t="n">
        <f aca="false">SUM($E54:T54)</f>
        <v>55613.5843134028</v>
      </c>
      <c r="U60" s="754" t="n">
        <f aca="false">SUM($E54:U54)</f>
        <v>60911.8255666983</v>
      </c>
      <c r="V60" s="754" t="n">
        <f aca="false">SUM($E54:V54)</f>
        <v>64011.1518810208</v>
      </c>
      <c r="W60" s="754" t="n">
        <f aca="false">SUM($E54:W54)</f>
        <v>65747.1600323764</v>
      </c>
      <c r="X60" s="754" t="n">
        <f aca="false">SUM($E54:X54)</f>
        <v>66871.5161373745</v>
      </c>
      <c r="Y60" s="754" t="n">
        <f aca="false">SUM($E54:Y54)</f>
        <v>66789.7038500477</v>
      </c>
      <c r="Z60" s="754" t="n">
        <f aca="false">SUM($E54:Z54)</f>
        <v>67993.5227939429</v>
      </c>
      <c r="AA60" s="754" t="n">
        <f aca="false">SUM($E54:AA54)</f>
        <v>68473.4068132947</v>
      </c>
      <c r="AB60" s="555"/>
    </row>
    <row r="61" customFormat="false" ht="12.75" hidden="false" customHeight="false" outlineLevel="0" collapsed="false">
      <c r="A61" s="37"/>
      <c r="B61" s="131" t="s">
        <v>985</v>
      </c>
      <c r="C61" s="38"/>
      <c r="D61" s="38"/>
      <c r="E61" s="754" t="n">
        <f aca="false">SUM($E58:E58)</f>
        <v>0</v>
      </c>
      <c r="F61" s="754" t="n">
        <f aca="false">SUM($E58:F58)</f>
        <v>648.30756775828</v>
      </c>
      <c r="G61" s="754" t="n">
        <f aca="false">SUM($E58:G58)</f>
        <v>-8575.2843624452</v>
      </c>
      <c r="H61" s="754" t="n">
        <f aca="false">SUM($E58:H58)</f>
        <v>-6125.78797642589</v>
      </c>
      <c r="I61" s="754" t="n">
        <f aca="false">SUM($E58:I58)</f>
        <v>-6251.70179640387</v>
      </c>
      <c r="J61" s="754" t="n">
        <f aca="false">SUM($E58:J58)</f>
        <v>-5071.72678538954</v>
      </c>
      <c r="K61" s="754" t="n">
        <f aca="false">SUM($E58:K58)</f>
        <v>-3435.55069227667</v>
      </c>
      <c r="L61" s="754" t="n">
        <f aca="false">SUM($E58:L58)</f>
        <v>-8599.04089252875</v>
      </c>
      <c r="M61" s="754" t="n">
        <f aca="false">SUM($E58:M58)</f>
        <v>-4299.52967842994</v>
      </c>
      <c r="N61" s="754" t="n">
        <f aca="false">SUM($E58:N58)</f>
        <v>279.369607890282</v>
      </c>
      <c r="O61" s="754" t="n">
        <f aca="false">SUM($E58:O58)</f>
        <v>4963.19999223075</v>
      </c>
      <c r="P61" s="754" t="n">
        <f aca="false">SUM($E58:P58)</f>
        <v>9693.11338531653</v>
      </c>
      <c r="Q61" s="754" t="n">
        <f aca="false">SUM($E58:Q58)</f>
        <v>14476.656879246</v>
      </c>
      <c r="R61" s="754" t="n">
        <f aca="false">SUM($E58:R58)</f>
        <v>19536.3763230026</v>
      </c>
      <c r="S61" s="754" t="n">
        <f aca="false">SUM($E58:S58)</f>
        <v>24628.2453259145</v>
      </c>
      <c r="T61" s="754" t="n">
        <f aca="false">SUM($E58:T58)</f>
        <v>29294.287181187</v>
      </c>
      <c r="U61" s="754" t="n">
        <f aca="false">SUM($E58:U58)</f>
        <v>34469.2751426084</v>
      </c>
      <c r="V61" s="754" t="n">
        <f aca="false">SUM($E58:V58)</f>
        <v>37621.0590242247</v>
      </c>
      <c r="W61" s="754" t="n">
        <f aca="false">SUM($E58:W58)</f>
        <v>39348.7279493608</v>
      </c>
      <c r="X61" s="754" t="n">
        <f aca="false">SUM($E58:X58)</f>
        <v>40577.9651470096</v>
      </c>
      <c r="Y61" s="754" t="n">
        <f aca="false">SUM($E58:Y58)</f>
        <v>40680.8394854313</v>
      </c>
      <c r="Z61" s="754" t="n">
        <f aca="false">SUM($E58:Z58)</f>
        <v>42178.4027517299</v>
      </c>
      <c r="AA61" s="754" t="n">
        <f aca="false">SUM($E58:AA58)</f>
        <v>43168.4885221834</v>
      </c>
      <c r="AB61" s="555"/>
    </row>
    <row r="62" customFormat="false" ht="12.75" hidden="false" customHeight="false" outlineLevel="0" collapsed="false">
      <c r="A62" s="37"/>
      <c r="B62" s="38"/>
      <c r="C62" s="38"/>
      <c r="D62" s="38"/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6"/>
      <c r="Q62" s="556"/>
      <c r="R62" s="556"/>
      <c r="S62" s="556"/>
      <c r="T62" s="556"/>
      <c r="U62" s="556"/>
      <c r="V62" s="556"/>
      <c r="W62" s="556"/>
      <c r="X62" s="556"/>
      <c r="Y62" s="556"/>
      <c r="Z62" s="556"/>
      <c r="AA62" s="556"/>
      <c r="AB62" s="557"/>
    </row>
    <row r="63" customFormat="false" ht="12.75" hidden="false" customHeight="false" outlineLevel="0" collapsed="false">
      <c r="A63" s="755"/>
      <c r="B63" s="756"/>
      <c r="C63" s="757" t="s">
        <v>986</v>
      </c>
      <c r="D63" s="758" t="s">
        <v>987</v>
      </c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555"/>
    </row>
    <row r="64" customFormat="false" ht="12.75" hidden="false" customHeight="false" outlineLevel="0" collapsed="false">
      <c r="A64" s="759" t="s">
        <v>988</v>
      </c>
      <c r="B64" s="595"/>
      <c r="C64" s="760" t="n">
        <f aca="false">AVERAGE(H54:L54)</f>
        <v>2304.19532210949</v>
      </c>
      <c r="D64" s="761" t="n">
        <f aca="false">AVERAGE(H58:L58)</f>
        <v>-4.75130601670894</v>
      </c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555"/>
    </row>
    <row r="65" customFormat="false" ht="12.75" hidden="false" customHeight="false" outlineLevel="0" collapsed="false">
      <c r="A65" s="759" t="s">
        <v>989</v>
      </c>
      <c r="B65" s="595"/>
      <c r="C65" s="760" t="n">
        <f aca="false">AB54/AB12*12</f>
        <v>3409.46423966613</v>
      </c>
      <c r="D65" s="761" t="n">
        <f aca="false">AB58/AB12*12</f>
        <v>2149.46830815851</v>
      </c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555"/>
    </row>
    <row r="66" customFormat="false" ht="12.75" hidden="false" customHeight="false" outlineLevel="0" collapsed="false">
      <c r="A66" s="762" t="s">
        <v>990</v>
      </c>
      <c r="B66" s="763"/>
      <c r="C66" s="764"/>
      <c r="D66" s="765" t="n">
        <f aca="false">MAX(E66:AA66)</f>
        <v>0</v>
      </c>
      <c r="E66" s="464" t="n">
        <f aca="false">IF(AND(E61&gt;Assm!$J$85,D61&lt;Assm!$J$85),E$6,0)</f>
        <v>0</v>
      </c>
      <c r="F66" s="464" t="n">
        <f aca="false">IF(AND(F61&gt;Assm!$J$85,E61&lt;Assm!$J$85),F$6,0)</f>
        <v>0</v>
      </c>
      <c r="G66" s="464" t="n">
        <f aca="false">IF(AND(G61&gt;Assm!$J$85,F61&lt;Assm!$J$85),G$6,0)</f>
        <v>0</v>
      </c>
      <c r="H66" s="464" t="n">
        <f aca="false">IF(AND(H61&gt;Assm!$J$85,G61&lt;Assm!$J$85),H$6,0)</f>
        <v>0</v>
      </c>
      <c r="I66" s="464" t="n">
        <f aca="false">IF(AND(I61&gt;Assm!$J$85,H61&lt;Assm!$J$85),I$6,0)</f>
        <v>0</v>
      </c>
      <c r="J66" s="464" t="n">
        <f aca="false">IF(AND(J61&gt;Assm!$J$85,I61&lt;Assm!$J$85),J$6,0)</f>
        <v>0</v>
      </c>
      <c r="K66" s="464" t="n">
        <f aca="false">IF(AND(K61&gt;Assm!$J$85,J61&lt;Assm!$J$85),K$6,0)</f>
        <v>0</v>
      </c>
      <c r="L66" s="464" t="n">
        <f aca="false">IF(AND(L61&gt;Assm!$J$85,K61&lt;Assm!$J$85),L$6,0)</f>
        <v>0</v>
      </c>
      <c r="M66" s="464" t="n">
        <f aca="false">IF(AND(M61&gt;Assm!$J$85,L61&lt;Assm!$J$85),M$6,0)</f>
        <v>0</v>
      </c>
      <c r="N66" s="464" t="n">
        <f aca="false">IF(AND(N61&gt;Assm!$J$85,M61&lt;Assm!$J$85),N$6,0)</f>
        <v>0</v>
      </c>
      <c r="O66" s="464" t="n">
        <f aca="false">IF(AND(O61&gt;Assm!$J$85,N61&lt;Assm!$J$85),O$6,0)</f>
        <v>0</v>
      </c>
      <c r="P66" s="464" t="n">
        <f aca="false">IF(AND(P61&gt;Assm!$J$85,O61&lt;Assm!$J$85),P$6,0)</f>
        <v>0</v>
      </c>
      <c r="Q66" s="464" t="n">
        <f aca="false">IF(AND(Q61&gt;Assm!$J$85,P61&lt;Assm!$J$85),Q$6,0)</f>
        <v>0</v>
      </c>
      <c r="R66" s="464" t="n">
        <f aca="false">IF(AND(R61&gt;Assm!$J$85,Q61&lt;Assm!$J$85),R$6,0)</f>
        <v>0</v>
      </c>
      <c r="S66" s="464" t="n">
        <f aca="false">IF(AND(S61&gt;Assm!$J$85,R61&lt;Assm!$J$85),S$6,0)</f>
        <v>0</v>
      </c>
      <c r="T66" s="464" t="n">
        <f aca="false">IF(AND(T61&gt;Assm!$J$85,S61&lt;Assm!$J$85),T$6,0)</f>
        <v>0</v>
      </c>
      <c r="U66" s="464" t="n">
        <f aca="false">IF(AND(U61&gt;Assm!$J$85,T61&lt;Assm!$J$85),U$6,0)</f>
        <v>0</v>
      </c>
      <c r="V66" s="464" t="n">
        <f aca="false">IF(AND(V61&gt;Assm!$J$85,U61&lt;Assm!$J$85),V$6,0)</f>
        <v>0</v>
      </c>
      <c r="W66" s="464" t="n">
        <f aca="false">IF(AND(W61&gt;Assm!$J$85,V61&lt;Assm!$J$85),W$6,0)</f>
        <v>0</v>
      </c>
      <c r="X66" s="464" t="n">
        <f aca="false">IF(AND(X61&gt;Assm!$J$85,W61&lt;Assm!$J$85),X$6,0)</f>
        <v>0</v>
      </c>
      <c r="Y66" s="464" t="n">
        <f aca="false">IF(AND(Y61&gt;Assm!$J$85,X61&lt;Assm!$J$85),Y$6,0)</f>
        <v>0</v>
      </c>
      <c r="Z66" s="464" t="n">
        <f aca="false">IF(AND(Z61&gt;Assm!$J$85,Y61&lt;Assm!$J$85),Z$6,0)</f>
        <v>0</v>
      </c>
      <c r="AA66" s="464" t="n">
        <f aca="false">IF(AND(AA61&gt;Assm!$J$85,Z61&lt;Assm!$J$85),AA$6,0)</f>
        <v>0</v>
      </c>
      <c r="AB66" s="665"/>
    </row>
    <row r="67" customFormat="false" ht="12.75" hidden="false" customHeight="false" outlineLevel="0" collapsed="false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555"/>
    </row>
    <row r="68" customFormat="false" ht="12.75" hidden="false" customHeight="false" outlineLevel="0" collapsed="false">
      <c r="A68" s="130" t="s">
        <v>991</v>
      </c>
      <c r="B68" s="38"/>
      <c r="C68" s="38"/>
      <c r="D68" s="38"/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6"/>
      <c r="Q68" s="556"/>
      <c r="R68" s="556"/>
      <c r="S68" s="556"/>
      <c r="T68" s="556"/>
      <c r="U68" s="556"/>
      <c r="V68" s="556"/>
      <c r="W68" s="556"/>
      <c r="X68" s="556"/>
      <c r="Y68" s="556"/>
      <c r="Z68" s="556"/>
      <c r="AA68" s="556"/>
      <c r="AB68" s="557"/>
    </row>
    <row r="69" customFormat="false" ht="12.75" hidden="false" customHeight="false" outlineLevel="0" collapsed="false">
      <c r="A69" s="37" t="s">
        <v>992</v>
      </c>
      <c r="B69" s="38"/>
      <c r="C69" s="38"/>
      <c r="D69" s="38"/>
      <c r="E69" s="217" t="n">
        <f aca="false">-SUM('Enron Returns'!$E13:E13)</f>
        <v>-0</v>
      </c>
      <c r="F69" s="217" t="n">
        <f aca="false">-SUM('Enron Returns'!$E13:F13)</f>
        <v>60895.7804469782</v>
      </c>
      <c r="G69" s="217" t="n">
        <f aca="false">-SUM('Enron Returns'!$E13:G13)</f>
        <v>60895.7804469782</v>
      </c>
      <c r="H69" s="217" t="n">
        <f aca="false">-SUM('Enron Returns'!$E13:H13)</f>
        <v>60895.7804469782</v>
      </c>
      <c r="I69" s="217" t="n">
        <f aca="false">-SUM('Enron Returns'!$E13:I13)</f>
        <v>60895.7804469782</v>
      </c>
      <c r="J69" s="217" t="n">
        <f aca="false">-SUM('Enron Returns'!$E13:J13)</f>
        <v>60895.7804469782</v>
      </c>
      <c r="K69" s="217" t="n">
        <f aca="false">-SUM('Enron Returns'!$E13:K13)</f>
        <v>60895.7804469782</v>
      </c>
      <c r="L69" s="217" t="n">
        <f aca="false">-SUM('Enron Returns'!$E13:L13)</f>
        <v>60895.7804469782</v>
      </c>
      <c r="M69" s="217" t="n">
        <f aca="false">-SUM('Enron Returns'!$E13:M13)</f>
        <v>60895.7804469782</v>
      </c>
      <c r="N69" s="217" t="n">
        <f aca="false">-SUM('Enron Returns'!$E13:N13)</f>
        <v>60895.7804469782</v>
      </c>
      <c r="O69" s="217" t="n">
        <f aca="false">-SUM('Enron Returns'!$E13:O13)</f>
        <v>60895.7804469782</v>
      </c>
      <c r="P69" s="217" t="n">
        <f aca="false">-SUM('Enron Returns'!$E13:P13)</f>
        <v>60895.7804469782</v>
      </c>
      <c r="Q69" s="217" t="n">
        <f aca="false">-SUM('Enron Returns'!$E13:Q13)</f>
        <v>60895.7804469782</v>
      </c>
      <c r="R69" s="217" t="n">
        <f aca="false">-SUM('Enron Returns'!$E13:R13)</f>
        <v>60895.7804469782</v>
      </c>
      <c r="S69" s="217" t="n">
        <f aca="false">-SUM('Enron Returns'!$E13:S13)</f>
        <v>60895.7804469782</v>
      </c>
      <c r="T69" s="217" t="n">
        <f aca="false">-SUM('Enron Returns'!$E13:T13)</f>
        <v>60895.7804469782</v>
      </c>
      <c r="U69" s="217" t="n">
        <f aca="false">-SUM('Enron Returns'!$E13:U13)</f>
        <v>60895.7804469782</v>
      </c>
      <c r="V69" s="217" t="n">
        <f aca="false">-SUM('Enron Returns'!$E13:V13)</f>
        <v>60895.7804469782</v>
      </c>
      <c r="W69" s="217" t="n">
        <f aca="false">-SUM('Enron Returns'!$E13:W13)</f>
        <v>60895.7804469782</v>
      </c>
      <c r="X69" s="217" t="n">
        <f aca="false">-SUM('Enron Returns'!$E13:X13)</f>
        <v>60895.7804469782</v>
      </c>
      <c r="Y69" s="217" t="n">
        <f aca="false">-SUM('Enron Returns'!$E13:Y13)</f>
        <v>60895.7804469782</v>
      </c>
      <c r="Z69" s="217" t="n">
        <f aca="false">-SUM('Enron Returns'!$E13:Z13)</f>
        <v>60895.7804469782</v>
      </c>
      <c r="AA69" s="217" t="n">
        <f aca="false">-SUM('Enron Returns'!$E13:AA13)</f>
        <v>60895.7804469782</v>
      </c>
      <c r="AB69" s="574" t="n">
        <f aca="false">SUM(E69:AA69)</f>
        <v>1339707.16983352</v>
      </c>
    </row>
    <row r="70" customFormat="false" ht="12.75" hidden="false" customHeight="false" outlineLevel="0" collapsed="false">
      <c r="A70" s="37" t="s">
        <v>993</v>
      </c>
      <c r="B70" s="38"/>
      <c r="C70" s="38"/>
      <c r="D70" s="38"/>
      <c r="E70" s="217" t="n">
        <f aca="false">-SUM('Enron Returns'!$E17:E22)</f>
        <v>-0</v>
      </c>
      <c r="F70" s="217" t="n">
        <f aca="false">-SUM('Enron Returns'!$E17:F22)</f>
        <v>-0</v>
      </c>
      <c r="G70" s="217" t="n">
        <f aca="false">-SUM('Enron Returns'!$E17:G22)</f>
        <v>1298.3959244023</v>
      </c>
      <c r="H70" s="217" t="n">
        <f aca="false">-SUM('Enron Returns'!$E17:H22)</f>
        <v>-468.929869012058</v>
      </c>
      <c r="I70" s="217" t="n">
        <f aca="false">-SUM('Enron Returns'!$E17:I22)</f>
        <v>-8488.94918935694</v>
      </c>
      <c r="J70" s="217" t="n">
        <f aca="false">-SUM('Enron Returns'!$E17:J22)</f>
        <v>-9085.78157360479</v>
      </c>
      <c r="K70" s="217" t="n">
        <f aca="false">-SUM('Enron Returns'!$E17:K22)</f>
        <v>-12054.3782015093</v>
      </c>
      <c r="L70" s="217" t="n">
        <f aca="false">-SUM('Enron Returns'!$E17:L22)</f>
        <v>-7618.97339954941</v>
      </c>
      <c r="M70" s="217" t="n">
        <f aca="false">-SUM('Enron Returns'!$E17:M22)</f>
        <v>-14024.5870378491</v>
      </c>
      <c r="N70" s="217" t="n">
        <f aca="false">-SUM('Enron Returns'!$E17:N22)</f>
        <v>-20969.8436459355</v>
      </c>
      <c r="O70" s="217" t="n">
        <f aca="false">-SUM('Enron Returns'!$E17:O22)</f>
        <v>-26434.7304304414</v>
      </c>
      <c r="P70" s="217" t="n">
        <f aca="false">-SUM('Enron Returns'!$E17:P22)</f>
        <v>-31091.5336223132</v>
      </c>
      <c r="Q70" s="217" t="n">
        <f aca="false">-SUM('Enron Returns'!$E17:Q22)</f>
        <v>-36771.0775358715</v>
      </c>
      <c r="R70" s="217" t="n">
        <f aca="false">-SUM('Enron Returns'!$E17:R22)</f>
        <v>-42929.9497568054</v>
      </c>
      <c r="S70" s="217" t="n">
        <f aca="false">-SUM('Enron Returns'!$E17:S22)</f>
        <v>-46691.4113764852</v>
      </c>
      <c r="T70" s="217" t="n">
        <f aca="false">-SUM('Enron Returns'!$E17:T22)</f>
        <v>-49565.9501427609</v>
      </c>
      <c r="U70" s="217" t="n">
        <f aca="false">-SUM('Enron Returns'!$E17:U22)</f>
        <v>-60918.0870925679</v>
      </c>
      <c r="V70" s="217" t="n">
        <f aca="false">-SUM('Enron Returns'!$E17:V22)</f>
        <v>-65208.9505643107</v>
      </c>
      <c r="W70" s="217" t="n">
        <f aca="false">-SUM('Enron Returns'!$E17:W22)</f>
        <v>-63724.2913820577</v>
      </c>
      <c r="X70" s="217" t="n">
        <f aca="false">-SUM('Enron Returns'!$E17:X22)</f>
        <v>-66489.1343337068</v>
      </c>
      <c r="Y70" s="217" t="n">
        <f aca="false">-SUM('Enron Returns'!$E17:Y22)</f>
        <v>-68437.9874008133</v>
      </c>
      <c r="Z70" s="217" t="n">
        <f aca="false">-SUM('Enron Returns'!$E17:Z22)</f>
        <v>-71101.1790163136</v>
      </c>
      <c r="AA70" s="217" t="n">
        <f aca="false">-SUM('Enron Returns'!$E17:AA22)</f>
        <v>-74365.6380156912</v>
      </c>
      <c r="AB70" s="574" t="n">
        <f aca="false">SUM(E70:AA70)</f>
        <v>-775142.967662553</v>
      </c>
    </row>
    <row r="71" customFormat="false" ht="12.75" hidden="false" customHeight="false" outlineLevel="0" collapsed="false">
      <c r="A71" s="37" t="s">
        <v>994</v>
      </c>
      <c r="B71" s="38"/>
      <c r="C71" s="38"/>
      <c r="D71" s="38"/>
      <c r="E71" s="217" t="n">
        <f aca="false">-SUM('Enron Returns'!$E50:E51)</f>
        <v>-0</v>
      </c>
      <c r="F71" s="217" t="n">
        <f aca="false">-SUM('Enron Returns'!$E50:F51)*0</f>
        <v>0</v>
      </c>
      <c r="G71" s="217" t="n">
        <f aca="false">-SUM('Enron Returns'!$E50:G51)</f>
        <v>53382.5204446941</v>
      </c>
      <c r="H71" s="217" t="n">
        <f aca="false">-SUM('Enron Returns'!$E50:H51)</f>
        <v>-0</v>
      </c>
      <c r="I71" s="217" t="n">
        <f aca="false">-SUM('Enron Returns'!$E50:I51)</f>
        <v>-0</v>
      </c>
      <c r="J71" s="217" t="n">
        <f aca="false">-SUM('Enron Returns'!$E50:J51)</f>
        <v>-0</v>
      </c>
      <c r="K71" s="217" t="n">
        <f aca="false">-SUM('Enron Returns'!$E50:K51)</f>
        <v>-0</v>
      </c>
      <c r="L71" s="217" t="n">
        <f aca="false">-SUM('Enron Returns'!$E50:L51)</f>
        <v>-0</v>
      </c>
      <c r="M71" s="217" t="n">
        <f aca="false">-SUM('Enron Returns'!$E50:M51)</f>
        <v>-0</v>
      </c>
      <c r="N71" s="217" t="n">
        <f aca="false">-SUM('Enron Returns'!$E50:N51)</f>
        <v>-0</v>
      </c>
      <c r="O71" s="217" t="n">
        <f aca="false">-SUM('Enron Returns'!$E50:O51)</f>
        <v>-0</v>
      </c>
      <c r="P71" s="217" t="n">
        <f aca="false">-SUM('Enron Returns'!$E50:P51)</f>
        <v>-0</v>
      </c>
      <c r="Q71" s="217" t="n">
        <f aca="false">-SUM('Enron Returns'!$E50:Q51)</f>
        <v>-0</v>
      </c>
      <c r="R71" s="217" t="n">
        <f aca="false">-SUM('Enron Returns'!$E50:R51)</f>
        <v>-0</v>
      </c>
      <c r="S71" s="217" t="n">
        <f aca="false">-SUM('Enron Returns'!$E50:S51)</f>
        <v>-0</v>
      </c>
      <c r="T71" s="217" t="n">
        <f aca="false">-SUM('Enron Returns'!$E50:T51)</f>
        <v>-0</v>
      </c>
      <c r="U71" s="217" t="n">
        <f aca="false">-SUM('Enron Returns'!$E50:U51)</f>
        <v>-0</v>
      </c>
      <c r="V71" s="217" t="n">
        <f aca="false">-SUM('Enron Returns'!$E50:V51)</f>
        <v>-0</v>
      </c>
      <c r="W71" s="217" t="n">
        <f aca="false">-SUM('Enron Returns'!$E50:W51)</f>
        <v>-0</v>
      </c>
      <c r="X71" s="217" t="n">
        <f aca="false">-SUM('Enron Returns'!$E50:X51)</f>
        <v>-0</v>
      </c>
      <c r="Y71" s="217" t="n">
        <f aca="false">-SUM('Enron Returns'!$E50:Y51)</f>
        <v>-0</v>
      </c>
      <c r="Z71" s="217" t="n">
        <f aca="false">-SUM('Enron Returns'!$E50:Z51)</f>
        <v>-0</v>
      </c>
      <c r="AA71" s="217" t="n">
        <f aca="false">-SUM('Enron Returns'!$E50:AA51)</f>
        <v>-0</v>
      </c>
      <c r="AB71" s="574" t="n">
        <f aca="false">SUM(E71:AA71)</f>
        <v>53382.5204446941</v>
      </c>
    </row>
    <row r="72" customFormat="false" ht="12.75" hidden="false" customHeight="false" outlineLevel="0" collapsed="false">
      <c r="A72" s="37" t="s">
        <v>995</v>
      </c>
      <c r="B72" s="38"/>
      <c r="C72" s="38"/>
      <c r="D72" s="38"/>
      <c r="E72" s="217" t="n">
        <f aca="false">-SUM('Enron Returns'!$E52:E55)</f>
        <v>-0</v>
      </c>
      <c r="F72" s="217" t="n">
        <f aca="false">-SUM('Enron Returns'!$E52:F55)*0</f>
        <v>0</v>
      </c>
      <c r="G72" s="217" t="n">
        <f aca="false">-SUM('Enron Returns'!$E52:G55)*0</f>
        <v>-0</v>
      </c>
      <c r="H72" s="217" t="n">
        <f aca="false">-SUM('Enron Returns'!$E52:H55)*0</f>
        <v>-0</v>
      </c>
      <c r="I72" s="217" t="n">
        <f aca="false">-SUM('Enron Returns'!$E52:I55)*0</f>
        <v>-0</v>
      </c>
      <c r="J72" s="217" t="n">
        <f aca="false">-SUM('Enron Returns'!$E52:J55)*0</f>
        <v>-0</v>
      </c>
      <c r="K72" s="217" t="n">
        <f aca="false">-SUM('Enron Returns'!$E52:K55)*0</f>
        <v>-0</v>
      </c>
      <c r="L72" s="217" t="n">
        <f aca="false">-SUM('Enron Returns'!$E52:L55)*0</f>
        <v>-0</v>
      </c>
      <c r="M72" s="217" t="n">
        <f aca="false">-SUM('Enron Returns'!$E52:M55)*0</f>
        <v>-0</v>
      </c>
      <c r="N72" s="217" t="n">
        <f aca="false">-SUM('Enron Returns'!$E52:N55)*0</f>
        <v>-0</v>
      </c>
      <c r="O72" s="217" t="n">
        <f aca="false">-SUM('Enron Returns'!$E52:O55)*0</f>
        <v>-0</v>
      </c>
      <c r="P72" s="217" t="n">
        <f aca="false">-SUM('Enron Returns'!$E52:P55)*0</f>
        <v>-0</v>
      </c>
      <c r="Q72" s="217" t="n">
        <f aca="false">-SUM('Enron Returns'!$E52:Q55)*0</f>
        <v>-0</v>
      </c>
      <c r="R72" s="217" t="n">
        <f aca="false">-SUM('Enron Returns'!$E52:R55)*0</f>
        <v>-0</v>
      </c>
      <c r="S72" s="217" t="n">
        <f aca="false">-SUM('Enron Returns'!$E52:S55)*0</f>
        <v>-0</v>
      </c>
      <c r="T72" s="217" t="n">
        <f aca="false">-SUM('Enron Returns'!$E52:T55)*0</f>
        <v>-0</v>
      </c>
      <c r="U72" s="217" t="n">
        <f aca="false">-SUM('Enron Returns'!$E52:U55)*0</f>
        <v>-0</v>
      </c>
      <c r="V72" s="217" t="n">
        <f aca="false">-SUM('Enron Returns'!$E52:V55)*0</f>
        <v>-0</v>
      </c>
      <c r="W72" s="217" t="n">
        <f aca="false">-SUM('Enron Returns'!$E52:W55)*0</f>
        <v>-0</v>
      </c>
      <c r="X72" s="217" t="n">
        <f aca="false">-SUM('Enron Returns'!$E52:X55)*0</f>
        <v>-0</v>
      </c>
      <c r="Y72" s="217" t="n">
        <f aca="false">-SUM('Enron Returns'!$E52:Y55)*0</f>
        <v>-0</v>
      </c>
      <c r="Z72" s="217" t="n">
        <f aca="false">-SUM('Enron Returns'!$E52:Z55)*0</f>
        <v>-0</v>
      </c>
      <c r="AA72" s="217" t="n">
        <f aca="false">-SUM('Enron Returns'!$E52:AA55)*0</f>
        <v>-0</v>
      </c>
      <c r="AB72" s="574" t="n">
        <f aca="false">SUM(E72:AA72)</f>
        <v>0</v>
      </c>
    </row>
    <row r="73" customFormat="false" ht="12.75" hidden="false" customHeight="false" outlineLevel="0" collapsed="false">
      <c r="A73" s="37" t="s">
        <v>996</v>
      </c>
      <c r="B73" s="38"/>
      <c r="C73" s="38"/>
      <c r="D73" s="38"/>
      <c r="E73" s="217" t="n">
        <f aca="false">-SUM('Enron Returns'!$E65:E67)</f>
        <v>-0</v>
      </c>
      <c r="F73" s="217" t="n">
        <f aca="false">-SUM('Enron Returns'!$E65:F67)*0</f>
        <v>-0</v>
      </c>
      <c r="G73" s="217" t="n">
        <f aca="false">-SUM('Enron Returns'!$E65:G67)*0</f>
        <v>-0</v>
      </c>
      <c r="H73" s="217" t="n">
        <f aca="false">-SUM('Enron Returns'!$E65:H67)*0</f>
        <v>0</v>
      </c>
      <c r="I73" s="217" t="n">
        <f aca="false">-SUM('Enron Returns'!$E65:I67)*0</f>
        <v>0</v>
      </c>
      <c r="J73" s="217" t="n">
        <f aca="false">-SUM('Enron Returns'!$E65:J67)*0</f>
        <v>0</v>
      </c>
      <c r="K73" s="217" t="n">
        <f aca="false">-SUM('Enron Returns'!$E65:K67)*0</f>
        <v>0</v>
      </c>
      <c r="L73" s="217" t="n">
        <f aca="false">-SUM('Enron Returns'!$E65:L67)*0</f>
        <v>0</v>
      </c>
      <c r="M73" s="217" t="n">
        <f aca="false">-SUM('Enron Returns'!$E65:M67)*0</f>
        <v>0</v>
      </c>
      <c r="N73" s="217" t="n">
        <f aca="false">-SUM('Enron Returns'!$E65:N67)*0</f>
        <v>0</v>
      </c>
      <c r="O73" s="217" t="n">
        <f aca="false">-SUM('Enron Returns'!$E65:O67)*0</f>
        <v>0</v>
      </c>
      <c r="P73" s="217" t="n">
        <f aca="false">-SUM('Enron Returns'!$E65:P67)*0</f>
        <v>0</v>
      </c>
      <c r="Q73" s="217" t="n">
        <f aca="false">-SUM('Enron Returns'!$E65:Q67)*0</f>
        <v>0</v>
      </c>
      <c r="R73" s="217" t="n">
        <f aca="false">-SUM('Enron Returns'!$E65:R67)*0</f>
        <v>0</v>
      </c>
      <c r="S73" s="217" t="n">
        <f aca="false">-SUM('Enron Returns'!$E65:S67)*0</f>
        <v>0</v>
      </c>
      <c r="T73" s="217" t="n">
        <f aca="false">-SUM('Enron Returns'!$E65:T67)*0</f>
        <v>-0</v>
      </c>
      <c r="U73" s="217" t="n">
        <f aca="false">-SUM('Enron Returns'!$E65:U67)*0</f>
        <v>-0</v>
      </c>
      <c r="V73" s="217" t="n">
        <f aca="false">-SUM('Enron Returns'!$E65:V67)*0</f>
        <v>-0</v>
      </c>
      <c r="W73" s="217" t="n">
        <f aca="false">-SUM('Enron Returns'!$E65:W67)*0</f>
        <v>-0</v>
      </c>
      <c r="X73" s="217" t="n">
        <f aca="false">-SUM('Enron Returns'!$E65:X67)*0</f>
        <v>-0</v>
      </c>
      <c r="Y73" s="217" t="n">
        <f aca="false">-SUM('Enron Returns'!$E65:Y67)*0</f>
        <v>-0</v>
      </c>
      <c r="Z73" s="217" t="n">
        <f aca="false">-SUM('Enron Returns'!$E65:Z67)*0</f>
        <v>-0</v>
      </c>
      <c r="AA73" s="217" t="n">
        <f aca="false">-SUM('Enron Returns'!$E65:AA67)*0</f>
        <v>-0</v>
      </c>
      <c r="AB73" s="574" t="n">
        <f aca="false">SUM(E73:AA73)</f>
        <v>0</v>
      </c>
    </row>
    <row r="74" customFormat="false" ht="12.75" hidden="false" customHeight="false" outlineLevel="0" collapsed="false">
      <c r="A74" s="37" t="s">
        <v>997</v>
      </c>
      <c r="B74" s="38"/>
      <c r="C74" s="38"/>
      <c r="D74" s="38"/>
      <c r="E74" s="220" t="n">
        <f aca="false">-SUM('Enron Returns'!$E68:E73)</f>
        <v>-0</v>
      </c>
      <c r="F74" s="220" t="n">
        <f aca="false">-SUM('Enron Returns'!$E68:F73)*0</f>
        <v>-0</v>
      </c>
      <c r="G74" s="220" t="n">
        <f aca="false">-SUM('Enron Returns'!$E68:G73)*0</f>
        <v>-0</v>
      </c>
      <c r="H74" s="220" t="n">
        <f aca="false">-SUM('Enron Returns'!$E68:H73)*0</f>
        <v>0</v>
      </c>
      <c r="I74" s="220" t="n">
        <f aca="false">-SUM('Enron Returns'!$E68:I73)*0</f>
        <v>-0</v>
      </c>
      <c r="J74" s="220" t="n">
        <f aca="false">-SUM('Enron Returns'!$E68:J73)*0</f>
        <v>-0</v>
      </c>
      <c r="K74" s="220" t="n">
        <f aca="false">-SUM('Enron Returns'!$E68:K73)*0</f>
        <v>-0</v>
      </c>
      <c r="L74" s="220" t="n">
        <f aca="false">-SUM('Enron Returns'!$E68:L73)*0</f>
        <v>-0</v>
      </c>
      <c r="M74" s="220" t="n">
        <f aca="false">-SUM('Enron Returns'!$E68:M73)*0</f>
        <v>-0</v>
      </c>
      <c r="N74" s="220" t="n">
        <f aca="false">-SUM('Enron Returns'!$E68:N73)*0</f>
        <v>-0</v>
      </c>
      <c r="O74" s="220" t="n">
        <f aca="false">-SUM('Enron Returns'!$E68:O73)*0</f>
        <v>-0</v>
      </c>
      <c r="P74" s="220" t="n">
        <f aca="false">-SUM('Enron Returns'!$E68:P73)*0</f>
        <v>-0</v>
      </c>
      <c r="Q74" s="220" t="n">
        <f aca="false">-SUM('Enron Returns'!$E68:Q73)*0</f>
        <v>-0</v>
      </c>
      <c r="R74" s="220" t="n">
        <f aca="false">-SUM('Enron Returns'!$E68:R73)*0</f>
        <v>-0</v>
      </c>
      <c r="S74" s="220" t="n">
        <f aca="false">-SUM('Enron Returns'!$E68:S73)*0</f>
        <v>-0</v>
      </c>
      <c r="T74" s="220" t="n">
        <f aca="false">-SUM('Enron Returns'!$E68:T73)*0</f>
        <v>-0</v>
      </c>
      <c r="U74" s="220" t="n">
        <f aca="false">-SUM('Enron Returns'!$E68:U73)*0</f>
        <v>-0</v>
      </c>
      <c r="V74" s="220" t="n">
        <f aca="false">-SUM('Enron Returns'!$E68:V73)*0</f>
        <v>-0</v>
      </c>
      <c r="W74" s="220" t="n">
        <f aca="false">-SUM('Enron Returns'!$E68:W73)*0</f>
        <v>-0</v>
      </c>
      <c r="X74" s="220" t="n">
        <f aca="false">-SUM('Enron Returns'!$E68:X73)*0</f>
        <v>-0</v>
      </c>
      <c r="Y74" s="220" t="n">
        <f aca="false">-SUM('Enron Returns'!$E68:Y73)*0</f>
        <v>-0</v>
      </c>
      <c r="Z74" s="220" t="n">
        <f aca="false">-SUM('Enron Returns'!$E68:Z73)*0</f>
        <v>-0</v>
      </c>
      <c r="AA74" s="220" t="n">
        <f aca="false">-SUM('Enron Returns'!$E68:AA73)*0</f>
        <v>-0</v>
      </c>
      <c r="AB74" s="576" t="n">
        <f aca="false">SUM(E74:AA74)</f>
        <v>0</v>
      </c>
    </row>
    <row r="75" customFormat="false" ht="12.75" hidden="false" customHeight="false" outlineLevel="0" collapsed="false">
      <c r="A75" s="37" t="s">
        <v>998</v>
      </c>
      <c r="B75" s="38"/>
      <c r="C75" s="38"/>
      <c r="D75" s="38"/>
      <c r="E75" s="217" t="n">
        <f aca="false">SUM(E69:E74)</f>
        <v>0</v>
      </c>
      <c r="F75" s="217" t="n">
        <f aca="false">SUM(F69:F74)</f>
        <v>60895.7804469782</v>
      </c>
      <c r="G75" s="217" t="n">
        <f aca="false">SUM(G69:G74)</f>
        <v>115576.696816075</v>
      </c>
      <c r="H75" s="217" t="n">
        <f aca="false">SUM(H69:H74)</f>
        <v>60426.8505779661</v>
      </c>
      <c r="I75" s="217" t="n">
        <f aca="false">SUM(I69:I74)</f>
        <v>52406.8312576212</v>
      </c>
      <c r="J75" s="217" t="n">
        <f aca="false">SUM(J69:J74)</f>
        <v>51809.9988733734</v>
      </c>
      <c r="K75" s="217" t="n">
        <f aca="false">SUM(K69:K74)</f>
        <v>48841.4022454689</v>
      </c>
      <c r="L75" s="217" t="n">
        <f aca="false">SUM(L69:L74)</f>
        <v>53276.8070474287</v>
      </c>
      <c r="M75" s="217" t="n">
        <f aca="false">SUM(M69:M74)</f>
        <v>46871.193409129</v>
      </c>
      <c r="N75" s="217" t="n">
        <f aca="false">SUM(N69:N74)</f>
        <v>39925.9368010427</v>
      </c>
      <c r="O75" s="217" t="n">
        <f aca="false">SUM(O69:O74)</f>
        <v>34461.0500165368</v>
      </c>
      <c r="P75" s="217" t="n">
        <f aca="false">SUM(P69:P74)</f>
        <v>29804.246824665</v>
      </c>
      <c r="Q75" s="217" t="n">
        <f aca="false">SUM(Q69:Q74)</f>
        <v>24124.7029111066</v>
      </c>
      <c r="R75" s="217" t="n">
        <f aca="false">SUM(R69:R74)</f>
        <v>17965.8306901728</v>
      </c>
      <c r="S75" s="217" t="n">
        <f aca="false">SUM(S69:S74)</f>
        <v>14204.369070493</v>
      </c>
      <c r="T75" s="217" t="n">
        <f aca="false">SUM(T69:T74)</f>
        <v>11329.8303042173</v>
      </c>
      <c r="U75" s="217" t="n">
        <f aca="false">SUM(U69:U74)</f>
        <v>-22.3066455897715</v>
      </c>
      <c r="V75" s="217" t="n">
        <f aca="false">SUM(V69:V74)</f>
        <v>-4313.17011733251</v>
      </c>
      <c r="W75" s="217" t="n">
        <f aca="false">SUM(W69:W74)</f>
        <v>-2828.51093507954</v>
      </c>
      <c r="X75" s="217" t="n">
        <f aca="false">SUM(X69:X74)</f>
        <v>-5593.35388672868</v>
      </c>
      <c r="Y75" s="217" t="n">
        <f aca="false">SUM(Y69:Y74)</f>
        <v>-7542.20695383511</v>
      </c>
      <c r="Z75" s="217" t="n">
        <f aca="false">SUM(Z69:Z74)</f>
        <v>-10205.3985693354</v>
      </c>
      <c r="AA75" s="217" t="n">
        <f aca="false">SUM(AA69:AA74)</f>
        <v>-13469.8575687131</v>
      </c>
      <c r="AB75" s="574" t="n">
        <f aca="false">SUM(E75:AA75)</f>
        <v>617946.72261566</v>
      </c>
    </row>
    <row r="76" customFormat="false" ht="12.75" hidden="false" customHeight="false" outlineLevel="0" collapsed="false">
      <c r="A76" s="37" t="s">
        <v>999</v>
      </c>
      <c r="B76" s="38"/>
      <c r="C76" s="38"/>
      <c r="D76" s="38"/>
      <c r="E76" s="296" t="n">
        <f aca="false">Ecf</f>
        <v>0.065</v>
      </c>
      <c r="F76" s="296" t="n">
        <f aca="false">Ecf</f>
        <v>0.065</v>
      </c>
      <c r="G76" s="296" t="n">
        <f aca="false">Ecf</f>
        <v>0.065</v>
      </c>
      <c r="H76" s="296" t="n">
        <f aca="false">Ecf</f>
        <v>0.065</v>
      </c>
      <c r="I76" s="296" t="n">
        <f aca="false">Ecf</f>
        <v>0.065</v>
      </c>
      <c r="J76" s="296" t="n">
        <f aca="false">Ecf</f>
        <v>0.065</v>
      </c>
      <c r="K76" s="296" t="n">
        <f aca="false">Ecf</f>
        <v>0.065</v>
      </c>
      <c r="L76" s="296" t="n">
        <f aca="false">Ecf</f>
        <v>0.065</v>
      </c>
      <c r="M76" s="296" t="n">
        <f aca="false">Ecf</f>
        <v>0.065</v>
      </c>
      <c r="N76" s="296" t="n">
        <f aca="false">Ecf</f>
        <v>0.065</v>
      </c>
      <c r="O76" s="296" t="n">
        <f aca="false">Ecf</f>
        <v>0.065</v>
      </c>
      <c r="P76" s="296" t="n">
        <f aca="false">Ecf</f>
        <v>0.065</v>
      </c>
      <c r="Q76" s="296" t="n">
        <f aca="false">Ecf</f>
        <v>0.065</v>
      </c>
      <c r="R76" s="296" t="n">
        <f aca="false">Ecf</f>
        <v>0.065</v>
      </c>
      <c r="S76" s="296" t="n">
        <f aca="false">Ecf</f>
        <v>0.065</v>
      </c>
      <c r="T76" s="296" t="n">
        <f aca="false">Ecf</f>
        <v>0.065</v>
      </c>
      <c r="U76" s="296" t="n">
        <f aca="false">Ecf</f>
        <v>0.065</v>
      </c>
      <c r="V76" s="296" t="n">
        <f aca="false">Ecf</f>
        <v>0.065</v>
      </c>
      <c r="W76" s="296" t="n">
        <f aca="false">Ecf</f>
        <v>0.065</v>
      </c>
      <c r="X76" s="296" t="n">
        <f aca="false">Ecf</f>
        <v>0.065</v>
      </c>
      <c r="Y76" s="296" t="n">
        <f aca="false">Ecf</f>
        <v>0.065</v>
      </c>
      <c r="Z76" s="296" t="n">
        <f aca="false">Ecf</f>
        <v>0.065</v>
      </c>
      <c r="AA76" s="296" t="n">
        <f aca="false">Ecf</f>
        <v>0.065</v>
      </c>
      <c r="AB76" s="766"/>
    </row>
    <row r="77" customFormat="false" ht="12.75" hidden="false" customHeight="false" outlineLevel="0" collapsed="false">
      <c r="A77" s="37"/>
      <c r="B77" s="38" t="s">
        <v>1000</v>
      </c>
      <c r="C77" s="38"/>
      <c r="D77" s="38"/>
      <c r="E77" s="217" t="n">
        <f aca="false">E75*E76</f>
        <v>0</v>
      </c>
      <c r="F77" s="217" t="n">
        <f aca="false">F75*F76</f>
        <v>3958.22572905358</v>
      </c>
      <c r="G77" s="217" t="n">
        <f aca="false">G75*G76</f>
        <v>7512.48529304485</v>
      </c>
      <c r="H77" s="217" t="n">
        <f aca="false">H75*H76</f>
        <v>3927.7452875678</v>
      </c>
      <c r="I77" s="217" t="n">
        <f aca="false">I75*I76</f>
        <v>3406.44403174538</v>
      </c>
      <c r="J77" s="217" t="n">
        <f aca="false">J75*J76</f>
        <v>3367.64992676927</v>
      </c>
      <c r="K77" s="217" t="n">
        <f aca="false">K75*K76</f>
        <v>3174.69114595548</v>
      </c>
      <c r="L77" s="217" t="n">
        <f aca="false">L75*L76</f>
        <v>3462.99245808287</v>
      </c>
      <c r="M77" s="217" t="n">
        <f aca="false">M75*M76</f>
        <v>3046.62757159339</v>
      </c>
      <c r="N77" s="217" t="n">
        <f aca="false">N75*N76</f>
        <v>2595.18589206777</v>
      </c>
      <c r="O77" s="217" t="n">
        <f aca="false">O75*O76</f>
        <v>2239.96825107489</v>
      </c>
      <c r="P77" s="217" t="n">
        <f aca="false">P75*P76</f>
        <v>1937.27604360322</v>
      </c>
      <c r="Q77" s="217" t="n">
        <f aca="false">Q75*Q76</f>
        <v>1568.10568922193</v>
      </c>
      <c r="R77" s="217" t="n">
        <f aca="false">R75*R76</f>
        <v>1167.77899486123</v>
      </c>
      <c r="S77" s="217" t="n">
        <f aca="false">S75*S76</f>
        <v>923.283989582045</v>
      </c>
      <c r="T77" s="217" t="n">
        <f aca="false">T75*T76</f>
        <v>736.438969774122</v>
      </c>
      <c r="U77" s="217" t="n">
        <f aca="false">U75*U76</f>
        <v>-1.44993196333515</v>
      </c>
      <c r="V77" s="217" t="n">
        <f aca="false">V75*V76</f>
        <v>-280.356057626613</v>
      </c>
      <c r="W77" s="217" t="n">
        <f aca="false">W75*W76</f>
        <v>-183.85321078017</v>
      </c>
      <c r="X77" s="217" t="n">
        <f aca="false">X75*X76</f>
        <v>-363.568002637365</v>
      </c>
      <c r="Y77" s="217" t="n">
        <f aca="false">Y75*Y76</f>
        <v>-490.243451999282</v>
      </c>
      <c r="Z77" s="217" t="n">
        <f aca="false">Z75*Z76</f>
        <v>-663.350907006801</v>
      </c>
      <c r="AA77" s="217" t="n">
        <f aca="false">AA75*AA76</f>
        <v>-875.540741966348</v>
      </c>
      <c r="AB77" s="574" t="n">
        <f aca="false">SUM(E77:AA77)</f>
        <v>40166.5369700179</v>
      </c>
    </row>
    <row r="78" customFormat="false" ht="12.75" hidden="false" customHeight="false" outlineLevel="0" collapsed="false">
      <c r="A78" s="37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555"/>
    </row>
    <row r="79" customFormat="false" ht="12.75" hidden="false" customHeight="false" outlineLevel="0" collapsed="false">
      <c r="A79" s="563"/>
      <c r="B79" s="767" t="s">
        <v>1001</v>
      </c>
      <c r="C79" s="464"/>
      <c r="D79" s="464"/>
      <c r="E79" s="768" t="n">
        <f aca="false">SUM($E77:E77)</f>
        <v>0</v>
      </c>
      <c r="F79" s="768" t="n">
        <f aca="false">SUM($E77:F77)</f>
        <v>3958.22572905358</v>
      </c>
      <c r="G79" s="768" t="n">
        <f aca="false">SUM($E77:G77)</f>
        <v>11470.7110220984</v>
      </c>
      <c r="H79" s="768" t="n">
        <f aca="false">SUM($E77:H77)</f>
        <v>15398.4563096662</v>
      </c>
      <c r="I79" s="768" t="n">
        <f aca="false">SUM($E77:I77)</f>
        <v>18804.9003414116</v>
      </c>
      <c r="J79" s="768" t="n">
        <f aca="false">SUM($E77:J77)</f>
        <v>22172.5502681809</v>
      </c>
      <c r="K79" s="768" t="n">
        <f aca="false">SUM($E77:K77)</f>
        <v>25347.2414141363</v>
      </c>
      <c r="L79" s="768" t="n">
        <f aca="false">SUM($E77:L77)</f>
        <v>28810.2338722192</v>
      </c>
      <c r="M79" s="768" t="n">
        <f aca="false">SUM($E77:M77)</f>
        <v>31856.8614438126</v>
      </c>
      <c r="N79" s="768" t="n">
        <f aca="false">SUM($E77:N77)</f>
        <v>34452.0473358804</v>
      </c>
      <c r="O79" s="768" t="n">
        <f aca="false">SUM($E77:O77)</f>
        <v>36692.0155869553</v>
      </c>
      <c r="P79" s="768" t="n">
        <f aca="false">SUM($E77:P77)</f>
        <v>38629.2916305585</v>
      </c>
      <c r="Q79" s="768" t="n">
        <f aca="false">SUM($E77:Q77)</f>
        <v>40197.3973197804</v>
      </c>
      <c r="R79" s="768" t="n">
        <f aca="false">SUM($E77:R77)</f>
        <v>41365.1763146417</v>
      </c>
      <c r="S79" s="768" t="n">
        <f aca="false">SUM($E77:S77)</f>
        <v>42288.4603042237</v>
      </c>
      <c r="T79" s="768" t="n">
        <f aca="false">SUM($E77:T77)</f>
        <v>43024.8992739978</v>
      </c>
      <c r="U79" s="768" t="n">
        <f aca="false">SUM($E77:U77)</f>
        <v>43023.4493420345</v>
      </c>
      <c r="V79" s="768" t="n">
        <f aca="false">SUM($E77:V77)</f>
        <v>42743.0932844079</v>
      </c>
      <c r="W79" s="768" t="n">
        <f aca="false">SUM($E77:W77)</f>
        <v>42559.2400736277</v>
      </c>
      <c r="X79" s="768" t="n">
        <f aca="false">SUM($E77:X77)</f>
        <v>42195.6720709903</v>
      </c>
      <c r="Y79" s="768" t="n">
        <f aca="false">SUM($E77:Y77)</f>
        <v>41705.4286189911</v>
      </c>
      <c r="Z79" s="768" t="n">
        <f aca="false">SUM($E77:Z77)</f>
        <v>41042.0777119843</v>
      </c>
      <c r="AA79" s="768" t="n">
        <f aca="false">SUM($E77:AA77)</f>
        <v>40166.5369700179</v>
      </c>
      <c r="AB79" s="665"/>
    </row>
    <row r="80" customFormat="false" ht="12.75" hidden="false" customHeight="false" outlineLevel="0" collapsed="false">
      <c r="A80" s="37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555"/>
    </row>
    <row r="81" customFormat="false" ht="12.75" hidden="false" customHeight="false" outlineLevel="0" collapsed="false">
      <c r="A81" s="55" t="s">
        <v>1002</v>
      </c>
      <c r="B81" s="38"/>
      <c r="C81" s="38"/>
      <c r="D81" s="38"/>
      <c r="E81" s="38"/>
      <c r="F81" s="38"/>
      <c r="G81" s="38"/>
      <c r="H81" s="556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555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</row>
    <row r="82" customFormat="false" ht="12.75" hidden="false" customHeight="false" outlineLevel="0" collapsed="false">
      <c r="A82" s="37" t="s">
        <v>1003</v>
      </c>
      <c r="B82" s="38"/>
      <c r="C82" s="38"/>
      <c r="D82" s="38"/>
      <c r="E82" s="217" t="n">
        <f aca="false">IF(E$7&lt;YEAR(Startops1),0,HLOOKUP(E$7,CF_Table,CF!$AB$15))</f>
        <v>0</v>
      </c>
      <c r="F82" s="217" t="n">
        <f aca="false">IF(F$7&lt;YEAR(Startops1),0,HLOOKUP(F$7,CF_Table,CF!$AB$15))</f>
        <v>0</v>
      </c>
      <c r="G82" s="217" t="n">
        <f aca="false">IF(G$7&lt;YEAR(Startops1),0,HLOOKUP(G$7,CF_Table,CF!$AB$15))</f>
        <v>8934.54341627911</v>
      </c>
      <c r="H82" s="217" t="n">
        <f aca="false">IF(H$7&lt;YEAR(Startops1),0,HLOOKUP(H$7,CF_Table,CF!$AB$15))</f>
        <v>14716.7533487156</v>
      </c>
      <c r="I82" s="217" t="n">
        <f aca="false">IF(I$7&lt;YEAR(Startops1),0,HLOOKUP(I$7,CF_Table,CF!$AB$15))</f>
        <v>95619.208408259</v>
      </c>
      <c r="J82" s="217" t="n">
        <f aca="false">IF(J$7&lt;YEAR(Startops1),0,HLOOKUP(J$7,CF_Table,CF!$AB$15))</f>
        <v>136319.320990707</v>
      </c>
      <c r="K82" s="217" t="n">
        <f aca="false">IF(K$7&lt;YEAR(Startops1),0,HLOOKUP(K$7,CF_Table,CF!$AB$15))</f>
        <v>142971.149417841</v>
      </c>
      <c r="L82" s="217" t="n">
        <f aca="false">IF(L$7&lt;YEAR(Startops1),0,HLOOKUP(L$7,CF_Table,CF!$AB$15))</f>
        <v>148564.016910725</v>
      </c>
      <c r="M82" s="217" t="n">
        <f aca="false">IF(M$7&lt;YEAR(Startops1),0,HLOOKUP(M$7,CF_Table,CF!$AB$15))</f>
        <v>152129.333512125</v>
      </c>
      <c r="N82" s="217" t="n">
        <f aca="false">IF(N$7&lt;YEAR(Startops1),0,HLOOKUP(N$7,CF_Table,CF!$AB$15))</f>
        <v>155154.979139947</v>
      </c>
      <c r="O82" s="217" t="n">
        <f aca="false">IF(O$7&lt;YEAR(Startops1),0,HLOOKUP(O$7,CF_Table,CF!$AB$15))</f>
        <v>154743.263725652</v>
      </c>
      <c r="P82" s="217" t="n">
        <f aca="false">IF(P$7&lt;YEAR(Startops1),0,HLOOKUP(P$7,CF_Table,CF!$AB$15))</f>
        <v>152906.729809475</v>
      </c>
      <c r="Q82" s="217" t="n">
        <f aca="false">IF(Q$7&lt;YEAR(Startops1),0,HLOOKUP(Q$7,CF_Table,CF!$AB$15))</f>
        <v>154096.532943409</v>
      </c>
      <c r="R82" s="217" t="n">
        <f aca="false">IF(R$7&lt;YEAR(Startops1),0,HLOOKUP(R$7,CF_Table,CF!$AB$15))</f>
        <v>157574.546640617</v>
      </c>
      <c r="S82" s="217" t="n">
        <f aca="false">IF(S$7&lt;YEAR(Startops1),0,HLOOKUP(S$7,CF_Table,CF!$AB$15))</f>
        <v>158815.712578715</v>
      </c>
      <c r="T82" s="217" t="n">
        <f aca="false">IF(T$7&lt;YEAR(Startops1),0,HLOOKUP(T$7,CF_Table,CF!$AB$15))</f>
        <v>153914.063949415</v>
      </c>
      <c r="U82" s="217" t="n">
        <f aca="false">IF(U$7&lt;YEAR(Startops1),0,HLOOKUP(U$7,CF_Table,CF!$AB$15))</f>
        <v>159853.322172655</v>
      </c>
      <c r="V82" s="217" t="n">
        <f aca="false">IF(V$7&lt;YEAR(Startops1),0,HLOOKUP(V$7,CF_Table,CF!$AB$15))</f>
        <v>149649.725968583</v>
      </c>
      <c r="W82" s="217" t="n">
        <f aca="false">IF(W$7&lt;YEAR(Startops1),0,HLOOKUP(W$7,CF_Table,CF!$AB$15))</f>
        <v>135704.125281223</v>
      </c>
      <c r="X82" s="217" t="n">
        <f aca="false">IF(X$7&lt;YEAR(Startops1),0,HLOOKUP(X$7,CF_Table,CF!$AB$15))</f>
        <v>133710.189151215</v>
      </c>
      <c r="Y82" s="217" t="n">
        <f aca="false">IF(Y$7&lt;YEAR(Startops1),0,HLOOKUP(Y$7,CF_Table,CF!$AB$15))</f>
        <v>135577.607885992</v>
      </c>
      <c r="Z82" s="217" t="n">
        <f aca="false">IF(Z$7&lt;YEAR(Startops1),0,HLOOKUP(Z$7,CF_Table,CF!$AB$15))</f>
        <v>133593.756275322</v>
      </c>
      <c r="AA82" s="217" t="n">
        <f aca="false">IF(AA$7&lt;YEAR(Startops1),0,HLOOKUP(AA$7,CF_Table,CF!$AB$15))</f>
        <v>44129.7356965873</v>
      </c>
      <c r="AB82" s="574" t="n">
        <f aca="false">SUM(E82:AA82)</f>
        <v>2678678.61722346</v>
      </c>
    </row>
    <row r="83" customFormat="false" ht="12.75" hidden="false" customHeight="false" outlineLevel="0" collapsed="false">
      <c r="A83" s="37" t="s">
        <v>792</v>
      </c>
      <c r="B83" s="38"/>
      <c r="C83" s="580" t="n">
        <f aca="false">Pis+Cofins</f>
        <v>0.0265</v>
      </c>
      <c r="D83" s="38"/>
      <c r="E83" s="220" t="n">
        <f aca="false">-E82*$C83</f>
        <v>-0</v>
      </c>
      <c r="F83" s="220" t="n">
        <f aca="false">-F82*$C83</f>
        <v>-0</v>
      </c>
      <c r="G83" s="220" t="n">
        <f aca="false">-G82*$C83</f>
        <v>-236.765400531396</v>
      </c>
      <c r="H83" s="220" t="n">
        <f aca="false">-H82*$C83</f>
        <v>-389.993963740963</v>
      </c>
      <c r="I83" s="220" t="n">
        <f aca="false">-I82*$C83</f>
        <v>-2533.90902281886</v>
      </c>
      <c r="J83" s="220" t="n">
        <f aca="false">-J82*$C83</f>
        <v>-3612.46200625373</v>
      </c>
      <c r="K83" s="220" t="n">
        <f aca="false">-K82*$C83</f>
        <v>-3788.73545957278</v>
      </c>
      <c r="L83" s="220" t="n">
        <f aca="false">-L82*$C83</f>
        <v>-3936.9464481342</v>
      </c>
      <c r="M83" s="220" t="n">
        <f aca="false">-M82*$C83</f>
        <v>-4031.42733807132</v>
      </c>
      <c r="N83" s="220" t="n">
        <f aca="false">-N82*$C83</f>
        <v>-4111.60694720859</v>
      </c>
      <c r="O83" s="220" t="n">
        <f aca="false">-O82*$C83</f>
        <v>-4100.69648872977</v>
      </c>
      <c r="P83" s="220" t="n">
        <f aca="false">-P82*$C83</f>
        <v>-4052.02833995109</v>
      </c>
      <c r="Q83" s="220" t="n">
        <f aca="false">-Q82*$C83</f>
        <v>-4083.55812300035</v>
      </c>
      <c r="R83" s="220" t="n">
        <f aca="false">-R82*$C83</f>
        <v>-4175.72548597635</v>
      </c>
      <c r="S83" s="220" t="n">
        <f aca="false">-S82*$C83</f>
        <v>-4208.61638333595</v>
      </c>
      <c r="T83" s="220" t="n">
        <f aca="false">-T82*$C83</f>
        <v>-4078.72269465949</v>
      </c>
      <c r="U83" s="220" t="n">
        <f aca="false">-U82*$C83</f>
        <v>-4236.11303757537</v>
      </c>
      <c r="V83" s="220" t="n">
        <f aca="false">-V82*$C83</f>
        <v>-3965.71773816745</v>
      </c>
      <c r="W83" s="220" t="n">
        <f aca="false">-W82*$C83</f>
        <v>-3596.15931995241</v>
      </c>
      <c r="X83" s="220" t="n">
        <f aca="false">-X82*$C83</f>
        <v>-3543.32001250719</v>
      </c>
      <c r="Y83" s="220" t="n">
        <f aca="false">-Y82*$C83</f>
        <v>-3592.80660897879</v>
      </c>
      <c r="Z83" s="220" t="n">
        <f aca="false">-Z82*$C83</f>
        <v>-3540.23454129603</v>
      </c>
      <c r="AA83" s="220" t="n">
        <f aca="false">-AA82*$C83</f>
        <v>-1169.43799595956</v>
      </c>
      <c r="AB83" s="576" t="n">
        <f aca="false">SUM(E83:AA83)</f>
        <v>-70984.9833564216</v>
      </c>
    </row>
    <row r="84" customFormat="false" ht="12.75" hidden="false" customHeight="false" outlineLevel="0" collapsed="false">
      <c r="A84" s="37" t="s">
        <v>1004</v>
      </c>
      <c r="B84" s="38"/>
      <c r="C84" s="38"/>
      <c r="D84" s="38"/>
      <c r="E84" s="217" t="n">
        <f aca="false">SUM(E82:E83)</f>
        <v>0</v>
      </c>
      <c r="F84" s="217" t="n">
        <f aca="false">SUM(F82:F83)</f>
        <v>0</v>
      </c>
      <c r="G84" s="217" t="n">
        <f aca="false">SUM(G82:G83)</f>
        <v>8697.77801574771</v>
      </c>
      <c r="H84" s="217" t="n">
        <f aca="false">SUM(H82:H83)</f>
        <v>14326.7593849746</v>
      </c>
      <c r="I84" s="217" t="n">
        <f aca="false">SUM(I82:I83)</f>
        <v>93085.2993854401</v>
      </c>
      <c r="J84" s="217" t="n">
        <f aca="false">SUM(J82:J83)</f>
        <v>132706.858984453</v>
      </c>
      <c r="K84" s="217" t="n">
        <f aca="false">SUM(K82:K83)</f>
        <v>139182.413958268</v>
      </c>
      <c r="L84" s="217" t="n">
        <f aca="false">SUM(L82:L83)</f>
        <v>144627.07046259</v>
      </c>
      <c r="M84" s="217" t="n">
        <f aca="false">SUM(M82:M83)</f>
        <v>148097.906174054</v>
      </c>
      <c r="N84" s="217" t="n">
        <f aca="false">SUM(N82:N83)</f>
        <v>151043.372192738</v>
      </c>
      <c r="O84" s="217" t="n">
        <f aca="false">SUM(O82:O83)</f>
        <v>150642.567236922</v>
      </c>
      <c r="P84" s="217" t="n">
        <f aca="false">SUM(P82:P83)</f>
        <v>148854.701469524</v>
      </c>
      <c r="Q84" s="217" t="n">
        <f aca="false">SUM(Q82:Q83)</f>
        <v>150012.974820409</v>
      </c>
      <c r="R84" s="217" t="n">
        <f aca="false">SUM(R82:R83)</f>
        <v>153398.821154641</v>
      </c>
      <c r="S84" s="217" t="n">
        <f aca="false">SUM(S82:S83)</f>
        <v>154607.096195379</v>
      </c>
      <c r="T84" s="217" t="n">
        <f aca="false">SUM(T82:T83)</f>
        <v>149835.341254755</v>
      </c>
      <c r="U84" s="217" t="n">
        <f aca="false">SUM(U82:U83)</f>
        <v>155617.20913508</v>
      </c>
      <c r="V84" s="217" t="n">
        <f aca="false">SUM(V82:V83)</f>
        <v>145684.008230416</v>
      </c>
      <c r="W84" s="217" t="n">
        <f aca="false">SUM(W82:W83)</f>
        <v>132107.965961271</v>
      </c>
      <c r="X84" s="217" t="n">
        <f aca="false">SUM(X82:X83)</f>
        <v>130166.869138707</v>
      </c>
      <c r="Y84" s="217" t="n">
        <f aca="false">SUM(Y82:Y83)</f>
        <v>131984.801277013</v>
      </c>
      <c r="Z84" s="217" t="n">
        <f aca="false">SUM(Z82:Z83)</f>
        <v>130053.521734026</v>
      </c>
      <c r="AA84" s="217" t="n">
        <f aca="false">SUM(AA82:AA83)</f>
        <v>42960.2977006278</v>
      </c>
      <c r="AB84" s="574" t="n">
        <f aca="false">SUM(AB82:AB83)</f>
        <v>2607693.63386704</v>
      </c>
    </row>
    <row r="85" customFormat="false" ht="12.75" hidden="false" customHeight="false" outlineLevel="0" collapsed="false">
      <c r="A85" s="37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555"/>
    </row>
    <row r="86" customFormat="false" ht="12.75" hidden="false" customHeight="false" outlineLevel="0" collapsed="false">
      <c r="A86" s="37" t="s">
        <v>1005</v>
      </c>
      <c r="B86" s="38"/>
      <c r="C86" s="38"/>
      <c r="D86" s="38"/>
      <c r="E86" s="128" t="str">
        <f aca="false">IF(E$7&lt;YEAR(Startops1),"Constr",IF(E$7=YEAR(Startops1),SUM(E84:$AA$84)/SUM(E13:$AA$13),D86))</f>
        <v>Constr</v>
      </c>
      <c r="F86" s="128" t="str">
        <f aca="false">IF(F$7&lt;YEAR(Startops1),"Constr",IF(F$7=YEAR(Startops1),SUM(F84:$AA$84)/SUM(F13:$AA$13),E86))</f>
        <v>Constr</v>
      </c>
      <c r="G86" s="128" t="n">
        <f aca="false">IF(G$7&lt;YEAR(Startops1),"Constr",IF(G$7=YEAR(Startops1),SUM(G84:$AA$84)/SUM(G13:$AA$13),F86))</f>
        <v>0.0406248287327855</v>
      </c>
      <c r="H86" s="128" t="n">
        <f aca="false">IF(H$7&lt;YEAR(Startops1),"Constr",IF(H$7=YEAR(Startops1),SUM(H84:$AA$84)/SUM(H13:$AA$13),G86))</f>
        <v>0.0406248287327855</v>
      </c>
      <c r="I86" s="128" t="n">
        <f aca="false">IF(I$7&lt;YEAR(Startops1),"Constr",IF(I$7=YEAR(Startops1),SUM(I84:$AA$84)/SUM(I13:$AA$13),H86))</f>
        <v>0.0406248287327855</v>
      </c>
      <c r="J86" s="128" t="n">
        <f aca="false">IF(J$7&lt;YEAR(Startops1),"Constr",IF(J$7=YEAR(Startops1),SUM(J84:$AA$84)/SUM(J13:$AA$13),I86))</f>
        <v>0.0406248287327855</v>
      </c>
      <c r="K86" s="128" t="n">
        <f aca="false">IF(K$7&lt;YEAR(Startops1),"Constr",IF(K$7=YEAR(Startops1),SUM(K84:$AA$84)/SUM(K13:$AA$13),J86))</f>
        <v>0.0406248287327855</v>
      </c>
      <c r="L86" s="128" t="n">
        <f aca="false">IF(L$7&lt;YEAR(Startops1),"Constr",IF(L$7=YEAR(Startops1),SUM(L84:$AA$84)/SUM(L13:$AA$13),K86))</f>
        <v>0.0406248287327855</v>
      </c>
      <c r="M86" s="128" t="n">
        <f aca="false">IF(M$7&lt;YEAR(Startops1),"Constr",IF(M$7=YEAR(Startops1),SUM(M84:$AA$84)/SUM(M13:$AA$13),L86))</f>
        <v>0.0406248287327855</v>
      </c>
      <c r="N86" s="128" t="n">
        <f aca="false">IF(N$7&lt;YEAR(Startops1),"Constr",IF(N$7=YEAR(Startops1),SUM(N84:$AA$84)/SUM(N13:$AA$13),M86))</f>
        <v>0.0406248287327855</v>
      </c>
      <c r="O86" s="128" t="n">
        <f aca="false">IF(O$7&lt;YEAR(Startops1),"Constr",IF(O$7=YEAR(Startops1),SUM(O84:$AA$84)/SUM(O13:$AA$13),N86))</f>
        <v>0.0406248287327855</v>
      </c>
      <c r="P86" s="128" t="n">
        <f aca="false">IF(P$7&lt;YEAR(Startops1),"Constr",IF(P$7=YEAR(Startops1),SUM(P84:$AA$84)/SUM(P13:$AA$13),O86))</f>
        <v>0.0406248287327855</v>
      </c>
      <c r="Q86" s="128" t="n">
        <f aca="false">IF(Q$7&lt;YEAR(Startops1),"Constr",IF(Q$7=YEAR(Startops1),SUM(Q84:$AA$84)/SUM(Q13:$AA$13),P86))</f>
        <v>0.0406248287327855</v>
      </c>
      <c r="R86" s="128" t="n">
        <f aca="false">IF(R$7&lt;YEAR(Startops1),"Constr",IF(R$7=YEAR(Startops1),SUM(R84:$AA$84)/SUM(R13:$AA$13),Q86))</f>
        <v>0.0406248287327855</v>
      </c>
      <c r="S86" s="128" t="n">
        <f aca="false">IF(S$7&lt;YEAR(Startops1),"Constr",IF(S$7=YEAR(Startops1),SUM(S84:$AA$84)/SUM(S13:$AA$13),R86))</f>
        <v>0.0406248287327855</v>
      </c>
      <c r="T86" s="128" t="n">
        <f aca="false">IF(T$7&lt;YEAR(Startops1),"Constr",IF(T$7=YEAR(Startops1),SUM(T84:$AA$84)/SUM(T13:$AA$13),S86))</f>
        <v>0.0406248287327855</v>
      </c>
      <c r="U86" s="128" t="n">
        <f aca="false">IF(U$7&lt;YEAR(Startops1),"Constr",IF(U$7=YEAR(Startops1),SUM(U84:$AA$84)/SUM(U13:$AA$13),T86))</f>
        <v>0.0406248287327855</v>
      </c>
      <c r="V86" s="128" t="n">
        <f aca="false">IF(V$7&lt;YEAR(Startops1),"Constr",IF(V$7=YEAR(Startops1),SUM(V84:$AA$84)/SUM(V13:$AA$13),U86))</f>
        <v>0.0406248287327855</v>
      </c>
      <c r="W86" s="128" t="n">
        <f aca="false">IF(W$7&lt;YEAR(Startops1),"Constr",IF(W$7=YEAR(Startops1),SUM(W84:$AA$84)/SUM(W13:$AA$13),V86))</f>
        <v>0.0406248287327855</v>
      </c>
      <c r="X86" s="128" t="n">
        <f aca="false">IF(X$7&lt;YEAR(Startops1),"Constr",IF(X$7=YEAR(Startops1),SUM(X84:$AA$84)/SUM(X13:$AA$13),W86))</f>
        <v>0.0406248287327855</v>
      </c>
      <c r="Y86" s="128" t="n">
        <f aca="false">IF(Y$7&lt;YEAR(Startops1),"Constr",IF(Y$7=YEAR(Startops1),SUM(Y84:$AA$84)/SUM(Y13:$AA$13),X86))</f>
        <v>0.0406248287327855</v>
      </c>
      <c r="Z86" s="128" t="n">
        <f aca="false">IF(Z$7&lt;YEAR(Startops1),"Constr",IF(Z$7=YEAR(Startops1),SUM(Z84:$AA$84)/SUM(Z13:$AA$13),Y86))</f>
        <v>0.0406248287327855</v>
      </c>
      <c r="AA86" s="128" t="n">
        <f aca="false">IF(AA$7&lt;YEAR(Startops1),"Constr",IF(AA$7=YEAR(Startops1),SUM(AA84:$AA$84)/SUM(AA13:$AA$13),Z86))</f>
        <v>0.0406248287327855</v>
      </c>
      <c r="AB86" s="555"/>
    </row>
    <row r="87" customFormat="false" ht="12.75" hidden="false" customHeight="false" outlineLevel="0" collapsed="false">
      <c r="A87" s="37" t="s">
        <v>1006</v>
      </c>
      <c r="B87" s="38"/>
      <c r="C87" s="38"/>
      <c r="D87" s="38"/>
      <c r="E87" s="558" t="n">
        <f aca="false">E$13</f>
        <v>0</v>
      </c>
      <c r="F87" s="558" t="n">
        <f aca="false">F$13</f>
        <v>0</v>
      </c>
      <c r="G87" s="558" t="n">
        <f aca="false">G$13</f>
        <v>107900</v>
      </c>
      <c r="H87" s="558" t="n">
        <f aca="false">H$13</f>
        <v>691778.88</v>
      </c>
      <c r="I87" s="558" t="n">
        <f aca="false">I$13</f>
        <v>2349654.512</v>
      </c>
      <c r="J87" s="558" t="n">
        <f aca="false">J$13</f>
        <v>3520258.56</v>
      </c>
      <c r="K87" s="558" t="n">
        <f aca="false">K$13</f>
        <v>3520258.56</v>
      </c>
      <c r="L87" s="558" t="n">
        <f aca="false">L$13</f>
        <v>3529903.104</v>
      </c>
      <c r="M87" s="558" t="n">
        <f aca="false">M$13</f>
        <v>3520258.56</v>
      </c>
      <c r="N87" s="558" t="n">
        <f aca="false">N$13</f>
        <v>3520258.56</v>
      </c>
      <c r="O87" s="558" t="n">
        <f aca="false">O$13</f>
        <v>3520258.56</v>
      </c>
      <c r="P87" s="558" t="n">
        <f aca="false">P$13</f>
        <v>3529903.104</v>
      </c>
      <c r="Q87" s="558" t="n">
        <f aca="false">Q$13</f>
        <v>3520258.56</v>
      </c>
      <c r="R87" s="558" t="n">
        <f aca="false">R$13</f>
        <v>3520258.56</v>
      </c>
      <c r="S87" s="558" t="n">
        <f aca="false">S$13</f>
        <v>3520258.56</v>
      </c>
      <c r="T87" s="558" t="n">
        <f aca="false">T$13</f>
        <v>3529903.104</v>
      </c>
      <c r="U87" s="558" t="n">
        <f aca="false">U$13</f>
        <v>3520258.56</v>
      </c>
      <c r="V87" s="558" t="n">
        <f aca="false">V$13</f>
        <v>3520258.56</v>
      </c>
      <c r="W87" s="558" t="n">
        <f aca="false">W$13</f>
        <v>3520258.56</v>
      </c>
      <c r="X87" s="558" t="n">
        <f aca="false">X$13</f>
        <v>3529903.104</v>
      </c>
      <c r="Y87" s="558" t="n">
        <f aca="false">Y$13</f>
        <v>3520258.56</v>
      </c>
      <c r="Z87" s="558" t="n">
        <f aca="false">Z$13</f>
        <v>3520258.56</v>
      </c>
      <c r="AA87" s="558" t="n">
        <f aca="false">AA$13</f>
        <v>1157345.28</v>
      </c>
      <c r="AB87" s="559" t="n">
        <f aca="false">SUM(E87:AA87)</f>
        <v>64189652.368</v>
      </c>
    </row>
    <row r="88" customFormat="false" ht="12.75" hidden="false" customHeight="false" outlineLevel="0" collapsed="false">
      <c r="A88" s="37" t="s">
        <v>1007</v>
      </c>
      <c r="B88" s="38"/>
      <c r="C88" s="38"/>
      <c r="D88" s="38"/>
      <c r="E88" s="217" t="n">
        <f aca="false">IF(E$7&lt;YEAR(Startops1),0,E86*E87)</f>
        <v>0</v>
      </c>
      <c r="F88" s="217" t="n">
        <f aca="false">IF(F$7&lt;YEAR(Startops1),0,F86*F87)</f>
        <v>0</v>
      </c>
      <c r="G88" s="217" t="n">
        <f aca="false">IF(G$7&lt;YEAR(Startops1),0,G86*G87)</f>
        <v>4383.41902026755</v>
      </c>
      <c r="H88" s="217" t="n">
        <f aca="false">IF(H$7&lt;YEAR(Startops1),0,H86*H87)</f>
        <v>28103.3985209581</v>
      </c>
      <c r="I88" s="217" t="n">
        <f aca="false">IF(I$7&lt;YEAR(Startops1),0,I86*I87)</f>
        <v>95454.3121312166</v>
      </c>
      <c r="J88" s="217" t="n">
        <f aca="false">IF(J$7&lt;YEAR(Startops1),0,J86*J87)</f>
        <v>143009.901095122</v>
      </c>
      <c r="K88" s="217" t="n">
        <f aca="false">IF(K$7&lt;YEAR(Startops1),0,K86*K87)</f>
        <v>143009.901095122</v>
      </c>
      <c r="L88" s="217" t="n">
        <f aca="false">IF(L$7&lt;YEAR(Startops1),0,L86*L87)</f>
        <v>143401.709043328</v>
      </c>
      <c r="M88" s="217" t="n">
        <f aca="false">IF(M$7&lt;YEAR(Startops1),0,M86*M87)</f>
        <v>143009.901095122</v>
      </c>
      <c r="N88" s="217" t="n">
        <f aca="false">IF(N$7&lt;YEAR(Startops1),0,N86*N87)</f>
        <v>143009.901095122</v>
      </c>
      <c r="O88" s="217" t="n">
        <f aca="false">IF(O$7&lt;YEAR(Startops1),0,O86*O87)</f>
        <v>143009.901095122</v>
      </c>
      <c r="P88" s="217" t="n">
        <f aca="false">IF(P$7&lt;YEAR(Startops1),0,P86*P87)</f>
        <v>143401.709043328</v>
      </c>
      <c r="Q88" s="217" t="n">
        <f aca="false">IF(Q$7&lt;YEAR(Startops1),0,Q86*Q87)</f>
        <v>143009.901095122</v>
      </c>
      <c r="R88" s="217" t="n">
        <f aca="false">IF(R$7&lt;YEAR(Startops1),0,R86*R87)</f>
        <v>143009.901095122</v>
      </c>
      <c r="S88" s="217" t="n">
        <f aca="false">IF(S$7&lt;YEAR(Startops1),0,S86*S87)</f>
        <v>143009.901095122</v>
      </c>
      <c r="T88" s="217" t="n">
        <f aca="false">IF(T$7&lt;YEAR(Startops1),0,T86*T87)</f>
        <v>143401.709043328</v>
      </c>
      <c r="U88" s="217" t="n">
        <f aca="false">IF(U$7&lt;YEAR(Startops1),0,U86*U87)</f>
        <v>143009.901095122</v>
      </c>
      <c r="V88" s="217" t="n">
        <f aca="false">IF(V$7&lt;YEAR(Startops1),0,V86*V87)</f>
        <v>143009.901095122</v>
      </c>
      <c r="W88" s="217" t="n">
        <f aca="false">IF(W$7&lt;YEAR(Startops1),0,W86*W87)</f>
        <v>143009.901095122</v>
      </c>
      <c r="X88" s="217" t="n">
        <f aca="false">IF(X$7&lt;YEAR(Startops1),0,X86*X87)</f>
        <v>143401.709043328</v>
      </c>
      <c r="Y88" s="217" t="n">
        <f aca="false">IF(Y$7&lt;YEAR(Startops1),0,Y86*Y87)</f>
        <v>143009.901095122</v>
      </c>
      <c r="Z88" s="217" t="n">
        <f aca="false">IF(Z$7&lt;YEAR(Startops1),0,Z86*Z87)</f>
        <v>143009.901095122</v>
      </c>
      <c r="AA88" s="217" t="n">
        <f aca="false">IF(AA$7&lt;YEAR(Startops1),0,AA86*AA87)</f>
        <v>47016.9537846976</v>
      </c>
      <c r="AB88" s="574" t="n">
        <f aca="false">SUM(E88:AA88)</f>
        <v>2607693.63386704</v>
      </c>
    </row>
    <row r="89" customFormat="false" ht="12.75" hidden="false" customHeight="false" outlineLevel="0" collapsed="false">
      <c r="A89" s="37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555"/>
    </row>
    <row r="90" customFormat="false" ht="12.75" hidden="false" customHeight="false" outlineLevel="0" collapsed="false">
      <c r="A90" s="37" t="s">
        <v>1008</v>
      </c>
      <c r="B90" s="38"/>
      <c r="C90" s="38"/>
      <c r="D90" s="38"/>
      <c r="E90" s="217" t="n">
        <f aca="false">D93</f>
        <v>0</v>
      </c>
      <c r="F90" s="217" t="n">
        <f aca="false">E93</f>
        <v>0</v>
      </c>
      <c r="G90" s="217" t="n">
        <f aca="false">F93</f>
        <v>0</v>
      </c>
      <c r="H90" s="217" t="n">
        <f aca="false">G93</f>
        <v>4314.35899548016</v>
      </c>
      <c r="I90" s="217" t="n">
        <f aca="false">H93</f>
        <v>-9462.28014050334</v>
      </c>
      <c r="J90" s="217" t="n">
        <f aca="false">I93</f>
        <v>-11831.2928862798</v>
      </c>
      <c r="K90" s="217" t="n">
        <f aca="false">J93</f>
        <v>-22134.3349969488</v>
      </c>
      <c r="L90" s="217" t="n">
        <f aca="false">K93</f>
        <v>-25961.8221338028</v>
      </c>
      <c r="M90" s="217" t="n">
        <f aca="false">L93</f>
        <v>-24736.4607145402</v>
      </c>
      <c r="N90" s="217" t="n">
        <f aca="false">M93</f>
        <v>-19648.455635608</v>
      </c>
      <c r="O90" s="217" t="n">
        <f aca="false">N93</f>
        <v>-11614.9845379919</v>
      </c>
      <c r="P90" s="217" t="n">
        <f aca="false">O93</f>
        <v>-3982.31839619183</v>
      </c>
      <c r="Q90" s="217" t="n">
        <f aca="false">P93</f>
        <v>1470.67403000423</v>
      </c>
      <c r="R90" s="217" t="n">
        <f aca="false">Q93</f>
        <v>8473.74775529139</v>
      </c>
      <c r="S90" s="217" t="n">
        <f aca="false">R93</f>
        <v>18862.6678148099</v>
      </c>
      <c r="T90" s="217" t="n">
        <f aca="false">S93</f>
        <v>30459.862915067</v>
      </c>
      <c r="U90" s="217" t="n">
        <f aca="false">T93</f>
        <v>36893.4951264946</v>
      </c>
      <c r="V90" s="217" t="n">
        <f aca="false">U93</f>
        <v>49500.8031664527</v>
      </c>
      <c r="W90" s="217" t="n">
        <f aca="false">V93</f>
        <v>52174.9103017464</v>
      </c>
      <c r="X90" s="217" t="n">
        <f aca="false">W93</f>
        <v>41272.975167895</v>
      </c>
      <c r="Y90" s="217" t="n">
        <f aca="false">X93</f>
        <v>28038.1352632747</v>
      </c>
      <c r="Z90" s="217" t="n">
        <f aca="false">Y93</f>
        <v>17013.0354451659</v>
      </c>
      <c r="AA90" s="217" t="n">
        <f aca="false">Z93</f>
        <v>4056.65608406998</v>
      </c>
      <c r="AB90" s="574" t="n">
        <f aca="false">E90</f>
        <v>0</v>
      </c>
    </row>
    <row r="91" customFormat="false" ht="12.75" hidden="false" customHeight="false" outlineLevel="0" collapsed="false">
      <c r="A91" s="37" t="s">
        <v>1009</v>
      </c>
      <c r="B91" s="38"/>
      <c r="C91" s="38"/>
      <c r="D91" s="38"/>
      <c r="E91" s="217" t="n">
        <f aca="false">MAX(0,E84-E88)</f>
        <v>0</v>
      </c>
      <c r="F91" s="217" t="n">
        <f aca="false">MAX(0,F84-F88)</f>
        <v>0</v>
      </c>
      <c r="G91" s="217" t="n">
        <f aca="false">MAX(0,G84-G88)</f>
        <v>4314.35899548016</v>
      </c>
      <c r="H91" s="217" t="n">
        <f aca="false">MAX(0,H84-H88)</f>
        <v>0</v>
      </c>
      <c r="I91" s="217" t="n">
        <f aca="false">MAX(0,I84-I88)</f>
        <v>0</v>
      </c>
      <c r="J91" s="217" t="n">
        <f aca="false">MAX(0,J84-J88)</f>
        <v>0</v>
      </c>
      <c r="K91" s="217" t="n">
        <f aca="false">MAX(0,K84-K88)</f>
        <v>0</v>
      </c>
      <c r="L91" s="217" t="n">
        <f aca="false">MAX(0,L84-L88)</f>
        <v>1225.36141926257</v>
      </c>
      <c r="M91" s="217" t="n">
        <f aca="false">MAX(0,M84-M88)</f>
        <v>5088.00507893215</v>
      </c>
      <c r="N91" s="217" t="n">
        <f aca="false">MAX(0,N84-N88)</f>
        <v>8033.4710976161</v>
      </c>
      <c r="O91" s="217" t="n">
        <f aca="false">MAX(0,O84-O88)</f>
        <v>7632.66614180012</v>
      </c>
      <c r="P91" s="217" t="n">
        <f aca="false">MAX(0,P84-P88)</f>
        <v>5452.99242619606</v>
      </c>
      <c r="Q91" s="217" t="n">
        <f aca="false">MAX(0,Q84-Q88)</f>
        <v>7003.07372528716</v>
      </c>
      <c r="R91" s="217" t="n">
        <f aca="false">MAX(0,R84-R88)</f>
        <v>10388.9200595185</v>
      </c>
      <c r="S91" s="217" t="n">
        <f aca="false">MAX(0,S84-S88)</f>
        <v>11597.1951002571</v>
      </c>
      <c r="T91" s="217" t="n">
        <f aca="false">MAX(0,T84-T88)</f>
        <v>6433.63221142758</v>
      </c>
      <c r="U91" s="217" t="n">
        <f aca="false">MAX(0,U84-U88)</f>
        <v>12607.3080399581</v>
      </c>
      <c r="V91" s="217" t="n">
        <f aca="false">MAX(0,V84-V88)</f>
        <v>2674.10713529371</v>
      </c>
      <c r="W91" s="217" t="n">
        <f aca="false">MAX(0,W84-W88)</f>
        <v>0</v>
      </c>
      <c r="X91" s="217" t="n">
        <f aca="false">MAX(0,X84-X88)</f>
        <v>0</v>
      </c>
      <c r="Y91" s="217" t="n">
        <f aca="false">MAX(0,Y84-Y88)</f>
        <v>0</v>
      </c>
      <c r="Z91" s="217" t="n">
        <f aca="false">MAX(0,Z84-Z88)</f>
        <v>0</v>
      </c>
      <c r="AA91" s="217" t="n">
        <f aca="false">MAX(0,AA84-AA88)</f>
        <v>0</v>
      </c>
      <c r="AB91" s="574" t="n">
        <f aca="false">SUM(E91:AA91)</f>
        <v>82451.0914310294</v>
      </c>
    </row>
    <row r="92" customFormat="false" ht="12.75" hidden="false" customHeight="false" outlineLevel="0" collapsed="false">
      <c r="A92" s="37" t="s">
        <v>1010</v>
      </c>
      <c r="B92" s="38"/>
      <c r="C92" s="38"/>
      <c r="D92" s="38"/>
      <c r="E92" s="769" t="n">
        <f aca="false">-MAX(0,E88-E84)</f>
        <v>-0</v>
      </c>
      <c r="F92" s="769" t="n">
        <f aca="false">-MAX(0,F88-F84)</f>
        <v>-0</v>
      </c>
      <c r="G92" s="769" t="n">
        <f aca="false">-MAX(0,G88-G84)</f>
        <v>-0</v>
      </c>
      <c r="H92" s="769" t="n">
        <f aca="false">-MAX(0,H88-H84)</f>
        <v>-13776.6391359835</v>
      </c>
      <c r="I92" s="769" t="n">
        <f aca="false">-MAX(0,I88-I84)</f>
        <v>-2369.01274577643</v>
      </c>
      <c r="J92" s="769" t="n">
        <f aca="false">-MAX(0,J88-J84)</f>
        <v>-10303.042110669</v>
      </c>
      <c r="K92" s="769" t="n">
        <f aca="false">-MAX(0,K88-K84)</f>
        <v>-3827.487136854</v>
      </c>
      <c r="L92" s="769" t="n">
        <f aca="false">-MAX(0,L88-L84)</f>
        <v>-0</v>
      </c>
      <c r="M92" s="769" t="n">
        <f aca="false">-MAX(0,M88-M84)</f>
        <v>-0</v>
      </c>
      <c r="N92" s="769" t="n">
        <f aca="false">-MAX(0,N88-N84)</f>
        <v>-0</v>
      </c>
      <c r="O92" s="769" t="n">
        <f aca="false">-MAX(0,O88-O84)</f>
        <v>-0</v>
      </c>
      <c r="P92" s="769" t="n">
        <f aca="false">-MAX(0,P88-P84)</f>
        <v>-0</v>
      </c>
      <c r="Q92" s="769" t="n">
        <f aca="false">-MAX(0,Q88-Q84)</f>
        <v>-0</v>
      </c>
      <c r="R92" s="769" t="n">
        <f aca="false">-MAX(0,R88-R84)</f>
        <v>-0</v>
      </c>
      <c r="S92" s="769" t="n">
        <f aca="false">-MAX(0,S88-S84)</f>
        <v>-0</v>
      </c>
      <c r="T92" s="769" t="n">
        <f aca="false">-MAX(0,T88-T84)</f>
        <v>-0</v>
      </c>
      <c r="U92" s="769" t="n">
        <f aca="false">-MAX(0,U88-U84)</f>
        <v>-0</v>
      </c>
      <c r="V92" s="769" t="n">
        <f aca="false">-MAX(0,V88-V84)</f>
        <v>-0</v>
      </c>
      <c r="W92" s="769" t="n">
        <f aca="false">-MAX(0,W88-W84)</f>
        <v>-10901.9351338515</v>
      </c>
      <c r="X92" s="769" t="n">
        <f aca="false">-MAX(0,X88-X84)</f>
        <v>-13234.8399046203</v>
      </c>
      <c r="Y92" s="769" t="n">
        <f aca="false">-MAX(0,Y88-Y84)</f>
        <v>-11025.0998181087</v>
      </c>
      <c r="Z92" s="769" t="n">
        <f aca="false">-MAX(0,Z88-Z84)</f>
        <v>-12956.379361096</v>
      </c>
      <c r="AA92" s="769" t="n">
        <f aca="false">-MAX(0,AA88-AA84)</f>
        <v>-4056.65608406986</v>
      </c>
      <c r="AB92" s="576" t="n">
        <f aca="false">SUM(E92:AA92)</f>
        <v>-82451.0914310293</v>
      </c>
    </row>
    <row r="93" customFormat="false" ht="13.5" hidden="false" customHeight="false" outlineLevel="0" collapsed="false">
      <c r="A93" s="70" t="s">
        <v>1011</v>
      </c>
      <c r="B93" s="71"/>
      <c r="C93" s="71"/>
      <c r="D93" s="71"/>
      <c r="E93" s="286" t="n">
        <f aca="false">SUM(E90:E92)</f>
        <v>0</v>
      </c>
      <c r="F93" s="286" t="n">
        <f aca="false">SUM(F90:F92)</f>
        <v>0</v>
      </c>
      <c r="G93" s="286" t="n">
        <f aca="false">SUM(G90:G92)</f>
        <v>4314.35899548016</v>
      </c>
      <c r="H93" s="286" t="n">
        <f aca="false">SUM(H90:H92)</f>
        <v>-9462.28014050334</v>
      </c>
      <c r="I93" s="286" t="n">
        <f aca="false">SUM(I90:I92)</f>
        <v>-11831.2928862798</v>
      </c>
      <c r="J93" s="286" t="n">
        <f aca="false">SUM(J90:J92)</f>
        <v>-22134.3349969488</v>
      </c>
      <c r="K93" s="286" t="n">
        <f aca="false">SUM(K90:K92)</f>
        <v>-25961.8221338028</v>
      </c>
      <c r="L93" s="286" t="n">
        <f aca="false">SUM(L90:L92)</f>
        <v>-24736.4607145402</v>
      </c>
      <c r="M93" s="286" t="n">
        <f aca="false">SUM(M90:M92)</f>
        <v>-19648.455635608</v>
      </c>
      <c r="N93" s="286" t="n">
        <f aca="false">SUM(N90:N92)</f>
        <v>-11614.9845379919</v>
      </c>
      <c r="O93" s="286" t="n">
        <f aca="false">SUM(O90:O92)</f>
        <v>-3982.31839619183</v>
      </c>
      <c r="P93" s="286" t="n">
        <f aca="false">SUM(P90:P92)</f>
        <v>1470.67403000423</v>
      </c>
      <c r="Q93" s="286" t="n">
        <f aca="false">SUM(Q90:Q92)</f>
        <v>8473.74775529139</v>
      </c>
      <c r="R93" s="286" t="n">
        <f aca="false">SUM(R90:R92)</f>
        <v>18862.6678148099</v>
      </c>
      <c r="S93" s="286" t="n">
        <f aca="false">SUM(S90:S92)</f>
        <v>30459.862915067</v>
      </c>
      <c r="T93" s="286" t="n">
        <f aca="false">SUM(T90:T92)</f>
        <v>36893.4951264946</v>
      </c>
      <c r="U93" s="286" t="n">
        <f aca="false">SUM(U90:U92)</f>
        <v>49500.8031664527</v>
      </c>
      <c r="V93" s="286" t="n">
        <f aca="false">SUM(V90:V92)</f>
        <v>52174.9103017464</v>
      </c>
      <c r="W93" s="286" t="n">
        <f aca="false">SUM(W90:W92)</f>
        <v>41272.975167895</v>
      </c>
      <c r="X93" s="286" t="n">
        <f aca="false">SUM(X90:X92)</f>
        <v>28038.1352632747</v>
      </c>
      <c r="Y93" s="286" t="n">
        <f aca="false">SUM(Y90:Y92)</f>
        <v>17013.0354451659</v>
      </c>
      <c r="Z93" s="286" t="n">
        <f aca="false">SUM(Z90:Z92)</f>
        <v>4056.65608406998</v>
      </c>
      <c r="AA93" s="286" t="n">
        <f aca="false">SUM(AA90:AA92)</f>
        <v>1.23691279441118E-010</v>
      </c>
      <c r="AB93" s="770" t="n">
        <f aca="false">SUM(AB90:AB92)</f>
        <v>0</v>
      </c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0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8" width="1.7"/>
    <col collapsed="false" customWidth="true" hidden="false" outlineLevel="0" max="2" min="2" style="1" width="40.7"/>
    <col collapsed="false" customWidth="true" hidden="false" outlineLevel="0" max="27" min="3" style="1" width="10.71"/>
    <col collapsed="false" customWidth="true" hidden="false" outlineLevel="0" max="28" min="28" style="38" width="12.7"/>
    <col collapsed="false" customWidth="false" hidden="false" outlineLevel="0" max="257" min="29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"/>
      <c r="AE1" s="3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"/>
      <c r="AE2" s="3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"/>
      <c r="AE3" s="3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1012</v>
      </c>
      <c r="B4" s="632"/>
      <c r="C4" s="632"/>
      <c r="D4" s="632"/>
      <c r="E4" s="632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"/>
      <c r="AE4" s="3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8"/>
      <c r="AB5" s="388"/>
      <c r="AC5" s="0"/>
      <c r="AD5" s="38"/>
      <c r="AE5" s="38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763</v>
      </c>
      <c r="B6" s="28"/>
      <c r="C6" s="28"/>
      <c r="D6" s="28"/>
      <c r="E6" s="28" t="n">
        <f aca="false">'Project &amp; Investor Returns'!E$6</f>
        <v>0</v>
      </c>
      <c r="F6" s="28" t="n">
        <f aca="false">'Project &amp; Investor Returns'!F$6</f>
        <v>0</v>
      </c>
      <c r="G6" s="28" t="n">
        <f aca="false">'Project &amp; Investor Returns'!G$6</f>
        <v>1</v>
      </c>
      <c r="H6" s="28" t="n">
        <f aca="false">'Project &amp; Investor Returns'!H$6</f>
        <v>2</v>
      </c>
      <c r="I6" s="28" t="n">
        <f aca="false">'Project &amp; Investor Returns'!I$6</f>
        <v>3</v>
      </c>
      <c r="J6" s="28" t="n">
        <f aca="false">'Project &amp; Investor Returns'!J$6</f>
        <v>4</v>
      </c>
      <c r="K6" s="28" t="n">
        <f aca="false">'Project &amp; Investor Returns'!K$6</f>
        <v>5</v>
      </c>
      <c r="L6" s="28" t="n">
        <f aca="false">'Project &amp; Investor Returns'!L$6</f>
        <v>6</v>
      </c>
      <c r="M6" s="28" t="n">
        <f aca="false">'Project &amp; Investor Returns'!M$6</f>
        <v>7</v>
      </c>
      <c r="N6" s="28" t="n">
        <f aca="false">'Project &amp; Investor Returns'!N$6</f>
        <v>8</v>
      </c>
      <c r="O6" s="28" t="n">
        <f aca="false">'Project &amp; Investor Returns'!O$6</f>
        <v>9</v>
      </c>
      <c r="P6" s="28" t="n">
        <f aca="false">'Project &amp; Investor Returns'!P$6</f>
        <v>10</v>
      </c>
      <c r="Q6" s="28" t="n">
        <f aca="false">'Project &amp; Investor Returns'!Q$6</f>
        <v>11</v>
      </c>
      <c r="R6" s="28" t="n">
        <f aca="false">'Project &amp; Investor Returns'!R$6</f>
        <v>12</v>
      </c>
      <c r="S6" s="28" t="n">
        <f aca="false">'Project &amp; Investor Returns'!S$6</f>
        <v>13</v>
      </c>
      <c r="T6" s="28" t="n">
        <f aca="false">'Project &amp; Investor Returns'!T$6</f>
        <v>14</v>
      </c>
      <c r="U6" s="28" t="n">
        <f aca="false">'Project &amp; Investor Returns'!U$6</f>
        <v>15</v>
      </c>
      <c r="V6" s="28" t="n">
        <f aca="false">'Project &amp; Investor Returns'!V$6</f>
        <v>16</v>
      </c>
      <c r="W6" s="28" t="n">
        <f aca="false">'Project &amp; Investor Returns'!W$6</f>
        <v>17</v>
      </c>
      <c r="X6" s="28" t="n">
        <f aca="false">'Project &amp; Investor Returns'!X$6</f>
        <v>18</v>
      </c>
      <c r="Y6" s="28" t="n">
        <f aca="false">'Project &amp; Investor Returns'!Y$6</f>
        <v>19</v>
      </c>
      <c r="Z6" s="28" t="n">
        <f aca="false">'Project &amp; Investor Returns'!Z$6</f>
        <v>20</v>
      </c>
      <c r="AA6" s="28" t="n">
        <f aca="false">'Project &amp; Investor Returns'!AA$6</f>
        <v>21</v>
      </c>
      <c r="AB6" s="539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634" t="s">
        <v>765</v>
      </c>
      <c r="B7" s="71"/>
      <c r="C7" s="71"/>
      <c r="D7" s="71"/>
      <c r="E7" s="372" t="n">
        <f aca="false">'Project &amp; Investor Returns'!E$7</f>
        <v>1997</v>
      </c>
      <c r="F7" s="372" t="n">
        <f aca="false">'Project &amp; Investor Returns'!F$7</f>
        <v>1998</v>
      </c>
      <c r="G7" s="372" t="n">
        <f aca="false">'Project &amp; Investor Returns'!G$7</f>
        <v>1999</v>
      </c>
      <c r="H7" s="372" t="n">
        <f aca="false">'Project &amp; Investor Returns'!H$7</f>
        <v>2000</v>
      </c>
      <c r="I7" s="372" t="n">
        <f aca="false">'Project &amp; Investor Returns'!I$7</f>
        <v>2001</v>
      </c>
      <c r="J7" s="372" t="n">
        <f aca="false">'Project &amp; Investor Returns'!J$7</f>
        <v>2002</v>
      </c>
      <c r="K7" s="372" t="n">
        <f aca="false">'Project &amp; Investor Returns'!K$7</f>
        <v>2003</v>
      </c>
      <c r="L7" s="372" t="n">
        <f aca="false">'Project &amp; Investor Returns'!L$7</f>
        <v>2004</v>
      </c>
      <c r="M7" s="372" t="n">
        <f aca="false">'Project &amp; Investor Returns'!M$7</f>
        <v>2005</v>
      </c>
      <c r="N7" s="372" t="n">
        <f aca="false">'Project &amp; Investor Returns'!N$7</f>
        <v>2006</v>
      </c>
      <c r="O7" s="372" t="n">
        <f aca="false">'Project &amp; Investor Returns'!O$7</f>
        <v>2007</v>
      </c>
      <c r="P7" s="372" t="n">
        <f aca="false">'Project &amp; Investor Returns'!P$7</f>
        <v>2008</v>
      </c>
      <c r="Q7" s="372" t="n">
        <f aca="false">'Project &amp; Investor Returns'!Q$7</f>
        <v>2009</v>
      </c>
      <c r="R7" s="372" t="n">
        <f aca="false">'Project &amp; Investor Returns'!R$7</f>
        <v>2010</v>
      </c>
      <c r="S7" s="372" t="n">
        <f aca="false">'Project &amp; Investor Returns'!S$7</f>
        <v>2011</v>
      </c>
      <c r="T7" s="372" t="n">
        <f aca="false">'Project &amp; Investor Returns'!T$7</f>
        <v>2012</v>
      </c>
      <c r="U7" s="372" t="n">
        <f aca="false">'Project &amp; Investor Returns'!U$7</f>
        <v>2013</v>
      </c>
      <c r="V7" s="372" t="n">
        <f aca="false">'Project &amp; Investor Returns'!V$7</f>
        <v>2014</v>
      </c>
      <c r="W7" s="372" t="n">
        <f aca="false">'Project &amp; Investor Returns'!W$7</f>
        <v>2015</v>
      </c>
      <c r="X7" s="372" t="n">
        <f aca="false">'Project &amp; Investor Returns'!X$7</f>
        <v>2016</v>
      </c>
      <c r="Y7" s="372" t="n">
        <f aca="false">'Project &amp; Investor Returns'!Y$7</f>
        <v>2017</v>
      </c>
      <c r="Z7" s="372" t="n">
        <f aca="false">'Project &amp; Investor Returns'!Z$7</f>
        <v>2018</v>
      </c>
      <c r="AA7" s="372" t="n">
        <f aca="false">'Project &amp; Investor Returns'!AA$7</f>
        <v>2019</v>
      </c>
      <c r="AB7" s="544" t="s">
        <v>766</v>
      </c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45"/>
      <c r="B8" s="38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  <c r="T8" s="388"/>
      <c r="U8" s="388"/>
      <c r="V8" s="388"/>
      <c r="W8" s="388"/>
      <c r="X8" s="388"/>
      <c r="Y8" s="388"/>
      <c r="Z8" s="388"/>
      <c r="AA8" s="388"/>
      <c r="AB8" s="614"/>
      <c r="AC8" s="0"/>
      <c r="AD8" s="38"/>
      <c r="AE8" s="38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12.75" hidden="false" customHeight="false" outlineLevel="0" collapsed="false">
      <c r="A9" s="37" t="s">
        <v>767</v>
      </c>
      <c r="B9" s="38"/>
      <c r="C9" s="38"/>
      <c r="D9" s="38"/>
      <c r="E9" s="215" t="n">
        <f aca="false">Rev_Exp!C9</f>
        <v>0</v>
      </c>
      <c r="F9" s="215" t="n">
        <f aca="false">Rev_Exp!D9</f>
        <v>0</v>
      </c>
      <c r="G9" s="215" t="n">
        <f aca="false">Rev_Exp!E9</f>
        <v>9</v>
      </c>
      <c r="H9" s="215" t="n">
        <f aca="false">Rev_Exp!F9</f>
        <v>12</v>
      </c>
      <c r="I9" s="215" t="n">
        <f aca="false">Rev_Exp!G9</f>
        <v>0</v>
      </c>
      <c r="J9" s="215" t="n">
        <f aca="false">Rev_Exp!H9</f>
        <v>0</v>
      </c>
      <c r="K9" s="215" t="n">
        <f aca="false">Rev_Exp!I9</f>
        <v>0</v>
      </c>
      <c r="L9" s="215" t="n">
        <f aca="false">Rev_Exp!J9</f>
        <v>0</v>
      </c>
      <c r="M9" s="215" t="n">
        <f aca="false">Rev_Exp!K9</f>
        <v>0</v>
      </c>
      <c r="N9" s="215" t="n">
        <f aca="false">Rev_Exp!L9</f>
        <v>0</v>
      </c>
      <c r="O9" s="215" t="n">
        <f aca="false">Rev_Exp!M9</f>
        <v>0</v>
      </c>
      <c r="P9" s="215" t="n">
        <f aca="false">Rev_Exp!N9</f>
        <v>0</v>
      </c>
      <c r="Q9" s="215" t="n">
        <f aca="false">Rev_Exp!O9</f>
        <v>0</v>
      </c>
      <c r="R9" s="215" t="n">
        <f aca="false">Rev_Exp!P9</f>
        <v>0</v>
      </c>
      <c r="S9" s="215" t="n">
        <f aca="false">Rev_Exp!Q9</f>
        <v>0</v>
      </c>
      <c r="T9" s="215" t="n">
        <f aca="false">Rev_Exp!R9</f>
        <v>0</v>
      </c>
      <c r="U9" s="215" t="n">
        <f aca="false">Rev_Exp!S9</f>
        <v>0</v>
      </c>
      <c r="V9" s="215" t="n">
        <f aca="false">Rev_Exp!T9</f>
        <v>0</v>
      </c>
      <c r="W9" s="215" t="n">
        <f aca="false">Rev_Exp!U9</f>
        <v>0</v>
      </c>
      <c r="X9" s="215" t="n">
        <f aca="false">Rev_Exp!V9</f>
        <v>0</v>
      </c>
      <c r="Y9" s="215" t="n">
        <f aca="false">Rev_Exp!W9</f>
        <v>0</v>
      </c>
      <c r="Z9" s="215" t="n">
        <f aca="false">Rev_Exp!X9</f>
        <v>0</v>
      </c>
      <c r="AA9" s="215" t="n">
        <f aca="false">Rev_Exp!Y9</f>
        <v>0</v>
      </c>
      <c r="AB9" s="555" t="n">
        <f aca="false">SUM(E9:AA9)</f>
        <v>21</v>
      </c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37" t="s">
        <v>768</v>
      </c>
      <c r="B10" s="38"/>
      <c r="C10" s="38"/>
      <c r="D10" s="38"/>
      <c r="E10" s="215" t="n">
        <f aca="false">Rev_Exp!C10</f>
        <v>0</v>
      </c>
      <c r="F10" s="215" t="n">
        <f aca="false">Rev_Exp!D10</f>
        <v>0</v>
      </c>
      <c r="G10" s="215" t="n">
        <f aca="false">Rev_Exp!E10</f>
        <v>0</v>
      </c>
      <c r="H10" s="215" t="n">
        <f aca="false">Rev_Exp!F10</f>
        <v>0</v>
      </c>
      <c r="I10" s="215" t="n">
        <f aca="false">Rev_Exp!G10</f>
        <v>7</v>
      </c>
      <c r="J10" s="215" t="n">
        <f aca="false">Rev_Exp!H10</f>
        <v>0</v>
      </c>
      <c r="K10" s="215" t="n">
        <f aca="false">Rev_Exp!I10</f>
        <v>0</v>
      </c>
      <c r="L10" s="215" t="n">
        <f aca="false">Rev_Exp!J10</f>
        <v>0</v>
      </c>
      <c r="M10" s="215" t="n">
        <f aca="false">Rev_Exp!K10</f>
        <v>0</v>
      </c>
      <c r="N10" s="215" t="n">
        <f aca="false">Rev_Exp!L10</f>
        <v>0</v>
      </c>
      <c r="O10" s="215" t="n">
        <f aca="false">Rev_Exp!M10</f>
        <v>0</v>
      </c>
      <c r="P10" s="215" t="n">
        <f aca="false">Rev_Exp!N10</f>
        <v>0</v>
      </c>
      <c r="Q10" s="215" t="n">
        <f aca="false">Rev_Exp!O10</f>
        <v>0</v>
      </c>
      <c r="R10" s="215" t="n">
        <f aca="false">Rev_Exp!P10</f>
        <v>0</v>
      </c>
      <c r="S10" s="215" t="n">
        <f aca="false">Rev_Exp!Q10</f>
        <v>0</v>
      </c>
      <c r="T10" s="215" t="n">
        <f aca="false">Rev_Exp!R10</f>
        <v>0</v>
      </c>
      <c r="U10" s="215" t="n">
        <f aca="false">Rev_Exp!S10</f>
        <v>0</v>
      </c>
      <c r="V10" s="215" t="n">
        <f aca="false">Rev_Exp!T10</f>
        <v>0</v>
      </c>
      <c r="W10" s="215" t="n">
        <f aca="false">Rev_Exp!U10</f>
        <v>0</v>
      </c>
      <c r="X10" s="215" t="n">
        <f aca="false">Rev_Exp!V10</f>
        <v>0</v>
      </c>
      <c r="Y10" s="215" t="n">
        <f aca="false">Rev_Exp!W10</f>
        <v>0</v>
      </c>
      <c r="Z10" s="215" t="n">
        <f aca="false">Rev_Exp!X10</f>
        <v>0</v>
      </c>
      <c r="AA10" s="215" t="n">
        <f aca="false">Rev_Exp!Y10</f>
        <v>0</v>
      </c>
      <c r="AB10" s="555" t="n">
        <f aca="false">SUM(E10:AA10)</f>
        <v>7</v>
      </c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</row>
    <row r="11" customFormat="false" ht="12.75" hidden="false" customHeight="false" outlineLevel="0" collapsed="false">
      <c r="A11" s="37" t="s">
        <v>769</v>
      </c>
      <c r="B11" s="38"/>
      <c r="C11" s="38"/>
      <c r="D11" s="38"/>
      <c r="E11" s="551" t="n">
        <f aca="false">Rev_Exp!C11</f>
        <v>0</v>
      </c>
      <c r="F11" s="551" t="n">
        <f aca="false">Rev_Exp!D11</f>
        <v>0</v>
      </c>
      <c r="G11" s="551" t="n">
        <f aca="false">Rev_Exp!E11</f>
        <v>0</v>
      </c>
      <c r="H11" s="551" t="n">
        <f aca="false">Rev_Exp!F11</f>
        <v>0</v>
      </c>
      <c r="I11" s="551" t="n">
        <f aca="false">Rev_Exp!G11</f>
        <v>5</v>
      </c>
      <c r="J11" s="551" t="n">
        <f aca="false">Rev_Exp!H11</f>
        <v>12</v>
      </c>
      <c r="K11" s="551" t="n">
        <f aca="false">Rev_Exp!I11</f>
        <v>12</v>
      </c>
      <c r="L11" s="551" t="n">
        <f aca="false">Rev_Exp!J11</f>
        <v>12</v>
      </c>
      <c r="M11" s="551" t="n">
        <f aca="false">Rev_Exp!K11</f>
        <v>12</v>
      </c>
      <c r="N11" s="551" t="n">
        <f aca="false">Rev_Exp!L11</f>
        <v>12</v>
      </c>
      <c r="O11" s="551" t="n">
        <f aca="false">Rev_Exp!M11</f>
        <v>12</v>
      </c>
      <c r="P11" s="551" t="n">
        <f aca="false">Rev_Exp!N11</f>
        <v>12</v>
      </c>
      <c r="Q11" s="551" t="n">
        <f aca="false">Rev_Exp!O11</f>
        <v>12</v>
      </c>
      <c r="R11" s="551" t="n">
        <f aca="false">Rev_Exp!P11</f>
        <v>12</v>
      </c>
      <c r="S11" s="551" t="n">
        <f aca="false">Rev_Exp!Q11</f>
        <v>12</v>
      </c>
      <c r="T11" s="551" t="n">
        <f aca="false">Rev_Exp!R11</f>
        <v>12</v>
      </c>
      <c r="U11" s="551" t="n">
        <f aca="false">Rev_Exp!S11</f>
        <v>12</v>
      </c>
      <c r="V11" s="551" t="n">
        <f aca="false">Rev_Exp!T11</f>
        <v>12</v>
      </c>
      <c r="W11" s="551" t="n">
        <f aca="false">Rev_Exp!U11</f>
        <v>12</v>
      </c>
      <c r="X11" s="551" t="n">
        <f aca="false">Rev_Exp!V11</f>
        <v>12</v>
      </c>
      <c r="Y11" s="551" t="n">
        <f aca="false">Rev_Exp!W11</f>
        <v>12</v>
      </c>
      <c r="Z11" s="551" t="n">
        <f aca="false">Rev_Exp!X11</f>
        <v>12</v>
      </c>
      <c r="AA11" s="551" t="n">
        <f aca="false">Rev_Exp!Y11</f>
        <v>4</v>
      </c>
      <c r="AB11" s="740" t="n">
        <f aca="false">SUM(E11:AA11)</f>
        <v>213</v>
      </c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</row>
    <row r="12" customFormat="false" ht="12.75" hidden="false" customHeight="false" outlineLevel="0" collapsed="false">
      <c r="A12" s="55" t="s">
        <v>770</v>
      </c>
      <c r="B12" s="38"/>
      <c r="C12" s="62"/>
      <c r="D12" s="62"/>
      <c r="E12" s="553" t="n">
        <f aca="false">Rev_Exp!C12</f>
        <v>0</v>
      </c>
      <c r="F12" s="553" t="n">
        <f aca="false">Rev_Exp!D12</f>
        <v>0</v>
      </c>
      <c r="G12" s="553" t="n">
        <f aca="false">Rev_Exp!E12</f>
        <v>9</v>
      </c>
      <c r="H12" s="553" t="n">
        <f aca="false">Rev_Exp!F12</f>
        <v>12</v>
      </c>
      <c r="I12" s="553" t="n">
        <f aca="false">Rev_Exp!G12</f>
        <v>12</v>
      </c>
      <c r="J12" s="553" t="n">
        <f aca="false">Rev_Exp!H12</f>
        <v>12</v>
      </c>
      <c r="K12" s="553" t="n">
        <f aca="false">Rev_Exp!I12</f>
        <v>12</v>
      </c>
      <c r="L12" s="553" t="n">
        <f aca="false">Rev_Exp!J12</f>
        <v>12</v>
      </c>
      <c r="M12" s="553" t="n">
        <f aca="false">Rev_Exp!K12</f>
        <v>12</v>
      </c>
      <c r="N12" s="553" t="n">
        <f aca="false">Rev_Exp!L12</f>
        <v>12</v>
      </c>
      <c r="O12" s="553" t="n">
        <f aca="false">Rev_Exp!M12</f>
        <v>12</v>
      </c>
      <c r="P12" s="553" t="n">
        <f aca="false">Rev_Exp!N12</f>
        <v>12</v>
      </c>
      <c r="Q12" s="553" t="n">
        <f aca="false">Rev_Exp!O12</f>
        <v>12</v>
      </c>
      <c r="R12" s="553" t="n">
        <f aca="false">Rev_Exp!P12</f>
        <v>12</v>
      </c>
      <c r="S12" s="553" t="n">
        <f aca="false">Rev_Exp!Q12</f>
        <v>12</v>
      </c>
      <c r="T12" s="553" t="n">
        <f aca="false">Rev_Exp!R12</f>
        <v>12</v>
      </c>
      <c r="U12" s="553" t="n">
        <f aca="false">Rev_Exp!S12</f>
        <v>12</v>
      </c>
      <c r="V12" s="553" t="n">
        <f aca="false">Rev_Exp!T12</f>
        <v>12</v>
      </c>
      <c r="W12" s="553" t="n">
        <f aca="false">Rev_Exp!U12</f>
        <v>12</v>
      </c>
      <c r="X12" s="553" t="n">
        <f aca="false">Rev_Exp!V12</f>
        <v>12</v>
      </c>
      <c r="Y12" s="553" t="n">
        <f aca="false">Rev_Exp!W12</f>
        <v>12</v>
      </c>
      <c r="Z12" s="553" t="n">
        <f aca="false">Rev_Exp!X12</f>
        <v>12</v>
      </c>
      <c r="AA12" s="553" t="n">
        <f aca="false">Rev_Exp!Y12</f>
        <v>4</v>
      </c>
      <c r="AB12" s="741" t="n">
        <f aca="false">SUM(E12:AA12)</f>
        <v>241</v>
      </c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</row>
    <row r="13" customFormat="false" ht="12.75" hidden="false" customHeight="false" outlineLevel="0" collapsed="false">
      <c r="A13" s="744"/>
      <c r="B13" s="38"/>
      <c r="C13" s="388"/>
      <c r="D13" s="388"/>
      <c r="E13" s="388"/>
      <c r="F13" s="388"/>
      <c r="G13" s="388"/>
      <c r="H13" s="388"/>
      <c r="I13" s="388"/>
      <c r="J13" s="388"/>
      <c r="K13" s="388"/>
      <c r="L13" s="388"/>
      <c r="M13" s="388"/>
      <c r="N13" s="388"/>
      <c r="O13" s="388"/>
      <c r="P13" s="388"/>
      <c r="Q13" s="388"/>
      <c r="R13" s="388"/>
      <c r="S13" s="388"/>
      <c r="T13" s="388"/>
      <c r="U13" s="388"/>
      <c r="V13" s="388"/>
      <c r="W13" s="388"/>
      <c r="X13" s="388"/>
      <c r="Y13" s="388"/>
      <c r="Z13" s="388"/>
      <c r="AA13" s="388"/>
      <c r="AB13" s="614"/>
      <c r="AC13" s="0"/>
      <c r="AD13" s="38"/>
      <c r="AE13" s="38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</row>
    <row r="14" customFormat="false" ht="12.75" hidden="false" customHeight="false" outlineLevel="0" collapsed="false">
      <c r="A14" s="771" t="s">
        <v>1013</v>
      </c>
      <c r="B14" s="38"/>
      <c r="C14" s="38"/>
      <c r="D14" s="656"/>
      <c r="E14" s="656"/>
      <c r="F14" s="656"/>
      <c r="G14" s="656"/>
      <c r="H14" s="656"/>
      <c r="I14" s="656"/>
      <c r="J14" s="656"/>
      <c r="K14" s="656"/>
      <c r="L14" s="656"/>
      <c r="M14" s="656"/>
      <c r="N14" s="656"/>
      <c r="O14" s="656"/>
      <c r="P14" s="656"/>
      <c r="Q14" s="656"/>
      <c r="R14" s="656"/>
      <c r="S14" s="656"/>
      <c r="T14" s="656"/>
      <c r="U14" s="656"/>
      <c r="V14" s="656"/>
      <c r="W14" s="656"/>
      <c r="X14" s="656"/>
      <c r="Y14" s="656"/>
      <c r="Z14" s="656"/>
      <c r="AA14" s="656"/>
      <c r="AB14" s="614"/>
      <c r="AC14" s="0"/>
      <c r="AD14" s="38"/>
      <c r="AE14" s="38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</row>
    <row r="15" customFormat="false" ht="12.75" hidden="false" customHeight="false" outlineLevel="0" collapsed="false">
      <c r="A15" s="146"/>
      <c r="B15" s="38" t="s">
        <v>1014</v>
      </c>
      <c r="C15" s="38"/>
      <c r="D15" s="656"/>
      <c r="E15" s="189" t="n">
        <v>0</v>
      </c>
      <c r="F15" s="217" t="n">
        <f aca="false">E19</f>
        <v>0</v>
      </c>
      <c r="G15" s="217" t="n">
        <f aca="false">F19</f>
        <v>92793.5702049191</v>
      </c>
      <c r="H15" s="217" t="n">
        <f aca="false">G19</f>
        <v>86332.4512474571</v>
      </c>
      <c r="I15" s="217" t="n">
        <f aca="false">H19</f>
        <v>83181.4103940431</v>
      </c>
      <c r="J15" s="217" t="n">
        <f aca="false">I19</f>
        <v>80169.8936311391</v>
      </c>
      <c r="K15" s="217" t="n">
        <f aca="false">J19</f>
        <v>78518.2219278152</v>
      </c>
      <c r="L15" s="217" t="n">
        <f aca="false">K19</f>
        <v>80238.6051010423</v>
      </c>
      <c r="M15" s="217" t="n">
        <f aca="false">L19</f>
        <v>93049.9978956726</v>
      </c>
      <c r="N15" s="217" t="n">
        <f aca="false">M19</f>
        <v>99883.5383241423</v>
      </c>
      <c r="O15" s="217" t="n">
        <f aca="false">N19</f>
        <v>107399.471971858</v>
      </c>
      <c r="P15" s="217" t="n">
        <f aca="false">O19</f>
        <v>113572.527672617</v>
      </c>
      <c r="Q15" s="217" t="n">
        <f aca="false">P19</f>
        <v>113572.527672617</v>
      </c>
      <c r="R15" s="217" t="n">
        <f aca="false">Q19</f>
        <v>113572.527672617</v>
      </c>
      <c r="S15" s="217" t="n">
        <f aca="false">R19</f>
        <v>113572.527672617</v>
      </c>
      <c r="T15" s="217" t="n">
        <f aca="false">S19</f>
        <v>113572.527672617</v>
      </c>
      <c r="U15" s="217" t="n">
        <f aca="false">T19</f>
        <v>113572.527672617</v>
      </c>
      <c r="V15" s="217" t="n">
        <f aca="false">U19</f>
        <v>113572.527672617</v>
      </c>
      <c r="W15" s="217" t="n">
        <f aca="false">V19</f>
        <v>113572.527672617</v>
      </c>
      <c r="X15" s="217" t="n">
        <f aca="false">W19</f>
        <v>106077.299158753</v>
      </c>
      <c r="Y15" s="217" t="n">
        <f aca="false">X19</f>
        <v>94363.7314530575</v>
      </c>
      <c r="Z15" s="217" t="n">
        <f aca="false">Y19</f>
        <v>81254.4269220394</v>
      </c>
      <c r="AA15" s="217" t="n">
        <f aca="false">Z19</f>
        <v>73274.6119570216</v>
      </c>
      <c r="AB15" s="574" t="n">
        <f aca="false">E15</f>
        <v>0</v>
      </c>
      <c r="AC15" s="0"/>
      <c r="AD15" s="38"/>
      <c r="AE15" s="38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</row>
    <row r="16" customFormat="false" ht="12.75" hidden="false" customHeight="false" outlineLevel="0" collapsed="false">
      <c r="A16" s="146"/>
      <c r="B16" s="38" t="s">
        <v>1015</v>
      </c>
      <c r="C16" s="38"/>
      <c r="D16" s="656"/>
      <c r="E16" s="217" t="n">
        <f aca="false">-'Project &amp; Investor Returns'!E13</f>
        <v>0</v>
      </c>
      <c r="F16" s="217" t="n">
        <f aca="false">-'Project &amp; Investor Returns'!F13</f>
        <v>92793.5702049191</v>
      </c>
      <c r="G16" s="217" t="n">
        <f aca="false">-'Project &amp; Investor Returns'!G13</f>
        <v>-0</v>
      </c>
      <c r="H16" s="217" t="n">
        <f aca="false">-'Project &amp; Investor Returns'!H13</f>
        <v>-0</v>
      </c>
      <c r="I16" s="217" t="n">
        <f aca="false">-'Project &amp; Investor Returns'!I13</f>
        <v>-0</v>
      </c>
      <c r="J16" s="217" t="n">
        <f aca="false">-'Project &amp; Investor Returns'!J13</f>
        <v>-0</v>
      </c>
      <c r="K16" s="217" t="n">
        <f aca="false">-'Project &amp; Investor Returns'!K13</f>
        <v>-0</v>
      </c>
      <c r="L16" s="217" t="n">
        <f aca="false">-'Project &amp; Investor Returns'!L13</f>
        <v>-0</v>
      </c>
      <c r="M16" s="217" t="n">
        <f aca="false">-'Project &amp; Investor Returns'!M13</f>
        <v>-0</v>
      </c>
      <c r="N16" s="217" t="n">
        <f aca="false">-'Project &amp; Investor Returns'!N13</f>
        <v>-0</v>
      </c>
      <c r="O16" s="217" t="n">
        <f aca="false">-'Project &amp; Investor Returns'!O13</f>
        <v>-0</v>
      </c>
      <c r="P16" s="217" t="n">
        <f aca="false">-'Project &amp; Investor Returns'!P13</f>
        <v>-0</v>
      </c>
      <c r="Q16" s="217" t="n">
        <f aca="false">-'Project &amp; Investor Returns'!Q13</f>
        <v>-0</v>
      </c>
      <c r="R16" s="217" t="n">
        <f aca="false">-'Project &amp; Investor Returns'!R13</f>
        <v>-0</v>
      </c>
      <c r="S16" s="217" t="n">
        <f aca="false">-'Project &amp; Investor Returns'!S13</f>
        <v>-0</v>
      </c>
      <c r="T16" s="217" t="n">
        <f aca="false">-'Project &amp; Investor Returns'!T13</f>
        <v>-0</v>
      </c>
      <c r="U16" s="217" t="n">
        <f aca="false">-'Project &amp; Investor Returns'!U13</f>
        <v>-0</v>
      </c>
      <c r="V16" s="217" t="n">
        <f aca="false">-'Project &amp; Investor Returns'!V13</f>
        <v>-0</v>
      </c>
      <c r="W16" s="217" t="n">
        <f aca="false">-'Project &amp; Investor Returns'!W13</f>
        <v>-0</v>
      </c>
      <c r="X16" s="217" t="n">
        <f aca="false">-'Project &amp; Investor Returns'!X13</f>
        <v>-0</v>
      </c>
      <c r="Y16" s="217" t="n">
        <f aca="false">-'Project &amp; Investor Returns'!Y13</f>
        <v>-0</v>
      </c>
      <c r="Z16" s="217" t="n">
        <f aca="false">-'Project &amp; Investor Returns'!Z13</f>
        <v>-0</v>
      </c>
      <c r="AA16" s="217" t="n">
        <f aca="false">-'Project &amp; Investor Returns'!AA13</f>
        <v>-0</v>
      </c>
      <c r="AB16" s="574" t="n">
        <f aca="false">SUM(E16:AA16)</f>
        <v>92793.5702049191</v>
      </c>
      <c r="AC16" s="0"/>
      <c r="AD16" s="38"/>
      <c r="AE16" s="38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</row>
    <row r="17" customFormat="false" ht="12.75" hidden="false" customHeight="false" outlineLevel="0" collapsed="false">
      <c r="A17" s="146"/>
      <c r="B17" s="38" t="s">
        <v>1016</v>
      </c>
      <c r="C17" s="38"/>
      <c r="D17" s="656"/>
      <c r="E17" s="217" t="n">
        <f aca="false">BS_IS!G62*'Project &amp; Investor Returns'!E$10</f>
        <v>0</v>
      </c>
      <c r="F17" s="217" t="n">
        <f aca="false">BS_IS!H62*'Project &amp; Investor Returns'!F$10</f>
        <v>0</v>
      </c>
      <c r="G17" s="217" t="n">
        <f aca="false">BS_IS!I62*'Project &amp; Investor Returns'!G$10</f>
        <v>-6461.11895746196</v>
      </c>
      <c r="H17" s="217" t="n">
        <f aca="false">BS_IS!J62*'Project &amp; Investor Returns'!H$10</f>
        <v>-3151.04085341403</v>
      </c>
      <c r="I17" s="217" t="n">
        <f aca="false">BS_IS!K62*'Project &amp; Investor Returns'!I$10</f>
        <v>-3011.51676290401</v>
      </c>
      <c r="J17" s="217" t="n">
        <f aca="false">BS_IS!L62*'Project &amp; Investor Returns'!J$10</f>
        <v>-1651.67170332393</v>
      </c>
      <c r="K17" s="217" t="n">
        <f aca="false">BS_IS!M62*'Project &amp; Investor Returns'!K$10</f>
        <v>1720.38317322713</v>
      </c>
      <c r="L17" s="217" t="n">
        <f aca="false">BS_IS!N62*'Project &amp; Investor Returns'!L$10</f>
        <v>12811.3927946303</v>
      </c>
      <c r="M17" s="217" t="n">
        <f aca="false">BS_IS!O62*'Project &amp; Investor Returns'!M$10</f>
        <v>6833.54042846963</v>
      </c>
      <c r="N17" s="217" t="n">
        <f aca="false">BS_IS!P62*'Project &amp; Investor Returns'!N$10</f>
        <v>7515.93364771588</v>
      </c>
      <c r="O17" s="217" t="n">
        <f aca="false">BS_IS!Q62*'Project &amp; Investor Returns'!O$10</f>
        <v>8470.11457312066</v>
      </c>
      <c r="P17" s="217" t="n">
        <f aca="false">BS_IS!R62*'Project &amp; Investor Returns'!P$10</f>
        <v>5944.79635653063</v>
      </c>
      <c r="Q17" s="217" t="n">
        <f aca="false">BS_IS!S62*'Project &amp; Investor Returns'!Q$10</f>
        <v>6215.41206820371</v>
      </c>
      <c r="R17" s="217" t="n">
        <f aca="false">BS_IS!T62*'Project &amp; Investor Returns'!R$10</f>
        <v>7153.91447033935</v>
      </c>
      <c r="S17" s="217" t="n">
        <f aca="false">BS_IS!U62*'Project &amp; Investor Returns'!S$10</f>
        <v>7772.62295499895</v>
      </c>
      <c r="T17" s="217" t="n">
        <f aca="false">BS_IS!V62*'Project &amp; Investor Returns'!T$10</f>
        <v>5510.88806783188</v>
      </c>
      <c r="U17" s="217" t="n">
        <f aca="false">BS_IS!W62*'Project &amp; Investor Returns'!U$10</f>
        <v>7093.26246476228</v>
      </c>
      <c r="V17" s="217" t="n">
        <f aca="false">BS_IS!X62*'Project &amp; Investor Returns'!V$10</f>
        <v>2410.50492318656</v>
      </c>
      <c r="W17" s="217" t="n">
        <f aca="false">BS_IS!Y62*'Project &amp; Investor Returns'!W$10</f>
        <v>-7495.22851386407</v>
      </c>
      <c r="X17" s="217" t="n">
        <f aca="false">BS_IS!Z62*'Project &amp; Investor Returns'!X$10</f>
        <v>-11713.5677056956</v>
      </c>
      <c r="Y17" s="217" t="n">
        <f aca="false">BS_IS!AA62*'Project &amp; Investor Returns'!Y$10</f>
        <v>-13109.3045310181</v>
      </c>
      <c r="Z17" s="217" t="n">
        <f aca="false">BS_IS!AB62*'Project &amp; Investor Returns'!Z$10</f>
        <v>-7979.81496501777</v>
      </c>
      <c r="AA17" s="217" t="n">
        <f aca="false">BS_IS!AC62*'Project &amp; Investor Returns'!AA$10</f>
        <v>-2473.55875050334</v>
      </c>
      <c r="AB17" s="574" t="n">
        <f aca="false">SUM(E17:AA17)</f>
        <v>22405.9431798142</v>
      </c>
      <c r="AC17" s="0"/>
      <c r="AD17" s="38"/>
      <c r="AE17" s="38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</row>
    <row r="18" customFormat="false" ht="12.75" hidden="false" customHeight="false" outlineLevel="0" collapsed="false">
      <c r="A18" s="146"/>
      <c r="B18" s="38" t="s">
        <v>1017</v>
      </c>
      <c r="C18" s="38"/>
      <c r="D18" s="656"/>
      <c r="E18" s="220" t="n">
        <f aca="false">BS_IS!G99*'Project &amp; Investor Returns'!E$10</f>
        <v>0</v>
      </c>
      <c r="F18" s="220" t="n">
        <f aca="false">BS_IS!H99*'Project &amp; Investor Returns'!F$10</f>
        <v>0</v>
      </c>
      <c r="G18" s="220" t="n">
        <f aca="false">BS_IS!I99*'Project &amp; Investor Returns'!G$10</f>
        <v>-0</v>
      </c>
      <c r="H18" s="220" t="n">
        <f aca="false">BS_IS!J99*'Project &amp; Investor Returns'!H$10</f>
        <v>-0</v>
      </c>
      <c r="I18" s="220" t="n">
        <f aca="false">BS_IS!K99*'Project &amp; Investor Returns'!I$10</f>
        <v>-0</v>
      </c>
      <c r="J18" s="220" t="n">
        <f aca="false">BS_IS!L99*'Project &amp; Investor Returns'!J$10</f>
        <v>-0</v>
      </c>
      <c r="K18" s="220" t="n">
        <f aca="false">BS_IS!M99*'Project &amp; Investor Returns'!K$10</f>
        <v>-0</v>
      </c>
      <c r="L18" s="220" t="n">
        <f aca="false">BS_IS!N99*'Project &amp; Investor Returns'!L$10</f>
        <v>-0</v>
      </c>
      <c r="M18" s="220" t="n">
        <f aca="false">BS_IS!O99*'Project &amp; Investor Returns'!M$10</f>
        <v>-0</v>
      </c>
      <c r="N18" s="220" t="n">
        <f aca="false">BS_IS!P99*'Project &amp; Investor Returns'!N$10</f>
        <v>-0</v>
      </c>
      <c r="O18" s="220" t="n">
        <f aca="false">BS_IS!Q99*'Project &amp; Investor Returns'!O$10</f>
        <v>-2297.05887236159</v>
      </c>
      <c r="P18" s="220" t="n">
        <f aca="false">BS_IS!R99*'Project &amp; Investor Returns'!P$10</f>
        <v>-5944.79635653065</v>
      </c>
      <c r="Q18" s="220" t="n">
        <f aca="false">BS_IS!S99*'Project &amp; Investor Returns'!Q$10</f>
        <v>-6215.41206820371</v>
      </c>
      <c r="R18" s="220" t="n">
        <f aca="false">BS_IS!T99*'Project &amp; Investor Returns'!R$10</f>
        <v>-7153.91447033936</v>
      </c>
      <c r="S18" s="220" t="n">
        <f aca="false">BS_IS!U99*'Project &amp; Investor Returns'!S$10</f>
        <v>-7772.62295499896</v>
      </c>
      <c r="T18" s="220" t="n">
        <f aca="false">BS_IS!V99*'Project &amp; Investor Returns'!T$10</f>
        <v>-5510.88806783188</v>
      </c>
      <c r="U18" s="220" t="n">
        <f aca="false">BS_IS!W99*'Project &amp; Investor Returns'!U$10</f>
        <v>-7093.26246476228</v>
      </c>
      <c r="V18" s="220" t="n">
        <f aca="false">BS_IS!X99*'Project &amp; Investor Returns'!V$10</f>
        <v>-2410.50492318655</v>
      </c>
      <c r="W18" s="220" t="n">
        <f aca="false">BS_IS!Y99*'Project &amp; Investor Returns'!W$10</f>
        <v>-0</v>
      </c>
      <c r="X18" s="220" t="n">
        <f aca="false">BS_IS!Z99*'Project &amp; Investor Returns'!X$10</f>
        <v>-0</v>
      </c>
      <c r="Y18" s="220" t="n">
        <f aca="false">BS_IS!AA99*'Project &amp; Investor Returns'!Y$10</f>
        <v>-0</v>
      </c>
      <c r="Z18" s="220" t="n">
        <f aca="false">BS_IS!AB99*'Project &amp; Investor Returns'!Z$10</f>
        <v>-0</v>
      </c>
      <c r="AA18" s="220" t="n">
        <f aca="false">BS_IS!AC99*'Project &amp; Investor Returns'!AA$10</f>
        <v>-44618.2852720911</v>
      </c>
      <c r="AB18" s="576" t="n">
        <f aca="false">SUM(E18:AA18)</f>
        <v>-89016.7454503061</v>
      </c>
      <c r="AC18" s="0"/>
      <c r="AD18" s="38"/>
      <c r="AE18" s="38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</row>
    <row r="19" customFormat="false" ht="12.75" hidden="false" customHeight="false" outlineLevel="0" collapsed="false">
      <c r="A19" s="146"/>
      <c r="B19" s="38" t="s">
        <v>1018</v>
      </c>
      <c r="C19" s="38"/>
      <c r="D19" s="656"/>
      <c r="E19" s="217" t="n">
        <f aca="false">SUM(E15:E18)</f>
        <v>0</v>
      </c>
      <c r="F19" s="217" t="n">
        <f aca="false">SUM(F15:F18)</f>
        <v>92793.5702049191</v>
      </c>
      <c r="G19" s="217" t="n">
        <f aca="false">SUM(G15:G18)</f>
        <v>86332.4512474571</v>
      </c>
      <c r="H19" s="217" t="n">
        <f aca="false">SUM(H15:H18)</f>
        <v>83181.4103940431</v>
      </c>
      <c r="I19" s="217" t="n">
        <f aca="false">SUM(I15:I18)</f>
        <v>80169.8936311391</v>
      </c>
      <c r="J19" s="217" t="n">
        <f aca="false">SUM(J15:J18)</f>
        <v>78518.2219278152</v>
      </c>
      <c r="K19" s="217" t="n">
        <f aca="false">SUM(K15:K18)</f>
        <v>80238.6051010423</v>
      </c>
      <c r="L19" s="217" t="n">
        <f aca="false">SUM(L15:L18)</f>
        <v>93049.9978956726</v>
      </c>
      <c r="M19" s="217" t="n">
        <f aca="false">SUM(M15:M18)</f>
        <v>99883.5383241423</v>
      </c>
      <c r="N19" s="217" t="n">
        <f aca="false">SUM(N15:N18)</f>
        <v>107399.471971858</v>
      </c>
      <c r="O19" s="217" t="n">
        <f aca="false">SUM(O15:O18)</f>
        <v>113572.527672617</v>
      </c>
      <c r="P19" s="217" t="n">
        <f aca="false">SUM(P15:P18)</f>
        <v>113572.527672617</v>
      </c>
      <c r="Q19" s="217" t="n">
        <f aca="false">SUM(Q15:Q18)</f>
        <v>113572.527672617</v>
      </c>
      <c r="R19" s="217" t="n">
        <f aca="false">SUM(R15:R18)</f>
        <v>113572.527672617</v>
      </c>
      <c r="S19" s="217" t="n">
        <f aca="false">SUM(S15:S18)</f>
        <v>113572.527672617</v>
      </c>
      <c r="T19" s="217" t="n">
        <f aca="false">SUM(T15:T18)</f>
        <v>113572.527672617</v>
      </c>
      <c r="U19" s="217" t="n">
        <f aca="false">SUM(U15:U18)</f>
        <v>113572.527672617</v>
      </c>
      <c r="V19" s="217" t="n">
        <f aca="false">SUM(V15:V18)</f>
        <v>113572.527672617</v>
      </c>
      <c r="W19" s="217" t="n">
        <f aca="false">SUM(W15:W18)</f>
        <v>106077.299158753</v>
      </c>
      <c r="X19" s="217" t="n">
        <f aca="false">SUM(X15:X18)</f>
        <v>94363.7314530575</v>
      </c>
      <c r="Y19" s="217" t="n">
        <f aca="false">SUM(Y15:Y18)</f>
        <v>81254.4269220394</v>
      </c>
      <c r="Z19" s="217" t="n">
        <f aca="false">SUM(Z15:Z18)</f>
        <v>73274.6119570216</v>
      </c>
      <c r="AA19" s="217" t="n">
        <f aca="false">SUM(AA15:AA18)</f>
        <v>26182.7679344272</v>
      </c>
      <c r="AB19" s="574" t="n">
        <f aca="false">SUM(AB15:AB18)</f>
        <v>26182.7679344272</v>
      </c>
      <c r="AC19" s="388"/>
      <c r="AD19" s="38"/>
      <c r="AE19" s="38"/>
      <c r="AF19" s="388"/>
      <c r="AG19" s="388"/>
      <c r="AH19" s="388"/>
      <c r="AI19" s="388"/>
      <c r="AJ19" s="388"/>
      <c r="AK19" s="388"/>
      <c r="AL19" s="388"/>
      <c r="AM19" s="388"/>
      <c r="AN19" s="388"/>
      <c r="AO19" s="388"/>
      <c r="AP19" s="388"/>
      <c r="AQ19" s="388"/>
      <c r="AR19" s="388"/>
      <c r="AS19" s="388"/>
      <c r="AT19" s="388"/>
      <c r="AU19" s="388"/>
      <c r="AV19" s="388"/>
      <c r="AW19" s="388"/>
      <c r="AX19" s="388"/>
      <c r="AY19" s="388"/>
      <c r="AZ19" s="388"/>
      <c r="BA19" s="388"/>
      <c r="BB19" s="388"/>
      <c r="BC19" s="388"/>
      <c r="BD19" s="388"/>
      <c r="BE19" s="388"/>
      <c r="BF19" s="388"/>
      <c r="BG19" s="388"/>
      <c r="BH19" s="388"/>
      <c r="BI19" s="388"/>
      <c r="BJ19" s="388"/>
      <c r="BK19" s="388"/>
      <c r="BL19" s="388"/>
      <c r="BM19" s="388"/>
      <c r="BN19" s="388"/>
      <c r="BO19" s="388"/>
      <c r="BP19" s="388"/>
      <c r="BQ19" s="388"/>
      <c r="BR19" s="388"/>
      <c r="BS19" s="388"/>
      <c r="BT19" s="388"/>
      <c r="BU19" s="388"/>
      <c r="BV19" s="388"/>
      <c r="BW19" s="388"/>
      <c r="BX19" s="388"/>
      <c r="BY19" s="388"/>
      <c r="BZ19" s="388"/>
      <c r="CA19" s="388"/>
      <c r="CB19" s="388"/>
      <c r="CC19" s="388"/>
      <c r="CD19" s="388"/>
      <c r="CE19" s="388"/>
      <c r="CF19" s="388"/>
      <c r="CG19" s="388"/>
      <c r="CH19" s="388"/>
      <c r="CI19" s="388"/>
      <c r="CJ19" s="388"/>
      <c r="CK19" s="388"/>
      <c r="CL19" s="388"/>
      <c r="CM19" s="388"/>
      <c r="CN19" s="388"/>
      <c r="CO19" s="388"/>
      <c r="CP19" s="388"/>
      <c r="CQ19" s="388"/>
      <c r="CR19" s="388"/>
      <c r="CS19" s="388"/>
      <c r="CT19" s="388"/>
      <c r="CU19" s="388"/>
      <c r="CV19" s="388"/>
      <c r="CW19" s="388"/>
      <c r="CX19" s="388"/>
      <c r="CY19" s="388"/>
      <c r="CZ19" s="388"/>
      <c r="DA19" s="388"/>
      <c r="DB19" s="388"/>
      <c r="DC19" s="388"/>
      <c r="DD19" s="388"/>
      <c r="DE19" s="388"/>
      <c r="DF19" s="388"/>
      <c r="DG19" s="388"/>
      <c r="DH19" s="388"/>
      <c r="DI19" s="388"/>
      <c r="DJ19" s="388"/>
      <c r="DK19" s="388"/>
      <c r="DL19" s="388"/>
      <c r="DM19" s="388"/>
      <c r="DN19" s="388"/>
      <c r="DO19" s="388"/>
      <c r="DP19" s="388"/>
      <c r="DQ19" s="388"/>
      <c r="DR19" s="388"/>
      <c r="DS19" s="388"/>
      <c r="DT19" s="388"/>
      <c r="DU19" s="388"/>
      <c r="DV19" s="388"/>
      <c r="DW19" s="388"/>
      <c r="DX19" s="388"/>
      <c r="DY19" s="388"/>
      <c r="DZ19" s="388"/>
      <c r="EA19" s="388"/>
      <c r="EB19" s="388"/>
      <c r="EC19" s="388"/>
      <c r="ED19" s="388"/>
      <c r="EE19" s="388"/>
      <c r="EF19" s="388"/>
      <c r="EG19" s="388"/>
      <c r="EH19" s="388"/>
      <c r="EI19" s="388"/>
      <c r="EJ19" s="388"/>
      <c r="EK19" s="388"/>
      <c r="EL19" s="388"/>
      <c r="EM19" s="388"/>
      <c r="EN19" s="388"/>
      <c r="EO19" s="388"/>
      <c r="EP19" s="388"/>
      <c r="EQ19" s="388"/>
      <c r="ER19" s="388"/>
      <c r="ES19" s="388"/>
      <c r="ET19" s="388"/>
      <c r="EU19" s="388"/>
      <c r="EV19" s="388"/>
      <c r="EW19" s="388"/>
      <c r="EX19" s="388"/>
      <c r="EY19" s="388"/>
      <c r="EZ19" s="388"/>
      <c r="FA19" s="388"/>
      <c r="FB19" s="388"/>
      <c r="FC19" s="388"/>
      <c r="FD19" s="388"/>
      <c r="FE19" s="388"/>
      <c r="FF19" s="388"/>
      <c r="FG19" s="388"/>
      <c r="FH19" s="388"/>
      <c r="FI19" s="388"/>
      <c r="FJ19" s="388"/>
      <c r="FK19" s="388"/>
      <c r="FL19" s="388"/>
      <c r="FM19" s="388"/>
      <c r="FN19" s="388"/>
      <c r="FO19" s="388"/>
      <c r="FP19" s="388"/>
      <c r="FQ19" s="388"/>
      <c r="FR19" s="388"/>
      <c r="FS19" s="388"/>
      <c r="FT19" s="388"/>
      <c r="FU19" s="388"/>
      <c r="FV19" s="388"/>
      <c r="FW19" s="388"/>
      <c r="FX19" s="388"/>
      <c r="FY19" s="388"/>
      <c r="FZ19" s="388"/>
      <c r="GA19" s="388"/>
      <c r="GB19" s="388"/>
      <c r="GC19" s="388"/>
      <c r="GD19" s="388"/>
      <c r="GE19" s="388"/>
      <c r="GF19" s="388"/>
      <c r="GG19" s="388"/>
      <c r="GH19" s="388"/>
      <c r="GI19" s="388"/>
      <c r="GJ19" s="388"/>
      <c r="GK19" s="388"/>
      <c r="GL19" s="388"/>
      <c r="GM19" s="388"/>
      <c r="GN19" s="388"/>
      <c r="GO19" s="388"/>
      <c r="GP19" s="388"/>
      <c r="GQ19" s="388"/>
      <c r="GR19" s="388"/>
      <c r="GS19" s="388"/>
      <c r="GT19" s="388"/>
      <c r="GU19" s="388"/>
      <c r="GV19" s="388"/>
      <c r="GW19" s="388"/>
      <c r="GX19" s="388"/>
      <c r="GY19" s="388"/>
      <c r="GZ19" s="388"/>
      <c r="HA19" s="388"/>
      <c r="HB19" s="388"/>
      <c r="HC19" s="388"/>
      <c r="HD19" s="388"/>
      <c r="HE19" s="388"/>
      <c r="HF19" s="388"/>
      <c r="HG19" s="388"/>
      <c r="HH19" s="388"/>
      <c r="HI19" s="388"/>
      <c r="HJ19" s="388"/>
      <c r="HK19" s="388"/>
      <c r="HL19" s="388"/>
      <c r="HM19" s="388"/>
      <c r="HN19" s="388"/>
      <c r="HO19" s="388"/>
      <c r="HP19" s="388"/>
      <c r="HQ19" s="388"/>
      <c r="HR19" s="388"/>
      <c r="HS19" s="388"/>
      <c r="HT19" s="388"/>
      <c r="HU19" s="388"/>
      <c r="HV19" s="388"/>
      <c r="HW19" s="388"/>
      <c r="HX19" s="388"/>
      <c r="HY19" s="388"/>
      <c r="HZ19" s="388"/>
      <c r="IA19" s="388"/>
      <c r="IB19" s="388"/>
      <c r="IC19" s="388"/>
      <c r="ID19" s="388"/>
      <c r="IE19" s="388"/>
      <c r="IF19" s="388"/>
      <c r="IG19" s="388"/>
      <c r="IH19" s="388"/>
      <c r="II19" s="388"/>
      <c r="IJ19" s="388"/>
      <c r="IK19" s="388"/>
      <c r="IL19" s="388"/>
      <c r="IM19" s="388"/>
      <c r="IN19" s="388"/>
      <c r="IO19" s="388"/>
      <c r="IP19" s="388"/>
      <c r="IQ19" s="388"/>
      <c r="IR19" s="388"/>
      <c r="IS19" s="388"/>
      <c r="IT19" s="388"/>
      <c r="IU19" s="388"/>
      <c r="IV19" s="388"/>
      <c r="IW19" s="388"/>
    </row>
    <row r="20" customFormat="false" ht="12.75" hidden="false" customHeight="false" outlineLevel="0" collapsed="false">
      <c r="A20" s="744"/>
      <c r="B20" s="38"/>
      <c r="C20" s="388"/>
      <c r="D20" s="388"/>
      <c r="E20" s="388"/>
      <c r="F20" s="388"/>
      <c r="G20" s="388"/>
      <c r="H20" s="388"/>
      <c r="I20" s="388"/>
      <c r="J20" s="388"/>
      <c r="K20" s="388"/>
      <c r="L20" s="388"/>
      <c r="M20" s="388"/>
      <c r="N20" s="388"/>
      <c r="O20" s="388"/>
      <c r="P20" s="388"/>
      <c r="Q20" s="388"/>
      <c r="R20" s="388"/>
      <c r="S20" s="388"/>
      <c r="T20" s="388"/>
      <c r="U20" s="388"/>
      <c r="V20" s="388"/>
      <c r="W20" s="388"/>
      <c r="X20" s="388"/>
      <c r="Y20" s="388"/>
      <c r="Z20" s="388"/>
      <c r="AA20" s="388"/>
      <c r="AB20" s="614"/>
      <c r="AC20" s="388"/>
      <c r="AD20" s="38"/>
      <c r="AE20" s="38"/>
      <c r="AF20" s="388"/>
      <c r="AG20" s="388"/>
      <c r="AH20" s="388"/>
      <c r="AI20" s="388"/>
      <c r="AJ20" s="388"/>
      <c r="AK20" s="388"/>
      <c r="AL20" s="388"/>
      <c r="AM20" s="388"/>
      <c r="AN20" s="388"/>
      <c r="AO20" s="388"/>
      <c r="AP20" s="388"/>
      <c r="AQ20" s="388"/>
      <c r="AR20" s="388"/>
      <c r="AS20" s="388"/>
      <c r="AT20" s="388"/>
      <c r="AU20" s="388"/>
      <c r="AV20" s="388"/>
      <c r="AW20" s="388"/>
      <c r="AX20" s="388"/>
      <c r="AY20" s="388"/>
      <c r="AZ20" s="388"/>
      <c r="BA20" s="388"/>
      <c r="BB20" s="388"/>
      <c r="BC20" s="388"/>
      <c r="BD20" s="388"/>
      <c r="BE20" s="388"/>
      <c r="BF20" s="388"/>
      <c r="BG20" s="388"/>
      <c r="BH20" s="388"/>
      <c r="BI20" s="388"/>
      <c r="BJ20" s="388"/>
      <c r="BK20" s="388"/>
      <c r="BL20" s="388"/>
      <c r="BM20" s="388"/>
      <c r="BN20" s="388"/>
      <c r="BO20" s="388"/>
      <c r="BP20" s="388"/>
      <c r="BQ20" s="388"/>
      <c r="BR20" s="388"/>
      <c r="BS20" s="388"/>
      <c r="BT20" s="388"/>
      <c r="BU20" s="388"/>
      <c r="BV20" s="388"/>
      <c r="BW20" s="388"/>
      <c r="BX20" s="388"/>
      <c r="BY20" s="388"/>
      <c r="BZ20" s="388"/>
      <c r="CA20" s="388"/>
      <c r="CB20" s="388"/>
      <c r="CC20" s="388"/>
      <c r="CD20" s="388"/>
      <c r="CE20" s="388"/>
      <c r="CF20" s="388"/>
      <c r="CG20" s="388"/>
      <c r="CH20" s="388"/>
      <c r="CI20" s="388"/>
      <c r="CJ20" s="388"/>
      <c r="CK20" s="388"/>
      <c r="CL20" s="388"/>
      <c r="CM20" s="388"/>
      <c r="CN20" s="388"/>
      <c r="CO20" s="388"/>
      <c r="CP20" s="388"/>
      <c r="CQ20" s="388"/>
      <c r="CR20" s="388"/>
      <c r="CS20" s="388"/>
      <c r="CT20" s="388"/>
      <c r="CU20" s="388"/>
      <c r="CV20" s="388"/>
      <c r="CW20" s="388"/>
      <c r="CX20" s="388"/>
      <c r="CY20" s="388"/>
      <c r="CZ20" s="388"/>
      <c r="DA20" s="388"/>
      <c r="DB20" s="388"/>
      <c r="DC20" s="388"/>
      <c r="DD20" s="388"/>
      <c r="DE20" s="388"/>
      <c r="DF20" s="388"/>
      <c r="DG20" s="388"/>
      <c r="DH20" s="388"/>
      <c r="DI20" s="388"/>
      <c r="DJ20" s="388"/>
      <c r="DK20" s="388"/>
      <c r="DL20" s="388"/>
      <c r="DM20" s="388"/>
      <c r="DN20" s="388"/>
      <c r="DO20" s="388"/>
      <c r="DP20" s="388"/>
      <c r="DQ20" s="388"/>
      <c r="DR20" s="388"/>
      <c r="DS20" s="388"/>
      <c r="DT20" s="388"/>
      <c r="DU20" s="388"/>
      <c r="DV20" s="388"/>
      <c r="DW20" s="388"/>
      <c r="DX20" s="388"/>
      <c r="DY20" s="388"/>
      <c r="DZ20" s="388"/>
      <c r="EA20" s="388"/>
      <c r="EB20" s="388"/>
      <c r="EC20" s="388"/>
      <c r="ED20" s="388"/>
      <c r="EE20" s="388"/>
      <c r="EF20" s="388"/>
      <c r="EG20" s="388"/>
      <c r="EH20" s="388"/>
      <c r="EI20" s="388"/>
      <c r="EJ20" s="388"/>
      <c r="EK20" s="388"/>
      <c r="EL20" s="388"/>
      <c r="EM20" s="388"/>
      <c r="EN20" s="388"/>
      <c r="EO20" s="388"/>
      <c r="EP20" s="388"/>
      <c r="EQ20" s="388"/>
      <c r="ER20" s="388"/>
      <c r="ES20" s="388"/>
      <c r="ET20" s="388"/>
      <c r="EU20" s="388"/>
      <c r="EV20" s="388"/>
      <c r="EW20" s="388"/>
      <c r="EX20" s="388"/>
      <c r="EY20" s="388"/>
      <c r="EZ20" s="388"/>
      <c r="FA20" s="388"/>
      <c r="FB20" s="388"/>
      <c r="FC20" s="388"/>
      <c r="FD20" s="388"/>
      <c r="FE20" s="388"/>
      <c r="FF20" s="388"/>
      <c r="FG20" s="388"/>
      <c r="FH20" s="388"/>
      <c r="FI20" s="388"/>
      <c r="FJ20" s="388"/>
      <c r="FK20" s="388"/>
      <c r="FL20" s="388"/>
      <c r="FM20" s="388"/>
      <c r="FN20" s="388"/>
      <c r="FO20" s="388"/>
      <c r="FP20" s="388"/>
      <c r="FQ20" s="388"/>
      <c r="FR20" s="388"/>
      <c r="FS20" s="388"/>
      <c r="FT20" s="388"/>
      <c r="FU20" s="388"/>
      <c r="FV20" s="388"/>
      <c r="FW20" s="388"/>
      <c r="FX20" s="388"/>
      <c r="FY20" s="388"/>
      <c r="FZ20" s="388"/>
      <c r="GA20" s="388"/>
      <c r="GB20" s="388"/>
      <c r="GC20" s="388"/>
      <c r="GD20" s="388"/>
      <c r="GE20" s="388"/>
      <c r="GF20" s="388"/>
      <c r="GG20" s="388"/>
      <c r="GH20" s="388"/>
      <c r="GI20" s="388"/>
      <c r="GJ20" s="388"/>
      <c r="GK20" s="388"/>
      <c r="GL20" s="388"/>
      <c r="GM20" s="388"/>
      <c r="GN20" s="388"/>
      <c r="GO20" s="388"/>
      <c r="GP20" s="388"/>
      <c r="GQ20" s="388"/>
      <c r="GR20" s="388"/>
      <c r="GS20" s="388"/>
      <c r="GT20" s="388"/>
      <c r="GU20" s="388"/>
      <c r="GV20" s="388"/>
      <c r="GW20" s="388"/>
      <c r="GX20" s="388"/>
      <c r="GY20" s="388"/>
      <c r="GZ20" s="388"/>
      <c r="HA20" s="388"/>
      <c r="HB20" s="388"/>
      <c r="HC20" s="388"/>
      <c r="HD20" s="388"/>
      <c r="HE20" s="388"/>
      <c r="HF20" s="388"/>
      <c r="HG20" s="388"/>
      <c r="HH20" s="388"/>
      <c r="HI20" s="388"/>
      <c r="HJ20" s="388"/>
      <c r="HK20" s="388"/>
      <c r="HL20" s="388"/>
      <c r="HM20" s="388"/>
      <c r="HN20" s="388"/>
      <c r="HO20" s="388"/>
      <c r="HP20" s="388"/>
      <c r="HQ20" s="388"/>
      <c r="HR20" s="388"/>
      <c r="HS20" s="388"/>
      <c r="HT20" s="388"/>
      <c r="HU20" s="388"/>
      <c r="HV20" s="388"/>
      <c r="HW20" s="388"/>
      <c r="HX20" s="388"/>
      <c r="HY20" s="388"/>
      <c r="HZ20" s="388"/>
      <c r="IA20" s="388"/>
      <c r="IB20" s="388"/>
      <c r="IC20" s="388"/>
      <c r="ID20" s="388"/>
      <c r="IE20" s="388"/>
      <c r="IF20" s="388"/>
      <c r="IG20" s="388"/>
      <c r="IH20" s="388"/>
      <c r="II20" s="388"/>
      <c r="IJ20" s="388"/>
      <c r="IK20" s="388"/>
      <c r="IL20" s="388"/>
      <c r="IM20" s="388"/>
      <c r="IN20" s="388"/>
      <c r="IO20" s="388"/>
      <c r="IP20" s="388"/>
      <c r="IQ20" s="388"/>
      <c r="IR20" s="388"/>
      <c r="IS20" s="388"/>
      <c r="IT20" s="388"/>
      <c r="IU20" s="388"/>
      <c r="IV20" s="388"/>
      <c r="IW20" s="388"/>
    </row>
    <row r="21" customFormat="false" ht="12.75" hidden="false" customHeight="false" outlineLevel="0" collapsed="false">
      <c r="A21" s="771" t="s">
        <v>1013</v>
      </c>
      <c r="B21" s="38"/>
      <c r="C21" s="38"/>
      <c r="D21" s="656"/>
      <c r="E21" s="656"/>
      <c r="F21" s="656"/>
      <c r="G21" s="656"/>
      <c r="H21" s="656"/>
      <c r="I21" s="656"/>
      <c r="J21" s="656"/>
      <c r="K21" s="656"/>
      <c r="L21" s="656"/>
      <c r="M21" s="656"/>
      <c r="N21" s="656"/>
      <c r="O21" s="656"/>
      <c r="P21" s="656"/>
      <c r="Q21" s="656"/>
      <c r="R21" s="656"/>
      <c r="S21" s="656"/>
      <c r="T21" s="656"/>
      <c r="U21" s="656"/>
      <c r="V21" s="656"/>
      <c r="W21" s="656"/>
      <c r="X21" s="656"/>
      <c r="Y21" s="656"/>
      <c r="Z21" s="656"/>
      <c r="AA21" s="656"/>
      <c r="AB21" s="555"/>
    </row>
    <row r="22" customFormat="false" ht="12.75" hidden="false" customHeight="false" outlineLevel="0" collapsed="false">
      <c r="A22" s="146"/>
      <c r="B22" s="38" t="s">
        <v>1019</v>
      </c>
      <c r="C22" s="38"/>
      <c r="D22" s="656"/>
      <c r="E22" s="217" t="n">
        <f aca="false">E15</f>
        <v>0</v>
      </c>
      <c r="F22" s="217" t="n">
        <f aca="false">F15</f>
        <v>0</v>
      </c>
      <c r="G22" s="217" t="n">
        <f aca="false">G15</f>
        <v>92793.5702049191</v>
      </c>
      <c r="H22" s="217" t="n">
        <f aca="false">H15</f>
        <v>86332.4512474571</v>
      </c>
      <c r="I22" s="217" t="n">
        <f aca="false">I15</f>
        <v>83181.4103940431</v>
      </c>
      <c r="J22" s="217" t="n">
        <f aca="false">J15</f>
        <v>80169.8936311391</v>
      </c>
      <c r="K22" s="217" t="n">
        <f aca="false">K15</f>
        <v>78518.2219278152</v>
      </c>
      <c r="L22" s="217" t="n">
        <f aca="false">L15</f>
        <v>80238.6051010423</v>
      </c>
      <c r="M22" s="217" t="n">
        <f aca="false">M15</f>
        <v>93049.9978956726</v>
      </c>
      <c r="N22" s="217" t="n">
        <f aca="false">N15</f>
        <v>99883.5383241423</v>
      </c>
      <c r="O22" s="217" t="n">
        <f aca="false">O15</f>
        <v>107399.471971858</v>
      </c>
      <c r="P22" s="217" t="n">
        <f aca="false">P15</f>
        <v>113572.527672617</v>
      </c>
      <c r="Q22" s="217" t="n">
        <f aca="false">Q15</f>
        <v>113572.527672617</v>
      </c>
      <c r="R22" s="217" t="n">
        <f aca="false">R15</f>
        <v>113572.527672617</v>
      </c>
      <c r="S22" s="217" t="n">
        <f aca="false">S15</f>
        <v>113572.527672617</v>
      </c>
      <c r="T22" s="217" t="n">
        <f aca="false">T15</f>
        <v>113572.527672617</v>
      </c>
      <c r="U22" s="217" t="n">
        <f aca="false">U15</f>
        <v>113572.527672617</v>
      </c>
      <c r="V22" s="217" t="n">
        <f aca="false">V15</f>
        <v>113572.527672617</v>
      </c>
      <c r="W22" s="217" t="n">
        <f aca="false">W15</f>
        <v>113572.527672617</v>
      </c>
      <c r="X22" s="217" t="n">
        <f aca="false">X15</f>
        <v>106077.299158753</v>
      </c>
      <c r="Y22" s="217" t="n">
        <f aca="false">Y15</f>
        <v>94363.7314530575</v>
      </c>
      <c r="Z22" s="217" t="n">
        <f aca="false">Z15</f>
        <v>81254.4269220394</v>
      </c>
      <c r="AA22" s="217" t="n">
        <f aca="false">AA15</f>
        <v>73274.6119570216</v>
      </c>
      <c r="AB22" s="555"/>
    </row>
    <row r="23" customFormat="false" ht="12.75" hidden="false" customHeight="false" outlineLevel="0" collapsed="false">
      <c r="A23" s="146"/>
      <c r="B23" s="38" t="s">
        <v>1020</v>
      </c>
      <c r="C23" s="38"/>
      <c r="D23" s="656"/>
      <c r="E23" s="772" t="n">
        <f aca="false">'Enron Returns'!E$10</f>
        <v>0.65625</v>
      </c>
      <c r="F23" s="772" t="n">
        <f aca="false">'Enron Returns'!F$10</f>
        <v>0.65625</v>
      </c>
      <c r="G23" s="772" t="n">
        <f aca="false">'Enron Returns'!G$10</f>
        <v>0.65625</v>
      </c>
      <c r="H23" s="772" t="n">
        <f aca="false">'Enron Returns'!H$10</f>
        <v>0.52625</v>
      </c>
      <c r="I23" s="772" t="n">
        <f aca="false">'Enron Returns'!I$10</f>
        <v>0.52625</v>
      </c>
      <c r="J23" s="772" t="n">
        <f aca="false">'Enron Returns'!J$10</f>
        <v>0.52625</v>
      </c>
      <c r="K23" s="772" t="n">
        <f aca="false">'Enron Returns'!K$10</f>
        <v>0.52625</v>
      </c>
      <c r="L23" s="772" t="n">
        <f aca="false">'Enron Returns'!L$10</f>
        <v>0.52625</v>
      </c>
      <c r="M23" s="772" t="n">
        <f aca="false">'Enron Returns'!M$10</f>
        <v>0.52625</v>
      </c>
      <c r="N23" s="772" t="n">
        <f aca="false">'Enron Returns'!N$10</f>
        <v>0.52625</v>
      </c>
      <c r="O23" s="772" t="n">
        <f aca="false">'Enron Returns'!O$10</f>
        <v>0.52625</v>
      </c>
      <c r="P23" s="772" t="n">
        <f aca="false">'Enron Returns'!P$10</f>
        <v>0.52625</v>
      </c>
      <c r="Q23" s="772" t="n">
        <f aca="false">'Enron Returns'!Q$10</f>
        <v>0.52625</v>
      </c>
      <c r="R23" s="772" t="n">
        <f aca="false">'Enron Returns'!R$10</f>
        <v>0.52625</v>
      </c>
      <c r="S23" s="772" t="n">
        <f aca="false">'Enron Returns'!S$10</f>
        <v>0.52625</v>
      </c>
      <c r="T23" s="772" t="n">
        <f aca="false">'Enron Returns'!T$10</f>
        <v>0.52625</v>
      </c>
      <c r="U23" s="772" t="n">
        <f aca="false">'Enron Returns'!U$10</f>
        <v>0.52625</v>
      </c>
      <c r="V23" s="772" t="n">
        <f aca="false">'Enron Returns'!V$10</f>
        <v>0.52625</v>
      </c>
      <c r="W23" s="772" t="n">
        <f aca="false">'Enron Returns'!W$10</f>
        <v>0.52625</v>
      </c>
      <c r="X23" s="772" t="n">
        <f aca="false">'Enron Returns'!X$10</f>
        <v>0.52625</v>
      </c>
      <c r="Y23" s="772" t="n">
        <f aca="false">'Enron Returns'!Y$10</f>
        <v>0.52625</v>
      </c>
      <c r="Z23" s="772" t="n">
        <f aca="false">'Enron Returns'!Z$10</f>
        <v>0.52625</v>
      </c>
      <c r="AA23" s="772" t="n">
        <f aca="false">'Enron Returns'!AA$10</f>
        <v>0.52625</v>
      </c>
      <c r="AB23" s="555"/>
    </row>
    <row r="24" customFormat="false" ht="12.75" hidden="false" customHeight="false" outlineLevel="0" collapsed="false">
      <c r="A24" s="146"/>
      <c r="B24" s="38" t="s">
        <v>1021</v>
      </c>
      <c r="C24" s="38"/>
      <c r="D24" s="131" t="s">
        <v>1022</v>
      </c>
      <c r="E24" s="217" t="n">
        <f aca="false">E22*E23</f>
        <v>0</v>
      </c>
      <c r="F24" s="217" t="n">
        <f aca="false">F22*F23</f>
        <v>0</v>
      </c>
      <c r="G24" s="217" t="n">
        <f aca="false">G22*G23</f>
        <v>60895.7804469782</v>
      </c>
      <c r="H24" s="217" t="n">
        <f aca="false">H22*H23</f>
        <v>45432.4524689743</v>
      </c>
      <c r="I24" s="217" t="n">
        <f aca="false">I22*I23</f>
        <v>43774.2172198652</v>
      </c>
      <c r="J24" s="217" t="n">
        <f aca="false">J22*J23</f>
        <v>42189.406523387</v>
      </c>
      <c r="K24" s="217" t="n">
        <f aca="false">K22*K23</f>
        <v>41320.2142895127</v>
      </c>
      <c r="L24" s="217" t="n">
        <f aca="false">L22*L23</f>
        <v>42225.5659344235</v>
      </c>
      <c r="M24" s="217" t="n">
        <f aca="false">M22*M23</f>
        <v>48967.5613925977</v>
      </c>
      <c r="N24" s="217" t="n">
        <f aca="false">N22*N23</f>
        <v>52563.7120430799</v>
      </c>
      <c r="O24" s="217" t="n">
        <f aca="false">O22*O23</f>
        <v>56518.9721251903</v>
      </c>
      <c r="P24" s="217" t="n">
        <f aca="false">P22*P23</f>
        <v>59767.5426877148</v>
      </c>
      <c r="Q24" s="217" t="n">
        <f aca="false">Q22*Q23</f>
        <v>59767.5426877148</v>
      </c>
      <c r="R24" s="217" t="n">
        <f aca="false">R22*R23</f>
        <v>59767.5426877148</v>
      </c>
      <c r="S24" s="217" t="n">
        <f aca="false">S22*S23</f>
        <v>59767.5426877148</v>
      </c>
      <c r="T24" s="217" t="n">
        <f aca="false">T22*T23</f>
        <v>59767.5426877148</v>
      </c>
      <c r="U24" s="217" t="n">
        <f aca="false">U22*U23</f>
        <v>59767.5426877148</v>
      </c>
      <c r="V24" s="217" t="n">
        <f aca="false">V22*V23</f>
        <v>59767.5426877148</v>
      </c>
      <c r="W24" s="217" t="n">
        <f aca="false">W22*W23</f>
        <v>59767.5426877148</v>
      </c>
      <c r="X24" s="217" t="n">
        <f aca="false">X22*X23</f>
        <v>55823.1786822938</v>
      </c>
      <c r="Y24" s="217" t="n">
        <f aca="false">Y22*Y23</f>
        <v>49658.9136771715</v>
      </c>
      <c r="Z24" s="217" t="n">
        <f aca="false">Z22*Z23</f>
        <v>42760.1421677232</v>
      </c>
      <c r="AA24" s="217" t="n">
        <f aca="false">AA22*AA23</f>
        <v>38560.7645423826</v>
      </c>
      <c r="AB24" s="555"/>
    </row>
    <row r="25" customFormat="false" ht="12.75" hidden="false" customHeight="false" outlineLevel="0" collapsed="false">
      <c r="A25" s="146"/>
      <c r="B25" s="38"/>
      <c r="C25" s="38"/>
      <c r="D25" s="656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555"/>
    </row>
    <row r="26" customFormat="false" ht="12.75" hidden="false" customHeight="false" outlineLevel="0" collapsed="false">
      <c r="A26" s="146"/>
      <c r="B26" s="38" t="s">
        <v>1023</v>
      </c>
      <c r="C26" s="38"/>
      <c r="D26" s="656"/>
      <c r="E26" s="217" t="n">
        <f aca="false">E19</f>
        <v>0</v>
      </c>
      <c r="F26" s="217" t="n">
        <f aca="false">F19</f>
        <v>92793.5702049191</v>
      </c>
      <c r="G26" s="217" t="n">
        <f aca="false">G19</f>
        <v>86332.4512474571</v>
      </c>
      <c r="H26" s="217" t="n">
        <f aca="false">H19</f>
        <v>83181.4103940431</v>
      </c>
      <c r="I26" s="217" t="n">
        <f aca="false">I19</f>
        <v>80169.8936311391</v>
      </c>
      <c r="J26" s="217" t="n">
        <f aca="false">J19</f>
        <v>78518.2219278152</v>
      </c>
      <c r="K26" s="217" t="n">
        <f aca="false">K19</f>
        <v>80238.6051010423</v>
      </c>
      <c r="L26" s="217" t="n">
        <f aca="false">L19</f>
        <v>93049.9978956726</v>
      </c>
      <c r="M26" s="217" t="n">
        <f aca="false">M19</f>
        <v>99883.5383241423</v>
      </c>
      <c r="N26" s="217" t="n">
        <f aca="false">N19</f>
        <v>107399.471971858</v>
      </c>
      <c r="O26" s="217" t="n">
        <f aca="false">O19</f>
        <v>113572.527672617</v>
      </c>
      <c r="P26" s="217" t="n">
        <f aca="false">P19</f>
        <v>113572.527672617</v>
      </c>
      <c r="Q26" s="217" t="n">
        <f aca="false">Q19</f>
        <v>113572.527672617</v>
      </c>
      <c r="R26" s="217" t="n">
        <f aca="false">R19</f>
        <v>113572.527672617</v>
      </c>
      <c r="S26" s="217" t="n">
        <f aca="false">S19</f>
        <v>113572.527672617</v>
      </c>
      <c r="T26" s="217" t="n">
        <f aca="false">T19</f>
        <v>113572.527672617</v>
      </c>
      <c r="U26" s="217" t="n">
        <f aca="false">U19</f>
        <v>113572.527672617</v>
      </c>
      <c r="V26" s="217" t="n">
        <f aca="false">V19</f>
        <v>113572.527672617</v>
      </c>
      <c r="W26" s="217" t="n">
        <f aca="false">W19</f>
        <v>106077.299158753</v>
      </c>
      <c r="X26" s="217" t="n">
        <f aca="false">X19</f>
        <v>94363.7314530575</v>
      </c>
      <c r="Y26" s="217" t="n">
        <f aca="false">Y19</f>
        <v>81254.4269220394</v>
      </c>
      <c r="Z26" s="217" t="n">
        <f aca="false">Z19</f>
        <v>73274.6119570216</v>
      </c>
      <c r="AA26" s="217" t="n">
        <f aca="false">AA19</f>
        <v>26182.7679344272</v>
      </c>
      <c r="AB26" s="555"/>
    </row>
    <row r="27" customFormat="false" ht="12.75" hidden="false" customHeight="false" outlineLevel="0" collapsed="false">
      <c r="A27" s="146"/>
      <c r="B27" s="38" t="s">
        <v>1020</v>
      </c>
      <c r="C27" s="38"/>
      <c r="D27" s="656"/>
      <c r="E27" s="772" t="n">
        <f aca="false">E23</f>
        <v>0.65625</v>
      </c>
      <c r="F27" s="772" t="n">
        <f aca="false">F23</f>
        <v>0.65625</v>
      </c>
      <c r="G27" s="772" t="n">
        <f aca="false">G23</f>
        <v>0.65625</v>
      </c>
      <c r="H27" s="772" t="n">
        <f aca="false">H23</f>
        <v>0.52625</v>
      </c>
      <c r="I27" s="772" t="n">
        <f aca="false">I23</f>
        <v>0.52625</v>
      </c>
      <c r="J27" s="772" t="n">
        <f aca="false">J23</f>
        <v>0.52625</v>
      </c>
      <c r="K27" s="772" t="n">
        <f aca="false">K23</f>
        <v>0.52625</v>
      </c>
      <c r="L27" s="772" t="n">
        <f aca="false">L23</f>
        <v>0.52625</v>
      </c>
      <c r="M27" s="772" t="n">
        <f aca="false">M23</f>
        <v>0.52625</v>
      </c>
      <c r="N27" s="772" t="n">
        <f aca="false">N23</f>
        <v>0.52625</v>
      </c>
      <c r="O27" s="772" t="n">
        <f aca="false">O23</f>
        <v>0.52625</v>
      </c>
      <c r="P27" s="772" t="n">
        <f aca="false">P23</f>
        <v>0.52625</v>
      </c>
      <c r="Q27" s="772" t="n">
        <f aca="false">Q23</f>
        <v>0.52625</v>
      </c>
      <c r="R27" s="772" t="n">
        <f aca="false">R23</f>
        <v>0.52625</v>
      </c>
      <c r="S27" s="772" t="n">
        <f aca="false">S23</f>
        <v>0.52625</v>
      </c>
      <c r="T27" s="772" t="n">
        <f aca="false">T23</f>
        <v>0.52625</v>
      </c>
      <c r="U27" s="772" t="n">
        <f aca="false">U23</f>
        <v>0.52625</v>
      </c>
      <c r="V27" s="772" t="n">
        <f aca="false">V23</f>
        <v>0.52625</v>
      </c>
      <c r="W27" s="772" t="n">
        <f aca="false">W23</f>
        <v>0.52625</v>
      </c>
      <c r="X27" s="772" t="n">
        <f aca="false">X23</f>
        <v>0.52625</v>
      </c>
      <c r="Y27" s="772" t="n">
        <f aca="false">Y23</f>
        <v>0.52625</v>
      </c>
      <c r="Z27" s="772" t="n">
        <f aca="false">Z23</f>
        <v>0.52625</v>
      </c>
      <c r="AA27" s="772" t="n">
        <f aca="false">AA23</f>
        <v>0.52625</v>
      </c>
      <c r="AB27" s="555"/>
    </row>
    <row r="28" customFormat="false" ht="12.75" hidden="false" customHeight="false" outlineLevel="0" collapsed="false">
      <c r="A28" s="146"/>
      <c r="B28" s="38" t="s">
        <v>1024</v>
      </c>
      <c r="C28" s="38"/>
      <c r="D28" s="131" t="s">
        <v>1025</v>
      </c>
      <c r="E28" s="217" t="n">
        <f aca="false">E26*E27</f>
        <v>0</v>
      </c>
      <c r="F28" s="217" t="n">
        <f aca="false">F26*F27</f>
        <v>60895.7804469782</v>
      </c>
      <c r="G28" s="217" t="n">
        <f aca="false">G26*G27</f>
        <v>56655.6711311438</v>
      </c>
      <c r="H28" s="217" t="n">
        <f aca="false">H26*H27</f>
        <v>43774.2172198652</v>
      </c>
      <c r="I28" s="217" t="n">
        <f aca="false">I26*I27</f>
        <v>42189.406523387</v>
      </c>
      <c r="J28" s="217" t="n">
        <f aca="false">J26*J27</f>
        <v>41320.2142895127</v>
      </c>
      <c r="K28" s="217" t="n">
        <f aca="false">K26*K27</f>
        <v>42225.5659344235</v>
      </c>
      <c r="L28" s="217" t="n">
        <f aca="false">L26*L27</f>
        <v>48967.5613925977</v>
      </c>
      <c r="M28" s="217" t="n">
        <f aca="false">M26*M27</f>
        <v>52563.7120430799</v>
      </c>
      <c r="N28" s="217" t="n">
        <f aca="false">N26*N27</f>
        <v>56518.9721251903</v>
      </c>
      <c r="O28" s="217" t="n">
        <f aca="false">O26*O27</f>
        <v>59767.5426877148</v>
      </c>
      <c r="P28" s="217" t="n">
        <f aca="false">P26*P27</f>
        <v>59767.5426877148</v>
      </c>
      <c r="Q28" s="217" t="n">
        <f aca="false">Q26*Q27</f>
        <v>59767.5426877148</v>
      </c>
      <c r="R28" s="217" t="n">
        <f aca="false">R26*R27</f>
        <v>59767.5426877148</v>
      </c>
      <c r="S28" s="217" t="n">
        <f aca="false">S26*S27</f>
        <v>59767.5426877148</v>
      </c>
      <c r="T28" s="217" t="n">
        <f aca="false">T26*T27</f>
        <v>59767.5426877148</v>
      </c>
      <c r="U28" s="217" t="n">
        <f aca="false">U26*U27</f>
        <v>59767.5426877148</v>
      </c>
      <c r="V28" s="217" t="n">
        <f aca="false">V26*V27</f>
        <v>59767.5426877148</v>
      </c>
      <c r="W28" s="217" t="n">
        <f aca="false">W26*W27</f>
        <v>55823.1786822938</v>
      </c>
      <c r="X28" s="217" t="n">
        <f aca="false">X26*X27</f>
        <v>49658.9136771715</v>
      </c>
      <c r="Y28" s="217" t="n">
        <f aca="false">Y26*Y27</f>
        <v>42760.1421677232</v>
      </c>
      <c r="Z28" s="217" t="n">
        <f aca="false">Z26*Z27</f>
        <v>38560.7645423826</v>
      </c>
      <c r="AA28" s="217" t="n">
        <f aca="false">AA26*AA27</f>
        <v>13778.6816254923</v>
      </c>
      <c r="AB28" s="555"/>
    </row>
    <row r="29" customFormat="false" ht="12.75" hidden="false" customHeight="false" outlineLevel="0" collapsed="false">
      <c r="A29" s="146"/>
      <c r="B29" s="38"/>
      <c r="C29" s="38"/>
      <c r="D29" s="656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555"/>
    </row>
    <row r="30" customFormat="false" ht="12.75" hidden="false" customHeight="false" outlineLevel="0" collapsed="false">
      <c r="A30" s="146"/>
      <c r="B30" s="38" t="s">
        <v>1026</v>
      </c>
      <c r="C30" s="38"/>
      <c r="D30" s="131" t="s">
        <v>1027</v>
      </c>
      <c r="E30" s="217" t="n">
        <f aca="false">IF(MAX(E24,E28)&lt;0,0,MAX(E24,E28))</f>
        <v>0</v>
      </c>
      <c r="F30" s="217" t="n">
        <f aca="false">IF(MAX(F24,F28)&lt;0,0,MAX(F24,F28))</f>
        <v>60895.7804469782</v>
      </c>
      <c r="G30" s="217" t="n">
        <f aca="false">IF(MAX(G24,G28)&lt;0,0,MAX(G24,G28))</f>
        <v>60895.7804469782</v>
      </c>
      <c r="H30" s="217" t="n">
        <f aca="false">IF(MAX(H24,H28)&lt;0,0,MAX(H24,H28))</f>
        <v>45432.4524689743</v>
      </c>
      <c r="I30" s="217" t="n">
        <f aca="false">IF(MAX(I24,I28)&lt;0,0,MAX(I24,I28))</f>
        <v>43774.2172198652</v>
      </c>
      <c r="J30" s="217" t="n">
        <f aca="false">IF(MAX(J24,J28)&lt;0,0,MAX(J24,J28))</f>
        <v>42189.406523387</v>
      </c>
      <c r="K30" s="217" t="n">
        <f aca="false">IF(MAX(K24,K28)&lt;0,0,MAX(K24,K28))</f>
        <v>42225.5659344235</v>
      </c>
      <c r="L30" s="217" t="n">
        <f aca="false">IF(MAX(L24,L28)&lt;0,0,MAX(L24,L28))</f>
        <v>48967.5613925977</v>
      </c>
      <c r="M30" s="217" t="n">
        <f aca="false">IF(MAX(M24,M28)&lt;0,0,MAX(M24,M28))</f>
        <v>52563.7120430799</v>
      </c>
      <c r="N30" s="217" t="n">
        <f aca="false">IF(MAX(N24,N28)&lt;0,0,MAX(N24,N28))</f>
        <v>56518.9721251903</v>
      </c>
      <c r="O30" s="217" t="n">
        <f aca="false">IF(MAX(O24,O28)&lt;0,0,MAX(O24,O28))</f>
        <v>59767.5426877148</v>
      </c>
      <c r="P30" s="217" t="n">
        <f aca="false">IF(MAX(P24,P28)&lt;0,0,MAX(P24,P28))</f>
        <v>59767.5426877148</v>
      </c>
      <c r="Q30" s="217" t="n">
        <f aca="false">IF(MAX(Q24,Q28)&lt;0,0,MAX(Q24,Q28))</f>
        <v>59767.5426877148</v>
      </c>
      <c r="R30" s="217" t="n">
        <f aca="false">IF(MAX(R24,R28)&lt;0,0,MAX(R24,R28))</f>
        <v>59767.5426877148</v>
      </c>
      <c r="S30" s="217" t="n">
        <f aca="false">IF(MAX(S24,S28)&lt;0,0,MAX(S24,S28))</f>
        <v>59767.5426877148</v>
      </c>
      <c r="T30" s="217" t="n">
        <f aca="false">IF(MAX(T24,T28)&lt;0,0,MAX(T24,T28))</f>
        <v>59767.5426877148</v>
      </c>
      <c r="U30" s="217" t="n">
        <f aca="false">IF(MAX(U24,U28)&lt;0,0,MAX(U24,U28))</f>
        <v>59767.5426877148</v>
      </c>
      <c r="V30" s="217" t="n">
        <f aca="false">IF(MAX(V24,V28)&lt;0,0,MAX(V24,V28))</f>
        <v>59767.5426877148</v>
      </c>
      <c r="W30" s="217" t="n">
        <f aca="false">IF(MAX(W24,W28)&lt;0,0,MAX(W24,W28))</f>
        <v>59767.5426877148</v>
      </c>
      <c r="X30" s="217" t="n">
        <f aca="false">IF(MAX(X24,X28)&lt;0,0,MAX(X24,X28))</f>
        <v>55823.1786822938</v>
      </c>
      <c r="Y30" s="217" t="n">
        <f aca="false">IF(MAX(Y24,Y28)&lt;0,0,MAX(Y24,Y28))</f>
        <v>49658.9136771715</v>
      </c>
      <c r="Z30" s="217" t="n">
        <f aca="false">IF(MAX(Z24,Z28)&lt;0,0,MAX(Z24,Z28))</f>
        <v>42760.1421677232</v>
      </c>
      <c r="AA30" s="217" t="n">
        <f aca="false">IF(MAX(AA24,AA28)&lt;0,0,MAX(AA24,AA28))</f>
        <v>38560.7645423826</v>
      </c>
      <c r="AB30" s="555"/>
    </row>
    <row r="31" customFormat="false" ht="12.75" hidden="false" customHeight="false" outlineLevel="0" collapsed="false">
      <c r="A31" s="146"/>
      <c r="B31" s="38" t="s">
        <v>1028</v>
      </c>
      <c r="C31" s="38"/>
      <c r="D31" s="131" t="s">
        <v>1029</v>
      </c>
      <c r="E31" s="217" t="n">
        <f aca="false">IF(MIN(E24,E28)&lt;0,0,MIN(E24,E28))</f>
        <v>0</v>
      </c>
      <c r="F31" s="217" t="n">
        <f aca="false">IF(MIN(F24,F28)&lt;0,0,MIN(F24,F28))</f>
        <v>0</v>
      </c>
      <c r="G31" s="217" t="n">
        <f aca="false">IF(MIN(G24,G28)&lt;0,0,MIN(G24,G28))</f>
        <v>56655.6711311438</v>
      </c>
      <c r="H31" s="217" t="n">
        <f aca="false">IF(MIN(H24,H28)&lt;0,0,MIN(H24,H28))</f>
        <v>43774.2172198652</v>
      </c>
      <c r="I31" s="217" t="n">
        <f aca="false">IF(MIN(I24,I28)&lt;0,0,MIN(I24,I28))</f>
        <v>42189.406523387</v>
      </c>
      <c r="J31" s="217" t="n">
        <f aca="false">IF(MIN(J24,J28)&lt;0,0,MIN(J24,J28))</f>
        <v>41320.2142895127</v>
      </c>
      <c r="K31" s="217" t="n">
        <f aca="false">IF(MIN(K24,K28)&lt;0,0,MIN(K24,K28))</f>
        <v>41320.2142895127</v>
      </c>
      <c r="L31" s="217" t="n">
        <f aca="false">IF(MIN(L24,L28)&lt;0,0,MIN(L24,L28))</f>
        <v>42225.5659344235</v>
      </c>
      <c r="M31" s="217" t="n">
        <f aca="false">IF(MIN(M24,M28)&lt;0,0,MIN(M24,M28))</f>
        <v>48967.5613925977</v>
      </c>
      <c r="N31" s="217" t="n">
        <f aca="false">IF(MIN(N24,N28)&lt;0,0,MIN(N24,N28))</f>
        <v>52563.7120430799</v>
      </c>
      <c r="O31" s="217" t="n">
        <f aca="false">IF(MIN(O24,O28)&lt;0,0,MIN(O24,O28))</f>
        <v>56518.9721251903</v>
      </c>
      <c r="P31" s="217" t="n">
        <f aca="false">IF(MIN(P24,P28)&lt;0,0,MIN(P24,P28))</f>
        <v>59767.5426877148</v>
      </c>
      <c r="Q31" s="217" t="n">
        <f aca="false">IF(MIN(Q24,Q28)&lt;0,0,MIN(Q24,Q28))</f>
        <v>59767.5426877148</v>
      </c>
      <c r="R31" s="217" t="n">
        <f aca="false">IF(MIN(R24,R28)&lt;0,0,MIN(R24,R28))</f>
        <v>59767.5426877148</v>
      </c>
      <c r="S31" s="217" t="n">
        <f aca="false">IF(MIN(S24,S28)&lt;0,0,MIN(S24,S28))</f>
        <v>59767.5426877148</v>
      </c>
      <c r="T31" s="217" t="n">
        <f aca="false">IF(MIN(T24,T28)&lt;0,0,MIN(T24,T28))</f>
        <v>59767.5426877148</v>
      </c>
      <c r="U31" s="217" t="n">
        <f aca="false">IF(MIN(U24,U28)&lt;0,0,MIN(U24,U28))</f>
        <v>59767.5426877148</v>
      </c>
      <c r="V31" s="217" t="n">
        <f aca="false">IF(MIN(V24,V28)&lt;0,0,MIN(V24,V28))</f>
        <v>59767.5426877148</v>
      </c>
      <c r="W31" s="217" t="n">
        <f aca="false">IF(MIN(W24,W28)&lt;0,0,MIN(W24,W28))</f>
        <v>55823.1786822938</v>
      </c>
      <c r="X31" s="217" t="n">
        <f aca="false">IF(MIN(X24,X28)&lt;0,0,MIN(X24,X28))</f>
        <v>49658.9136771715</v>
      </c>
      <c r="Y31" s="217" t="n">
        <f aca="false">IF(MIN(Y24,Y28)&lt;0,0,MIN(Y24,Y28))</f>
        <v>42760.1421677232</v>
      </c>
      <c r="Z31" s="217" t="n">
        <f aca="false">IF(MIN(Z24,Z28)&lt;0,0,MIN(Z24,Z28))</f>
        <v>38560.7645423826</v>
      </c>
      <c r="AA31" s="217" t="n">
        <f aca="false">IF(MIN(AA24,AA28)&lt;0,0,MIN(AA24,AA28))</f>
        <v>13778.6816254923</v>
      </c>
      <c r="AB31" s="555"/>
    </row>
    <row r="32" customFormat="false" ht="12.75" hidden="false" customHeight="false" outlineLevel="0" collapsed="false">
      <c r="A32" s="37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555"/>
    </row>
    <row r="33" customFormat="false" ht="12.75" hidden="false" customHeight="false" outlineLevel="0" collapsed="false">
      <c r="A33" s="146"/>
      <c r="B33" s="38" t="s">
        <v>1030</v>
      </c>
      <c r="C33" s="38"/>
      <c r="D33" s="656"/>
      <c r="E33" s="217" t="n">
        <f aca="false">((E30*2)+E31)/3</f>
        <v>0</v>
      </c>
      <c r="F33" s="217" t="n">
        <f aca="false">((F30*2)+F31)/3</f>
        <v>40597.1869646521</v>
      </c>
      <c r="G33" s="217" t="n">
        <f aca="false">((G30*2)+G31)/3</f>
        <v>59482.4106750334</v>
      </c>
      <c r="H33" s="217" t="n">
        <f aca="false">((H30*2)+H31)/3</f>
        <v>44879.7073859379</v>
      </c>
      <c r="I33" s="217" t="n">
        <f aca="false">((I30*2)+I31)/3</f>
        <v>43245.9469877058</v>
      </c>
      <c r="J33" s="217" t="n">
        <f aca="false">((J30*2)+J31)/3</f>
        <v>41899.6757787622</v>
      </c>
      <c r="K33" s="217" t="n">
        <f aca="false">((K30*2)+K31)/3</f>
        <v>41923.7820527866</v>
      </c>
      <c r="L33" s="217" t="n">
        <f aca="false">((L30*2)+L31)/3</f>
        <v>46720.2295732063</v>
      </c>
      <c r="M33" s="217" t="n">
        <f aca="false">((M30*2)+M31)/3</f>
        <v>51364.9951595858</v>
      </c>
      <c r="N33" s="217" t="n">
        <f aca="false">((N30*2)+N31)/3</f>
        <v>55200.5520978202</v>
      </c>
      <c r="O33" s="217" t="n">
        <f aca="false">((O30*2)+O31)/3</f>
        <v>58684.68583354</v>
      </c>
      <c r="P33" s="217" t="n">
        <f aca="false">((P30*2)+P31)/3</f>
        <v>59767.5426877148</v>
      </c>
      <c r="Q33" s="217" t="n">
        <f aca="false">((Q30*2)+Q31)/3</f>
        <v>59767.5426877148</v>
      </c>
      <c r="R33" s="217" t="n">
        <f aca="false">((R30*2)+R31)/3</f>
        <v>59767.5426877148</v>
      </c>
      <c r="S33" s="217" t="n">
        <f aca="false">((S30*2)+S31)/3</f>
        <v>59767.5426877148</v>
      </c>
      <c r="T33" s="217" t="n">
        <f aca="false">((T30*2)+T31)/3</f>
        <v>59767.5426877148</v>
      </c>
      <c r="U33" s="217" t="n">
        <f aca="false">((U30*2)+U31)/3</f>
        <v>59767.5426877148</v>
      </c>
      <c r="V33" s="217" t="n">
        <f aca="false">((V30*2)+V31)/3</f>
        <v>59767.5426877148</v>
      </c>
      <c r="W33" s="217" t="n">
        <f aca="false">((W30*2)+W31)/3</f>
        <v>58452.7546859078</v>
      </c>
      <c r="X33" s="217" t="n">
        <f aca="false">((X30*2)+X31)/3</f>
        <v>53768.4236805864</v>
      </c>
      <c r="Y33" s="217" t="n">
        <f aca="false">((Y30*2)+Y31)/3</f>
        <v>47359.3231740221</v>
      </c>
      <c r="Z33" s="217" t="n">
        <f aca="false">((Z30*2)+Z31)/3</f>
        <v>41360.349625943</v>
      </c>
      <c r="AA33" s="217" t="n">
        <f aca="false">((AA30*2)+AA31)/3</f>
        <v>30300.0702367525</v>
      </c>
      <c r="AB33" s="555"/>
    </row>
    <row r="34" customFormat="false" ht="12.75" hidden="false" customHeight="false" outlineLevel="0" collapsed="false">
      <c r="A34" s="146"/>
      <c r="B34" s="38" t="s">
        <v>1031</v>
      </c>
      <c r="C34" s="773" t="n">
        <f aca="false">Opic</f>
        <v>0.01</v>
      </c>
      <c r="D34" s="656"/>
      <c r="E34" s="774" t="n">
        <f aca="false">$C34</f>
        <v>0.01</v>
      </c>
      <c r="F34" s="774" t="n">
        <f aca="false">$C34</f>
        <v>0.01</v>
      </c>
      <c r="G34" s="774" t="n">
        <f aca="false">$C34</f>
        <v>0.01</v>
      </c>
      <c r="H34" s="774" t="n">
        <f aca="false">$C34</f>
        <v>0.01</v>
      </c>
      <c r="I34" s="774" t="n">
        <f aca="false">$C34</f>
        <v>0.01</v>
      </c>
      <c r="J34" s="774" t="n">
        <f aca="false">$C34</f>
        <v>0.01</v>
      </c>
      <c r="K34" s="774" t="n">
        <f aca="false">$C34</f>
        <v>0.01</v>
      </c>
      <c r="L34" s="774" t="n">
        <f aca="false">$C34</f>
        <v>0.01</v>
      </c>
      <c r="M34" s="774" t="n">
        <f aca="false">$C34</f>
        <v>0.01</v>
      </c>
      <c r="N34" s="774" t="n">
        <f aca="false">$C34</f>
        <v>0.01</v>
      </c>
      <c r="O34" s="774" t="n">
        <f aca="false">$C34</f>
        <v>0.01</v>
      </c>
      <c r="P34" s="774" t="n">
        <f aca="false">$C34</f>
        <v>0.01</v>
      </c>
      <c r="Q34" s="774" t="n">
        <f aca="false">$C34</f>
        <v>0.01</v>
      </c>
      <c r="R34" s="774" t="n">
        <f aca="false">$C34</f>
        <v>0.01</v>
      </c>
      <c r="S34" s="774" t="n">
        <f aca="false">$C34</f>
        <v>0.01</v>
      </c>
      <c r="T34" s="774" t="n">
        <f aca="false">$C34</f>
        <v>0.01</v>
      </c>
      <c r="U34" s="774" t="n">
        <f aca="false">$C34</f>
        <v>0.01</v>
      </c>
      <c r="V34" s="774" t="n">
        <f aca="false">$C34</f>
        <v>0.01</v>
      </c>
      <c r="W34" s="774" t="n">
        <f aca="false">$C34</f>
        <v>0.01</v>
      </c>
      <c r="X34" s="774" t="n">
        <f aca="false">$C34</f>
        <v>0.01</v>
      </c>
      <c r="Y34" s="774" t="n">
        <f aca="false">$C34</f>
        <v>0.01</v>
      </c>
      <c r="Z34" s="774" t="n">
        <f aca="false">$C34</f>
        <v>0.01</v>
      </c>
      <c r="AA34" s="774" t="n">
        <f aca="false">$C34</f>
        <v>0.01</v>
      </c>
      <c r="AB34" s="555"/>
    </row>
    <row r="35" customFormat="false" ht="12.75" hidden="false" customHeight="false" outlineLevel="0" collapsed="false">
      <c r="A35" s="775"/>
      <c r="B35" s="464" t="s">
        <v>1032</v>
      </c>
      <c r="C35" s="464"/>
      <c r="D35" s="776"/>
      <c r="E35" s="777" t="n">
        <f aca="false">E33*E34</f>
        <v>0</v>
      </c>
      <c r="F35" s="777" t="n">
        <f aca="false">F33*F34</f>
        <v>405.971869646521</v>
      </c>
      <c r="G35" s="777" t="n">
        <f aca="false">G33*G34</f>
        <v>594.824106750334</v>
      </c>
      <c r="H35" s="777" t="n">
        <f aca="false">H33*H34</f>
        <v>448.797073859379</v>
      </c>
      <c r="I35" s="777" t="n">
        <f aca="false">I33*I34</f>
        <v>432.459469877058</v>
      </c>
      <c r="J35" s="777" t="n">
        <f aca="false">J33*J34</f>
        <v>418.996757787622</v>
      </c>
      <c r="K35" s="777" t="n">
        <f aca="false">K33*K34</f>
        <v>419.237820527866</v>
      </c>
      <c r="L35" s="777" t="n">
        <f aca="false">L33*L34</f>
        <v>467.202295732063</v>
      </c>
      <c r="M35" s="777" t="n">
        <f aca="false">M33*M34</f>
        <v>513.649951595858</v>
      </c>
      <c r="N35" s="777" t="n">
        <f aca="false">N33*N34</f>
        <v>552.005520978202</v>
      </c>
      <c r="O35" s="777" t="n">
        <f aca="false">O33*O34</f>
        <v>586.8468583354</v>
      </c>
      <c r="P35" s="777" t="n">
        <f aca="false">P33*P34</f>
        <v>597.675426877148</v>
      </c>
      <c r="Q35" s="777" t="n">
        <f aca="false">Q33*Q34</f>
        <v>597.675426877148</v>
      </c>
      <c r="R35" s="777" t="n">
        <f aca="false">R33*R34</f>
        <v>597.675426877148</v>
      </c>
      <c r="S35" s="777" t="n">
        <f aca="false">S33*S34</f>
        <v>597.675426877148</v>
      </c>
      <c r="T35" s="777" t="n">
        <f aca="false">T33*T34</f>
        <v>597.675426877148</v>
      </c>
      <c r="U35" s="777" t="n">
        <f aca="false">U33*U34</f>
        <v>597.675426877148</v>
      </c>
      <c r="V35" s="777" t="n">
        <f aca="false">V33*V34</f>
        <v>597.675426877148</v>
      </c>
      <c r="W35" s="777" t="n">
        <f aca="false">W33*W34</f>
        <v>584.527546859078</v>
      </c>
      <c r="X35" s="777" t="n">
        <f aca="false">X33*X34</f>
        <v>537.684236805864</v>
      </c>
      <c r="Y35" s="777" t="n">
        <f aca="false">Y33*Y34</f>
        <v>473.593231740221</v>
      </c>
      <c r="Z35" s="777" t="n">
        <f aca="false">Z33*Z34</f>
        <v>413.60349625943</v>
      </c>
      <c r="AA35" s="777" t="n">
        <f aca="false">AA33*AA34</f>
        <v>303.000702367525</v>
      </c>
      <c r="AB35" s="778" t="n">
        <f aca="false">SUM(E35:AA35)</f>
        <v>11336.1289272625</v>
      </c>
    </row>
    <row r="36" customFormat="false" ht="12.75" hidden="false" customHeight="false" outlineLevel="0" collapsed="false">
      <c r="A36" s="37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555"/>
    </row>
    <row r="37" customFormat="false" ht="12.75" hidden="false" customHeight="false" outlineLevel="0" collapsed="false">
      <c r="A37" s="771" t="s">
        <v>1033</v>
      </c>
      <c r="B37" s="38"/>
      <c r="C37" s="38"/>
      <c r="D37" s="656"/>
      <c r="E37" s="656"/>
      <c r="F37" s="656"/>
      <c r="G37" s="656"/>
      <c r="H37" s="656"/>
      <c r="I37" s="656"/>
      <c r="J37" s="656"/>
      <c r="K37" s="656"/>
      <c r="L37" s="656"/>
      <c r="M37" s="656"/>
      <c r="N37" s="656"/>
      <c r="O37" s="656"/>
      <c r="P37" s="656"/>
      <c r="Q37" s="656"/>
      <c r="R37" s="656"/>
      <c r="S37" s="656"/>
      <c r="T37" s="656"/>
      <c r="U37" s="656"/>
      <c r="V37" s="656"/>
      <c r="W37" s="656"/>
      <c r="X37" s="656"/>
      <c r="Y37" s="656"/>
      <c r="Z37" s="656"/>
      <c r="AA37" s="656"/>
      <c r="AB37" s="614"/>
      <c r="AC37" s="0"/>
      <c r="AD37" s="38"/>
      <c r="AE37" s="38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</row>
    <row r="38" customFormat="false" ht="12.75" hidden="false" customHeight="false" outlineLevel="0" collapsed="false">
      <c r="A38" s="146"/>
      <c r="B38" s="38" t="s">
        <v>1034</v>
      </c>
      <c r="C38" s="38"/>
      <c r="D38" s="656"/>
      <c r="E38" s="189" t="n">
        <v>0</v>
      </c>
      <c r="F38" s="217" t="n">
        <f aca="false">E40</f>
        <v>0</v>
      </c>
      <c r="G38" s="217" t="n">
        <f aca="false">F40</f>
        <v>0</v>
      </c>
      <c r="H38" s="217" t="n">
        <f aca="false">G40</f>
        <v>0</v>
      </c>
      <c r="I38" s="217" t="n">
        <f aca="false">H40</f>
        <v>0</v>
      </c>
      <c r="J38" s="217" t="n">
        <f aca="false">I40</f>
        <v>0</v>
      </c>
      <c r="K38" s="217" t="n">
        <f aca="false">J40</f>
        <v>0</v>
      </c>
      <c r="L38" s="217" t="n">
        <f aca="false">K40</f>
        <v>0</v>
      </c>
      <c r="M38" s="217" t="n">
        <f aca="false">L40</f>
        <v>0</v>
      </c>
      <c r="N38" s="217" t="n">
        <f aca="false">M40</f>
        <v>0</v>
      </c>
      <c r="O38" s="217" t="n">
        <f aca="false">N40</f>
        <v>0</v>
      </c>
      <c r="P38" s="217" t="n">
        <f aca="false">O40</f>
        <v>0</v>
      </c>
      <c r="Q38" s="217" t="n">
        <f aca="false">P40</f>
        <v>0</v>
      </c>
      <c r="R38" s="217" t="n">
        <f aca="false">Q40</f>
        <v>0</v>
      </c>
      <c r="S38" s="217" t="n">
        <f aca="false">R40</f>
        <v>0</v>
      </c>
      <c r="T38" s="217" t="n">
        <f aca="false">S40</f>
        <v>0</v>
      </c>
      <c r="U38" s="217" t="n">
        <f aca="false">T40</f>
        <v>0</v>
      </c>
      <c r="V38" s="217" t="n">
        <f aca="false">U40</f>
        <v>0</v>
      </c>
      <c r="W38" s="217" t="n">
        <f aca="false">V40</f>
        <v>0</v>
      </c>
      <c r="X38" s="217" t="n">
        <f aca="false">W40</f>
        <v>0</v>
      </c>
      <c r="Y38" s="217" t="n">
        <f aca="false">X40</f>
        <v>0</v>
      </c>
      <c r="Z38" s="217" t="n">
        <f aca="false">Y40</f>
        <v>0</v>
      </c>
      <c r="AA38" s="217" t="n">
        <f aca="false">Z40</f>
        <v>0</v>
      </c>
      <c r="AB38" s="574" t="n">
        <f aca="false">E38</f>
        <v>0</v>
      </c>
      <c r="AC38" s="0"/>
      <c r="AD38" s="38"/>
      <c r="AE38" s="38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</row>
    <row r="39" customFormat="false" ht="12.75" hidden="false" customHeight="false" outlineLevel="0" collapsed="false">
      <c r="A39" s="146"/>
      <c r="B39" s="38" t="s">
        <v>1035</v>
      </c>
      <c r="C39" s="38"/>
      <c r="D39" s="656"/>
      <c r="E39" s="220" t="n">
        <f aca="false">-'Enron Returns'!E71</f>
        <v>-0</v>
      </c>
      <c r="F39" s="217" t="n">
        <f aca="false">-'Enron Returns'!F71</f>
        <v>-0</v>
      </c>
      <c r="G39" s="217" t="n">
        <f aca="false">-'Enron Returns'!G71</f>
        <v>-0</v>
      </c>
      <c r="H39" s="217" t="n">
        <f aca="false">-'Enron Returns'!H71</f>
        <v>-0</v>
      </c>
      <c r="I39" s="217" t="n">
        <f aca="false">-'Enron Returns'!I71</f>
        <v>0</v>
      </c>
      <c r="J39" s="217" t="n">
        <f aca="false">-'Enron Returns'!J71</f>
        <v>-0</v>
      </c>
      <c r="K39" s="217" t="n">
        <f aca="false">-'Enron Returns'!K71</f>
        <v>-0</v>
      </c>
      <c r="L39" s="217" t="n">
        <f aca="false">-'Enron Returns'!L71</f>
        <v>-0</v>
      </c>
      <c r="M39" s="217" t="n">
        <f aca="false">-'Enron Returns'!M71</f>
        <v>-0</v>
      </c>
      <c r="N39" s="217" t="n">
        <f aca="false">-'Enron Returns'!N71</f>
        <v>-0</v>
      </c>
      <c r="O39" s="217" t="n">
        <f aca="false">-'Enron Returns'!O71</f>
        <v>-0</v>
      </c>
      <c r="P39" s="217" t="n">
        <f aca="false">-'Enron Returns'!P71</f>
        <v>-0</v>
      </c>
      <c r="Q39" s="217" t="n">
        <f aca="false">-'Enron Returns'!Q71</f>
        <v>-0</v>
      </c>
      <c r="R39" s="217" t="n">
        <f aca="false">-'Enron Returns'!R71</f>
        <v>-0</v>
      </c>
      <c r="S39" s="217" t="n">
        <f aca="false">-'Enron Returns'!S71</f>
        <v>-0</v>
      </c>
      <c r="T39" s="217" t="n">
        <f aca="false">-'Enron Returns'!T71</f>
        <v>-0</v>
      </c>
      <c r="U39" s="217" t="n">
        <f aca="false">-'Enron Returns'!U71</f>
        <v>-0</v>
      </c>
      <c r="V39" s="217" t="n">
        <f aca="false">-'Enron Returns'!V71</f>
        <v>-0</v>
      </c>
      <c r="W39" s="217" t="n">
        <f aca="false">-'Enron Returns'!W71</f>
        <v>-0</v>
      </c>
      <c r="X39" s="217" t="n">
        <f aca="false">-'Enron Returns'!X71</f>
        <v>-0</v>
      </c>
      <c r="Y39" s="217" t="n">
        <f aca="false">-'Enron Returns'!Y71</f>
        <v>-0</v>
      </c>
      <c r="Z39" s="217" t="n">
        <f aca="false">-'Enron Returns'!Z71</f>
        <v>-0</v>
      </c>
      <c r="AA39" s="217" t="n">
        <f aca="false">-'Enron Returns'!AA71</f>
        <v>-0</v>
      </c>
      <c r="AB39" s="574" t="n">
        <f aca="false">SUM(E39:AA39)</f>
        <v>0</v>
      </c>
      <c r="AC39" s="0"/>
      <c r="AD39" s="38"/>
      <c r="AE39" s="38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</row>
    <row r="40" customFormat="false" ht="12.75" hidden="false" customHeight="false" outlineLevel="0" collapsed="false">
      <c r="A40" s="146"/>
      <c r="B40" s="38" t="s">
        <v>1036</v>
      </c>
      <c r="C40" s="38"/>
      <c r="D40" s="656"/>
      <c r="E40" s="217" t="n">
        <f aca="false">SUM(E38:E39)</f>
        <v>0</v>
      </c>
      <c r="F40" s="217" t="n">
        <f aca="false">SUM(F38:F39)</f>
        <v>0</v>
      </c>
      <c r="G40" s="217" t="n">
        <f aca="false">SUM(G38:G39)</f>
        <v>0</v>
      </c>
      <c r="H40" s="217" t="n">
        <f aca="false">SUM(H38:H39)</f>
        <v>0</v>
      </c>
      <c r="I40" s="217" t="n">
        <f aca="false">SUM(I38:I39)</f>
        <v>0</v>
      </c>
      <c r="J40" s="217" t="n">
        <f aca="false">SUM(J38:J39)</f>
        <v>0</v>
      </c>
      <c r="K40" s="217" t="n">
        <f aca="false">SUM(K38:K39)</f>
        <v>0</v>
      </c>
      <c r="L40" s="217" t="n">
        <f aca="false">SUM(L38:L39)</f>
        <v>0</v>
      </c>
      <c r="M40" s="217" t="n">
        <f aca="false">SUM(M38:M39)</f>
        <v>0</v>
      </c>
      <c r="N40" s="217" t="n">
        <f aca="false">SUM(N38:N39)</f>
        <v>0</v>
      </c>
      <c r="O40" s="217" t="n">
        <f aca="false">SUM(O38:O39)</f>
        <v>0</v>
      </c>
      <c r="P40" s="217" t="n">
        <f aca="false">SUM(P38:P39)</f>
        <v>0</v>
      </c>
      <c r="Q40" s="217" t="n">
        <f aca="false">SUM(Q38:Q39)</f>
        <v>0</v>
      </c>
      <c r="R40" s="217" t="n">
        <f aca="false">SUM(R38:R39)</f>
        <v>0</v>
      </c>
      <c r="S40" s="217" t="n">
        <f aca="false">SUM(S38:S39)</f>
        <v>0</v>
      </c>
      <c r="T40" s="217" t="n">
        <f aca="false">SUM(T38:T39)</f>
        <v>0</v>
      </c>
      <c r="U40" s="217" t="n">
        <f aca="false">SUM(U38:U39)</f>
        <v>0</v>
      </c>
      <c r="V40" s="217" t="n">
        <f aca="false">SUM(V38:V39)</f>
        <v>0</v>
      </c>
      <c r="W40" s="217" t="n">
        <f aca="false">SUM(W38:W39)</f>
        <v>0</v>
      </c>
      <c r="X40" s="217" t="n">
        <f aca="false">SUM(X38:X39)</f>
        <v>0</v>
      </c>
      <c r="Y40" s="217" t="n">
        <f aca="false">SUM(Y38:Y39)</f>
        <v>0</v>
      </c>
      <c r="Z40" s="217" t="n">
        <f aca="false">SUM(Z38:Z39)</f>
        <v>0</v>
      </c>
      <c r="AA40" s="217" t="n">
        <f aca="false">SUM(AA38:AA39)</f>
        <v>0</v>
      </c>
      <c r="AB40" s="574" t="n">
        <f aca="false">SUM(AB38:AB39)</f>
        <v>0</v>
      </c>
      <c r="AC40" s="388"/>
      <c r="AD40" s="38"/>
      <c r="AE40" s="3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  <c r="AS40" s="388"/>
      <c r="AT40" s="388"/>
      <c r="AU40" s="388"/>
      <c r="AV40" s="388"/>
      <c r="AW40" s="388"/>
      <c r="AX40" s="388"/>
      <c r="AY40" s="388"/>
      <c r="AZ40" s="388"/>
      <c r="BA40" s="388"/>
      <c r="BB40" s="388"/>
      <c r="BC40" s="388"/>
      <c r="BD40" s="388"/>
      <c r="BE40" s="388"/>
      <c r="BF40" s="388"/>
      <c r="BG40" s="388"/>
      <c r="BH40" s="388"/>
      <c r="BI40" s="388"/>
      <c r="BJ40" s="388"/>
      <c r="BK40" s="388"/>
      <c r="BL40" s="388"/>
      <c r="BM40" s="388"/>
      <c r="BN40" s="388"/>
      <c r="BO40" s="388"/>
      <c r="BP40" s="388"/>
      <c r="BQ40" s="388"/>
      <c r="BR40" s="388"/>
      <c r="BS40" s="388"/>
      <c r="BT40" s="388"/>
      <c r="BU40" s="388"/>
      <c r="BV40" s="388"/>
      <c r="BW40" s="388"/>
      <c r="BX40" s="388"/>
      <c r="BY40" s="388"/>
      <c r="BZ40" s="388"/>
      <c r="CA40" s="388"/>
      <c r="CB40" s="388"/>
      <c r="CC40" s="388"/>
      <c r="CD40" s="388"/>
      <c r="CE40" s="388"/>
      <c r="CF40" s="388"/>
      <c r="CG40" s="388"/>
      <c r="CH40" s="388"/>
      <c r="CI40" s="388"/>
      <c r="CJ40" s="388"/>
      <c r="CK40" s="388"/>
      <c r="CL40" s="388"/>
      <c r="CM40" s="388"/>
      <c r="CN40" s="388"/>
      <c r="CO40" s="388"/>
      <c r="CP40" s="388"/>
      <c r="CQ40" s="388"/>
      <c r="CR40" s="388"/>
      <c r="CS40" s="388"/>
      <c r="CT40" s="388"/>
      <c r="CU40" s="388"/>
      <c r="CV40" s="388"/>
      <c r="CW40" s="388"/>
      <c r="CX40" s="388"/>
      <c r="CY40" s="388"/>
      <c r="CZ40" s="388"/>
      <c r="DA40" s="388"/>
      <c r="DB40" s="388"/>
      <c r="DC40" s="388"/>
      <c r="DD40" s="388"/>
      <c r="DE40" s="388"/>
      <c r="DF40" s="388"/>
      <c r="DG40" s="388"/>
      <c r="DH40" s="388"/>
      <c r="DI40" s="388"/>
      <c r="DJ40" s="388"/>
      <c r="DK40" s="388"/>
      <c r="DL40" s="388"/>
      <c r="DM40" s="388"/>
      <c r="DN40" s="388"/>
      <c r="DO40" s="388"/>
      <c r="DP40" s="388"/>
      <c r="DQ40" s="388"/>
      <c r="DR40" s="388"/>
      <c r="DS40" s="388"/>
      <c r="DT40" s="388"/>
      <c r="DU40" s="388"/>
      <c r="DV40" s="388"/>
      <c r="DW40" s="388"/>
      <c r="DX40" s="388"/>
      <c r="DY40" s="388"/>
      <c r="DZ40" s="388"/>
      <c r="EA40" s="388"/>
      <c r="EB40" s="388"/>
      <c r="EC40" s="388"/>
      <c r="ED40" s="388"/>
      <c r="EE40" s="388"/>
      <c r="EF40" s="388"/>
      <c r="EG40" s="388"/>
      <c r="EH40" s="388"/>
      <c r="EI40" s="388"/>
      <c r="EJ40" s="388"/>
      <c r="EK40" s="388"/>
      <c r="EL40" s="388"/>
      <c r="EM40" s="388"/>
      <c r="EN40" s="388"/>
      <c r="EO40" s="388"/>
      <c r="EP40" s="388"/>
      <c r="EQ40" s="388"/>
      <c r="ER40" s="388"/>
      <c r="ES40" s="388"/>
      <c r="ET40" s="388"/>
      <c r="EU40" s="388"/>
      <c r="EV40" s="388"/>
      <c r="EW40" s="388"/>
      <c r="EX40" s="388"/>
      <c r="EY40" s="388"/>
      <c r="EZ40" s="388"/>
      <c r="FA40" s="388"/>
      <c r="FB40" s="388"/>
      <c r="FC40" s="388"/>
      <c r="FD40" s="388"/>
      <c r="FE40" s="388"/>
      <c r="FF40" s="388"/>
      <c r="FG40" s="388"/>
      <c r="FH40" s="388"/>
      <c r="FI40" s="388"/>
      <c r="FJ40" s="388"/>
      <c r="FK40" s="388"/>
      <c r="FL40" s="388"/>
      <c r="FM40" s="388"/>
      <c r="FN40" s="388"/>
      <c r="FO40" s="388"/>
      <c r="FP40" s="388"/>
      <c r="FQ40" s="388"/>
      <c r="FR40" s="388"/>
      <c r="FS40" s="388"/>
      <c r="FT40" s="388"/>
      <c r="FU40" s="388"/>
      <c r="FV40" s="388"/>
      <c r="FW40" s="388"/>
      <c r="FX40" s="388"/>
      <c r="FY40" s="388"/>
      <c r="FZ40" s="388"/>
      <c r="GA40" s="388"/>
      <c r="GB40" s="388"/>
      <c r="GC40" s="388"/>
      <c r="GD40" s="388"/>
      <c r="GE40" s="388"/>
      <c r="GF40" s="388"/>
      <c r="GG40" s="388"/>
      <c r="GH40" s="388"/>
      <c r="GI40" s="388"/>
      <c r="GJ40" s="388"/>
      <c r="GK40" s="388"/>
      <c r="GL40" s="388"/>
      <c r="GM40" s="388"/>
      <c r="GN40" s="388"/>
      <c r="GO40" s="388"/>
      <c r="GP40" s="388"/>
      <c r="GQ40" s="388"/>
      <c r="GR40" s="388"/>
      <c r="GS40" s="388"/>
      <c r="GT40" s="388"/>
      <c r="GU40" s="388"/>
      <c r="GV40" s="388"/>
      <c r="GW40" s="388"/>
      <c r="GX40" s="388"/>
      <c r="GY40" s="388"/>
      <c r="GZ40" s="388"/>
      <c r="HA40" s="388"/>
      <c r="HB40" s="388"/>
      <c r="HC40" s="388"/>
      <c r="HD40" s="388"/>
      <c r="HE40" s="388"/>
      <c r="HF40" s="388"/>
      <c r="HG40" s="388"/>
      <c r="HH40" s="388"/>
      <c r="HI40" s="388"/>
      <c r="HJ40" s="388"/>
      <c r="HK40" s="388"/>
      <c r="HL40" s="388"/>
      <c r="HM40" s="388"/>
      <c r="HN40" s="388"/>
      <c r="HO40" s="388"/>
      <c r="HP40" s="388"/>
      <c r="HQ40" s="388"/>
      <c r="HR40" s="388"/>
      <c r="HS40" s="388"/>
      <c r="HT40" s="388"/>
      <c r="HU40" s="388"/>
      <c r="HV40" s="388"/>
      <c r="HW40" s="388"/>
      <c r="HX40" s="388"/>
      <c r="HY40" s="388"/>
      <c r="HZ40" s="388"/>
      <c r="IA40" s="388"/>
      <c r="IB40" s="388"/>
      <c r="IC40" s="388"/>
      <c r="ID40" s="388"/>
      <c r="IE40" s="388"/>
      <c r="IF40" s="388"/>
      <c r="IG40" s="388"/>
      <c r="IH40" s="388"/>
      <c r="II40" s="388"/>
      <c r="IJ40" s="388"/>
      <c r="IK40" s="388"/>
      <c r="IL40" s="388"/>
      <c r="IM40" s="388"/>
      <c r="IN40" s="388"/>
      <c r="IO40" s="388"/>
      <c r="IP40" s="388"/>
      <c r="IQ40" s="388"/>
      <c r="IR40" s="388"/>
      <c r="IS40" s="388"/>
      <c r="IT40" s="388"/>
      <c r="IU40" s="388"/>
      <c r="IV40" s="388"/>
      <c r="IW40" s="388"/>
    </row>
    <row r="41" customFormat="false" ht="12.75" hidden="false" customHeight="false" outlineLevel="0" collapsed="false">
      <c r="A41" s="744"/>
      <c r="B41" s="38"/>
      <c r="C41" s="38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614"/>
      <c r="AC41" s="388"/>
      <c r="AD41" s="38"/>
      <c r="AE41" s="3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  <c r="AS41" s="388"/>
      <c r="AT41" s="388"/>
      <c r="AU41" s="388"/>
      <c r="AV41" s="388"/>
      <c r="AW41" s="388"/>
      <c r="AX41" s="388"/>
      <c r="AY41" s="388"/>
      <c r="AZ41" s="388"/>
      <c r="BA41" s="388"/>
      <c r="BB41" s="388"/>
      <c r="BC41" s="388"/>
      <c r="BD41" s="388"/>
      <c r="BE41" s="388"/>
      <c r="BF41" s="388"/>
      <c r="BG41" s="388"/>
      <c r="BH41" s="388"/>
      <c r="BI41" s="388"/>
      <c r="BJ41" s="388"/>
      <c r="BK41" s="388"/>
      <c r="BL41" s="388"/>
      <c r="BM41" s="388"/>
      <c r="BN41" s="388"/>
      <c r="BO41" s="388"/>
      <c r="BP41" s="388"/>
      <c r="BQ41" s="388"/>
      <c r="BR41" s="388"/>
      <c r="BS41" s="388"/>
      <c r="BT41" s="388"/>
      <c r="BU41" s="388"/>
      <c r="BV41" s="388"/>
      <c r="BW41" s="388"/>
      <c r="BX41" s="388"/>
      <c r="BY41" s="388"/>
      <c r="BZ41" s="388"/>
      <c r="CA41" s="388"/>
      <c r="CB41" s="388"/>
      <c r="CC41" s="388"/>
      <c r="CD41" s="388"/>
      <c r="CE41" s="388"/>
      <c r="CF41" s="388"/>
      <c r="CG41" s="388"/>
      <c r="CH41" s="388"/>
      <c r="CI41" s="388"/>
      <c r="CJ41" s="388"/>
      <c r="CK41" s="388"/>
      <c r="CL41" s="388"/>
      <c r="CM41" s="388"/>
      <c r="CN41" s="388"/>
      <c r="CO41" s="388"/>
      <c r="CP41" s="388"/>
      <c r="CQ41" s="388"/>
      <c r="CR41" s="388"/>
      <c r="CS41" s="388"/>
      <c r="CT41" s="388"/>
      <c r="CU41" s="388"/>
      <c r="CV41" s="388"/>
      <c r="CW41" s="388"/>
      <c r="CX41" s="388"/>
      <c r="CY41" s="388"/>
      <c r="CZ41" s="388"/>
      <c r="DA41" s="388"/>
      <c r="DB41" s="388"/>
      <c r="DC41" s="388"/>
      <c r="DD41" s="388"/>
      <c r="DE41" s="388"/>
      <c r="DF41" s="388"/>
      <c r="DG41" s="388"/>
      <c r="DH41" s="388"/>
      <c r="DI41" s="388"/>
      <c r="DJ41" s="388"/>
      <c r="DK41" s="388"/>
      <c r="DL41" s="388"/>
      <c r="DM41" s="388"/>
      <c r="DN41" s="388"/>
      <c r="DO41" s="388"/>
      <c r="DP41" s="388"/>
      <c r="DQ41" s="388"/>
      <c r="DR41" s="388"/>
      <c r="DS41" s="388"/>
      <c r="DT41" s="388"/>
      <c r="DU41" s="388"/>
      <c r="DV41" s="388"/>
      <c r="DW41" s="388"/>
      <c r="DX41" s="388"/>
      <c r="DY41" s="388"/>
      <c r="DZ41" s="388"/>
      <c r="EA41" s="388"/>
      <c r="EB41" s="388"/>
      <c r="EC41" s="388"/>
      <c r="ED41" s="388"/>
      <c r="EE41" s="388"/>
      <c r="EF41" s="388"/>
      <c r="EG41" s="388"/>
      <c r="EH41" s="388"/>
      <c r="EI41" s="388"/>
      <c r="EJ41" s="388"/>
      <c r="EK41" s="388"/>
      <c r="EL41" s="388"/>
      <c r="EM41" s="388"/>
      <c r="EN41" s="388"/>
      <c r="EO41" s="388"/>
      <c r="EP41" s="388"/>
      <c r="EQ41" s="388"/>
      <c r="ER41" s="388"/>
      <c r="ES41" s="388"/>
      <c r="ET41" s="388"/>
      <c r="EU41" s="388"/>
      <c r="EV41" s="388"/>
      <c r="EW41" s="388"/>
      <c r="EX41" s="388"/>
      <c r="EY41" s="388"/>
      <c r="EZ41" s="388"/>
      <c r="FA41" s="388"/>
      <c r="FB41" s="388"/>
      <c r="FC41" s="388"/>
      <c r="FD41" s="388"/>
      <c r="FE41" s="388"/>
      <c r="FF41" s="388"/>
      <c r="FG41" s="388"/>
      <c r="FH41" s="388"/>
      <c r="FI41" s="388"/>
      <c r="FJ41" s="388"/>
      <c r="FK41" s="388"/>
      <c r="FL41" s="388"/>
      <c r="FM41" s="388"/>
      <c r="FN41" s="388"/>
      <c r="FO41" s="388"/>
      <c r="FP41" s="388"/>
      <c r="FQ41" s="388"/>
      <c r="FR41" s="388"/>
      <c r="FS41" s="388"/>
      <c r="FT41" s="388"/>
      <c r="FU41" s="388"/>
      <c r="FV41" s="388"/>
      <c r="FW41" s="388"/>
      <c r="FX41" s="388"/>
      <c r="FY41" s="388"/>
      <c r="FZ41" s="388"/>
      <c r="GA41" s="388"/>
      <c r="GB41" s="388"/>
      <c r="GC41" s="388"/>
      <c r="GD41" s="388"/>
      <c r="GE41" s="388"/>
      <c r="GF41" s="388"/>
      <c r="GG41" s="388"/>
      <c r="GH41" s="388"/>
      <c r="GI41" s="388"/>
      <c r="GJ41" s="388"/>
      <c r="GK41" s="388"/>
      <c r="GL41" s="388"/>
      <c r="GM41" s="388"/>
      <c r="GN41" s="388"/>
      <c r="GO41" s="388"/>
      <c r="GP41" s="388"/>
      <c r="GQ41" s="388"/>
      <c r="GR41" s="388"/>
      <c r="GS41" s="388"/>
      <c r="GT41" s="388"/>
      <c r="GU41" s="388"/>
      <c r="GV41" s="388"/>
      <c r="GW41" s="388"/>
      <c r="GX41" s="388"/>
      <c r="GY41" s="388"/>
      <c r="GZ41" s="388"/>
      <c r="HA41" s="388"/>
      <c r="HB41" s="388"/>
      <c r="HC41" s="388"/>
      <c r="HD41" s="388"/>
      <c r="HE41" s="388"/>
      <c r="HF41" s="388"/>
      <c r="HG41" s="388"/>
      <c r="HH41" s="388"/>
      <c r="HI41" s="388"/>
      <c r="HJ41" s="388"/>
      <c r="HK41" s="388"/>
      <c r="HL41" s="388"/>
      <c r="HM41" s="388"/>
      <c r="HN41" s="388"/>
      <c r="HO41" s="388"/>
      <c r="HP41" s="388"/>
      <c r="HQ41" s="388"/>
      <c r="HR41" s="388"/>
      <c r="HS41" s="388"/>
      <c r="HT41" s="388"/>
      <c r="HU41" s="388"/>
      <c r="HV41" s="388"/>
      <c r="HW41" s="388"/>
      <c r="HX41" s="388"/>
      <c r="HY41" s="388"/>
      <c r="HZ41" s="388"/>
      <c r="IA41" s="388"/>
      <c r="IB41" s="388"/>
      <c r="IC41" s="388"/>
      <c r="ID41" s="388"/>
      <c r="IE41" s="388"/>
      <c r="IF41" s="388"/>
      <c r="IG41" s="388"/>
      <c r="IH41" s="388"/>
      <c r="II41" s="388"/>
      <c r="IJ41" s="388"/>
      <c r="IK41" s="388"/>
      <c r="IL41" s="388"/>
      <c r="IM41" s="388"/>
      <c r="IN41" s="388"/>
      <c r="IO41" s="388"/>
      <c r="IP41" s="388"/>
      <c r="IQ41" s="388"/>
      <c r="IR41" s="388"/>
      <c r="IS41" s="388"/>
      <c r="IT41" s="388"/>
      <c r="IU41" s="388"/>
      <c r="IV41" s="388"/>
      <c r="IW41" s="388"/>
    </row>
    <row r="42" customFormat="false" ht="12.75" hidden="false" customHeight="false" outlineLevel="0" collapsed="false">
      <c r="A42" s="771" t="s">
        <v>1033</v>
      </c>
      <c r="B42" s="38"/>
      <c r="C42" s="38"/>
      <c r="D42" s="656"/>
      <c r="E42" s="656"/>
      <c r="F42" s="656"/>
      <c r="G42" s="656"/>
      <c r="H42" s="656"/>
      <c r="I42" s="656"/>
      <c r="J42" s="656"/>
      <c r="K42" s="656"/>
      <c r="L42" s="656"/>
      <c r="M42" s="656"/>
      <c r="N42" s="656"/>
      <c r="O42" s="656"/>
      <c r="P42" s="656"/>
      <c r="Q42" s="656"/>
      <c r="R42" s="656"/>
      <c r="S42" s="656"/>
      <c r="T42" s="656"/>
      <c r="U42" s="656"/>
      <c r="V42" s="656"/>
      <c r="W42" s="656"/>
      <c r="X42" s="656"/>
      <c r="Y42" s="656"/>
      <c r="Z42" s="656"/>
      <c r="AA42" s="656"/>
      <c r="AB42" s="555"/>
    </row>
    <row r="43" customFormat="false" ht="12.75" hidden="false" customHeight="false" outlineLevel="0" collapsed="false">
      <c r="A43" s="146"/>
      <c r="B43" s="38" t="s">
        <v>1037</v>
      </c>
      <c r="C43" s="38"/>
      <c r="D43" s="656"/>
      <c r="E43" s="217" t="n">
        <f aca="false">E38</f>
        <v>0</v>
      </c>
      <c r="F43" s="217" t="n">
        <f aca="false">F38</f>
        <v>0</v>
      </c>
      <c r="G43" s="217" t="n">
        <f aca="false">G38</f>
        <v>0</v>
      </c>
      <c r="H43" s="217" t="n">
        <f aca="false">H38</f>
        <v>0</v>
      </c>
      <c r="I43" s="217" t="n">
        <f aca="false">I38</f>
        <v>0</v>
      </c>
      <c r="J43" s="217" t="n">
        <f aca="false">J38</f>
        <v>0</v>
      </c>
      <c r="K43" s="217" t="n">
        <f aca="false">K38</f>
        <v>0</v>
      </c>
      <c r="L43" s="217" t="n">
        <f aca="false">L38</f>
        <v>0</v>
      </c>
      <c r="M43" s="217" t="n">
        <f aca="false">M38</f>
        <v>0</v>
      </c>
      <c r="N43" s="217" t="n">
        <f aca="false">N38</f>
        <v>0</v>
      </c>
      <c r="O43" s="217" t="n">
        <f aca="false">O38</f>
        <v>0</v>
      </c>
      <c r="P43" s="217" t="n">
        <f aca="false">P38</f>
        <v>0</v>
      </c>
      <c r="Q43" s="217" t="n">
        <f aca="false">Q38</f>
        <v>0</v>
      </c>
      <c r="R43" s="217" t="n">
        <f aca="false">R38</f>
        <v>0</v>
      </c>
      <c r="S43" s="217" t="n">
        <f aca="false">S38</f>
        <v>0</v>
      </c>
      <c r="T43" s="217" t="n">
        <f aca="false">T38</f>
        <v>0</v>
      </c>
      <c r="U43" s="217" t="n">
        <f aca="false">U38</f>
        <v>0</v>
      </c>
      <c r="V43" s="217" t="n">
        <f aca="false">V38</f>
        <v>0</v>
      </c>
      <c r="W43" s="217" t="n">
        <f aca="false">W38</f>
        <v>0</v>
      </c>
      <c r="X43" s="217" t="n">
        <f aca="false">X38</f>
        <v>0</v>
      </c>
      <c r="Y43" s="217" t="n">
        <f aca="false">Y38</f>
        <v>0</v>
      </c>
      <c r="Z43" s="217" t="n">
        <f aca="false">Z38</f>
        <v>0</v>
      </c>
      <c r="AA43" s="217" t="n">
        <f aca="false">AA38</f>
        <v>0</v>
      </c>
      <c r="AB43" s="555"/>
    </row>
    <row r="44" customFormat="false" ht="12.75" hidden="false" customHeight="false" outlineLevel="0" collapsed="false">
      <c r="A44" s="146"/>
      <c r="B44" s="38" t="s">
        <v>1020</v>
      </c>
      <c r="C44" s="38"/>
      <c r="D44" s="656"/>
      <c r="E44" s="772" t="n">
        <f aca="false">IF(E$7&lt;YEAR(Assm!$AB$94),0,Assm!$AA$99)</f>
        <v>0</v>
      </c>
      <c r="F44" s="772" t="n">
        <f aca="false">IF(F$7&lt;YEAR(Assm!$AB$94),0,Assm!$AA$99)</f>
        <v>0</v>
      </c>
      <c r="G44" s="772" t="n">
        <f aca="false">IF(G$7&lt;YEAR(Assm!$AB$94),0,Assm!$AA$99)</f>
        <v>0</v>
      </c>
      <c r="H44" s="772" t="n">
        <f aca="false">IF(H$7&lt;YEAR(Assm!$AB$94),0,Assm!$AA$99)</f>
        <v>0</v>
      </c>
      <c r="I44" s="772" t="n">
        <f aca="false">IF(I$7&lt;YEAR(Assm!$AB$94),0,Assm!$AA$99)</f>
        <v>0.65625</v>
      </c>
      <c r="J44" s="772" t="n">
        <f aca="false">IF(J$7&lt;YEAR(Assm!$AB$94),0,Assm!$AA$99)</f>
        <v>0.65625</v>
      </c>
      <c r="K44" s="772" t="n">
        <f aca="false">IF(K$7&lt;YEAR(Assm!$AB$94),0,Assm!$AA$99)</f>
        <v>0.65625</v>
      </c>
      <c r="L44" s="772" t="n">
        <f aca="false">IF(L$7&lt;YEAR(Assm!$AB$94),0,Assm!$AA$99)</f>
        <v>0.65625</v>
      </c>
      <c r="M44" s="772" t="n">
        <f aca="false">IF(M$7&lt;YEAR(Assm!$AB$94),0,Assm!$AA$99)</f>
        <v>0.65625</v>
      </c>
      <c r="N44" s="772" t="n">
        <f aca="false">IF(N$7&lt;YEAR(Assm!$AB$94),0,Assm!$AA$99)</f>
        <v>0.65625</v>
      </c>
      <c r="O44" s="772" t="n">
        <f aca="false">IF(O$7&lt;YEAR(Assm!$AB$94),0,Assm!$AA$99)</f>
        <v>0.65625</v>
      </c>
      <c r="P44" s="772" t="n">
        <f aca="false">IF(P$7&lt;YEAR(Assm!$AB$94),0,Assm!$AA$99)</f>
        <v>0.65625</v>
      </c>
      <c r="Q44" s="772" t="n">
        <f aca="false">IF(Q$7&lt;YEAR(Assm!$AB$94),0,Assm!$AA$99)</f>
        <v>0.65625</v>
      </c>
      <c r="R44" s="772" t="n">
        <f aca="false">IF(R$7&lt;YEAR(Assm!$AB$94),0,Assm!$AA$99)</f>
        <v>0.65625</v>
      </c>
      <c r="S44" s="772" t="n">
        <f aca="false">IF(S$7&lt;YEAR(Assm!$AB$94),0,Assm!$AA$99)</f>
        <v>0.65625</v>
      </c>
      <c r="T44" s="772" t="n">
        <f aca="false">IF(T$7&lt;YEAR(Assm!$AB$94),0,Assm!$AA$99)</f>
        <v>0.65625</v>
      </c>
      <c r="U44" s="772" t="n">
        <f aca="false">IF(U$7&lt;YEAR(Assm!$AB$94),0,Assm!$AA$99)</f>
        <v>0.65625</v>
      </c>
      <c r="V44" s="772" t="n">
        <f aca="false">IF(V$7&lt;YEAR(Assm!$AB$94),0,Assm!$AA$99)</f>
        <v>0.65625</v>
      </c>
      <c r="W44" s="772" t="n">
        <f aca="false">IF(W$7&lt;YEAR(Assm!$AB$94),0,Assm!$AA$99)</f>
        <v>0.65625</v>
      </c>
      <c r="X44" s="772" t="n">
        <f aca="false">IF(X$7&lt;YEAR(Assm!$AB$94),0,Assm!$AA$99)</f>
        <v>0.65625</v>
      </c>
      <c r="Y44" s="772" t="n">
        <f aca="false">IF(Y$7&lt;YEAR(Assm!$AB$94),0,Assm!$AA$99)</f>
        <v>0.65625</v>
      </c>
      <c r="Z44" s="772" t="n">
        <f aca="false">IF(Z$7&lt;YEAR(Assm!$AB$94),0,Assm!$AA$99)</f>
        <v>0.65625</v>
      </c>
      <c r="AA44" s="772" t="n">
        <f aca="false">IF(AA$7&lt;YEAR(Assm!$AB$94),0,Assm!$AA$99)</f>
        <v>0.65625</v>
      </c>
      <c r="AB44" s="555"/>
    </row>
    <row r="45" customFormat="false" ht="12.75" hidden="false" customHeight="false" outlineLevel="0" collapsed="false">
      <c r="A45" s="146"/>
      <c r="B45" s="38" t="s">
        <v>1038</v>
      </c>
      <c r="C45" s="38"/>
      <c r="D45" s="131" t="s">
        <v>1022</v>
      </c>
      <c r="E45" s="217" t="n">
        <f aca="false">E43*E44</f>
        <v>0</v>
      </c>
      <c r="F45" s="217" t="n">
        <f aca="false">F43*F44</f>
        <v>0</v>
      </c>
      <c r="G45" s="217" t="n">
        <f aca="false">G43*G44</f>
        <v>0</v>
      </c>
      <c r="H45" s="217" t="n">
        <f aca="false">H43*H44</f>
        <v>0</v>
      </c>
      <c r="I45" s="217" t="n">
        <f aca="false">I43*I44</f>
        <v>0</v>
      </c>
      <c r="J45" s="217" t="n">
        <f aca="false">J43*J44</f>
        <v>0</v>
      </c>
      <c r="K45" s="217" t="n">
        <f aca="false">K43*K44</f>
        <v>0</v>
      </c>
      <c r="L45" s="217" t="n">
        <f aca="false">L43*L44</f>
        <v>0</v>
      </c>
      <c r="M45" s="217" t="n">
        <f aca="false">M43*M44</f>
        <v>0</v>
      </c>
      <c r="N45" s="217" t="n">
        <f aca="false">N43*N44</f>
        <v>0</v>
      </c>
      <c r="O45" s="217" t="n">
        <f aca="false">O43*O44</f>
        <v>0</v>
      </c>
      <c r="P45" s="217" t="n">
        <f aca="false">P43*P44</f>
        <v>0</v>
      </c>
      <c r="Q45" s="217" t="n">
        <f aca="false">Q43*Q44</f>
        <v>0</v>
      </c>
      <c r="R45" s="217" t="n">
        <f aca="false">R43*R44</f>
        <v>0</v>
      </c>
      <c r="S45" s="217" t="n">
        <f aca="false">S43*S44</f>
        <v>0</v>
      </c>
      <c r="T45" s="217" t="n">
        <f aca="false">T43*T44</f>
        <v>0</v>
      </c>
      <c r="U45" s="217" t="n">
        <f aca="false">U43*U44</f>
        <v>0</v>
      </c>
      <c r="V45" s="217" t="n">
        <f aca="false">V43*V44</f>
        <v>0</v>
      </c>
      <c r="W45" s="217" t="n">
        <f aca="false">W43*W44</f>
        <v>0</v>
      </c>
      <c r="X45" s="217" t="n">
        <f aca="false">X43*X44</f>
        <v>0</v>
      </c>
      <c r="Y45" s="217" t="n">
        <f aca="false">Y43*Y44</f>
        <v>0</v>
      </c>
      <c r="Z45" s="217" t="n">
        <f aca="false">Z43*Z44</f>
        <v>0</v>
      </c>
      <c r="AA45" s="217" t="n">
        <f aca="false">AA43*AA44</f>
        <v>0</v>
      </c>
      <c r="AB45" s="555"/>
    </row>
    <row r="46" customFormat="false" ht="12.75" hidden="false" customHeight="false" outlineLevel="0" collapsed="false">
      <c r="A46" s="146"/>
      <c r="B46" s="38"/>
      <c r="C46" s="38"/>
      <c r="D46" s="656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555"/>
    </row>
    <row r="47" customFormat="false" ht="12.75" hidden="false" customHeight="false" outlineLevel="0" collapsed="false">
      <c r="A47" s="146"/>
      <c r="B47" s="38" t="s">
        <v>1039</v>
      </c>
      <c r="C47" s="38"/>
      <c r="D47" s="656"/>
      <c r="E47" s="217" t="n">
        <f aca="false">E40</f>
        <v>0</v>
      </c>
      <c r="F47" s="217" t="n">
        <f aca="false">F40</f>
        <v>0</v>
      </c>
      <c r="G47" s="217" t="n">
        <f aca="false">G40</f>
        <v>0</v>
      </c>
      <c r="H47" s="217" t="n">
        <f aca="false">H40</f>
        <v>0</v>
      </c>
      <c r="I47" s="217" t="n">
        <f aca="false">I40</f>
        <v>0</v>
      </c>
      <c r="J47" s="217" t="n">
        <f aca="false">J40</f>
        <v>0</v>
      </c>
      <c r="K47" s="217" t="n">
        <f aca="false">K40</f>
        <v>0</v>
      </c>
      <c r="L47" s="217" t="n">
        <f aca="false">L40</f>
        <v>0</v>
      </c>
      <c r="M47" s="217" t="n">
        <f aca="false">M40</f>
        <v>0</v>
      </c>
      <c r="N47" s="217" t="n">
        <f aca="false">N40</f>
        <v>0</v>
      </c>
      <c r="O47" s="217" t="n">
        <f aca="false">O40</f>
        <v>0</v>
      </c>
      <c r="P47" s="217" t="n">
        <f aca="false">P40</f>
        <v>0</v>
      </c>
      <c r="Q47" s="217" t="n">
        <f aca="false">Q40</f>
        <v>0</v>
      </c>
      <c r="R47" s="217" t="n">
        <f aca="false">R40</f>
        <v>0</v>
      </c>
      <c r="S47" s="217" t="n">
        <f aca="false">S40</f>
        <v>0</v>
      </c>
      <c r="T47" s="217" t="n">
        <f aca="false">T40</f>
        <v>0</v>
      </c>
      <c r="U47" s="217" t="n">
        <f aca="false">U40</f>
        <v>0</v>
      </c>
      <c r="V47" s="217" t="n">
        <f aca="false">V40</f>
        <v>0</v>
      </c>
      <c r="W47" s="217" t="n">
        <f aca="false">W40</f>
        <v>0</v>
      </c>
      <c r="X47" s="217" t="n">
        <f aca="false">X40</f>
        <v>0</v>
      </c>
      <c r="Y47" s="217" t="n">
        <f aca="false">Y40</f>
        <v>0</v>
      </c>
      <c r="Z47" s="217" t="n">
        <f aca="false">Z40</f>
        <v>0</v>
      </c>
      <c r="AA47" s="217" t="n">
        <f aca="false">AA40</f>
        <v>0</v>
      </c>
      <c r="AB47" s="555"/>
    </row>
    <row r="48" customFormat="false" ht="12.75" hidden="false" customHeight="false" outlineLevel="0" collapsed="false">
      <c r="A48" s="146"/>
      <c r="B48" s="38" t="s">
        <v>1020</v>
      </c>
      <c r="C48" s="38"/>
      <c r="D48" s="656"/>
      <c r="E48" s="772" t="n">
        <f aca="false">E44</f>
        <v>0</v>
      </c>
      <c r="F48" s="772" t="n">
        <f aca="false">F44</f>
        <v>0</v>
      </c>
      <c r="G48" s="772" t="n">
        <f aca="false">G44</f>
        <v>0</v>
      </c>
      <c r="H48" s="772" t="n">
        <f aca="false">H44</f>
        <v>0</v>
      </c>
      <c r="I48" s="772" t="n">
        <f aca="false">I44</f>
        <v>0.65625</v>
      </c>
      <c r="J48" s="772" t="n">
        <f aca="false">J44</f>
        <v>0.65625</v>
      </c>
      <c r="K48" s="772" t="n">
        <f aca="false">K44</f>
        <v>0.65625</v>
      </c>
      <c r="L48" s="772" t="n">
        <f aca="false">L44</f>
        <v>0.65625</v>
      </c>
      <c r="M48" s="772" t="n">
        <f aca="false">M44</f>
        <v>0.65625</v>
      </c>
      <c r="N48" s="772" t="n">
        <f aca="false">N44</f>
        <v>0.65625</v>
      </c>
      <c r="O48" s="772" t="n">
        <f aca="false">O44</f>
        <v>0.65625</v>
      </c>
      <c r="P48" s="772" t="n">
        <f aca="false">P44</f>
        <v>0.65625</v>
      </c>
      <c r="Q48" s="772" t="n">
        <f aca="false">Q44</f>
        <v>0.65625</v>
      </c>
      <c r="R48" s="772" t="n">
        <f aca="false">R44</f>
        <v>0.65625</v>
      </c>
      <c r="S48" s="772" t="n">
        <f aca="false">S44</f>
        <v>0.65625</v>
      </c>
      <c r="T48" s="772" t="n">
        <f aca="false">T44</f>
        <v>0.65625</v>
      </c>
      <c r="U48" s="772" t="n">
        <f aca="false">U44</f>
        <v>0.65625</v>
      </c>
      <c r="V48" s="772" t="n">
        <f aca="false">V44</f>
        <v>0.65625</v>
      </c>
      <c r="W48" s="772" t="n">
        <f aca="false">W44</f>
        <v>0.65625</v>
      </c>
      <c r="X48" s="772" t="n">
        <f aca="false">X44</f>
        <v>0.65625</v>
      </c>
      <c r="Y48" s="772" t="n">
        <f aca="false">Y44</f>
        <v>0.65625</v>
      </c>
      <c r="Z48" s="772" t="n">
        <f aca="false">Z44</f>
        <v>0.65625</v>
      </c>
      <c r="AA48" s="772" t="n">
        <f aca="false">AA44</f>
        <v>0.65625</v>
      </c>
      <c r="AB48" s="555"/>
    </row>
    <row r="49" customFormat="false" ht="12.75" hidden="false" customHeight="false" outlineLevel="0" collapsed="false">
      <c r="A49" s="146"/>
      <c r="B49" s="38" t="s">
        <v>1040</v>
      </c>
      <c r="C49" s="38"/>
      <c r="D49" s="131" t="s">
        <v>1025</v>
      </c>
      <c r="E49" s="217" t="n">
        <f aca="false">E47*E48</f>
        <v>0</v>
      </c>
      <c r="F49" s="217" t="n">
        <f aca="false">F47*F48</f>
        <v>0</v>
      </c>
      <c r="G49" s="217" t="n">
        <f aca="false">G47*G48</f>
        <v>0</v>
      </c>
      <c r="H49" s="217" t="n">
        <f aca="false">H47*H48</f>
        <v>0</v>
      </c>
      <c r="I49" s="217" t="n">
        <f aca="false">I47*I48</f>
        <v>0</v>
      </c>
      <c r="J49" s="217" t="n">
        <f aca="false">J47*J48</f>
        <v>0</v>
      </c>
      <c r="K49" s="217" t="n">
        <f aca="false">K47*K48</f>
        <v>0</v>
      </c>
      <c r="L49" s="217" t="n">
        <f aca="false">L47*L48</f>
        <v>0</v>
      </c>
      <c r="M49" s="217" t="n">
        <f aca="false">M47*M48</f>
        <v>0</v>
      </c>
      <c r="N49" s="217" t="n">
        <f aca="false">N47*N48</f>
        <v>0</v>
      </c>
      <c r="O49" s="217" t="n">
        <f aca="false">O47*O48</f>
        <v>0</v>
      </c>
      <c r="P49" s="217" t="n">
        <f aca="false">P47*P48</f>
        <v>0</v>
      </c>
      <c r="Q49" s="217" t="n">
        <f aca="false">Q47*Q48</f>
        <v>0</v>
      </c>
      <c r="R49" s="217" t="n">
        <f aca="false">R47*R48</f>
        <v>0</v>
      </c>
      <c r="S49" s="217" t="n">
        <f aca="false">S47*S48</f>
        <v>0</v>
      </c>
      <c r="T49" s="217" t="n">
        <f aca="false">T47*T48</f>
        <v>0</v>
      </c>
      <c r="U49" s="217" t="n">
        <f aca="false">U47*U48</f>
        <v>0</v>
      </c>
      <c r="V49" s="217" t="n">
        <f aca="false">V47*V48</f>
        <v>0</v>
      </c>
      <c r="W49" s="217" t="n">
        <f aca="false">W47*W48</f>
        <v>0</v>
      </c>
      <c r="X49" s="217" t="n">
        <f aca="false">X47*X48</f>
        <v>0</v>
      </c>
      <c r="Y49" s="217" t="n">
        <f aca="false">Y47*Y48</f>
        <v>0</v>
      </c>
      <c r="Z49" s="217" t="n">
        <f aca="false">Z47*Z48</f>
        <v>0</v>
      </c>
      <c r="AA49" s="217" t="n">
        <f aca="false">AA47*AA48</f>
        <v>0</v>
      </c>
      <c r="AB49" s="555"/>
    </row>
    <row r="50" customFormat="false" ht="12.75" hidden="false" customHeight="false" outlineLevel="0" collapsed="false">
      <c r="A50" s="146"/>
      <c r="B50" s="38"/>
      <c r="C50" s="38"/>
      <c r="D50" s="656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555"/>
    </row>
    <row r="51" customFormat="false" ht="12.75" hidden="false" customHeight="false" outlineLevel="0" collapsed="false">
      <c r="A51" s="146"/>
      <c r="B51" s="38" t="s">
        <v>1026</v>
      </c>
      <c r="C51" s="38"/>
      <c r="D51" s="131" t="s">
        <v>1027</v>
      </c>
      <c r="E51" s="217" t="n">
        <f aca="false">IF(MAX(E45,E49)&lt;0,0,MAX(E45,E49))</f>
        <v>0</v>
      </c>
      <c r="F51" s="217" t="n">
        <f aca="false">IF(MAX(F45,F49)&lt;0,0,MAX(F45,F49))</f>
        <v>0</v>
      </c>
      <c r="G51" s="217" t="n">
        <f aca="false">IF(MAX(G45,G49)&lt;0,0,MAX(G45,G49))</f>
        <v>0</v>
      </c>
      <c r="H51" s="217" t="n">
        <f aca="false">IF(MAX(H45,H49)&lt;0,0,MAX(H45,H49))</f>
        <v>0</v>
      </c>
      <c r="I51" s="217" t="n">
        <f aca="false">IF(MAX(I45,I49)&lt;0,0,MAX(I45,I49))</f>
        <v>0</v>
      </c>
      <c r="J51" s="217" t="n">
        <f aca="false">IF(MAX(J45,J49)&lt;0,0,MAX(J45,J49))</f>
        <v>0</v>
      </c>
      <c r="K51" s="217" t="n">
        <f aca="false">IF(MAX(K45,K49)&lt;0,0,MAX(K45,K49))</f>
        <v>0</v>
      </c>
      <c r="L51" s="217" t="n">
        <f aca="false">IF(MAX(L45,L49)&lt;0,0,MAX(L45,L49))</f>
        <v>0</v>
      </c>
      <c r="M51" s="217" t="n">
        <f aca="false">IF(MAX(M45,M49)&lt;0,0,MAX(M45,M49))</f>
        <v>0</v>
      </c>
      <c r="N51" s="217" t="n">
        <f aca="false">IF(MAX(N45,N49)&lt;0,0,MAX(N45,N49))</f>
        <v>0</v>
      </c>
      <c r="O51" s="217" t="n">
        <f aca="false">IF(MAX(O45,O49)&lt;0,0,MAX(O45,O49))</f>
        <v>0</v>
      </c>
      <c r="P51" s="217" t="n">
        <f aca="false">IF(MAX(P45,P49)&lt;0,0,MAX(P45,P49))</f>
        <v>0</v>
      </c>
      <c r="Q51" s="217" t="n">
        <f aca="false">IF(MAX(Q45,Q49)&lt;0,0,MAX(Q45,Q49))</f>
        <v>0</v>
      </c>
      <c r="R51" s="217" t="n">
        <f aca="false">IF(MAX(R45,R49)&lt;0,0,MAX(R45,R49))</f>
        <v>0</v>
      </c>
      <c r="S51" s="217" t="n">
        <f aca="false">IF(MAX(S45,S49)&lt;0,0,MAX(S45,S49))</f>
        <v>0</v>
      </c>
      <c r="T51" s="217" t="n">
        <f aca="false">IF(MAX(T45,T49)&lt;0,0,MAX(T45,T49))</f>
        <v>0</v>
      </c>
      <c r="U51" s="217" t="n">
        <f aca="false">IF(MAX(U45,U49)&lt;0,0,MAX(U45,U49))</f>
        <v>0</v>
      </c>
      <c r="V51" s="217" t="n">
        <f aca="false">IF(MAX(V45,V49)&lt;0,0,MAX(V45,V49))</f>
        <v>0</v>
      </c>
      <c r="W51" s="217" t="n">
        <f aca="false">IF(MAX(W45,W49)&lt;0,0,MAX(W45,W49))</f>
        <v>0</v>
      </c>
      <c r="X51" s="217" t="n">
        <f aca="false">IF(MAX(X45,X49)&lt;0,0,MAX(X45,X49))</f>
        <v>0</v>
      </c>
      <c r="Y51" s="217" t="n">
        <f aca="false">IF(MAX(Y45,Y49)&lt;0,0,MAX(Y45,Y49))</f>
        <v>0</v>
      </c>
      <c r="Z51" s="217" t="n">
        <f aca="false">IF(MAX(Z45,Z49)&lt;0,0,MAX(Z45,Z49))</f>
        <v>0</v>
      </c>
      <c r="AA51" s="217" t="n">
        <f aca="false">IF(MAX(AA45,AA49)&lt;0,0,MAX(AA45,AA49))</f>
        <v>0</v>
      </c>
      <c r="AB51" s="555"/>
    </row>
    <row r="52" customFormat="false" ht="12.75" hidden="false" customHeight="false" outlineLevel="0" collapsed="false">
      <c r="A52" s="146"/>
      <c r="B52" s="38" t="s">
        <v>1028</v>
      </c>
      <c r="C52" s="38"/>
      <c r="D52" s="131" t="s">
        <v>1029</v>
      </c>
      <c r="E52" s="217" t="n">
        <f aca="false">IF(MIN(E45,E49)&lt;0,0,MIN(E45,E49))</f>
        <v>0</v>
      </c>
      <c r="F52" s="217" t="n">
        <f aca="false">IF(MIN(F45,F49)&lt;0,0,MIN(F45,F49))</f>
        <v>0</v>
      </c>
      <c r="G52" s="217" t="n">
        <f aca="false">IF(MIN(G45,G49)&lt;0,0,MIN(G45,G49))</f>
        <v>0</v>
      </c>
      <c r="H52" s="217" t="n">
        <f aca="false">IF(MIN(H45,H49)&lt;0,0,MIN(H45,H49))</f>
        <v>0</v>
      </c>
      <c r="I52" s="217" t="n">
        <f aca="false">IF(MIN(I45,I49)&lt;0,0,MIN(I45,I49))</f>
        <v>0</v>
      </c>
      <c r="J52" s="217" t="n">
        <f aca="false">IF(MIN(J45,J49)&lt;0,0,MIN(J45,J49))</f>
        <v>0</v>
      </c>
      <c r="K52" s="217" t="n">
        <f aca="false">IF(MIN(K45,K49)&lt;0,0,MIN(K45,K49))</f>
        <v>0</v>
      </c>
      <c r="L52" s="217" t="n">
        <f aca="false">IF(MIN(L45,L49)&lt;0,0,MIN(L45,L49))</f>
        <v>0</v>
      </c>
      <c r="M52" s="217" t="n">
        <f aca="false">IF(MIN(M45,M49)&lt;0,0,MIN(M45,M49))</f>
        <v>0</v>
      </c>
      <c r="N52" s="217" t="n">
        <f aca="false">IF(MIN(N45,N49)&lt;0,0,MIN(N45,N49))</f>
        <v>0</v>
      </c>
      <c r="O52" s="217" t="n">
        <f aca="false">IF(MIN(O45,O49)&lt;0,0,MIN(O45,O49))</f>
        <v>0</v>
      </c>
      <c r="P52" s="217" t="n">
        <f aca="false">IF(MIN(P45,P49)&lt;0,0,MIN(P45,P49))</f>
        <v>0</v>
      </c>
      <c r="Q52" s="217" t="n">
        <f aca="false">IF(MIN(Q45,Q49)&lt;0,0,MIN(Q45,Q49))</f>
        <v>0</v>
      </c>
      <c r="R52" s="217" t="n">
        <f aca="false">IF(MIN(R45,R49)&lt;0,0,MIN(R45,R49))</f>
        <v>0</v>
      </c>
      <c r="S52" s="217" t="n">
        <f aca="false">IF(MIN(S45,S49)&lt;0,0,MIN(S45,S49))</f>
        <v>0</v>
      </c>
      <c r="T52" s="217" t="n">
        <f aca="false">IF(MIN(T45,T49)&lt;0,0,MIN(T45,T49))</f>
        <v>0</v>
      </c>
      <c r="U52" s="217" t="n">
        <f aca="false">IF(MIN(U45,U49)&lt;0,0,MIN(U45,U49))</f>
        <v>0</v>
      </c>
      <c r="V52" s="217" t="n">
        <f aca="false">IF(MIN(V45,V49)&lt;0,0,MIN(V45,V49))</f>
        <v>0</v>
      </c>
      <c r="W52" s="217" t="n">
        <f aca="false">IF(MIN(W45,W49)&lt;0,0,MIN(W45,W49))</f>
        <v>0</v>
      </c>
      <c r="X52" s="217" t="n">
        <f aca="false">IF(MIN(X45,X49)&lt;0,0,MIN(X45,X49))</f>
        <v>0</v>
      </c>
      <c r="Y52" s="217" t="n">
        <f aca="false">IF(MIN(Y45,Y49)&lt;0,0,MIN(Y45,Y49))</f>
        <v>0</v>
      </c>
      <c r="Z52" s="217" t="n">
        <f aca="false">IF(MIN(Z45,Z49)&lt;0,0,MIN(Z45,Z49))</f>
        <v>0</v>
      </c>
      <c r="AA52" s="217" t="n">
        <f aca="false">IF(MIN(AA45,AA49)&lt;0,0,MIN(AA45,AA49))</f>
        <v>0</v>
      </c>
      <c r="AB52" s="555"/>
    </row>
    <row r="53" customFormat="false" ht="12.75" hidden="false" customHeight="false" outlineLevel="0" collapsed="false">
      <c r="A53" s="37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555"/>
    </row>
    <row r="54" customFormat="false" ht="12.75" hidden="false" customHeight="false" outlineLevel="0" collapsed="false">
      <c r="A54" s="146"/>
      <c r="B54" s="38" t="s">
        <v>1041</v>
      </c>
      <c r="C54" s="38"/>
      <c r="D54" s="656"/>
      <c r="E54" s="217" t="n">
        <f aca="false">((E51*2)+E52)/3</f>
        <v>0</v>
      </c>
      <c r="F54" s="217" t="n">
        <f aca="false">((F51*2)+F52)/3</f>
        <v>0</v>
      </c>
      <c r="G54" s="217" t="n">
        <f aca="false">((G51*2)+G52)/3</f>
        <v>0</v>
      </c>
      <c r="H54" s="217" t="n">
        <f aca="false">((H51*2)+H52)/3</f>
        <v>0</v>
      </c>
      <c r="I54" s="217" t="n">
        <f aca="false">((I51*2)+I52)/3</f>
        <v>0</v>
      </c>
      <c r="J54" s="217" t="n">
        <f aca="false">((J51*2)+J52)/3</f>
        <v>0</v>
      </c>
      <c r="K54" s="217" t="n">
        <f aca="false">((K51*2)+K52)/3</f>
        <v>0</v>
      </c>
      <c r="L54" s="217" t="n">
        <f aca="false">((L51*2)+L52)/3</f>
        <v>0</v>
      </c>
      <c r="M54" s="217" t="n">
        <f aca="false">((M51*2)+M52)/3</f>
        <v>0</v>
      </c>
      <c r="N54" s="217" t="n">
        <f aca="false">((N51*2)+N52)/3</f>
        <v>0</v>
      </c>
      <c r="O54" s="217" t="n">
        <f aca="false">((O51*2)+O52)/3</f>
        <v>0</v>
      </c>
      <c r="P54" s="217" t="n">
        <f aca="false">((P51*2)+P52)/3</f>
        <v>0</v>
      </c>
      <c r="Q54" s="217" t="n">
        <f aca="false">((Q51*2)+Q52)/3</f>
        <v>0</v>
      </c>
      <c r="R54" s="217" t="n">
        <f aca="false">((R51*2)+R52)/3</f>
        <v>0</v>
      </c>
      <c r="S54" s="217" t="n">
        <f aca="false">((S51*2)+S52)/3</f>
        <v>0</v>
      </c>
      <c r="T54" s="217" t="n">
        <f aca="false">((T51*2)+T52)/3</f>
        <v>0</v>
      </c>
      <c r="U54" s="217" t="n">
        <f aca="false">((U51*2)+U52)/3</f>
        <v>0</v>
      </c>
      <c r="V54" s="217" t="n">
        <f aca="false">((V51*2)+V52)/3</f>
        <v>0</v>
      </c>
      <c r="W54" s="217" t="n">
        <f aca="false">((W51*2)+W52)/3</f>
        <v>0</v>
      </c>
      <c r="X54" s="217" t="n">
        <f aca="false">((X51*2)+X52)/3</f>
        <v>0</v>
      </c>
      <c r="Y54" s="217" t="n">
        <f aca="false">((Y51*2)+Y52)/3</f>
        <v>0</v>
      </c>
      <c r="Z54" s="217" t="n">
        <f aca="false">((Z51*2)+Z52)/3</f>
        <v>0</v>
      </c>
      <c r="AA54" s="217" t="n">
        <f aca="false">((AA51*2)+AA52)/3</f>
        <v>0</v>
      </c>
      <c r="AB54" s="555"/>
    </row>
    <row r="55" customFormat="false" ht="12.75" hidden="false" customHeight="false" outlineLevel="0" collapsed="false">
      <c r="A55" s="146"/>
      <c r="B55" s="38" t="s">
        <v>1031</v>
      </c>
      <c r="C55" s="773" t="n">
        <f aca="false">Opic</f>
        <v>0.01</v>
      </c>
      <c r="D55" s="656"/>
      <c r="E55" s="774" t="n">
        <f aca="false">$C55</f>
        <v>0.01</v>
      </c>
      <c r="F55" s="774" t="n">
        <f aca="false">$C55</f>
        <v>0.01</v>
      </c>
      <c r="G55" s="774" t="n">
        <f aca="false">$C55</f>
        <v>0.01</v>
      </c>
      <c r="H55" s="774" t="n">
        <f aca="false">$C55</f>
        <v>0.01</v>
      </c>
      <c r="I55" s="774" t="n">
        <f aca="false">$C55</f>
        <v>0.01</v>
      </c>
      <c r="J55" s="774" t="n">
        <f aca="false">$C55</f>
        <v>0.01</v>
      </c>
      <c r="K55" s="774" t="n">
        <f aca="false">$C55</f>
        <v>0.01</v>
      </c>
      <c r="L55" s="774" t="n">
        <f aca="false">$C55</f>
        <v>0.01</v>
      </c>
      <c r="M55" s="774" t="n">
        <f aca="false">$C55</f>
        <v>0.01</v>
      </c>
      <c r="N55" s="774" t="n">
        <f aca="false">$C55</f>
        <v>0.01</v>
      </c>
      <c r="O55" s="774" t="n">
        <f aca="false">$C55</f>
        <v>0.01</v>
      </c>
      <c r="P55" s="774" t="n">
        <f aca="false">$C55</f>
        <v>0.01</v>
      </c>
      <c r="Q55" s="774" t="n">
        <f aca="false">$C55</f>
        <v>0.01</v>
      </c>
      <c r="R55" s="774" t="n">
        <f aca="false">$C55</f>
        <v>0.01</v>
      </c>
      <c r="S55" s="774" t="n">
        <f aca="false">$C55</f>
        <v>0.01</v>
      </c>
      <c r="T55" s="774" t="n">
        <f aca="false">$C55</f>
        <v>0.01</v>
      </c>
      <c r="U55" s="774" t="n">
        <f aca="false">$C55</f>
        <v>0.01</v>
      </c>
      <c r="V55" s="774" t="n">
        <f aca="false">$C55</f>
        <v>0.01</v>
      </c>
      <c r="W55" s="774" t="n">
        <f aca="false">$C55</f>
        <v>0.01</v>
      </c>
      <c r="X55" s="774" t="n">
        <f aca="false">$C55</f>
        <v>0.01</v>
      </c>
      <c r="Y55" s="774" t="n">
        <f aca="false">$C55</f>
        <v>0.01</v>
      </c>
      <c r="Z55" s="774" t="n">
        <f aca="false">$C55</f>
        <v>0.01</v>
      </c>
      <c r="AA55" s="774" t="n">
        <f aca="false">$C55</f>
        <v>0.01</v>
      </c>
      <c r="AB55" s="555"/>
    </row>
    <row r="56" customFormat="false" ht="12.75" hidden="false" customHeight="false" outlineLevel="0" collapsed="false">
      <c r="A56" s="775"/>
      <c r="B56" s="464" t="s">
        <v>1042</v>
      </c>
      <c r="C56" s="464"/>
      <c r="D56" s="776"/>
      <c r="E56" s="777" t="n">
        <f aca="false">E54*E55</f>
        <v>0</v>
      </c>
      <c r="F56" s="777" t="n">
        <f aca="false">F54*F55</f>
        <v>0</v>
      </c>
      <c r="G56" s="777" t="n">
        <f aca="false">G54*G55</f>
        <v>0</v>
      </c>
      <c r="H56" s="777" t="n">
        <f aca="false">H54*H55</f>
        <v>0</v>
      </c>
      <c r="I56" s="777" t="n">
        <f aca="false">I54*I55</f>
        <v>0</v>
      </c>
      <c r="J56" s="777" t="n">
        <f aca="false">J54*J55</f>
        <v>0</v>
      </c>
      <c r="K56" s="777" t="n">
        <f aca="false">K54*K55</f>
        <v>0</v>
      </c>
      <c r="L56" s="777" t="n">
        <f aca="false">L54*L55</f>
        <v>0</v>
      </c>
      <c r="M56" s="777" t="n">
        <f aca="false">M54*M55</f>
        <v>0</v>
      </c>
      <c r="N56" s="777" t="n">
        <f aca="false">N54*N55</f>
        <v>0</v>
      </c>
      <c r="O56" s="777" t="n">
        <f aca="false">O54*O55</f>
        <v>0</v>
      </c>
      <c r="P56" s="777" t="n">
        <f aca="false">P54*P55</f>
        <v>0</v>
      </c>
      <c r="Q56" s="777" t="n">
        <f aca="false">Q54*Q55</f>
        <v>0</v>
      </c>
      <c r="R56" s="777" t="n">
        <f aca="false">R54*R55</f>
        <v>0</v>
      </c>
      <c r="S56" s="777" t="n">
        <f aca="false">S54*S55</f>
        <v>0</v>
      </c>
      <c r="T56" s="777" t="n">
        <f aca="false">T54*T55</f>
        <v>0</v>
      </c>
      <c r="U56" s="777" t="n">
        <f aca="false">U54*U55</f>
        <v>0</v>
      </c>
      <c r="V56" s="777" t="n">
        <f aca="false">V54*V55</f>
        <v>0</v>
      </c>
      <c r="W56" s="777" t="n">
        <f aca="false">W54*W55</f>
        <v>0</v>
      </c>
      <c r="X56" s="777" t="n">
        <f aca="false">X54*X55</f>
        <v>0</v>
      </c>
      <c r="Y56" s="777" t="n">
        <f aca="false">Y54*Y55</f>
        <v>0</v>
      </c>
      <c r="Z56" s="777" t="n">
        <f aca="false">Z54*Z55</f>
        <v>0</v>
      </c>
      <c r="AA56" s="777" t="n">
        <f aca="false">AA54*AA55</f>
        <v>0</v>
      </c>
      <c r="AB56" s="778" t="n">
        <f aca="false">SUM(E56:AA56)</f>
        <v>0</v>
      </c>
    </row>
    <row r="57" customFormat="false" ht="12.75" hidden="false" customHeight="false" outlineLevel="0" collapsed="false">
      <c r="A57" s="37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555"/>
    </row>
    <row r="58" customFormat="false" ht="12.75" hidden="false" customHeight="false" outlineLevel="0" collapsed="false">
      <c r="A58" s="771" t="s">
        <v>1043</v>
      </c>
      <c r="B58" s="38"/>
      <c r="C58" s="38"/>
      <c r="D58" s="656"/>
      <c r="E58" s="656"/>
      <c r="F58" s="656"/>
      <c r="G58" s="656"/>
      <c r="H58" s="656"/>
      <c r="I58" s="656"/>
      <c r="J58" s="656"/>
      <c r="K58" s="656"/>
      <c r="L58" s="656"/>
      <c r="M58" s="656"/>
      <c r="N58" s="656"/>
      <c r="O58" s="656"/>
      <c r="P58" s="656"/>
      <c r="Q58" s="656"/>
      <c r="R58" s="656"/>
      <c r="S58" s="656"/>
      <c r="T58" s="656"/>
      <c r="U58" s="656"/>
      <c r="V58" s="656"/>
      <c r="W58" s="656"/>
      <c r="X58" s="656"/>
      <c r="Y58" s="656"/>
      <c r="Z58" s="656"/>
      <c r="AA58" s="656"/>
      <c r="AB58" s="555"/>
    </row>
    <row r="59" customFormat="false" ht="12.75" hidden="false" customHeight="false" outlineLevel="0" collapsed="false">
      <c r="A59" s="146"/>
      <c r="B59" s="38" t="s">
        <v>1044</v>
      </c>
      <c r="C59" s="38"/>
      <c r="D59" s="131" t="s">
        <v>1022</v>
      </c>
      <c r="E59" s="217" t="n">
        <f aca="false">-SUM('Enron Returns'!$D$50:D$51)</f>
        <v>-0</v>
      </c>
      <c r="F59" s="217" t="n">
        <f aca="false">-SUM('Enron Returns'!$D$50:E$51)</f>
        <v>-0</v>
      </c>
      <c r="G59" s="217" t="n">
        <f aca="false">-SUM('Enron Returns'!$D$50:F$51)</f>
        <v>17275.7008908428</v>
      </c>
      <c r="H59" s="217" t="n">
        <f aca="false">-SUM('Enron Returns'!$D$50:G$51)</f>
        <v>53382.5204446941</v>
      </c>
      <c r="I59" s="217" t="n">
        <f aca="false">-SUM('Enron Returns'!$D$50:H$51)</f>
        <v>-0</v>
      </c>
      <c r="J59" s="217" t="n">
        <f aca="false">-SUM('Enron Returns'!$D$50:I$51)</f>
        <v>-0</v>
      </c>
      <c r="K59" s="217" t="n">
        <f aca="false">-SUM('Enron Returns'!$D$50:J$51)</f>
        <v>-0</v>
      </c>
      <c r="L59" s="217" t="n">
        <f aca="false">-SUM('Enron Returns'!$D$50:K$51)</f>
        <v>-0</v>
      </c>
      <c r="M59" s="217" t="n">
        <f aca="false">-SUM('Enron Returns'!$D$50:L$51)</f>
        <v>-0</v>
      </c>
      <c r="N59" s="217" t="n">
        <f aca="false">-SUM('Enron Returns'!$D$50:M$51)</f>
        <v>-0</v>
      </c>
      <c r="O59" s="217" t="n">
        <f aca="false">-SUM('Enron Returns'!$D$50:N$51)</f>
        <v>-0</v>
      </c>
      <c r="P59" s="217" t="n">
        <f aca="false">-SUM('Enron Returns'!$D$50:O$51)</f>
        <v>-0</v>
      </c>
      <c r="Q59" s="217" t="n">
        <f aca="false">-SUM('Enron Returns'!$D$50:P$51)</f>
        <v>-0</v>
      </c>
      <c r="R59" s="217" t="n">
        <f aca="false">-SUM('Enron Returns'!$D$50:Q$51)</f>
        <v>-0</v>
      </c>
      <c r="S59" s="217" t="n">
        <f aca="false">-SUM('Enron Returns'!$D$50:R$51)</f>
        <v>-0</v>
      </c>
      <c r="T59" s="217" t="n">
        <f aca="false">-SUM('Enron Returns'!$D$50:S$51)</f>
        <v>-0</v>
      </c>
      <c r="U59" s="217" t="n">
        <f aca="false">-SUM('Enron Returns'!$D$50:T$51)</f>
        <v>-0</v>
      </c>
      <c r="V59" s="217" t="n">
        <f aca="false">-SUM('Enron Returns'!$D$50:U$51)</f>
        <v>-0</v>
      </c>
      <c r="W59" s="217" t="n">
        <f aca="false">-SUM('Enron Returns'!$D$50:V$51)</f>
        <v>-0</v>
      </c>
      <c r="X59" s="217" t="n">
        <f aca="false">-SUM('Enron Returns'!$D$50:W$51)</f>
        <v>-0</v>
      </c>
      <c r="Y59" s="217" t="n">
        <f aca="false">-SUM('Enron Returns'!$D$50:X$51)</f>
        <v>-0</v>
      </c>
      <c r="Z59" s="217" t="n">
        <f aca="false">-SUM('Enron Returns'!$D$50:Y$51)</f>
        <v>-0</v>
      </c>
      <c r="AA59" s="217" t="n">
        <f aca="false">-SUM('Enron Returns'!$D$50:Z$51)</f>
        <v>-0</v>
      </c>
      <c r="AB59" s="555"/>
    </row>
    <row r="60" customFormat="false" ht="12.75" hidden="false" customHeight="false" outlineLevel="0" collapsed="false">
      <c r="A60" s="146"/>
      <c r="B60" s="38" t="s">
        <v>1045</v>
      </c>
      <c r="C60" s="38"/>
      <c r="D60" s="131" t="s">
        <v>1025</v>
      </c>
      <c r="E60" s="217" t="n">
        <f aca="false">-SUM('Enron Returns'!$E$50:E$51)</f>
        <v>-0</v>
      </c>
      <c r="F60" s="217" t="n">
        <f aca="false">-SUM('Enron Returns'!$E$50:F$51)</f>
        <v>17275.7008908428</v>
      </c>
      <c r="G60" s="217" t="n">
        <f aca="false">-SUM('Enron Returns'!$E$50:G$51)</f>
        <v>53382.5204446941</v>
      </c>
      <c r="H60" s="217" t="n">
        <f aca="false">-SUM('Enron Returns'!$E$50:H$51)</f>
        <v>-0</v>
      </c>
      <c r="I60" s="217" t="n">
        <f aca="false">-SUM('Enron Returns'!$E$50:I$51)</f>
        <v>-0</v>
      </c>
      <c r="J60" s="217" t="n">
        <f aca="false">-SUM('Enron Returns'!$E$50:J$51)</f>
        <v>-0</v>
      </c>
      <c r="K60" s="217" t="n">
        <f aca="false">-SUM('Enron Returns'!$E$50:K$51)</f>
        <v>-0</v>
      </c>
      <c r="L60" s="217" t="n">
        <f aca="false">-SUM('Enron Returns'!$E$50:L$51)</f>
        <v>-0</v>
      </c>
      <c r="M60" s="217" t="n">
        <f aca="false">-SUM('Enron Returns'!$E$50:M$51)</f>
        <v>-0</v>
      </c>
      <c r="N60" s="217" t="n">
        <f aca="false">-SUM('Enron Returns'!$E$50:N$51)</f>
        <v>-0</v>
      </c>
      <c r="O60" s="217" t="n">
        <f aca="false">-SUM('Enron Returns'!$E$50:O$51)</f>
        <v>-0</v>
      </c>
      <c r="P60" s="217" t="n">
        <f aca="false">-SUM('Enron Returns'!$E$50:P$51)</f>
        <v>-0</v>
      </c>
      <c r="Q60" s="217" t="n">
        <f aca="false">-SUM('Enron Returns'!$E$50:Q$51)</f>
        <v>-0</v>
      </c>
      <c r="R60" s="217" t="n">
        <f aca="false">-SUM('Enron Returns'!$E$50:R$51)</f>
        <v>-0</v>
      </c>
      <c r="S60" s="217" t="n">
        <f aca="false">-SUM('Enron Returns'!$E$50:S$51)</f>
        <v>-0</v>
      </c>
      <c r="T60" s="217" t="n">
        <f aca="false">-SUM('Enron Returns'!$E$50:T$51)</f>
        <v>-0</v>
      </c>
      <c r="U60" s="217" t="n">
        <f aca="false">-SUM('Enron Returns'!$E$50:U$51)</f>
        <v>-0</v>
      </c>
      <c r="V60" s="217" t="n">
        <f aca="false">-SUM('Enron Returns'!$E$50:V$51)</f>
        <v>-0</v>
      </c>
      <c r="W60" s="217" t="n">
        <f aca="false">-SUM('Enron Returns'!$E$50:W$51)</f>
        <v>-0</v>
      </c>
      <c r="X60" s="217" t="n">
        <f aca="false">-SUM('Enron Returns'!$E$50:X$51)</f>
        <v>-0</v>
      </c>
      <c r="Y60" s="217" t="n">
        <f aca="false">-SUM('Enron Returns'!$E$50:Y$51)</f>
        <v>-0</v>
      </c>
      <c r="Z60" s="217" t="n">
        <f aca="false">-SUM('Enron Returns'!$E$50:Z$51)</f>
        <v>-0</v>
      </c>
      <c r="AA60" s="217" t="n">
        <f aca="false">-SUM('Enron Returns'!$E$50:AA$51)</f>
        <v>-0</v>
      </c>
      <c r="AB60" s="555"/>
    </row>
    <row r="61" customFormat="false" ht="12.75" hidden="false" customHeight="false" outlineLevel="0" collapsed="false">
      <c r="A61" s="146"/>
      <c r="B61" s="38"/>
      <c r="C61" s="38"/>
      <c r="D61" s="656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555"/>
    </row>
    <row r="62" customFormat="false" ht="12.75" hidden="false" customHeight="false" outlineLevel="0" collapsed="false">
      <c r="A62" s="146"/>
      <c r="B62" s="38" t="s">
        <v>1026</v>
      </c>
      <c r="C62" s="38"/>
      <c r="D62" s="131" t="s">
        <v>1027</v>
      </c>
      <c r="E62" s="217" t="n">
        <f aca="false">IF(MAX(E$59,E$60)&lt;0,0,MAX(E$59,E$60))</f>
        <v>-0</v>
      </c>
      <c r="F62" s="217" t="n">
        <f aca="false">IF(MAX(F$59,F$60)&lt;0,0,MAX(F$59,F$60))</f>
        <v>17275.7008908428</v>
      </c>
      <c r="G62" s="217" t="n">
        <f aca="false">IF(MAX(G$59,G$60)&lt;0,0,MAX(G$59,G$60))</f>
        <v>53382.5204446941</v>
      </c>
      <c r="H62" s="217" t="n">
        <f aca="false">IF(MAX(H$59,H$60)&lt;0,0,MAX(H$59,H$60))</f>
        <v>53382.5204446941</v>
      </c>
      <c r="I62" s="217" t="n">
        <f aca="false">IF(MAX(I$59,I$60)&lt;0,0,MAX(I$59,I$60))</f>
        <v>-0</v>
      </c>
      <c r="J62" s="217" t="n">
        <f aca="false">IF(MAX(J$59,J$60)&lt;0,0,MAX(J$59,J$60))</f>
        <v>-0</v>
      </c>
      <c r="K62" s="217" t="n">
        <f aca="false">IF(MAX(K$59,K$60)&lt;0,0,MAX(K$59,K$60))</f>
        <v>-0</v>
      </c>
      <c r="L62" s="217" t="n">
        <f aca="false">IF(MAX(L$59,L$60)&lt;0,0,MAX(L$59,L$60))</f>
        <v>-0</v>
      </c>
      <c r="M62" s="217" t="n">
        <f aca="false">IF(MAX(M$59,M$60)&lt;0,0,MAX(M$59,M$60))</f>
        <v>-0</v>
      </c>
      <c r="N62" s="217" t="n">
        <f aca="false">IF(MAX(N$59,N$60)&lt;0,0,MAX(N$59,N$60))</f>
        <v>-0</v>
      </c>
      <c r="O62" s="217" t="n">
        <f aca="false">IF(MAX(O$59,O$60)&lt;0,0,MAX(O$59,O$60))</f>
        <v>-0</v>
      </c>
      <c r="P62" s="217" t="n">
        <f aca="false">IF(MAX(P$59,P$60)&lt;0,0,MAX(P$59,P$60))</f>
        <v>-0</v>
      </c>
      <c r="Q62" s="217" t="n">
        <f aca="false">IF(MAX(Q$59,Q$60)&lt;0,0,MAX(Q$59,Q$60))</f>
        <v>-0</v>
      </c>
      <c r="R62" s="217" t="n">
        <f aca="false">IF(MAX(R$59,R$60)&lt;0,0,MAX(R$59,R$60))</f>
        <v>-0</v>
      </c>
      <c r="S62" s="217" t="n">
        <f aca="false">IF(MAX(S$59,S$60)&lt;0,0,MAX(S$59,S$60))</f>
        <v>-0</v>
      </c>
      <c r="T62" s="217" t="n">
        <f aca="false">IF(MAX(T$59,T$60)&lt;0,0,MAX(T$59,T$60))</f>
        <v>-0</v>
      </c>
      <c r="U62" s="217" t="n">
        <f aca="false">IF(MAX(U$59,U$60)&lt;0,0,MAX(U$59,U$60))</f>
        <v>-0</v>
      </c>
      <c r="V62" s="217" t="n">
        <f aca="false">IF(MAX(V$59,V$60)&lt;0,0,MAX(V$59,V$60))</f>
        <v>-0</v>
      </c>
      <c r="W62" s="217" t="n">
        <f aca="false">IF(MAX(W$59,W$60)&lt;0,0,MAX(W$59,W$60))</f>
        <v>-0</v>
      </c>
      <c r="X62" s="217" t="n">
        <f aca="false">IF(MAX(X$59,X$60)&lt;0,0,MAX(X$59,X$60))</f>
        <v>-0</v>
      </c>
      <c r="Y62" s="217" t="n">
        <f aca="false">IF(MAX(Y$59,Y$60)&lt;0,0,MAX(Y$59,Y$60))</f>
        <v>-0</v>
      </c>
      <c r="Z62" s="217" t="n">
        <f aca="false">IF(MAX(Z$59,Z$60)&lt;0,0,MAX(Z$59,Z$60))</f>
        <v>-0</v>
      </c>
      <c r="AA62" s="217" t="n">
        <f aca="false">IF(MAX(AA$59,AA$60)&lt;0,0,MAX(AA$59,AA$60))</f>
        <v>-0</v>
      </c>
      <c r="AB62" s="555"/>
    </row>
    <row r="63" customFormat="false" ht="12.75" hidden="false" customHeight="false" outlineLevel="0" collapsed="false">
      <c r="A63" s="146"/>
      <c r="B63" s="38" t="s">
        <v>1028</v>
      </c>
      <c r="C63" s="38"/>
      <c r="D63" s="131" t="s">
        <v>1029</v>
      </c>
      <c r="E63" s="217" t="n">
        <f aca="false">IF(MIN(E$59,E$60)&lt;0,0,MIN(E$59,E$60))</f>
        <v>-0</v>
      </c>
      <c r="F63" s="217" t="n">
        <f aca="false">IF(MIN(F$59,F$60)&lt;0,0,MIN(F$59,F$60))</f>
        <v>-0</v>
      </c>
      <c r="G63" s="217" t="n">
        <f aca="false">IF(MIN(G$59,G$60)&lt;0,0,MIN(G$59,G$60))</f>
        <v>17275.7008908428</v>
      </c>
      <c r="H63" s="217" t="n">
        <f aca="false">IF(MIN(H$59,H$60)&lt;0,0,MIN(H$59,H$60))</f>
        <v>-0</v>
      </c>
      <c r="I63" s="217" t="n">
        <f aca="false">IF(MIN(I$59,I$60)&lt;0,0,MIN(I$59,I$60))</f>
        <v>-0</v>
      </c>
      <c r="J63" s="217" t="n">
        <f aca="false">IF(MIN(J$59,J$60)&lt;0,0,MIN(J$59,J$60))</f>
        <v>-0</v>
      </c>
      <c r="K63" s="217" t="n">
        <f aca="false">IF(MIN(K$59,K$60)&lt;0,0,MIN(K$59,K$60))</f>
        <v>-0</v>
      </c>
      <c r="L63" s="217" t="n">
        <f aca="false">IF(MIN(L$59,L$60)&lt;0,0,MIN(L$59,L$60))</f>
        <v>-0</v>
      </c>
      <c r="M63" s="217" t="n">
        <f aca="false">IF(MIN(M$59,M$60)&lt;0,0,MIN(M$59,M$60))</f>
        <v>-0</v>
      </c>
      <c r="N63" s="217" t="n">
        <f aca="false">IF(MIN(N$59,N$60)&lt;0,0,MIN(N$59,N$60))</f>
        <v>-0</v>
      </c>
      <c r="O63" s="217" t="n">
        <f aca="false">IF(MIN(O$59,O$60)&lt;0,0,MIN(O$59,O$60))</f>
        <v>-0</v>
      </c>
      <c r="P63" s="217" t="n">
        <f aca="false">IF(MIN(P$59,P$60)&lt;0,0,MIN(P$59,P$60))</f>
        <v>-0</v>
      </c>
      <c r="Q63" s="217" t="n">
        <f aca="false">IF(MIN(Q$59,Q$60)&lt;0,0,MIN(Q$59,Q$60))</f>
        <v>-0</v>
      </c>
      <c r="R63" s="217" t="n">
        <f aca="false">IF(MIN(R$59,R$60)&lt;0,0,MIN(R$59,R$60))</f>
        <v>-0</v>
      </c>
      <c r="S63" s="217" t="n">
        <f aca="false">IF(MIN(S$59,S$60)&lt;0,0,MIN(S$59,S$60))</f>
        <v>-0</v>
      </c>
      <c r="T63" s="217" t="n">
        <f aca="false">IF(MIN(T$59,T$60)&lt;0,0,MIN(T$59,T$60))</f>
        <v>-0</v>
      </c>
      <c r="U63" s="217" t="n">
        <f aca="false">IF(MIN(U$59,U$60)&lt;0,0,MIN(U$59,U$60))</f>
        <v>-0</v>
      </c>
      <c r="V63" s="217" t="n">
        <f aca="false">IF(MIN(V$59,V$60)&lt;0,0,MIN(V$59,V$60))</f>
        <v>-0</v>
      </c>
      <c r="W63" s="217" t="n">
        <f aca="false">IF(MIN(W$59,W$60)&lt;0,0,MIN(W$59,W$60))</f>
        <v>-0</v>
      </c>
      <c r="X63" s="217" t="n">
        <f aca="false">IF(MIN(X$59,X$60)&lt;0,0,MIN(X$59,X$60))</f>
        <v>-0</v>
      </c>
      <c r="Y63" s="217" t="n">
        <f aca="false">IF(MIN(Y$59,Y$60)&lt;0,0,MIN(Y$59,Y$60))</f>
        <v>-0</v>
      </c>
      <c r="Z63" s="217" t="n">
        <f aca="false">IF(MIN(Z$59,Z$60)&lt;0,0,MIN(Z$59,Z$60))</f>
        <v>-0</v>
      </c>
      <c r="AA63" s="217" t="n">
        <f aca="false">IF(MIN(AA$59,AA$60)&lt;0,0,MIN(AA$59,AA$60))</f>
        <v>-0</v>
      </c>
      <c r="AB63" s="555"/>
    </row>
    <row r="64" customFormat="false" ht="12.75" hidden="false" customHeight="false" outlineLevel="0" collapsed="false">
      <c r="A64" s="37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555"/>
    </row>
    <row r="65" customFormat="false" ht="12.75" hidden="false" customHeight="false" outlineLevel="0" collapsed="false">
      <c r="A65" s="146"/>
      <c r="B65" s="38" t="s">
        <v>1046</v>
      </c>
      <c r="C65" s="38"/>
      <c r="D65" s="656"/>
      <c r="E65" s="217" t="n">
        <f aca="false">((E62*2)+E63)/3</f>
        <v>-0</v>
      </c>
      <c r="F65" s="217" t="n">
        <f aca="false">((F62*2)+F63)/3</f>
        <v>11517.1339272285</v>
      </c>
      <c r="G65" s="217" t="n">
        <f aca="false">((G62*2)+G63)/3</f>
        <v>41346.9139267437</v>
      </c>
      <c r="H65" s="217" t="n">
        <f aca="false">((H62*2)+H63)/3</f>
        <v>35588.3469631294</v>
      </c>
      <c r="I65" s="217" t="n">
        <f aca="false">((I62*2)+I63)/3</f>
        <v>-0</v>
      </c>
      <c r="J65" s="217" t="n">
        <f aca="false">((J62*2)+J63)/3</f>
        <v>-0</v>
      </c>
      <c r="K65" s="217" t="n">
        <f aca="false">((K62*2)+K63)/3</f>
        <v>-0</v>
      </c>
      <c r="L65" s="217" t="n">
        <f aca="false">((L62*2)+L63)/3</f>
        <v>-0</v>
      </c>
      <c r="M65" s="217" t="n">
        <f aca="false">((M62*2)+M63)/3</f>
        <v>-0</v>
      </c>
      <c r="N65" s="217" t="n">
        <f aca="false">((N62*2)+N63)/3</f>
        <v>-0</v>
      </c>
      <c r="O65" s="217" t="n">
        <f aca="false">((O62*2)+O63)/3</f>
        <v>-0</v>
      </c>
      <c r="P65" s="217" t="n">
        <f aca="false">((P62*2)+P63)/3</f>
        <v>-0</v>
      </c>
      <c r="Q65" s="217" t="n">
        <f aca="false">((Q62*2)+Q63)/3</f>
        <v>-0</v>
      </c>
      <c r="R65" s="217" t="n">
        <f aca="false">((R62*2)+R63)/3</f>
        <v>-0</v>
      </c>
      <c r="S65" s="217" t="n">
        <f aca="false">((S62*2)+S63)/3</f>
        <v>-0</v>
      </c>
      <c r="T65" s="217" t="n">
        <f aca="false">((T62*2)+T63)/3</f>
        <v>-0</v>
      </c>
      <c r="U65" s="217" t="n">
        <f aca="false">((U62*2)+U63)/3</f>
        <v>-0</v>
      </c>
      <c r="V65" s="217" t="n">
        <f aca="false">((V62*2)+V63)/3</f>
        <v>-0</v>
      </c>
      <c r="W65" s="217" t="n">
        <f aca="false">((W62*2)+W63)/3</f>
        <v>-0</v>
      </c>
      <c r="X65" s="217" t="n">
        <f aca="false">((X62*2)+X63)/3</f>
        <v>-0</v>
      </c>
      <c r="Y65" s="217" t="n">
        <f aca="false">((Y62*2)+Y63)/3</f>
        <v>-0</v>
      </c>
      <c r="Z65" s="217" t="n">
        <f aca="false">((Z62*2)+Z63)/3</f>
        <v>-0</v>
      </c>
      <c r="AA65" s="217" t="n">
        <f aca="false">((AA62*2)+AA63)/3</f>
        <v>-0</v>
      </c>
      <c r="AB65" s="555"/>
    </row>
    <row r="66" customFormat="false" ht="12.75" hidden="false" customHeight="false" outlineLevel="0" collapsed="false">
      <c r="A66" s="146"/>
      <c r="B66" s="38" t="s">
        <v>1031</v>
      </c>
      <c r="C66" s="773" t="n">
        <f aca="false">Opic</f>
        <v>0.01</v>
      </c>
      <c r="D66" s="656"/>
      <c r="E66" s="774" t="n">
        <f aca="false">$C66</f>
        <v>0.01</v>
      </c>
      <c r="F66" s="774" t="n">
        <f aca="false">$C66</f>
        <v>0.01</v>
      </c>
      <c r="G66" s="774" t="n">
        <f aca="false">$C66</f>
        <v>0.01</v>
      </c>
      <c r="H66" s="774" t="n">
        <f aca="false">$C66</f>
        <v>0.01</v>
      </c>
      <c r="I66" s="774" t="n">
        <f aca="false">$C66</f>
        <v>0.01</v>
      </c>
      <c r="J66" s="774" t="n">
        <f aca="false">$C66</f>
        <v>0.01</v>
      </c>
      <c r="K66" s="774" t="n">
        <f aca="false">$C66</f>
        <v>0.01</v>
      </c>
      <c r="L66" s="774" t="n">
        <f aca="false">$C66</f>
        <v>0.01</v>
      </c>
      <c r="M66" s="774" t="n">
        <f aca="false">$C66</f>
        <v>0.01</v>
      </c>
      <c r="N66" s="774" t="n">
        <f aca="false">$C66</f>
        <v>0.01</v>
      </c>
      <c r="O66" s="774" t="n">
        <f aca="false">$C66</f>
        <v>0.01</v>
      </c>
      <c r="P66" s="774" t="n">
        <f aca="false">$C66</f>
        <v>0.01</v>
      </c>
      <c r="Q66" s="774" t="n">
        <f aca="false">$C66</f>
        <v>0.01</v>
      </c>
      <c r="R66" s="774" t="n">
        <f aca="false">$C66</f>
        <v>0.01</v>
      </c>
      <c r="S66" s="774" t="n">
        <f aca="false">$C66</f>
        <v>0.01</v>
      </c>
      <c r="T66" s="774" t="n">
        <f aca="false">$C66</f>
        <v>0.01</v>
      </c>
      <c r="U66" s="774" t="n">
        <f aca="false">$C66</f>
        <v>0.01</v>
      </c>
      <c r="V66" s="774" t="n">
        <f aca="false">$C66</f>
        <v>0.01</v>
      </c>
      <c r="W66" s="774" t="n">
        <f aca="false">$C66</f>
        <v>0.01</v>
      </c>
      <c r="X66" s="774" t="n">
        <f aca="false">$C66</f>
        <v>0.01</v>
      </c>
      <c r="Y66" s="774" t="n">
        <f aca="false">$C66</f>
        <v>0.01</v>
      </c>
      <c r="Z66" s="774" t="n">
        <f aca="false">$C66</f>
        <v>0.01</v>
      </c>
      <c r="AA66" s="774" t="n">
        <f aca="false">$C66</f>
        <v>0.01</v>
      </c>
      <c r="AB66" s="555"/>
    </row>
    <row r="67" customFormat="false" ht="12.75" hidden="false" customHeight="false" outlineLevel="0" collapsed="false">
      <c r="A67" s="775"/>
      <c r="B67" s="464" t="s">
        <v>1047</v>
      </c>
      <c r="C67" s="464"/>
      <c r="D67" s="776"/>
      <c r="E67" s="777" t="n">
        <f aca="false">E65*E66</f>
        <v>-0</v>
      </c>
      <c r="F67" s="777" t="n">
        <f aca="false">F65*F66</f>
        <v>115.171339272285</v>
      </c>
      <c r="G67" s="777" t="n">
        <f aca="false">G65*G66</f>
        <v>413.469139267437</v>
      </c>
      <c r="H67" s="777" t="n">
        <f aca="false">H65*H66</f>
        <v>355.883469631294</v>
      </c>
      <c r="I67" s="777" t="n">
        <f aca="false">I65*I66</f>
        <v>-0</v>
      </c>
      <c r="J67" s="777" t="n">
        <f aca="false">J65*J66</f>
        <v>-0</v>
      </c>
      <c r="K67" s="777" t="n">
        <f aca="false">K65*K66</f>
        <v>-0</v>
      </c>
      <c r="L67" s="777" t="n">
        <f aca="false">L65*L66</f>
        <v>-0</v>
      </c>
      <c r="M67" s="777" t="n">
        <f aca="false">M65*M66</f>
        <v>-0</v>
      </c>
      <c r="N67" s="777" t="n">
        <f aca="false">N65*N66</f>
        <v>-0</v>
      </c>
      <c r="O67" s="777" t="n">
        <f aca="false">O65*O66</f>
        <v>-0</v>
      </c>
      <c r="P67" s="777" t="n">
        <f aca="false">P65*P66</f>
        <v>-0</v>
      </c>
      <c r="Q67" s="777" t="n">
        <f aca="false">Q65*Q66</f>
        <v>-0</v>
      </c>
      <c r="R67" s="777" t="n">
        <f aca="false">R65*R66</f>
        <v>-0</v>
      </c>
      <c r="S67" s="777" t="n">
        <f aca="false">S65*S66</f>
        <v>-0</v>
      </c>
      <c r="T67" s="777" t="n">
        <f aca="false">T65*T66</f>
        <v>-0</v>
      </c>
      <c r="U67" s="777" t="n">
        <f aca="false">U65*U66</f>
        <v>-0</v>
      </c>
      <c r="V67" s="777" t="n">
        <f aca="false">V65*V66</f>
        <v>-0</v>
      </c>
      <c r="W67" s="777" t="n">
        <f aca="false">W65*W66</f>
        <v>-0</v>
      </c>
      <c r="X67" s="777" t="n">
        <f aca="false">X65*X66</f>
        <v>-0</v>
      </c>
      <c r="Y67" s="777" t="n">
        <f aca="false">Y65*Y66</f>
        <v>-0</v>
      </c>
      <c r="Z67" s="777" t="n">
        <f aca="false">Z65*Z66</f>
        <v>-0</v>
      </c>
      <c r="AA67" s="777" t="n">
        <f aca="false">AA65*AA66</f>
        <v>-0</v>
      </c>
      <c r="AB67" s="778" t="n">
        <f aca="false">SUM(E67:AA67)</f>
        <v>884.523948171016</v>
      </c>
    </row>
    <row r="68" customFormat="false" ht="12.75" hidden="false" customHeight="false" outlineLevel="0" collapsed="false">
      <c r="A68" s="37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555"/>
    </row>
    <row r="69" customFormat="false" ht="12.75" hidden="false" customHeight="false" outlineLevel="0" collapsed="false">
      <c r="A69" s="771" t="s">
        <v>1048</v>
      </c>
      <c r="B69" s="38"/>
      <c r="C69" s="38"/>
      <c r="D69" s="656"/>
      <c r="E69" s="656"/>
      <c r="F69" s="656"/>
      <c r="G69" s="656"/>
      <c r="H69" s="656"/>
      <c r="I69" s="656"/>
      <c r="J69" s="656"/>
      <c r="K69" s="656"/>
      <c r="L69" s="656"/>
      <c r="M69" s="656"/>
      <c r="N69" s="656"/>
      <c r="O69" s="656"/>
      <c r="P69" s="656"/>
      <c r="Q69" s="656"/>
      <c r="R69" s="656"/>
      <c r="S69" s="656"/>
      <c r="T69" s="656"/>
      <c r="U69" s="656"/>
      <c r="V69" s="656"/>
      <c r="W69" s="656"/>
      <c r="X69" s="656"/>
      <c r="Y69" s="656"/>
      <c r="Z69" s="656"/>
      <c r="AA69" s="656"/>
      <c r="AB69" s="555"/>
    </row>
    <row r="70" customFormat="false" ht="12.75" hidden="false" customHeight="false" outlineLevel="0" collapsed="false">
      <c r="A70" s="146"/>
      <c r="B70" s="38" t="s">
        <v>1049</v>
      </c>
      <c r="C70" s="38"/>
      <c r="D70" s="131" t="s">
        <v>1022</v>
      </c>
      <c r="E70" s="217" t="n">
        <f aca="false">MAX(-SUM('Enron Returns'!$D$65:D$67),0)</f>
        <v>0</v>
      </c>
      <c r="F70" s="217" t="n">
        <f aca="false">MAX(-SUM('Enron Returns'!$D$65:E$67),0)</f>
        <v>0</v>
      </c>
      <c r="G70" s="217" t="n">
        <f aca="false">MAX(-SUM('Enron Returns'!$D$65:F$67),0)</f>
        <v>0</v>
      </c>
      <c r="H70" s="217" t="n">
        <f aca="false">MAX(-SUM('Enron Returns'!$D$65:G$67),0)</f>
        <v>0</v>
      </c>
      <c r="I70" s="217" t="n">
        <f aca="false">MAX(-SUM('Enron Returns'!$D$65:H$67),0)</f>
        <v>24523.2484262774</v>
      </c>
      <c r="J70" s="217" t="n">
        <f aca="false">MAX(-SUM('Enron Returns'!$D$65:I$67),0)</f>
        <v>32648.3148289979</v>
      </c>
      <c r="K70" s="217" t="n">
        <f aca="false">MAX(-SUM('Enron Returns'!$D$65:J$67),0)</f>
        <v>31185.9205112982</v>
      </c>
      <c r="L70" s="217" t="n">
        <f aca="false">MAX(-SUM('Enron Returns'!$D$65:K$67),0)</f>
        <v>29527.2363163053</v>
      </c>
      <c r="M70" s="217" t="n">
        <f aca="false">MAX(-SUM('Enron Returns'!$D$65:L$67),0)</f>
        <v>27645.9152352394</v>
      </c>
      <c r="N70" s="217" t="n">
        <f aca="false">MAX(-SUM('Enron Returns'!$D$65:M$67),0)</f>
        <v>25512.0738320675</v>
      </c>
      <c r="O70" s="217" t="n">
        <f aca="false">MAX(-SUM('Enron Returns'!$D$65:N$67),0)</f>
        <v>23091.8175665549</v>
      </c>
      <c r="P70" s="217" t="n">
        <f aca="false">MAX(-SUM('Enron Returns'!$D$65:O$67),0)</f>
        <v>20346.7024038038</v>
      </c>
      <c r="Q70" s="217" t="n">
        <f aca="false">MAX(-SUM('Enron Returns'!$D$65:P$67),0)</f>
        <v>17233.1241583324</v>
      </c>
      <c r="R70" s="217" t="n">
        <f aca="false">MAX(-SUM('Enron Returns'!$D$65:Q$67),0)</f>
        <v>13701.6258728627</v>
      </c>
      <c r="S70" s="217" t="n">
        <f aca="false">MAX(-SUM('Enron Returns'!$D$65:R$67),0)</f>
        <v>9696.11223002578</v>
      </c>
      <c r="T70" s="217" t="n">
        <f aca="false">MAX(-SUM('Enron Returns'!$D$65:S$67),0)</f>
        <v>5152.95851847907</v>
      </c>
      <c r="U70" s="217" t="n">
        <f aca="false">MAX(-SUM('Enron Returns'!$D$65:T$67),0)</f>
        <v>0</v>
      </c>
      <c r="V70" s="217" t="n">
        <f aca="false">MAX(-SUM('Enron Returns'!$D$65:U$67),0)</f>
        <v>0</v>
      </c>
      <c r="W70" s="217" t="n">
        <f aca="false">MAX(-SUM('Enron Returns'!$D$65:V$67),0)</f>
        <v>0</v>
      </c>
      <c r="X70" s="217" t="n">
        <f aca="false">MAX(-SUM('Enron Returns'!$D$65:W$67),0)</f>
        <v>0</v>
      </c>
      <c r="Y70" s="217" t="n">
        <f aca="false">MAX(-SUM('Enron Returns'!$D$65:X$67),0)</f>
        <v>0</v>
      </c>
      <c r="Z70" s="217" t="n">
        <f aca="false">MAX(-SUM('Enron Returns'!$D$65:Y$67),0)</f>
        <v>0</v>
      </c>
      <c r="AA70" s="217" t="n">
        <f aca="false">MAX(-SUM('Enron Returns'!$D$65:Z$67),0)</f>
        <v>0</v>
      </c>
      <c r="AB70" s="555"/>
    </row>
    <row r="71" customFormat="false" ht="12.75" hidden="false" customHeight="false" outlineLevel="0" collapsed="false">
      <c r="A71" s="146"/>
      <c r="B71" s="38" t="s">
        <v>1050</v>
      </c>
      <c r="C71" s="38"/>
      <c r="D71" s="131" t="s">
        <v>1025</v>
      </c>
      <c r="E71" s="217" t="n">
        <f aca="false">MAX(-SUM('Enron Returns'!$E$65:E$67),0)</f>
        <v>0</v>
      </c>
      <c r="F71" s="217" t="n">
        <f aca="false">MAX(-SUM('Enron Returns'!$E$65:F$67),0)</f>
        <v>0</v>
      </c>
      <c r="G71" s="217" t="n">
        <f aca="false">MAX(-SUM('Enron Returns'!$E$65:G$67),0)</f>
        <v>0</v>
      </c>
      <c r="H71" s="217" t="n">
        <f aca="false">MAX(-SUM('Enron Returns'!$E$65:H$67),0)</f>
        <v>24523.2484262774</v>
      </c>
      <c r="I71" s="217" t="n">
        <f aca="false">MAX(-SUM('Enron Returns'!$E$65:I$67),0)</f>
        <v>32648.3148289979</v>
      </c>
      <c r="J71" s="217" t="n">
        <f aca="false">MAX(-SUM('Enron Returns'!$E$65:J$67),0)</f>
        <v>31185.9205112982</v>
      </c>
      <c r="K71" s="217" t="n">
        <f aca="false">MAX(-SUM('Enron Returns'!$E$65:K$67),0)</f>
        <v>29527.2363163053</v>
      </c>
      <c r="L71" s="217" t="n">
        <f aca="false">MAX(-SUM('Enron Returns'!$E$65:L$67),0)</f>
        <v>27645.9152352394</v>
      </c>
      <c r="M71" s="217" t="n">
        <f aca="false">MAX(-SUM('Enron Returns'!$E$65:M$67),0)</f>
        <v>25512.0738320675</v>
      </c>
      <c r="N71" s="217" t="n">
        <f aca="false">MAX(-SUM('Enron Returns'!$E$65:N$67),0)</f>
        <v>23091.8175665549</v>
      </c>
      <c r="O71" s="217" t="n">
        <f aca="false">MAX(-SUM('Enron Returns'!$E$65:O$67),0)</f>
        <v>20346.7024038038</v>
      </c>
      <c r="P71" s="217" t="n">
        <f aca="false">MAX(-SUM('Enron Returns'!$E$65:P$67),0)</f>
        <v>17233.1241583324</v>
      </c>
      <c r="Q71" s="217" t="n">
        <f aca="false">MAX(-SUM('Enron Returns'!$E$65:Q$67),0)</f>
        <v>13701.6258728627</v>
      </c>
      <c r="R71" s="217" t="n">
        <f aca="false">MAX(-SUM('Enron Returns'!$E$65:R$67),0)</f>
        <v>9696.11223002578</v>
      </c>
      <c r="S71" s="217" t="n">
        <f aca="false">MAX(-SUM('Enron Returns'!$E$65:S$67),0)</f>
        <v>5152.95851847907</v>
      </c>
      <c r="T71" s="217" t="n">
        <f aca="false">MAX(-SUM('Enron Returns'!$E$65:T$67),0)</f>
        <v>0</v>
      </c>
      <c r="U71" s="217" t="n">
        <f aca="false">MAX(-SUM('Enron Returns'!$E$65:U$67),0)</f>
        <v>0</v>
      </c>
      <c r="V71" s="217" t="n">
        <f aca="false">MAX(-SUM('Enron Returns'!$E$65:V$67),0)</f>
        <v>0</v>
      </c>
      <c r="W71" s="217" t="n">
        <f aca="false">MAX(-SUM('Enron Returns'!$E$65:W$67),0)</f>
        <v>0</v>
      </c>
      <c r="X71" s="217" t="n">
        <f aca="false">MAX(-SUM('Enron Returns'!$E$65:X$67),0)</f>
        <v>0</v>
      </c>
      <c r="Y71" s="217" t="n">
        <f aca="false">MAX(-SUM('Enron Returns'!$E$65:Y$67),0)</f>
        <v>0</v>
      </c>
      <c r="Z71" s="217" t="n">
        <f aca="false">MAX(-SUM('Enron Returns'!$E$65:Z$67),0)</f>
        <v>0</v>
      </c>
      <c r="AA71" s="217" t="n">
        <f aca="false">MAX(-SUM('Enron Returns'!$E$65:AA$67),0)</f>
        <v>0</v>
      </c>
      <c r="AB71" s="555"/>
    </row>
    <row r="72" customFormat="false" ht="12.75" hidden="false" customHeight="false" outlineLevel="0" collapsed="false">
      <c r="A72" s="146"/>
      <c r="B72" s="38"/>
      <c r="C72" s="38"/>
      <c r="D72" s="656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555"/>
    </row>
    <row r="73" customFormat="false" ht="12.75" hidden="false" customHeight="false" outlineLevel="0" collapsed="false">
      <c r="A73" s="146"/>
      <c r="B73" s="38" t="s">
        <v>1026</v>
      </c>
      <c r="C73" s="38"/>
      <c r="D73" s="131" t="s">
        <v>1027</v>
      </c>
      <c r="E73" s="217" t="n">
        <f aca="false">IF(MAX(E$70,E$71)&lt;0,0,MAX(E$70,E$71))</f>
        <v>0</v>
      </c>
      <c r="F73" s="217" t="n">
        <f aca="false">IF(MAX(F$70,F$71)&lt;0,0,MAX(F$70,F$71))</f>
        <v>0</v>
      </c>
      <c r="G73" s="217" t="n">
        <f aca="false">IF(MAX(G$70,G$71)&lt;0,0,MAX(G$70,G$71))</f>
        <v>0</v>
      </c>
      <c r="H73" s="217" t="n">
        <f aca="false">IF(MAX(H$70,H$71)&lt;0,0,MAX(H$70,H$71))</f>
        <v>24523.2484262774</v>
      </c>
      <c r="I73" s="217" t="n">
        <f aca="false">IF(MAX(I$70,I$71)&lt;0,0,MAX(I$70,I$71))</f>
        <v>32648.3148289979</v>
      </c>
      <c r="J73" s="217" t="n">
        <f aca="false">IF(MAX(J$70,J$71)&lt;0,0,MAX(J$70,J$71))</f>
        <v>32648.3148289979</v>
      </c>
      <c r="K73" s="217" t="n">
        <f aca="false">IF(MAX(K$70,K$71)&lt;0,0,MAX(K$70,K$71))</f>
        <v>31185.9205112982</v>
      </c>
      <c r="L73" s="217" t="n">
        <f aca="false">IF(MAX(L$70,L$71)&lt;0,0,MAX(L$70,L$71))</f>
        <v>29527.2363163053</v>
      </c>
      <c r="M73" s="217" t="n">
        <f aca="false">IF(MAX(M$70,M$71)&lt;0,0,MAX(M$70,M$71))</f>
        <v>27645.9152352394</v>
      </c>
      <c r="N73" s="217" t="n">
        <f aca="false">IF(MAX(N$70,N$71)&lt;0,0,MAX(N$70,N$71))</f>
        <v>25512.0738320675</v>
      </c>
      <c r="O73" s="217" t="n">
        <f aca="false">IF(MAX(O$70,O$71)&lt;0,0,MAX(O$70,O$71))</f>
        <v>23091.8175665549</v>
      </c>
      <c r="P73" s="217" t="n">
        <f aca="false">IF(MAX(P$70,P$71)&lt;0,0,MAX(P$70,P$71))</f>
        <v>20346.7024038038</v>
      </c>
      <c r="Q73" s="217" t="n">
        <f aca="false">IF(MAX(Q$70,Q$71)&lt;0,0,MAX(Q$70,Q$71))</f>
        <v>17233.1241583324</v>
      </c>
      <c r="R73" s="217" t="n">
        <f aca="false">IF(MAX(R$70,R$71)&lt;0,0,MAX(R$70,R$71))</f>
        <v>13701.6258728627</v>
      </c>
      <c r="S73" s="217" t="n">
        <f aca="false">IF(MAX(S$70,S$71)&lt;0,0,MAX(S$70,S$71))</f>
        <v>9696.11223002578</v>
      </c>
      <c r="T73" s="217" t="n">
        <f aca="false">IF(MAX(T$70,T$71)&lt;0,0,MAX(T$70,T$71))</f>
        <v>5152.95851847907</v>
      </c>
      <c r="U73" s="217" t="n">
        <f aca="false">IF(MAX(U$70,U$71)&lt;0,0,MAX(U$70,U$71))</f>
        <v>0</v>
      </c>
      <c r="V73" s="217" t="n">
        <f aca="false">IF(MAX(V$70,V$71)&lt;0,0,MAX(V$70,V$71))</f>
        <v>0</v>
      </c>
      <c r="W73" s="217" t="n">
        <f aca="false">IF(MAX(W$70,W$71)&lt;0,0,MAX(W$70,W$71))</f>
        <v>0</v>
      </c>
      <c r="X73" s="217" t="n">
        <f aca="false">IF(MAX(X$70,X$71)&lt;0,0,MAX(X$70,X$71))</f>
        <v>0</v>
      </c>
      <c r="Y73" s="217" t="n">
        <f aca="false">IF(MAX(Y$70,Y$71)&lt;0,0,MAX(Y$70,Y$71))</f>
        <v>0</v>
      </c>
      <c r="Z73" s="217" t="n">
        <f aca="false">IF(MAX(Z$70,Z$71)&lt;0,0,MAX(Z$70,Z$71))</f>
        <v>0</v>
      </c>
      <c r="AA73" s="217" t="n">
        <f aca="false">IF(MAX(AA$70,AA$71)&lt;0,0,MAX(AA$70,AA$71))</f>
        <v>0</v>
      </c>
      <c r="AB73" s="555"/>
    </row>
    <row r="74" customFormat="false" ht="12.75" hidden="false" customHeight="false" outlineLevel="0" collapsed="false">
      <c r="A74" s="146"/>
      <c r="B74" s="38" t="s">
        <v>1028</v>
      </c>
      <c r="C74" s="38"/>
      <c r="D74" s="131" t="s">
        <v>1029</v>
      </c>
      <c r="E74" s="217" t="n">
        <f aca="false">IF(MIN(E$70,E$71)&lt;0,0,MIN(E$70,E$521))</f>
        <v>0</v>
      </c>
      <c r="F74" s="217" t="n">
        <f aca="false">IF(MIN(F$70,F$71)&lt;0,0,MIN(F$70,F$521))</f>
        <v>0</v>
      </c>
      <c r="G74" s="217" t="n">
        <f aca="false">IF(MIN(G$70,G$71)&lt;0,0,MIN(G$70,G$521))</f>
        <v>0</v>
      </c>
      <c r="H74" s="217" t="n">
        <f aca="false">IF(MIN(H$70,H$71)&lt;0,0,MIN(H$70,H$521))</f>
        <v>0</v>
      </c>
      <c r="I74" s="217" t="n">
        <f aca="false">IF(MIN(I$70,I$71)&lt;0,0,MIN(I$70,I$521))</f>
        <v>24523.2484262774</v>
      </c>
      <c r="J74" s="217" t="n">
        <f aca="false">IF(MIN(J$70,J$71)&lt;0,0,MIN(J$70,J$521))</f>
        <v>32648.3148289979</v>
      </c>
      <c r="K74" s="217" t="n">
        <f aca="false">IF(MIN(K$70,K$71)&lt;0,0,MIN(K$70,K$521))</f>
        <v>31185.9205112982</v>
      </c>
      <c r="L74" s="217" t="n">
        <f aca="false">IF(MIN(L$70,L$71)&lt;0,0,MIN(L$70,L$521))</f>
        <v>29527.2363163053</v>
      </c>
      <c r="M74" s="217" t="n">
        <f aca="false">IF(MIN(M$70,M$71)&lt;0,0,MIN(M$70,M$521))</f>
        <v>27645.9152352394</v>
      </c>
      <c r="N74" s="217" t="n">
        <f aca="false">IF(MIN(N$70,N$71)&lt;0,0,MIN(N$70,N$521))</f>
        <v>25512.0738320675</v>
      </c>
      <c r="O74" s="217" t="n">
        <f aca="false">IF(MIN(O$70,O$71)&lt;0,0,MIN(O$70,O$521))</f>
        <v>23091.8175665549</v>
      </c>
      <c r="P74" s="217" t="n">
        <f aca="false">IF(MIN(P$70,P$71)&lt;0,0,MIN(P$70,P$521))</f>
        <v>20346.7024038038</v>
      </c>
      <c r="Q74" s="217" t="n">
        <f aca="false">IF(MIN(Q$70,Q$71)&lt;0,0,MIN(Q$70,Q$521))</f>
        <v>17233.1241583324</v>
      </c>
      <c r="R74" s="217" t="n">
        <f aca="false">IF(MIN(R$70,R$71)&lt;0,0,MIN(R$70,R$521))</f>
        <v>13701.6258728627</v>
      </c>
      <c r="S74" s="217" t="n">
        <f aca="false">IF(MIN(S$70,S$71)&lt;0,0,MIN(S$70,S$521))</f>
        <v>9696.11223002578</v>
      </c>
      <c r="T74" s="217" t="n">
        <f aca="false">IF(MIN(T$70,T$71)&lt;0,0,MIN(T$70,T$521))</f>
        <v>5152.95851847907</v>
      </c>
      <c r="U74" s="217" t="n">
        <f aca="false">IF(MIN(U$70,U$71)&lt;0,0,MIN(U$70,U$521))</f>
        <v>0</v>
      </c>
      <c r="V74" s="217" t="n">
        <f aca="false">IF(MIN(V$70,V$71)&lt;0,0,MIN(V$70,V$521))</f>
        <v>0</v>
      </c>
      <c r="W74" s="217" t="n">
        <f aca="false">IF(MIN(W$70,W$71)&lt;0,0,MIN(W$70,W$521))</f>
        <v>0</v>
      </c>
      <c r="X74" s="217" t="n">
        <f aca="false">IF(MIN(X$70,X$71)&lt;0,0,MIN(X$70,X$521))</f>
        <v>0</v>
      </c>
      <c r="Y74" s="217" t="n">
        <f aca="false">IF(MIN(Y$70,Y$71)&lt;0,0,MIN(Y$70,Y$521))</f>
        <v>0</v>
      </c>
      <c r="Z74" s="217" t="n">
        <f aca="false">IF(MIN(Z$70,Z$71)&lt;0,0,MIN(Z$70,Z$521))</f>
        <v>0</v>
      </c>
      <c r="AA74" s="217" t="n">
        <f aca="false">IF(MIN(AA$70,AA$71)&lt;0,0,MIN(AA$70,AA$521))</f>
        <v>0</v>
      </c>
      <c r="AB74" s="555"/>
    </row>
    <row r="75" customFormat="false" ht="12.75" hidden="false" customHeight="false" outlineLevel="0" collapsed="false">
      <c r="A75" s="37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555"/>
    </row>
    <row r="76" customFormat="false" ht="12.75" hidden="false" customHeight="false" outlineLevel="0" collapsed="false">
      <c r="A76" s="146"/>
      <c r="B76" s="38" t="s">
        <v>1046</v>
      </c>
      <c r="C76" s="38"/>
      <c r="D76" s="656"/>
      <c r="E76" s="217" t="n">
        <f aca="false">((E73*2)+E74)/3</f>
        <v>0</v>
      </c>
      <c r="F76" s="217" t="n">
        <f aca="false">((F73*2)+F74)/3</f>
        <v>0</v>
      </c>
      <c r="G76" s="217" t="n">
        <f aca="false">((G73*2)+G74)/3</f>
        <v>0</v>
      </c>
      <c r="H76" s="217" t="n">
        <f aca="false">((H73*2)+H74)/3</f>
        <v>16348.832284185</v>
      </c>
      <c r="I76" s="217" t="n">
        <f aca="false">((I73*2)+I74)/3</f>
        <v>29939.9593614244</v>
      </c>
      <c r="J76" s="217" t="n">
        <f aca="false">((J73*2)+J74)/3</f>
        <v>32648.3148289979</v>
      </c>
      <c r="K76" s="217" t="n">
        <f aca="false">((K73*2)+K74)/3</f>
        <v>31185.9205112982</v>
      </c>
      <c r="L76" s="217" t="n">
        <f aca="false">((L73*2)+L74)/3</f>
        <v>29527.2363163053</v>
      </c>
      <c r="M76" s="217" t="n">
        <f aca="false">((M73*2)+M74)/3</f>
        <v>27645.9152352394</v>
      </c>
      <c r="N76" s="217" t="n">
        <f aca="false">((N73*2)+N74)/3</f>
        <v>25512.0738320675</v>
      </c>
      <c r="O76" s="217" t="n">
        <f aca="false">((O73*2)+O74)/3</f>
        <v>23091.8175665549</v>
      </c>
      <c r="P76" s="217" t="n">
        <f aca="false">((P73*2)+P74)/3</f>
        <v>20346.7024038038</v>
      </c>
      <c r="Q76" s="217" t="n">
        <f aca="false">((Q73*2)+Q74)/3</f>
        <v>17233.1241583324</v>
      </c>
      <c r="R76" s="217" t="n">
        <f aca="false">((R73*2)+R74)/3</f>
        <v>13701.6258728627</v>
      </c>
      <c r="S76" s="217" t="n">
        <f aca="false">((S73*2)+S74)/3</f>
        <v>9696.11223002578</v>
      </c>
      <c r="T76" s="217" t="n">
        <f aca="false">((T73*2)+T74)/3</f>
        <v>5152.95851847907</v>
      </c>
      <c r="U76" s="217" t="n">
        <f aca="false">((U73*2)+U74)/3</f>
        <v>0</v>
      </c>
      <c r="V76" s="217" t="n">
        <f aca="false">((V73*2)+V74)/3</f>
        <v>0</v>
      </c>
      <c r="W76" s="217" t="n">
        <f aca="false">((W73*2)+W74)/3</f>
        <v>0</v>
      </c>
      <c r="X76" s="217" t="n">
        <f aca="false">((X73*2)+X74)/3</f>
        <v>0</v>
      </c>
      <c r="Y76" s="217" t="n">
        <f aca="false">((Y73*2)+Y74)/3</f>
        <v>0</v>
      </c>
      <c r="Z76" s="217" t="n">
        <f aca="false">((Z73*2)+Z74)/3</f>
        <v>0</v>
      </c>
      <c r="AA76" s="217" t="n">
        <f aca="false">((AA73*2)+AA74)/3</f>
        <v>0</v>
      </c>
      <c r="AB76" s="555"/>
    </row>
    <row r="77" customFormat="false" ht="12.75" hidden="false" customHeight="false" outlineLevel="0" collapsed="false">
      <c r="A77" s="146"/>
      <c r="B77" s="38" t="s">
        <v>1031</v>
      </c>
      <c r="C77" s="773" t="n">
        <f aca="false">Opic</f>
        <v>0.01</v>
      </c>
      <c r="D77" s="656"/>
      <c r="E77" s="774" t="n">
        <f aca="false">$C77</f>
        <v>0.01</v>
      </c>
      <c r="F77" s="774" t="n">
        <f aca="false">$C77</f>
        <v>0.01</v>
      </c>
      <c r="G77" s="774" t="n">
        <f aca="false">$C77</f>
        <v>0.01</v>
      </c>
      <c r="H77" s="774" t="n">
        <f aca="false">$C77</f>
        <v>0.01</v>
      </c>
      <c r="I77" s="774" t="n">
        <f aca="false">$C77</f>
        <v>0.01</v>
      </c>
      <c r="J77" s="774" t="n">
        <f aca="false">$C77</f>
        <v>0.01</v>
      </c>
      <c r="K77" s="774" t="n">
        <f aca="false">$C77</f>
        <v>0.01</v>
      </c>
      <c r="L77" s="774" t="n">
        <f aca="false">$C77</f>
        <v>0.01</v>
      </c>
      <c r="M77" s="774" t="n">
        <f aca="false">$C77</f>
        <v>0.01</v>
      </c>
      <c r="N77" s="774" t="n">
        <f aca="false">$C77</f>
        <v>0.01</v>
      </c>
      <c r="O77" s="774" t="n">
        <f aca="false">$C77</f>
        <v>0.01</v>
      </c>
      <c r="P77" s="774" t="n">
        <f aca="false">$C77</f>
        <v>0.01</v>
      </c>
      <c r="Q77" s="774" t="n">
        <f aca="false">$C77</f>
        <v>0.01</v>
      </c>
      <c r="R77" s="774" t="n">
        <f aca="false">$C77</f>
        <v>0.01</v>
      </c>
      <c r="S77" s="774" t="n">
        <f aca="false">$C77</f>
        <v>0.01</v>
      </c>
      <c r="T77" s="774" t="n">
        <f aca="false">$C77</f>
        <v>0.01</v>
      </c>
      <c r="U77" s="774" t="n">
        <f aca="false">$C77</f>
        <v>0.01</v>
      </c>
      <c r="V77" s="774" t="n">
        <f aca="false">$C77</f>
        <v>0.01</v>
      </c>
      <c r="W77" s="774" t="n">
        <f aca="false">$C77</f>
        <v>0.01</v>
      </c>
      <c r="X77" s="774" t="n">
        <f aca="false">$C77</f>
        <v>0.01</v>
      </c>
      <c r="Y77" s="774" t="n">
        <f aca="false">$C77</f>
        <v>0.01</v>
      </c>
      <c r="Z77" s="774" t="n">
        <f aca="false">$C77</f>
        <v>0.01</v>
      </c>
      <c r="AA77" s="774" t="n">
        <f aca="false">$C77</f>
        <v>0.01</v>
      </c>
      <c r="AB77" s="555"/>
    </row>
    <row r="78" customFormat="false" ht="12.75" hidden="false" customHeight="false" outlineLevel="0" collapsed="false">
      <c r="A78" s="775"/>
      <c r="B78" s="464" t="s">
        <v>1051</v>
      </c>
      <c r="C78" s="464"/>
      <c r="D78" s="776"/>
      <c r="E78" s="777" t="n">
        <f aca="false">E76*E77</f>
        <v>0</v>
      </c>
      <c r="F78" s="777" t="n">
        <f aca="false">F76*F77</f>
        <v>0</v>
      </c>
      <c r="G78" s="777" t="n">
        <f aca="false">G76*G77</f>
        <v>0</v>
      </c>
      <c r="H78" s="777" t="n">
        <f aca="false">H76*H77</f>
        <v>163.48832284185</v>
      </c>
      <c r="I78" s="777" t="n">
        <f aca="false">I76*I77</f>
        <v>299.399593614244</v>
      </c>
      <c r="J78" s="777" t="n">
        <f aca="false">J76*J77</f>
        <v>326.483148289979</v>
      </c>
      <c r="K78" s="777" t="n">
        <f aca="false">K76*K77</f>
        <v>311.859205112982</v>
      </c>
      <c r="L78" s="777" t="n">
        <f aca="false">L76*L77</f>
        <v>295.272363163053</v>
      </c>
      <c r="M78" s="777" t="n">
        <f aca="false">M76*M77</f>
        <v>276.459152352395</v>
      </c>
      <c r="N78" s="777" t="n">
        <f aca="false">N76*N77</f>
        <v>255.120738320675</v>
      </c>
      <c r="O78" s="777" t="n">
        <f aca="false">O76*O77</f>
        <v>230.918175665549</v>
      </c>
      <c r="P78" s="777" t="n">
        <f aca="false">P76*P77</f>
        <v>203.467024038038</v>
      </c>
      <c r="Q78" s="777" t="n">
        <f aca="false">Q76*Q77</f>
        <v>172.331241583324</v>
      </c>
      <c r="R78" s="777" t="n">
        <f aca="false">R76*R77</f>
        <v>137.016258728627</v>
      </c>
      <c r="S78" s="777" t="n">
        <f aca="false">S76*S77</f>
        <v>96.9611223002578</v>
      </c>
      <c r="T78" s="777" t="n">
        <f aca="false">T76*T77</f>
        <v>51.5295851847907</v>
      </c>
      <c r="U78" s="777" t="n">
        <f aca="false">U76*U77</f>
        <v>0</v>
      </c>
      <c r="V78" s="777" t="n">
        <f aca="false">V76*V77</f>
        <v>0</v>
      </c>
      <c r="W78" s="777" t="n">
        <f aca="false">W76*W77</f>
        <v>0</v>
      </c>
      <c r="X78" s="777" t="n">
        <f aca="false">X76*X77</f>
        <v>0</v>
      </c>
      <c r="Y78" s="777" t="n">
        <f aca="false">Y76*Y77</f>
        <v>0</v>
      </c>
      <c r="Z78" s="777" t="n">
        <f aca="false">Z76*Z77</f>
        <v>0</v>
      </c>
      <c r="AA78" s="777" t="n">
        <f aca="false">AA76*AA77</f>
        <v>0</v>
      </c>
      <c r="AB78" s="778" t="n">
        <f aca="false">SUM(E78:AA78)</f>
        <v>2820.30593119576</v>
      </c>
    </row>
    <row r="79" customFormat="false" ht="12.75" hidden="false" customHeight="false" outlineLevel="0" collapsed="false">
      <c r="A79" s="37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555"/>
    </row>
    <row r="80" customFormat="false" ht="12.75" hidden="false" customHeight="false" outlineLevel="0" collapsed="false">
      <c r="A80" s="771" t="s">
        <v>1052</v>
      </c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555"/>
    </row>
    <row r="81" customFormat="false" ht="12.75" hidden="false" customHeight="false" outlineLevel="0" collapsed="false">
      <c r="A81" s="37"/>
      <c r="B81" s="38" t="s">
        <v>848</v>
      </c>
      <c r="C81" s="38"/>
      <c r="D81" s="38"/>
      <c r="E81" s="38"/>
      <c r="F81" s="217" t="n">
        <f aca="false">CF!D$40</f>
        <v>0</v>
      </c>
      <c r="G81" s="217" t="n">
        <f aca="false">CF!E$40</f>
        <v>-1884.6838151903</v>
      </c>
      <c r="H81" s="217" t="n">
        <f aca="false">CF!F$40</f>
        <v>3833.74712967368</v>
      </c>
      <c r="I81" s="217" t="n">
        <f aca="false">CF!G$40</f>
        <v>24853.0197201171</v>
      </c>
      <c r="J81" s="217" t="n">
        <f aca="false">CF!H$40</f>
        <v>38790.7275667574</v>
      </c>
      <c r="K81" s="217" t="n">
        <f aca="false">CF!I$40</f>
        <v>43280.3400438581</v>
      </c>
      <c r="L81" s="217" t="n">
        <f aca="false">CF!J$40</f>
        <v>29847.3477043082</v>
      </c>
      <c r="M81" s="217" t="n">
        <f aca="false">CF!K$40</f>
        <v>51952.4098857647</v>
      </c>
      <c r="N81" s="217" t="n">
        <f aca="false">CF!L$40</f>
        <v>52322.0480752249</v>
      </c>
      <c r="O81" s="217" t="n">
        <f aca="false">CF!M$40</f>
        <v>49934.0316145643</v>
      </c>
      <c r="P81" s="217" t="n">
        <f aca="false">CF!N$40</f>
        <v>46089.9747587696</v>
      </c>
      <c r="Q81" s="217" t="n">
        <f aca="false">CF!O$40</f>
        <v>44888.8101807472</v>
      </c>
      <c r="R81" s="217" t="n">
        <f aca="false">CF!P$40</f>
        <v>45356.3852692199</v>
      </c>
      <c r="S81" s="217" t="n">
        <f aca="false">CF!Q$40</f>
        <v>44074.7339724755</v>
      </c>
      <c r="T81" s="217" t="n">
        <f aca="false">CF!R$40</f>
        <v>36792.506934077</v>
      </c>
      <c r="U81" s="217" t="n">
        <f aca="false">CF!S$40</f>
        <v>39497.5760432047</v>
      </c>
      <c r="V81" s="217" t="n">
        <f aca="false">CF!T$40</f>
        <v>26755.4236569239</v>
      </c>
      <c r="W81" s="217" t="n">
        <f aca="false">CF!U$40</f>
        <v>11005.8168680975</v>
      </c>
      <c r="X81" s="217" t="n">
        <f aca="false">CF!V$40</f>
        <v>6085.65046383107</v>
      </c>
      <c r="Y81" s="217" t="n">
        <f aca="false">CF!W$40</f>
        <v>4689.91363850864</v>
      </c>
      <c r="Z81" s="217" t="n">
        <f aca="false">CF!X$40</f>
        <v>6224.60529260744</v>
      </c>
      <c r="AA81" s="217" t="n">
        <f aca="false">CF!Y$40</f>
        <v>2417.95222089096</v>
      </c>
      <c r="AB81" s="779"/>
    </row>
    <row r="82" customFormat="false" ht="12.75" hidden="false" customHeight="false" outlineLevel="0" collapsed="false">
      <c r="A82" s="37"/>
      <c r="B82" s="38" t="s">
        <v>1053</v>
      </c>
      <c r="C82" s="38"/>
      <c r="D82" s="38"/>
      <c r="E82" s="38"/>
      <c r="F82" s="220" t="n">
        <f aca="false">IF(CF!D$6&gt;Assm!$AB$73,0,'Debt Amort'!D$14)</f>
        <v>0</v>
      </c>
      <c r="G82" s="220" t="n">
        <f aca="false">IF(CF!E$6&gt;Assm!$AB$73,0,'Debt Amort'!E$14)</f>
        <v>0</v>
      </c>
      <c r="H82" s="220" t="n">
        <f aca="false">IF(CF!F$6&gt;Assm!$AB$73,0,'Debt Amort'!F$14)</f>
        <v>0</v>
      </c>
      <c r="I82" s="220" t="n">
        <f aca="false">IF(CF!G$6&gt;Assm!$AB$73,0,'Debt Amort'!G$14)</f>
        <v>6866.1388759198</v>
      </c>
      <c r="J82" s="220" t="n">
        <f aca="false">IF(CF!H$6&gt;Assm!$AB$73,0,'Debt Amort'!H$14)</f>
        <v>28400.6628963228</v>
      </c>
      <c r="K82" s="220" t="n">
        <f aca="false">IF(CF!I$6&gt;Assm!$AB$73,0,'Debt Amort'!I$14)</f>
        <v>27982.0446028794</v>
      </c>
      <c r="L82" s="220" t="n">
        <f aca="false">IF(CF!J$6&gt;Assm!$AB$73,0,'Debt Amort'!J$14)</f>
        <v>28779.102008628</v>
      </c>
      <c r="M82" s="220" t="n">
        <f aca="false">IF(CF!K$6&gt;Assm!$AB$73,0,'Debt Amort'!K$14)</f>
        <v>28451.0144132646</v>
      </c>
      <c r="N82" s="220" t="n">
        <f aca="false">IF(CF!L$6&gt;Assm!$AB$73,0,'Debt Amort'!L$14)</f>
        <v>27789.720964977</v>
      </c>
      <c r="O82" s="220" t="n">
        <f aca="false">IF(CF!M$6&gt;Assm!$AB$73,0,'Debt Amort'!M$14)</f>
        <v>26908.8993775567</v>
      </c>
      <c r="P82" s="220" t="n">
        <f aca="false">IF(CF!N$6&gt;Assm!$AB$73,0,'Debt Amort'!N$14)</f>
        <v>24773.4961325361</v>
      </c>
      <c r="Q82" s="220" t="n">
        <f aca="false">IF(CF!O$6&gt;Assm!$AB$73,0,'Debt Amort'!O$14)</f>
        <v>22797.7829937736</v>
      </c>
      <c r="R82" s="220" t="n">
        <f aca="false">IF(CF!P$6&gt;Assm!$AB$73,0,'Debt Amort'!P$14)</f>
        <v>21842.2396800645</v>
      </c>
      <c r="S82" s="220" t="n">
        <f aca="false">IF(CF!Q$6&gt;Assm!$AB$73,0,'Debt Amort'!Q$14)</f>
        <v>21370.1662611726</v>
      </c>
      <c r="T82" s="220" t="n">
        <f aca="false">IF(CF!R$6&gt;Assm!$AB$73,0,'Debt Amort'!R$14)</f>
        <v>16968.2340599899</v>
      </c>
      <c r="U82" s="220" t="n">
        <f aca="false">IF(CF!S$6&gt;Assm!$AB$73,0,'Debt Amort'!S$14)</f>
        <v>15906.2306754421</v>
      </c>
      <c r="V82" s="220" t="n">
        <f aca="false">IF(CF!T$6&gt;Assm!$AB$73,0,'Debt Amort'!T$14)</f>
        <v>14953.2806506275</v>
      </c>
      <c r="W82" s="220" t="n">
        <f aca="false">IF(CF!U$6&gt;Assm!$AB$73,0,'Debt Amort'!U$14)</f>
        <v>12995.2298416101</v>
      </c>
      <c r="X82" s="220" t="n">
        <f aca="false">IF(CF!V$6&gt;Assm!$AB$73,0,'Debt Amort'!V$14)</f>
        <v>0</v>
      </c>
      <c r="Y82" s="220" t="n">
        <f aca="false">IF(CF!W$6&gt;Assm!$AB$73,0,'Debt Amort'!W$14)</f>
        <v>0</v>
      </c>
      <c r="Z82" s="220" t="n">
        <f aca="false">IF(CF!X$6&gt;Assm!$AB$73,0,'Debt Amort'!X$14)</f>
        <v>0</v>
      </c>
      <c r="AA82" s="220" t="n">
        <f aca="false">IF(CF!Y$6&gt;Assm!$AB$73,0,'Debt Amort'!Y$14)</f>
        <v>0</v>
      </c>
      <c r="AB82" s="779"/>
    </row>
    <row r="83" customFormat="false" ht="12.75" hidden="false" customHeight="false" outlineLevel="0" collapsed="false">
      <c r="A83" s="37"/>
      <c r="B83" s="38" t="s">
        <v>1054</v>
      </c>
      <c r="C83" s="131" t="s">
        <v>1055</v>
      </c>
      <c r="D83" s="38"/>
      <c r="E83" s="38"/>
      <c r="F83" s="780" t="str">
        <f aca="false">IF(F82=0,"N/A",F81/F82)</f>
        <v>N/A</v>
      </c>
      <c r="G83" s="780" t="str">
        <f aca="false">IF(G82=0,"N/A",G81/G82)</f>
        <v>N/A</v>
      </c>
      <c r="H83" s="780" t="str">
        <f aca="false">IF(H82=0,"N/A",H81/H82)</f>
        <v>N/A</v>
      </c>
      <c r="I83" s="780" t="n">
        <f aca="false">IF(I82=0,"N/A",I81/I82)</f>
        <v>3.6196500200832</v>
      </c>
      <c r="J83" s="780" t="n">
        <f aca="false">IF(J82=0,"N/A",J81/J82)</f>
        <v>1.36583880835331</v>
      </c>
      <c r="K83" s="780" t="n">
        <f aca="false">IF(K82=0,"N/A",K81/K82)</f>
        <v>1.54671828517507</v>
      </c>
      <c r="L83" s="780" t="n">
        <f aca="false">IF(L82=0,"N/A",L81/L82)</f>
        <v>1.03711879875056</v>
      </c>
      <c r="M83" s="780" t="n">
        <f aca="false">IF(M82=0,"N/A",M81/M82)</f>
        <v>1.82603014188286</v>
      </c>
      <c r="N83" s="780" t="n">
        <f aca="false">IF(N82=0,"N/A",N81/N82)</f>
        <v>1.88278421871042</v>
      </c>
      <c r="O83" s="780" t="n">
        <f aca="false">IF(O82=0,"N/A",O81/O82)</f>
        <v>1.85566978841994</v>
      </c>
      <c r="P83" s="780" t="n">
        <f aca="false">IF(P82=0,"N/A",P81/P82)</f>
        <v>1.86045500046469</v>
      </c>
      <c r="Q83" s="780" t="n">
        <f aca="false">IF(Q82=0,"N/A",Q81/Q82)</f>
        <v>1.96899892384303</v>
      </c>
      <c r="R83" s="780" t="n">
        <f aca="false">IF(R82=0,"N/A",R81/R82)</f>
        <v>2.07654461875614</v>
      </c>
      <c r="S83" s="780" t="n">
        <f aca="false">IF(S82=0,"N/A",S81/S82)</f>
        <v>2.06244225869945</v>
      </c>
      <c r="T83" s="780" t="n">
        <f aca="false">IF(T82=0,"N/A",T81/T82)</f>
        <v>2.16831679737561</v>
      </c>
      <c r="U83" s="780" t="n">
        <f aca="false">IF(U82=0,"N/A",U81/U82)</f>
        <v>2.48315121596883</v>
      </c>
      <c r="V83" s="780" t="n">
        <f aca="false">IF(V82=0,"N/A",V81/V82)</f>
        <v>1.78926780564378</v>
      </c>
      <c r="W83" s="780" t="n">
        <f aca="false">IF(W82=0,"N/A",W81/W82)</f>
        <v>0.846912059443333</v>
      </c>
      <c r="X83" s="780" t="str">
        <f aca="false">IF(X82=0,"N/A",X81/X82)</f>
        <v>N/A</v>
      </c>
      <c r="Y83" s="780" t="str">
        <f aca="false">IF(Y82=0,"N/A",Y81/Y82)</f>
        <v>N/A</v>
      </c>
      <c r="Z83" s="780" t="str">
        <f aca="false">IF(Z82=0,"N/A",Z81/Z82)</f>
        <v>N/A</v>
      </c>
      <c r="AA83" s="780" t="str">
        <f aca="false">IF(AA82=0,"N/A",AA81/AA82)</f>
        <v>N/A</v>
      </c>
      <c r="AB83" s="779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</row>
    <row r="84" customFormat="false" ht="12.75" hidden="false" customHeight="false" outlineLevel="0" collapsed="false">
      <c r="A84" s="37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779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</row>
    <row r="85" customFormat="false" ht="12.75" hidden="false" customHeight="false" outlineLevel="0" collapsed="false">
      <c r="A85" s="37"/>
      <c r="B85" s="38" t="s">
        <v>848</v>
      </c>
      <c r="C85" s="38"/>
      <c r="D85" s="38"/>
      <c r="E85" s="38"/>
      <c r="F85" s="217" t="n">
        <f aca="false">CF!D$40</f>
        <v>0</v>
      </c>
      <c r="G85" s="217" t="n">
        <f aca="false">CF!E$40</f>
        <v>-1884.6838151903</v>
      </c>
      <c r="H85" s="217" t="n">
        <f aca="false">CF!F$40</f>
        <v>3833.74712967368</v>
      </c>
      <c r="I85" s="217" t="n">
        <f aca="false">CF!G$40</f>
        <v>24853.0197201171</v>
      </c>
      <c r="J85" s="217" t="n">
        <f aca="false">CF!H$40</f>
        <v>38790.7275667574</v>
      </c>
      <c r="K85" s="217" t="n">
        <f aca="false">CF!I$40</f>
        <v>43280.3400438581</v>
      </c>
      <c r="L85" s="217" t="n">
        <f aca="false">CF!J$40</f>
        <v>29847.3477043082</v>
      </c>
      <c r="M85" s="217" t="n">
        <f aca="false">CF!K$40</f>
        <v>51952.4098857647</v>
      </c>
      <c r="N85" s="217" t="n">
        <f aca="false">CF!L$40</f>
        <v>52322.0480752249</v>
      </c>
      <c r="O85" s="217" t="n">
        <f aca="false">CF!M$40</f>
        <v>49934.0316145643</v>
      </c>
      <c r="P85" s="217" t="n">
        <f aca="false">CF!N$40</f>
        <v>46089.9747587696</v>
      </c>
      <c r="Q85" s="217" t="n">
        <f aca="false">CF!O$40</f>
        <v>44888.8101807472</v>
      </c>
      <c r="R85" s="217" t="n">
        <f aca="false">CF!P$40</f>
        <v>45356.3852692199</v>
      </c>
      <c r="S85" s="217" t="n">
        <f aca="false">CF!Q$40</f>
        <v>44074.7339724755</v>
      </c>
      <c r="T85" s="217" t="n">
        <f aca="false">CF!R$40</f>
        <v>36792.506934077</v>
      </c>
      <c r="U85" s="217" t="n">
        <f aca="false">CF!S$40</f>
        <v>39497.5760432047</v>
      </c>
      <c r="V85" s="217" t="n">
        <f aca="false">CF!T$40</f>
        <v>26755.4236569239</v>
      </c>
      <c r="W85" s="217" t="n">
        <f aca="false">CF!U$40</f>
        <v>11005.8168680975</v>
      </c>
      <c r="X85" s="217" t="n">
        <f aca="false">CF!V$40</f>
        <v>6085.65046383107</v>
      </c>
      <c r="Y85" s="217" t="n">
        <f aca="false">CF!W$40</f>
        <v>4689.91363850864</v>
      </c>
      <c r="Z85" s="217" t="n">
        <f aca="false">CF!X$40</f>
        <v>6224.60529260744</v>
      </c>
      <c r="AA85" s="217" t="n">
        <f aca="false">CF!Y$40</f>
        <v>2417.95222089096</v>
      </c>
      <c r="AB85" s="779"/>
    </row>
    <row r="86" customFormat="false" ht="12.75" hidden="false" customHeight="false" outlineLevel="0" collapsed="false">
      <c r="A86" s="37"/>
      <c r="B86" s="38" t="s">
        <v>868</v>
      </c>
      <c r="C86" s="38"/>
      <c r="D86" s="38"/>
      <c r="E86" s="38"/>
      <c r="F86" s="220" t="n">
        <f aca="false">CF!D$66</f>
        <v>-0</v>
      </c>
      <c r="G86" s="220" t="n">
        <f aca="false">CF!E$66</f>
        <v>-93.8242600893902</v>
      </c>
      <c r="H86" s="220" t="n">
        <f aca="false">CF!F$66</f>
        <v>-475.408329836425</v>
      </c>
      <c r="I86" s="220" t="n">
        <f aca="false">CF!G$66</f>
        <v>-0</v>
      </c>
      <c r="J86" s="220" t="n">
        <f aca="false">CF!H$66</f>
        <v>-0</v>
      </c>
      <c r="K86" s="220" t="n">
        <f aca="false">CF!I$66</f>
        <v>-28.1901865942473</v>
      </c>
      <c r="L86" s="220" t="n">
        <f aca="false">CF!J$66</f>
        <v>-0</v>
      </c>
      <c r="M86" s="220" t="n">
        <f aca="false">CF!K$66</f>
        <v>-652.803939761463</v>
      </c>
      <c r="N86" s="220" t="n">
        <f aca="false">CF!L$66</f>
        <v>-545.888488475719</v>
      </c>
      <c r="O86" s="220" t="n">
        <f aca="false">CF!M$66</f>
        <v>-1647.3848057184</v>
      </c>
      <c r="P86" s="220" t="n">
        <f aca="false">CF!N$66</f>
        <v>-1547.02980408237</v>
      </c>
      <c r="Q86" s="220" t="n">
        <f aca="false">CF!O$66</f>
        <v>-325.292748915306</v>
      </c>
      <c r="R86" s="220" t="n">
        <f aca="false">CF!P$66</f>
        <v>-751.375553184158</v>
      </c>
      <c r="S86" s="220" t="n">
        <f aca="false">CF!Q$66</f>
        <v>-4540.74272124117</v>
      </c>
      <c r="T86" s="220" t="n">
        <f aca="false">CF!R$66</f>
        <v>-3751.31428190574</v>
      </c>
      <c r="U86" s="220" t="n">
        <f aca="false">CF!S$66</f>
        <v>-0</v>
      </c>
      <c r="V86" s="220" t="n">
        <f aca="false">CF!T$66</f>
        <v>-2407.44357221352</v>
      </c>
      <c r="W86" s="220" t="n">
        <f aca="false">CF!U$66</f>
        <v>-0</v>
      </c>
      <c r="X86" s="220" t="n">
        <f aca="false">CF!V$66</f>
        <v>-0</v>
      </c>
      <c r="Y86" s="220" t="n">
        <f aca="false">CF!W$66</f>
        <v>-0</v>
      </c>
      <c r="Z86" s="220" t="n">
        <f aca="false">CF!X$66</f>
        <v>-0</v>
      </c>
      <c r="AA86" s="220" t="n">
        <f aca="false">CF!Y$66</f>
        <v>-0</v>
      </c>
      <c r="AB86" s="779"/>
    </row>
    <row r="87" customFormat="false" ht="12.75" hidden="false" customHeight="false" outlineLevel="0" collapsed="false">
      <c r="A87" s="37"/>
      <c r="B87" s="38" t="s">
        <v>1056</v>
      </c>
      <c r="C87" s="38"/>
      <c r="D87" s="38"/>
      <c r="E87" s="38"/>
      <c r="F87" s="217" t="n">
        <f aca="false">SUM(F85:F86)</f>
        <v>0</v>
      </c>
      <c r="G87" s="217" t="n">
        <f aca="false">SUM(G85:G86)</f>
        <v>-1978.50807527969</v>
      </c>
      <c r="H87" s="217" t="n">
        <f aca="false">SUM(H85:H86)</f>
        <v>3358.33879983726</v>
      </c>
      <c r="I87" s="217" t="n">
        <f aca="false">SUM(I85:I86)</f>
        <v>24853.0197201171</v>
      </c>
      <c r="J87" s="217" t="n">
        <f aca="false">SUM(J85:J86)</f>
        <v>38790.7275667574</v>
      </c>
      <c r="K87" s="217" t="n">
        <f aca="false">SUM(K85:K86)</f>
        <v>43252.1498572638</v>
      </c>
      <c r="L87" s="217" t="n">
        <f aca="false">SUM(L85:L86)</f>
        <v>29847.3477043082</v>
      </c>
      <c r="M87" s="217" t="n">
        <f aca="false">SUM(M85:M86)</f>
        <v>51299.6059460033</v>
      </c>
      <c r="N87" s="217" t="n">
        <f aca="false">SUM(N85:N86)</f>
        <v>51776.1595867492</v>
      </c>
      <c r="O87" s="217" t="n">
        <f aca="false">SUM(O85:O86)</f>
        <v>48286.6468088459</v>
      </c>
      <c r="P87" s="217" t="n">
        <f aca="false">SUM(P85:P86)</f>
        <v>44542.9449546872</v>
      </c>
      <c r="Q87" s="217" t="n">
        <f aca="false">SUM(Q85:Q86)</f>
        <v>44563.5174318318</v>
      </c>
      <c r="R87" s="217" t="n">
        <f aca="false">SUM(R85:R86)</f>
        <v>44605.0097160357</v>
      </c>
      <c r="S87" s="217" t="n">
        <f aca="false">SUM(S85:S86)</f>
        <v>39533.9912512343</v>
      </c>
      <c r="T87" s="217" t="n">
        <f aca="false">SUM(T85:T86)</f>
        <v>33041.1926521712</v>
      </c>
      <c r="U87" s="217" t="n">
        <f aca="false">SUM(U85:U86)</f>
        <v>39497.5760432047</v>
      </c>
      <c r="V87" s="217" t="n">
        <f aca="false">SUM(V85:V86)</f>
        <v>24347.9800847104</v>
      </c>
      <c r="W87" s="217" t="n">
        <f aca="false">SUM(W85:W86)</f>
        <v>11005.8168680975</v>
      </c>
      <c r="X87" s="217" t="n">
        <f aca="false">SUM(X85:X86)</f>
        <v>6085.65046383107</v>
      </c>
      <c r="Y87" s="217" t="n">
        <f aca="false">SUM(Y85:Y86)</f>
        <v>4689.91363850864</v>
      </c>
      <c r="Z87" s="217" t="n">
        <f aca="false">SUM(Z85:Z86)</f>
        <v>6224.60529260744</v>
      </c>
      <c r="AA87" s="217" t="n">
        <f aca="false">SUM(AA85:AA86)</f>
        <v>2417.95222089096</v>
      </c>
      <c r="AB87" s="779"/>
    </row>
    <row r="88" customFormat="false" ht="12.75" hidden="false" customHeight="false" outlineLevel="0" collapsed="false">
      <c r="A88" s="37"/>
      <c r="B88" s="38" t="s">
        <v>1053</v>
      </c>
      <c r="C88" s="38"/>
      <c r="D88" s="38"/>
      <c r="E88" s="38"/>
      <c r="F88" s="220" t="n">
        <f aca="false">IF(CF!D$6&gt;Assm!$AB$73,0,'Debt Amort'!D$14)</f>
        <v>0</v>
      </c>
      <c r="G88" s="220" t="n">
        <f aca="false">IF(CF!E$6&gt;Assm!$AB$73,0,'Debt Amort'!E$14)</f>
        <v>0</v>
      </c>
      <c r="H88" s="220" t="n">
        <f aca="false">IF(CF!F$6&gt;Assm!$AB$73,0,'Debt Amort'!F$14)</f>
        <v>0</v>
      </c>
      <c r="I88" s="220" t="n">
        <f aca="false">IF(CF!G$6&gt;Assm!$AB$73,0,'Debt Amort'!G$14)</f>
        <v>6866.1388759198</v>
      </c>
      <c r="J88" s="220" t="n">
        <f aca="false">IF(CF!H$6&gt;Assm!$AB$73,0,'Debt Amort'!H$14)</f>
        <v>28400.6628963228</v>
      </c>
      <c r="K88" s="220" t="n">
        <f aca="false">IF(CF!I$6&gt;Assm!$AB$73,0,'Debt Amort'!I$14)</f>
        <v>27982.0446028794</v>
      </c>
      <c r="L88" s="220" t="n">
        <f aca="false">IF(CF!J$6&gt;Assm!$AB$73,0,'Debt Amort'!J$14)</f>
        <v>28779.102008628</v>
      </c>
      <c r="M88" s="220" t="n">
        <f aca="false">IF(CF!K$6&gt;Assm!$AB$73,0,'Debt Amort'!K$14)</f>
        <v>28451.0144132646</v>
      </c>
      <c r="N88" s="220" t="n">
        <f aca="false">IF(CF!L$6&gt;Assm!$AB$73,0,'Debt Amort'!L$14)</f>
        <v>27789.720964977</v>
      </c>
      <c r="O88" s="220" t="n">
        <f aca="false">IF(CF!M$6&gt;Assm!$AB$73,0,'Debt Amort'!M$14)</f>
        <v>26908.8993775567</v>
      </c>
      <c r="P88" s="220" t="n">
        <f aca="false">IF(CF!N$6&gt;Assm!$AB$73,0,'Debt Amort'!N$14)</f>
        <v>24773.4961325361</v>
      </c>
      <c r="Q88" s="220" t="n">
        <f aca="false">IF(CF!O$6&gt;Assm!$AB$73,0,'Debt Amort'!O$14)</f>
        <v>22797.7829937736</v>
      </c>
      <c r="R88" s="220" t="n">
        <f aca="false">IF(CF!P$6&gt;Assm!$AB$73,0,'Debt Amort'!P$14)</f>
        <v>21842.2396800645</v>
      </c>
      <c r="S88" s="220" t="n">
        <f aca="false">IF(CF!Q$6&gt;Assm!$AB$73,0,'Debt Amort'!Q$14)</f>
        <v>21370.1662611726</v>
      </c>
      <c r="T88" s="220" t="n">
        <f aca="false">IF(CF!R$6&gt;Assm!$AB$73,0,'Debt Amort'!R$14)</f>
        <v>16968.2340599899</v>
      </c>
      <c r="U88" s="220" t="n">
        <f aca="false">IF(CF!S$6&gt;Assm!$AB$73,0,'Debt Amort'!S$14)</f>
        <v>15906.2306754421</v>
      </c>
      <c r="V88" s="220" t="n">
        <f aca="false">IF(CF!T$6&gt;Assm!$AB$73,0,'Debt Amort'!T$14)</f>
        <v>14953.2806506275</v>
      </c>
      <c r="W88" s="220" t="n">
        <f aca="false">IF(CF!U$6&gt;Assm!$AB$73,0,'Debt Amort'!U$14)</f>
        <v>12995.2298416101</v>
      </c>
      <c r="X88" s="220" t="n">
        <f aca="false">IF(CF!V$6&gt;Assm!$AB$73,0,'Debt Amort'!V$14)</f>
        <v>0</v>
      </c>
      <c r="Y88" s="220" t="n">
        <f aca="false">IF(CF!W$6&gt;Assm!$AB$73,0,'Debt Amort'!W$14)</f>
        <v>0</v>
      </c>
      <c r="Z88" s="220" t="n">
        <f aca="false">IF(CF!X$6&gt;Assm!$AB$73,0,'Debt Amort'!X$14)</f>
        <v>0</v>
      </c>
      <c r="AA88" s="220" t="n">
        <f aca="false">IF(CF!Y$6&gt;Assm!$AB$73,0,'Debt Amort'!Y$14)</f>
        <v>0</v>
      </c>
      <c r="AB88" s="779"/>
    </row>
    <row r="89" customFormat="false" ht="13.5" hidden="false" customHeight="false" outlineLevel="0" collapsed="false">
      <c r="A89" s="70"/>
      <c r="B89" s="71" t="s">
        <v>1057</v>
      </c>
      <c r="C89" s="781" t="s">
        <v>1058</v>
      </c>
      <c r="D89" s="71"/>
      <c r="E89" s="71"/>
      <c r="F89" s="782" t="str">
        <f aca="false">IF(F88=0,"N/A",F87/F88)</f>
        <v>N/A</v>
      </c>
      <c r="G89" s="782" t="str">
        <f aca="false">IF(G88=0,"N/A",G87/G88)</f>
        <v>N/A</v>
      </c>
      <c r="H89" s="782" t="str">
        <f aca="false">IF(H88=0,"N/A",H87/H88)</f>
        <v>N/A</v>
      </c>
      <c r="I89" s="782" t="n">
        <f aca="false">IF(I88=0,"N/A",I87/I88)</f>
        <v>3.6196500200832</v>
      </c>
      <c r="J89" s="782" t="n">
        <f aca="false">IF(J88=0,"N/A",J87/J88)</f>
        <v>1.36583880835331</v>
      </c>
      <c r="K89" s="782" t="n">
        <f aca="false">IF(K88=0,"N/A",K87/K88)</f>
        <v>1.54571084676254</v>
      </c>
      <c r="L89" s="782" t="n">
        <f aca="false">IF(L88=0,"N/A",L87/L88)</f>
        <v>1.03711879875056</v>
      </c>
      <c r="M89" s="782" t="n">
        <f aca="false">IF(M88=0,"N/A",M87/M88)</f>
        <v>1.80308530307046</v>
      </c>
      <c r="N89" s="782" t="n">
        <f aca="false">IF(N88=0,"N/A",N87/N88)</f>
        <v>1.86314067895831</v>
      </c>
      <c r="O89" s="782" t="n">
        <f aca="false">IF(O88=0,"N/A",O87/O88)</f>
        <v>1.79444897137336</v>
      </c>
      <c r="P89" s="782" t="n">
        <f aca="false">IF(P88=0,"N/A",P87/P88)</f>
        <v>1.7980080290802</v>
      </c>
      <c r="Q89" s="782" t="n">
        <f aca="false">IF(Q88=0,"N/A",Q87/Q88)</f>
        <v>1.95473031057462</v>
      </c>
      <c r="R89" s="782" t="n">
        <f aca="false">IF(R88=0,"N/A",R87/R88)</f>
        <v>2.04214450392406</v>
      </c>
      <c r="S89" s="782" t="n">
        <f aca="false">IF(S88=0,"N/A",S87/S88)</f>
        <v>1.84996180039383</v>
      </c>
      <c r="T89" s="782" t="n">
        <f aca="false">IF(T88=0,"N/A",T87/T88)</f>
        <v>1.9472381471965</v>
      </c>
      <c r="U89" s="782" t="n">
        <f aca="false">IF(U88=0,"N/A",U87/U88)</f>
        <v>2.48315121596883</v>
      </c>
      <c r="V89" s="782" t="n">
        <f aca="false">IF(V88=0,"N/A",V87/V88)</f>
        <v>1.62827012035574</v>
      </c>
      <c r="W89" s="782" t="n">
        <f aca="false">IF(W88=0,"N/A",W87/W88)</f>
        <v>0.846912059443333</v>
      </c>
      <c r="X89" s="782" t="str">
        <f aca="false">IF(X88=0,"N/A",X87/X88)</f>
        <v>N/A</v>
      </c>
      <c r="Y89" s="782" t="str">
        <f aca="false">IF(Y88=0,"N/A",Y87/Y88)</f>
        <v>N/A</v>
      </c>
      <c r="Z89" s="782" t="str">
        <f aca="false">IF(Z88=0,"N/A",Z87/Z88)</f>
        <v>N/A</v>
      </c>
      <c r="AA89" s="782" t="str">
        <f aca="false">IF(AA88=0,"N/A",AA87/AA88)</f>
        <v>N/A</v>
      </c>
      <c r="AB89" s="783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</row>
    <row r="90" customFormat="false" ht="12.75" hidden="false" customHeight="false" outlineLevel="0" collapsed="false">
      <c r="Z90" s="38"/>
      <c r="AB90" s="1"/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0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I21" activeCellId="0" sqref="I2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" min="1" style="38" width="9.14"/>
    <col collapsed="false" customWidth="true" hidden="false" outlineLevel="0" max="4" min="3" style="38" width="11.7"/>
    <col collapsed="false" customWidth="true" hidden="false" outlineLevel="0" max="5" min="5" style="38" width="1.7"/>
    <col collapsed="false" customWidth="true" hidden="false" outlineLevel="0" max="28" min="6" style="38" width="10.71"/>
    <col collapsed="false" customWidth="false" hidden="false" outlineLevel="0" max="29" min="29" style="38" width="9.14"/>
    <col collapsed="false" customWidth="false" hidden="false" outlineLevel="0" max="257" min="30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"/>
      <c r="AE1" s="3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"/>
      <c r="AE2" s="3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"/>
      <c r="AE3" s="3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1059</v>
      </c>
      <c r="B4" s="632"/>
      <c r="C4" s="632"/>
      <c r="D4" s="632"/>
      <c r="E4" s="632"/>
      <c r="F4" s="632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"/>
      <c r="AE4" s="3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1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8"/>
      <c r="AB5" s="388"/>
      <c r="AC5" s="0"/>
      <c r="AD5" s="536" t="s">
        <v>762</v>
      </c>
      <c r="AE5" s="38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763</v>
      </c>
      <c r="B6" s="28"/>
      <c r="C6" s="28"/>
      <c r="D6" s="28"/>
      <c r="E6" s="28"/>
      <c r="F6" s="28" t="n">
        <f aca="false">CF!D6</f>
        <v>1</v>
      </c>
      <c r="G6" s="28" t="n">
        <f aca="false">CF!E6</f>
        <v>2</v>
      </c>
      <c r="H6" s="28" t="n">
        <f aca="false">CF!F6</f>
        <v>3</v>
      </c>
      <c r="I6" s="28" t="n">
        <f aca="false">CF!G6</f>
        <v>4</v>
      </c>
      <c r="J6" s="28" t="n">
        <f aca="false">CF!H6</f>
        <v>5</v>
      </c>
      <c r="K6" s="28" t="n">
        <f aca="false">CF!I6</f>
        <v>6</v>
      </c>
      <c r="L6" s="28" t="n">
        <f aca="false">CF!J6</f>
        <v>7</v>
      </c>
      <c r="M6" s="28" t="n">
        <f aca="false">CF!K6</f>
        <v>8</v>
      </c>
      <c r="N6" s="28" t="n">
        <f aca="false">CF!L6</f>
        <v>9</v>
      </c>
      <c r="O6" s="28" t="n">
        <f aca="false">CF!M6</f>
        <v>10</v>
      </c>
      <c r="P6" s="28" t="n">
        <f aca="false">CF!N6</f>
        <v>11</v>
      </c>
      <c r="Q6" s="28" t="n">
        <f aca="false">CF!O6</f>
        <v>12</v>
      </c>
      <c r="R6" s="28" t="n">
        <f aca="false">CF!P6</f>
        <v>13</v>
      </c>
      <c r="S6" s="28" t="n">
        <f aca="false">CF!Q6</f>
        <v>14</v>
      </c>
      <c r="T6" s="28" t="n">
        <f aca="false">CF!R6</f>
        <v>15</v>
      </c>
      <c r="U6" s="28" t="n">
        <f aca="false">CF!S6</f>
        <v>16</v>
      </c>
      <c r="V6" s="28" t="n">
        <f aca="false">CF!T6</f>
        <v>17</v>
      </c>
      <c r="W6" s="28" t="n">
        <f aca="false">CF!U6</f>
        <v>18</v>
      </c>
      <c r="X6" s="28" t="n">
        <f aca="false">CF!V6</f>
        <v>19</v>
      </c>
      <c r="Y6" s="28" t="n">
        <f aca="false">CF!W6</f>
        <v>20</v>
      </c>
      <c r="Z6" s="28" t="n">
        <f aca="false">CF!X6</f>
        <v>21</v>
      </c>
      <c r="AA6" s="28" t="n">
        <f aca="false">CF!Y6</f>
        <v>22</v>
      </c>
      <c r="AB6" s="539"/>
      <c r="AD6" s="612" t="s">
        <v>1060</v>
      </c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634" t="s">
        <v>765</v>
      </c>
      <c r="B7" s="71"/>
      <c r="C7" s="71"/>
      <c r="D7" s="71"/>
      <c r="E7" s="71"/>
      <c r="F7" s="372" t="n">
        <f aca="false">CF!D7</f>
        <v>1998</v>
      </c>
      <c r="G7" s="372" t="n">
        <f aca="false">CF!E7</f>
        <v>1999</v>
      </c>
      <c r="H7" s="372" t="n">
        <f aca="false">CF!F7</f>
        <v>2000</v>
      </c>
      <c r="I7" s="372" t="n">
        <f aca="false">CF!G7</f>
        <v>2001</v>
      </c>
      <c r="J7" s="372" t="n">
        <f aca="false">CF!H7</f>
        <v>2002</v>
      </c>
      <c r="K7" s="372" t="n">
        <f aca="false">CF!I7</f>
        <v>2003</v>
      </c>
      <c r="L7" s="372" t="n">
        <f aca="false">CF!J7</f>
        <v>2004</v>
      </c>
      <c r="M7" s="372" t="n">
        <f aca="false">CF!K7</f>
        <v>2005</v>
      </c>
      <c r="N7" s="372" t="n">
        <f aca="false">CF!L7</f>
        <v>2006</v>
      </c>
      <c r="O7" s="372" t="n">
        <f aca="false">CF!M7</f>
        <v>2007</v>
      </c>
      <c r="P7" s="372" t="n">
        <f aca="false">CF!N7</f>
        <v>2008</v>
      </c>
      <c r="Q7" s="372" t="n">
        <f aca="false">CF!O7</f>
        <v>2009</v>
      </c>
      <c r="R7" s="372" t="n">
        <f aca="false">CF!P7</f>
        <v>2010</v>
      </c>
      <c r="S7" s="372" t="n">
        <f aca="false">CF!Q7</f>
        <v>2011</v>
      </c>
      <c r="T7" s="372" t="n">
        <f aca="false">CF!R7</f>
        <v>2012</v>
      </c>
      <c r="U7" s="372" t="n">
        <f aca="false">CF!S7</f>
        <v>2013</v>
      </c>
      <c r="V7" s="372" t="n">
        <f aca="false">CF!T7</f>
        <v>2014</v>
      </c>
      <c r="W7" s="372" t="n">
        <f aca="false">CF!U7</f>
        <v>2015</v>
      </c>
      <c r="X7" s="372" t="n">
        <f aca="false">CF!V7</f>
        <v>2016</v>
      </c>
      <c r="Y7" s="372" t="n">
        <f aca="false">CF!W7</f>
        <v>2017</v>
      </c>
      <c r="Z7" s="372" t="n">
        <f aca="false">CF!X7</f>
        <v>2018</v>
      </c>
      <c r="AA7" s="372" t="n">
        <f aca="false">CF!Y7</f>
        <v>2019</v>
      </c>
      <c r="AB7" s="544" t="s">
        <v>766</v>
      </c>
      <c r="AD7" s="78" t="n">
        <v>1</v>
      </c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45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  <c r="T8" s="388"/>
      <c r="U8" s="388"/>
      <c r="V8" s="388"/>
      <c r="W8" s="388"/>
      <c r="X8" s="388"/>
      <c r="Y8" s="388"/>
      <c r="Z8" s="388"/>
      <c r="AA8" s="388"/>
      <c r="AB8" s="614"/>
      <c r="AC8" s="0"/>
      <c r="AD8" s="175" t="n">
        <f aca="false">AD7+1</f>
        <v>2</v>
      </c>
      <c r="AE8" s="38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12.75" hidden="false" customHeight="false" outlineLevel="0" collapsed="false">
      <c r="A9" s="37" t="s">
        <v>1061</v>
      </c>
      <c r="F9" s="215" t="n">
        <f aca="false">Rev_Exp!D12</f>
        <v>0</v>
      </c>
      <c r="G9" s="215" t="n">
        <f aca="false">Rev_Exp!E12</f>
        <v>9</v>
      </c>
      <c r="H9" s="215" t="n">
        <f aca="false">Rev_Exp!F12</f>
        <v>12</v>
      </c>
      <c r="I9" s="215" t="n">
        <f aca="false">Rev_Exp!G12</f>
        <v>12</v>
      </c>
      <c r="J9" s="215" t="n">
        <f aca="false">Rev_Exp!H12</f>
        <v>12</v>
      </c>
      <c r="K9" s="215" t="n">
        <f aca="false">Rev_Exp!I12</f>
        <v>12</v>
      </c>
      <c r="L9" s="215" t="n">
        <f aca="false">Rev_Exp!J12</f>
        <v>12</v>
      </c>
      <c r="M9" s="215" t="n">
        <f aca="false">Rev_Exp!K12</f>
        <v>12</v>
      </c>
      <c r="N9" s="215" t="n">
        <f aca="false">Rev_Exp!L12</f>
        <v>12</v>
      </c>
      <c r="O9" s="215" t="n">
        <f aca="false">Rev_Exp!M12</f>
        <v>12</v>
      </c>
      <c r="P9" s="215" t="n">
        <f aca="false">Rev_Exp!N12</f>
        <v>12</v>
      </c>
      <c r="Q9" s="215" t="n">
        <f aca="false">Rev_Exp!O12</f>
        <v>12</v>
      </c>
      <c r="R9" s="215" t="n">
        <f aca="false">Rev_Exp!P12</f>
        <v>12</v>
      </c>
      <c r="S9" s="215" t="n">
        <f aca="false">Rev_Exp!Q12</f>
        <v>12</v>
      </c>
      <c r="T9" s="215" t="n">
        <f aca="false">Rev_Exp!R12</f>
        <v>12</v>
      </c>
      <c r="U9" s="215" t="n">
        <f aca="false">Rev_Exp!S12</f>
        <v>12</v>
      </c>
      <c r="V9" s="215" t="n">
        <f aca="false">Rev_Exp!T12</f>
        <v>12</v>
      </c>
      <c r="W9" s="215" t="n">
        <f aca="false">Rev_Exp!U12</f>
        <v>12</v>
      </c>
      <c r="X9" s="215" t="n">
        <f aca="false">Rev_Exp!V12</f>
        <v>12</v>
      </c>
      <c r="Y9" s="215" t="n">
        <f aca="false">Rev_Exp!W12</f>
        <v>12</v>
      </c>
      <c r="Z9" s="215" t="n">
        <f aca="false">Rev_Exp!X12</f>
        <v>12</v>
      </c>
      <c r="AA9" s="215" t="n">
        <f aca="false">Rev_Exp!Y12</f>
        <v>4</v>
      </c>
      <c r="AB9" s="550" t="n">
        <f aca="false">SUM(F9:AA9)</f>
        <v>241</v>
      </c>
      <c r="AD9" s="175" t="n">
        <f aca="false">AD8+1</f>
        <v>3</v>
      </c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37"/>
      <c r="AB10" s="555"/>
      <c r="AD10" s="175" t="n">
        <f aca="false">AD9+1</f>
        <v>4</v>
      </c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</row>
    <row r="11" customFormat="false" ht="12.75" hidden="false" customHeight="false" outlineLevel="0" collapsed="false">
      <c r="A11" s="55" t="s">
        <v>1062</v>
      </c>
      <c r="AB11" s="555"/>
      <c r="AD11" s="175" t="n">
        <f aca="false">AD10+1</f>
        <v>5</v>
      </c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</row>
    <row r="12" customFormat="false" ht="12.75" hidden="false" customHeight="false" outlineLevel="0" collapsed="false">
      <c r="A12" s="37" t="s">
        <v>1063</v>
      </c>
      <c r="F12" s="189" t="n">
        <v>0</v>
      </c>
      <c r="G12" s="217" t="n">
        <f aca="false">F16</f>
        <v>0</v>
      </c>
      <c r="H12" s="217" t="n">
        <f aca="false">G16</f>
        <v>-6461.11895746196</v>
      </c>
      <c r="I12" s="217" t="n">
        <f aca="false">H16</f>
        <v>-9612.15981087598</v>
      </c>
      <c r="J12" s="217" t="n">
        <f aca="false">I16</f>
        <v>-12623.67657378</v>
      </c>
      <c r="K12" s="217" t="n">
        <f aca="false">J16</f>
        <v>-14275.3482771039</v>
      </c>
      <c r="L12" s="217" t="n">
        <f aca="false">K16</f>
        <v>-12554.9651038768</v>
      </c>
      <c r="M12" s="217" t="n">
        <f aca="false">L16</f>
        <v>-20522.5297769446</v>
      </c>
      <c r="N12" s="217" t="n">
        <f aca="false">M16</f>
        <v>-13688.9893484749</v>
      </c>
      <c r="O12" s="217" t="n">
        <f aca="false">N16</f>
        <v>-6173.05570075907</v>
      </c>
      <c r="P12" s="217" t="n">
        <f aca="false">O16</f>
        <v>0</v>
      </c>
      <c r="Q12" s="217" t="n">
        <f aca="false">P16</f>
        <v>0</v>
      </c>
      <c r="R12" s="217" t="n">
        <f aca="false">Q16</f>
        <v>0</v>
      </c>
      <c r="S12" s="217" t="n">
        <f aca="false">R16</f>
        <v>0</v>
      </c>
      <c r="T12" s="217" t="n">
        <f aca="false">S16</f>
        <v>0</v>
      </c>
      <c r="U12" s="217" t="n">
        <f aca="false">T16</f>
        <v>0</v>
      </c>
      <c r="V12" s="217" t="n">
        <f aca="false">U16</f>
        <v>0</v>
      </c>
      <c r="W12" s="217" t="n">
        <f aca="false">V16</f>
        <v>0</v>
      </c>
      <c r="X12" s="217" t="n">
        <f aca="false">W16</f>
        <v>-7495.22851386404</v>
      </c>
      <c r="Y12" s="217" t="n">
        <f aca="false">X16</f>
        <v>-19208.7962195597</v>
      </c>
      <c r="Z12" s="217" t="n">
        <f aca="false">Y16</f>
        <v>-32318.1007505777</v>
      </c>
      <c r="AA12" s="217" t="n">
        <f aca="false">Z16</f>
        <v>-40297.9157155955</v>
      </c>
      <c r="AB12" s="574" t="n">
        <f aca="false">F12</f>
        <v>0</v>
      </c>
      <c r="AD12" s="175" t="n">
        <f aca="false">AD11+1</f>
        <v>6</v>
      </c>
    </row>
    <row r="13" customFormat="false" ht="12.75" hidden="false" customHeight="false" outlineLevel="0" collapsed="false">
      <c r="A13" s="37" t="s">
        <v>1064</v>
      </c>
      <c r="F13" s="220" t="n">
        <f aca="false">CF!D57</f>
        <v>0</v>
      </c>
      <c r="G13" s="220" t="n">
        <f aca="false">CF!E57</f>
        <v>-6461.11895746196</v>
      </c>
      <c r="H13" s="220" t="n">
        <f aca="false">CF!F57</f>
        <v>-3151.04085341403</v>
      </c>
      <c r="I13" s="220" t="n">
        <f aca="false">CF!G57</f>
        <v>-3011.51676290401</v>
      </c>
      <c r="J13" s="220" t="n">
        <f aca="false">CF!H57</f>
        <v>-1651.67170332394</v>
      </c>
      <c r="K13" s="220" t="n">
        <f aca="false">CF!I57</f>
        <v>1720.38317322712</v>
      </c>
      <c r="L13" s="220" t="n">
        <f aca="false">CF!J57</f>
        <v>-7967.56467306774</v>
      </c>
      <c r="M13" s="220" t="n">
        <f aca="false">CF!K57</f>
        <v>6833.54042846961</v>
      </c>
      <c r="N13" s="220" t="n">
        <f aca="false">CF!L57</f>
        <v>7515.93364771588</v>
      </c>
      <c r="O13" s="220" t="n">
        <f aca="false">CF!M57</f>
        <v>8470.11457312066</v>
      </c>
      <c r="P13" s="220" t="n">
        <f aca="false">CF!N57</f>
        <v>5944.79635653065</v>
      </c>
      <c r="Q13" s="220" t="n">
        <f aca="false">CF!O57</f>
        <v>6215.41206820371</v>
      </c>
      <c r="R13" s="220" t="n">
        <f aca="false">CF!P57</f>
        <v>7153.91447033937</v>
      </c>
      <c r="S13" s="220" t="n">
        <f aca="false">CF!Q57</f>
        <v>7772.62295499896</v>
      </c>
      <c r="T13" s="220" t="n">
        <f aca="false">CF!R57</f>
        <v>5510.88806783188</v>
      </c>
      <c r="U13" s="220" t="n">
        <f aca="false">CF!S57</f>
        <v>7093.26246476228</v>
      </c>
      <c r="V13" s="220" t="n">
        <f aca="false">CF!T57</f>
        <v>2410.50492318655</v>
      </c>
      <c r="W13" s="220" t="n">
        <f aca="false">CF!U57</f>
        <v>-7495.22851386404</v>
      </c>
      <c r="X13" s="220" t="n">
        <f aca="false">CF!V57</f>
        <v>-11713.5677056956</v>
      </c>
      <c r="Y13" s="220" t="n">
        <f aca="false">CF!W57</f>
        <v>-13109.3045310181</v>
      </c>
      <c r="Z13" s="220" t="n">
        <f aca="false">CF!X57</f>
        <v>-7979.81496501774</v>
      </c>
      <c r="AA13" s="220" t="n">
        <f aca="false">CF!Y57</f>
        <v>-2473.55875050334</v>
      </c>
      <c r="AB13" s="576" t="n">
        <f aca="false">SUM(F13:AA13)</f>
        <v>1626.98571211619</v>
      </c>
      <c r="AD13" s="175" t="n">
        <f aca="false">AD12+1</f>
        <v>7</v>
      </c>
    </row>
    <row r="14" customFormat="false" ht="12.75" hidden="false" customHeight="false" outlineLevel="0" collapsed="false">
      <c r="A14" s="37" t="s">
        <v>1065</v>
      </c>
      <c r="F14" s="217" t="n">
        <f aca="false">SUM(F12:F13)</f>
        <v>0</v>
      </c>
      <c r="G14" s="217" t="n">
        <f aca="false">SUM(G12:G13)</f>
        <v>-6461.11895746196</v>
      </c>
      <c r="H14" s="217" t="n">
        <f aca="false">SUM(H12:H13)</f>
        <v>-9612.15981087598</v>
      </c>
      <c r="I14" s="217" t="n">
        <f aca="false">SUM(I12:I13)</f>
        <v>-12623.67657378</v>
      </c>
      <c r="J14" s="217" t="n">
        <f aca="false">SUM(J12:J13)</f>
        <v>-14275.3482771039</v>
      </c>
      <c r="K14" s="217" t="n">
        <f aca="false">SUM(K12:K13)</f>
        <v>-12554.9651038768</v>
      </c>
      <c r="L14" s="217" t="n">
        <f aca="false">SUM(L12:L13)</f>
        <v>-20522.5297769446</v>
      </c>
      <c r="M14" s="217" t="n">
        <f aca="false">SUM(M12:M13)</f>
        <v>-13688.9893484749</v>
      </c>
      <c r="N14" s="217" t="n">
        <f aca="false">SUM(N12:N13)</f>
        <v>-6173.05570075907</v>
      </c>
      <c r="O14" s="217" t="n">
        <f aca="false">SUM(O12:O13)</f>
        <v>2297.05887236159</v>
      </c>
      <c r="P14" s="217" t="n">
        <f aca="false">SUM(P12:P13)</f>
        <v>5944.79635653065</v>
      </c>
      <c r="Q14" s="217" t="n">
        <f aca="false">SUM(Q12:Q13)</f>
        <v>6215.41206820371</v>
      </c>
      <c r="R14" s="217" t="n">
        <f aca="false">SUM(R12:R13)</f>
        <v>7153.91447033937</v>
      </c>
      <c r="S14" s="217" t="n">
        <f aca="false">SUM(S12:S13)</f>
        <v>7772.62295499896</v>
      </c>
      <c r="T14" s="217" t="n">
        <f aca="false">SUM(T12:T13)</f>
        <v>5510.88806783188</v>
      </c>
      <c r="U14" s="217" t="n">
        <f aca="false">SUM(U12:U13)</f>
        <v>7093.26246476228</v>
      </c>
      <c r="V14" s="217" t="n">
        <f aca="false">SUM(V12:V13)</f>
        <v>2410.50492318655</v>
      </c>
      <c r="W14" s="217" t="n">
        <f aca="false">SUM(W12:W13)</f>
        <v>-7495.22851386404</v>
      </c>
      <c r="X14" s="217" t="n">
        <f aca="false">SUM(X12:X13)</f>
        <v>-19208.7962195597</v>
      </c>
      <c r="Y14" s="217" t="n">
        <f aca="false">SUM(Y12:Y13)</f>
        <v>-32318.1007505777</v>
      </c>
      <c r="Z14" s="217" t="n">
        <f aca="false">SUM(Z12:Z13)</f>
        <v>-40297.9157155955</v>
      </c>
      <c r="AA14" s="217" t="n">
        <f aca="false">SUM(AA12:AA13)</f>
        <v>-42771.4744660988</v>
      </c>
      <c r="AB14" s="574" t="n">
        <f aca="false">SUM(AB12:AB13)</f>
        <v>1626.98571211619</v>
      </c>
      <c r="AD14" s="175" t="n">
        <f aca="false">AD13+1</f>
        <v>8</v>
      </c>
    </row>
    <row r="15" customFormat="false" ht="12.75" hidden="false" customHeight="false" outlineLevel="0" collapsed="false">
      <c r="A15" s="37" t="s">
        <v>1066</v>
      </c>
      <c r="F15" s="220" t="n">
        <f aca="false">F23</f>
        <v>-0</v>
      </c>
      <c r="G15" s="220" t="n">
        <f aca="false">G23</f>
        <v>0</v>
      </c>
      <c r="H15" s="220" t="n">
        <f aca="false">H23</f>
        <v>0</v>
      </c>
      <c r="I15" s="220" t="n">
        <f aca="false">I23</f>
        <v>0</v>
      </c>
      <c r="J15" s="220" t="n">
        <f aca="false">J23</f>
        <v>0</v>
      </c>
      <c r="K15" s="220" t="n">
        <f aca="false">K23</f>
        <v>0</v>
      </c>
      <c r="L15" s="220" t="n">
        <f aca="false">L23</f>
        <v>0</v>
      </c>
      <c r="M15" s="220" t="n">
        <f aca="false">M23</f>
        <v>0</v>
      </c>
      <c r="N15" s="220" t="n">
        <f aca="false">N23</f>
        <v>0</v>
      </c>
      <c r="O15" s="220" t="n">
        <f aca="false">O23</f>
        <v>-2297.05887236159</v>
      </c>
      <c r="P15" s="220" t="n">
        <f aca="false">P23</f>
        <v>-5944.79635653065</v>
      </c>
      <c r="Q15" s="220" t="n">
        <f aca="false">Q23</f>
        <v>-6215.41206820371</v>
      </c>
      <c r="R15" s="220" t="n">
        <f aca="false">R23</f>
        <v>-7153.91447033937</v>
      </c>
      <c r="S15" s="220" t="n">
        <f aca="false">S23</f>
        <v>-7772.62295499896</v>
      </c>
      <c r="T15" s="220" t="n">
        <f aca="false">T23</f>
        <v>-5510.88806783188</v>
      </c>
      <c r="U15" s="220" t="n">
        <f aca="false">U23</f>
        <v>-7093.26246476228</v>
      </c>
      <c r="V15" s="220" t="n">
        <f aca="false">V23</f>
        <v>-2410.50492318655</v>
      </c>
      <c r="W15" s="220" t="n">
        <f aca="false">W23</f>
        <v>0</v>
      </c>
      <c r="X15" s="220" t="n">
        <f aca="false">X23</f>
        <v>0</v>
      </c>
      <c r="Y15" s="220" t="n">
        <f aca="false">Y23</f>
        <v>0</v>
      </c>
      <c r="Z15" s="220" t="n">
        <f aca="false">Z23</f>
        <v>0</v>
      </c>
      <c r="AA15" s="220" t="n">
        <f aca="false">AA23</f>
        <v>0</v>
      </c>
      <c r="AB15" s="576" t="n">
        <f aca="false">SUM(F15:AA15)</f>
        <v>-44398.460178215</v>
      </c>
      <c r="AD15" s="175" t="n">
        <f aca="false">AD14+1</f>
        <v>9</v>
      </c>
    </row>
    <row r="16" customFormat="false" ht="12.75" hidden="false" customHeight="false" outlineLevel="0" collapsed="false">
      <c r="A16" s="37" t="s">
        <v>1067</v>
      </c>
      <c r="F16" s="217" t="n">
        <f aca="false">SUM(F14:F15)</f>
        <v>0</v>
      </c>
      <c r="G16" s="217" t="n">
        <f aca="false">SUM(G14:G15)</f>
        <v>-6461.11895746196</v>
      </c>
      <c r="H16" s="217" t="n">
        <f aca="false">SUM(H14:H15)</f>
        <v>-9612.15981087598</v>
      </c>
      <c r="I16" s="217" t="n">
        <f aca="false">SUM(I14:I15)</f>
        <v>-12623.67657378</v>
      </c>
      <c r="J16" s="217" t="n">
        <f aca="false">SUM(J14:J15)</f>
        <v>-14275.3482771039</v>
      </c>
      <c r="K16" s="217" t="n">
        <f aca="false">SUM(K14:K15)</f>
        <v>-12554.9651038768</v>
      </c>
      <c r="L16" s="217" t="n">
        <f aca="false">SUM(L14:L15)</f>
        <v>-20522.5297769446</v>
      </c>
      <c r="M16" s="217" t="n">
        <f aca="false">SUM(M14:M15)</f>
        <v>-13688.9893484749</v>
      </c>
      <c r="N16" s="217" t="n">
        <f aca="false">SUM(N14:N15)</f>
        <v>-6173.05570075907</v>
      </c>
      <c r="O16" s="217" t="n">
        <f aca="false">SUM(O14:O15)</f>
        <v>0</v>
      </c>
      <c r="P16" s="217" t="n">
        <f aca="false">SUM(P14:P15)</f>
        <v>0</v>
      </c>
      <c r="Q16" s="217" t="n">
        <f aca="false">SUM(Q14:Q15)</f>
        <v>0</v>
      </c>
      <c r="R16" s="217" t="n">
        <f aca="false">SUM(R14:R15)</f>
        <v>0</v>
      </c>
      <c r="S16" s="217" t="n">
        <f aca="false">SUM(S14:S15)</f>
        <v>0</v>
      </c>
      <c r="T16" s="217" t="n">
        <f aca="false">SUM(T14:T15)</f>
        <v>0</v>
      </c>
      <c r="U16" s="217" t="n">
        <f aca="false">SUM(U14:U15)</f>
        <v>0</v>
      </c>
      <c r="V16" s="217" t="n">
        <f aca="false">SUM(V14:V15)</f>
        <v>0</v>
      </c>
      <c r="W16" s="217" t="n">
        <f aca="false">SUM(W14:W15)</f>
        <v>-7495.22851386404</v>
      </c>
      <c r="X16" s="217" t="n">
        <f aca="false">SUM(X14:X15)</f>
        <v>-19208.7962195597</v>
      </c>
      <c r="Y16" s="217" t="n">
        <f aca="false">SUM(Y14:Y15)</f>
        <v>-32318.1007505777</v>
      </c>
      <c r="Z16" s="217" t="n">
        <f aca="false">SUM(Z14:Z15)</f>
        <v>-40297.9157155955</v>
      </c>
      <c r="AA16" s="217" t="n">
        <f aca="false">SUM(AA14:AA15)</f>
        <v>-42771.4744660988</v>
      </c>
      <c r="AB16" s="574" t="n">
        <f aca="false">SUM(AB14:AB15)</f>
        <v>-42771.4744660988</v>
      </c>
      <c r="AD16" s="175" t="n">
        <f aca="false">AD15+1</f>
        <v>10</v>
      </c>
    </row>
    <row r="17" customFormat="false" ht="12.75" hidden="false" customHeight="false" outlineLevel="0" collapsed="false">
      <c r="A17" s="37"/>
      <c r="AB17" s="555"/>
      <c r="AD17" s="175" t="n">
        <f aca="false">AD16+1</f>
        <v>11</v>
      </c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</row>
    <row r="18" customFormat="false" ht="12.75" hidden="false" customHeight="false" outlineLevel="0" collapsed="false">
      <c r="A18" s="784" t="s">
        <v>1068</v>
      </c>
      <c r="AB18" s="555"/>
      <c r="AD18" s="175" t="n">
        <f aca="false">AD17+1</f>
        <v>12</v>
      </c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</row>
    <row r="19" customFormat="false" ht="12.75" hidden="false" customHeight="false" outlineLevel="0" collapsed="false">
      <c r="A19" s="65" t="s">
        <v>1063</v>
      </c>
      <c r="F19" s="189" t="n">
        <v>0</v>
      </c>
      <c r="G19" s="217" t="n">
        <f aca="false">F26</f>
        <v>0</v>
      </c>
      <c r="H19" s="217" t="n">
        <f aca="false">G26</f>
        <v>0</v>
      </c>
      <c r="I19" s="217" t="n">
        <f aca="false">H26</f>
        <v>0</v>
      </c>
      <c r="J19" s="217" t="n">
        <f aca="false">I26</f>
        <v>0</v>
      </c>
      <c r="K19" s="217" t="n">
        <f aca="false">J26</f>
        <v>0</v>
      </c>
      <c r="L19" s="217" t="n">
        <f aca="false">K26</f>
        <v>0</v>
      </c>
      <c r="M19" s="217" t="n">
        <f aca="false">L26</f>
        <v>0</v>
      </c>
      <c r="N19" s="217" t="n">
        <f aca="false">M26</f>
        <v>0</v>
      </c>
      <c r="O19" s="217" t="n">
        <f aca="false">N26</f>
        <v>0</v>
      </c>
      <c r="P19" s="217" t="n">
        <f aca="false">O26</f>
        <v>0</v>
      </c>
      <c r="Q19" s="217" t="n">
        <f aca="false">P26</f>
        <v>0</v>
      </c>
      <c r="R19" s="217" t="n">
        <f aca="false">Q26</f>
        <v>0</v>
      </c>
      <c r="S19" s="217" t="n">
        <f aca="false">R26</f>
        <v>0</v>
      </c>
      <c r="T19" s="217" t="n">
        <f aca="false">S26</f>
        <v>0</v>
      </c>
      <c r="U19" s="217" t="n">
        <f aca="false">T26</f>
        <v>0</v>
      </c>
      <c r="V19" s="217" t="n">
        <f aca="false">U26</f>
        <v>0</v>
      </c>
      <c r="W19" s="217" t="n">
        <f aca="false">V26</f>
        <v>0</v>
      </c>
      <c r="X19" s="217" t="n">
        <f aca="false">W26</f>
        <v>0</v>
      </c>
      <c r="Y19" s="217" t="n">
        <f aca="false">X26</f>
        <v>0</v>
      </c>
      <c r="Z19" s="217" t="n">
        <f aca="false">Y26</f>
        <v>0</v>
      </c>
      <c r="AA19" s="217" t="n">
        <f aca="false">Z26</f>
        <v>0</v>
      </c>
      <c r="AB19" s="574" t="n">
        <f aca="false">F19</f>
        <v>0</v>
      </c>
      <c r="AD19" s="175" t="n">
        <f aca="false">AD18+1</f>
        <v>13</v>
      </c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</row>
    <row r="20" customFormat="false" ht="12.75" hidden="false" customHeight="false" outlineLevel="0" collapsed="false">
      <c r="A20" s="65" t="s">
        <v>1069</v>
      </c>
      <c r="F20" s="217" t="n">
        <f aca="false">-E25</f>
        <v>-0</v>
      </c>
      <c r="G20" s="217" t="n">
        <f aca="false">-F25</f>
        <v>0</v>
      </c>
      <c r="H20" s="217" t="n">
        <f aca="false">-G25</f>
        <v>-1978.50807527969</v>
      </c>
      <c r="I20" s="217" t="n">
        <f aca="false">-H25</f>
        <v>1379.83072455757</v>
      </c>
      <c r="J20" s="217" t="n">
        <f aca="false">-I25</f>
        <v>16671.9300273138</v>
      </c>
      <c r="K20" s="217" t="n">
        <f aca="false">-J25</f>
        <v>18436.2522778291</v>
      </c>
      <c r="L20" s="217" t="n">
        <f aca="false">-K25</f>
        <v>23037.7232755998</v>
      </c>
      <c r="M20" s="217" t="n">
        <f aca="false">-L25</f>
        <v>15480.2265513606</v>
      </c>
      <c r="N20" s="217" t="n">
        <f aca="false">-M25</f>
        <v>21837.5040854959</v>
      </c>
      <c r="O20" s="217" t="n">
        <f aca="false">-N25</f>
        <v>28280.858371352</v>
      </c>
      <c r="P20" s="217" t="n">
        <f aca="false">-O25</f>
        <v>30079.7671670197</v>
      </c>
      <c r="Q20" s="217" t="n">
        <f aca="false">-P25</f>
        <v>27560.9504811354</v>
      </c>
      <c r="R20" s="217" t="n">
        <f aca="false">-Q25</f>
        <v>26415.5682767194</v>
      </c>
      <c r="S20" s="217" t="n">
        <f aca="false">-R25</f>
        <v>24119.3244019399</v>
      </c>
      <c r="T20" s="217" t="n">
        <f aca="false">-S25</f>
        <v>16605.4269965915</v>
      </c>
      <c r="U20" s="217" t="n">
        <f aca="false">-T25</f>
        <v>11387.0933300933</v>
      </c>
      <c r="V20" s="217" t="n">
        <f aca="false">-U25</f>
        <v>18605.8192126017</v>
      </c>
      <c r="W20" s="217" t="n">
        <f aca="false">-V25</f>
        <v>22005.0826297656</v>
      </c>
      <c r="X20" s="217" t="n">
        <f aca="false">-W25</f>
        <v>20015.669656253</v>
      </c>
      <c r="Y20" s="217" t="n">
        <f aca="false">-X25</f>
        <v>26101.3201200841</v>
      </c>
      <c r="Z20" s="217" t="n">
        <f aca="false">-Y25</f>
        <v>30791.2337585927</v>
      </c>
      <c r="AA20" s="217" t="n">
        <f aca="false">-Z25</f>
        <v>37015.8390512002</v>
      </c>
      <c r="AB20" s="574" t="n">
        <f aca="false">SUM(F20:AA20)</f>
        <v>413848.912320226</v>
      </c>
      <c r="AD20" s="175" t="n">
        <f aca="false">AD19+1</f>
        <v>14</v>
      </c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</row>
    <row r="21" customFormat="false" ht="12.75" hidden="false" customHeight="false" outlineLevel="0" collapsed="false">
      <c r="A21" s="65" t="s">
        <v>1070</v>
      </c>
      <c r="F21" s="220" t="n">
        <f aca="false">CF!D73</f>
        <v>0</v>
      </c>
      <c r="G21" s="220" t="n">
        <f aca="false">CF!E73</f>
        <v>-1978.50807527969</v>
      </c>
      <c r="H21" s="220" t="n">
        <f aca="false">CF!F73</f>
        <v>3358.33879983726</v>
      </c>
      <c r="I21" s="220" t="n">
        <f aca="false">CF!G73</f>
        <v>15292.0993027562</v>
      </c>
      <c r="J21" s="220" t="n">
        <f aca="false">CF!H73</f>
        <v>1764.3222505153</v>
      </c>
      <c r="K21" s="220" t="n">
        <f aca="false">CF!I73</f>
        <v>4601.47099777068</v>
      </c>
      <c r="L21" s="220" t="n">
        <f aca="false">CF!J73</f>
        <v>-7557.49672423914</v>
      </c>
      <c r="M21" s="220" t="n">
        <f aca="false">CF!K73</f>
        <v>6357.27753413531</v>
      </c>
      <c r="N21" s="220" t="n">
        <f aca="false">CF!L73</f>
        <v>6443.3542858561</v>
      </c>
      <c r="O21" s="220" t="n">
        <f aca="false">CF!M73</f>
        <v>4095.96766802922</v>
      </c>
      <c r="P21" s="220" t="n">
        <f aca="false">CF!N73</f>
        <v>3425.97967064638</v>
      </c>
      <c r="Q21" s="220" t="n">
        <f aca="false">CF!O73</f>
        <v>5070.02986378769</v>
      </c>
      <c r="R21" s="220" t="n">
        <f aca="false">CF!P73</f>
        <v>4857.67059555993</v>
      </c>
      <c r="S21" s="220" t="n">
        <f aca="false">CF!Q73</f>
        <v>258.72554965051</v>
      </c>
      <c r="T21" s="220" t="n">
        <f aca="false">CF!R73</f>
        <v>292.554401333659</v>
      </c>
      <c r="U21" s="220" t="n">
        <f aca="false">CF!S73</f>
        <v>14311.9883472707</v>
      </c>
      <c r="V21" s="220" t="n">
        <f aca="false">CF!T73</f>
        <v>5809.76834035051</v>
      </c>
      <c r="W21" s="220" t="n">
        <f aca="false">CF!U73</f>
        <v>-1989.41297351263</v>
      </c>
      <c r="X21" s="220" t="n">
        <f aca="false">CF!V73</f>
        <v>6085.65046383107</v>
      </c>
      <c r="Y21" s="220" t="n">
        <f aca="false">CF!W73</f>
        <v>4689.91363850864</v>
      </c>
      <c r="Z21" s="220" t="n">
        <f aca="false">CF!X73</f>
        <v>6224.60529260744</v>
      </c>
      <c r="AA21" s="220" t="n">
        <f aca="false">CF!Y73</f>
        <v>7602.44622089096</v>
      </c>
      <c r="AB21" s="576" t="n">
        <f aca="false">SUM(F21:AA21)</f>
        <v>89016.7454503061</v>
      </c>
      <c r="AD21" s="175" t="n">
        <f aca="false">AD20+1</f>
        <v>15</v>
      </c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</row>
    <row r="22" customFormat="false" ht="12.75" hidden="false" customHeight="false" outlineLevel="0" collapsed="false">
      <c r="A22" s="65" t="s">
        <v>1071</v>
      </c>
      <c r="F22" s="217" t="n">
        <f aca="false">SUM(F19:F21)</f>
        <v>0</v>
      </c>
      <c r="G22" s="217" t="n">
        <f aca="false">SUM(G19:G21)</f>
        <v>-1978.50807527969</v>
      </c>
      <c r="H22" s="217" t="n">
        <f aca="false">SUM(H19:H21)</f>
        <v>1379.83072455757</v>
      </c>
      <c r="I22" s="217" t="n">
        <f aca="false">SUM(I19:I21)</f>
        <v>16671.9300273138</v>
      </c>
      <c r="J22" s="217" t="n">
        <f aca="false">SUM(J19:J21)</f>
        <v>18436.2522778291</v>
      </c>
      <c r="K22" s="217" t="n">
        <f aca="false">SUM(K19:K21)</f>
        <v>23037.7232755998</v>
      </c>
      <c r="L22" s="217" t="n">
        <f aca="false">SUM(L19:L21)</f>
        <v>15480.2265513606</v>
      </c>
      <c r="M22" s="217" t="n">
        <f aca="false">SUM(M19:M21)</f>
        <v>21837.5040854959</v>
      </c>
      <c r="N22" s="217" t="n">
        <f aca="false">SUM(N19:N21)</f>
        <v>28280.858371352</v>
      </c>
      <c r="O22" s="217" t="n">
        <f aca="false">SUM(O19:O21)</f>
        <v>32376.8260393813</v>
      </c>
      <c r="P22" s="217" t="n">
        <f aca="false">SUM(P19:P21)</f>
        <v>33505.746837666</v>
      </c>
      <c r="Q22" s="217" t="n">
        <f aca="false">SUM(Q19:Q21)</f>
        <v>32630.9803449231</v>
      </c>
      <c r="R22" s="217" t="n">
        <f aca="false">SUM(R19:R21)</f>
        <v>31273.2388722793</v>
      </c>
      <c r="S22" s="217" t="n">
        <f aca="false">SUM(S19:S21)</f>
        <v>24378.0499515905</v>
      </c>
      <c r="T22" s="217" t="n">
        <f aca="false">SUM(T19:T21)</f>
        <v>16897.9813979252</v>
      </c>
      <c r="U22" s="217" t="n">
        <f aca="false">SUM(U19:U21)</f>
        <v>25699.0816773639</v>
      </c>
      <c r="V22" s="217" t="n">
        <f aca="false">SUM(V19:V21)</f>
        <v>24415.5875529522</v>
      </c>
      <c r="W22" s="217" t="n">
        <f aca="false">SUM(W19:W21)</f>
        <v>20015.669656253</v>
      </c>
      <c r="X22" s="217" t="n">
        <f aca="false">SUM(X19:X21)</f>
        <v>26101.3201200841</v>
      </c>
      <c r="Y22" s="217" t="n">
        <f aca="false">SUM(Y19:Y21)</f>
        <v>30791.2337585927</v>
      </c>
      <c r="Z22" s="217" t="n">
        <f aca="false">SUM(Z19:Z21)</f>
        <v>37015.8390512002</v>
      </c>
      <c r="AA22" s="217" t="n">
        <f aca="false">SUM(AA19:AA21)</f>
        <v>44618.2852720911</v>
      </c>
      <c r="AB22" s="574" t="n">
        <f aca="false">SUM(AB19:AB21)</f>
        <v>502865.657770532</v>
      </c>
      <c r="AD22" s="175" t="n">
        <f aca="false">AD21+1</f>
        <v>16</v>
      </c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</row>
    <row r="23" customFormat="false" ht="12.75" hidden="false" customHeight="false" outlineLevel="0" collapsed="false">
      <c r="A23" s="65" t="s">
        <v>1066</v>
      </c>
      <c r="F23" s="217" t="n">
        <f aca="false">IF(OR(F14&lt;0,F22&lt;0),0,-MIN(F14,F22))</f>
        <v>-0</v>
      </c>
      <c r="G23" s="217" t="n">
        <f aca="false">IF(OR(G14&lt;0,G22&lt;0),0,-MIN(G14,G22))</f>
        <v>0</v>
      </c>
      <c r="H23" s="217" t="n">
        <f aca="false">IF(OR(H14&lt;0,H22&lt;0),0,-MIN(H14,H22))</f>
        <v>0</v>
      </c>
      <c r="I23" s="217" t="n">
        <f aca="false">IF(OR(I14&lt;0,I22&lt;0),0,-MIN(I14,I22))</f>
        <v>0</v>
      </c>
      <c r="J23" s="217" t="n">
        <f aca="false">IF(OR(J14&lt;0,J22&lt;0),0,-MIN(J14,J22))</f>
        <v>0</v>
      </c>
      <c r="K23" s="217" t="n">
        <f aca="false">IF(OR(K14&lt;0,K22&lt;0),0,-MIN(K14,K22))</f>
        <v>0</v>
      </c>
      <c r="L23" s="217" t="n">
        <f aca="false">IF(OR(L14&lt;0,L22&lt;0),0,-MIN(L14,L22))</f>
        <v>0</v>
      </c>
      <c r="M23" s="217" t="n">
        <f aca="false">IF(OR(M14&lt;0,M22&lt;0),0,-MIN(M14,M22))</f>
        <v>0</v>
      </c>
      <c r="N23" s="217" t="n">
        <f aca="false">IF(OR(N14&lt;0,N22&lt;0),0,-MIN(N14,N22))</f>
        <v>0</v>
      </c>
      <c r="O23" s="217" t="n">
        <f aca="false">IF(OR(O14&lt;0,O22&lt;0),0,-MIN(O14,O22))</f>
        <v>-2297.05887236159</v>
      </c>
      <c r="P23" s="217" t="n">
        <f aca="false">IF(OR(P14&lt;0,P22&lt;0),0,-MIN(P14,P22))</f>
        <v>-5944.79635653065</v>
      </c>
      <c r="Q23" s="217" t="n">
        <f aca="false">IF(OR(Q14&lt;0,Q22&lt;0),0,-MIN(Q14,Q22))</f>
        <v>-6215.41206820371</v>
      </c>
      <c r="R23" s="217" t="n">
        <f aca="false">IF(OR(R14&lt;0,R22&lt;0),0,-MIN(R14,R22))</f>
        <v>-7153.91447033937</v>
      </c>
      <c r="S23" s="217" t="n">
        <f aca="false">IF(OR(S14&lt;0,S22&lt;0),0,-MIN(S14,S22))</f>
        <v>-7772.62295499896</v>
      </c>
      <c r="T23" s="217" t="n">
        <f aca="false">IF(OR(T14&lt;0,T22&lt;0),0,-MIN(T14,T22))</f>
        <v>-5510.88806783188</v>
      </c>
      <c r="U23" s="217" t="n">
        <f aca="false">IF(OR(U14&lt;0,U22&lt;0),0,-MIN(U14,U22))</f>
        <v>-7093.26246476228</v>
      </c>
      <c r="V23" s="217" t="n">
        <f aca="false">IF(OR(V14&lt;0,V22&lt;0),0,-MIN(V14,V22))</f>
        <v>-2410.50492318655</v>
      </c>
      <c r="W23" s="217" t="n">
        <f aca="false">IF(OR(W14&lt;0,W22&lt;0),0,-MIN(W14,W22))</f>
        <v>0</v>
      </c>
      <c r="X23" s="217" t="n">
        <f aca="false">IF(OR(X14&lt;0,X22&lt;0),0,-MIN(X14,X22))</f>
        <v>0</v>
      </c>
      <c r="Y23" s="217" t="n">
        <f aca="false">IF(OR(Y14&lt;0,Y22&lt;0),0,-MIN(Y14,Y22))</f>
        <v>0</v>
      </c>
      <c r="Z23" s="217" t="n">
        <f aca="false">IF(OR(Z14&lt;0,Z22&lt;0),0,-MIN(Z14,Z22))</f>
        <v>0</v>
      </c>
      <c r="AA23" s="217" t="n">
        <f aca="false">IF(OR(AA14&lt;0,AA22&lt;0),0,-MIN(AA14,AA22))</f>
        <v>0</v>
      </c>
      <c r="AB23" s="574" t="n">
        <f aca="false">SUM(F23:AA23)</f>
        <v>-44398.460178215</v>
      </c>
      <c r="AD23" s="175" t="n">
        <f aca="false">AD22+1</f>
        <v>17</v>
      </c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</row>
    <row r="24" customFormat="false" ht="12.75" hidden="false" customHeight="false" outlineLevel="0" collapsed="false">
      <c r="A24" s="65" t="s">
        <v>1072</v>
      </c>
      <c r="F24" s="217" t="n">
        <f aca="false">IF(F$7=YEAR(Endyr),-SUM(F22:F23)*Assm!$L$66,-SUM(F22:F23)*Assm!$L$64)</f>
        <v>-0</v>
      </c>
      <c r="G24" s="217" t="n">
        <f aca="false">IF(G$7=YEAR(Endyr),-SUM(G22:G23)*Assm!$L$66,-SUM(G22:G23)*Assm!$L$64)</f>
        <v>0</v>
      </c>
      <c r="H24" s="217" t="n">
        <f aca="false">IF(H$7=YEAR(Endyr),-SUM(H22:H23)*Assm!$L$66,-SUM(H22:H23)*Assm!$L$64)</f>
        <v>-0</v>
      </c>
      <c r="I24" s="217" t="n">
        <f aca="false">IF(I$7=YEAR(Endyr),-SUM(I22:I23)*Assm!$L$66,-SUM(I22:I23)*Assm!$L$64)</f>
        <v>-0</v>
      </c>
      <c r="J24" s="217" t="n">
        <f aca="false">IF(J$7=YEAR(Endyr),-SUM(J22:J23)*Assm!$L$66,-SUM(J22:J23)*Assm!$L$64)</f>
        <v>-0</v>
      </c>
      <c r="K24" s="217" t="n">
        <f aca="false">IF(K$7=YEAR(Endyr),-SUM(K22:K23)*Assm!$L$66,-SUM(K22:K23)*Assm!$L$64)</f>
        <v>-0</v>
      </c>
      <c r="L24" s="217" t="n">
        <f aca="false">IF(L$7=YEAR(Endyr),-SUM(L22:L23)*Assm!$L$66,-SUM(L22:L23)*Assm!$L$64)</f>
        <v>-0</v>
      </c>
      <c r="M24" s="217" t="n">
        <f aca="false">IF(M$7=YEAR(Endyr),-SUM(M22:M23)*Assm!$L$66,-SUM(M22:M23)*Assm!$L$64)</f>
        <v>-0</v>
      </c>
      <c r="N24" s="217" t="n">
        <f aca="false">IF(N$7=YEAR(Endyr),-SUM(N22:N23)*Assm!$L$66,-SUM(N22:N23)*Assm!$L$64)</f>
        <v>-0</v>
      </c>
      <c r="O24" s="217" t="n">
        <f aca="false">IF(O$7=YEAR(Endyr),-SUM(O22:O23)*Assm!$L$66,-SUM(O22:O23)*Assm!$L$64)</f>
        <v>-0</v>
      </c>
      <c r="P24" s="217" t="n">
        <f aca="false">IF(P$7=YEAR(Endyr),-SUM(P22:P23)*Assm!$L$66,-SUM(P22:P23)*Assm!$L$64)</f>
        <v>-0</v>
      </c>
      <c r="Q24" s="217" t="n">
        <f aca="false">IF(Q$7=YEAR(Endyr),-SUM(Q22:Q23)*Assm!$L$66,-SUM(Q22:Q23)*Assm!$L$64)</f>
        <v>-0</v>
      </c>
      <c r="R24" s="217" t="n">
        <f aca="false">IF(R$7=YEAR(Endyr),-SUM(R22:R23)*Assm!$L$66,-SUM(R22:R23)*Assm!$L$64)</f>
        <v>-0</v>
      </c>
      <c r="S24" s="217" t="n">
        <f aca="false">IF(S$7=YEAR(Endyr),-SUM(S22:S23)*Assm!$L$66,-SUM(S22:S23)*Assm!$L$64)</f>
        <v>-0</v>
      </c>
      <c r="T24" s="217" t="n">
        <f aca="false">IF(T$7=YEAR(Endyr),-SUM(T22:T23)*Assm!$L$66,-SUM(T22:T23)*Assm!$L$64)</f>
        <v>-0</v>
      </c>
      <c r="U24" s="217" t="n">
        <f aca="false">IF(U$7=YEAR(Endyr),-SUM(U22:U23)*Assm!$L$66,-SUM(U22:U23)*Assm!$L$64)</f>
        <v>-0</v>
      </c>
      <c r="V24" s="217" t="n">
        <f aca="false">IF(V$7=YEAR(Endyr),-SUM(V22:V23)*Assm!$L$66,-SUM(V22:V23)*Assm!$L$64)</f>
        <v>-0</v>
      </c>
      <c r="W24" s="217" t="n">
        <f aca="false">IF(W$7=YEAR(Endyr),-SUM(W22:W23)*Assm!$L$66,-SUM(W22:W23)*Assm!$L$64)</f>
        <v>-0</v>
      </c>
      <c r="X24" s="217" t="n">
        <f aca="false">IF(X$7=YEAR(Endyr),-SUM(X22:X23)*Assm!$L$66,-SUM(X22:X23)*Assm!$L$64)</f>
        <v>-0</v>
      </c>
      <c r="Y24" s="217" t="n">
        <f aca="false">IF(Y$7=YEAR(Endyr),-SUM(Y22:Y23)*Assm!$L$66,-SUM(Y22:Y23)*Assm!$L$64)</f>
        <v>-0</v>
      </c>
      <c r="Z24" s="217" t="n">
        <f aca="false">IF(Z$7=YEAR(Endyr),-SUM(Z22:Z23)*Assm!$L$66,-SUM(Z22:Z23)*Assm!$L$64)</f>
        <v>-0</v>
      </c>
      <c r="AA24" s="217" t="n">
        <f aca="false">IF(AA$7=YEAR(Endyr),-SUM(AA22:AA23)*Assm!$L$66,-SUM(AA22:AA23)*Assm!$L$64)</f>
        <v>-44618.2852720911</v>
      </c>
      <c r="AB24" s="574" t="n">
        <f aca="false">SUM(F24:AA24)</f>
        <v>-44618.2852720911</v>
      </c>
      <c r="AD24" s="175" t="n">
        <f aca="false">AD23+1</f>
        <v>18</v>
      </c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</row>
    <row r="25" customFormat="false" ht="12.75" hidden="false" customHeight="false" outlineLevel="0" collapsed="false">
      <c r="A25" s="65" t="s">
        <v>1073</v>
      </c>
      <c r="F25" s="220" t="n">
        <f aca="false">-SUM(F22:F24)*Assm!$L$65</f>
        <v>-0</v>
      </c>
      <c r="G25" s="220" t="n">
        <f aca="false">-SUM(G22:G24)*Assm!$L$65</f>
        <v>1978.50807527969</v>
      </c>
      <c r="H25" s="220" t="n">
        <f aca="false">-SUM(H22:H24)*Assm!$L$65</f>
        <v>-1379.83072455757</v>
      </c>
      <c r="I25" s="220" t="n">
        <f aca="false">-SUM(I22:I24)*Assm!$L$65</f>
        <v>-16671.9300273138</v>
      </c>
      <c r="J25" s="220" t="n">
        <f aca="false">-SUM(J22:J24)*Assm!$L$65</f>
        <v>-18436.2522778291</v>
      </c>
      <c r="K25" s="220" t="n">
        <f aca="false">-SUM(K22:K24)*Assm!$L$65</f>
        <v>-23037.7232755998</v>
      </c>
      <c r="L25" s="220" t="n">
        <f aca="false">-SUM(L22:L24)*Assm!$L$65</f>
        <v>-15480.2265513606</v>
      </c>
      <c r="M25" s="220" t="n">
        <f aca="false">-SUM(M22:M24)*Assm!$L$65</f>
        <v>-21837.5040854959</v>
      </c>
      <c r="N25" s="220" t="n">
        <f aca="false">-SUM(N22:N24)*Assm!$L$65</f>
        <v>-28280.858371352</v>
      </c>
      <c r="O25" s="220" t="n">
        <f aca="false">-SUM(O22:O24)*Assm!$L$65</f>
        <v>-30079.7671670197</v>
      </c>
      <c r="P25" s="220" t="n">
        <f aca="false">-SUM(P22:P24)*Assm!$L$65</f>
        <v>-27560.9504811354</v>
      </c>
      <c r="Q25" s="220" t="n">
        <f aca="false">-SUM(Q22:Q24)*Assm!$L$65</f>
        <v>-26415.5682767194</v>
      </c>
      <c r="R25" s="220" t="n">
        <f aca="false">-SUM(R22:R24)*Assm!$L$65</f>
        <v>-24119.3244019399</v>
      </c>
      <c r="S25" s="220" t="n">
        <f aca="false">-SUM(S22:S24)*Assm!$L$65</f>
        <v>-16605.4269965915</v>
      </c>
      <c r="T25" s="220" t="n">
        <f aca="false">-SUM(T22:T24)*Assm!$L$65</f>
        <v>-11387.0933300933</v>
      </c>
      <c r="U25" s="220" t="n">
        <f aca="false">-SUM(U22:U24)*Assm!$L$65</f>
        <v>-18605.8192126017</v>
      </c>
      <c r="V25" s="220" t="n">
        <f aca="false">-SUM(V22:V24)*Assm!$L$65</f>
        <v>-22005.0826297656</v>
      </c>
      <c r="W25" s="220" t="n">
        <f aca="false">-SUM(W22:W24)*Assm!$L$65</f>
        <v>-20015.669656253</v>
      </c>
      <c r="X25" s="220" t="n">
        <f aca="false">-SUM(X22:X24)*Assm!$L$65</f>
        <v>-26101.3201200841</v>
      </c>
      <c r="Y25" s="220" t="n">
        <f aca="false">-SUM(Y22:Y24)*Assm!$L$65</f>
        <v>-30791.2337585927</v>
      </c>
      <c r="Z25" s="220" t="n">
        <f aca="false">-SUM(Z22:Z24)*Assm!$L$65</f>
        <v>-37015.8390512002</v>
      </c>
      <c r="AA25" s="220" t="n">
        <f aca="false">-SUM(AA22:AA24)*Assm!$L$65</f>
        <v>-0</v>
      </c>
      <c r="AB25" s="576" t="n">
        <f aca="false">SUM(F25:AA25)</f>
        <v>-413848.912320226</v>
      </c>
      <c r="AD25" s="175" t="n">
        <f aca="false">AD24+1</f>
        <v>19</v>
      </c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</row>
    <row r="26" customFormat="false" ht="12.75" hidden="false" customHeight="false" outlineLevel="0" collapsed="false">
      <c r="A26" s="65" t="s">
        <v>1067</v>
      </c>
      <c r="F26" s="217" t="n">
        <f aca="false">SUM(F22:F25)</f>
        <v>0</v>
      </c>
      <c r="G26" s="217" t="n">
        <f aca="false">SUM(G22:G25)</f>
        <v>0</v>
      </c>
      <c r="H26" s="217" t="n">
        <f aca="false">SUM(H22:H25)</f>
        <v>0</v>
      </c>
      <c r="I26" s="217" t="n">
        <f aca="false">SUM(I22:I25)</f>
        <v>0</v>
      </c>
      <c r="J26" s="217" t="n">
        <f aca="false">SUM(J22:J25)</f>
        <v>0</v>
      </c>
      <c r="K26" s="217" t="n">
        <f aca="false">SUM(K22:K25)</f>
        <v>0</v>
      </c>
      <c r="L26" s="217" t="n">
        <f aca="false">SUM(L22:L25)</f>
        <v>0</v>
      </c>
      <c r="M26" s="217" t="n">
        <f aca="false">SUM(M22:M25)</f>
        <v>0</v>
      </c>
      <c r="N26" s="217" t="n">
        <f aca="false">SUM(N22:N25)</f>
        <v>0</v>
      </c>
      <c r="O26" s="217" t="n">
        <f aca="false">SUM(O22:O25)</f>
        <v>0</v>
      </c>
      <c r="P26" s="217" t="n">
        <f aca="false">SUM(P22:P25)</f>
        <v>0</v>
      </c>
      <c r="Q26" s="217" t="n">
        <f aca="false">SUM(Q22:Q25)</f>
        <v>0</v>
      </c>
      <c r="R26" s="217" t="n">
        <f aca="false">SUM(R22:R25)</f>
        <v>0</v>
      </c>
      <c r="S26" s="217" t="n">
        <f aca="false">SUM(S22:S25)</f>
        <v>0</v>
      </c>
      <c r="T26" s="217" t="n">
        <f aca="false">SUM(T22:T25)</f>
        <v>0</v>
      </c>
      <c r="U26" s="217" t="n">
        <f aca="false">SUM(U22:U25)</f>
        <v>0</v>
      </c>
      <c r="V26" s="217" t="n">
        <f aca="false">SUM(V22:V25)</f>
        <v>0</v>
      </c>
      <c r="W26" s="217" t="n">
        <f aca="false">SUM(W22:W25)</f>
        <v>0</v>
      </c>
      <c r="X26" s="217" t="n">
        <f aca="false">SUM(X22:X25)</f>
        <v>0</v>
      </c>
      <c r="Y26" s="217" t="n">
        <f aca="false">SUM(Y22:Y25)</f>
        <v>0</v>
      </c>
      <c r="Z26" s="217" t="n">
        <f aca="false">SUM(Z22:Z25)</f>
        <v>0</v>
      </c>
      <c r="AA26" s="217" t="n">
        <f aca="false">SUM(AA22:AA25)</f>
        <v>0</v>
      </c>
      <c r="AB26" s="574" t="n">
        <f aca="false">SUM(AB22:AB25)</f>
        <v>0</v>
      </c>
      <c r="AD26" s="175" t="n">
        <f aca="false">AD25+1</f>
        <v>20</v>
      </c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</row>
    <row r="27" customFormat="false" ht="12.75" hidden="false" customHeight="false" outlineLevel="0" collapsed="false">
      <c r="A27" s="37"/>
      <c r="AB27" s="555"/>
      <c r="AD27" s="175" t="n">
        <f aca="false">AD26+1</f>
        <v>21</v>
      </c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</row>
    <row r="28" customFormat="false" ht="12.75" hidden="false" customHeight="false" outlineLevel="0" collapsed="false">
      <c r="A28" s="755" t="s">
        <v>1074</v>
      </c>
      <c r="B28" s="756"/>
      <c r="C28" s="756"/>
      <c r="D28" s="756"/>
      <c r="E28" s="756"/>
      <c r="F28" s="785" t="n">
        <v>0</v>
      </c>
      <c r="G28" s="786" t="n">
        <f aca="false">F31</f>
        <v>0</v>
      </c>
      <c r="H28" s="786" t="n">
        <f aca="false">G31</f>
        <v>-1978.50807527969</v>
      </c>
      <c r="I28" s="786" t="n">
        <f aca="false">H31</f>
        <v>1379.83072455757</v>
      </c>
      <c r="J28" s="786" t="n">
        <f aca="false">I31</f>
        <v>16671.9300273138</v>
      </c>
      <c r="K28" s="786" t="n">
        <f aca="false">J31</f>
        <v>18436.2522778291</v>
      </c>
      <c r="L28" s="786" t="n">
        <f aca="false">K31</f>
        <v>23037.7232755998</v>
      </c>
      <c r="M28" s="786" t="n">
        <f aca="false">L31</f>
        <v>15480.2265513606</v>
      </c>
      <c r="N28" s="786" t="n">
        <f aca="false">M31</f>
        <v>21837.5040854959</v>
      </c>
      <c r="O28" s="786" t="n">
        <f aca="false">N31</f>
        <v>28280.858371352</v>
      </c>
      <c r="P28" s="786" t="n">
        <f aca="false">O31</f>
        <v>30079.7671670197</v>
      </c>
      <c r="Q28" s="786" t="n">
        <f aca="false">P31</f>
        <v>27560.9504811354</v>
      </c>
      <c r="R28" s="786" t="n">
        <f aca="false">Q31</f>
        <v>26415.5682767194</v>
      </c>
      <c r="S28" s="786" t="n">
        <f aca="false">R31</f>
        <v>24119.3244019399</v>
      </c>
      <c r="T28" s="786" t="n">
        <f aca="false">S31</f>
        <v>16605.4269965915</v>
      </c>
      <c r="U28" s="786" t="n">
        <f aca="false">T31</f>
        <v>11387.0933300933</v>
      </c>
      <c r="V28" s="786" t="n">
        <f aca="false">U31</f>
        <v>18605.8192126017</v>
      </c>
      <c r="W28" s="786" t="n">
        <f aca="false">V31</f>
        <v>22005.0826297656</v>
      </c>
      <c r="X28" s="786" t="n">
        <f aca="false">W31</f>
        <v>20015.669656253</v>
      </c>
      <c r="Y28" s="786" t="n">
        <f aca="false">X31</f>
        <v>26101.3201200841</v>
      </c>
      <c r="Z28" s="786" t="n">
        <f aca="false">Y31</f>
        <v>30791.2337585927</v>
      </c>
      <c r="AA28" s="786" t="n">
        <f aca="false">Z31</f>
        <v>37015.8390512002</v>
      </c>
      <c r="AB28" s="787" t="n">
        <f aca="false">F28</f>
        <v>0</v>
      </c>
      <c r="AD28" s="175" t="n">
        <f aca="false">AD27+1</f>
        <v>22</v>
      </c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</row>
    <row r="29" customFormat="false" ht="12.75" hidden="false" customHeight="false" outlineLevel="0" collapsed="false">
      <c r="A29" s="594" t="s">
        <v>1075</v>
      </c>
      <c r="B29" s="595"/>
      <c r="C29" s="595"/>
      <c r="D29" s="595"/>
      <c r="E29" s="595"/>
      <c r="F29" s="788" t="n">
        <f aca="false">IF(-F25+E25&gt;0,-F25+E25,0)</f>
        <v>0</v>
      </c>
      <c r="G29" s="788" t="n">
        <f aca="false">IF(-G25+F25&gt;0,-G25+F25,0)</f>
        <v>0</v>
      </c>
      <c r="H29" s="788" t="n">
        <f aca="false">IF(-H25+G25&gt;0,-H25+G25,0)</f>
        <v>3358.33879983726</v>
      </c>
      <c r="I29" s="788" t="n">
        <f aca="false">IF(-I25+H25&gt;0,-I25+H25,0)</f>
        <v>15292.0993027562</v>
      </c>
      <c r="J29" s="788" t="n">
        <f aca="false">IF(-J25+I25&gt;0,-J25+I25,0)</f>
        <v>1764.3222505153</v>
      </c>
      <c r="K29" s="788" t="n">
        <f aca="false">IF(-K25+J25&gt;0,-K25+J25,0)</f>
        <v>4601.47099777068</v>
      </c>
      <c r="L29" s="788" t="n">
        <f aca="false">IF(-L25+K25&gt;0,-L25+K25,0)</f>
        <v>0</v>
      </c>
      <c r="M29" s="788" t="n">
        <f aca="false">IF(-M25+L25&gt;0,-M25+L25,0)</f>
        <v>6357.2775341353</v>
      </c>
      <c r="N29" s="788" t="n">
        <f aca="false">IF(-N25+M25&gt;0,-N25+M25,0)</f>
        <v>6443.35428585609</v>
      </c>
      <c r="O29" s="788" t="n">
        <f aca="false">IF(-O25+N25&gt;0,-O25+N25,0)</f>
        <v>1798.90879566763</v>
      </c>
      <c r="P29" s="788" t="n">
        <f aca="false">IF(-P25+O25&gt;0,-P25+O25,0)</f>
        <v>0</v>
      </c>
      <c r="Q29" s="788" t="n">
        <f aca="false">IF(-Q25+P25&gt;0,-Q25+P25,0)</f>
        <v>0</v>
      </c>
      <c r="R29" s="788" t="n">
        <f aca="false">IF(-R25+Q25&gt;0,-R25+Q25,0)</f>
        <v>0</v>
      </c>
      <c r="S29" s="788" t="n">
        <f aca="false">IF(-S25+R25&gt;0,-S25+R25,0)</f>
        <v>0</v>
      </c>
      <c r="T29" s="788" t="n">
        <f aca="false">IF(-T25+S25&gt;0,-T25+S25,0)</f>
        <v>0</v>
      </c>
      <c r="U29" s="788" t="n">
        <f aca="false">IF(-U25+T25&gt;0,-U25+T25,0)</f>
        <v>7218.72588250839</v>
      </c>
      <c r="V29" s="788" t="n">
        <f aca="false">IF(-V25+U25&gt;0,-V25+U25,0)</f>
        <v>3399.26341716396</v>
      </c>
      <c r="W29" s="788" t="n">
        <f aca="false">IF(-W25+V25&gt;0,-W25+V25,0)</f>
        <v>0</v>
      </c>
      <c r="X29" s="788" t="n">
        <f aca="false">IF(-X25+W25&gt;0,-X25+W25,0)</f>
        <v>6085.65046383107</v>
      </c>
      <c r="Y29" s="788" t="n">
        <f aca="false">IF(-Y25+X25&gt;0,-Y25+X25,0)</f>
        <v>4689.91363850864</v>
      </c>
      <c r="Z29" s="788" t="n">
        <f aca="false">IF(-Z25+Y25&gt;0,-Z25+Y25,0)</f>
        <v>6224.60529260744</v>
      </c>
      <c r="AA29" s="788" t="n">
        <f aca="false">IF(-AA25+Z25&gt;0,-AA25+Z25,0)</f>
        <v>0</v>
      </c>
      <c r="AB29" s="789" t="n">
        <f aca="false">SUM(F29:AA29)</f>
        <v>67233.930661158</v>
      </c>
      <c r="AD29" s="175" t="n">
        <f aca="false">AD28+1</f>
        <v>23</v>
      </c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</row>
    <row r="30" customFormat="false" ht="12.75" hidden="false" customHeight="false" outlineLevel="0" collapsed="false">
      <c r="A30" s="594" t="s">
        <v>1076</v>
      </c>
      <c r="B30" s="595"/>
      <c r="C30" s="595"/>
      <c r="D30" s="595"/>
      <c r="E30" s="595"/>
      <c r="F30" s="790" t="n">
        <f aca="false">IF(-F25+E25&lt;0,-F25+E25,0)</f>
        <v>0</v>
      </c>
      <c r="G30" s="790" t="n">
        <f aca="false">IF(-G25+F25&lt;0,-G25+F25,0)</f>
        <v>-1978.50807527969</v>
      </c>
      <c r="H30" s="790" t="n">
        <f aca="false">IF(-H25+G25&lt;0,-H25+G25,0)</f>
        <v>0</v>
      </c>
      <c r="I30" s="790" t="n">
        <f aca="false">IF(-I25+H25&lt;0,-I25+H25,0)</f>
        <v>0</v>
      </c>
      <c r="J30" s="790" t="n">
        <f aca="false">IF(-J25+I25&lt;0,-J25+I25,0)</f>
        <v>0</v>
      </c>
      <c r="K30" s="790" t="n">
        <f aca="false">IF(-K25+J25&lt;0,-K25+J25,0)</f>
        <v>0</v>
      </c>
      <c r="L30" s="790" t="n">
        <f aca="false">IF(-L25+K25&lt;0,-L25+K25,0)</f>
        <v>-7557.49672423914</v>
      </c>
      <c r="M30" s="790" t="n">
        <f aca="false">IF(-M25+L25&lt;0,-M25+L25,0)</f>
        <v>0</v>
      </c>
      <c r="N30" s="790" t="n">
        <f aca="false">IF(-N25+M25&lt;0,-N25+M25,0)</f>
        <v>0</v>
      </c>
      <c r="O30" s="790" t="n">
        <f aca="false">IF(-O25+N25&lt;0,-O25+N25,0)</f>
        <v>0</v>
      </c>
      <c r="P30" s="790" t="n">
        <f aca="false">IF(-P25+O25&lt;0,-P25+O25,0)</f>
        <v>-2518.81668588427</v>
      </c>
      <c r="Q30" s="790" t="n">
        <f aca="false">IF(-Q25+P25&lt;0,-Q25+P25,0)</f>
        <v>-1145.38220441602</v>
      </c>
      <c r="R30" s="790" t="n">
        <f aca="false">IF(-R25+Q25&lt;0,-R25+Q25,0)</f>
        <v>-2296.24387477943</v>
      </c>
      <c r="S30" s="790" t="n">
        <f aca="false">IF(-S25+R25&lt;0,-S25+R25,0)</f>
        <v>-7513.89740534845</v>
      </c>
      <c r="T30" s="790" t="n">
        <f aca="false">IF(-T25+S25&lt;0,-T25+S25,0)</f>
        <v>-5218.33366649822</v>
      </c>
      <c r="U30" s="790" t="n">
        <f aca="false">IF(-U25+T25&lt;0,-U25+T25,0)</f>
        <v>0</v>
      </c>
      <c r="V30" s="790" t="n">
        <f aca="false">IF(-V25+U25&lt;0,-V25+U25,0)</f>
        <v>0</v>
      </c>
      <c r="W30" s="790" t="n">
        <f aca="false">IF(-W25+V25&lt;0,-W25+V25,0)</f>
        <v>-1989.41297351263</v>
      </c>
      <c r="X30" s="790" t="n">
        <f aca="false">IF(-X25+W25&lt;0,-X25+W25,0)</f>
        <v>0</v>
      </c>
      <c r="Y30" s="790" t="n">
        <f aca="false">IF(-Y25+X25&lt;0,-Y25+X25,0)</f>
        <v>0</v>
      </c>
      <c r="Z30" s="790" t="n">
        <f aca="false">IF(-Z25+Y25&lt;0,-Z25+Y25,0)</f>
        <v>0</v>
      </c>
      <c r="AA30" s="790" t="n">
        <f aca="false">IF(-AA25+Z25&lt;0,-AA25+Z25,0)</f>
        <v>-37015.8390512002</v>
      </c>
      <c r="AB30" s="791" t="n">
        <f aca="false">SUM(F30:AA30)</f>
        <v>-67233.930661158</v>
      </c>
      <c r="AD30" s="175" t="n">
        <f aca="false">AD29+1</f>
        <v>24</v>
      </c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</row>
    <row r="31" customFormat="false" ht="12.75" hidden="false" customHeight="false" outlineLevel="0" collapsed="false">
      <c r="A31" s="601" t="s">
        <v>1077</v>
      </c>
      <c r="B31" s="602"/>
      <c r="C31" s="602"/>
      <c r="D31" s="602"/>
      <c r="E31" s="602"/>
      <c r="F31" s="792" t="n">
        <f aca="false">SUM(F28:F30)</f>
        <v>0</v>
      </c>
      <c r="G31" s="792" t="n">
        <f aca="false">SUM(G28:G30)</f>
        <v>-1978.50807527969</v>
      </c>
      <c r="H31" s="792" t="n">
        <f aca="false">SUM(H28:H30)</f>
        <v>1379.83072455757</v>
      </c>
      <c r="I31" s="792" t="n">
        <f aca="false">SUM(I28:I30)</f>
        <v>16671.9300273138</v>
      </c>
      <c r="J31" s="792" t="n">
        <f aca="false">SUM(J28:J30)</f>
        <v>18436.2522778291</v>
      </c>
      <c r="K31" s="792" t="n">
        <f aca="false">SUM(K28:K30)</f>
        <v>23037.7232755998</v>
      </c>
      <c r="L31" s="792" t="n">
        <f aca="false">SUM(L28:L30)</f>
        <v>15480.2265513606</v>
      </c>
      <c r="M31" s="792" t="n">
        <f aca="false">SUM(M28:M30)</f>
        <v>21837.5040854959</v>
      </c>
      <c r="N31" s="792" t="n">
        <f aca="false">SUM(N28:N30)</f>
        <v>28280.858371352</v>
      </c>
      <c r="O31" s="792" t="n">
        <f aca="false">SUM(O28:O30)</f>
        <v>30079.7671670197</v>
      </c>
      <c r="P31" s="792" t="n">
        <f aca="false">SUM(P28:P30)</f>
        <v>27560.9504811354</v>
      </c>
      <c r="Q31" s="792" t="n">
        <f aca="false">SUM(Q28:Q30)</f>
        <v>26415.5682767194</v>
      </c>
      <c r="R31" s="792" t="n">
        <f aca="false">SUM(R28:R30)</f>
        <v>24119.3244019399</v>
      </c>
      <c r="S31" s="792" t="n">
        <f aca="false">SUM(S28:S30)</f>
        <v>16605.4269965915</v>
      </c>
      <c r="T31" s="792" t="n">
        <f aca="false">SUM(T28:T30)</f>
        <v>11387.0933300933</v>
      </c>
      <c r="U31" s="792" t="n">
        <f aca="false">SUM(U28:U30)</f>
        <v>18605.8192126017</v>
      </c>
      <c r="V31" s="792" t="n">
        <f aca="false">SUM(V28:V30)</f>
        <v>22005.0826297656</v>
      </c>
      <c r="W31" s="792" t="n">
        <f aca="false">SUM(W28:W30)</f>
        <v>20015.669656253</v>
      </c>
      <c r="X31" s="792" t="n">
        <f aca="false">SUM(X28:X30)</f>
        <v>26101.3201200841</v>
      </c>
      <c r="Y31" s="792" t="n">
        <f aca="false">SUM(Y28:Y30)</f>
        <v>30791.2337585927</v>
      </c>
      <c r="Z31" s="792" t="n">
        <f aca="false">SUM(Z28:Z30)</f>
        <v>37015.8390512002</v>
      </c>
      <c r="AA31" s="792" t="n">
        <f aca="false">SUM(AA28:AA30)</f>
        <v>0</v>
      </c>
      <c r="AB31" s="793" t="n">
        <f aca="false">SUM(AB28:AB30)</f>
        <v>0</v>
      </c>
      <c r="AD31" s="175" t="n">
        <f aca="false">AD30+1</f>
        <v>25</v>
      </c>
    </row>
    <row r="32" customFormat="false" ht="12.75" hidden="false" customHeight="false" outlineLevel="0" collapsed="false">
      <c r="A32" s="37"/>
      <c r="AB32" s="555"/>
      <c r="AD32" s="175" t="n">
        <f aca="false">AD31+1</f>
        <v>26</v>
      </c>
    </row>
    <row r="33" customFormat="false" ht="12.75" hidden="false" customHeight="false" outlineLevel="0" collapsed="false">
      <c r="A33" s="55" t="s">
        <v>1078</v>
      </c>
      <c r="AB33" s="555"/>
      <c r="AD33" s="175" t="n">
        <f aca="false">AD32+1</f>
        <v>27</v>
      </c>
    </row>
    <row r="34" customFormat="false" ht="12.75" hidden="false" customHeight="false" outlineLevel="0" collapsed="false">
      <c r="A34" s="37" t="s">
        <v>1063</v>
      </c>
      <c r="F34" s="189" t="n">
        <v>0</v>
      </c>
      <c r="G34" s="217" t="n">
        <f aca="false">F37</f>
        <v>0</v>
      </c>
      <c r="H34" s="217" t="n">
        <f aca="false">G37</f>
        <v>0</v>
      </c>
      <c r="I34" s="217" t="n">
        <f aca="false">H37</f>
        <v>-1978.50807527969</v>
      </c>
      <c r="J34" s="217" t="n">
        <f aca="false">I37</f>
        <v>1379.83072455757</v>
      </c>
      <c r="K34" s="217" t="n">
        <f aca="false">J37</f>
        <v>16671.9300273138</v>
      </c>
      <c r="L34" s="217" t="n">
        <f aca="false">K37</f>
        <v>18436.2522778291</v>
      </c>
      <c r="M34" s="217" t="n">
        <f aca="false">L37</f>
        <v>23037.7232755998</v>
      </c>
      <c r="N34" s="217" t="n">
        <f aca="false">M37</f>
        <v>15480.2265513606</v>
      </c>
      <c r="O34" s="217" t="n">
        <f aca="false">N37</f>
        <v>21837.5040854959</v>
      </c>
      <c r="P34" s="217" t="n">
        <f aca="false">O37</f>
        <v>28280.858371352</v>
      </c>
      <c r="Q34" s="217" t="n">
        <f aca="false">P37</f>
        <v>30079.7671670197</v>
      </c>
      <c r="R34" s="217" t="n">
        <f aca="false">Q37</f>
        <v>27560.9504811354</v>
      </c>
      <c r="S34" s="217" t="n">
        <f aca="false">R37</f>
        <v>26415.5682767194</v>
      </c>
      <c r="T34" s="217" t="n">
        <f aca="false">S37</f>
        <v>24119.3244019399</v>
      </c>
      <c r="U34" s="217" t="n">
        <f aca="false">T37</f>
        <v>16605.4269965915</v>
      </c>
      <c r="V34" s="217" t="n">
        <f aca="false">U37</f>
        <v>11387.0933300933</v>
      </c>
      <c r="W34" s="217" t="n">
        <f aca="false">V37</f>
        <v>18605.8192126017</v>
      </c>
      <c r="X34" s="217" t="n">
        <f aca="false">W37</f>
        <v>22005.0826297656</v>
      </c>
      <c r="Y34" s="217" t="n">
        <f aca="false">X37</f>
        <v>20015.669656253</v>
      </c>
      <c r="Z34" s="217" t="n">
        <f aca="false">Y37</f>
        <v>26101.3201200841</v>
      </c>
      <c r="AA34" s="217" t="n">
        <f aca="false">Z37</f>
        <v>30791.2337585927</v>
      </c>
      <c r="AB34" s="574" t="n">
        <f aca="false">F34</f>
        <v>0</v>
      </c>
      <c r="AD34" s="175" t="n">
        <f aca="false">AD33+1</f>
        <v>28</v>
      </c>
    </row>
    <row r="35" customFormat="false" ht="12.75" hidden="false" customHeight="false" outlineLevel="0" collapsed="false">
      <c r="A35" s="37" t="s">
        <v>1079</v>
      </c>
      <c r="F35" s="217" t="n">
        <f aca="false">E29</f>
        <v>0</v>
      </c>
      <c r="G35" s="217" t="n">
        <f aca="false">F29</f>
        <v>0</v>
      </c>
      <c r="H35" s="217" t="n">
        <f aca="false">G29</f>
        <v>0</v>
      </c>
      <c r="I35" s="217" t="n">
        <f aca="false">H29</f>
        <v>3358.33879983726</v>
      </c>
      <c r="J35" s="217" t="n">
        <f aca="false">I29</f>
        <v>15292.0993027562</v>
      </c>
      <c r="K35" s="217" t="n">
        <f aca="false">J29</f>
        <v>1764.3222505153</v>
      </c>
      <c r="L35" s="217" t="n">
        <f aca="false">K29</f>
        <v>4601.47099777068</v>
      </c>
      <c r="M35" s="217" t="n">
        <f aca="false">L29</f>
        <v>0</v>
      </c>
      <c r="N35" s="217" t="n">
        <f aca="false">M29</f>
        <v>6357.2775341353</v>
      </c>
      <c r="O35" s="217" t="n">
        <f aca="false">N29</f>
        <v>6443.35428585609</v>
      </c>
      <c r="P35" s="217" t="n">
        <f aca="false">O29</f>
        <v>1798.90879566763</v>
      </c>
      <c r="Q35" s="217" t="n">
        <f aca="false">P29</f>
        <v>0</v>
      </c>
      <c r="R35" s="217" t="n">
        <f aca="false">Q29</f>
        <v>0</v>
      </c>
      <c r="S35" s="217" t="n">
        <f aca="false">R29</f>
        <v>0</v>
      </c>
      <c r="T35" s="217" t="n">
        <f aca="false">S29</f>
        <v>0</v>
      </c>
      <c r="U35" s="217" t="n">
        <f aca="false">T29</f>
        <v>0</v>
      </c>
      <c r="V35" s="217" t="n">
        <f aca="false">U29</f>
        <v>7218.72588250839</v>
      </c>
      <c r="W35" s="217" t="n">
        <f aca="false">V29</f>
        <v>3399.26341716396</v>
      </c>
      <c r="X35" s="217" t="n">
        <f aca="false">W29</f>
        <v>0</v>
      </c>
      <c r="Y35" s="217" t="n">
        <f aca="false">X29</f>
        <v>6085.65046383107</v>
      </c>
      <c r="Z35" s="217" t="n">
        <f aca="false">Y29</f>
        <v>4689.91363850864</v>
      </c>
      <c r="AA35" s="217" t="n">
        <f aca="false">Z29</f>
        <v>6224.60529260744</v>
      </c>
      <c r="AB35" s="574" t="n">
        <f aca="false">SUM(F35:AA35)</f>
        <v>67233.930661158</v>
      </c>
      <c r="AD35" s="175" t="n">
        <f aca="false">AD34+1</f>
        <v>29</v>
      </c>
    </row>
    <row r="36" customFormat="false" ht="12.75" hidden="false" customHeight="false" outlineLevel="0" collapsed="false">
      <c r="A36" s="37" t="s">
        <v>1080</v>
      </c>
      <c r="F36" s="220" t="n">
        <f aca="false">IF(F$7=YEAR(Endyr),F30,E30)</f>
        <v>0</v>
      </c>
      <c r="G36" s="220" t="n">
        <f aca="false">IF(G$7=YEAR(Endyr),G30,F30)</f>
        <v>0</v>
      </c>
      <c r="H36" s="220" t="n">
        <f aca="false">IF(H$7=YEAR(Endyr),H30,G30)</f>
        <v>-1978.50807527969</v>
      </c>
      <c r="I36" s="220" t="n">
        <f aca="false">IF(I$7=YEAR(Endyr),I30,H30)</f>
        <v>0</v>
      </c>
      <c r="J36" s="220" t="n">
        <f aca="false">IF(J$7=YEAR(Endyr),J30,I30)</f>
        <v>0</v>
      </c>
      <c r="K36" s="220" t="n">
        <f aca="false">IF(K$7=YEAR(Endyr),K30,J30)</f>
        <v>0</v>
      </c>
      <c r="L36" s="220" t="n">
        <f aca="false">IF(L$7=YEAR(Endyr),L30,K30)</f>
        <v>0</v>
      </c>
      <c r="M36" s="220" t="n">
        <f aca="false">IF(M$7=YEAR(Endyr),M30,L30)</f>
        <v>-7557.49672423914</v>
      </c>
      <c r="N36" s="220" t="n">
        <f aca="false">IF(N$7=YEAR(Endyr),N30,M30)</f>
        <v>0</v>
      </c>
      <c r="O36" s="220" t="n">
        <f aca="false">IF(O$7=YEAR(Endyr),O30,N30)</f>
        <v>0</v>
      </c>
      <c r="P36" s="220" t="n">
        <f aca="false">IF(P$7=YEAR(Endyr),P30,O30)</f>
        <v>0</v>
      </c>
      <c r="Q36" s="220" t="n">
        <f aca="false">IF(Q$7=YEAR(Endyr),Q30,P30)</f>
        <v>-2518.81668588427</v>
      </c>
      <c r="R36" s="220" t="n">
        <f aca="false">IF(R$7=YEAR(Endyr),R30,Q30)</f>
        <v>-1145.38220441602</v>
      </c>
      <c r="S36" s="220" t="n">
        <f aca="false">IF(S$7=YEAR(Endyr),S30,R30)</f>
        <v>-2296.24387477943</v>
      </c>
      <c r="T36" s="220" t="n">
        <f aca="false">IF(T$7=YEAR(Endyr),T30,S30)</f>
        <v>-7513.89740534845</v>
      </c>
      <c r="U36" s="220" t="n">
        <f aca="false">IF(U$7=YEAR(Endyr),U30,T30)</f>
        <v>-5218.33366649822</v>
      </c>
      <c r="V36" s="220" t="n">
        <f aca="false">IF(V$7=YEAR(Endyr),V30,U30)</f>
        <v>0</v>
      </c>
      <c r="W36" s="220" t="n">
        <f aca="false">IF(W$7=YEAR(Endyr),W30,V30)</f>
        <v>0</v>
      </c>
      <c r="X36" s="220" t="n">
        <f aca="false">IF(X$7=YEAR(Endyr),X30,W30)</f>
        <v>-1989.41297351263</v>
      </c>
      <c r="Y36" s="220" t="n">
        <f aca="false">IF(Y$7=YEAR(Endyr),Y30,X30)</f>
        <v>0</v>
      </c>
      <c r="Z36" s="220" t="n">
        <f aca="false">IF(Z$7=YEAR(Endyr),Z30,Y30)</f>
        <v>0</v>
      </c>
      <c r="AA36" s="220" t="n">
        <f aca="false">IF(AA$7=YEAR(Endyr),AA30,Z30)</f>
        <v>-37015.8390512002</v>
      </c>
      <c r="AB36" s="576" t="n">
        <f aca="false">SUM(F36:AA36)</f>
        <v>-67233.930661158</v>
      </c>
      <c r="AD36" s="175" t="n">
        <f aca="false">AD35+1</f>
        <v>30</v>
      </c>
    </row>
    <row r="37" customFormat="false" ht="12.75" hidden="false" customHeight="false" outlineLevel="0" collapsed="false">
      <c r="A37" s="37" t="s">
        <v>1067</v>
      </c>
      <c r="F37" s="217" t="n">
        <f aca="false">SUM(F34:F36)</f>
        <v>0</v>
      </c>
      <c r="G37" s="217" t="n">
        <f aca="false">SUM(G34:G36)</f>
        <v>0</v>
      </c>
      <c r="H37" s="217" t="n">
        <f aca="false">SUM(H34:H36)</f>
        <v>-1978.50807527969</v>
      </c>
      <c r="I37" s="217" t="n">
        <f aca="false">SUM(I34:I36)</f>
        <v>1379.83072455757</v>
      </c>
      <c r="J37" s="217" t="n">
        <f aca="false">SUM(J34:J36)</f>
        <v>16671.9300273138</v>
      </c>
      <c r="K37" s="217" t="n">
        <f aca="false">SUM(K34:K36)</f>
        <v>18436.2522778291</v>
      </c>
      <c r="L37" s="217" t="n">
        <f aca="false">SUM(L34:L36)</f>
        <v>23037.7232755998</v>
      </c>
      <c r="M37" s="217" t="n">
        <f aca="false">SUM(M34:M36)</f>
        <v>15480.2265513606</v>
      </c>
      <c r="N37" s="217" t="n">
        <f aca="false">SUM(N34:N36)</f>
        <v>21837.5040854959</v>
      </c>
      <c r="O37" s="217" t="n">
        <f aca="false">SUM(O34:O36)</f>
        <v>28280.858371352</v>
      </c>
      <c r="P37" s="217" t="n">
        <f aca="false">SUM(P34:P36)</f>
        <v>30079.7671670197</v>
      </c>
      <c r="Q37" s="217" t="n">
        <f aca="false">SUM(Q34:Q36)</f>
        <v>27560.9504811354</v>
      </c>
      <c r="R37" s="217" t="n">
        <f aca="false">SUM(R34:R36)</f>
        <v>26415.5682767194</v>
      </c>
      <c r="S37" s="217" t="n">
        <f aca="false">SUM(S34:S36)</f>
        <v>24119.3244019399</v>
      </c>
      <c r="T37" s="217" t="n">
        <f aca="false">SUM(T34:T36)</f>
        <v>16605.4269965915</v>
      </c>
      <c r="U37" s="217" t="n">
        <f aca="false">SUM(U34:U36)</f>
        <v>11387.0933300933</v>
      </c>
      <c r="V37" s="217" t="n">
        <f aca="false">SUM(V34:V36)</f>
        <v>18605.8192126017</v>
      </c>
      <c r="W37" s="217" t="n">
        <f aca="false">SUM(W34:W36)</f>
        <v>22005.0826297656</v>
      </c>
      <c r="X37" s="217" t="n">
        <f aca="false">SUM(X34:X36)</f>
        <v>20015.669656253</v>
      </c>
      <c r="Y37" s="217" t="n">
        <f aca="false">SUM(Y34:Y36)</f>
        <v>26101.3201200841</v>
      </c>
      <c r="Z37" s="217" t="n">
        <f aca="false">SUM(Z34:Z36)</f>
        <v>30791.2337585927</v>
      </c>
      <c r="AA37" s="217" t="n">
        <f aca="false">SUM(AA34:AA36)</f>
        <v>0</v>
      </c>
      <c r="AB37" s="574" t="n">
        <f aca="false">SUM(AB34:AB36)</f>
        <v>0</v>
      </c>
      <c r="AD37" s="175" t="n">
        <f aca="false">AD36+1</f>
        <v>31</v>
      </c>
    </row>
    <row r="38" customFormat="false" ht="12.75" hidden="false" customHeight="false" outlineLevel="0" collapsed="false">
      <c r="A38" s="37"/>
      <c r="AB38" s="555"/>
      <c r="AD38" s="175" t="n">
        <f aca="false">AD37+1</f>
        <v>32</v>
      </c>
    </row>
    <row r="39" customFormat="false" ht="12.75" hidden="false" customHeight="false" outlineLevel="0" collapsed="false">
      <c r="A39" s="37" t="s">
        <v>1081</v>
      </c>
      <c r="D39" s="260" t="n">
        <f aca="false">Assm!$L$68</f>
        <v>0.05</v>
      </c>
      <c r="F39" s="217" t="n">
        <f aca="false">SUM(F34:F35)*$D$39</f>
        <v>0</v>
      </c>
      <c r="G39" s="217" t="n">
        <f aca="false">SUM(G34:G35)*$D$39</f>
        <v>0</v>
      </c>
      <c r="H39" s="217" t="n">
        <f aca="false">SUM(H34:H35)*$D$39</f>
        <v>0</v>
      </c>
      <c r="I39" s="217" t="n">
        <f aca="false">SUM(I34:I35)*$D$39</f>
        <v>68.9915362278783</v>
      </c>
      <c r="J39" s="217" t="n">
        <f aca="false">SUM(J34:J35)*$D$39</f>
        <v>833.59650136569</v>
      </c>
      <c r="K39" s="217" t="n">
        <f aca="false">SUM(K34:K35)*$D$39</f>
        <v>921.812613891455</v>
      </c>
      <c r="L39" s="217" t="n">
        <f aca="false">SUM(L34:L35)*$D$39</f>
        <v>1151.88616377999</v>
      </c>
      <c r="M39" s="217" t="n">
        <f aca="false">SUM(M34:M35)*$D$39</f>
        <v>1151.88616377999</v>
      </c>
      <c r="N39" s="217" t="n">
        <f aca="false">SUM(N34:N35)*$D$39</f>
        <v>1091.8752042748</v>
      </c>
      <c r="O39" s="217" t="n">
        <f aca="false">SUM(O34:O35)*$D$39</f>
        <v>1414.0429185676</v>
      </c>
      <c r="P39" s="217" t="n">
        <f aca="false">SUM(P34:P35)*$D$39</f>
        <v>1503.98835835098</v>
      </c>
      <c r="Q39" s="217" t="n">
        <f aca="false">SUM(Q34:Q35)*$D$39</f>
        <v>1503.98835835098</v>
      </c>
      <c r="R39" s="217" t="n">
        <f aca="false">SUM(R34:R35)*$D$39</f>
        <v>1378.04752405677</v>
      </c>
      <c r="S39" s="217" t="n">
        <f aca="false">SUM(S34:S35)*$D$39</f>
        <v>1320.77841383597</v>
      </c>
      <c r="T39" s="217" t="n">
        <f aca="false">SUM(T34:T35)*$D$39</f>
        <v>1205.966220097</v>
      </c>
      <c r="U39" s="217" t="n">
        <f aca="false">SUM(U34:U35)*$D$39</f>
        <v>830.271349829575</v>
      </c>
      <c r="V39" s="217" t="n">
        <f aca="false">SUM(V34:V35)*$D$39</f>
        <v>930.290960630083</v>
      </c>
      <c r="W39" s="217" t="n">
        <f aca="false">SUM(W34:W35)*$D$39</f>
        <v>1100.25413148828</v>
      </c>
      <c r="X39" s="217" t="n">
        <f aca="false">SUM(X34:X35)*$D$39</f>
        <v>1100.25413148828</v>
      </c>
      <c r="Y39" s="217" t="n">
        <f aca="false">SUM(Y34:Y35)*$D$39</f>
        <v>1305.0660060042</v>
      </c>
      <c r="Z39" s="217" t="n">
        <f aca="false">SUM(Z34:Z35)*$D$39</f>
        <v>1539.56168792964</v>
      </c>
      <c r="AA39" s="217" t="n">
        <f aca="false">SUM(AA34:AA35)*$D$39</f>
        <v>1850.79195256001</v>
      </c>
      <c r="AB39" s="574" t="n">
        <f aca="false">SUM(F39:AA39)</f>
        <v>22203.3501965092</v>
      </c>
      <c r="AD39" s="175" t="n">
        <f aca="false">AD38+1</f>
        <v>33</v>
      </c>
    </row>
    <row r="40" customFormat="false" ht="12.75" hidden="false" customHeight="false" outlineLevel="0" collapsed="false">
      <c r="A40" s="563" t="s">
        <v>1082</v>
      </c>
      <c r="B40" s="464"/>
      <c r="C40" s="464"/>
      <c r="D40" s="794" t="n">
        <f aca="false">Assm!L69</f>
        <v>0.06</v>
      </c>
      <c r="E40" s="464"/>
      <c r="F40" s="777" t="n">
        <f aca="false">SUM(F34:F35)*$D$40</f>
        <v>0</v>
      </c>
      <c r="G40" s="777" t="n">
        <f aca="false">SUM(G34:G35)*$D$40</f>
        <v>0</v>
      </c>
      <c r="H40" s="777" t="n">
        <f aca="false">SUM(H34:H35)*$D$40</f>
        <v>0</v>
      </c>
      <c r="I40" s="777" t="n">
        <f aca="false">SUM(I34:I35)*$D$40</f>
        <v>82.7898434734539</v>
      </c>
      <c r="J40" s="777" t="n">
        <f aca="false">SUM(J34:J35)*$D$40</f>
        <v>1000.31580163883</v>
      </c>
      <c r="K40" s="777" t="n">
        <f aca="false">SUM(K34:K35)*$D$40</f>
        <v>1106.17513666975</v>
      </c>
      <c r="L40" s="777" t="n">
        <f aca="false">SUM(L34:L35)*$D$40</f>
        <v>1382.26339653599</v>
      </c>
      <c r="M40" s="777" t="n">
        <f aca="false">SUM(M34:M35)*$D$40</f>
        <v>1382.26339653599</v>
      </c>
      <c r="N40" s="777" t="n">
        <f aca="false">SUM(N34:N35)*$D$40</f>
        <v>1310.25024512976</v>
      </c>
      <c r="O40" s="777" t="n">
        <f aca="false">SUM(O34:O35)*$D$40</f>
        <v>1696.85150228112</v>
      </c>
      <c r="P40" s="777" t="n">
        <f aca="false">SUM(P34:P35)*$D$40</f>
        <v>1804.78603002118</v>
      </c>
      <c r="Q40" s="777" t="n">
        <f aca="false">SUM(Q34:Q35)*$D$40</f>
        <v>1804.78603002118</v>
      </c>
      <c r="R40" s="777" t="n">
        <f aca="false">SUM(R34:R35)*$D$40</f>
        <v>1653.65702886812</v>
      </c>
      <c r="S40" s="777" t="n">
        <f aca="false">SUM(S34:S35)*$D$40</f>
        <v>1584.93409660316</v>
      </c>
      <c r="T40" s="777" t="n">
        <f aca="false">SUM(T34:T35)*$D$40</f>
        <v>1447.1594641164</v>
      </c>
      <c r="U40" s="777" t="n">
        <f aca="false">SUM(U34:U35)*$D$40</f>
        <v>996.32561979549</v>
      </c>
      <c r="V40" s="777" t="n">
        <f aca="false">SUM(V34:V35)*$D$40</f>
        <v>1116.3491527561</v>
      </c>
      <c r="W40" s="777" t="n">
        <f aca="false">SUM(W34:W35)*$D$40</f>
        <v>1320.30495778594</v>
      </c>
      <c r="X40" s="777" t="n">
        <f aca="false">SUM(X34:X35)*$D$40</f>
        <v>1320.30495778594</v>
      </c>
      <c r="Y40" s="777" t="n">
        <f aca="false">SUM(Y34:Y35)*$D$40</f>
        <v>1566.07920720504</v>
      </c>
      <c r="Z40" s="777" t="n">
        <f aca="false">SUM(Z34:Z35)*$D$40</f>
        <v>1847.47402551556</v>
      </c>
      <c r="AA40" s="777" t="n">
        <f aca="false">SUM(AA34:AA35)*$D$40</f>
        <v>2220.95034307201</v>
      </c>
      <c r="AB40" s="778" t="n">
        <f aca="false">SUM(F40:AA40)</f>
        <v>26644.020235811</v>
      </c>
      <c r="AD40" s="175" t="n">
        <f aca="false">AD39+1</f>
        <v>34</v>
      </c>
    </row>
    <row r="41" customFormat="false" ht="12.75" hidden="false" customHeight="false" outlineLevel="0" collapsed="false">
      <c r="A41" s="37"/>
      <c r="AB41" s="555"/>
      <c r="AD41" s="175" t="n">
        <f aca="false">AD40+1</f>
        <v>35</v>
      </c>
    </row>
    <row r="42" customFormat="false" ht="12.75" hidden="false" customHeight="false" outlineLevel="0" collapsed="false">
      <c r="A42" s="55" t="s">
        <v>1083</v>
      </c>
      <c r="AB42" s="555"/>
      <c r="AD42" s="175" t="n">
        <f aca="false">AD41+1</f>
        <v>36</v>
      </c>
    </row>
    <row r="43" customFormat="false" ht="12.75" hidden="false" customHeight="false" outlineLevel="0" collapsed="false">
      <c r="A43" s="37" t="s">
        <v>1084</v>
      </c>
      <c r="F43" s="189" t="n">
        <v>0</v>
      </c>
      <c r="G43" s="217" t="n">
        <f aca="false">F46</f>
        <v>0</v>
      </c>
      <c r="H43" s="217" t="n">
        <f aca="false">G46</f>
        <v>0</v>
      </c>
      <c r="I43" s="217" t="n">
        <f aca="false">H46</f>
        <v>0</v>
      </c>
      <c r="J43" s="217" t="n">
        <f aca="false">I46</f>
        <v>0</v>
      </c>
      <c r="K43" s="217" t="n">
        <f aca="false">J46</f>
        <v>0</v>
      </c>
      <c r="L43" s="217" t="n">
        <f aca="false">K46</f>
        <v>0</v>
      </c>
      <c r="M43" s="217" t="n">
        <f aca="false">L46</f>
        <v>0</v>
      </c>
      <c r="N43" s="217" t="n">
        <f aca="false">M46</f>
        <v>0</v>
      </c>
      <c r="O43" s="217" t="n">
        <f aca="false">N46</f>
        <v>0</v>
      </c>
      <c r="P43" s="217" t="n">
        <f aca="false">O46</f>
        <v>143.498680876223</v>
      </c>
      <c r="Q43" s="217" t="n">
        <f aca="false">P46</f>
        <v>1972.1154333266</v>
      </c>
      <c r="R43" s="217" t="n">
        <f aca="false">Q46</f>
        <v>2094.11495037033</v>
      </c>
      <c r="S43" s="217" t="n">
        <f aca="false">R46</f>
        <v>2286.74363736087</v>
      </c>
      <c r="T43" s="217" t="n">
        <f aca="false">S46</f>
        <v>3347.94435804646</v>
      </c>
      <c r="U43" s="217" t="n">
        <f aca="false">T46</f>
        <v>4224.71404701599</v>
      </c>
      <c r="V43" s="217" t="n">
        <f aca="false">U46</f>
        <v>4224.71404701599</v>
      </c>
      <c r="W43" s="217" t="n">
        <f aca="false">V46</f>
        <v>4224.71404701599</v>
      </c>
      <c r="X43" s="217" t="n">
        <f aca="false">W46</f>
        <v>4224.71404701599</v>
      </c>
      <c r="Y43" s="217" t="n">
        <f aca="false">X46</f>
        <v>4224.71404701599</v>
      </c>
      <c r="Z43" s="217" t="n">
        <f aca="false">Y46</f>
        <v>4224.71404701599</v>
      </c>
      <c r="AA43" s="217" t="n">
        <f aca="false">Z46</f>
        <v>629.916135114482</v>
      </c>
      <c r="AB43" s="574" t="n">
        <f aca="false">F43</f>
        <v>0</v>
      </c>
      <c r="AD43" s="175" t="n">
        <f aca="false">AD42+1</f>
        <v>37</v>
      </c>
    </row>
    <row r="44" customFormat="false" ht="12.75" hidden="false" customHeight="false" outlineLevel="0" collapsed="false">
      <c r="A44" s="37" t="s">
        <v>1085</v>
      </c>
      <c r="F44" s="217" t="n">
        <f aca="false">-Taxes!D53</f>
        <v>0</v>
      </c>
      <c r="G44" s="217" t="n">
        <f aca="false">-Taxes!E53</f>
        <v>116.94199047379</v>
      </c>
      <c r="H44" s="217" t="n">
        <f aca="false">-Taxes!F53</f>
        <v>620.092018780245</v>
      </c>
      <c r="I44" s="217" t="n">
        <f aca="false">-Taxes!G53</f>
        <v>0</v>
      </c>
      <c r="J44" s="217" t="n">
        <f aca="false">-Taxes!H53</f>
        <v>0</v>
      </c>
      <c r="K44" s="217" t="n">
        <f aca="false">-Taxes!I53</f>
        <v>137.766354726436</v>
      </c>
      <c r="L44" s="217" t="n">
        <f aca="false">-Taxes!J53</f>
        <v>0</v>
      </c>
      <c r="M44" s="217" t="n">
        <f aca="false">-Taxes!K53</f>
        <v>774.182951277645</v>
      </c>
      <c r="N44" s="217" t="n">
        <f aca="false">-Taxes!L53</f>
        <v>648.075557103475</v>
      </c>
      <c r="O44" s="217" t="n">
        <f aca="false">-Taxes!M53</f>
        <v>1946.98427113416</v>
      </c>
      <c r="P44" s="217" t="n">
        <f aca="false">-Taxes!N53</f>
        <v>1828.61675245038</v>
      </c>
      <c r="Q44" s="217" t="n">
        <f aca="false">-Taxes!O53</f>
        <v>121.999517043726</v>
      </c>
      <c r="R44" s="217" t="n">
        <f aca="false">-Taxes!P53</f>
        <v>192.628686990545</v>
      </c>
      <c r="S44" s="217" t="n">
        <f aca="false">-Taxes!Q53</f>
        <v>1061.20072068559</v>
      </c>
      <c r="T44" s="217" t="n">
        <f aca="false">-Taxes!R53</f>
        <v>876.76968896953</v>
      </c>
      <c r="U44" s="217" t="n">
        <f aca="false">-Taxes!S53</f>
        <v>0</v>
      </c>
      <c r="V44" s="217" t="n">
        <f aca="false">-Taxes!T53</f>
        <v>0</v>
      </c>
      <c r="W44" s="217" t="n">
        <f aca="false">-Taxes!U53</f>
        <v>0</v>
      </c>
      <c r="X44" s="217" t="n">
        <f aca="false">-Taxes!V53</f>
        <v>0</v>
      </c>
      <c r="Y44" s="217" t="n">
        <f aca="false">-Taxes!W53</f>
        <v>0</v>
      </c>
      <c r="Z44" s="217" t="n">
        <f aca="false">-Taxes!X53</f>
        <v>0</v>
      </c>
      <c r="AA44" s="217" t="n">
        <f aca="false">-Taxes!Y53</f>
        <v>0</v>
      </c>
      <c r="AB44" s="574" t="n">
        <f aca="false">SUM(F44:AA44)</f>
        <v>8325.25850963551</v>
      </c>
      <c r="AD44" s="175" t="n">
        <f aca="false">AD43+1</f>
        <v>38</v>
      </c>
    </row>
    <row r="45" customFormat="false" ht="12.75" hidden="false" customHeight="false" outlineLevel="0" collapsed="false">
      <c r="A45" s="37" t="s">
        <v>1086</v>
      </c>
      <c r="F45" s="220" t="n">
        <f aca="false">-F52</f>
        <v>-0</v>
      </c>
      <c r="G45" s="220" t="n">
        <f aca="false">-G52</f>
        <v>-116.94199047379</v>
      </c>
      <c r="H45" s="220" t="n">
        <f aca="false">-H52</f>
        <v>-620.092018780245</v>
      </c>
      <c r="I45" s="220" t="n">
        <f aca="false">-I52</f>
        <v>-0</v>
      </c>
      <c r="J45" s="220" t="n">
        <f aca="false">-J52</f>
        <v>-0</v>
      </c>
      <c r="K45" s="220" t="n">
        <f aca="false">-K52</f>
        <v>-137.766354726435</v>
      </c>
      <c r="L45" s="220" t="n">
        <f aca="false">-L52</f>
        <v>-0</v>
      </c>
      <c r="M45" s="220" t="n">
        <f aca="false">-M52</f>
        <v>-774.182951277645</v>
      </c>
      <c r="N45" s="220" t="n">
        <f aca="false">-N52</f>
        <v>-648.075557103475</v>
      </c>
      <c r="O45" s="220" t="n">
        <f aca="false">-O52</f>
        <v>-1803.48559025793</v>
      </c>
      <c r="P45" s="220" t="n">
        <f aca="false">-P52</f>
        <v>-0</v>
      </c>
      <c r="Q45" s="220" t="n">
        <f aca="false">-Q52</f>
        <v>-0</v>
      </c>
      <c r="R45" s="220" t="n">
        <f aca="false">-R52</f>
        <v>-0</v>
      </c>
      <c r="S45" s="220" t="n">
        <f aca="false">-S52</f>
        <v>-0</v>
      </c>
      <c r="T45" s="220" t="n">
        <f aca="false">-T52</f>
        <v>-0</v>
      </c>
      <c r="U45" s="220" t="n">
        <f aca="false">-U52</f>
        <v>-0</v>
      </c>
      <c r="V45" s="220" t="n">
        <f aca="false">-V52</f>
        <v>-0</v>
      </c>
      <c r="W45" s="220" t="n">
        <f aca="false">-W52</f>
        <v>-0</v>
      </c>
      <c r="X45" s="220" t="n">
        <f aca="false">-X52</f>
        <v>-0</v>
      </c>
      <c r="Y45" s="220" t="n">
        <f aca="false">-Y52</f>
        <v>-0</v>
      </c>
      <c r="Z45" s="220" t="n">
        <f aca="false">-Z52</f>
        <v>-3594.79791190151</v>
      </c>
      <c r="AA45" s="220" t="n">
        <f aca="false">-AA52</f>
        <v>-629.916135114482</v>
      </c>
      <c r="AB45" s="576" t="n">
        <f aca="false">SUM(F45:AA45)</f>
        <v>-8325.25850963551</v>
      </c>
      <c r="AD45" s="175" t="n">
        <f aca="false">AD44+1</f>
        <v>39</v>
      </c>
    </row>
    <row r="46" customFormat="false" ht="12.75" hidden="false" customHeight="false" outlineLevel="0" collapsed="false">
      <c r="A46" s="37" t="s">
        <v>1087</v>
      </c>
      <c r="F46" s="217" t="n">
        <f aca="false">SUM(F43:F45)</f>
        <v>0</v>
      </c>
      <c r="G46" s="217" t="n">
        <f aca="false">SUM(G43:G45)</f>
        <v>0</v>
      </c>
      <c r="H46" s="217" t="n">
        <f aca="false">SUM(H43:H45)</f>
        <v>0</v>
      </c>
      <c r="I46" s="217" t="n">
        <f aca="false">SUM(I43:I45)</f>
        <v>0</v>
      </c>
      <c r="J46" s="217" t="n">
        <f aca="false">SUM(J43:J45)</f>
        <v>0</v>
      </c>
      <c r="K46" s="217" t="n">
        <f aca="false">SUM(K43:K45)</f>
        <v>0</v>
      </c>
      <c r="L46" s="217" t="n">
        <f aca="false">SUM(L43:L45)</f>
        <v>0</v>
      </c>
      <c r="M46" s="217" t="n">
        <f aca="false">SUM(M43:M45)</f>
        <v>0</v>
      </c>
      <c r="N46" s="217" t="n">
        <f aca="false">SUM(N43:N45)</f>
        <v>0</v>
      </c>
      <c r="O46" s="217" t="n">
        <f aca="false">SUM(O43:O45)</f>
        <v>143.498680876223</v>
      </c>
      <c r="P46" s="217" t="n">
        <f aca="false">SUM(P43:P45)</f>
        <v>1972.1154333266</v>
      </c>
      <c r="Q46" s="217" t="n">
        <f aca="false">SUM(Q43:Q45)</f>
        <v>2094.11495037033</v>
      </c>
      <c r="R46" s="217" t="n">
        <f aca="false">SUM(R43:R45)</f>
        <v>2286.74363736087</v>
      </c>
      <c r="S46" s="217" t="n">
        <f aca="false">SUM(S43:S45)</f>
        <v>3347.94435804646</v>
      </c>
      <c r="T46" s="217" t="n">
        <f aca="false">SUM(T43:T45)</f>
        <v>4224.71404701599</v>
      </c>
      <c r="U46" s="217" t="n">
        <f aca="false">SUM(U43:U45)</f>
        <v>4224.71404701599</v>
      </c>
      <c r="V46" s="217" t="n">
        <f aca="false">SUM(V43:V45)</f>
        <v>4224.71404701599</v>
      </c>
      <c r="W46" s="217" t="n">
        <f aca="false">SUM(W43:W45)</f>
        <v>4224.71404701599</v>
      </c>
      <c r="X46" s="217" t="n">
        <f aca="false">SUM(X43:X45)</f>
        <v>4224.71404701599</v>
      </c>
      <c r="Y46" s="217" t="n">
        <f aca="false">SUM(Y43:Y45)</f>
        <v>4224.71404701599</v>
      </c>
      <c r="Z46" s="217" t="n">
        <f aca="false">SUM(Z43:Z45)</f>
        <v>629.916135114482</v>
      </c>
      <c r="AA46" s="217" t="n">
        <f aca="false">SUM(AA43:AA45)</f>
        <v>0</v>
      </c>
      <c r="AB46" s="574" t="n">
        <f aca="false">SUM(AB43:AB45)</f>
        <v>0</v>
      </c>
      <c r="AD46" s="175" t="n">
        <f aca="false">AD45+1</f>
        <v>40</v>
      </c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</row>
    <row r="47" customFormat="false" ht="12.75" hidden="false" customHeight="false" outlineLevel="0" collapsed="false">
      <c r="A47" s="37"/>
      <c r="AB47" s="555"/>
      <c r="AD47" s="175" t="n">
        <f aca="false">AD46+1</f>
        <v>41</v>
      </c>
    </row>
    <row r="48" customFormat="false" ht="12.75" hidden="false" customHeight="false" outlineLevel="0" collapsed="false">
      <c r="A48" s="37" t="s">
        <v>1088</v>
      </c>
      <c r="F48" s="217" t="n">
        <f aca="false">CF!D54</f>
        <v>0</v>
      </c>
      <c r="G48" s="217" t="n">
        <f aca="false">CF!E54</f>
        <v>-6578.06094793574</v>
      </c>
      <c r="H48" s="217" t="n">
        <f aca="false">CF!F54</f>
        <v>-3771.13287219427</v>
      </c>
      <c r="I48" s="217" t="n">
        <f aca="false">CF!G54</f>
        <v>-3011.51676290401</v>
      </c>
      <c r="J48" s="217" t="n">
        <f aca="false">CF!H54</f>
        <v>-1651.67170332394</v>
      </c>
      <c r="K48" s="217" t="n">
        <f aca="false">CF!I54</f>
        <v>1582.61681850068</v>
      </c>
      <c r="L48" s="217" t="n">
        <f aca="false">CF!J54</f>
        <v>-7967.56467306774</v>
      </c>
      <c r="M48" s="217" t="n">
        <f aca="false">CF!K54</f>
        <v>6059.35747719197</v>
      </c>
      <c r="N48" s="217" t="n">
        <f aca="false">CF!L54</f>
        <v>6867.8580906124</v>
      </c>
      <c r="O48" s="217" t="n">
        <f aca="false">CF!M54</f>
        <v>6666.62898286272</v>
      </c>
      <c r="P48" s="217" t="n">
        <f aca="false">CF!N54</f>
        <v>5944.79635653065</v>
      </c>
      <c r="Q48" s="217" t="n">
        <f aca="false">CF!O54</f>
        <v>6215.41206820371</v>
      </c>
      <c r="R48" s="217" t="n">
        <f aca="false">CF!P54</f>
        <v>7153.91447033937</v>
      </c>
      <c r="S48" s="217" t="n">
        <f aca="false">CF!Q54</f>
        <v>7772.62295499896</v>
      </c>
      <c r="T48" s="217" t="n">
        <f aca="false">CF!R54</f>
        <v>5510.88806783188</v>
      </c>
      <c r="U48" s="217" t="n">
        <f aca="false">CF!S54</f>
        <v>7093.26246476228</v>
      </c>
      <c r="V48" s="217" t="n">
        <f aca="false">CF!T54</f>
        <v>2410.50492318655</v>
      </c>
      <c r="W48" s="217" t="n">
        <f aca="false">CF!U54</f>
        <v>-7495.22851386404</v>
      </c>
      <c r="X48" s="217" t="n">
        <f aca="false">CF!V54</f>
        <v>-11713.5677056956</v>
      </c>
      <c r="Y48" s="217" t="n">
        <f aca="false">CF!W54</f>
        <v>-13109.3045310181</v>
      </c>
      <c r="Z48" s="217" t="n">
        <f aca="false">CF!X54</f>
        <v>-11574.6128769193</v>
      </c>
      <c r="AA48" s="217" t="n">
        <f aca="false">CF!Y54</f>
        <v>-3103.47488561782</v>
      </c>
      <c r="AB48" s="574" t="n">
        <f aca="false">SUM(F48:AA48)</f>
        <v>-6698.27279751933</v>
      </c>
      <c r="AD48" s="175" t="n">
        <f aca="false">AD47+1</f>
        <v>42</v>
      </c>
    </row>
    <row r="49" customFormat="false" ht="12.75" hidden="false" customHeight="false" outlineLevel="0" collapsed="false">
      <c r="A49" s="37" t="s">
        <v>1089</v>
      </c>
      <c r="F49" s="217" t="n">
        <f aca="false">SUM($F48:F48)</f>
        <v>0</v>
      </c>
      <c r="G49" s="217" t="n">
        <f aca="false">SUM($F48:G48)</f>
        <v>-6578.06094793574</v>
      </c>
      <c r="H49" s="217" t="n">
        <f aca="false">SUM($F48:H48)</f>
        <v>-10349.19382013</v>
      </c>
      <c r="I49" s="217" t="n">
        <f aca="false">SUM($F48:I48)</f>
        <v>-13360.710583034</v>
      </c>
      <c r="J49" s="217" t="n">
        <f aca="false">SUM($F48:J48)</f>
        <v>-15012.382286358</v>
      </c>
      <c r="K49" s="217" t="n">
        <f aca="false">SUM($F48:K48)</f>
        <v>-13429.7654678573</v>
      </c>
      <c r="L49" s="217" t="n">
        <f aca="false">SUM($F48:L48)</f>
        <v>-21397.330140925</v>
      </c>
      <c r="M49" s="217" t="n">
        <f aca="false">SUM($F48:M48)</f>
        <v>-15337.9726637331</v>
      </c>
      <c r="N49" s="217" t="n">
        <f aca="false">SUM($F48:N48)</f>
        <v>-8470.11457312066</v>
      </c>
      <c r="O49" s="217" t="n">
        <f aca="false">SUM($F48:O48)</f>
        <v>-1803.48559025793</v>
      </c>
      <c r="P49" s="217" t="n">
        <f aca="false">SUM($F48:P48)</f>
        <v>4141.31076627271</v>
      </c>
      <c r="Q49" s="217" t="n">
        <f aca="false">SUM($F48:Q48)</f>
        <v>10356.7228344764</v>
      </c>
      <c r="R49" s="217" t="n">
        <f aca="false">SUM($F48:R48)</f>
        <v>17510.6373048158</v>
      </c>
      <c r="S49" s="217" t="n">
        <f aca="false">SUM($F48:S48)</f>
        <v>25283.2602598148</v>
      </c>
      <c r="T49" s="217" t="n">
        <f aca="false">SUM($F48:T48)</f>
        <v>30794.1483276466</v>
      </c>
      <c r="U49" s="217" t="n">
        <f aca="false">SUM($F48:U48)</f>
        <v>37887.4107924089</v>
      </c>
      <c r="V49" s="217" t="n">
        <f aca="false">SUM($F48:V48)</f>
        <v>40297.9157155955</v>
      </c>
      <c r="W49" s="217" t="n">
        <f aca="false">SUM($F48:W48)</f>
        <v>32802.6872017314</v>
      </c>
      <c r="X49" s="217" t="n">
        <f aca="false">SUM($F48:X48)</f>
        <v>21089.1194960358</v>
      </c>
      <c r="Y49" s="217" t="n">
        <f aca="false">SUM($F48:Y48)</f>
        <v>7979.81496501774</v>
      </c>
      <c r="Z49" s="217" t="n">
        <f aca="false">SUM($F48:Z48)</f>
        <v>-3594.79791190151</v>
      </c>
      <c r="AA49" s="217" t="n">
        <f aca="false">SUM($F48:AA48)</f>
        <v>-6698.27279751933</v>
      </c>
      <c r="AB49" s="574"/>
      <c r="AD49" s="175" t="n">
        <f aca="false">AD48+1</f>
        <v>43</v>
      </c>
    </row>
    <row r="50" customFormat="false" ht="12.75" hidden="false" customHeight="false" outlineLevel="0" collapsed="false">
      <c r="A50" s="37"/>
      <c r="AB50" s="555"/>
      <c r="AD50" s="175" t="n">
        <f aca="false">AD49+1</f>
        <v>44</v>
      </c>
    </row>
    <row r="51" customFormat="false" ht="12.75" hidden="false" customHeight="false" outlineLevel="0" collapsed="false">
      <c r="A51" s="37" t="s">
        <v>1090</v>
      </c>
      <c r="F51" s="217" t="n">
        <f aca="false">SUM($F44:F44)+SUM($E45:E45)</f>
        <v>0</v>
      </c>
      <c r="G51" s="217" t="n">
        <f aca="false">SUM($F44:G44)+SUM($E45:F45)</f>
        <v>116.94199047379</v>
      </c>
      <c r="H51" s="217" t="n">
        <f aca="false">SUM($F44:H44)+SUM($E45:G45)</f>
        <v>620.092018780245</v>
      </c>
      <c r="I51" s="217" t="n">
        <f aca="false">SUM($F44:I44)+SUM($E45:H45)</f>
        <v>0</v>
      </c>
      <c r="J51" s="217" t="n">
        <f aca="false">SUM($F44:J44)+SUM($E45:I45)</f>
        <v>0</v>
      </c>
      <c r="K51" s="217" t="n">
        <f aca="false">SUM($F44:K44)+SUM($E45:J45)</f>
        <v>137.766354726435</v>
      </c>
      <c r="L51" s="217" t="n">
        <f aca="false">SUM($F44:L44)+SUM($E45:K45)</f>
        <v>0</v>
      </c>
      <c r="M51" s="217" t="n">
        <f aca="false">SUM($F44:M44)+SUM($E45:L45)</f>
        <v>774.182951277645</v>
      </c>
      <c r="N51" s="217" t="n">
        <f aca="false">SUM($F44:N44)+SUM($E45:M45)</f>
        <v>648.075557103475</v>
      </c>
      <c r="O51" s="217" t="n">
        <f aca="false">SUM($F44:O44)+SUM($E45:N45)</f>
        <v>1946.98427113416</v>
      </c>
      <c r="P51" s="217" t="n">
        <f aca="false">SUM($F44:P44)+SUM($E45:O45)</f>
        <v>1972.1154333266</v>
      </c>
      <c r="Q51" s="217" t="n">
        <f aca="false">SUM($F44:Q44)+SUM($E45:P45)</f>
        <v>2094.11495037033</v>
      </c>
      <c r="R51" s="217" t="n">
        <f aca="false">SUM($F44:R44)+SUM($E45:Q45)</f>
        <v>2286.74363736087</v>
      </c>
      <c r="S51" s="217" t="n">
        <f aca="false">SUM($F44:S44)+SUM($E45:R45)</f>
        <v>3347.94435804646</v>
      </c>
      <c r="T51" s="217" t="n">
        <f aca="false">SUM($F44:T44)+SUM($E45:S45)</f>
        <v>4224.71404701599</v>
      </c>
      <c r="U51" s="217" t="n">
        <f aca="false">SUM($F44:U44)+SUM($E45:T45)</f>
        <v>4224.71404701599</v>
      </c>
      <c r="V51" s="217" t="n">
        <f aca="false">SUM($F44:V44)+SUM($E45:U45)</f>
        <v>4224.71404701599</v>
      </c>
      <c r="W51" s="217" t="n">
        <f aca="false">SUM($F44:W44)+SUM($E45:V45)</f>
        <v>4224.71404701599</v>
      </c>
      <c r="X51" s="217" t="n">
        <f aca="false">SUM($F44:X44)+SUM($E45:W45)</f>
        <v>4224.71404701599</v>
      </c>
      <c r="Y51" s="217" t="n">
        <f aca="false">SUM($F44:Y44)+SUM($E45:X45)</f>
        <v>4224.71404701599</v>
      </c>
      <c r="Z51" s="217" t="n">
        <f aca="false">SUM($F44:Z44)+SUM($E45:Y45)</f>
        <v>4224.71404701599</v>
      </c>
      <c r="AA51" s="217" t="n">
        <f aca="false">SUM($F44:AA44)+SUM($E45:Z45)</f>
        <v>629.916135114482</v>
      </c>
      <c r="AB51" s="555"/>
      <c r="AD51" s="175" t="n">
        <f aca="false">AD50+1</f>
        <v>45</v>
      </c>
    </row>
    <row r="52" customFormat="false" ht="12.75" hidden="false" customHeight="false" outlineLevel="0" collapsed="false">
      <c r="A52" s="563" t="s">
        <v>1091</v>
      </c>
      <c r="B52" s="464"/>
      <c r="C52" s="464"/>
      <c r="D52" s="464"/>
      <c r="E52" s="464"/>
      <c r="F52" s="777" t="n">
        <f aca="false">IF(F49&lt;0,MIN(-F49,F51),0)</f>
        <v>0</v>
      </c>
      <c r="G52" s="777" t="n">
        <f aca="false">IF(G49&lt;0,MIN(-G49,G51),0)</f>
        <v>116.94199047379</v>
      </c>
      <c r="H52" s="777" t="n">
        <f aca="false">IF(H49&lt;0,MIN(-H49,H51),0)</f>
        <v>620.092018780245</v>
      </c>
      <c r="I52" s="777" t="n">
        <f aca="false">IF(I49&lt;0,MIN(-I49,I51),0)</f>
        <v>0</v>
      </c>
      <c r="J52" s="777" t="n">
        <f aca="false">IF(J49&lt;0,MIN(-J49,J51),0)</f>
        <v>0</v>
      </c>
      <c r="K52" s="777" t="n">
        <f aca="false">IF(K49&lt;0,MIN(-K49,K51),0)</f>
        <v>137.766354726435</v>
      </c>
      <c r="L52" s="777" t="n">
        <f aca="false">IF(L49&lt;0,MIN(-L49,L51),0)</f>
        <v>0</v>
      </c>
      <c r="M52" s="777" t="n">
        <f aca="false">IF(M49&lt;0,MIN(-M49,M51),0)</f>
        <v>774.182951277645</v>
      </c>
      <c r="N52" s="777" t="n">
        <f aca="false">IF(N49&lt;0,MIN(-N49,N51),0)</f>
        <v>648.075557103475</v>
      </c>
      <c r="O52" s="777" t="n">
        <f aca="false">IF(O49&lt;0,MIN(-O49,O51),0)</f>
        <v>1803.48559025793</v>
      </c>
      <c r="P52" s="777" t="n">
        <f aca="false">IF(P49&lt;0,MIN(-P49,P51),0)</f>
        <v>0</v>
      </c>
      <c r="Q52" s="777" t="n">
        <f aca="false">IF(Q49&lt;0,MIN(-Q49,Q51),0)</f>
        <v>0</v>
      </c>
      <c r="R52" s="777" t="n">
        <f aca="false">IF(R49&lt;0,MIN(-R49,R51),0)</f>
        <v>0</v>
      </c>
      <c r="S52" s="777" t="n">
        <f aca="false">IF(S49&lt;0,MIN(-S49,S51),0)</f>
        <v>0</v>
      </c>
      <c r="T52" s="777" t="n">
        <f aca="false">IF(T49&lt;0,MIN(-T49,T51),0)</f>
        <v>0</v>
      </c>
      <c r="U52" s="777" t="n">
        <f aca="false">IF(U49&lt;0,MIN(-U49,U51),0)</f>
        <v>0</v>
      </c>
      <c r="V52" s="777" t="n">
        <f aca="false">IF(V49&lt;0,MIN(-V49,V51),0)</f>
        <v>0</v>
      </c>
      <c r="W52" s="777" t="n">
        <f aca="false">IF(W49&lt;0,MIN(-W49,W51),0)</f>
        <v>0</v>
      </c>
      <c r="X52" s="777" t="n">
        <f aca="false">IF(X49&lt;0,MIN(-X49,X51),0)</f>
        <v>0</v>
      </c>
      <c r="Y52" s="777" t="n">
        <f aca="false">IF(Y49&lt;0,MIN(-Y49,Y51),0)</f>
        <v>0</v>
      </c>
      <c r="Z52" s="777" t="n">
        <f aca="false">IF(Z49&lt;0,MIN(-Z49,Z51),0)</f>
        <v>3594.79791190151</v>
      </c>
      <c r="AA52" s="777" t="n">
        <f aca="false">IF(AA49&lt;0,MIN(-AA49,AA51),0)</f>
        <v>629.916135114482</v>
      </c>
      <c r="AB52" s="778" t="n">
        <f aca="false">SUM(F52:AA52)</f>
        <v>8325.25850963551</v>
      </c>
      <c r="AD52" s="175" t="n">
        <f aca="false">AD51+1</f>
        <v>46</v>
      </c>
    </row>
    <row r="53" customFormat="false" ht="12.75" hidden="false" customHeight="false" outlineLevel="0" collapsed="false">
      <c r="A53" s="37"/>
      <c r="AB53" s="555"/>
      <c r="AD53" s="175" t="n">
        <f aca="false">AD52+1</f>
        <v>47</v>
      </c>
    </row>
    <row r="54" customFormat="false" ht="12.75" hidden="false" customHeight="false" outlineLevel="0" collapsed="false">
      <c r="A54" s="55" t="s">
        <v>1092</v>
      </c>
      <c r="F54" s="62" t="n">
        <f aca="false">F$7</f>
        <v>1998</v>
      </c>
      <c r="G54" s="62" t="n">
        <f aca="false">G$7</f>
        <v>1999</v>
      </c>
      <c r="H54" s="62" t="n">
        <f aca="false">H$7</f>
        <v>2000</v>
      </c>
      <c r="I54" s="62" t="n">
        <f aca="false">I$7</f>
        <v>2001</v>
      </c>
      <c r="J54" s="62" t="n">
        <f aca="false">J$7</f>
        <v>2002</v>
      </c>
      <c r="K54" s="62" t="n">
        <f aca="false">K$7</f>
        <v>2003</v>
      </c>
      <c r="L54" s="62" t="n">
        <f aca="false">L$7</f>
        <v>2004</v>
      </c>
      <c r="M54" s="62" t="n">
        <f aca="false">M$7</f>
        <v>2005</v>
      </c>
      <c r="N54" s="62" t="n">
        <f aca="false">N$7</f>
        <v>2006</v>
      </c>
      <c r="O54" s="62" t="n">
        <f aca="false">O$7</f>
        <v>2007</v>
      </c>
      <c r="P54" s="62" t="n">
        <f aca="false">P$7</f>
        <v>2008</v>
      </c>
      <c r="Q54" s="62" t="n">
        <f aca="false">Q$7</f>
        <v>2009</v>
      </c>
      <c r="R54" s="62" t="n">
        <f aca="false">R$7</f>
        <v>2010</v>
      </c>
      <c r="S54" s="62" t="n">
        <f aca="false">S$7</f>
        <v>2011</v>
      </c>
      <c r="T54" s="62" t="n">
        <f aca="false">T$7</f>
        <v>2012</v>
      </c>
      <c r="U54" s="62" t="n">
        <f aca="false">U$7</f>
        <v>2013</v>
      </c>
      <c r="V54" s="62" t="n">
        <f aca="false">V$7</f>
        <v>2014</v>
      </c>
      <c r="W54" s="62" t="n">
        <f aca="false">W$7</f>
        <v>2015</v>
      </c>
      <c r="X54" s="62" t="n">
        <f aca="false">X$7</f>
        <v>2016</v>
      </c>
      <c r="Y54" s="62" t="n">
        <f aca="false">Y$7</f>
        <v>2017</v>
      </c>
      <c r="Z54" s="62" t="n">
        <f aca="false">Z$7</f>
        <v>2018</v>
      </c>
      <c r="AA54" s="62" t="n">
        <f aca="false">AA$7</f>
        <v>2019</v>
      </c>
      <c r="AB54" s="795" t="s">
        <v>766</v>
      </c>
      <c r="AD54" s="175" t="n">
        <f aca="false">AD53+1</f>
        <v>48</v>
      </c>
    </row>
    <row r="55" customFormat="false" ht="12.75" hidden="false" customHeight="false" outlineLevel="0" collapsed="false">
      <c r="A55" s="37" t="s">
        <v>1093</v>
      </c>
      <c r="D55" s="796" t="n">
        <v>1997</v>
      </c>
      <c r="AB55" s="555"/>
      <c r="AD55" s="175" t="n">
        <f aca="false">AD54+1</f>
        <v>49</v>
      </c>
    </row>
    <row r="56" customFormat="false" ht="12.75" hidden="false" customHeight="false" outlineLevel="0" collapsed="false">
      <c r="A56" s="37"/>
      <c r="AB56" s="555"/>
      <c r="AD56" s="175" t="n">
        <f aca="false">AD55+1</f>
        <v>50</v>
      </c>
    </row>
    <row r="57" customFormat="false" ht="12.75" hidden="false" customHeight="false" outlineLevel="0" collapsed="false">
      <c r="A57" s="37" t="s">
        <v>1094</v>
      </c>
      <c r="F57" s="189" t="n">
        <v>0</v>
      </c>
      <c r="G57" s="189" t="n">
        <v>0</v>
      </c>
      <c r="H57" s="189" t="n">
        <v>126</v>
      </c>
      <c r="I57" s="189" t="n">
        <v>10862</v>
      </c>
      <c r="J57" s="189" t="n">
        <v>6972</v>
      </c>
      <c r="K57" s="189" t="n">
        <v>6784</v>
      </c>
      <c r="L57" s="189" t="n">
        <v>869</v>
      </c>
      <c r="M57" s="189" t="n">
        <v>6733</v>
      </c>
      <c r="N57" s="189" t="n">
        <v>7921</v>
      </c>
      <c r="O57" s="189" t="n">
        <v>239</v>
      </c>
      <c r="P57" s="189" t="n">
        <v>239</v>
      </c>
      <c r="Q57" s="189" t="n">
        <v>8961</v>
      </c>
      <c r="R57" s="189" t="n">
        <v>8773</v>
      </c>
      <c r="S57" s="189" t="n">
        <v>239</v>
      </c>
      <c r="T57" s="189" t="n">
        <v>239</v>
      </c>
      <c r="U57" s="189" t="n">
        <v>14299</v>
      </c>
      <c r="V57" s="189" t="n">
        <v>239</v>
      </c>
      <c r="W57" s="189" t="n">
        <v>239</v>
      </c>
      <c r="X57" s="189" t="n">
        <v>6465</v>
      </c>
      <c r="Y57" s="189" t="n">
        <v>12264</v>
      </c>
      <c r="Z57" s="189" t="n">
        <v>239</v>
      </c>
      <c r="AA57" s="189" t="n">
        <v>239</v>
      </c>
      <c r="AB57" s="574" t="n">
        <f aca="false">SUM(F57:AA57)</f>
        <v>92941</v>
      </c>
      <c r="AD57" s="175" t="n">
        <f aca="false">AD56+1</f>
        <v>51</v>
      </c>
    </row>
    <row r="58" customFormat="false" ht="12.75" hidden="false" customHeight="false" outlineLevel="0" collapsed="false">
      <c r="A58" s="37" t="s">
        <v>1095</v>
      </c>
      <c r="C58" s="50" t="n">
        <v>0</v>
      </c>
      <c r="F58" s="797" t="n">
        <f aca="false">-F57*$C58</f>
        <v>-0</v>
      </c>
      <c r="G58" s="797" t="n">
        <f aca="false">-G57*$C58</f>
        <v>-0</v>
      </c>
      <c r="H58" s="797" t="n">
        <f aca="false">-H57*$C58</f>
        <v>-0</v>
      </c>
      <c r="I58" s="797" t="n">
        <f aca="false">-I57*$C58</f>
        <v>-0</v>
      </c>
      <c r="J58" s="797" t="n">
        <f aca="false">-J57*$C58</f>
        <v>-0</v>
      </c>
      <c r="K58" s="797" t="n">
        <f aca="false">-K57*$C58</f>
        <v>-0</v>
      </c>
      <c r="L58" s="797" t="n">
        <f aca="false">-L57*$C58</f>
        <v>-0</v>
      </c>
      <c r="M58" s="797" t="n">
        <f aca="false">-M57*$C58</f>
        <v>-0</v>
      </c>
      <c r="N58" s="797" t="n">
        <f aca="false">-N57*$C58</f>
        <v>-0</v>
      </c>
      <c r="O58" s="797" t="n">
        <f aca="false">-O57*$C58</f>
        <v>-0</v>
      </c>
      <c r="P58" s="797" t="n">
        <f aca="false">-P57*$C58</f>
        <v>-0</v>
      </c>
      <c r="Q58" s="797" t="n">
        <f aca="false">-Q57*$C58</f>
        <v>-0</v>
      </c>
      <c r="R58" s="797" t="n">
        <f aca="false">-R57*$C58</f>
        <v>-0</v>
      </c>
      <c r="S58" s="797" t="n">
        <f aca="false">-S57*$C58</f>
        <v>-0</v>
      </c>
      <c r="T58" s="797" t="n">
        <f aca="false">-T57*$C58</f>
        <v>-0</v>
      </c>
      <c r="U58" s="797" t="n">
        <f aca="false">-U57*$C58</f>
        <v>-0</v>
      </c>
      <c r="V58" s="797" t="n">
        <f aca="false">-V57*$C58</f>
        <v>-0</v>
      </c>
      <c r="W58" s="797" t="n">
        <f aca="false">-W57*$C58</f>
        <v>-0</v>
      </c>
      <c r="X58" s="797" t="n">
        <f aca="false">-X57*$C58</f>
        <v>-0</v>
      </c>
      <c r="Y58" s="797" t="n">
        <f aca="false">-Y57*$C58</f>
        <v>-0</v>
      </c>
      <c r="Z58" s="797" t="n">
        <f aca="false">-Z57*$C58</f>
        <v>-0</v>
      </c>
      <c r="AA58" s="797" t="n">
        <f aca="false">-AA57*$C58</f>
        <v>-0</v>
      </c>
      <c r="AB58" s="576" t="n">
        <f aca="false">SUM(F58:AA58)</f>
        <v>0</v>
      </c>
      <c r="AD58" s="175" t="n">
        <f aca="false">AD57+1</f>
        <v>52</v>
      </c>
    </row>
    <row r="59" customFormat="false" ht="12.75" hidden="false" customHeight="false" outlineLevel="0" collapsed="false">
      <c r="A59" s="37" t="s">
        <v>1094</v>
      </c>
      <c r="F59" s="628" t="n">
        <f aca="false">SUM(F57:F58)</f>
        <v>0</v>
      </c>
      <c r="G59" s="628" t="n">
        <f aca="false">SUM(G57:G58)</f>
        <v>0</v>
      </c>
      <c r="H59" s="628" t="n">
        <f aca="false">SUM(H57:H58)</f>
        <v>126</v>
      </c>
      <c r="I59" s="628" t="n">
        <f aca="false">SUM(I57:I58)</f>
        <v>10862</v>
      </c>
      <c r="J59" s="628" t="n">
        <f aca="false">SUM(J57:J58)</f>
        <v>6972</v>
      </c>
      <c r="K59" s="628" t="n">
        <f aca="false">SUM(K57:K58)</f>
        <v>6784</v>
      </c>
      <c r="L59" s="628" t="n">
        <f aca="false">SUM(L57:L58)</f>
        <v>869</v>
      </c>
      <c r="M59" s="628" t="n">
        <f aca="false">SUM(M57:M58)</f>
        <v>6733</v>
      </c>
      <c r="N59" s="628" t="n">
        <f aca="false">SUM(N57:N58)</f>
        <v>7921</v>
      </c>
      <c r="O59" s="628" t="n">
        <f aca="false">SUM(O57:O58)</f>
        <v>239</v>
      </c>
      <c r="P59" s="628" t="n">
        <f aca="false">SUM(P57:P58)</f>
        <v>239</v>
      </c>
      <c r="Q59" s="628" t="n">
        <f aca="false">SUM(Q57:Q58)</f>
        <v>8961</v>
      </c>
      <c r="R59" s="628" t="n">
        <f aca="false">SUM(R57:R58)</f>
        <v>8773</v>
      </c>
      <c r="S59" s="628" t="n">
        <f aca="false">SUM(S57:S58)</f>
        <v>239</v>
      </c>
      <c r="T59" s="628" t="n">
        <f aca="false">SUM(T57:T58)</f>
        <v>239</v>
      </c>
      <c r="U59" s="628" t="n">
        <f aca="false">SUM(U57:U58)</f>
        <v>14299</v>
      </c>
      <c r="V59" s="628" t="n">
        <f aca="false">SUM(V57:V58)</f>
        <v>239</v>
      </c>
      <c r="W59" s="628" t="n">
        <f aca="false">SUM(W57:W58)</f>
        <v>239</v>
      </c>
      <c r="X59" s="628" t="n">
        <f aca="false">SUM(X57:X58)</f>
        <v>6465</v>
      </c>
      <c r="Y59" s="628" t="n">
        <f aca="false">SUM(Y57:Y58)</f>
        <v>12264</v>
      </c>
      <c r="Z59" s="628" t="n">
        <f aca="false">SUM(Z57:Z58)</f>
        <v>239</v>
      </c>
      <c r="AA59" s="628" t="n">
        <f aca="false">SUM(AA57:AA58)</f>
        <v>239</v>
      </c>
      <c r="AB59" s="574" t="n">
        <f aca="false">SUM(F59:AA59)</f>
        <v>92941</v>
      </c>
      <c r="AD59" s="175" t="n">
        <f aca="false">AD58+1</f>
        <v>53</v>
      </c>
    </row>
    <row r="60" customFormat="false" ht="12.75" hidden="false" customHeight="false" outlineLevel="0" collapsed="false">
      <c r="A60" s="37" t="s">
        <v>1096</v>
      </c>
      <c r="F60" s="798" t="n">
        <v>0</v>
      </c>
      <c r="G60" s="798" t="n">
        <v>0</v>
      </c>
      <c r="H60" s="798" t="n">
        <v>0.2565</v>
      </c>
      <c r="I60" s="798" t="n">
        <v>0.0059</v>
      </c>
      <c r="J60" s="798" t="n">
        <v>0.0671</v>
      </c>
      <c r="K60" s="798" t="n">
        <v>0.0584</v>
      </c>
      <c r="L60" s="798" t="n">
        <v>0.0742</v>
      </c>
      <c r="M60" s="798" t="n">
        <v>0.0827</v>
      </c>
      <c r="N60" s="798" t="n">
        <v>0.0271</v>
      </c>
      <c r="O60" s="798" t="n">
        <v>0.2697</v>
      </c>
      <c r="P60" s="798" t="n">
        <v>0.2697</v>
      </c>
      <c r="Q60" s="798" t="n">
        <v>0.0522</v>
      </c>
      <c r="R60" s="798" t="n">
        <v>0.0452</v>
      </c>
      <c r="S60" s="798" t="n">
        <v>0.2697</v>
      </c>
      <c r="T60" s="798" t="n">
        <v>0.2697</v>
      </c>
      <c r="U60" s="798" t="n">
        <v>0.0494</v>
      </c>
      <c r="V60" s="798" t="n">
        <v>0.2697</v>
      </c>
      <c r="W60" s="798" t="n">
        <v>0.2697</v>
      </c>
      <c r="X60" s="798" t="n">
        <v>0.0724</v>
      </c>
      <c r="Y60" s="798" t="n">
        <v>0.0323</v>
      </c>
      <c r="Z60" s="798" t="n">
        <v>0.2697</v>
      </c>
      <c r="AA60" s="798" t="n">
        <v>0.2697</v>
      </c>
      <c r="AB60" s="574"/>
      <c r="AD60" s="175" t="n">
        <f aca="false">AD59+1</f>
        <v>54</v>
      </c>
    </row>
    <row r="61" customFormat="false" ht="12.75" hidden="false" customHeight="false" outlineLevel="0" collapsed="false">
      <c r="A61" s="37" t="s">
        <v>1097</v>
      </c>
      <c r="F61" s="628" t="n">
        <f aca="false">F59*F60</f>
        <v>0</v>
      </c>
      <c r="G61" s="628" t="n">
        <f aca="false">G59*G60</f>
        <v>0</v>
      </c>
      <c r="H61" s="628" t="n">
        <f aca="false">H59*H60</f>
        <v>32.319</v>
      </c>
      <c r="I61" s="628" t="n">
        <f aca="false">I59*I60</f>
        <v>64.0858</v>
      </c>
      <c r="J61" s="628" t="n">
        <f aca="false">J59*J60</f>
        <v>467.8212</v>
      </c>
      <c r="K61" s="628" t="n">
        <f aca="false">K59*K60</f>
        <v>396.1856</v>
      </c>
      <c r="L61" s="628" t="n">
        <f aca="false">L59*L60</f>
        <v>64.4798</v>
      </c>
      <c r="M61" s="628" t="n">
        <f aca="false">M59*M60</f>
        <v>556.8191</v>
      </c>
      <c r="N61" s="628" t="n">
        <f aca="false">N59*N60</f>
        <v>214.6591</v>
      </c>
      <c r="O61" s="628" t="n">
        <f aca="false">O59*O60</f>
        <v>64.4583</v>
      </c>
      <c r="P61" s="628" t="n">
        <f aca="false">P59*P60</f>
        <v>64.4583</v>
      </c>
      <c r="Q61" s="628" t="n">
        <f aca="false">Q59*Q60</f>
        <v>467.7642</v>
      </c>
      <c r="R61" s="628" t="n">
        <f aca="false">R59*R60</f>
        <v>396.5396</v>
      </c>
      <c r="S61" s="628" t="n">
        <f aca="false">S59*S60</f>
        <v>64.4583</v>
      </c>
      <c r="T61" s="628" t="n">
        <f aca="false">T59*T60</f>
        <v>64.4583</v>
      </c>
      <c r="U61" s="628" t="n">
        <f aca="false">U59*U60</f>
        <v>706.3706</v>
      </c>
      <c r="V61" s="628" t="n">
        <f aca="false">V59*V60</f>
        <v>64.4583</v>
      </c>
      <c r="W61" s="628" t="n">
        <f aca="false">W59*W60</f>
        <v>64.4583</v>
      </c>
      <c r="X61" s="628" t="n">
        <f aca="false">X59*X60</f>
        <v>468.066</v>
      </c>
      <c r="Y61" s="628" t="n">
        <f aca="false">Y59*Y60</f>
        <v>396.1272</v>
      </c>
      <c r="Z61" s="628" t="n">
        <f aca="false">Z59*Z60</f>
        <v>64.4583</v>
      </c>
      <c r="AA61" s="628" t="n">
        <f aca="false">AA59*AA60</f>
        <v>64.4583</v>
      </c>
      <c r="AB61" s="574" t="n">
        <f aca="false">SUM(F61:AA61)</f>
        <v>4746.9036</v>
      </c>
      <c r="AD61" s="175" t="n">
        <f aca="false">AD60+1</f>
        <v>55</v>
      </c>
    </row>
    <row r="62" customFormat="false" ht="12.75" hidden="false" customHeight="false" outlineLevel="0" collapsed="false">
      <c r="A62" s="37" t="s">
        <v>1098</v>
      </c>
      <c r="F62" s="628" t="n">
        <f aca="false">F59-F61</f>
        <v>0</v>
      </c>
      <c r="G62" s="628" t="n">
        <f aca="false">G59-G61</f>
        <v>0</v>
      </c>
      <c r="H62" s="628" t="n">
        <f aca="false">H59-H61</f>
        <v>93.681</v>
      </c>
      <c r="I62" s="628" t="n">
        <f aca="false">I59-I61</f>
        <v>10797.9142</v>
      </c>
      <c r="J62" s="628" t="n">
        <f aca="false">J59-J61</f>
        <v>6504.1788</v>
      </c>
      <c r="K62" s="628" t="n">
        <f aca="false">K59-K61</f>
        <v>6387.8144</v>
      </c>
      <c r="L62" s="628" t="n">
        <f aca="false">L59-L61</f>
        <v>804.5202</v>
      </c>
      <c r="M62" s="628" t="n">
        <f aca="false">M59-M61</f>
        <v>6176.1809</v>
      </c>
      <c r="N62" s="628" t="n">
        <f aca="false">N59-N61</f>
        <v>7706.3409</v>
      </c>
      <c r="O62" s="628" t="n">
        <f aca="false">O59-O61</f>
        <v>174.5417</v>
      </c>
      <c r="P62" s="628" t="n">
        <f aca="false">P59-P61</f>
        <v>174.5417</v>
      </c>
      <c r="Q62" s="628" t="n">
        <f aca="false">Q59-Q61</f>
        <v>8493.2358</v>
      </c>
      <c r="R62" s="628" t="n">
        <f aca="false">R59-R61</f>
        <v>8376.4604</v>
      </c>
      <c r="S62" s="628" t="n">
        <f aca="false">S59-S61</f>
        <v>174.5417</v>
      </c>
      <c r="T62" s="628" t="n">
        <f aca="false">T59-T61</f>
        <v>174.5417</v>
      </c>
      <c r="U62" s="628" t="n">
        <f aca="false">U59-U61</f>
        <v>13592.6294</v>
      </c>
      <c r="V62" s="628" t="n">
        <f aca="false">V59-V61</f>
        <v>174.5417</v>
      </c>
      <c r="W62" s="628" t="n">
        <f aca="false">W59-W61</f>
        <v>174.5417</v>
      </c>
      <c r="X62" s="628" t="n">
        <f aca="false">X59-X61</f>
        <v>5996.934</v>
      </c>
      <c r="Y62" s="628" t="n">
        <f aca="false">Y59-Y61</f>
        <v>11867.8728</v>
      </c>
      <c r="Z62" s="628" t="n">
        <f aca="false">Z59-Z61</f>
        <v>174.5417</v>
      </c>
      <c r="AA62" s="628" t="n">
        <f aca="false">AA59-AA61</f>
        <v>174.5417</v>
      </c>
      <c r="AB62" s="574" t="n">
        <f aca="false">SUM(F62:AA62)</f>
        <v>88194.0964</v>
      </c>
      <c r="AD62" s="175" t="n">
        <f aca="false">AD61+1</f>
        <v>56</v>
      </c>
    </row>
    <row r="63" customFormat="false" ht="12.75" hidden="false" customHeight="false" outlineLevel="0" collapsed="false">
      <c r="A63" s="37"/>
      <c r="AB63" s="555"/>
      <c r="AD63" s="175" t="n">
        <f aca="false">AD62+1</f>
        <v>57</v>
      </c>
    </row>
    <row r="64" customFormat="false" ht="12.75" hidden="false" customHeight="false" outlineLevel="0" collapsed="false">
      <c r="A64" s="37" t="s">
        <v>1098</v>
      </c>
      <c r="F64" s="628" t="n">
        <f aca="false">F62</f>
        <v>0</v>
      </c>
      <c r="G64" s="628" t="n">
        <f aca="false">G62</f>
        <v>0</v>
      </c>
      <c r="H64" s="628" t="n">
        <f aca="false">H62</f>
        <v>93.681</v>
      </c>
      <c r="I64" s="628" t="n">
        <f aca="false">I62</f>
        <v>10797.9142</v>
      </c>
      <c r="J64" s="628" t="n">
        <f aca="false">J62</f>
        <v>6504.1788</v>
      </c>
      <c r="K64" s="628" t="n">
        <f aca="false">K62</f>
        <v>6387.8144</v>
      </c>
      <c r="L64" s="628" t="n">
        <f aca="false">L62</f>
        <v>804.5202</v>
      </c>
      <c r="M64" s="628" t="n">
        <f aca="false">M62</f>
        <v>6176.1809</v>
      </c>
      <c r="N64" s="628" t="n">
        <f aca="false">N62</f>
        <v>7706.3409</v>
      </c>
      <c r="O64" s="628" t="n">
        <f aca="false">O62</f>
        <v>174.5417</v>
      </c>
      <c r="P64" s="628" t="n">
        <f aca="false">P62</f>
        <v>174.5417</v>
      </c>
      <c r="Q64" s="628" t="n">
        <f aca="false">Q62</f>
        <v>8493.2358</v>
      </c>
      <c r="R64" s="628" t="n">
        <f aca="false">R62</f>
        <v>8376.4604</v>
      </c>
      <c r="S64" s="628" t="n">
        <f aca="false">S62</f>
        <v>174.5417</v>
      </c>
      <c r="T64" s="628" t="n">
        <f aca="false">T62</f>
        <v>174.5417</v>
      </c>
      <c r="U64" s="628" t="n">
        <f aca="false">U62</f>
        <v>13592.6294</v>
      </c>
      <c r="V64" s="628" t="n">
        <f aca="false">V62</f>
        <v>174.5417</v>
      </c>
      <c r="W64" s="628" t="n">
        <f aca="false">W62</f>
        <v>174.5417</v>
      </c>
      <c r="X64" s="628" t="n">
        <f aca="false">X62</f>
        <v>5996.934</v>
      </c>
      <c r="Y64" s="628" t="n">
        <f aca="false">Y62</f>
        <v>11867.8728</v>
      </c>
      <c r="Z64" s="628" t="n">
        <f aca="false">Z62</f>
        <v>174.5417</v>
      </c>
      <c r="AA64" s="628" t="n">
        <f aca="false">AA62</f>
        <v>174.5417</v>
      </c>
      <c r="AB64" s="574" t="n">
        <f aca="false">SUM(F64:AA64)</f>
        <v>88194.0964</v>
      </c>
      <c r="AD64" s="175" t="n">
        <f aca="false">AD63+1</f>
        <v>58</v>
      </c>
    </row>
    <row r="65" customFormat="false" ht="12.75" hidden="false" customHeight="false" outlineLevel="0" collapsed="false">
      <c r="A65" s="37" t="s">
        <v>1099</v>
      </c>
      <c r="D65" s="229"/>
      <c r="F65" s="799" t="n">
        <f aca="false">Rev_Exp!D25</f>
        <v>1.0143570536829</v>
      </c>
      <c r="G65" s="799" t="n">
        <f aca="false">Rev_Exp!E25</f>
        <v>1.0374531835206</v>
      </c>
      <c r="H65" s="799" t="n">
        <f aca="false">Rev_Exp!F25</f>
        <v>1.06207999503397</v>
      </c>
      <c r="I65" s="799" t="n">
        <f aca="false">Rev_Exp!G25</f>
        <v>1.09718061747934</v>
      </c>
      <c r="J65" s="799" t="n">
        <f aca="false">Rev_Exp!H25</f>
        <v>1.13219066683837</v>
      </c>
      <c r="K65" s="799" t="n">
        <f aca="false">Rev_Exp!I25</f>
        <v>1.16628704592773</v>
      </c>
      <c r="L65" s="799" t="n">
        <f aca="false">Rev_Exp!J25</f>
        <v>1.20034933429065</v>
      </c>
      <c r="M65" s="799" t="n">
        <f aca="false">Rev_Exp!K25</f>
        <v>1.23462294375966</v>
      </c>
      <c r="N65" s="799" t="n">
        <f aca="false">Rev_Exp!L25</f>
        <v>1.26919095628799</v>
      </c>
      <c r="O65" s="799" t="n">
        <f aca="false">Rev_Exp!M25</f>
        <v>1.30389657610682</v>
      </c>
      <c r="P65" s="799" t="n">
        <f aca="false">Rev_Exp!N25</f>
        <v>1.33877978058913</v>
      </c>
      <c r="Q65" s="799" t="n">
        <f aca="false">Rev_Exp!O25</f>
        <v>1.37395101449367</v>
      </c>
      <c r="R65" s="799" t="n">
        <f aca="false">Rev_Exp!P25</f>
        <v>1.40945468809218</v>
      </c>
      <c r="S65" s="799" t="n">
        <f aca="false">Rev_Exp!Q25</f>
        <v>1.44536293026781</v>
      </c>
      <c r="T65" s="799" t="n">
        <f aca="false">Rev_Exp!R25</f>
        <v>1.48180861051097</v>
      </c>
      <c r="U65" s="799" t="n">
        <f aca="false">Rev_Exp!S25</f>
        <v>1.51901070889322</v>
      </c>
      <c r="V65" s="799" t="n">
        <f aca="false">Rev_Exp!T25</f>
        <v>1.55739783154092</v>
      </c>
      <c r="W65" s="799" t="n">
        <f aca="false">Rev_Exp!U25</f>
        <v>1.59733039824151</v>
      </c>
      <c r="X65" s="799" t="n">
        <f aca="false">Rev_Exp!V25</f>
        <v>1.63898344452994</v>
      </c>
      <c r="Y65" s="799" t="n">
        <f aca="false">Rev_Exp!W25</f>
        <v>1.68254669873615</v>
      </c>
      <c r="Z65" s="799" t="n">
        <f aca="false">Rev_Exp!X25</f>
        <v>1.72801332733687</v>
      </c>
      <c r="AA65" s="799" t="n">
        <f aca="false">Rev_Exp!Y25</f>
        <v>1.77543572910631</v>
      </c>
      <c r="AB65" s="557"/>
      <c r="AD65" s="175" t="n">
        <f aca="false">AD64+1</f>
        <v>59</v>
      </c>
    </row>
    <row r="66" customFormat="false" ht="12.75" hidden="false" customHeight="false" outlineLevel="0" collapsed="false">
      <c r="A66" s="37" t="s">
        <v>1100</v>
      </c>
      <c r="F66" s="217" t="n">
        <f aca="false">F64*F65</f>
        <v>0</v>
      </c>
      <c r="G66" s="217" t="n">
        <f aca="false">G64*G65</f>
        <v>0</v>
      </c>
      <c r="H66" s="217" t="n">
        <f aca="false">H64*H65</f>
        <v>99.4967160147772</v>
      </c>
      <c r="I66" s="217" t="n">
        <f aca="false">I64*I65</f>
        <v>11847.2621694449</v>
      </c>
      <c r="J66" s="217" t="n">
        <f aca="false">J64*J65</f>
        <v>7363.97053280796</v>
      </c>
      <c r="K66" s="217" t="n">
        <f aca="false">K64*K65</f>
        <v>7450.02518651064</v>
      </c>
      <c r="L66" s="217" t="n">
        <f aca="false">L64*L65</f>
        <v>965.705286493381</v>
      </c>
      <c r="M66" s="217" t="n">
        <f aca="false">M64*M65</f>
        <v>7625.2546439502</v>
      </c>
      <c r="N66" s="217" t="n">
        <f aca="false">N64*N65</f>
        <v>9780.81817635224</v>
      </c>
      <c r="O66" s="217" t="n">
        <f aca="false">O64*O65</f>
        <v>227.584325017863</v>
      </c>
      <c r="P66" s="217" t="n">
        <f aca="false">P64*P65</f>
        <v>233.672898829653</v>
      </c>
      <c r="Q66" s="217" t="n">
        <f aca="false">Q64*Q65</f>
        <v>11669.2899437439</v>
      </c>
      <c r="R66" s="217" t="n">
        <f aca="false">R64*R65</f>
        <v>11806.2413803985</v>
      </c>
      <c r="S66" s="217" t="n">
        <f aca="false">S64*S65</f>
        <v>252.276102965925</v>
      </c>
      <c r="T66" s="217" t="n">
        <f aca="false">T64*T65</f>
        <v>258.637393953223</v>
      </c>
      <c r="U66" s="217" t="n">
        <f aca="false">U64*U65</f>
        <v>20647.3496206169</v>
      </c>
      <c r="V66" s="217" t="n">
        <f aca="false">V64*V65</f>
        <v>271.830865093465</v>
      </c>
      <c r="W66" s="217" t="n">
        <f aca="false">W64*W65</f>
        <v>278.80076317075</v>
      </c>
      <c r="X66" s="217" t="n">
        <f aca="false">X64*X65</f>
        <v>9828.87554393873</v>
      </c>
      <c r="Y66" s="217" t="n">
        <f aca="false">Y64*Y65</f>
        <v>19968.2502006605</v>
      </c>
      <c r="Z66" s="217" t="n">
        <f aca="false">Z64*Z65</f>
        <v>301.610383776033</v>
      </c>
      <c r="AA66" s="217" t="n">
        <f aca="false">AA64*AA65</f>
        <v>309.887570398955</v>
      </c>
      <c r="AB66" s="574" t="n">
        <f aca="false">SUM(F66:AA66)</f>
        <v>121186.839704139</v>
      </c>
      <c r="AD66" s="175" t="n">
        <f aca="false">AD65+1</f>
        <v>60</v>
      </c>
    </row>
    <row r="67" customFormat="false" ht="12.75" hidden="false" customHeight="false" outlineLevel="0" collapsed="false">
      <c r="A67" s="37" t="s">
        <v>1101</v>
      </c>
      <c r="D67" s="800" t="n">
        <f aca="false">Duties_Maint</f>
        <v>0.1</v>
      </c>
      <c r="F67" s="220" t="n">
        <f aca="false">F66*$D67</f>
        <v>0</v>
      </c>
      <c r="G67" s="220" t="n">
        <f aca="false">G66*$D67</f>
        <v>0</v>
      </c>
      <c r="H67" s="220" t="n">
        <f aca="false">H66*$D67</f>
        <v>9.94967160147772</v>
      </c>
      <c r="I67" s="220" t="n">
        <f aca="false">I66*$D67</f>
        <v>1184.72621694449</v>
      </c>
      <c r="J67" s="220" t="n">
        <f aca="false">J66*$D67</f>
        <v>736.397053280796</v>
      </c>
      <c r="K67" s="220" t="n">
        <f aca="false">K66*$D67</f>
        <v>745.002518651064</v>
      </c>
      <c r="L67" s="220" t="n">
        <f aca="false">L66*$D67</f>
        <v>96.5705286493381</v>
      </c>
      <c r="M67" s="220" t="n">
        <f aca="false">M66*$D67</f>
        <v>762.52546439502</v>
      </c>
      <c r="N67" s="220" t="n">
        <f aca="false">N66*$D67</f>
        <v>978.081817635224</v>
      </c>
      <c r="O67" s="220" t="n">
        <f aca="false">O66*$D67</f>
        <v>22.7584325017863</v>
      </c>
      <c r="P67" s="220" t="n">
        <f aca="false">P66*$D67</f>
        <v>23.3672898829653</v>
      </c>
      <c r="Q67" s="220" t="n">
        <f aca="false">Q66*$D67</f>
        <v>1166.92899437439</v>
      </c>
      <c r="R67" s="220" t="n">
        <f aca="false">R66*$D67</f>
        <v>1180.62413803985</v>
      </c>
      <c r="S67" s="220" t="n">
        <f aca="false">S66*$D67</f>
        <v>25.2276102965925</v>
      </c>
      <c r="T67" s="220" t="n">
        <f aca="false">T66*$D67</f>
        <v>25.8637393953223</v>
      </c>
      <c r="U67" s="220" t="n">
        <f aca="false">U66*$D67</f>
        <v>2064.73496206169</v>
      </c>
      <c r="V67" s="220" t="n">
        <f aca="false">V66*$D67</f>
        <v>27.1830865093465</v>
      </c>
      <c r="W67" s="220" t="n">
        <f aca="false">W66*$D67</f>
        <v>27.880076317075</v>
      </c>
      <c r="X67" s="220" t="n">
        <f aca="false">X66*$D67</f>
        <v>982.887554393873</v>
      </c>
      <c r="Y67" s="220" t="n">
        <f aca="false">Y66*$D67</f>
        <v>1996.82502006605</v>
      </c>
      <c r="Z67" s="220" t="n">
        <f aca="false">Z66*$D67</f>
        <v>30.1610383776033</v>
      </c>
      <c r="AA67" s="220" t="n">
        <f aca="false">AA66*$D67</f>
        <v>30.9887570398955</v>
      </c>
      <c r="AB67" s="576" t="n">
        <f aca="false">SUM(F67:AA67)</f>
        <v>12118.6839704139</v>
      </c>
      <c r="AD67" s="175" t="n">
        <f aca="false">AD66+1</f>
        <v>61</v>
      </c>
    </row>
    <row r="68" customFormat="false" ht="12.75" hidden="false" customHeight="false" outlineLevel="0" collapsed="false">
      <c r="A68" s="37" t="s">
        <v>1102</v>
      </c>
      <c r="F68" s="217" t="n">
        <f aca="false">SUM(F66:F67)</f>
        <v>0</v>
      </c>
      <c r="G68" s="217" t="n">
        <f aca="false">SUM(G66:G67)</f>
        <v>0</v>
      </c>
      <c r="H68" s="217" t="n">
        <f aca="false">SUM(H66:H67)</f>
        <v>109.446387616255</v>
      </c>
      <c r="I68" s="217" t="n">
        <f aca="false">SUM(I66:I67)</f>
        <v>13031.9883863894</v>
      </c>
      <c r="J68" s="217" t="n">
        <f aca="false">SUM(J66:J67)</f>
        <v>8100.36758608876</v>
      </c>
      <c r="K68" s="217" t="n">
        <f aca="false">SUM(K66:K67)</f>
        <v>8195.0277051617</v>
      </c>
      <c r="L68" s="217" t="n">
        <f aca="false">SUM(L66:L67)</f>
        <v>1062.27581514272</v>
      </c>
      <c r="M68" s="217" t="n">
        <f aca="false">SUM(M66:M67)</f>
        <v>8387.78010834523</v>
      </c>
      <c r="N68" s="217" t="n">
        <f aca="false">SUM(N66:N67)</f>
        <v>10758.8999939875</v>
      </c>
      <c r="O68" s="217" t="n">
        <f aca="false">SUM(O66:O67)</f>
        <v>250.342757519649</v>
      </c>
      <c r="P68" s="217" t="n">
        <f aca="false">SUM(P66:P67)</f>
        <v>257.040188712618</v>
      </c>
      <c r="Q68" s="217" t="n">
        <f aca="false">SUM(Q66:Q67)</f>
        <v>12836.2189381183</v>
      </c>
      <c r="R68" s="217" t="n">
        <f aca="false">SUM(R66:R67)</f>
        <v>12986.8655184383</v>
      </c>
      <c r="S68" s="217" t="n">
        <f aca="false">SUM(S66:S67)</f>
        <v>277.503713262517</v>
      </c>
      <c r="T68" s="217" t="n">
        <f aca="false">SUM(T66:T67)</f>
        <v>284.501133348545</v>
      </c>
      <c r="U68" s="217" t="n">
        <f aca="false">SUM(U66:U67)</f>
        <v>22712.0845826785</v>
      </c>
      <c r="V68" s="217" t="n">
        <f aca="false">SUM(V66:V67)</f>
        <v>299.013951602812</v>
      </c>
      <c r="W68" s="217" t="n">
        <f aca="false">SUM(W66:W67)</f>
        <v>306.680839487825</v>
      </c>
      <c r="X68" s="217" t="n">
        <f aca="false">SUM(X66:X67)</f>
        <v>10811.7630983326</v>
      </c>
      <c r="Y68" s="217" t="n">
        <f aca="false">SUM(Y66:Y67)</f>
        <v>21965.0752207266</v>
      </c>
      <c r="Z68" s="217" t="n">
        <f aca="false">SUM(Z66:Z67)</f>
        <v>331.771422153637</v>
      </c>
      <c r="AA68" s="217" t="n">
        <f aca="false">SUM(AA66:AA67)</f>
        <v>340.876327438851</v>
      </c>
      <c r="AB68" s="574" t="n">
        <f aca="false">SUM(F68:AA68)</f>
        <v>133305.523674552</v>
      </c>
      <c r="AD68" s="175" t="n">
        <f aca="false">AD67+1</f>
        <v>62</v>
      </c>
    </row>
    <row r="69" customFormat="false" ht="12.75" hidden="false" customHeight="false" outlineLevel="0" collapsed="false">
      <c r="A69" s="37"/>
      <c r="AB69" s="555"/>
      <c r="AD69" s="175" t="n">
        <f aca="false">AD68+1</f>
        <v>63</v>
      </c>
    </row>
    <row r="70" customFormat="false" ht="12.75" hidden="false" customHeight="false" outlineLevel="0" collapsed="false">
      <c r="A70" s="755" t="s">
        <v>1103</v>
      </c>
      <c r="B70" s="756"/>
      <c r="C70" s="756"/>
      <c r="D70" s="801"/>
      <c r="E70" s="756"/>
      <c r="F70" s="802" t="n">
        <f aca="false">F68</f>
        <v>0</v>
      </c>
      <c r="G70" s="802" t="n">
        <f aca="false">AVERAGE($G68:$Y68)</f>
        <v>6980.67768026105</v>
      </c>
      <c r="H70" s="802" t="n">
        <f aca="false">AVERAGE($G68:$Y68)</f>
        <v>6980.67768026105</v>
      </c>
      <c r="I70" s="802" t="n">
        <f aca="false">AVERAGE($G68:$Y68)</f>
        <v>6980.67768026105</v>
      </c>
      <c r="J70" s="802" t="n">
        <f aca="false">AVERAGE($G68:$Y68)</f>
        <v>6980.67768026105</v>
      </c>
      <c r="K70" s="802" t="n">
        <f aca="false">AVERAGE($G68:$Y68)</f>
        <v>6980.67768026105</v>
      </c>
      <c r="L70" s="802" t="n">
        <f aca="false">AVERAGE($G68:$Y68)</f>
        <v>6980.67768026105</v>
      </c>
      <c r="M70" s="802" t="n">
        <f aca="false">AVERAGE($G68:$Y68)</f>
        <v>6980.67768026105</v>
      </c>
      <c r="N70" s="802" t="n">
        <f aca="false">AVERAGE($G68:$Y68)</f>
        <v>6980.67768026105</v>
      </c>
      <c r="O70" s="802" t="n">
        <f aca="false">AVERAGE($G68:$Y68)</f>
        <v>6980.67768026105</v>
      </c>
      <c r="P70" s="802" t="n">
        <f aca="false">AVERAGE($G68:$Y68)</f>
        <v>6980.67768026105</v>
      </c>
      <c r="Q70" s="802" t="n">
        <f aca="false">AVERAGE($G68:$Y68)</f>
        <v>6980.67768026105</v>
      </c>
      <c r="R70" s="802" t="n">
        <f aca="false">AVERAGE($G68:$Y68)</f>
        <v>6980.67768026105</v>
      </c>
      <c r="S70" s="802" t="n">
        <f aca="false">AVERAGE($G68:$Y68)</f>
        <v>6980.67768026105</v>
      </c>
      <c r="T70" s="802" t="n">
        <f aca="false">AVERAGE($G68:$Y68)</f>
        <v>6980.67768026105</v>
      </c>
      <c r="U70" s="802" t="n">
        <f aca="false">AVERAGE($G68:$Y68)</f>
        <v>6980.67768026105</v>
      </c>
      <c r="V70" s="802" t="n">
        <f aca="false">AVERAGE($G68:$Y68)</f>
        <v>6980.67768026105</v>
      </c>
      <c r="W70" s="802" t="n">
        <f aca="false">AVERAGE($G68:$Y68)</f>
        <v>6980.67768026105</v>
      </c>
      <c r="X70" s="802" t="n">
        <f aca="false">AVERAGE($G68:$Y68)</f>
        <v>6980.67768026105</v>
      </c>
      <c r="Y70" s="802" t="n">
        <f aca="false">AVERAGE($G68:$Y68)</f>
        <v>6980.67768026105</v>
      </c>
      <c r="Z70" s="802" t="n">
        <f aca="false">Z68</f>
        <v>331.771422153637</v>
      </c>
      <c r="AA70" s="802" t="n">
        <f aca="false">AA68</f>
        <v>340.876327438851</v>
      </c>
      <c r="AB70" s="787" t="n">
        <f aca="false">SUM(F70:AA70)</f>
        <v>133305.523674552</v>
      </c>
      <c r="AC70" s="803" t="str">
        <f aca="false">IF(ABS(AB70-AB68)&gt;0.01,"CHECK"," ")</f>
        <v> </v>
      </c>
      <c r="AD70" s="175" t="n">
        <f aca="false">AD69+1</f>
        <v>64</v>
      </c>
    </row>
    <row r="71" customFormat="false" ht="12.75" hidden="false" customHeight="false" outlineLevel="0" collapsed="false">
      <c r="A71" s="601" t="s">
        <v>1104</v>
      </c>
      <c r="B71" s="602"/>
      <c r="C71" s="602"/>
      <c r="D71" s="602"/>
      <c r="E71" s="602"/>
      <c r="F71" s="792" t="n">
        <f aca="false">F70-F68</f>
        <v>0</v>
      </c>
      <c r="G71" s="792" t="n">
        <f aca="false">G70-G68</f>
        <v>6980.67768026105</v>
      </c>
      <c r="H71" s="792" t="n">
        <f aca="false">H70-H68</f>
        <v>6871.23129264479</v>
      </c>
      <c r="I71" s="792" t="n">
        <f aca="false">I70-I68</f>
        <v>-6051.31070612839</v>
      </c>
      <c r="J71" s="792" t="n">
        <f aca="false">J70-J68</f>
        <v>-1119.68990582771</v>
      </c>
      <c r="K71" s="792" t="n">
        <f aca="false">K70-K68</f>
        <v>-1214.35002490065</v>
      </c>
      <c r="L71" s="792" t="n">
        <f aca="false">L70-L68</f>
        <v>5918.40186511833</v>
      </c>
      <c r="M71" s="792" t="n">
        <f aca="false">M70-M68</f>
        <v>-1407.10242808418</v>
      </c>
      <c r="N71" s="792" t="n">
        <f aca="false">N70-N68</f>
        <v>-3778.22231372641</v>
      </c>
      <c r="O71" s="792" t="n">
        <f aca="false">O70-O68</f>
        <v>6730.3349227414</v>
      </c>
      <c r="P71" s="792" t="n">
        <f aca="false">P70-P68</f>
        <v>6723.63749154843</v>
      </c>
      <c r="Q71" s="792" t="n">
        <f aca="false">Q70-Q68</f>
        <v>-5855.54125785729</v>
      </c>
      <c r="R71" s="792" t="n">
        <f aca="false">R70-R68</f>
        <v>-6006.18783817729</v>
      </c>
      <c r="S71" s="792" t="n">
        <f aca="false">S70-S68</f>
        <v>6703.17396699853</v>
      </c>
      <c r="T71" s="792" t="n">
        <f aca="false">T70-T68</f>
        <v>6696.1765469125</v>
      </c>
      <c r="U71" s="792" t="n">
        <f aca="false">U70-U68</f>
        <v>-15731.4069024175</v>
      </c>
      <c r="V71" s="792" t="n">
        <f aca="false">V70-V68</f>
        <v>6681.66372865824</v>
      </c>
      <c r="W71" s="792" t="n">
        <f aca="false">W70-W68</f>
        <v>6673.99684077322</v>
      </c>
      <c r="X71" s="792" t="n">
        <f aca="false">X70-X68</f>
        <v>-3831.08541807155</v>
      </c>
      <c r="Y71" s="792" t="n">
        <f aca="false">Y70-Y68</f>
        <v>-14984.3975404655</v>
      </c>
      <c r="Z71" s="792" t="n">
        <f aca="false">Z70-Z68</f>
        <v>0</v>
      </c>
      <c r="AA71" s="792" t="n">
        <f aca="false">AA70-AA68</f>
        <v>0</v>
      </c>
      <c r="AB71" s="793" t="n">
        <f aca="false">SUM(F71:AA71)</f>
        <v>0</v>
      </c>
      <c r="AD71" s="175" t="n">
        <f aca="false">AD70+1</f>
        <v>65</v>
      </c>
    </row>
    <row r="72" customFormat="false" ht="12.75" hidden="false" customHeight="false" outlineLevel="0" collapsed="false">
      <c r="A72" s="37"/>
      <c r="AB72" s="555"/>
      <c r="AD72" s="175" t="n">
        <f aca="false">AD71+1</f>
        <v>66</v>
      </c>
    </row>
    <row r="73" customFormat="false" ht="12.75" hidden="false" customHeight="false" outlineLevel="0" collapsed="false">
      <c r="A73" s="302" t="s">
        <v>1105</v>
      </c>
      <c r="AB73" s="555"/>
      <c r="AD73" s="175" t="n">
        <f aca="false">AD72+1</f>
        <v>67</v>
      </c>
    </row>
    <row r="74" customFormat="false" ht="12.75" hidden="false" customHeight="false" outlineLevel="0" collapsed="false">
      <c r="A74" s="37" t="s">
        <v>1106</v>
      </c>
      <c r="F74" s="189" t="n">
        <v>0</v>
      </c>
      <c r="G74" s="217" t="n">
        <f aca="false">F77</f>
        <v>0</v>
      </c>
      <c r="H74" s="217" t="n">
        <f aca="false">G77</f>
        <v>6980.67768026105</v>
      </c>
      <c r="I74" s="217" t="n">
        <f aca="false">H77</f>
        <v>13851.9089729058</v>
      </c>
      <c r="J74" s="217" t="n">
        <f aca="false">I77</f>
        <v>7800.59826677745</v>
      </c>
      <c r="K74" s="217" t="n">
        <f aca="false">J77</f>
        <v>6680.90836094974</v>
      </c>
      <c r="L74" s="217" t="n">
        <f aca="false">K77</f>
        <v>5466.55833604909</v>
      </c>
      <c r="M74" s="217" t="n">
        <f aca="false">L77</f>
        <v>11384.9602011674</v>
      </c>
      <c r="N74" s="217" t="n">
        <f aca="false">M77</f>
        <v>9977.85777308324</v>
      </c>
      <c r="O74" s="217" t="n">
        <f aca="false">N77</f>
        <v>6199.63545935683</v>
      </c>
      <c r="P74" s="217" t="n">
        <f aca="false">O77</f>
        <v>12929.9703820982</v>
      </c>
      <c r="Q74" s="217" t="n">
        <f aca="false">P77</f>
        <v>19653.6078736467</v>
      </c>
      <c r="R74" s="217" t="n">
        <f aca="false">Q77</f>
        <v>13798.0666157894</v>
      </c>
      <c r="S74" s="217" t="n">
        <f aca="false">R77</f>
        <v>7791.87877761208</v>
      </c>
      <c r="T74" s="217" t="n">
        <f aca="false">S77</f>
        <v>14495.0527446106</v>
      </c>
      <c r="U74" s="217" t="n">
        <f aca="false">T77</f>
        <v>21191.2292915231</v>
      </c>
      <c r="V74" s="217" t="n">
        <f aca="false">U77</f>
        <v>5459.82238910562</v>
      </c>
      <c r="W74" s="217" t="n">
        <f aca="false">V77</f>
        <v>12141.4861177639</v>
      </c>
      <c r="X74" s="217" t="n">
        <f aca="false">W77</f>
        <v>18815.4829585371</v>
      </c>
      <c r="Y74" s="217" t="n">
        <f aca="false">X77</f>
        <v>14984.3975404655</v>
      </c>
      <c r="Z74" s="217" t="n">
        <f aca="false">Y77</f>
        <v>0</v>
      </c>
      <c r="AA74" s="217" t="n">
        <f aca="false">Z77</f>
        <v>0</v>
      </c>
      <c r="AB74" s="574" t="n">
        <f aca="false">F74</f>
        <v>0</v>
      </c>
      <c r="AD74" s="175" t="n">
        <f aca="false">AD73+1</f>
        <v>68</v>
      </c>
    </row>
    <row r="75" customFormat="false" ht="12.75" hidden="false" customHeight="false" outlineLevel="0" collapsed="false">
      <c r="A75" s="37" t="s">
        <v>1107</v>
      </c>
      <c r="F75" s="217" t="n">
        <f aca="false">F70</f>
        <v>0</v>
      </c>
      <c r="G75" s="217" t="n">
        <f aca="false">G70</f>
        <v>6980.67768026105</v>
      </c>
      <c r="H75" s="217" t="n">
        <f aca="false">H70</f>
        <v>6980.67768026105</v>
      </c>
      <c r="I75" s="217" t="n">
        <f aca="false">I70</f>
        <v>6980.67768026105</v>
      </c>
      <c r="J75" s="217" t="n">
        <f aca="false">J70</f>
        <v>6980.67768026105</v>
      </c>
      <c r="K75" s="217" t="n">
        <f aca="false">K70</f>
        <v>6980.67768026105</v>
      </c>
      <c r="L75" s="217" t="n">
        <f aca="false">L70</f>
        <v>6980.67768026105</v>
      </c>
      <c r="M75" s="217" t="n">
        <f aca="false">M70</f>
        <v>6980.67768026105</v>
      </c>
      <c r="N75" s="217" t="n">
        <f aca="false">N70</f>
        <v>6980.67768026105</v>
      </c>
      <c r="O75" s="217" t="n">
        <f aca="false">O70</f>
        <v>6980.67768026105</v>
      </c>
      <c r="P75" s="217" t="n">
        <f aca="false">P70</f>
        <v>6980.67768026105</v>
      </c>
      <c r="Q75" s="217" t="n">
        <f aca="false">Q70</f>
        <v>6980.67768026105</v>
      </c>
      <c r="R75" s="217" t="n">
        <f aca="false">R70</f>
        <v>6980.67768026105</v>
      </c>
      <c r="S75" s="217" t="n">
        <f aca="false">S70</f>
        <v>6980.67768026105</v>
      </c>
      <c r="T75" s="217" t="n">
        <f aca="false">T70</f>
        <v>6980.67768026105</v>
      </c>
      <c r="U75" s="217" t="n">
        <f aca="false">U70</f>
        <v>6980.67768026105</v>
      </c>
      <c r="V75" s="217" t="n">
        <f aca="false">V70</f>
        <v>6980.67768026105</v>
      </c>
      <c r="W75" s="217" t="n">
        <f aca="false">W70</f>
        <v>6980.67768026105</v>
      </c>
      <c r="X75" s="217" t="n">
        <f aca="false">X70</f>
        <v>6980.67768026105</v>
      </c>
      <c r="Y75" s="217" t="n">
        <f aca="false">Y70</f>
        <v>6980.67768026105</v>
      </c>
      <c r="Z75" s="217" t="n">
        <f aca="false">Z70</f>
        <v>331.771422153637</v>
      </c>
      <c r="AA75" s="217" t="n">
        <f aca="false">AA70</f>
        <v>340.876327438851</v>
      </c>
      <c r="AB75" s="574" t="n">
        <f aca="false">SUM(F75:AA75)</f>
        <v>133305.523674552</v>
      </c>
      <c r="AD75" s="175" t="n">
        <f aca="false">AD74+1</f>
        <v>69</v>
      </c>
    </row>
    <row r="76" customFormat="false" ht="12.75" hidden="false" customHeight="false" outlineLevel="0" collapsed="false">
      <c r="A76" s="37" t="s">
        <v>1108</v>
      </c>
      <c r="F76" s="220" t="n">
        <f aca="false">-F68</f>
        <v>-0</v>
      </c>
      <c r="G76" s="220" t="n">
        <f aca="false">-G68</f>
        <v>-0</v>
      </c>
      <c r="H76" s="220" t="n">
        <f aca="false">-H68</f>
        <v>-109.446387616255</v>
      </c>
      <c r="I76" s="220" t="n">
        <f aca="false">-I68</f>
        <v>-13031.9883863894</v>
      </c>
      <c r="J76" s="220" t="n">
        <f aca="false">-J68</f>
        <v>-8100.36758608876</v>
      </c>
      <c r="K76" s="220" t="n">
        <f aca="false">-K68</f>
        <v>-8195.0277051617</v>
      </c>
      <c r="L76" s="220" t="n">
        <f aca="false">-L68</f>
        <v>-1062.27581514272</v>
      </c>
      <c r="M76" s="220" t="n">
        <f aca="false">-M68</f>
        <v>-8387.78010834523</v>
      </c>
      <c r="N76" s="220" t="n">
        <f aca="false">-N68</f>
        <v>-10758.8999939875</v>
      </c>
      <c r="O76" s="220" t="n">
        <f aca="false">-O68</f>
        <v>-250.342757519649</v>
      </c>
      <c r="P76" s="220" t="n">
        <f aca="false">-P68</f>
        <v>-257.040188712618</v>
      </c>
      <c r="Q76" s="220" t="n">
        <f aca="false">-Q68</f>
        <v>-12836.2189381183</v>
      </c>
      <c r="R76" s="220" t="n">
        <f aca="false">-R68</f>
        <v>-12986.8655184383</v>
      </c>
      <c r="S76" s="220" t="n">
        <f aca="false">-S68</f>
        <v>-277.503713262517</v>
      </c>
      <c r="T76" s="220" t="n">
        <f aca="false">-T68</f>
        <v>-284.501133348545</v>
      </c>
      <c r="U76" s="220" t="n">
        <f aca="false">-U68</f>
        <v>-22712.0845826785</v>
      </c>
      <c r="V76" s="220" t="n">
        <f aca="false">-V68</f>
        <v>-299.013951602812</v>
      </c>
      <c r="W76" s="220" t="n">
        <f aca="false">-W68</f>
        <v>-306.680839487825</v>
      </c>
      <c r="X76" s="220" t="n">
        <f aca="false">-X68</f>
        <v>-10811.7630983326</v>
      </c>
      <c r="Y76" s="220" t="n">
        <f aca="false">-Y68</f>
        <v>-21965.0752207266</v>
      </c>
      <c r="Z76" s="220" t="n">
        <f aca="false">-Z68</f>
        <v>-331.771422153637</v>
      </c>
      <c r="AA76" s="220" t="n">
        <f aca="false">-AA68</f>
        <v>-340.876327438851</v>
      </c>
      <c r="AB76" s="576" t="n">
        <f aca="false">SUM(F76:AA76)</f>
        <v>-133305.523674552</v>
      </c>
      <c r="AD76" s="175" t="n">
        <f aca="false">AD75+1</f>
        <v>70</v>
      </c>
    </row>
    <row r="77" customFormat="false" ht="12.75" hidden="false" customHeight="false" outlineLevel="0" collapsed="false">
      <c r="A77" s="37" t="s">
        <v>1109</v>
      </c>
      <c r="F77" s="217" t="n">
        <f aca="false">SUM(F74:F76)</f>
        <v>0</v>
      </c>
      <c r="G77" s="217" t="n">
        <f aca="false">SUM(G74:G76)</f>
        <v>6980.67768026105</v>
      </c>
      <c r="H77" s="217" t="n">
        <f aca="false">SUM(H74:H76)</f>
        <v>13851.9089729058</v>
      </c>
      <c r="I77" s="217" t="n">
        <f aca="false">SUM(I74:I76)</f>
        <v>7800.59826677745</v>
      </c>
      <c r="J77" s="217" t="n">
        <f aca="false">SUM(J74:J76)</f>
        <v>6680.90836094974</v>
      </c>
      <c r="K77" s="217" t="n">
        <f aca="false">SUM(K74:K76)</f>
        <v>5466.55833604909</v>
      </c>
      <c r="L77" s="217" t="n">
        <f aca="false">SUM(L74:L76)</f>
        <v>11384.9602011674</v>
      </c>
      <c r="M77" s="217" t="n">
        <f aca="false">SUM(M74:M76)</f>
        <v>9977.85777308324</v>
      </c>
      <c r="N77" s="217" t="n">
        <f aca="false">SUM(N74:N76)</f>
        <v>6199.63545935683</v>
      </c>
      <c r="O77" s="217" t="n">
        <f aca="false">SUM(O74:O76)</f>
        <v>12929.9703820982</v>
      </c>
      <c r="P77" s="217" t="n">
        <f aca="false">SUM(P74:P76)</f>
        <v>19653.6078736467</v>
      </c>
      <c r="Q77" s="217" t="n">
        <f aca="false">SUM(Q74:Q76)</f>
        <v>13798.0666157894</v>
      </c>
      <c r="R77" s="217" t="n">
        <f aca="false">SUM(R74:R76)</f>
        <v>7791.87877761208</v>
      </c>
      <c r="S77" s="217" t="n">
        <f aca="false">SUM(S74:S76)</f>
        <v>14495.0527446106</v>
      </c>
      <c r="T77" s="217" t="n">
        <f aca="false">SUM(T74:T76)</f>
        <v>21191.2292915231</v>
      </c>
      <c r="U77" s="217" t="n">
        <f aca="false">SUM(U74:U76)</f>
        <v>5459.82238910562</v>
      </c>
      <c r="V77" s="217" t="n">
        <f aca="false">SUM(V74:V76)</f>
        <v>12141.4861177639</v>
      </c>
      <c r="W77" s="217" t="n">
        <f aca="false">SUM(W74:W76)</f>
        <v>18815.4829585371</v>
      </c>
      <c r="X77" s="217" t="n">
        <f aca="false">SUM(X74:X76)</f>
        <v>14984.3975404655</v>
      </c>
      <c r="Y77" s="217" t="n">
        <f aca="false">SUM(Y74:Y76)</f>
        <v>0</v>
      </c>
      <c r="Z77" s="217" t="n">
        <f aca="false">SUM(Z74:Z76)</f>
        <v>0</v>
      </c>
      <c r="AA77" s="217" t="n">
        <f aca="false">SUM(AA74:AA76)</f>
        <v>0</v>
      </c>
      <c r="AB77" s="574" t="n">
        <f aca="false">SUM(AB74:AB76)</f>
        <v>0</v>
      </c>
      <c r="AD77" s="175" t="n">
        <f aca="false">AD76+1</f>
        <v>71</v>
      </c>
    </row>
    <row r="78" customFormat="false" ht="12.75" hidden="false" customHeight="false" outlineLevel="0" collapsed="false">
      <c r="A78" s="37"/>
      <c r="AB78" s="555"/>
      <c r="AD78" s="175" t="n">
        <f aca="false">AD77+1</f>
        <v>72</v>
      </c>
    </row>
    <row r="79" customFormat="false" ht="12.75" hidden="false" customHeight="false" outlineLevel="0" collapsed="false">
      <c r="A79" s="37" t="s">
        <v>1097</v>
      </c>
      <c r="F79" s="628" t="n">
        <f aca="false">F61</f>
        <v>0</v>
      </c>
      <c r="G79" s="628" t="n">
        <f aca="false">G61</f>
        <v>0</v>
      </c>
      <c r="H79" s="628" t="n">
        <f aca="false">H61</f>
        <v>32.319</v>
      </c>
      <c r="I79" s="628" t="n">
        <f aca="false">I61</f>
        <v>64.0858</v>
      </c>
      <c r="J79" s="628" t="n">
        <f aca="false">J61</f>
        <v>467.8212</v>
      </c>
      <c r="K79" s="628" t="n">
        <f aca="false">K61</f>
        <v>396.1856</v>
      </c>
      <c r="L79" s="628" t="n">
        <f aca="false">L61</f>
        <v>64.4798</v>
      </c>
      <c r="M79" s="628" t="n">
        <f aca="false">M61</f>
        <v>556.8191</v>
      </c>
      <c r="N79" s="628" t="n">
        <f aca="false">N61</f>
        <v>214.6591</v>
      </c>
      <c r="O79" s="628" t="n">
        <f aca="false">O61</f>
        <v>64.4583</v>
      </c>
      <c r="P79" s="628" t="n">
        <f aca="false">P61</f>
        <v>64.4583</v>
      </c>
      <c r="Q79" s="628" t="n">
        <f aca="false">Q61</f>
        <v>467.7642</v>
      </c>
      <c r="R79" s="628" t="n">
        <f aca="false">R61</f>
        <v>396.5396</v>
      </c>
      <c r="S79" s="628" t="n">
        <f aca="false">S61</f>
        <v>64.4583</v>
      </c>
      <c r="T79" s="628" t="n">
        <f aca="false">T61</f>
        <v>64.4583</v>
      </c>
      <c r="U79" s="628" t="n">
        <f aca="false">U61</f>
        <v>706.3706</v>
      </c>
      <c r="V79" s="628" t="n">
        <f aca="false">V61</f>
        <v>64.4583</v>
      </c>
      <c r="W79" s="628" t="n">
        <f aca="false">W61</f>
        <v>64.4583</v>
      </c>
      <c r="X79" s="628" t="n">
        <f aca="false">X61</f>
        <v>468.066</v>
      </c>
      <c r="Y79" s="628" t="n">
        <f aca="false">Y61</f>
        <v>396.1272</v>
      </c>
      <c r="Z79" s="628" t="n">
        <f aca="false">Z61</f>
        <v>64.4583</v>
      </c>
      <c r="AA79" s="628" t="n">
        <f aca="false">AA61</f>
        <v>64.4583</v>
      </c>
      <c r="AB79" s="574" t="n">
        <f aca="false">SUM(F79:AA79)</f>
        <v>4746.9036</v>
      </c>
      <c r="AD79" s="175" t="n">
        <f aca="false">AD78+1</f>
        <v>73</v>
      </c>
    </row>
    <row r="80" customFormat="false" ht="12.75" hidden="false" customHeight="false" outlineLevel="0" collapsed="false">
      <c r="A80" s="37" t="s">
        <v>1110</v>
      </c>
      <c r="D80" s="67" t="n">
        <f aca="false">Exch</f>
        <v>1.065</v>
      </c>
      <c r="F80" s="67" t="n">
        <f aca="false">F79*$D80</f>
        <v>0</v>
      </c>
      <c r="G80" s="67" t="n">
        <f aca="false">G79*$D80</f>
        <v>0</v>
      </c>
      <c r="H80" s="67" t="n">
        <f aca="false">H79*$D80</f>
        <v>34.419735</v>
      </c>
      <c r="I80" s="67" t="n">
        <f aca="false">I79*$D80</f>
        <v>68.251377</v>
      </c>
      <c r="J80" s="67" t="n">
        <f aca="false">J79*$D80</f>
        <v>498.229578</v>
      </c>
      <c r="K80" s="67" t="n">
        <f aca="false">K79*$D80</f>
        <v>421.937664</v>
      </c>
      <c r="L80" s="67" t="n">
        <f aca="false">L79*$D80</f>
        <v>68.670987</v>
      </c>
      <c r="M80" s="67" t="n">
        <f aca="false">M79*$D80</f>
        <v>593.0123415</v>
      </c>
      <c r="N80" s="67" t="n">
        <f aca="false">N79*$D80</f>
        <v>228.6119415</v>
      </c>
      <c r="O80" s="67" t="n">
        <f aca="false">O79*$D80</f>
        <v>68.6480895</v>
      </c>
      <c r="P80" s="67" t="n">
        <f aca="false">P79*$D80</f>
        <v>68.6480895</v>
      </c>
      <c r="Q80" s="67" t="n">
        <f aca="false">Q79*$D80</f>
        <v>498.168873</v>
      </c>
      <c r="R80" s="67" t="n">
        <f aca="false">R79*$D80</f>
        <v>422.314674</v>
      </c>
      <c r="S80" s="67" t="n">
        <f aca="false">S79*$D80</f>
        <v>68.6480895</v>
      </c>
      <c r="T80" s="67" t="n">
        <f aca="false">T79*$D80</f>
        <v>68.6480895</v>
      </c>
      <c r="U80" s="67" t="n">
        <f aca="false">U79*$D80</f>
        <v>752.284689</v>
      </c>
      <c r="V80" s="67" t="n">
        <f aca="false">V79*$D80</f>
        <v>68.6480895</v>
      </c>
      <c r="W80" s="67" t="n">
        <f aca="false">W79*$D80</f>
        <v>68.6480895</v>
      </c>
      <c r="X80" s="67" t="n">
        <f aca="false">X79*$D80</f>
        <v>498.49029</v>
      </c>
      <c r="Y80" s="67" t="n">
        <f aca="false">Y79*$D80</f>
        <v>421.875468</v>
      </c>
      <c r="Z80" s="67" t="n">
        <f aca="false">Z79*$D80</f>
        <v>68.6480895</v>
      </c>
      <c r="AA80" s="67" t="n">
        <f aca="false">AA79*$D80</f>
        <v>68.6480895</v>
      </c>
      <c r="AB80" s="555" t="n">
        <f aca="false">SUM(F80:AA80)</f>
        <v>5055.452334</v>
      </c>
      <c r="AD80" s="175" t="n">
        <f aca="false">AD79+1</f>
        <v>74</v>
      </c>
    </row>
    <row r="81" customFormat="false" ht="12.75" hidden="false" customHeight="false" outlineLevel="0" collapsed="false">
      <c r="A81" s="37" t="s">
        <v>1111</v>
      </c>
      <c r="D81" s="229"/>
      <c r="F81" s="150" t="n">
        <f aca="false">Rev_Exp!D26</f>
        <v>1.04580600399122</v>
      </c>
      <c r="G81" s="150" t="n">
        <f aca="false">Rev_Exp!E26</f>
        <v>1.13477865915154</v>
      </c>
      <c r="H81" s="150" t="n">
        <f aca="false">Rev_Exp!F26</f>
        <v>1.30150483683391</v>
      </c>
      <c r="I81" s="150" t="n">
        <f aca="false">Rev_Exp!G26</f>
        <v>1.42116141710777</v>
      </c>
      <c r="J81" s="150" t="n">
        <f aca="false">Rev_Exp!H26</f>
        <v>1.5466937113115</v>
      </c>
      <c r="K81" s="150" t="n">
        <f aca="false">Rev_Exp!I26</f>
        <v>1.6755808839625</v>
      </c>
      <c r="L81" s="150" t="n">
        <f aca="false">Rev_Exp!J26</f>
        <v>1.8096273546795</v>
      </c>
      <c r="M81" s="150" t="n">
        <f aca="false">Rev_Exp!K26</f>
        <v>1.95137683106314</v>
      </c>
      <c r="N81" s="150" t="n">
        <f aca="false">Rev_Exp!L26</f>
        <v>2.09773009339288</v>
      </c>
      <c r="O81" s="150" t="n">
        <f aca="false">Rev_Exp!M26</f>
        <v>2.25505985039734</v>
      </c>
      <c r="P81" s="150" t="n">
        <f aca="false">Rev_Exp!N26</f>
        <v>2.42418933917714</v>
      </c>
      <c r="Q81" s="150" t="n">
        <f aca="false">Rev_Exp!O26</f>
        <v>2.60357709171367</v>
      </c>
      <c r="R81" s="150" t="n">
        <f aca="false">Rev_Exp!P26</f>
        <v>2.79103464231705</v>
      </c>
      <c r="S81" s="150" t="n">
        <f aca="false">Rev_Exp!Q26</f>
        <v>2.99198913656388</v>
      </c>
      <c r="T81" s="150" t="n">
        <f aca="false">Rev_Exp!R26</f>
        <v>3.20741235439648</v>
      </c>
      <c r="U81" s="150" t="n">
        <f aca="false">Rev_Exp!S26</f>
        <v>3.43620643785714</v>
      </c>
      <c r="V81" s="150" t="n">
        <f aca="false">Rev_Exp!T26</f>
        <v>3.67674088850714</v>
      </c>
      <c r="W81" s="150" t="n">
        <f aca="false">Rev_Exp!U26</f>
        <v>3.9328867884074</v>
      </c>
      <c r="X81" s="150" t="n">
        <f aca="false">Rev_Exp!V26</f>
        <v>4.2042559768075</v>
      </c>
      <c r="Y81" s="150" t="n">
        <f aca="false">Rev_Exp!W26</f>
        <v>4.49294778333362</v>
      </c>
      <c r="Z81" s="150" t="n">
        <f aca="false">Rev_Exp!X26</f>
        <v>4.79846823260031</v>
      </c>
      <c r="AA81" s="150" t="n">
        <f aca="false">Rev_Exp!Y26</f>
        <v>5.12476407241713</v>
      </c>
      <c r="AB81" s="557"/>
      <c r="AD81" s="175" t="n">
        <f aca="false">AD80+1</f>
        <v>75</v>
      </c>
    </row>
    <row r="82" customFormat="false" ht="12.75" hidden="false" customHeight="false" outlineLevel="0" collapsed="false">
      <c r="A82" s="37" t="s">
        <v>1112</v>
      </c>
      <c r="F82" s="67" t="n">
        <f aca="false">F80*F81</f>
        <v>0</v>
      </c>
      <c r="G82" s="67" t="n">
        <f aca="false">G80*G81</f>
        <v>0</v>
      </c>
      <c r="H82" s="67" t="n">
        <f aca="false">H80*H81</f>
        <v>44.7974515850415</v>
      </c>
      <c r="I82" s="67" t="n">
        <f aca="false">I80*I81</f>
        <v>96.9962236568766</v>
      </c>
      <c r="J82" s="67" t="n">
        <f aca="false">J80*J81</f>
        <v>770.608555081982</v>
      </c>
      <c r="K82" s="67" t="n">
        <f aca="false">K80*K81</f>
        <v>706.990684022194</v>
      </c>
      <c r="L82" s="67" t="n">
        <f aca="false">L80*L81</f>
        <v>124.268896548041</v>
      </c>
      <c r="M82" s="67" t="n">
        <f aca="false">M80*M81</f>
        <v>1157.1905437376</v>
      </c>
      <c r="N82" s="67" t="n">
        <f aca="false">N80*N81</f>
        <v>479.566149393522</v>
      </c>
      <c r="O82" s="67" t="n">
        <f aca="false">O80*O81</f>
        <v>154.805550437933</v>
      </c>
      <c r="P82" s="67" t="n">
        <f aca="false">P80*P81</f>
        <v>166.415966720778</v>
      </c>
      <c r="Q82" s="67" t="n">
        <f aca="false">Q80*Q81</f>
        <v>1297.02106554762</v>
      </c>
      <c r="R82" s="67" t="n">
        <f aca="false">R80*R81</f>
        <v>1178.69488509283</v>
      </c>
      <c r="S82" s="67" t="n">
        <f aca="false">S80*S81</f>
        <v>205.394338029865</v>
      </c>
      <c r="T82" s="67" t="n">
        <f aca="false">T80*T81</f>
        <v>220.182730368015</v>
      </c>
      <c r="U82" s="67" t="n">
        <f aca="false">U80*U81</f>
        <v>2585.00549144316</v>
      </c>
      <c r="V82" s="67" t="n">
        <f aca="false">V80*V81</f>
        <v>252.401237582548</v>
      </c>
      <c r="W82" s="67" t="n">
        <f aca="false">W80*W81</f>
        <v>269.985164243959</v>
      </c>
      <c r="X82" s="67" t="n">
        <f aca="false">X80*X81</f>
        <v>2095.78078111301</v>
      </c>
      <c r="Y82" s="67" t="n">
        <f aca="false">Y80*Y81</f>
        <v>1895.46444879343</v>
      </c>
      <c r="Z82" s="67" t="n">
        <f aca="false">Z80*Z81</f>
        <v>329.405676694453</v>
      </c>
      <c r="AA82" s="67" t="n">
        <f aca="false">AA80*AA81</f>
        <v>351.805262709676</v>
      </c>
      <c r="AB82" s="555" t="n">
        <f aca="false">SUM(F82:AA82)</f>
        <v>14382.7811028025</v>
      </c>
      <c r="AD82" s="175" t="n">
        <f aca="false">AD81+1</f>
        <v>76</v>
      </c>
    </row>
    <row r="83" customFormat="false" ht="12.75" hidden="false" customHeight="false" outlineLevel="0" collapsed="false">
      <c r="A83" s="37" t="s">
        <v>1113</v>
      </c>
      <c r="F83" s="150" t="n">
        <f aca="false">Rev_Exp!D27</f>
        <v>1.0804</v>
      </c>
      <c r="G83" s="150" t="n">
        <f aca="false">Rev_Exp!E27</f>
        <v>1.164025</v>
      </c>
      <c r="H83" s="150" t="n">
        <f aca="false">Rev_Exp!F27</f>
        <v>1.85579166666667</v>
      </c>
      <c r="I83" s="150" t="n">
        <f aca="false">Rev_Exp!G27</f>
        <v>1.77621725308948</v>
      </c>
      <c r="J83" s="150" t="n">
        <f aca="false">Rev_Exp!H27</f>
        <v>1.90408231674455</v>
      </c>
      <c r="K83" s="150" t="n">
        <f aca="false">Rev_Exp!I27</f>
        <v>2.06309705851596</v>
      </c>
      <c r="L83" s="150" t="n">
        <f aca="false">Rev_Exp!J27</f>
        <v>2.16468774735532</v>
      </c>
      <c r="M83" s="150" t="n">
        <f aca="false">Rev_Exp!K27</f>
        <v>2.23610820906301</v>
      </c>
      <c r="N83" s="150" t="n">
        <f aca="false">Rev_Exp!L27</f>
        <v>2.30278621923876</v>
      </c>
      <c r="O83" s="150" t="n">
        <f aca="false">Rev_Exp!M27</f>
        <v>2.36773585001062</v>
      </c>
      <c r="P83" s="150" t="n">
        <f aca="false">Rev_Exp!N27</f>
        <v>2.43296671319364</v>
      </c>
      <c r="Q83" s="150" t="n">
        <f aca="false">Rev_Exp!O27</f>
        <v>2.49709413477765</v>
      </c>
      <c r="R83" s="150" t="n">
        <f aca="false">Rev_Exp!P27</f>
        <v>2.56028997998376</v>
      </c>
      <c r="S83" s="150" t="n">
        <f aca="false">Rev_Exp!Q27</f>
        <v>2.62238057113975</v>
      </c>
      <c r="T83" s="150" t="n">
        <f aca="false">Rev_Exp!R27</f>
        <v>2.68061600022471</v>
      </c>
      <c r="U83" s="150" t="n">
        <f aca="false">Rev_Exp!S27</f>
        <v>2.73545867373882</v>
      </c>
      <c r="V83" s="150" t="n">
        <f aca="false">Rev_Exp!T27</f>
        <v>2.79034388935625</v>
      </c>
      <c r="W83" s="150" t="n">
        <f aca="false">Rev_Exp!U27</f>
        <v>2.84630677609597</v>
      </c>
      <c r="X83" s="150" t="n">
        <f aca="false">Rev_Exp!V27</f>
        <v>2.9031828886712</v>
      </c>
      <c r="Y83" s="150" t="n">
        <f aca="false">Rev_Exp!W27</f>
        <v>2.96122241918212</v>
      </c>
      <c r="Z83" s="150" t="n">
        <f aca="false">Rev_Exp!X27</f>
        <v>3.02038925952867</v>
      </c>
      <c r="AA83" s="150" t="n">
        <f aca="false">Rev_Exp!Y27</f>
        <v>3.08072252146163</v>
      </c>
      <c r="AB83" s="557"/>
      <c r="AD83" s="175" t="n">
        <f aca="false">AD82+1</f>
        <v>77</v>
      </c>
    </row>
    <row r="84" customFormat="false" ht="12.75" hidden="false" customHeight="false" outlineLevel="0" collapsed="false">
      <c r="A84" s="37" t="s">
        <v>1114</v>
      </c>
      <c r="F84" s="217" t="n">
        <f aca="false">F82/F83</f>
        <v>0</v>
      </c>
      <c r="G84" s="217" t="n">
        <f aca="false">G82/G83</f>
        <v>0</v>
      </c>
      <c r="H84" s="217" t="n">
        <f aca="false">H82/H83</f>
        <v>24.1392675641796</v>
      </c>
      <c r="I84" s="217" t="n">
        <f aca="false">I82/I83</f>
        <v>54.608310716589</v>
      </c>
      <c r="J84" s="217" t="n">
        <f aca="false">J82/J83</f>
        <v>404.713886739681</v>
      </c>
      <c r="K84" s="217" t="n">
        <f aca="false">K82/K83</f>
        <v>342.684160739752</v>
      </c>
      <c r="L84" s="217" t="n">
        <f aca="false">L82/L83</f>
        <v>57.4073081440335</v>
      </c>
      <c r="M84" s="217" t="n">
        <f aca="false">M82/M83</f>
        <v>517.502032794065</v>
      </c>
      <c r="N84" s="217" t="n">
        <f aca="false">N82/N83</f>
        <v>208.254741750215</v>
      </c>
      <c r="O84" s="217" t="n">
        <f aca="false">O82/O83</f>
        <v>65.3812588246441</v>
      </c>
      <c r="P84" s="217" t="n">
        <f aca="false">P82/P83</f>
        <v>68.4004289159927</v>
      </c>
      <c r="Q84" s="217" t="n">
        <f aca="false">Q82/Q83</f>
        <v>519.412162915159</v>
      </c>
      <c r="R84" s="217" t="n">
        <f aca="false">R82/R83</f>
        <v>460.375541172219</v>
      </c>
      <c r="S84" s="217" t="n">
        <f aca="false">S82/S83</f>
        <v>78.3236194968437</v>
      </c>
      <c r="T84" s="217" t="n">
        <f aca="false">T82/T83</f>
        <v>82.1388555278182</v>
      </c>
      <c r="U84" s="217" t="n">
        <f aca="false">U82/U83</f>
        <v>944.998919654663</v>
      </c>
      <c r="V84" s="217" t="n">
        <f aca="false">V82/V83</f>
        <v>90.4552440813232</v>
      </c>
      <c r="W84" s="217" t="n">
        <f aca="false">W82/W83</f>
        <v>94.8545555634989</v>
      </c>
      <c r="X84" s="217" t="n">
        <f aca="false">X82/X83</f>
        <v>721.890718387452</v>
      </c>
      <c r="Y84" s="217" t="n">
        <f aca="false">Y82/Y83</f>
        <v>640.095264886234</v>
      </c>
      <c r="Z84" s="217" t="n">
        <f aca="false">Z82/Z83</f>
        <v>109.060670128941</v>
      </c>
      <c r="AA84" s="217" t="n">
        <f aca="false">AA82/AA83</f>
        <v>114.195699307176</v>
      </c>
      <c r="AB84" s="574" t="n">
        <f aca="false">SUM(F84:AA84)</f>
        <v>5598.89264731048</v>
      </c>
      <c r="AD84" s="175" t="n">
        <f aca="false">AD83+1</f>
        <v>78</v>
      </c>
    </row>
    <row r="85" customFormat="false" ht="12.75" hidden="false" customHeight="false" outlineLevel="0" collapsed="false">
      <c r="A85" s="37"/>
      <c r="AB85" s="555"/>
      <c r="AD85" s="175" t="n">
        <f aca="false">AD84+1</f>
        <v>79</v>
      </c>
    </row>
    <row r="86" customFormat="false" ht="12.75" hidden="false" customHeight="false" outlineLevel="0" collapsed="false">
      <c r="A86" s="755" t="s">
        <v>1103</v>
      </c>
      <c r="B86" s="756"/>
      <c r="C86" s="756"/>
      <c r="D86" s="801"/>
      <c r="E86" s="756"/>
      <c r="F86" s="802" t="n">
        <f aca="false">F84</f>
        <v>0</v>
      </c>
      <c r="G86" s="802" t="n">
        <f aca="false">AVERAGE($G84:$Y84)</f>
        <v>282.928225151282</v>
      </c>
      <c r="H86" s="802" t="n">
        <f aca="false">AVERAGE($G84:$Y84)</f>
        <v>282.928225151282</v>
      </c>
      <c r="I86" s="802" t="n">
        <f aca="false">AVERAGE($G84:$Y84)</f>
        <v>282.928225151282</v>
      </c>
      <c r="J86" s="802" t="n">
        <f aca="false">AVERAGE($G84:$Y84)</f>
        <v>282.928225151282</v>
      </c>
      <c r="K86" s="802" t="n">
        <f aca="false">AVERAGE($G84:$Y84)</f>
        <v>282.928225151282</v>
      </c>
      <c r="L86" s="802" t="n">
        <f aca="false">AVERAGE($G84:$Y84)</f>
        <v>282.928225151282</v>
      </c>
      <c r="M86" s="802" t="n">
        <f aca="false">AVERAGE($G84:$Y84)</f>
        <v>282.928225151282</v>
      </c>
      <c r="N86" s="802" t="n">
        <f aca="false">AVERAGE($G84:$Y84)</f>
        <v>282.928225151282</v>
      </c>
      <c r="O86" s="802" t="n">
        <f aca="false">AVERAGE($G84:$Y84)</f>
        <v>282.928225151282</v>
      </c>
      <c r="P86" s="802" t="n">
        <f aca="false">AVERAGE($G84:$Y84)</f>
        <v>282.928225151282</v>
      </c>
      <c r="Q86" s="802" t="n">
        <f aca="false">AVERAGE($G84:$Y84)</f>
        <v>282.928225151282</v>
      </c>
      <c r="R86" s="802" t="n">
        <f aca="false">AVERAGE($G84:$Y84)</f>
        <v>282.928225151282</v>
      </c>
      <c r="S86" s="802" t="n">
        <f aca="false">AVERAGE($G84:$Y84)</f>
        <v>282.928225151282</v>
      </c>
      <c r="T86" s="802" t="n">
        <f aca="false">AVERAGE($G84:$Y84)</f>
        <v>282.928225151282</v>
      </c>
      <c r="U86" s="802" t="n">
        <f aca="false">AVERAGE($G84:$Y84)</f>
        <v>282.928225151282</v>
      </c>
      <c r="V86" s="802" t="n">
        <f aca="false">AVERAGE($G84:$Y84)</f>
        <v>282.928225151282</v>
      </c>
      <c r="W86" s="802" t="n">
        <f aca="false">AVERAGE($G84:$Y84)</f>
        <v>282.928225151282</v>
      </c>
      <c r="X86" s="802" t="n">
        <f aca="false">AVERAGE($G84:$Y84)</f>
        <v>282.928225151282</v>
      </c>
      <c r="Y86" s="802" t="n">
        <f aca="false">AVERAGE($G84:$Y84)</f>
        <v>282.928225151282</v>
      </c>
      <c r="Z86" s="802" t="n">
        <f aca="false">Z84</f>
        <v>109.060670128941</v>
      </c>
      <c r="AA86" s="802" t="n">
        <f aca="false">AA84</f>
        <v>114.195699307176</v>
      </c>
      <c r="AB86" s="787" t="n">
        <f aca="false">SUM(F86:AA86)</f>
        <v>5598.89264731048</v>
      </c>
      <c r="AC86" s="803" t="str">
        <f aca="false">IF(ABS(AB86-AB84)&gt;0.01,"CHECK"," ")</f>
        <v> </v>
      </c>
      <c r="AD86" s="175" t="n">
        <f aca="false">AD85+1</f>
        <v>80</v>
      </c>
    </row>
    <row r="87" customFormat="false" ht="12.75" hidden="false" customHeight="false" outlineLevel="0" collapsed="false">
      <c r="A87" s="601" t="s">
        <v>1104</v>
      </c>
      <c r="B87" s="602"/>
      <c r="C87" s="602"/>
      <c r="D87" s="602"/>
      <c r="E87" s="602"/>
      <c r="F87" s="792" t="n">
        <f aca="false">F86-F84</f>
        <v>0</v>
      </c>
      <c r="G87" s="792" t="n">
        <f aca="false">G86-G84</f>
        <v>282.928225151282</v>
      </c>
      <c r="H87" s="792" t="n">
        <f aca="false">H86-H84</f>
        <v>258.788957587103</v>
      </c>
      <c r="I87" s="792" t="n">
        <f aca="false">I86-I84</f>
        <v>228.319914434693</v>
      </c>
      <c r="J87" s="792" t="n">
        <f aca="false">J86-J84</f>
        <v>-121.785661588399</v>
      </c>
      <c r="K87" s="792" t="n">
        <f aca="false">K86-K84</f>
        <v>-59.7559355884701</v>
      </c>
      <c r="L87" s="792" t="n">
        <f aca="false">L86-L84</f>
        <v>225.520917007249</v>
      </c>
      <c r="M87" s="792" t="n">
        <f aca="false">M86-M84</f>
        <v>-234.573807642782</v>
      </c>
      <c r="N87" s="792" t="n">
        <f aca="false">N86-N84</f>
        <v>74.6734834010675</v>
      </c>
      <c r="O87" s="792" t="n">
        <f aca="false">O86-O84</f>
        <v>217.546966326638</v>
      </c>
      <c r="P87" s="792" t="n">
        <f aca="false">P86-P84</f>
        <v>214.52779623529</v>
      </c>
      <c r="Q87" s="792" t="n">
        <f aca="false">Q86-Q84</f>
        <v>-236.483937763877</v>
      </c>
      <c r="R87" s="792" t="n">
        <f aca="false">R86-R84</f>
        <v>-177.447316020937</v>
      </c>
      <c r="S87" s="792" t="n">
        <f aca="false">S86-S84</f>
        <v>204.604605654439</v>
      </c>
      <c r="T87" s="792" t="n">
        <f aca="false">T86-T84</f>
        <v>200.789369623464</v>
      </c>
      <c r="U87" s="792" t="n">
        <f aca="false">U86-U84</f>
        <v>-662.070694503381</v>
      </c>
      <c r="V87" s="792" t="n">
        <f aca="false">V86-V84</f>
        <v>192.472981069959</v>
      </c>
      <c r="W87" s="792" t="n">
        <f aca="false">W86-W84</f>
        <v>188.073669587783</v>
      </c>
      <c r="X87" s="792" t="n">
        <f aca="false">X86-X84</f>
        <v>-438.962493236169</v>
      </c>
      <c r="Y87" s="792" t="n">
        <f aca="false">Y86-Y84</f>
        <v>-357.167039734952</v>
      </c>
      <c r="Z87" s="792" t="n">
        <f aca="false">Z86-Z84</f>
        <v>0</v>
      </c>
      <c r="AA87" s="792" t="n">
        <f aca="false">AA86-AA84</f>
        <v>0</v>
      </c>
      <c r="AB87" s="793" t="n">
        <f aca="false">SUM(F87:AA87)</f>
        <v>0</v>
      </c>
      <c r="AD87" s="175" t="n">
        <f aca="false">AD86+1</f>
        <v>81</v>
      </c>
    </row>
    <row r="88" customFormat="false" ht="12.75" hidden="false" customHeight="false" outlineLevel="0" collapsed="false">
      <c r="A88" s="37"/>
      <c r="AB88" s="555"/>
      <c r="AD88" s="175" t="n">
        <f aca="false">AD87+1</f>
        <v>82</v>
      </c>
    </row>
    <row r="89" customFormat="false" ht="12.75" hidden="false" customHeight="false" outlineLevel="0" collapsed="false">
      <c r="A89" s="302" t="s">
        <v>1115</v>
      </c>
      <c r="AB89" s="555"/>
      <c r="AD89" s="175" t="n">
        <f aca="false">AD88+1</f>
        <v>83</v>
      </c>
    </row>
    <row r="90" customFormat="false" ht="12.75" hidden="false" customHeight="false" outlineLevel="0" collapsed="false">
      <c r="A90" s="37" t="s">
        <v>1106</v>
      </c>
      <c r="F90" s="189" t="n">
        <v>0</v>
      </c>
      <c r="G90" s="217" t="n">
        <f aca="false">F93</f>
        <v>0</v>
      </c>
      <c r="H90" s="217" t="n">
        <f aca="false">G93</f>
        <v>282.928225151282</v>
      </c>
      <c r="I90" s="217" t="n">
        <f aca="false">H93</f>
        <v>541.717182738385</v>
      </c>
      <c r="J90" s="217" t="n">
        <f aca="false">I93</f>
        <v>770.037097173078</v>
      </c>
      <c r="K90" s="217" t="n">
        <f aca="false">J93</f>
        <v>648.251435584679</v>
      </c>
      <c r="L90" s="217" t="n">
        <f aca="false">K93</f>
        <v>588.495499996209</v>
      </c>
      <c r="M90" s="217" t="n">
        <f aca="false">L93</f>
        <v>814.016417003458</v>
      </c>
      <c r="N90" s="217" t="n">
        <f aca="false">M93</f>
        <v>579.442609360676</v>
      </c>
      <c r="O90" s="217" t="n">
        <f aca="false">N93</f>
        <v>654.116092761743</v>
      </c>
      <c r="P90" s="217" t="n">
        <f aca="false">O93</f>
        <v>871.663059088381</v>
      </c>
      <c r="Q90" s="217" t="n">
        <f aca="false">P93</f>
        <v>1086.19085532367</v>
      </c>
      <c r="R90" s="217" t="n">
        <f aca="false">Q93</f>
        <v>849.706917559794</v>
      </c>
      <c r="S90" s="217" t="n">
        <f aca="false">R93</f>
        <v>672.259601538857</v>
      </c>
      <c r="T90" s="217" t="n">
        <f aca="false">S93</f>
        <v>876.864207193295</v>
      </c>
      <c r="U90" s="217" t="n">
        <f aca="false">T93</f>
        <v>1077.65357681676</v>
      </c>
      <c r="V90" s="217" t="n">
        <f aca="false">U93</f>
        <v>415.582882313379</v>
      </c>
      <c r="W90" s="217" t="n">
        <f aca="false">V93</f>
        <v>608.055863383338</v>
      </c>
      <c r="X90" s="217" t="n">
        <f aca="false">W93</f>
        <v>796.129532971121</v>
      </c>
      <c r="Y90" s="217" t="n">
        <f aca="false">X93</f>
        <v>357.167039734952</v>
      </c>
      <c r="Z90" s="217" t="n">
        <f aca="false">Y93</f>
        <v>0</v>
      </c>
      <c r="AA90" s="217" t="n">
        <f aca="false">Z93</f>
        <v>0</v>
      </c>
      <c r="AB90" s="574" t="n">
        <f aca="false">F90</f>
        <v>0</v>
      </c>
      <c r="AD90" s="175" t="n">
        <f aca="false">AD89+1</f>
        <v>84</v>
      </c>
    </row>
    <row r="91" customFormat="false" ht="12.75" hidden="false" customHeight="false" outlineLevel="0" collapsed="false">
      <c r="A91" s="37" t="s">
        <v>1107</v>
      </c>
      <c r="F91" s="217" t="n">
        <f aca="false">F86</f>
        <v>0</v>
      </c>
      <c r="G91" s="217" t="n">
        <f aca="false">G86</f>
        <v>282.928225151282</v>
      </c>
      <c r="H91" s="217" t="n">
        <f aca="false">H86</f>
        <v>282.928225151282</v>
      </c>
      <c r="I91" s="217" t="n">
        <f aca="false">I86</f>
        <v>282.928225151282</v>
      </c>
      <c r="J91" s="217" t="n">
        <f aca="false">J86</f>
        <v>282.928225151282</v>
      </c>
      <c r="K91" s="217" t="n">
        <f aca="false">K86</f>
        <v>282.928225151282</v>
      </c>
      <c r="L91" s="217" t="n">
        <f aca="false">L86</f>
        <v>282.928225151282</v>
      </c>
      <c r="M91" s="217" t="n">
        <f aca="false">M86</f>
        <v>282.928225151282</v>
      </c>
      <c r="N91" s="217" t="n">
        <f aca="false">N86</f>
        <v>282.928225151282</v>
      </c>
      <c r="O91" s="217" t="n">
        <f aca="false">O86</f>
        <v>282.928225151282</v>
      </c>
      <c r="P91" s="217" t="n">
        <f aca="false">P86</f>
        <v>282.928225151282</v>
      </c>
      <c r="Q91" s="217" t="n">
        <f aca="false">Q86</f>
        <v>282.928225151282</v>
      </c>
      <c r="R91" s="217" t="n">
        <f aca="false">R86</f>
        <v>282.928225151282</v>
      </c>
      <c r="S91" s="217" t="n">
        <f aca="false">S86</f>
        <v>282.928225151282</v>
      </c>
      <c r="T91" s="217" t="n">
        <f aca="false">T86</f>
        <v>282.928225151282</v>
      </c>
      <c r="U91" s="217" t="n">
        <f aca="false">U86</f>
        <v>282.928225151282</v>
      </c>
      <c r="V91" s="217" t="n">
        <f aca="false">V86</f>
        <v>282.928225151282</v>
      </c>
      <c r="W91" s="217" t="n">
        <f aca="false">W86</f>
        <v>282.928225151282</v>
      </c>
      <c r="X91" s="217" t="n">
        <f aca="false">X86</f>
        <v>282.928225151282</v>
      </c>
      <c r="Y91" s="217" t="n">
        <f aca="false">Y86</f>
        <v>282.928225151282</v>
      </c>
      <c r="Z91" s="217" t="n">
        <f aca="false">Z86</f>
        <v>109.060670128941</v>
      </c>
      <c r="AA91" s="217" t="n">
        <f aca="false">AA86</f>
        <v>114.195699307176</v>
      </c>
      <c r="AB91" s="574" t="n">
        <f aca="false">SUM(F91:AA91)</f>
        <v>5598.89264731048</v>
      </c>
      <c r="AD91" s="175" t="n">
        <f aca="false">AD90+1</f>
        <v>85</v>
      </c>
    </row>
    <row r="92" customFormat="false" ht="12.75" hidden="false" customHeight="false" outlineLevel="0" collapsed="false">
      <c r="A92" s="37" t="s">
        <v>1108</v>
      </c>
      <c r="F92" s="220" t="n">
        <f aca="false">-F84</f>
        <v>-0</v>
      </c>
      <c r="G92" s="220" t="n">
        <f aca="false">-G84</f>
        <v>-0</v>
      </c>
      <c r="H92" s="220" t="n">
        <f aca="false">-H84</f>
        <v>-24.1392675641796</v>
      </c>
      <c r="I92" s="220" t="n">
        <f aca="false">-I84</f>
        <v>-54.608310716589</v>
      </c>
      <c r="J92" s="220" t="n">
        <f aca="false">-J84</f>
        <v>-404.713886739681</v>
      </c>
      <c r="K92" s="220" t="n">
        <f aca="false">-K84</f>
        <v>-342.684160739752</v>
      </c>
      <c r="L92" s="220" t="n">
        <f aca="false">-L84</f>
        <v>-57.4073081440335</v>
      </c>
      <c r="M92" s="220" t="n">
        <f aca="false">-M84</f>
        <v>-517.502032794065</v>
      </c>
      <c r="N92" s="220" t="n">
        <f aca="false">-N84</f>
        <v>-208.254741750215</v>
      </c>
      <c r="O92" s="220" t="n">
        <f aca="false">-O84</f>
        <v>-65.3812588246441</v>
      </c>
      <c r="P92" s="220" t="n">
        <f aca="false">-P84</f>
        <v>-68.4004289159927</v>
      </c>
      <c r="Q92" s="220" t="n">
        <f aca="false">-Q84</f>
        <v>-519.412162915159</v>
      </c>
      <c r="R92" s="220" t="n">
        <f aca="false">-R84</f>
        <v>-460.375541172219</v>
      </c>
      <c r="S92" s="220" t="n">
        <f aca="false">-S84</f>
        <v>-78.3236194968437</v>
      </c>
      <c r="T92" s="220" t="n">
        <f aca="false">-T84</f>
        <v>-82.1388555278182</v>
      </c>
      <c r="U92" s="220" t="n">
        <f aca="false">-U84</f>
        <v>-944.998919654663</v>
      </c>
      <c r="V92" s="220" t="n">
        <f aca="false">-V84</f>
        <v>-90.4552440813232</v>
      </c>
      <c r="W92" s="220" t="n">
        <f aca="false">-W84</f>
        <v>-94.8545555634989</v>
      </c>
      <c r="X92" s="220" t="n">
        <f aca="false">-X84</f>
        <v>-721.890718387452</v>
      </c>
      <c r="Y92" s="220" t="n">
        <f aca="false">-Y84</f>
        <v>-640.095264886234</v>
      </c>
      <c r="Z92" s="220" t="n">
        <f aca="false">-Z84</f>
        <v>-109.060670128941</v>
      </c>
      <c r="AA92" s="220" t="n">
        <f aca="false">-AA84</f>
        <v>-114.195699307176</v>
      </c>
      <c r="AB92" s="576" t="n">
        <f aca="false">SUM(F92:AA92)</f>
        <v>-5598.89264731048</v>
      </c>
      <c r="AD92" s="175" t="n">
        <f aca="false">AD91+1</f>
        <v>86</v>
      </c>
    </row>
    <row r="93" customFormat="false" ht="12.75" hidden="false" customHeight="false" outlineLevel="0" collapsed="false">
      <c r="A93" s="563" t="s">
        <v>1109</v>
      </c>
      <c r="B93" s="464"/>
      <c r="C93" s="464"/>
      <c r="D93" s="464"/>
      <c r="E93" s="464"/>
      <c r="F93" s="777" t="n">
        <f aca="false">SUM(F90:F92)</f>
        <v>0</v>
      </c>
      <c r="G93" s="777" t="n">
        <f aca="false">SUM(G90:G92)</f>
        <v>282.928225151282</v>
      </c>
      <c r="H93" s="777" t="n">
        <f aca="false">SUM(H90:H92)</f>
        <v>541.717182738385</v>
      </c>
      <c r="I93" s="777" t="n">
        <f aca="false">SUM(I90:I92)</f>
        <v>770.037097173078</v>
      </c>
      <c r="J93" s="777" t="n">
        <f aca="false">SUM(J90:J92)</f>
        <v>648.251435584679</v>
      </c>
      <c r="K93" s="777" t="n">
        <f aca="false">SUM(K90:K92)</f>
        <v>588.495499996209</v>
      </c>
      <c r="L93" s="777" t="n">
        <f aca="false">SUM(L90:L92)</f>
        <v>814.016417003458</v>
      </c>
      <c r="M93" s="777" t="n">
        <f aca="false">SUM(M90:M92)</f>
        <v>579.442609360676</v>
      </c>
      <c r="N93" s="777" t="n">
        <f aca="false">SUM(N90:N92)</f>
        <v>654.116092761743</v>
      </c>
      <c r="O93" s="777" t="n">
        <f aca="false">SUM(O90:O92)</f>
        <v>871.663059088381</v>
      </c>
      <c r="P93" s="777" t="n">
        <f aca="false">SUM(P90:P92)</f>
        <v>1086.19085532367</v>
      </c>
      <c r="Q93" s="777" t="n">
        <f aca="false">SUM(Q90:Q92)</f>
        <v>849.706917559794</v>
      </c>
      <c r="R93" s="777" t="n">
        <f aca="false">SUM(R90:R92)</f>
        <v>672.259601538857</v>
      </c>
      <c r="S93" s="777" t="n">
        <f aca="false">SUM(S90:S92)</f>
        <v>876.864207193295</v>
      </c>
      <c r="T93" s="777" t="n">
        <f aca="false">SUM(T90:T92)</f>
        <v>1077.65357681676</v>
      </c>
      <c r="U93" s="777" t="n">
        <f aca="false">SUM(U90:U92)</f>
        <v>415.582882313379</v>
      </c>
      <c r="V93" s="777" t="n">
        <f aca="false">SUM(V90:V92)</f>
        <v>608.055863383338</v>
      </c>
      <c r="W93" s="777" t="n">
        <f aca="false">SUM(W90:W92)</f>
        <v>796.129532971121</v>
      </c>
      <c r="X93" s="777" t="n">
        <f aca="false">SUM(X90:X92)</f>
        <v>357.167039734952</v>
      </c>
      <c r="Y93" s="777" t="n">
        <f aca="false">SUM(Y90:Y92)</f>
        <v>0</v>
      </c>
      <c r="Z93" s="777" t="n">
        <f aca="false">SUM(Z90:Z92)</f>
        <v>0</v>
      </c>
      <c r="AA93" s="777" t="n">
        <f aca="false">SUM(AA90:AA92)</f>
        <v>0</v>
      </c>
      <c r="AB93" s="778" t="n">
        <f aca="false">SUM(AB90:AB92)</f>
        <v>0</v>
      </c>
      <c r="AD93" s="175" t="n">
        <f aca="false">AD92+1</f>
        <v>87</v>
      </c>
    </row>
    <row r="94" customFormat="false" ht="12.75" hidden="false" customHeight="false" outlineLevel="0" collapsed="false">
      <c r="A94" s="37"/>
      <c r="AB94" s="555"/>
      <c r="AD94" s="175" t="n">
        <f aca="false">AD93+1</f>
        <v>88</v>
      </c>
    </row>
    <row r="95" customFormat="false" ht="12.75" hidden="false" customHeight="false" outlineLevel="0" collapsed="false">
      <c r="A95" s="55" t="s">
        <v>1116</v>
      </c>
      <c r="AB95" s="555"/>
      <c r="AD95" s="175" t="n">
        <f aca="false">AD94+1</f>
        <v>89</v>
      </c>
    </row>
    <row r="96" customFormat="false" ht="12.75" hidden="false" customHeight="false" outlineLevel="0" collapsed="false">
      <c r="A96" s="37" t="s">
        <v>1117</v>
      </c>
      <c r="F96" s="217" t="n">
        <f aca="false">AVERAGE(F74,F77)+AVERAGE(F90,F93)</f>
        <v>0</v>
      </c>
      <c r="G96" s="217" t="n">
        <f aca="false">AVERAGE(G74,G77)+AVERAGE(G90,G93)</f>
        <v>3631.80295270617</v>
      </c>
      <c r="H96" s="217" t="n">
        <f aca="false">AVERAGE(H74,H77)+AVERAGE(H90,H93)</f>
        <v>10828.6160305283</v>
      </c>
      <c r="I96" s="217" t="n">
        <f aca="false">AVERAGE(I74,I77)+AVERAGE(I90,I93)</f>
        <v>11482.1307597974</v>
      </c>
      <c r="J96" s="217" t="n">
        <f aca="false">AVERAGE(J74,J77)+AVERAGE(J90,J93)</f>
        <v>7949.89758024248</v>
      </c>
      <c r="K96" s="217" t="n">
        <f aca="false">AVERAGE(K74,K77)+AVERAGE(K90,K93)</f>
        <v>6692.10681628986</v>
      </c>
      <c r="L96" s="217" t="n">
        <f aca="false">AVERAGE(L74,L77)+AVERAGE(L90,L93)</f>
        <v>9127.01522710809</v>
      </c>
      <c r="M96" s="217" t="n">
        <f aca="false">AVERAGE(M74,M77)+AVERAGE(M90,M93)</f>
        <v>11378.1385003074</v>
      </c>
      <c r="N96" s="217" t="n">
        <f aca="false">AVERAGE(N74,N77)+AVERAGE(N90,N93)</f>
        <v>8705.52596728125</v>
      </c>
      <c r="O96" s="217" t="n">
        <f aca="false">AVERAGE(O74,O77)+AVERAGE(O90,O93)</f>
        <v>10327.6924966526</v>
      </c>
      <c r="P96" s="217" t="n">
        <f aca="false">AVERAGE(P74,P77)+AVERAGE(P90,P93)</f>
        <v>17270.7160850785</v>
      </c>
      <c r="Q96" s="217" t="n">
        <f aca="false">AVERAGE(Q74,Q77)+AVERAGE(Q90,Q93)</f>
        <v>17693.7861311597</v>
      </c>
      <c r="R96" s="217" t="n">
        <f aca="false">AVERAGE(R74,R77)+AVERAGE(R90,R93)</f>
        <v>11555.9559562501</v>
      </c>
      <c r="S96" s="217" t="n">
        <f aca="false">AVERAGE(S74,S77)+AVERAGE(S90,S93)</f>
        <v>11918.0276654774</v>
      </c>
      <c r="T96" s="217" t="n">
        <f aca="false">AVERAGE(T74,T77)+AVERAGE(T90,T93)</f>
        <v>18820.3999100719</v>
      </c>
      <c r="U96" s="217" t="n">
        <f aca="false">AVERAGE(U74,U77)+AVERAGE(U90,U93)</f>
        <v>14072.1440698794</v>
      </c>
      <c r="V96" s="217" t="n">
        <f aca="false">AVERAGE(V74,V77)+AVERAGE(V90,V93)</f>
        <v>9312.47362628309</v>
      </c>
      <c r="W96" s="217" t="n">
        <f aca="false">AVERAGE(W74,W77)+AVERAGE(W90,W93)</f>
        <v>16180.5772363277</v>
      </c>
      <c r="X96" s="217" t="n">
        <f aca="false">AVERAGE(X74,X77)+AVERAGE(X90,X93)</f>
        <v>17476.5885358543</v>
      </c>
      <c r="Y96" s="217" t="n">
        <f aca="false">AVERAGE(Y74,Y77)+AVERAGE(Y90,Y93)</f>
        <v>7670.78229010024</v>
      </c>
      <c r="Z96" s="217" t="n">
        <f aca="false">AVERAGE(Z74,Z77)+AVERAGE(Z90,Z93)</f>
        <v>0</v>
      </c>
      <c r="AA96" s="217" t="n">
        <f aca="false">AVERAGE(AA74,AA77)+AVERAGE(AA90,AA93)</f>
        <v>0</v>
      </c>
      <c r="AB96" s="804"/>
      <c r="AD96" s="175" t="n">
        <f aca="false">AD95+1</f>
        <v>90</v>
      </c>
    </row>
    <row r="97" customFormat="false" ht="12.75" hidden="false" customHeight="false" outlineLevel="0" collapsed="false">
      <c r="A97" s="37" t="s">
        <v>1118</v>
      </c>
      <c r="F97" s="220" t="n">
        <f aca="false">IF(F$54&lt;YEAR(Startops1),0,(Wcap1+Wcap2+Wcap3)-CF!D62)</f>
        <v>0</v>
      </c>
      <c r="G97" s="220" t="n">
        <f aca="false">IF(G$54&lt;YEAR(Startops1),0,(Wcap1+Wcap2+Wcap3)-CF!E62)</f>
        <v>0</v>
      </c>
      <c r="H97" s="220" t="n">
        <f aca="false">IF(H$54&lt;YEAR(Startops1),0,(Wcap1+Wcap2+Wcap3)-CF!F62)</f>
        <v>0</v>
      </c>
      <c r="I97" s="220" t="n">
        <f aca="false">IF(I$54&lt;YEAR(Startops1),0,(Wcap1+Wcap2+Wcap3)-CF!G62)</f>
        <v>0</v>
      </c>
      <c r="J97" s="220" t="n">
        <f aca="false">IF(J$54&lt;YEAR(Startops1),0,(Wcap1+Wcap2+Wcap3)-CF!H62)</f>
        <v>0</v>
      </c>
      <c r="K97" s="220" t="n">
        <f aca="false">IF(K$54&lt;YEAR(Startops1),0,(Wcap1+Wcap2+Wcap3)-CF!I62)</f>
        <v>0</v>
      </c>
      <c r="L97" s="220" t="n">
        <f aca="false">IF(L$54&lt;YEAR(Startops1),0,(Wcap1+Wcap2+Wcap3)-CF!J62)</f>
        <v>0</v>
      </c>
      <c r="M97" s="220" t="n">
        <f aca="false">IF(M$54&lt;YEAR(Startops1),0,(Wcap1+Wcap2+Wcap3)-CF!K62)</f>
        <v>0</v>
      </c>
      <c r="N97" s="220" t="n">
        <f aca="false">IF(N$54&lt;YEAR(Startops1),0,(Wcap1+Wcap2+Wcap3)-CF!L62)</f>
        <v>0</v>
      </c>
      <c r="O97" s="220" t="n">
        <f aca="false">IF(O$54&lt;YEAR(Startops1),0,(Wcap1+Wcap2+Wcap3)-CF!M62)</f>
        <v>0</v>
      </c>
      <c r="P97" s="220" t="n">
        <f aca="false">IF(P$54&lt;YEAR(Startops1),0,(Wcap1+Wcap2+Wcap3)-CF!N62)</f>
        <v>0</v>
      </c>
      <c r="Q97" s="220" t="n">
        <f aca="false">IF(Q$54&lt;YEAR(Startops1),0,(Wcap1+Wcap2+Wcap3)-CF!O62)</f>
        <v>0</v>
      </c>
      <c r="R97" s="220" t="n">
        <f aca="false">IF(R$54&lt;YEAR(Startops1),0,(Wcap1+Wcap2+Wcap3)-CF!P62)</f>
        <v>0</v>
      </c>
      <c r="S97" s="220" t="n">
        <f aca="false">IF(S$54&lt;YEAR(Startops1),0,(Wcap1+Wcap2+Wcap3)-CF!Q62)</f>
        <v>0</v>
      </c>
      <c r="T97" s="220" t="n">
        <f aca="false">IF(T$54&lt;YEAR(Startops1),0,(Wcap1+Wcap2+Wcap3)-CF!R62)</f>
        <v>0</v>
      </c>
      <c r="U97" s="220" t="n">
        <f aca="false">IF(U$54&lt;YEAR(Startops1),0,(Wcap1+Wcap2+Wcap3)-CF!S62)</f>
        <v>0</v>
      </c>
      <c r="V97" s="220" t="n">
        <f aca="false">IF(V$54&lt;YEAR(Startops1),0,(Wcap1+Wcap2+Wcap3)-CF!T62)</f>
        <v>0</v>
      </c>
      <c r="W97" s="220" t="n">
        <f aca="false">IF(W$54&lt;YEAR(Startops1),0,(Wcap1+Wcap2+Wcap3)-CF!U62)</f>
        <v>0</v>
      </c>
      <c r="X97" s="220" t="n">
        <f aca="false">IF(X$54&lt;YEAR(Startops1),0,(Wcap1+Wcap2+Wcap3)-CF!V62)</f>
        <v>0</v>
      </c>
      <c r="Y97" s="220" t="n">
        <f aca="false">IF(Y$54&lt;YEAR(Startops1),0,(Wcap1+Wcap2+Wcap3)-CF!W62)</f>
        <v>0</v>
      </c>
      <c r="Z97" s="220" t="n">
        <f aca="false">IF(Z$54&lt;YEAR(Startops1),0,(Wcap1+Wcap2+Wcap3)-CF!X62)</f>
        <v>0</v>
      </c>
      <c r="AA97" s="220" t="n">
        <f aca="false">IF(AA$54&lt;YEAR(Startops1),0,(Wcap1+Wcap2+Wcap3)-CF!Y62)</f>
        <v>0</v>
      </c>
      <c r="AB97" s="559"/>
      <c r="AD97" s="175" t="n">
        <f aca="false">AD96+1</f>
        <v>91</v>
      </c>
    </row>
    <row r="98" customFormat="false" ht="12.75" hidden="false" customHeight="false" outlineLevel="0" collapsed="false">
      <c r="A98" s="37" t="s">
        <v>66</v>
      </c>
      <c r="F98" s="217" t="n">
        <f aca="false">SUM(F96:F97)</f>
        <v>0</v>
      </c>
      <c r="G98" s="217" t="n">
        <f aca="false">SUM(G96:G97)</f>
        <v>3631.80295270617</v>
      </c>
      <c r="H98" s="217" t="n">
        <f aca="false">SUM(H96:H97)</f>
        <v>10828.6160305283</v>
      </c>
      <c r="I98" s="217" t="n">
        <f aca="false">SUM(I96:I97)</f>
        <v>11482.1307597974</v>
      </c>
      <c r="J98" s="217" t="n">
        <f aca="false">SUM(J96:J97)</f>
        <v>7949.89758024248</v>
      </c>
      <c r="K98" s="217" t="n">
        <f aca="false">SUM(K96:K97)</f>
        <v>6692.10681628986</v>
      </c>
      <c r="L98" s="217" t="n">
        <f aca="false">SUM(L96:L97)</f>
        <v>9127.01522710809</v>
      </c>
      <c r="M98" s="217" t="n">
        <f aca="false">SUM(M96:M97)</f>
        <v>11378.1385003074</v>
      </c>
      <c r="N98" s="217" t="n">
        <f aca="false">SUM(N96:N97)</f>
        <v>8705.52596728125</v>
      </c>
      <c r="O98" s="217" t="n">
        <f aca="false">SUM(O96:O97)</f>
        <v>10327.6924966526</v>
      </c>
      <c r="P98" s="217" t="n">
        <f aca="false">SUM(P96:P97)</f>
        <v>17270.7160850785</v>
      </c>
      <c r="Q98" s="217" t="n">
        <f aca="false">SUM(Q96:Q97)</f>
        <v>17693.7861311597</v>
      </c>
      <c r="R98" s="217" t="n">
        <f aca="false">SUM(R96:R97)</f>
        <v>11555.9559562501</v>
      </c>
      <c r="S98" s="217" t="n">
        <f aca="false">SUM(S96:S97)</f>
        <v>11918.0276654774</v>
      </c>
      <c r="T98" s="217" t="n">
        <f aca="false">SUM(T96:T97)</f>
        <v>18820.3999100719</v>
      </c>
      <c r="U98" s="217" t="n">
        <f aca="false">SUM(U96:U97)</f>
        <v>14072.1440698794</v>
      </c>
      <c r="V98" s="217" t="n">
        <f aca="false">SUM(V96:V97)</f>
        <v>9312.47362628309</v>
      </c>
      <c r="W98" s="217" t="n">
        <f aca="false">SUM(W96:W97)</f>
        <v>16180.5772363277</v>
      </c>
      <c r="X98" s="217" t="n">
        <f aca="false">SUM(X96:X97)</f>
        <v>17476.5885358543</v>
      </c>
      <c r="Y98" s="217" t="n">
        <f aca="false">SUM(Y96:Y97)</f>
        <v>7670.78229010024</v>
      </c>
      <c r="Z98" s="217" t="n">
        <f aca="false">SUM(Z96:Z97)</f>
        <v>0</v>
      </c>
      <c r="AA98" s="217" t="n">
        <f aca="false">SUM(AA96:AA97)</f>
        <v>0</v>
      </c>
      <c r="AB98" s="804"/>
      <c r="AD98" s="175" t="n">
        <f aca="false">AD97+1</f>
        <v>92</v>
      </c>
    </row>
    <row r="99" customFormat="false" ht="12.75" hidden="false" customHeight="false" outlineLevel="0" collapsed="false">
      <c r="A99" s="37"/>
      <c r="AB99" s="555"/>
      <c r="AD99" s="175" t="n">
        <f aca="false">AD98+1</f>
        <v>93</v>
      </c>
    </row>
    <row r="100" customFormat="false" ht="13.5" hidden="false" customHeight="false" outlineLevel="0" collapsed="false">
      <c r="A100" s="70" t="s">
        <v>1119</v>
      </c>
      <c r="B100" s="71"/>
      <c r="C100" s="71"/>
      <c r="D100" s="805" t="n">
        <f aca="false">Assm!F97</f>
        <v>0.05</v>
      </c>
      <c r="E100" s="71"/>
      <c r="F100" s="286" t="n">
        <f aca="false">$D100*F98</f>
        <v>0</v>
      </c>
      <c r="G100" s="286" t="n">
        <f aca="false">$D100*G98</f>
        <v>181.590147635308</v>
      </c>
      <c r="H100" s="286" t="n">
        <f aca="false">$D100*H98</f>
        <v>541.430801526414</v>
      </c>
      <c r="I100" s="286" t="n">
        <f aca="false">$D100*I98</f>
        <v>574.106537989869</v>
      </c>
      <c r="J100" s="286" t="n">
        <f aca="false">$D100*J98</f>
        <v>397.494879012124</v>
      </c>
      <c r="K100" s="286" t="n">
        <f aca="false">$D100*K98</f>
        <v>334.605340814493</v>
      </c>
      <c r="L100" s="286" t="n">
        <f aca="false">$D100*L98</f>
        <v>456.350761355405</v>
      </c>
      <c r="M100" s="286" t="n">
        <f aca="false">$D100*M98</f>
        <v>568.90692501537</v>
      </c>
      <c r="N100" s="286" t="n">
        <f aca="false">$D100*N98</f>
        <v>435.276298364062</v>
      </c>
      <c r="O100" s="286" t="n">
        <f aca="false">$D100*O98</f>
        <v>516.38462483263</v>
      </c>
      <c r="P100" s="286" t="n">
        <f aca="false">$D100*P98</f>
        <v>863.535804253924</v>
      </c>
      <c r="Q100" s="286" t="n">
        <f aca="false">$D100*Q98</f>
        <v>884.689306557988</v>
      </c>
      <c r="R100" s="286" t="n">
        <f aca="false">$D100*R98</f>
        <v>577.797797812503</v>
      </c>
      <c r="S100" s="286" t="n">
        <f aca="false">$D100*S98</f>
        <v>595.901383273871</v>
      </c>
      <c r="T100" s="286" t="n">
        <f aca="false">$D100*T98</f>
        <v>941.019995503595</v>
      </c>
      <c r="U100" s="286" t="n">
        <f aca="false">$D100*U98</f>
        <v>703.607203493972</v>
      </c>
      <c r="V100" s="286" t="n">
        <f aca="false">$D100*V98</f>
        <v>465.623681314155</v>
      </c>
      <c r="W100" s="286" t="n">
        <f aca="false">$D100*W98</f>
        <v>809.028861816385</v>
      </c>
      <c r="X100" s="286" t="n">
        <f aca="false">$D100*X98</f>
        <v>873.829426792717</v>
      </c>
      <c r="Y100" s="286" t="n">
        <f aca="false">$D100*Y98</f>
        <v>383.539114505012</v>
      </c>
      <c r="Z100" s="286" t="n">
        <f aca="false">$D100*Z98</f>
        <v>0</v>
      </c>
      <c r="AA100" s="286" t="n">
        <f aca="false">$D100*AA98</f>
        <v>0</v>
      </c>
      <c r="AB100" s="770" t="n">
        <f aca="false">SUM(F100:AA100)</f>
        <v>11104.7188918698</v>
      </c>
      <c r="AD100" s="175" t="n">
        <f aca="false">AD99+1</f>
        <v>94</v>
      </c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13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S34" activeCellId="0" sqref="S3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28.7"/>
    <col collapsed="false" customWidth="true" hidden="false" outlineLevel="0" max="26" min="2" style="1" width="11.7"/>
    <col collapsed="false" customWidth="true" hidden="false" outlineLevel="0" max="39" min="27" style="1" width="7.7"/>
    <col collapsed="false" customWidth="false" hidden="false" outlineLevel="0" max="257" min="40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</row>
    <row r="3" customFormat="false" ht="15" hidden="false" customHeight="false" outlineLevel="0" collapsed="false">
      <c r="A3" s="19" t="str">
        <f aca="false">TOC!B4</f>
        <v>ENRON INTERNATIONAL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</row>
    <row r="4" customFormat="false" ht="15" hidden="false" customHeight="false" outlineLevel="0" collapsed="false">
      <c r="A4" s="21" t="s">
        <v>1120</v>
      </c>
      <c r="B4" s="172"/>
      <c r="C4" s="172"/>
      <c r="D4" s="172"/>
      <c r="E4" s="172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</row>
    <row r="5" customFormat="false" ht="12.75" hidden="false" customHeight="false" outlineLevel="0" collapsed="false">
      <c r="A5" s="38"/>
    </row>
    <row r="6" customFormat="false" ht="13.5" hidden="false" customHeight="false" outlineLevel="0" collapsed="false">
      <c r="A6" s="38"/>
    </row>
    <row r="7" customFormat="false" ht="12.75" hidden="false" customHeight="false" outlineLevel="0" collapsed="false">
      <c r="A7" s="453" t="s">
        <v>1121</v>
      </c>
      <c r="B7" s="28"/>
      <c r="C7" s="28"/>
      <c r="D7" s="28"/>
      <c r="E7" s="28"/>
      <c r="F7" s="28"/>
      <c r="G7" s="806" t="s">
        <v>1122</v>
      </c>
      <c r="H7" s="807" t="n">
        <f aca="false">Assm!S5</f>
        <v>0.3</v>
      </c>
      <c r="I7" s="808" t="n">
        <f aca="false">Assm!T5</f>
        <v>0.3</v>
      </c>
      <c r="J7" s="809" t="n">
        <f aca="false">Assm!U5</f>
        <v>0.4</v>
      </c>
      <c r="K7" s="810"/>
      <c r="M7" s="453" t="s">
        <v>1123</v>
      </c>
      <c r="N7" s="28"/>
      <c r="O7" s="28"/>
      <c r="P7" s="28"/>
      <c r="Q7" s="28"/>
      <c r="R7" s="28"/>
      <c r="S7" s="811"/>
      <c r="T7" s="807" t="n">
        <f aca="false">H$7</f>
        <v>0.3</v>
      </c>
      <c r="U7" s="808" t="n">
        <f aca="false">I$7</f>
        <v>0.3</v>
      </c>
      <c r="V7" s="809" t="n">
        <f aca="false">J$7</f>
        <v>0.4</v>
      </c>
      <c r="W7" s="810"/>
      <c r="Y7" s="38"/>
    </row>
    <row r="8" customFormat="false" ht="12.75" hidden="false" customHeight="false" outlineLevel="0" collapsed="false">
      <c r="A8" s="463" t="s">
        <v>1124</v>
      </c>
      <c r="B8" s="464"/>
      <c r="C8" s="464"/>
      <c r="D8" s="464"/>
      <c r="E8" s="464"/>
      <c r="F8" s="464"/>
      <c r="G8" s="812" t="s">
        <v>1125</v>
      </c>
      <c r="H8" s="813" t="s">
        <v>51</v>
      </c>
      <c r="I8" s="814" t="s">
        <v>52</v>
      </c>
      <c r="J8" s="814" t="s">
        <v>53</v>
      </c>
      <c r="K8" s="815" t="s">
        <v>66</v>
      </c>
      <c r="M8" s="37"/>
      <c r="N8" s="38"/>
      <c r="O8" s="38"/>
      <c r="P8" s="38"/>
      <c r="Q8" s="38"/>
      <c r="R8" s="38"/>
      <c r="S8" s="812" t="s">
        <v>81</v>
      </c>
      <c r="T8" s="813" t="str">
        <f aca="false">H$8</f>
        <v>Phase I</v>
      </c>
      <c r="U8" s="814" t="str">
        <f aca="false">I$8</f>
        <v>Phase II</v>
      </c>
      <c r="V8" s="814" t="str">
        <f aca="false">J$8</f>
        <v>Phase III</v>
      </c>
      <c r="W8" s="815" t="str">
        <f aca="false">K$8</f>
        <v>Total</v>
      </c>
      <c r="Y8" s="38"/>
    </row>
    <row r="9" customFormat="false" ht="12.75" hidden="false" customHeight="false" outlineLevel="0" collapsed="false">
      <c r="A9" s="37" t="s">
        <v>1126</v>
      </c>
      <c r="B9" s="38"/>
      <c r="C9" s="38"/>
      <c r="D9" s="38"/>
      <c r="E9" s="38"/>
      <c r="F9" s="38"/>
      <c r="G9" s="816" t="n">
        <v>183361</v>
      </c>
      <c r="H9" s="817" t="n">
        <f aca="false">$G9*H$7</f>
        <v>55008.3</v>
      </c>
      <c r="I9" s="220" t="n">
        <f aca="false">$G9*I$7</f>
        <v>55008.3</v>
      </c>
      <c r="J9" s="220" t="n">
        <f aca="false">$G9*J$7</f>
        <v>73344.4</v>
      </c>
      <c r="K9" s="818" t="n">
        <f aca="false">SUM(H9:J9)</f>
        <v>183361</v>
      </c>
      <c r="M9" s="37" t="s">
        <v>1127</v>
      </c>
      <c r="N9" s="215"/>
      <c r="O9" s="215"/>
      <c r="P9" s="215"/>
      <c r="Q9" s="215"/>
      <c r="R9" s="215"/>
      <c r="S9" s="819" t="n">
        <v>26.393</v>
      </c>
      <c r="T9" s="820" t="n">
        <f aca="false">$S9*H$7</f>
        <v>7.9179</v>
      </c>
      <c r="U9" s="217" t="n">
        <f aca="false">$S9*I$7</f>
        <v>7.9179</v>
      </c>
      <c r="V9" s="217" t="n">
        <f aca="false">$S9*J$7</f>
        <v>10.5572</v>
      </c>
      <c r="W9" s="821" t="n">
        <f aca="false">SUM(T9:V9)</f>
        <v>26.393</v>
      </c>
      <c r="Y9" s="38"/>
    </row>
    <row r="10" customFormat="false" ht="12.75" hidden="false" customHeight="false" outlineLevel="0" collapsed="false">
      <c r="A10" s="37" t="s">
        <v>1128</v>
      </c>
      <c r="B10" s="38"/>
      <c r="C10" s="38"/>
      <c r="D10" s="38"/>
      <c r="E10" s="38"/>
      <c r="F10" s="38"/>
      <c r="G10" s="822" t="n">
        <f aca="false">SUM(G9)</f>
        <v>183361</v>
      </c>
      <c r="H10" s="820" t="n">
        <f aca="false">SUM(H9)</f>
        <v>55008.3</v>
      </c>
      <c r="I10" s="217" t="n">
        <f aca="false">SUM(I9)</f>
        <v>55008.3</v>
      </c>
      <c r="J10" s="217" t="n">
        <f aca="false">SUM(J9)</f>
        <v>73344.4</v>
      </c>
      <c r="K10" s="821" t="n">
        <f aca="false">SUM(H10:J10)</f>
        <v>183361</v>
      </c>
      <c r="L10" s="38"/>
      <c r="M10" s="37" t="s">
        <v>1129</v>
      </c>
      <c r="N10" s="215"/>
      <c r="O10" s="215"/>
      <c r="P10" s="215"/>
      <c r="Q10" s="215"/>
      <c r="R10" s="215"/>
      <c r="S10" s="819" t="n">
        <v>447</v>
      </c>
      <c r="T10" s="820" t="n">
        <f aca="false">$S10*H$7</f>
        <v>134.1</v>
      </c>
      <c r="U10" s="217" t="n">
        <f aca="false">$S10*I$7</f>
        <v>134.1</v>
      </c>
      <c r="V10" s="217" t="n">
        <f aca="false">$S10*J$7</f>
        <v>178.8</v>
      </c>
      <c r="W10" s="821" t="n">
        <f aca="false">SUM(T10:V10)</f>
        <v>447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</row>
    <row r="11" customFormat="false" ht="12.75" hidden="false" customHeight="false" outlineLevel="0" collapsed="false">
      <c r="A11" s="823"/>
      <c r="B11" s="215"/>
      <c r="C11" s="215"/>
      <c r="D11" s="215"/>
      <c r="E11" s="215"/>
      <c r="F11" s="215"/>
      <c r="G11" s="824"/>
      <c r="H11" s="825"/>
      <c r="I11" s="215"/>
      <c r="J11" s="215"/>
      <c r="K11" s="826"/>
      <c r="L11" s="215"/>
      <c r="M11" s="37" t="s">
        <v>1130</v>
      </c>
      <c r="N11" s="215"/>
      <c r="O11" s="215"/>
      <c r="P11" s="215"/>
      <c r="Q11" s="215"/>
      <c r="R11" s="215"/>
      <c r="S11" s="819" t="n">
        <v>355.834</v>
      </c>
      <c r="T11" s="820" t="n">
        <f aca="false">$S11*H$7</f>
        <v>106.7502</v>
      </c>
      <c r="U11" s="217" t="n">
        <f aca="false">$S11*I$7</f>
        <v>106.7502</v>
      </c>
      <c r="V11" s="217" t="n">
        <f aca="false">$S11*J$7</f>
        <v>142.3336</v>
      </c>
      <c r="W11" s="821" t="n">
        <f aca="false">SUM(T11:V11)</f>
        <v>355.834</v>
      </c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  <c r="BI11" s="215"/>
      <c r="BJ11" s="215"/>
      <c r="BK11" s="215"/>
      <c r="BL11" s="215"/>
      <c r="BM11" s="215"/>
      <c r="BN11" s="215"/>
      <c r="BO11" s="215"/>
      <c r="BP11" s="215"/>
      <c r="BQ11" s="215"/>
      <c r="BR11" s="215"/>
      <c r="BS11" s="215"/>
      <c r="BT11" s="215"/>
      <c r="BU11" s="215"/>
      <c r="BV11" s="215"/>
      <c r="BW11" s="215"/>
      <c r="BX11" s="215"/>
      <c r="BY11" s="215"/>
      <c r="BZ11" s="215"/>
      <c r="CA11" s="215"/>
      <c r="CB11" s="215"/>
      <c r="CC11" s="215"/>
      <c r="CD11" s="215"/>
      <c r="CE11" s="215"/>
      <c r="CF11" s="215"/>
      <c r="CG11" s="215"/>
      <c r="CH11" s="215"/>
      <c r="CI11" s="215"/>
      <c r="CJ11" s="215"/>
      <c r="CK11" s="215"/>
      <c r="CL11" s="215"/>
      <c r="CM11" s="215"/>
      <c r="CN11" s="215"/>
      <c r="CO11" s="215"/>
      <c r="CP11" s="215"/>
      <c r="CQ11" s="215"/>
      <c r="CR11" s="215"/>
      <c r="CS11" s="215"/>
      <c r="CT11" s="215"/>
      <c r="CU11" s="215"/>
      <c r="CV11" s="215"/>
      <c r="CW11" s="215"/>
      <c r="CX11" s="215"/>
      <c r="CY11" s="215"/>
      <c r="CZ11" s="215"/>
      <c r="DA11" s="215"/>
      <c r="DB11" s="215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  <c r="DY11" s="215"/>
      <c r="DZ11" s="215"/>
      <c r="EA11" s="215"/>
      <c r="EB11" s="215"/>
      <c r="EC11" s="215"/>
      <c r="ED11" s="215"/>
      <c r="EE11" s="215"/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  <c r="EY11" s="215"/>
      <c r="EZ11" s="215"/>
      <c r="FA11" s="215"/>
      <c r="FB11" s="215"/>
      <c r="FC11" s="215"/>
      <c r="FD11" s="215"/>
      <c r="FE11" s="215"/>
      <c r="FF11" s="215"/>
      <c r="FG11" s="215"/>
      <c r="FH11" s="215"/>
      <c r="FI11" s="215"/>
      <c r="FJ11" s="215"/>
      <c r="FK11" s="215"/>
      <c r="FL11" s="215"/>
      <c r="FM11" s="215"/>
      <c r="FN11" s="215"/>
      <c r="FO11" s="215"/>
      <c r="FP11" s="215"/>
      <c r="FQ11" s="215"/>
      <c r="FR11" s="215"/>
      <c r="FS11" s="215"/>
      <c r="FT11" s="215"/>
      <c r="FU11" s="215"/>
      <c r="FV11" s="215"/>
      <c r="FW11" s="215"/>
      <c r="FX11" s="215"/>
      <c r="FY11" s="215"/>
      <c r="FZ11" s="215"/>
      <c r="GA11" s="215"/>
      <c r="GB11" s="215"/>
      <c r="GC11" s="215"/>
      <c r="GD11" s="215"/>
      <c r="GE11" s="215"/>
      <c r="GF11" s="215"/>
      <c r="GG11" s="215"/>
      <c r="GH11" s="215"/>
      <c r="GI11" s="215"/>
      <c r="GJ11" s="215"/>
      <c r="GK11" s="215"/>
      <c r="GL11" s="215"/>
      <c r="GM11" s="215"/>
      <c r="GN11" s="215"/>
      <c r="GO11" s="215"/>
      <c r="GP11" s="215"/>
      <c r="GQ11" s="215"/>
      <c r="GR11" s="215"/>
      <c r="GS11" s="215"/>
      <c r="GT11" s="215"/>
      <c r="GU11" s="215"/>
      <c r="GV11" s="215"/>
      <c r="GW11" s="215"/>
      <c r="GX11" s="215"/>
      <c r="GY11" s="215"/>
      <c r="GZ11" s="215"/>
      <c r="HA11" s="215"/>
      <c r="HB11" s="215"/>
      <c r="HC11" s="215"/>
      <c r="HD11" s="215"/>
      <c r="HE11" s="215"/>
      <c r="HF11" s="215"/>
      <c r="HG11" s="215"/>
      <c r="HH11" s="215"/>
      <c r="HI11" s="215"/>
      <c r="HJ11" s="215"/>
      <c r="HK11" s="215"/>
      <c r="HL11" s="215"/>
      <c r="HM11" s="215"/>
      <c r="HN11" s="215"/>
      <c r="HO11" s="215"/>
      <c r="HP11" s="215"/>
      <c r="HQ11" s="215"/>
      <c r="HR11" s="215"/>
      <c r="HS11" s="215"/>
      <c r="HT11" s="215"/>
      <c r="HU11" s="215"/>
      <c r="HV11" s="215"/>
      <c r="HW11" s="215"/>
      <c r="HX11" s="215"/>
      <c r="HY11" s="215"/>
      <c r="HZ11" s="215"/>
      <c r="IA11" s="215"/>
      <c r="IB11" s="215"/>
      <c r="IC11" s="215"/>
      <c r="ID11" s="215"/>
      <c r="IE11" s="215"/>
      <c r="IF11" s="215"/>
      <c r="IG11" s="215"/>
      <c r="IH11" s="215"/>
      <c r="II11" s="215"/>
      <c r="IJ11" s="215"/>
      <c r="IK11" s="215"/>
      <c r="IL11" s="215"/>
      <c r="IM11" s="215"/>
      <c r="IN11" s="215"/>
      <c r="IO11" s="215"/>
      <c r="IP11" s="215"/>
      <c r="IQ11" s="215"/>
      <c r="IR11" s="215"/>
      <c r="IS11" s="215"/>
      <c r="IT11" s="215"/>
      <c r="IU11" s="215"/>
      <c r="IV11" s="215"/>
      <c r="IW11" s="215"/>
    </row>
    <row r="12" customFormat="false" ht="12.75" hidden="false" customHeight="false" outlineLevel="0" collapsed="false">
      <c r="A12" s="37" t="s">
        <v>1131</v>
      </c>
      <c r="B12" s="38"/>
      <c r="C12" s="38"/>
      <c r="D12" s="38"/>
      <c r="E12" s="38"/>
      <c r="F12" s="38"/>
      <c r="G12" s="819" t="n">
        <v>123.768</v>
      </c>
      <c r="H12" s="820" t="n">
        <f aca="false">$G12*H$7</f>
        <v>37.1304</v>
      </c>
      <c r="I12" s="217" t="n">
        <f aca="false">$G12*I$7</f>
        <v>37.1304</v>
      </c>
      <c r="J12" s="217" t="n">
        <f aca="false">$G12*J$7</f>
        <v>49.5072</v>
      </c>
      <c r="K12" s="821" t="n">
        <f aca="false">SUM(H12:J12)</f>
        <v>123.768</v>
      </c>
      <c r="M12" s="37" t="s">
        <v>1132</v>
      </c>
      <c r="N12" s="215"/>
      <c r="O12" s="215"/>
      <c r="P12" s="215"/>
      <c r="Q12" s="215"/>
      <c r="R12" s="215"/>
      <c r="S12" s="819" t="n">
        <v>96.263</v>
      </c>
      <c r="T12" s="820" t="n">
        <f aca="false">$S12*H$7</f>
        <v>28.8789</v>
      </c>
      <c r="U12" s="217" t="n">
        <f aca="false">$S12*I$7</f>
        <v>28.8789</v>
      </c>
      <c r="V12" s="217" t="n">
        <f aca="false">$S12*J$7</f>
        <v>38.5052</v>
      </c>
      <c r="W12" s="821" t="n">
        <f aca="false">SUM(T12:V12)</f>
        <v>96.263</v>
      </c>
      <c r="Y12" s="38"/>
    </row>
    <row r="13" customFormat="false" ht="12.75" hidden="false" customHeight="false" outlineLevel="0" collapsed="false">
      <c r="A13" s="37" t="s">
        <v>1133</v>
      </c>
      <c r="B13" s="38"/>
      <c r="C13" s="38"/>
      <c r="D13" s="38"/>
      <c r="E13" s="38"/>
      <c r="F13" s="38"/>
      <c r="G13" s="819" t="n">
        <v>4220</v>
      </c>
      <c r="H13" s="820" t="n">
        <f aca="false">$G13*H$7</f>
        <v>1266</v>
      </c>
      <c r="I13" s="217" t="n">
        <f aca="false">$G13*I$7</f>
        <v>1266</v>
      </c>
      <c r="J13" s="217" t="n">
        <f aca="false">$G13*J$7</f>
        <v>1688</v>
      </c>
      <c r="K13" s="821" t="n">
        <f aca="false">SUM(H13:J13)</f>
        <v>4220</v>
      </c>
      <c r="M13" s="37" t="s">
        <v>1134</v>
      </c>
      <c r="N13" s="215"/>
      <c r="O13" s="215"/>
      <c r="P13" s="215"/>
      <c r="Q13" s="215"/>
      <c r="R13" s="215"/>
      <c r="S13" s="819" t="n">
        <v>34.474</v>
      </c>
      <c r="T13" s="820" t="n">
        <f aca="false">$S13*H$7</f>
        <v>10.3422</v>
      </c>
      <c r="U13" s="217" t="n">
        <f aca="false">$S13*I$7</f>
        <v>10.3422</v>
      </c>
      <c r="V13" s="217" t="n">
        <f aca="false">$S13*J$7</f>
        <v>13.7896</v>
      </c>
      <c r="W13" s="821" t="n">
        <f aca="false">SUM(T13:V13)</f>
        <v>34.474</v>
      </c>
      <c r="Y13" s="38"/>
    </row>
    <row r="14" customFormat="false" ht="12.75" hidden="false" customHeight="false" outlineLevel="0" collapsed="false">
      <c r="A14" s="37" t="s">
        <v>1135</v>
      </c>
      <c r="B14" s="38"/>
      <c r="C14" s="38"/>
      <c r="D14" s="38"/>
      <c r="E14" s="38"/>
      <c r="F14" s="38"/>
      <c r="G14" s="819" t="n">
        <v>84.909</v>
      </c>
      <c r="H14" s="820" t="n">
        <f aca="false">$G14*H$7</f>
        <v>25.4727</v>
      </c>
      <c r="I14" s="217" t="n">
        <f aca="false">$G14*I$7</f>
        <v>25.4727</v>
      </c>
      <c r="J14" s="217" t="n">
        <f aca="false">$G14*J$7</f>
        <v>33.9636</v>
      </c>
      <c r="K14" s="821" t="n">
        <f aca="false">SUM(H14:J14)</f>
        <v>84.909</v>
      </c>
      <c r="M14" s="37" t="s">
        <v>1136</v>
      </c>
      <c r="N14" s="215"/>
      <c r="O14" s="215"/>
      <c r="P14" s="215"/>
      <c r="Q14" s="215"/>
      <c r="R14" s="215"/>
      <c r="S14" s="819" t="n">
        <v>49.442</v>
      </c>
      <c r="T14" s="820" t="n">
        <f aca="false">$S14*H$7</f>
        <v>14.8326</v>
      </c>
      <c r="U14" s="217" t="n">
        <f aca="false">$S14*I$7</f>
        <v>14.8326</v>
      </c>
      <c r="V14" s="217" t="n">
        <f aca="false">$S14*J$7</f>
        <v>19.7768</v>
      </c>
      <c r="W14" s="821" t="n">
        <f aca="false">SUM(T14:V14)</f>
        <v>49.442</v>
      </c>
      <c r="Y14" s="38"/>
    </row>
    <row r="15" customFormat="false" ht="12.75" hidden="false" customHeight="false" outlineLevel="0" collapsed="false">
      <c r="A15" s="37" t="s">
        <v>1137</v>
      </c>
      <c r="B15" s="38"/>
      <c r="C15" s="38"/>
      <c r="D15" s="38"/>
      <c r="E15" s="38"/>
      <c r="F15" s="38"/>
      <c r="G15" s="819" t="n">
        <v>40</v>
      </c>
      <c r="H15" s="820" t="n">
        <f aca="false">$G15*H$7</f>
        <v>12</v>
      </c>
      <c r="I15" s="217" t="n">
        <f aca="false">$G15*I$7</f>
        <v>12</v>
      </c>
      <c r="J15" s="217" t="n">
        <f aca="false">$G15*J$7</f>
        <v>16</v>
      </c>
      <c r="K15" s="821" t="n">
        <f aca="false">SUM(H15:J15)</f>
        <v>40</v>
      </c>
      <c r="M15" s="37" t="s">
        <v>1138</v>
      </c>
      <c r="N15" s="215"/>
      <c r="O15" s="215"/>
      <c r="P15" s="215"/>
      <c r="Q15" s="215"/>
      <c r="R15" s="215"/>
      <c r="S15" s="819" t="n">
        <v>-450</v>
      </c>
      <c r="T15" s="820" t="n">
        <f aca="false">$S15*H$7</f>
        <v>-135</v>
      </c>
      <c r="U15" s="217" t="n">
        <f aca="false">$S15*I$7</f>
        <v>-135</v>
      </c>
      <c r="V15" s="217" t="n">
        <f aca="false">$S15*J$7</f>
        <v>-180</v>
      </c>
      <c r="W15" s="821" t="n">
        <f aca="false">SUM(T15:V15)</f>
        <v>-450</v>
      </c>
      <c r="Y15" s="38"/>
    </row>
    <row r="16" customFormat="false" ht="12.75" hidden="false" customHeight="false" outlineLevel="0" collapsed="false">
      <c r="A16" s="37" t="s">
        <v>1139</v>
      </c>
      <c r="B16" s="38"/>
      <c r="C16" s="38"/>
      <c r="D16" s="38"/>
      <c r="E16" s="38"/>
      <c r="F16" s="38"/>
      <c r="G16" s="819" t="n">
        <v>2999.25</v>
      </c>
      <c r="H16" s="820" t="n">
        <f aca="false">$G16*H$7</f>
        <v>899.775</v>
      </c>
      <c r="I16" s="217" t="n">
        <f aca="false">$G16*I$7</f>
        <v>899.775</v>
      </c>
      <c r="J16" s="217" t="n">
        <f aca="false">$G16*J$7</f>
        <v>1199.7</v>
      </c>
      <c r="K16" s="821" t="n">
        <f aca="false">SUM(H16:J16)</f>
        <v>2999.25</v>
      </c>
      <c r="M16" s="37" t="s">
        <v>1140</v>
      </c>
      <c r="N16" s="215"/>
      <c r="O16" s="215"/>
      <c r="P16" s="215"/>
      <c r="Q16" s="215"/>
      <c r="R16" s="215"/>
      <c r="S16" s="819" t="n">
        <v>109.722</v>
      </c>
      <c r="T16" s="820" t="n">
        <f aca="false">$S16*H$7</f>
        <v>32.9166</v>
      </c>
      <c r="U16" s="217" t="n">
        <f aca="false">$S16*I$7</f>
        <v>32.9166</v>
      </c>
      <c r="V16" s="217" t="n">
        <f aca="false">$S16*J$7</f>
        <v>43.8888</v>
      </c>
      <c r="W16" s="821" t="n">
        <f aca="false">SUM(T16:V16)</f>
        <v>109.722</v>
      </c>
      <c r="Y16" s="38"/>
    </row>
    <row r="17" customFormat="false" ht="12.75" hidden="false" customHeight="false" outlineLevel="0" collapsed="false">
      <c r="A17" s="37" t="s">
        <v>1141</v>
      </c>
      <c r="B17" s="38"/>
      <c r="C17" s="38"/>
      <c r="D17" s="38"/>
      <c r="E17" s="38"/>
      <c r="F17" s="38"/>
      <c r="G17" s="819" t="n">
        <v>51</v>
      </c>
      <c r="H17" s="820" t="n">
        <f aca="false">$G17*H$7</f>
        <v>15.3</v>
      </c>
      <c r="I17" s="217" t="n">
        <f aca="false">$G17*I$7</f>
        <v>15.3</v>
      </c>
      <c r="J17" s="217" t="n">
        <f aca="false">$G17*J$7</f>
        <v>20.4</v>
      </c>
      <c r="K17" s="821" t="n">
        <f aca="false">SUM(H17:J17)</f>
        <v>51</v>
      </c>
      <c r="M17" s="37" t="s">
        <v>1142</v>
      </c>
      <c r="N17" s="215"/>
      <c r="O17" s="215"/>
      <c r="P17" s="215"/>
      <c r="Q17" s="215"/>
      <c r="R17" s="215"/>
      <c r="S17" s="819" t="n">
        <v>237.998</v>
      </c>
      <c r="T17" s="820" t="n">
        <f aca="false">$S17*H$7</f>
        <v>71.3994</v>
      </c>
      <c r="U17" s="217" t="n">
        <f aca="false">$S17*I$7</f>
        <v>71.3994</v>
      </c>
      <c r="V17" s="217" t="n">
        <f aca="false">$S17*J$7</f>
        <v>95.1992</v>
      </c>
      <c r="W17" s="821" t="n">
        <f aca="false">SUM(T17:V17)</f>
        <v>237.998</v>
      </c>
      <c r="Y17" s="38"/>
    </row>
    <row r="18" customFormat="false" ht="12.75" hidden="false" customHeight="false" outlineLevel="0" collapsed="false">
      <c r="A18" s="37" t="s">
        <v>1143</v>
      </c>
      <c r="B18" s="38"/>
      <c r="C18" s="38"/>
      <c r="D18" s="38"/>
      <c r="E18" s="38"/>
      <c r="F18" s="38"/>
      <c r="G18" s="819" t="n">
        <v>500</v>
      </c>
      <c r="H18" s="820" t="n">
        <f aca="false">$G18*H$7</f>
        <v>150</v>
      </c>
      <c r="I18" s="217" t="n">
        <f aca="false">$G18*I$7</f>
        <v>150</v>
      </c>
      <c r="J18" s="217" t="n">
        <f aca="false">$G18*J$7</f>
        <v>200</v>
      </c>
      <c r="K18" s="821" t="n">
        <f aca="false">SUM(H18:J18)</f>
        <v>500</v>
      </c>
      <c r="M18" s="37" t="s">
        <v>1144</v>
      </c>
      <c r="N18" s="215"/>
      <c r="O18" s="215"/>
      <c r="P18" s="215"/>
      <c r="Q18" s="215"/>
      <c r="R18" s="215"/>
      <c r="S18" s="819" t="n">
        <v>298.132</v>
      </c>
      <c r="T18" s="820" t="n">
        <f aca="false">$S18*H$7</f>
        <v>89.4396</v>
      </c>
      <c r="U18" s="217" t="n">
        <f aca="false">$S18*I$7</f>
        <v>89.4396</v>
      </c>
      <c r="V18" s="217" t="n">
        <f aca="false">$S18*J$7</f>
        <v>119.2528</v>
      </c>
      <c r="W18" s="821" t="n">
        <f aca="false">SUM(T18:V18)</f>
        <v>298.132</v>
      </c>
      <c r="Y18" s="38"/>
    </row>
    <row r="19" customFormat="false" ht="12.75" hidden="false" customHeight="false" outlineLevel="0" collapsed="false">
      <c r="A19" s="37" t="s">
        <v>1145</v>
      </c>
      <c r="B19" s="38"/>
      <c r="C19" s="38"/>
      <c r="D19" s="38"/>
      <c r="E19" s="38"/>
      <c r="F19" s="38"/>
      <c r="G19" s="819" t="n">
        <v>16.3</v>
      </c>
      <c r="H19" s="820" t="n">
        <f aca="false">$G19*H$7</f>
        <v>4.89</v>
      </c>
      <c r="I19" s="217" t="n">
        <f aca="false">$G19*I$7</f>
        <v>4.89</v>
      </c>
      <c r="J19" s="217" t="n">
        <f aca="false">$G19*J$7</f>
        <v>6.52</v>
      </c>
      <c r="K19" s="821" t="n">
        <f aca="false">SUM(H19:J19)</f>
        <v>16.3</v>
      </c>
      <c r="M19" s="37" t="s">
        <v>1146</v>
      </c>
      <c r="N19" s="215"/>
      <c r="O19" s="215"/>
      <c r="P19" s="215"/>
      <c r="Q19" s="215"/>
      <c r="R19" s="215"/>
      <c r="S19" s="819" t="n">
        <v>10012.339</v>
      </c>
      <c r="T19" s="820" t="n">
        <f aca="false">$S19*H$7</f>
        <v>3003.7017</v>
      </c>
      <c r="U19" s="217" t="n">
        <f aca="false">$S19*I$7</f>
        <v>3003.7017</v>
      </c>
      <c r="V19" s="217" t="n">
        <f aca="false">$S19*J$7</f>
        <v>4004.9356</v>
      </c>
      <c r="W19" s="821" t="n">
        <f aca="false">SUM(T19:V19)</f>
        <v>10012.339</v>
      </c>
      <c r="Y19" s="38"/>
    </row>
    <row r="20" customFormat="false" ht="12.75" hidden="false" customHeight="false" outlineLevel="0" collapsed="false">
      <c r="A20" s="37" t="s">
        <v>1147</v>
      </c>
      <c r="B20" s="38"/>
      <c r="C20" s="38"/>
      <c r="D20" s="38"/>
      <c r="E20" s="38"/>
      <c r="F20" s="38"/>
      <c r="G20" s="816" t="n">
        <v>6</v>
      </c>
      <c r="H20" s="817" t="n">
        <f aca="false">$G20*H$7</f>
        <v>1.8</v>
      </c>
      <c r="I20" s="220" t="n">
        <f aca="false">$G20*I$7</f>
        <v>1.8</v>
      </c>
      <c r="J20" s="220" t="n">
        <f aca="false">$G20*J$7</f>
        <v>2.4</v>
      </c>
      <c r="K20" s="827" t="n">
        <f aca="false">SUM(H20:J20)</f>
        <v>6</v>
      </c>
      <c r="M20" s="37" t="s">
        <v>1148</v>
      </c>
      <c r="N20" s="215"/>
      <c r="O20" s="215"/>
      <c r="P20" s="215"/>
      <c r="Q20" s="215"/>
      <c r="R20" s="215"/>
      <c r="S20" s="819" t="n">
        <v>509.464</v>
      </c>
      <c r="T20" s="820" t="n">
        <f aca="false">$S20*H$7</f>
        <v>152.8392</v>
      </c>
      <c r="U20" s="217" t="n">
        <f aca="false">$S20*I$7</f>
        <v>152.8392</v>
      </c>
      <c r="V20" s="217" t="n">
        <f aca="false">$S20*J$7</f>
        <v>203.7856</v>
      </c>
      <c r="W20" s="821" t="n">
        <f aca="false">SUM(T20:V20)</f>
        <v>509.464</v>
      </c>
      <c r="Y20" s="38"/>
    </row>
    <row r="21" customFormat="false" ht="12.75" hidden="false" customHeight="false" outlineLevel="0" collapsed="false">
      <c r="A21" s="37" t="s">
        <v>1149</v>
      </c>
      <c r="B21" s="38"/>
      <c r="C21" s="38"/>
      <c r="D21" s="38"/>
      <c r="E21" s="38"/>
      <c r="F21" s="38"/>
      <c r="G21" s="822" t="n">
        <f aca="false">SUM(G12:G20)</f>
        <v>8041.227</v>
      </c>
      <c r="H21" s="820" t="n">
        <f aca="false">SUM(H12:H20)</f>
        <v>2412.3681</v>
      </c>
      <c r="I21" s="217" t="n">
        <f aca="false">SUM(I12:I20)</f>
        <v>2412.3681</v>
      </c>
      <c r="J21" s="217" t="n">
        <f aca="false">SUM(J12:J20)</f>
        <v>3216.4908</v>
      </c>
      <c r="K21" s="821" t="n">
        <f aca="false">SUM(H21:J21)</f>
        <v>8041.227</v>
      </c>
      <c r="L21" s="38"/>
      <c r="M21" s="37" t="s">
        <v>1150</v>
      </c>
      <c r="N21" s="215"/>
      <c r="O21" s="215"/>
      <c r="P21" s="215"/>
      <c r="Q21" s="215"/>
      <c r="R21" s="215"/>
      <c r="S21" s="819" t="n">
        <v>29.88</v>
      </c>
      <c r="T21" s="820" t="n">
        <f aca="false">$S21*H$7</f>
        <v>8.964</v>
      </c>
      <c r="U21" s="217" t="n">
        <f aca="false">$S21*I$7</f>
        <v>8.964</v>
      </c>
      <c r="V21" s="217" t="n">
        <f aca="false">$S21*J$7</f>
        <v>11.952</v>
      </c>
      <c r="W21" s="821" t="n">
        <f aca="false">SUM(T21:V21)</f>
        <v>29.88</v>
      </c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</row>
    <row r="22" customFormat="false" ht="12.75" hidden="false" customHeight="false" outlineLevel="0" collapsed="false">
      <c r="A22" s="823"/>
      <c r="B22" s="215"/>
      <c r="C22" s="215"/>
      <c r="D22" s="215"/>
      <c r="E22" s="215"/>
      <c r="F22" s="215"/>
      <c r="G22" s="824"/>
      <c r="H22" s="825"/>
      <c r="I22" s="215"/>
      <c r="J22" s="215"/>
      <c r="K22" s="826"/>
      <c r="L22" s="215"/>
      <c r="M22" s="37" t="s">
        <v>1151</v>
      </c>
      <c r="N22" s="215"/>
      <c r="O22" s="215"/>
      <c r="P22" s="215"/>
      <c r="Q22" s="215"/>
      <c r="R22" s="215"/>
      <c r="S22" s="819" t="n">
        <v>47.648</v>
      </c>
      <c r="T22" s="820" t="n">
        <f aca="false">$S22*H$7</f>
        <v>14.2944</v>
      </c>
      <c r="U22" s="217" t="n">
        <f aca="false">$S22*I$7</f>
        <v>14.2944</v>
      </c>
      <c r="V22" s="217" t="n">
        <f aca="false">$S22*J$7</f>
        <v>19.0592</v>
      </c>
      <c r="W22" s="821" t="n">
        <f aca="false">SUM(T22:V22)</f>
        <v>47.648</v>
      </c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  <c r="CF22" s="215"/>
      <c r="CG22" s="215"/>
      <c r="CH22" s="215"/>
      <c r="CI22" s="215"/>
      <c r="CJ22" s="215"/>
      <c r="CK22" s="215"/>
      <c r="CL22" s="215"/>
      <c r="CM22" s="215"/>
      <c r="CN22" s="215"/>
      <c r="CO22" s="215"/>
      <c r="CP22" s="215"/>
      <c r="CQ22" s="215"/>
      <c r="CR22" s="215"/>
      <c r="CS22" s="215"/>
      <c r="CT22" s="215"/>
      <c r="CU22" s="215"/>
      <c r="CV22" s="215"/>
      <c r="CW22" s="215"/>
      <c r="CX22" s="215"/>
      <c r="CY22" s="215"/>
      <c r="CZ22" s="215"/>
      <c r="DA22" s="215"/>
      <c r="DB22" s="215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  <c r="EY22" s="215"/>
      <c r="EZ22" s="215"/>
      <c r="FA22" s="215"/>
      <c r="FB22" s="215"/>
      <c r="FC22" s="215"/>
      <c r="FD22" s="215"/>
      <c r="FE22" s="215"/>
      <c r="FF22" s="215"/>
      <c r="FG22" s="215"/>
      <c r="FH22" s="215"/>
      <c r="FI22" s="215"/>
      <c r="FJ22" s="215"/>
      <c r="FK22" s="215"/>
      <c r="FL22" s="215"/>
      <c r="FM22" s="215"/>
      <c r="FN22" s="215"/>
      <c r="FO22" s="215"/>
      <c r="FP22" s="215"/>
      <c r="FQ22" s="215"/>
      <c r="FR22" s="215"/>
      <c r="FS22" s="215"/>
      <c r="FT22" s="215"/>
      <c r="FU22" s="215"/>
      <c r="FV22" s="215"/>
      <c r="FW22" s="215"/>
      <c r="FX22" s="215"/>
      <c r="FY22" s="215"/>
      <c r="FZ22" s="215"/>
      <c r="GA22" s="215"/>
      <c r="GB22" s="215"/>
      <c r="GC22" s="215"/>
      <c r="GD22" s="215"/>
      <c r="GE22" s="215"/>
      <c r="GF22" s="215"/>
      <c r="GG22" s="215"/>
      <c r="GH22" s="215"/>
      <c r="GI22" s="215"/>
      <c r="GJ22" s="215"/>
      <c r="GK22" s="215"/>
      <c r="GL22" s="215"/>
      <c r="GM22" s="215"/>
      <c r="GN22" s="215"/>
      <c r="GO22" s="215"/>
      <c r="GP22" s="215"/>
      <c r="GQ22" s="215"/>
      <c r="GR22" s="215"/>
      <c r="GS22" s="215"/>
      <c r="GT22" s="215"/>
      <c r="GU22" s="215"/>
      <c r="GV22" s="215"/>
      <c r="GW22" s="215"/>
      <c r="GX22" s="215"/>
      <c r="GY22" s="215"/>
      <c r="GZ22" s="215"/>
      <c r="HA22" s="215"/>
      <c r="HB22" s="215"/>
      <c r="HC22" s="215"/>
      <c r="HD22" s="215"/>
      <c r="HE22" s="215"/>
      <c r="HF22" s="215"/>
      <c r="HG22" s="215"/>
      <c r="HH22" s="215"/>
      <c r="HI22" s="215"/>
      <c r="HJ22" s="215"/>
      <c r="HK22" s="215"/>
      <c r="HL22" s="215"/>
      <c r="HM22" s="215"/>
      <c r="HN22" s="215"/>
      <c r="HO22" s="215"/>
      <c r="HP22" s="215"/>
      <c r="HQ22" s="215"/>
      <c r="HR22" s="215"/>
      <c r="HS22" s="215"/>
      <c r="HT22" s="215"/>
      <c r="HU22" s="215"/>
      <c r="HV22" s="215"/>
      <c r="HW22" s="215"/>
      <c r="HX22" s="215"/>
      <c r="HY22" s="215"/>
      <c r="HZ22" s="215"/>
      <c r="IA22" s="215"/>
      <c r="IB22" s="215"/>
      <c r="IC22" s="215"/>
      <c r="ID22" s="215"/>
      <c r="IE22" s="215"/>
      <c r="IF22" s="215"/>
      <c r="IG22" s="215"/>
      <c r="IH22" s="215"/>
      <c r="II22" s="215"/>
      <c r="IJ22" s="215"/>
      <c r="IK22" s="215"/>
      <c r="IL22" s="215"/>
      <c r="IM22" s="215"/>
      <c r="IN22" s="215"/>
      <c r="IO22" s="215"/>
      <c r="IP22" s="215"/>
      <c r="IQ22" s="215"/>
      <c r="IR22" s="215"/>
      <c r="IS22" s="215"/>
      <c r="IT22" s="215"/>
      <c r="IU22" s="215"/>
      <c r="IV22" s="215"/>
      <c r="IW22" s="215"/>
    </row>
    <row r="23" customFormat="false" ht="12.75" hidden="false" customHeight="false" outlineLevel="0" collapsed="false">
      <c r="A23" s="37" t="s">
        <v>1152</v>
      </c>
      <c r="B23" s="38"/>
      <c r="C23" s="38"/>
      <c r="D23" s="38"/>
      <c r="E23" s="38"/>
      <c r="F23" s="38"/>
      <c r="G23" s="819" t="n">
        <v>500</v>
      </c>
      <c r="H23" s="820" t="n">
        <f aca="false">$G23*H$7</f>
        <v>150</v>
      </c>
      <c r="I23" s="217" t="n">
        <f aca="false">$G23*I$7</f>
        <v>150</v>
      </c>
      <c r="J23" s="217" t="n">
        <f aca="false">$G23*J$7</f>
        <v>200</v>
      </c>
      <c r="K23" s="821" t="n">
        <f aca="false">SUM(H23:J23)</f>
        <v>500</v>
      </c>
      <c r="M23" s="37" t="s">
        <v>1153</v>
      </c>
      <c r="N23" s="215"/>
      <c r="O23" s="215"/>
      <c r="P23" s="215"/>
      <c r="Q23" s="215"/>
      <c r="R23" s="215"/>
      <c r="S23" s="819" t="n">
        <v>125.626</v>
      </c>
      <c r="T23" s="820" t="n">
        <f aca="false">$S23*H$7</f>
        <v>37.6878</v>
      </c>
      <c r="U23" s="217" t="n">
        <f aca="false">$S23*I$7</f>
        <v>37.6878</v>
      </c>
      <c r="V23" s="217" t="n">
        <f aca="false">$S23*J$7</f>
        <v>50.2504</v>
      </c>
      <c r="W23" s="821" t="n">
        <f aca="false">SUM(T23:V23)</f>
        <v>125.626</v>
      </c>
      <c r="Y23" s="38"/>
    </row>
    <row r="24" customFormat="false" ht="12.75" hidden="false" customHeight="false" outlineLevel="0" collapsed="false">
      <c r="A24" s="37" t="s">
        <v>1154</v>
      </c>
      <c r="B24" s="38"/>
      <c r="C24" s="38"/>
      <c r="D24" s="38"/>
      <c r="E24" s="38"/>
      <c r="F24" s="38"/>
      <c r="G24" s="819" t="n">
        <v>15</v>
      </c>
      <c r="H24" s="820" t="n">
        <f aca="false">$G24*H$7</f>
        <v>4.5</v>
      </c>
      <c r="I24" s="217" t="n">
        <f aca="false">$G24*I$7</f>
        <v>4.5</v>
      </c>
      <c r="J24" s="217" t="n">
        <f aca="false">$G24*J$7</f>
        <v>6</v>
      </c>
      <c r="K24" s="821" t="n">
        <f aca="false">SUM(H24:J24)</f>
        <v>15</v>
      </c>
      <c r="M24" s="37" t="s">
        <v>1155</v>
      </c>
      <c r="N24" s="215"/>
      <c r="O24" s="215"/>
      <c r="P24" s="215"/>
      <c r="Q24" s="215"/>
      <c r="R24" s="215"/>
      <c r="S24" s="819" t="n">
        <v>21.873</v>
      </c>
      <c r="T24" s="820" t="n">
        <f aca="false">$S24*H$7</f>
        <v>6.5619</v>
      </c>
      <c r="U24" s="217" t="n">
        <f aca="false">$S24*I$7</f>
        <v>6.5619</v>
      </c>
      <c r="V24" s="217" t="n">
        <f aca="false">$S24*J$7</f>
        <v>8.7492</v>
      </c>
      <c r="W24" s="821" t="n">
        <f aca="false">SUM(T24:V24)</f>
        <v>21.873</v>
      </c>
      <c r="Y24" s="38"/>
    </row>
    <row r="25" customFormat="false" ht="12.75" hidden="false" customHeight="false" outlineLevel="0" collapsed="false">
      <c r="A25" s="37" t="s">
        <v>1156</v>
      </c>
      <c r="B25" s="38"/>
      <c r="C25" s="38"/>
      <c r="D25" s="38"/>
      <c r="E25" s="38"/>
      <c r="F25" s="38"/>
      <c r="G25" s="819" t="n">
        <v>600</v>
      </c>
      <c r="H25" s="820" t="n">
        <f aca="false">$G25*H$7</f>
        <v>180</v>
      </c>
      <c r="I25" s="217" t="n">
        <f aca="false">$G25*I$7</f>
        <v>180</v>
      </c>
      <c r="J25" s="217" t="n">
        <f aca="false">$G25*J$7</f>
        <v>240</v>
      </c>
      <c r="K25" s="821" t="n">
        <f aca="false">SUM(H25:J25)</f>
        <v>600</v>
      </c>
      <c r="M25" s="37" t="s">
        <v>1157</v>
      </c>
      <c r="N25" s="215"/>
      <c r="O25" s="215"/>
      <c r="P25" s="215"/>
      <c r="Q25" s="215"/>
      <c r="R25" s="215"/>
      <c r="S25" s="819" t="n">
        <v>1085</v>
      </c>
      <c r="T25" s="820" t="n">
        <f aca="false">$S25*H$7</f>
        <v>325.5</v>
      </c>
      <c r="U25" s="217" t="n">
        <f aca="false">$S25*I$7</f>
        <v>325.5</v>
      </c>
      <c r="V25" s="217" t="n">
        <f aca="false">$S25*J$7</f>
        <v>434</v>
      </c>
      <c r="W25" s="821" t="n">
        <f aca="false">SUM(T25:V25)</f>
        <v>1085</v>
      </c>
      <c r="Y25" s="38"/>
    </row>
    <row r="26" customFormat="false" ht="12.75" hidden="false" customHeight="false" outlineLevel="0" collapsed="false">
      <c r="A26" s="37" t="s">
        <v>1158</v>
      </c>
      <c r="B26" s="38"/>
      <c r="C26" s="38"/>
      <c r="D26" s="38"/>
      <c r="E26" s="38"/>
      <c r="F26" s="38"/>
      <c r="G26" s="816" t="n">
        <v>14365.567</v>
      </c>
      <c r="H26" s="817" t="n">
        <f aca="false">$G26*H$7</f>
        <v>4309.6701</v>
      </c>
      <c r="I26" s="220" t="n">
        <f aca="false">$G26*I$7</f>
        <v>4309.6701</v>
      </c>
      <c r="J26" s="220" t="n">
        <f aca="false">$G26*J$7</f>
        <v>5746.2268</v>
      </c>
      <c r="K26" s="827" t="n">
        <f aca="false">SUM(H26:J26)</f>
        <v>14365.567</v>
      </c>
      <c r="M26" s="37" t="s">
        <v>1159</v>
      </c>
      <c r="N26" s="215"/>
      <c r="O26" s="215"/>
      <c r="P26" s="215"/>
      <c r="Q26" s="215"/>
      <c r="R26" s="215"/>
      <c r="S26" s="819" t="n">
        <v>50.67</v>
      </c>
      <c r="T26" s="820" t="n">
        <f aca="false">$S26*H$7</f>
        <v>15.201</v>
      </c>
      <c r="U26" s="217" t="n">
        <f aca="false">$S26*I$7</f>
        <v>15.201</v>
      </c>
      <c r="V26" s="217" t="n">
        <f aca="false">$S26*J$7</f>
        <v>20.268</v>
      </c>
      <c r="W26" s="821" t="n">
        <f aca="false">SUM(T26:V26)</f>
        <v>50.67</v>
      </c>
      <c r="Y26" s="38"/>
    </row>
    <row r="27" customFormat="false" ht="12.75" hidden="false" customHeight="false" outlineLevel="0" collapsed="false">
      <c r="A27" s="37" t="s">
        <v>1160</v>
      </c>
      <c r="B27" s="38"/>
      <c r="C27" s="38"/>
      <c r="D27" s="38"/>
      <c r="E27" s="38"/>
      <c r="F27" s="38"/>
      <c r="G27" s="822" t="n">
        <f aca="false">SUM(G23:G26)</f>
        <v>15480.567</v>
      </c>
      <c r="H27" s="820" t="n">
        <f aca="false">SUM(H23:H26)</f>
        <v>4644.1701</v>
      </c>
      <c r="I27" s="217" t="n">
        <f aca="false">SUM(I23:I26)</f>
        <v>4644.1701</v>
      </c>
      <c r="J27" s="217" t="n">
        <f aca="false">SUM(J23:J26)</f>
        <v>6192.2268</v>
      </c>
      <c r="K27" s="821" t="n">
        <f aca="false">SUM(H27:J27)</f>
        <v>15480.567</v>
      </c>
      <c r="L27" s="38"/>
      <c r="M27" s="37" t="s">
        <v>1161</v>
      </c>
      <c r="N27" s="215"/>
      <c r="O27" s="215"/>
      <c r="P27" s="215"/>
      <c r="Q27" s="215"/>
      <c r="R27" s="215"/>
      <c r="S27" s="819" t="n">
        <v>100</v>
      </c>
      <c r="T27" s="820" t="n">
        <f aca="false">$S27*H$7</f>
        <v>30</v>
      </c>
      <c r="U27" s="217" t="n">
        <f aca="false">$S27*I$7</f>
        <v>30</v>
      </c>
      <c r="V27" s="217" t="n">
        <f aca="false">$S27*J$7</f>
        <v>40</v>
      </c>
      <c r="W27" s="821" t="n">
        <f aca="false">SUM(T27:V27)</f>
        <v>100</v>
      </c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</row>
    <row r="28" customFormat="false" ht="12.75" hidden="false" customHeight="false" outlineLevel="0" collapsed="false">
      <c r="A28" s="823"/>
      <c r="B28" s="215"/>
      <c r="C28" s="215"/>
      <c r="D28" s="215"/>
      <c r="E28" s="215"/>
      <c r="F28" s="215"/>
      <c r="G28" s="824"/>
      <c r="H28" s="825"/>
      <c r="I28" s="215"/>
      <c r="J28" s="215"/>
      <c r="K28" s="826"/>
      <c r="L28" s="215"/>
      <c r="M28" s="37" t="s">
        <v>1162</v>
      </c>
      <c r="N28" s="215"/>
      <c r="O28" s="215"/>
      <c r="P28" s="215"/>
      <c r="Q28" s="215"/>
      <c r="R28" s="215"/>
      <c r="S28" s="819" t="n">
        <v>9.462</v>
      </c>
      <c r="T28" s="820" t="n">
        <f aca="false">$S28*H$7</f>
        <v>2.8386</v>
      </c>
      <c r="U28" s="217" t="n">
        <f aca="false">$S28*I$7</f>
        <v>2.8386</v>
      </c>
      <c r="V28" s="217" t="n">
        <f aca="false">$S28*J$7</f>
        <v>3.7848</v>
      </c>
      <c r="W28" s="821" t="n">
        <f aca="false">SUM(T28:V28)</f>
        <v>9.462</v>
      </c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5"/>
      <c r="CT28" s="215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5"/>
      <c r="FF28" s="215"/>
      <c r="FG28" s="215"/>
      <c r="FH28" s="215"/>
      <c r="FI28" s="215"/>
      <c r="FJ28" s="215"/>
      <c r="FK28" s="215"/>
      <c r="FL28" s="215"/>
      <c r="FM28" s="215"/>
      <c r="FN28" s="215"/>
      <c r="FO28" s="215"/>
      <c r="FP28" s="215"/>
      <c r="FQ28" s="215"/>
      <c r="FR28" s="215"/>
      <c r="FS28" s="215"/>
      <c r="FT28" s="215"/>
      <c r="FU28" s="215"/>
      <c r="FV28" s="215"/>
      <c r="FW28" s="215"/>
      <c r="FX28" s="215"/>
      <c r="FY28" s="215"/>
      <c r="FZ28" s="215"/>
      <c r="GA28" s="215"/>
      <c r="GB28" s="215"/>
      <c r="GC28" s="215"/>
      <c r="GD28" s="215"/>
      <c r="GE28" s="215"/>
      <c r="GF28" s="215"/>
      <c r="GG28" s="215"/>
      <c r="GH28" s="215"/>
      <c r="GI28" s="215"/>
      <c r="GJ28" s="215"/>
      <c r="GK28" s="215"/>
      <c r="GL28" s="215"/>
      <c r="GM28" s="215"/>
      <c r="GN28" s="215"/>
      <c r="GO28" s="215"/>
      <c r="GP28" s="215"/>
      <c r="GQ28" s="215"/>
      <c r="GR28" s="215"/>
      <c r="GS28" s="215"/>
      <c r="GT28" s="215"/>
      <c r="GU28" s="215"/>
      <c r="GV28" s="215"/>
      <c r="GW28" s="215"/>
      <c r="GX28" s="215"/>
      <c r="GY28" s="215"/>
      <c r="GZ28" s="215"/>
      <c r="HA28" s="215"/>
      <c r="HB28" s="215"/>
      <c r="HC28" s="215"/>
      <c r="HD28" s="215"/>
      <c r="HE28" s="215"/>
      <c r="HF28" s="215"/>
      <c r="HG28" s="215"/>
      <c r="HH28" s="215"/>
      <c r="HI28" s="215"/>
      <c r="HJ28" s="215"/>
      <c r="HK28" s="215"/>
      <c r="HL28" s="215"/>
      <c r="HM28" s="215"/>
      <c r="HN28" s="215"/>
      <c r="HO28" s="215"/>
      <c r="HP28" s="215"/>
      <c r="HQ28" s="215"/>
      <c r="HR28" s="215"/>
      <c r="HS28" s="215"/>
      <c r="HT28" s="215"/>
      <c r="HU28" s="215"/>
      <c r="HV28" s="215"/>
      <c r="HW28" s="215"/>
      <c r="HX28" s="215"/>
      <c r="HY28" s="215"/>
      <c r="HZ28" s="215"/>
      <c r="IA28" s="215"/>
      <c r="IB28" s="215"/>
      <c r="IC28" s="215"/>
      <c r="ID28" s="215"/>
      <c r="IE28" s="215"/>
      <c r="IF28" s="215"/>
      <c r="IG28" s="215"/>
      <c r="IH28" s="215"/>
      <c r="II28" s="215"/>
      <c r="IJ28" s="215"/>
      <c r="IK28" s="215"/>
      <c r="IL28" s="215"/>
      <c r="IM28" s="215"/>
      <c r="IN28" s="215"/>
      <c r="IO28" s="215"/>
      <c r="IP28" s="215"/>
      <c r="IQ28" s="215"/>
      <c r="IR28" s="215"/>
      <c r="IS28" s="215"/>
      <c r="IT28" s="215"/>
      <c r="IU28" s="215"/>
      <c r="IV28" s="215"/>
      <c r="IW28" s="215"/>
    </row>
    <row r="29" customFormat="false" ht="12.75" hidden="false" customHeight="false" outlineLevel="0" collapsed="false">
      <c r="A29" s="37" t="s">
        <v>1163</v>
      </c>
      <c r="B29" s="38"/>
      <c r="C29" s="38"/>
      <c r="D29" s="38"/>
      <c r="E29" s="38"/>
      <c r="F29" s="38"/>
      <c r="G29" s="819" t="n">
        <v>394.913</v>
      </c>
      <c r="H29" s="820" t="n">
        <f aca="false">$G29*H$7</f>
        <v>118.4739</v>
      </c>
      <c r="I29" s="217" t="n">
        <f aca="false">$G29*I$7</f>
        <v>118.4739</v>
      </c>
      <c r="J29" s="217" t="n">
        <f aca="false">$G29*J$7</f>
        <v>157.9652</v>
      </c>
      <c r="K29" s="821" t="n">
        <f aca="false">SUM(H29:J29)</f>
        <v>394.913</v>
      </c>
      <c r="M29" s="37" t="s">
        <v>1164</v>
      </c>
      <c r="N29" s="215"/>
      <c r="O29" s="215"/>
      <c r="P29" s="215"/>
      <c r="Q29" s="215"/>
      <c r="R29" s="215"/>
      <c r="S29" s="819" t="n">
        <v>3.238</v>
      </c>
      <c r="T29" s="820" t="n">
        <f aca="false">$S29*H$7</f>
        <v>0.9714</v>
      </c>
      <c r="U29" s="217" t="n">
        <f aca="false">$S29*I$7</f>
        <v>0.9714</v>
      </c>
      <c r="V29" s="217" t="n">
        <f aca="false">$S29*J$7</f>
        <v>1.2952</v>
      </c>
      <c r="W29" s="821" t="n">
        <f aca="false">SUM(T29:V29)</f>
        <v>3.238</v>
      </c>
      <c r="Y29" s="38"/>
    </row>
    <row r="30" customFormat="false" ht="13.5" hidden="false" customHeight="false" outlineLevel="0" collapsed="false">
      <c r="A30" s="37" t="s">
        <v>1165</v>
      </c>
      <c r="B30" s="38"/>
      <c r="C30" s="38"/>
      <c r="D30" s="38"/>
      <c r="E30" s="38"/>
      <c r="F30" s="38"/>
      <c r="G30" s="819" t="n">
        <v>2921.792</v>
      </c>
      <c r="H30" s="820" t="n">
        <f aca="false">$G30*H$7</f>
        <v>876.5376</v>
      </c>
      <c r="I30" s="217" t="n">
        <f aca="false">$G30*I$7</f>
        <v>876.5376</v>
      </c>
      <c r="J30" s="217" t="n">
        <f aca="false">$G30*J$7</f>
        <v>1168.7168</v>
      </c>
      <c r="K30" s="821" t="n">
        <f aca="false">SUM(H30:J30)</f>
        <v>2921.792</v>
      </c>
      <c r="M30" s="70" t="s">
        <v>1166</v>
      </c>
      <c r="N30" s="71"/>
      <c r="O30" s="71"/>
      <c r="P30" s="71"/>
      <c r="Q30" s="71"/>
      <c r="R30" s="71"/>
      <c r="S30" s="828" t="n">
        <f aca="false">SUM(S9:S29)</f>
        <v>13200.458</v>
      </c>
      <c r="T30" s="829" t="n">
        <f aca="false">SUM(T9:T29)</f>
        <v>3960.1374</v>
      </c>
      <c r="U30" s="286" t="n">
        <f aca="false">SUM(U9:U29)</f>
        <v>3960.1374</v>
      </c>
      <c r="V30" s="286" t="n">
        <v>3630.8274</v>
      </c>
      <c r="W30" s="830" t="n">
        <f aca="false">SUM(T30:V30)</f>
        <v>11551.1022</v>
      </c>
      <c r="Y30" s="38"/>
    </row>
    <row r="31" customFormat="false" ht="13.5" hidden="false" customHeight="false" outlineLevel="0" collapsed="false">
      <c r="A31" s="37" t="s">
        <v>1167</v>
      </c>
      <c r="B31" s="38"/>
      <c r="C31" s="38"/>
      <c r="D31" s="38"/>
      <c r="E31" s="38"/>
      <c r="F31" s="38"/>
      <c r="G31" s="819" t="n">
        <v>5096.75</v>
      </c>
      <c r="H31" s="820" t="n">
        <f aca="false">$G31*H$7</f>
        <v>1529.025</v>
      </c>
      <c r="I31" s="217" t="n">
        <f aca="false">$G31*I$7</f>
        <v>1529.025</v>
      </c>
      <c r="J31" s="217" t="n">
        <f aca="false">$G31*J$7</f>
        <v>2038.7</v>
      </c>
      <c r="K31" s="821" t="n">
        <f aca="false">SUM(H31:J31)</f>
        <v>5096.75</v>
      </c>
      <c r="M31" s="38"/>
      <c r="Y31" s="38"/>
    </row>
    <row r="32" customFormat="false" ht="12.75" hidden="false" customHeight="false" outlineLevel="0" collapsed="false">
      <c r="A32" s="37" t="s">
        <v>1168</v>
      </c>
      <c r="B32" s="38"/>
      <c r="C32" s="38"/>
      <c r="D32" s="38"/>
      <c r="E32" s="38"/>
      <c r="F32" s="38"/>
      <c r="G32" s="819" t="n">
        <v>45</v>
      </c>
      <c r="H32" s="820" t="n">
        <f aca="false">$G32*H$7</f>
        <v>13.5</v>
      </c>
      <c r="I32" s="217" t="n">
        <f aca="false">$G32*I$7</f>
        <v>13.5</v>
      </c>
      <c r="J32" s="217" t="n">
        <f aca="false">$G32*J$7</f>
        <v>18</v>
      </c>
      <c r="K32" s="821" t="n">
        <f aca="false">SUM(H32:J32)</f>
        <v>45</v>
      </c>
      <c r="M32" s="453" t="s">
        <v>1169</v>
      </c>
      <c r="N32" s="28"/>
      <c r="O32" s="28"/>
      <c r="P32" s="28"/>
      <c r="Q32" s="28"/>
      <c r="R32" s="28"/>
      <c r="S32" s="811"/>
      <c r="T32" s="807" t="n">
        <f aca="false">H$7</f>
        <v>0.3</v>
      </c>
      <c r="U32" s="808" t="n">
        <f aca="false">I$7</f>
        <v>0.3</v>
      </c>
      <c r="V32" s="809" t="n">
        <f aca="false">J$7</f>
        <v>0.4</v>
      </c>
      <c r="W32" s="810"/>
      <c r="Y32" s="38"/>
    </row>
    <row r="33" customFormat="false" ht="12.75" hidden="false" customHeight="false" outlineLevel="0" collapsed="false">
      <c r="A33" s="37" t="s">
        <v>1170</v>
      </c>
      <c r="B33" s="38"/>
      <c r="C33" s="38"/>
      <c r="D33" s="38"/>
      <c r="E33" s="38"/>
      <c r="F33" s="38"/>
      <c r="G33" s="816" t="n">
        <v>7881.134</v>
      </c>
      <c r="H33" s="817" t="n">
        <f aca="false">$G33*H$7</f>
        <v>2364.3402</v>
      </c>
      <c r="I33" s="220" t="n">
        <f aca="false">$G33*I$7</f>
        <v>2364.3402</v>
      </c>
      <c r="J33" s="220" t="n">
        <f aca="false">$G33*J$7</f>
        <v>3152.4536</v>
      </c>
      <c r="K33" s="827" t="n">
        <f aca="false">SUM(H33:J33)</f>
        <v>7881.134</v>
      </c>
      <c r="M33" s="37"/>
      <c r="N33" s="38"/>
      <c r="O33" s="38"/>
      <c r="P33" s="38"/>
      <c r="Q33" s="38"/>
      <c r="R33" s="38"/>
      <c r="S33" s="812" t="s">
        <v>81</v>
      </c>
      <c r="T33" s="813" t="str">
        <f aca="false">H$8</f>
        <v>Phase I</v>
      </c>
      <c r="U33" s="814" t="str">
        <f aca="false">I$8</f>
        <v>Phase II</v>
      </c>
      <c r="V33" s="814" t="str">
        <f aca="false">J$8</f>
        <v>Phase III</v>
      </c>
      <c r="W33" s="815" t="str">
        <f aca="false">K$8</f>
        <v>Total</v>
      </c>
      <c r="Y33" s="38"/>
    </row>
    <row r="34" customFormat="false" ht="12.75" hidden="false" customHeight="false" outlineLevel="0" collapsed="false">
      <c r="A34" s="37" t="s">
        <v>1171</v>
      </c>
      <c r="B34" s="38"/>
      <c r="C34" s="38"/>
      <c r="D34" s="38"/>
      <c r="E34" s="38"/>
      <c r="F34" s="38"/>
      <c r="G34" s="822" t="n">
        <f aca="false">SUM(G29:G33)</f>
        <v>16339.589</v>
      </c>
      <c r="H34" s="820" t="n">
        <f aca="false">SUM(H29:H33)</f>
        <v>4901.8767</v>
      </c>
      <c r="I34" s="217" t="n">
        <f aca="false">SUM(I29:I33)</f>
        <v>4901.8767</v>
      </c>
      <c r="J34" s="217" t="n">
        <f aca="false">SUM(J29:J33)</f>
        <v>6535.8356</v>
      </c>
      <c r="K34" s="821" t="n">
        <f aca="false">SUM(H34:J34)</f>
        <v>16339.589</v>
      </c>
      <c r="M34" s="37" t="s">
        <v>1172</v>
      </c>
      <c r="N34" s="215"/>
      <c r="O34" s="215"/>
      <c r="P34" s="215"/>
      <c r="Q34" s="215"/>
      <c r="R34" s="831"/>
      <c r="S34" s="832" t="n">
        <v>1008</v>
      </c>
      <c r="T34" s="820" t="n">
        <f aca="false">$S34*H$7</f>
        <v>302.4</v>
      </c>
      <c r="U34" s="217" t="n">
        <f aca="false">$S34*I$7</f>
        <v>302.4</v>
      </c>
      <c r="V34" s="217" t="n">
        <f aca="false">$S34*J$7</f>
        <v>403.2</v>
      </c>
      <c r="W34" s="821" t="n">
        <f aca="false">SUM(T34:V34)</f>
        <v>1008</v>
      </c>
      <c r="Y34" s="38"/>
    </row>
    <row r="35" customFormat="false" ht="12.75" hidden="false" customHeight="false" outlineLevel="0" collapsed="false">
      <c r="A35" s="823"/>
      <c r="B35" s="215"/>
      <c r="C35" s="215"/>
      <c r="D35" s="215"/>
      <c r="E35" s="215"/>
      <c r="F35" s="215"/>
      <c r="G35" s="824"/>
      <c r="H35" s="825"/>
      <c r="I35" s="215"/>
      <c r="J35" s="215"/>
      <c r="K35" s="826"/>
      <c r="L35" s="215"/>
      <c r="M35" s="37" t="s">
        <v>1173</v>
      </c>
      <c r="N35" s="215"/>
      <c r="O35" s="215"/>
      <c r="P35" s="215"/>
      <c r="Q35" s="215"/>
      <c r="R35" s="831"/>
      <c r="S35" s="819" t="n">
        <v>1450</v>
      </c>
      <c r="T35" s="820" t="n">
        <f aca="false">$S35*H$7</f>
        <v>435</v>
      </c>
      <c r="U35" s="217" t="n">
        <f aca="false">$S35*I$7</f>
        <v>435</v>
      </c>
      <c r="V35" s="217" t="n">
        <f aca="false">$S35*J$7</f>
        <v>580</v>
      </c>
      <c r="W35" s="821" t="n">
        <f aca="false">SUM(T35:V35)</f>
        <v>1450</v>
      </c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5"/>
      <c r="BN35" s="215"/>
      <c r="BO35" s="215"/>
      <c r="BP35" s="215"/>
      <c r="BQ35" s="215"/>
      <c r="BR35" s="215"/>
      <c r="BS35" s="215"/>
      <c r="BT35" s="215"/>
      <c r="BU35" s="215"/>
      <c r="BV35" s="215"/>
      <c r="BW35" s="215"/>
      <c r="BX35" s="215"/>
      <c r="BY35" s="215"/>
      <c r="BZ35" s="215"/>
      <c r="CA35" s="215"/>
      <c r="CB35" s="215"/>
      <c r="CC35" s="215"/>
      <c r="CD35" s="215"/>
      <c r="CE35" s="215"/>
      <c r="CF35" s="215"/>
      <c r="CG35" s="215"/>
      <c r="CH35" s="215"/>
      <c r="CI35" s="215"/>
      <c r="CJ35" s="215"/>
      <c r="CK35" s="215"/>
      <c r="CL35" s="215"/>
      <c r="CM35" s="215"/>
      <c r="CN35" s="215"/>
      <c r="CO35" s="215"/>
      <c r="CP35" s="215"/>
      <c r="CQ35" s="215"/>
      <c r="CR35" s="215"/>
      <c r="CS35" s="215"/>
      <c r="CT35" s="215"/>
      <c r="CU35" s="215"/>
      <c r="CV35" s="215"/>
      <c r="CW35" s="215"/>
      <c r="CX35" s="215"/>
      <c r="CY35" s="215"/>
      <c r="CZ35" s="215"/>
      <c r="DA35" s="215"/>
      <c r="DB35" s="215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  <c r="EY35" s="215"/>
      <c r="EZ35" s="215"/>
      <c r="FA35" s="215"/>
      <c r="FB35" s="215"/>
      <c r="FC35" s="215"/>
      <c r="FD35" s="215"/>
      <c r="FE35" s="215"/>
      <c r="FF35" s="215"/>
      <c r="FG35" s="215"/>
      <c r="FH35" s="215"/>
      <c r="FI35" s="215"/>
      <c r="FJ35" s="215"/>
      <c r="FK35" s="215"/>
      <c r="FL35" s="215"/>
      <c r="FM35" s="215"/>
      <c r="FN35" s="215"/>
      <c r="FO35" s="215"/>
      <c r="FP35" s="215"/>
      <c r="FQ35" s="215"/>
      <c r="FR35" s="215"/>
      <c r="FS35" s="215"/>
      <c r="FT35" s="215"/>
      <c r="FU35" s="215"/>
      <c r="FV35" s="215"/>
      <c r="FW35" s="215"/>
      <c r="FX35" s="215"/>
      <c r="FY35" s="215"/>
      <c r="FZ35" s="215"/>
      <c r="GA35" s="215"/>
      <c r="GB35" s="215"/>
      <c r="GC35" s="215"/>
      <c r="GD35" s="215"/>
      <c r="GE35" s="215"/>
      <c r="GF35" s="215"/>
      <c r="GG35" s="215"/>
      <c r="GH35" s="215"/>
      <c r="GI35" s="215"/>
      <c r="GJ35" s="215"/>
      <c r="GK35" s="215"/>
      <c r="GL35" s="215"/>
      <c r="GM35" s="215"/>
      <c r="GN35" s="215"/>
      <c r="GO35" s="215"/>
      <c r="GP35" s="215"/>
      <c r="GQ35" s="215"/>
      <c r="GR35" s="215"/>
      <c r="GS35" s="215"/>
      <c r="GT35" s="215"/>
      <c r="GU35" s="215"/>
      <c r="GV35" s="215"/>
      <c r="GW35" s="215"/>
      <c r="GX35" s="215"/>
      <c r="GY35" s="215"/>
      <c r="GZ35" s="215"/>
      <c r="HA35" s="215"/>
      <c r="HB35" s="215"/>
      <c r="HC35" s="215"/>
      <c r="HD35" s="215"/>
      <c r="HE35" s="215"/>
      <c r="HF35" s="215"/>
      <c r="HG35" s="215"/>
      <c r="HH35" s="215"/>
      <c r="HI35" s="215"/>
      <c r="HJ35" s="215"/>
      <c r="HK35" s="215"/>
      <c r="HL35" s="215"/>
      <c r="HM35" s="215"/>
      <c r="HN35" s="215"/>
      <c r="HO35" s="215"/>
      <c r="HP35" s="215"/>
      <c r="HQ35" s="215"/>
      <c r="HR35" s="215"/>
      <c r="HS35" s="215"/>
      <c r="HT35" s="215"/>
      <c r="HU35" s="215"/>
      <c r="HV35" s="215"/>
      <c r="HW35" s="215"/>
      <c r="HX35" s="215"/>
      <c r="HY35" s="215"/>
      <c r="HZ35" s="215"/>
      <c r="IA35" s="215"/>
      <c r="IB35" s="215"/>
      <c r="IC35" s="215"/>
      <c r="ID35" s="215"/>
      <c r="IE35" s="215"/>
      <c r="IF35" s="215"/>
      <c r="IG35" s="215"/>
      <c r="IH35" s="215"/>
      <c r="II35" s="215"/>
      <c r="IJ35" s="215"/>
      <c r="IK35" s="215"/>
      <c r="IL35" s="215"/>
      <c r="IM35" s="215"/>
      <c r="IN35" s="215"/>
      <c r="IO35" s="215"/>
      <c r="IP35" s="215"/>
      <c r="IQ35" s="215"/>
      <c r="IR35" s="215"/>
      <c r="IS35" s="215"/>
      <c r="IT35" s="215"/>
      <c r="IU35" s="215"/>
      <c r="IV35" s="215"/>
      <c r="IW35" s="215"/>
    </row>
    <row r="36" customFormat="false" ht="12.75" hidden="false" customHeight="false" outlineLevel="0" collapsed="false">
      <c r="A36" s="37" t="s">
        <v>1174</v>
      </c>
      <c r="B36" s="38"/>
      <c r="C36" s="38"/>
      <c r="D36" s="38"/>
      <c r="E36" s="38"/>
      <c r="F36" s="38"/>
      <c r="G36" s="816" t="n">
        <v>15244</v>
      </c>
      <c r="H36" s="817" t="n">
        <f aca="false">$G36*H$7</f>
        <v>4573.2</v>
      </c>
      <c r="I36" s="220" t="n">
        <f aca="false">$G36*I$7</f>
        <v>4573.2</v>
      </c>
      <c r="J36" s="220" t="n">
        <f aca="false">$G36*J$7</f>
        <v>6097.6</v>
      </c>
      <c r="K36" s="827" t="n">
        <f aca="false">SUM(H36:J36)</f>
        <v>15244</v>
      </c>
      <c r="M36" s="37" t="s">
        <v>1175</v>
      </c>
      <c r="N36" s="215"/>
      <c r="O36" s="215"/>
      <c r="P36" s="215"/>
      <c r="Q36" s="215"/>
      <c r="R36" s="831"/>
      <c r="S36" s="833" t="n">
        <f aca="false">RAROC!B120</f>
        <v>1615</v>
      </c>
      <c r="T36" s="817" t="n">
        <f aca="false">$S36*H$7</f>
        <v>484.5</v>
      </c>
      <c r="U36" s="220" t="n">
        <f aca="false">$S36*I$7</f>
        <v>484.5</v>
      </c>
      <c r="V36" s="220" t="n">
        <f aca="false">$S36*J$7</f>
        <v>646</v>
      </c>
      <c r="W36" s="827" t="n">
        <f aca="false">SUM(T36:V36)</f>
        <v>1615</v>
      </c>
      <c r="X36" s="215"/>
      <c r="Y36" s="215"/>
      <c r="Z36" s="215"/>
    </row>
    <row r="37" customFormat="false" ht="13.5" hidden="false" customHeight="false" outlineLevel="0" collapsed="false">
      <c r="A37" s="37" t="s">
        <v>1176</v>
      </c>
      <c r="B37" s="38"/>
      <c r="C37" s="38"/>
      <c r="D37" s="38"/>
      <c r="E37" s="38"/>
      <c r="F37" s="38"/>
      <c r="G37" s="822" t="n">
        <f aca="false">SUM(G36)</f>
        <v>15244</v>
      </c>
      <c r="H37" s="820" t="n">
        <f aca="false">SUM(H36)</f>
        <v>4573.2</v>
      </c>
      <c r="I37" s="217" t="n">
        <f aca="false">SUM(I36)</f>
        <v>4573.2</v>
      </c>
      <c r="J37" s="217" t="n">
        <f aca="false">SUM(J36)</f>
        <v>6097.6</v>
      </c>
      <c r="K37" s="821" t="n">
        <f aca="false">SUM(H37:J37)</f>
        <v>15244</v>
      </c>
      <c r="M37" s="70" t="s">
        <v>1166</v>
      </c>
      <c r="N37" s="71"/>
      <c r="O37" s="71"/>
      <c r="P37" s="71"/>
      <c r="Q37" s="286"/>
      <c r="R37" s="71"/>
      <c r="S37" s="828" t="n">
        <f aca="false">SUM(S34:S36)</f>
        <v>4073</v>
      </c>
      <c r="T37" s="829" t="n">
        <f aca="false">SUM(T34:T36)</f>
        <v>1221.9</v>
      </c>
      <c r="U37" s="286" t="n">
        <f aca="false">SUM(U34:U36)</f>
        <v>1221.9</v>
      </c>
      <c r="V37" s="286" t="n">
        <f aca="false">SUM(V34:V36)</f>
        <v>1629.2</v>
      </c>
      <c r="W37" s="830" t="n">
        <f aca="false">SUM(T37:V37)</f>
        <v>4073</v>
      </c>
      <c r="X37" s="215"/>
      <c r="Y37" s="215"/>
      <c r="Z37" s="215"/>
    </row>
    <row r="38" customFormat="false" ht="13.5" hidden="false" customHeight="false" outlineLevel="0" collapsed="false">
      <c r="A38" s="823"/>
      <c r="B38" s="215"/>
      <c r="C38" s="215"/>
      <c r="D38" s="215"/>
      <c r="E38" s="215"/>
      <c r="F38" s="215"/>
      <c r="G38" s="824"/>
      <c r="H38" s="825"/>
      <c r="I38" s="215"/>
      <c r="J38" s="215"/>
      <c r="K38" s="826"/>
      <c r="L38" s="215"/>
      <c r="M38" s="38"/>
      <c r="Q38" s="230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5"/>
      <c r="BN38" s="215"/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5"/>
      <c r="CG38" s="215"/>
      <c r="CH38" s="215"/>
      <c r="CI38" s="215"/>
      <c r="CJ38" s="215"/>
      <c r="CK38" s="215"/>
      <c r="CL38" s="215"/>
      <c r="CM38" s="215"/>
      <c r="CN38" s="215"/>
      <c r="CO38" s="215"/>
      <c r="CP38" s="215"/>
      <c r="CQ38" s="215"/>
      <c r="CR38" s="215"/>
      <c r="CS38" s="215"/>
      <c r="CT38" s="215"/>
      <c r="CU38" s="215"/>
      <c r="CV38" s="215"/>
      <c r="CW38" s="215"/>
      <c r="CX38" s="215"/>
      <c r="CY38" s="215"/>
      <c r="CZ38" s="215"/>
      <c r="DA38" s="215"/>
      <c r="DB38" s="215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  <c r="EY38" s="215"/>
      <c r="EZ38" s="215"/>
      <c r="FA38" s="215"/>
      <c r="FB38" s="215"/>
      <c r="FC38" s="215"/>
      <c r="FD38" s="215"/>
      <c r="FE38" s="215"/>
      <c r="FF38" s="215"/>
      <c r="FG38" s="215"/>
      <c r="FH38" s="215"/>
      <c r="FI38" s="215"/>
      <c r="FJ38" s="215"/>
      <c r="FK38" s="215"/>
      <c r="FL38" s="215"/>
      <c r="FM38" s="215"/>
      <c r="FN38" s="215"/>
      <c r="FO38" s="215"/>
      <c r="FP38" s="215"/>
      <c r="FQ38" s="215"/>
      <c r="FR38" s="215"/>
      <c r="FS38" s="215"/>
      <c r="FT38" s="215"/>
      <c r="FU38" s="215"/>
      <c r="FV38" s="215"/>
      <c r="FW38" s="215"/>
      <c r="FX38" s="215"/>
      <c r="FY38" s="215"/>
      <c r="FZ38" s="215"/>
      <c r="GA38" s="215"/>
      <c r="GB38" s="215"/>
      <c r="GC38" s="215"/>
      <c r="GD38" s="215"/>
      <c r="GE38" s="215"/>
      <c r="GF38" s="215"/>
      <c r="GG38" s="215"/>
      <c r="GH38" s="215"/>
      <c r="GI38" s="215"/>
      <c r="GJ38" s="215"/>
      <c r="GK38" s="215"/>
      <c r="GL38" s="215"/>
      <c r="GM38" s="215"/>
      <c r="GN38" s="215"/>
      <c r="GO38" s="215"/>
      <c r="GP38" s="215"/>
      <c r="GQ38" s="215"/>
      <c r="GR38" s="215"/>
      <c r="GS38" s="215"/>
      <c r="GT38" s="215"/>
      <c r="GU38" s="215"/>
      <c r="GV38" s="215"/>
      <c r="GW38" s="215"/>
      <c r="GX38" s="215"/>
      <c r="GY38" s="215"/>
      <c r="GZ38" s="215"/>
      <c r="HA38" s="215"/>
      <c r="HB38" s="215"/>
      <c r="HC38" s="215"/>
      <c r="HD38" s="215"/>
      <c r="HE38" s="215"/>
      <c r="HF38" s="215"/>
      <c r="HG38" s="215"/>
      <c r="HH38" s="215"/>
      <c r="HI38" s="215"/>
      <c r="HJ38" s="215"/>
      <c r="HK38" s="215"/>
      <c r="HL38" s="215"/>
      <c r="HM38" s="215"/>
      <c r="HN38" s="215"/>
      <c r="HO38" s="215"/>
      <c r="HP38" s="215"/>
      <c r="HQ38" s="215"/>
      <c r="HR38" s="215"/>
      <c r="HS38" s="215"/>
      <c r="HT38" s="215"/>
      <c r="HU38" s="215"/>
      <c r="HV38" s="215"/>
      <c r="HW38" s="215"/>
      <c r="HX38" s="215"/>
      <c r="HY38" s="215"/>
      <c r="HZ38" s="215"/>
      <c r="IA38" s="215"/>
      <c r="IB38" s="215"/>
      <c r="IC38" s="215"/>
      <c r="ID38" s="215"/>
      <c r="IE38" s="215"/>
      <c r="IF38" s="215"/>
      <c r="IG38" s="215"/>
      <c r="IH38" s="215"/>
      <c r="II38" s="215"/>
      <c r="IJ38" s="215"/>
      <c r="IK38" s="215"/>
      <c r="IL38" s="215"/>
      <c r="IM38" s="215"/>
      <c r="IN38" s="215"/>
      <c r="IO38" s="215"/>
      <c r="IP38" s="215"/>
      <c r="IQ38" s="215"/>
      <c r="IR38" s="215"/>
      <c r="IS38" s="215"/>
      <c r="IT38" s="215"/>
      <c r="IU38" s="215"/>
      <c r="IV38" s="215"/>
      <c r="IW38" s="215"/>
    </row>
    <row r="39" customFormat="false" ht="13.5" hidden="false" customHeight="false" outlineLevel="0" collapsed="false">
      <c r="A39" s="834" t="s">
        <v>1177</v>
      </c>
      <c r="B39" s="835"/>
      <c r="C39" s="835"/>
      <c r="D39" s="835"/>
      <c r="E39" s="835"/>
      <c r="F39" s="835"/>
      <c r="G39" s="836" t="n">
        <f aca="false">SUM(G10,G21,G27,G34,G37)</f>
        <v>238466.383</v>
      </c>
      <c r="H39" s="837" t="n">
        <f aca="false">SUM(H10,H21,H27,H34,H37)</f>
        <v>71539.9149</v>
      </c>
      <c r="I39" s="838" t="n">
        <f aca="false">SUM(I10,I21,I27,I34,I37)</f>
        <v>71539.9149</v>
      </c>
      <c r="J39" s="838" t="n">
        <f aca="false">SUM(J10,J21,J27,J34,J37)</f>
        <v>95386.5532</v>
      </c>
      <c r="K39" s="839" t="n">
        <f aca="false">SUM(H39:J39)</f>
        <v>238466.383</v>
      </c>
      <c r="M39" s="453" t="s">
        <v>1178</v>
      </c>
      <c r="N39" s="28"/>
      <c r="O39" s="28"/>
      <c r="P39" s="28"/>
      <c r="Q39" s="28"/>
      <c r="R39" s="28"/>
      <c r="S39" s="840" t="s">
        <v>1179</v>
      </c>
      <c r="T39" s="841" t="s">
        <v>1180</v>
      </c>
      <c r="U39" s="842" t="s">
        <v>1181</v>
      </c>
      <c r="V39" s="841" t="s">
        <v>489</v>
      </c>
      <c r="W39" s="843" t="s">
        <v>254</v>
      </c>
      <c r="X39" s="215"/>
      <c r="Y39" s="215"/>
      <c r="Z39" s="215"/>
    </row>
    <row r="40" customFormat="false" ht="12.75" hidden="false" customHeight="false" outlineLevel="0" collapsed="false">
      <c r="A40" s="38"/>
      <c r="B40" s="38"/>
      <c r="C40" s="38"/>
      <c r="D40" s="38"/>
      <c r="E40" s="38"/>
      <c r="F40" s="38"/>
      <c r="G40" s="217"/>
      <c r="H40" s="217"/>
      <c r="I40" s="217"/>
      <c r="J40" s="217"/>
      <c r="K40" s="217"/>
      <c r="M40" s="302" t="s">
        <v>1182</v>
      </c>
      <c r="N40" s="38"/>
      <c r="O40" s="38"/>
      <c r="P40" s="38"/>
      <c r="Q40" s="38"/>
      <c r="R40" s="38"/>
      <c r="S40" s="844" t="s">
        <v>1183</v>
      </c>
      <c r="T40" s="845" t="s">
        <v>1183</v>
      </c>
      <c r="U40" s="813" t="s">
        <v>1184</v>
      </c>
      <c r="V40" s="814" t="s">
        <v>1185</v>
      </c>
      <c r="W40" s="815" t="s">
        <v>1184</v>
      </c>
      <c r="X40" s="215"/>
      <c r="Y40" s="215"/>
      <c r="Z40" s="215"/>
    </row>
    <row r="41" customFormat="false" ht="12.75" hidden="false" customHeight="false" outlineLevel="0" collapsed="false">
      <c r="A41" s="38"/>
      <c r="B41" s="38"/>
      <c r="C41" s="38"/>
      <c r="D41" s="38"/>
      <c r="E41" s="38"/>
      <c r="F41" s="38"/>
      <c r="G41" s="217"/>
      <c r="H41" s="217"/>
      <c r="I41" s="217"/>
      <c r="J41" s="217"/>
      <c r="K41" s="217"/>
      <c r="M41" s="37" t="s">
        <v>1186</v>
      </c>
      <c r="N41" s="38"/>
      <c r="O41" s="38"/>
      <c r="Q41" s="77" t="s">
        <v>1187</v>
      </c>
      <c r="R41" s="76" t="n">
        <v>0</v>
      </c>
      <c r="S41" s="846" t="n">
        <f aca="false">H76*R41</f>
        <v>0</v>
      </c>
      <c r="T41" s="847" t="n">
        <f aca="false">N113</f>
        <v>4742.33</v>
      </c>
      <c r="U41" s="820" t="n">
        <f aca="false">S41-T41</f>
        <v>-4742.33</v>
      </c>
      <c r="V41" s="848" t="n">
        <v>0.5</v>
      </c>
      <c r="W41" s="821" t="n">
        <f aca="false">V41*U41</f>
        <v>-2371.165</v>
      </c>
      <c r="X41" s="215"/>
      <c r="Y41" s="215"/>
      <c r="Z41" s="215"/>
    </row>
    <row r="42" customFormat="false" ht="12.75" hidden="false" customHeight="false" outlineLevel="0" collapsed="false">
      <c r="A42" s="38"/>
      <c r="B42" s="38"/>
      <c r="C42" s="38"/>
      <c r="D42" s="38"/>
      <c r="E42" s="38"/>
      <c r="F42" s="38"/>
      <c r="G42" s="217"/>
      <c r="H42" s="217"/>
      <c r="I42" s="217"/>
      <c r="J42" s="217"/>
      <c r="K42" s="217"/>
      <c r="M42" s="37" t="s">
        <v>1188</v>
      </c>
      <c r="N42" s="38"/>
      <c r="O42" s="38"/>
      <c r="Q42" s="77" t="s">
        <v>1189</v>
      </c>
      <c r="R42" s="76" t="n">
        <v>1</v>
      </c>
      <c r="S42" s="846" t="n">
        <f aca="false">K76*R42</f>
        <v>2956.5554375</v>
      </c>
      <c r="T42" s="847" t="n">
        <f aca="false">M113</f>
        <v>2086.77</v>
      </c>
      <c r="U42" s="820" t="n">
        <f aca="false">S42-T42</f>
        <v>869.7854375</v>
      </c>
      <c r="V42" s="848" t="n">
        <v>0.5</v>
      </c>
      <c r="W42" s="821" t="n">
        <f aca="false">V42*U42</f>
        <v>434.89271875</v>
      </c>
      <c r="X42" s="215"/>
      <c r="Y42" s="215"/>
      <c r="Z42" s="215"/>
    </row>
    <row r="43" customFormat="false" ht="12.75" hidden="false" customHeight="false" outlineLevel="0" collapsed="false">
      <c r="A43" s="38"/>
      <c r="B43" s="38"/>
      <c r="C43" s="38"/>
      <c r="D43" s="38"/>
      <c r="E43" s="38"/>
      <c r="F43" s="38"/>
      <c r="G43" s="217"/>
      <c r="H43" s="217"/>
      <c r="I43" s="217"/>
      <c r="J43" s="217"/>
      <c r="K43" s="217"/>
      <c r="M43" s="37" t="s">
        <v>1190</v>
      </c>
      <c r="N43" s="38"/>
      <c r="O43" s="38"/>
      <c r="Q43" s="77" t="s">
        <v>1191</v>
      </c>
      <c r="R43" s="76" t="n">
        <v>1</v>
      </c>
      <c r="S43" s="846" t="n">
        <f aca="false">M76*R43</f>
        <v>438.99975</v>
      </c>
      <c r="T43" s="849" t="n">
        <v>0</v>
      </c>
      <c r="U43" s="820" t="n">
        <f aca="false">S43-T43</f>
        <v>438.99975</v>
      </c>
      <c r="V43" s="848" t="n">
        <v>1</v>
      </c>
      <c r="W43" s="821" t="n">
        <f aca="false">V43*U43</f>
        <v>438.99975</v>
      </c>
      <c r="X43" s="215"/>
      <c r="Y43" s="215"/>
      <c r="Z43" s="215"/>
    </row>
    <row r="44" customFormat="false" ht="12.75" hidden="false" customHeight="false" outlineLevel="0" collapsed="false">
      <c r="A44" s="38"/>
      <c r="B44" s="38"/>
      <c r="C44" s="38"/>
      <c r="D44" s="38"/>
      <c r="E44" s="38"/>
      <c r="F44" s="38"/>
      <c r="G44" s="217"/>
      <c r="H44" s="217"/>
      <c r="I44" s="217"/>
      <c r="J44" s="217"/>
      <c r="K44" s="217"/>
      <c r="M44" s="37" t="s">
        <v>1192</v>
      </c>
      <c r="N44" s="38"/>
      <c r="O44" s="38"/>
      <c r="P44" s="38"/>
      <c r="Q44" s="77" t="s">
        <v>1191</v>
      </c>
      <c r="R44" s="76" t="n">
        <v>0</v>
      </c>
      <c r="S44" s="846" t="n">
        <f aca="false">P76*R44</f>
        <v>0</v>
      </c>
      <c r="T44" s="847" t="n">
        <f aca="false">L113</f>
        <v>2661.49</v>
      </c>
      <c r="U44" s="820" t="n">
        <f aca="false">S44-T44</f>
        <v>-2661.49</v>
      </c>
      <c r="V44" s="848" t="n">
        <v>1</v>
      </c>
      <c r="W44" s="821" t="n">
        <f aca="false">V44*U44</f>
        <v>-2661.49</v>
      </c>
      <c r="X44" s="215"/>
      <c r="Y44" s="215"/>
      <c r="Z44" s="215"/>
    </row>
    <row r="45" customFormat="false" ht="12.75" hidden="false" customHeight="false" outlineLevel="0" collapsed="false">
      <c r="A45" s="38"/>
      <c r="B45" s="38"/>
      <c r="C45" s="38"/>
      <c r="D45" s="38"/>
      <c r="E45" s="38"/>
      <c r="F45" s="38"/>
      <c r="G45" s="217"/>
      <c r="H45" s="217"/>
      <c r="I45" s="217"/>
      <c r="J45" s="217"/>
      <c r="K45" s="217"/>
      <c r="M45" s="37" t="s">
        <v>1193</v>
      </c>
      <c r="N45" s="215"/>
      <c r="O45" s="215"/>
      <c r="P45" s="215"/>
      <c r="Q45" s="77" t="s">
        <v>1191</v>
      </c>
      <c r="R45" s="76" t="n">
        <v>0</v>
      </c>
      <c r="S45" s="846" t="n">
        <f aca="false">R76*R45</f>
        <v>0</v>
      </c>
      <c r="T45" s="847" t="n">
        <f aca="false">O113</f>
        <v>2536.5</v>
      </c>
      <c r="U45" s="820" t="n">
        <f aca="false">S45-T45</f>
        <v>-2536.5</v>
      </c>
      <c r="V45" s="848" t="n">
        <v>1</v>
      </c>
      <c r="W45" s="821" t="n">
        <f aca="false">V45*U45</f>
        <v>-2536.5</v>
      </c>
      <c r="X45" s="215"/>
      <c r="Y45" s="215"/>
      <c r="Z45" s="215"/>
    </row>
    <row r="46" customFormat="false" ht="12.75" hidden="false" customHeight="false" outlineLevel="0" collapsed="false">
      <c r="A46" s="38"/>
      <c r="B46" s="38"/>
      <c r="C46" s="38"/>
      <c r="D46" s="38"/>
      <c r="E46" s="38"/>
      <c r="F46" s="38"/>
      <c r="G46" s="217"/>
      <c r="H46" s="217"/>
      <c r="I46" s="217"/>
      <c r="J46" s="217"/>
      <c r="K46" s="217"/>
      <c r="M46" s="37" t="s">
        <v>1194</v>
      </c>
      <c r="N46" s="38"/>
      <c r="O46" s="38"/>
      <c r="Q46" s="77" t="s">
        <v>1191</v>
      </c>
      <c r="R46" s="76" t="n">
        <v>0</v>
      </c>
      <c r="S46" s="846" t="n">
        <f aca="false">T76*R46</f>
        <v>0</v>
      </c>
      <c r="T46" s="849" t="n">
        <v>0</v>
      </c>
      <c r="U46" s="820" t="n">
        <f aca="false">S46-T46</f>
        <v>0</v>
      </c>
      <c r="V46" s="848" t="n">
        <v>1</v>
      </c>
      <c r="W46" s="821" t="n">
        <f aca="false">V46*U46</f>
        <v>0</v>
      </c>
      <c r="Y46" s="38"/>
    </row>
    <row r="47" customFormat="false" ht="12.75" hidden="false" customHeight="false" outlineLevel="0" collapsed="false">
      <c r="A47" s="38"/>
      <c r="B47" s="38"/>
      <c r="C47" s="38"/>
      <c r="D47" s="38"/>
      <c r="E47" s="38"/>
      <c r="F47" s="38"/>
      <c r="G47" s="217"/>
      <c r="H47" s="217"/>
      <c r="I47" s="217"/>
      <c r="J47" s="217"/>
      <c r="K47" s="217"/>
      <c r="M47" s="37" t="s">
        <v>1195</v>
      </c>
      <c r="N47" s="38"/>
      <c r="O47" s="38"/>
      <c r="Q47" s="77" t="s">
        <v>1189</v>
      </c>
      <c r="R47" s="76" t="n">
        <v>1</v>
      </c>
      <c r="S47" s="846" t="n">
        <f aca="false">W76*R47</f>
        <v>1457.5000265</v>
      </c>
      <c r="T47" s="847" t="n">
        <f aca="false">P113</f>
        <v>2216.6455</v>
      </c>
      <c r="U47" s="820" t="n">
        <f aca="false">S47-T47</f>
        <v>-759.1454735</v>
      </c>
      <c r="V47" s="848" t="n">
        <v>0.5</v>
      </c>
      <c r="W47" s="821" t="n">
        <f aca="false">V47*U47</f>
        <v>-379.57273675</v>
      </c>
      <c r="Y47" s="38"/>
    </row>
    <row r="48" customFormat="false" ht="12.75" hidden="false" customHeight="false" outlineLevel="0" collapsed="false">
      <c r="A48" s="38"/>
      <c r="B48" s="38"/>
      <c r="C48" s="38"/>
      <c r="D48" s="38"/>
      <c r="E48" s="38"/>
      <c r="F48" s="38"/>
      <c r="G48" s="217"/>
      <c r="H48" s="217"/>
      <c r="I48" s="217"/>
      <c r="J48" s="217"/>
      <c r="K48" s="217"/>
      <c r="M48" s="37" t="s">
        <v>1196</v>
      </c>
      <c r="N48" s="38"/>
      <c r="O48" s="38"/>
      <c r="Q48" s="77" t="s">
        <v>1187</v>
      </c>
      <c r="R48" s="76" t="n">
        <v>0</v>
      </c>
      <c r="S48" s="846" t="n">
        <f aca="false">Z76*R48</f>
        <v>0</v>
      </c>
      <c r="T48" s="849" t="n">
        <v>0</v>
      </c>
      <c r="U48" s="820" t="n">
        <f aca="false">S48-T48</f>
        <v>0</v>
      </c>
      <c r="V48" s="848" t="n">
        <v>1</v>
      </c>
      <c r="W48" s="821" t="n">
        <f aca="false">V48*U48</f>
        <v>0</v>
      </c>
      <c r="X48" s="215"/>
      <c r="Y48" s="215"/>
      <c r="Z48" s="215"/>
    </row>
    <row r="49" customFormat="false" ht="12.75" hidden="false" customHeight="false" outlineLevel="0" collapsed="false">
      <c r="A49" s="38"/>
      <c r="B49" s="38"/>
      <c r="C49" s="38"/>
      <c r="D49" s="38"/>
      <c r="E49" s="38"/>
      <c r="F49" s="38"/>
      <c r="G49" s="217"/>
      <c r="H49" s="217"/>
      <c r="I49" s="217"/>
      <c r="J49" s="217"/>
      <c r="K49" s="217"/>
      <c r="M49" s="37" t="s">
        <v>1197</v>
      </c>
      <c r="N49" s="38"/>
      <c r="O49" s="38"/>
      <c r="Q49" s="77" t="s">
        <v>1198</v>
      </c>
      <c r="R49" s="76" t="n">
        <v>1</v>
      </c>
      <c r="S49" s="850" t="n">
        <f aca="false">T49-S43</f>
        <v>561.00025</v>
      </c>
      <c r="T49" s="851" t="n">
        <f aca="false">Q113</f>
        <v>1000</v>
      </c>
      <c r="U49" s="817" t="n">
        <f aca="false">S49-T49</f>
        <v>-438.99975</v>
      </c>
      <c r="V49" s="848" t="n">
        <v>1</v>
      </c>
      <c r="W49" s="827" t="n">
        <f aca="false">V49*U49</f>
        <v>-438.99975</v>
      </c>
      <c r="Y49" s="38"/>
    </row>
    <row r="50" customFormat="false" ht="13.5" hidden="false" customHeight="false" outlineLevel="0" collapsed="false">
      <c r="A50" s="38"/>
      <c r="B50" s="38"/>
      <c r="C50" s="38"/>
      <c r="D50" s="38"/>
      <c r="E50" s="38"/>
      <c r="F50" s="38"/>
      <c r="G50" s="217"/>
      <c r="H50" s="217"/>
      <c r="I50" s="217"/>
      <c r="J50" s="217"/>
      <c r="K50" s="217"/>
      <c r="M50" s="70" t="s">
        <v>1199</v>
      </c>
      <c r="N50" s="71"/>
      <c r="O50" s="71"/>
      <c r="P50" s="71"/>
      <c r="Q50" s="71"/>
      <c r="R50" s="71"/>
      <c r="S50" s="852" t="n">
        <f aca="false">SUM(S41:S49)</f>
        <v>5414.055464</v>
      </c>
      <c r="T50" s="853" t="n">
        <f aca="false">SUM(T41:T49)</f>
        <v>15243.7355</v>
      </c>
      <c r="U50" s="829" t="n">
        <f aca="false">SUM(U41:U49)</f>
        <v>-9829.680036</v>
      </c>
      <c r="V50" s="231"/>
      <c r="W50" s="830" t="n">
        <f aca="false">SUM(W41:W49)</f>
        <v>-7513.835018</v>
      </c>
      <c r="Y50" s="38"/>
    </row>
    <row r="51" customFormat="false" ht="13.5" hidden="false" customHeight="false" outlineLevel="0" collapsed="false">
      <c r="A51" s="38"/>
      <c r="B51" s="38"/>
      <c r="C51" s="38"/>
      <c r="D51" s="38"/>
      <c r="E51" s="38"/>
      <c r="F51" s="38"/>
      <c r="G51" s="217"/>
      <c r="H51" s="217"/>
      <c r="I51" s="217"/>
      <c r="J51" s="217"/>
      <c r="K51" s="217"/>
      <c r="Y51" s="38"/>
    </row>
    <row r="52" customFormat="false" ht="12.75" hidden="false" customHeight="false" outlineLevel="0" collapsed="false">
      <c r="A52" s="523"/>
      <c r="B52" s="28"/>
      <c r="C52" s="28"/>
      <c r="D52" s="854" t="s">
        <v>959</v>
      </c>
      <c r="E52" s="854" t="s">
        <v>962</v>
      </c>
      <c r="F52" s="28"/>
      <c r="G52" s="28"/>
      <c r="H52" s="854" t="s">
        <v>1200</v>
      </c>
      <c r="I52" s="854" t="s">
        <v>1201</v>
      </c>
      <c r="J52" s="28"/>
      <c r="K52" s="854" t="s">
        <v>1202</v>
      </c>
      <c r="L52" s="28"/>
      <c r="M52" s="854" t="s">
        <v>1203</v>
      </c>
      <c r="N52" s="854" t="s">
        <v>1204</v>
      </c>
      <c r="O52" s="28"/>
      <c r="P52" s="854" t="s">
        <v>1205</v>
      </c>
      <c r="Q52" s="28"/>
      <c r="R52" s="854" t="s">
        <v>1206</v>
      </c>
      <c r="S52" s="28"/>
      <c r="T52" s="854" t="s">
        <v>1207</v>
      </c>
      <c r="U52" s="854" t="s">
        <v>1208</v>
      </c>
      <c r="V52" s="28"/>
      <c r="W52" s="854" t="s">
        <v>1209</v>
      </c>
      <c r="X52" s="854" t="s">
        <v>1210</v>
      </c>
      <c r="Y52" s="28"/>
      <c r="Z52" s="855" t="s">
        <v>1211</v>
      </c>
    </row>
    <row r="53" customFormat="false" ht="12.75" hidden="false" customHeight="false" outlineLevel="0" collapsed="false">
      <c r="A53" s="37"/>
      <c r="B53" s="38"/>
      <c r="C53" s="38"/>
      <c r="D53" s="38"/>
      <c r="E53" s="38"/>
      <c r="F53" s="38"/>
      <c r="G53" s="42" t="s">
        <v>1212</v>
      </c>
      <c r="H53" s="38"/>
      <c r="I53" s="38"/>
      <c r="J53" s="42" t="s">
        <v>1213</v>
      </c>
      <c r="K53" s="38"/>
      <c r="L53" s="42" t="s">
        <v>1190</v>
      </c>
      <c r="M53" s="38"/>
      <c r="N53" s="42" t="s">
        <v>1214</v>
      </c>
      <c r="O53" s="42" t="s">
        <v>1215</v>
      </c>
      <c r="P53" s="38"/>
      <c r="Q53" s="42" t="s">
        <v>1193</v>
      </c>
      <c r="R53" s="38"/>
      <c r="S53" s="42" t="s">
        <v>1216</v>
      </c>
      <c r="T53" s="38"/>
      <c r="U53" s="42" t="s">
        <v>1217</v>
      </c>
      <c r="V53" s="42" t="s">
        <v>1218</v>
      </c>
      <c r="W53" s="38"/>
      <c r="X53" s="42" t="s">
        <v>1217</v>
      </c>
      <c r="Y53" s="42" t="s">
        <v>1219</v>
      </c>
      <c r="Z53" s="43"/>
    </row>
    <row r="54" customFormat="false" ht="12.75" hidden="false" customHeight="false" outlineLevel="0" collapsed="false">
      <c r="A54" s="37"/>
      <c r="B54" s="42" t="s">
        <v>66</v>
      </c>
      <c r="C54" s="42" t="s">
        <v>1220</v>
      </c>
      <c r="D54" s="42" t="s">
        <v>1221</v>
      </c>
      <c r="E54" s="42" t="s">
        <v>1222</v>
      </c>
      <c r="F54" s="42" t="s">
        <v>1223</v>
      </c>
      <c r="G54" s="42" t="s">
        <v>1224</v>
      </c>
      <c r="H54" s="42" t="s">
        <v>1212</v>
      </c>
      <c r="I54" s="42" t="s">
        <v>1225</v>
      </c>
      <c r="J54" s="42" t="s">
        <v>1226</v>
      </c>
      <c r="K54" s="42" t="s">
        <v>1213</v>
      </c>
      <c r="L54" s="42" t="s">
        <v>1227</v>
      </c>
      <c r="M54" s="42" t="s">
        <v>1190</v>
      </c>
      <c r="N54" s="42" t="s">
        <v>1228</v>
      </c>
      <c r="O54" s="42" t="s">
        <v>1229</v>
      </c>
      <c r="P54" s="42" t="s">
        <v>1215</v>
      </c>
      <c r="Q54" s="42" t="s">
        <v>1230</v>
      </c>
      <c r="R54" s="42" t="s">
        <v>1193</v>
      </c>
      <c r="S54" s="42" t="s">
        <v>1230</v>
      </c>
      <c r="T54" s="42" t="s">
        <v>1216</v>
      </c>
      <c r="U54" s="42" t="s">
        <v>1231</v>
      </c>
      <c r="V54" s="42" t="s">
        <v>1232</v>
      </c>
      <c r="W54" s="42" t="s">
        <v>1218</v>
      </c>
      <c r="X54" s="42" t="s">
        <v>1233</v>
      </c>
      <c r="Y54" s="42" t="s">
        <v>1234</v>
      </c>
      <c r="Z54" s="856" t="s">
        <v>1219</v>
      </c>
    </row>
    <row r="55" customFormat="false" ht="12.75" hidden="false" customHeight="false" outlineLevel="0" collapsed="false">
      <c r="A55" s="37" t="s">
        <v>1235</v>
      </c>
      <c r="B55" s="857" t="n">
        <v>23953.385</v>
      </c>
      <c r="C55" s="858" t="n">
        <v>0</v>
      </c>
      <c r="D55" s="859" t="n">
        <f aca="false">B55-C55</f>
        <v>23953.385</v>
      </c>
      <c r="E55" s="858" t="n">
        <v>0</v>
      </c>
      <c r="F55" s="859" t="n">
        <f aca="false">D55-E55</f>
        <v>23953.385</v>
      </c>
      <c r="G55" s="860" t="n">
        <v>0</v>
      </c>
      <c r="H55" s="859" t="n">
        <f aca="false">D55*G55</f>
        <v>0</v>
      </c>
      <c r="I55" s="861" t="n">
        <f aca="false">SUM(D55,H55)</f>
        <v>23953.385</v>
      </c>
      <c r="J55" s="862" t="n">
        <v>0.05</v>
      </c>
      <c r="K55" s="859" t="n">
        <f aca="false">I55*J55</f>
        <v>1197.66925</v>
      </c>
      <c r="L55" s="860" t="n">
        <v>0</v>
      </c>
      <c r="M55" s="859" t="n">
        <f aca="false">E55*L55</f>
        <v>0</v>
      </c>
      <c r="N55" s="861" t="n">
        <f aca="false">SUM(C55,E55,I55,K55,M55)</f>
        <v>25151.05425</v>
      </c>
      <c r="O55" s="862" t="n">
        <v>0</v>
      </c>
      <c r="P55" s="859" t="n">
        <f aca="false">N55*O55</f>
        <v>0</v>
      </c>
      <c r="Q55" s="862" t="n">
        <v>0</v>
      </c>
      <c r="R55" s="859" t="n">
        <f aca="false">$C55*Q55</f>
        <v>0</v>
      </c>
      <c r="S55" s="862" t="n">
        <v>0.15</v>
      </c>
      <c r="T55" s="859" t="n">
        <f aca="false">$C55*S55</f>
        <v>0</v>
      </c>
      <c r="U55" s="861" t="n">
        <f aca="false">SUM(N55,P55,R55,T55,-K55)</f>
        <v>23953.385</v>
      </c>
      <c r="V55" s="862" t="n">
        <v>0.0265</v>
      </c>
      <c r="W55" s="859" t="n">
        <f aca="false">U55*V55</f>
        <v>634.7647025</v>
      </c>
      <c r="X55" s="861" t="n">
        <f aca="false">SUM(N55,P55,R55,T55,W55)</f>
        <v>25785.8189525</v>
      </c>
      <c r="Y55" s="862" t="n">
        <v>0.002</v>
      </c>
      <c r="Z55" s="863" t="n">
        <f aca="false">X55*Y55</f>
        <v>51.571637905</v>
      </c>
    </row>
    <row r="56" customFormat="false" ht="12.75" hidden="false" customHeight="false" outlineLevel="0" collapsed="false">
      <c r="A56" s="37" t="s">
        <v>1236</v>
      </c>
      <c r="B56" s="864" t="n">
        <v>9142.058</v>
      </c>
      <c r="C56" s="865" t="n">
        <v>0</v>
      </c>
      <c r="D56" s="866" t="n">
        <f aca="false">B56-C56</f>
        <v>9142.058</v>
      </c>
      <c r="E56" s="865" t="n">
        <v>0</v>
      </c>
      <c r="F56" s="866" t="n">
        <f aca="false">D56-E56</f>
        <v>9142.058</v>
      </c>
      <c r="G56" s="867" t="n">
        <v>0</v>
      </c>
      <c r="H56" s="866" t="n">
        <f aca="false">D56*G56</f>
        <v>0</v>
      </c>
      <c r="I56" s="868" t="n">
        <f aca="false">SUM(D56,H56)</f>
        <v>9142.058</v>
      </c>
      <c r="J56" s="93" t="n">
        <v>0</v>
      </c>
      <c r="K56" s="866" t="n">
        <f aca="false">I56*J56</f>
        <v>0</v>
      </c>
      <c r="L56" s="867" t="n">
        <v>0</v>
      </c>
      <c r="M56" s="866" t="n">
        <f aca="false">E56*L56</f>
        <v>0</v>
      </c>
      <c r="N56" s="868" t="n">
        <f aca="false">SUM(C56,E56,I56,K56,M56)</f>
        <v>9142.058</v>
      </c>
      <c r="O56" s="93" t="n">
        <v>0</v>
      </c>
      <c r="P56" s="866" t="n">
        <f aca="false">N56*O56</f>
        <v>0</v>
      </c>
      <c r="Q56" s="93" t="n">
        <v>0</v>
      </c>
      <c r="R56" s="866" t="n">
        <f aca="false">$C56*Q56</f>
        <v>0</v>
      </c>
      <c r="S56" s="93" t="n">
        <v>0.15</v>
      </c>
      <c r="T56" s="866" t="n">
        <f aca="false">$C56*S56</f>
        <v>0</v>
      </c>
      <c r="U56" s="868" t="n">
        <f aca="false">SUM(N56,P56,R56,T56,-K56)</f>
        <v>9142.058</v>
      </c>
      <c r="V56" s="93" t="n">
        <v>0.0265</v>
      </c>
      <c r="W56" s="866" t="n">
        <f aca="false">U56*V56</f>
        <v>242.264537</v>
      </c>
      <c r="X56" s="868" t="n">
        <f aca="false">SUM(N56,P56,R56,T56,W56)</f>
        <v>9384.322537</v>
      </c>
      <c r="Y56" s="93" t="n">
        <v>0.002</v>
      </c>
      <c r="Z56" s="869" t="n">
        <f aca="false">X56*Y56</f>
        <v>18.768645074</v>
      </c>
    </row>
    <row r="57" customFormat="false" ht="12.75" hidden="false" customHeight="false" outlineLevel="0" collapsed="false">
      <c r="A57" s="37" t="s">
        <v>1237</v>
      </c>
      <c r="B57" s="870" t="n">
        <v>21904.558</v>
      </c>
      <c r="C57" s="871" t="n">
        <v>0</v>
      </c>
      <c r="D57" s="872" t="n">
        <f aca="false">B57-C57</f>
        <v>21904.558</v>
      </c>
      <c r="E57" s="871" t="n">
        <v>0</v>
      </c>
      <c r="F57" s="872" t="n">
        <f aca="false">D57-E57</f>
        <v>21904.558</v>
      </c>
      <c r="G57" s="867" t="n">
        <v>0</v>
      </c>
      <c r="H57" s="872" t="n">
        <f aca="false">D57*G57</f>
        <v>0</v>
      </c>
      <c r="I57" s="873" t="n">
        <f aca="false">SUM(D57,H57)</f>
        <v>21904.558</v>
      </c>
      <c r="J57" s="93" t="n">
        <v>0</v>
      </c>
      <c r="K57" s="872" t="n">
        <f aca="false">I57*J57</f>
        <v>0</v>
      </c>
      <c r="L57" s="867" t="n">
        <v>0</v>
      </c>
      <c r="M57" s="872" t="n">
        <f aca="false">E57*L57</f>
        <v>0</v>
      </c>
      <c r="N57" s="873" t="n">
        <f aca="false">SUM(C57,E57,I57,K57,M57)</f>
        <v>21904.558</v>
      </c>
      <c r="O57" s="93" t="n">
        <v>0</v>
      </c>
      <c r="P57" s="872" t="n">
        <f aca="false">N57*O57</f>
        <v>0</v>
      </c>
      <c r="Q57" s="93" t="n">
        <v>0</v>
      </c>
      <c r="R57" s="872" t="n">
        <f aca="false">$C57*Q57</f>
        <v>0</v>
      </c>
      <c r="S57" s="93" t="n">
        <v>0.15</v>
      </c>
      <c r="T57" s="872" t="n">
        <f aca="false">$C57*S57</f>
        <v>0</v>
      </c>
      <c r="U57" s="873" t="n">
        <f aca="false">SUM(N57,P57,R57,T57,-K57)</f>
        <v>21904.558</v>
      </c>
      <c r="V57" s="93" t="n">
        <v>0.0265</v>
      </c>
      <c r="W57" s="872" t="n">
        <f aca="false">U57*V57</f>
        <v>580.470787</v>
      </c>
      <c r="X57" s="873" t="n">
        <f aca="false">SUM(N57,P57,R57,T57,W57)</f>
        <v>22485.028787</v>
      </c>
      <c r="Y57" s="93" t="n">
        <v>0.002</v>
      </c>
      <c r="Z57" s="874" t="n">
        <f aca="false">X57*Y57</f>
        <v>44.970057574</v>
      </c>
    </row>
    <row r="58" customFormat="false" ht="12.75" hidden="false" customHeight="false" outlineLevel="0" collapsed="false">
      <c r="A58" s="37" t="s">
        <v>1238</v>
      </c>
      <c r="B58" s="875" t="n">
        <f aca="false">SUM(B55:B57)</f>
        <v>55000.001</v>
      </c>
      <c r="C58" s="820" t="n">
        <f aca="false">SUM(C55:C57)</f>
        <v>0</v>
      </c>
      <c r="D58" s="847" t="n">
        <f aca="false">SUM(D55:D57)</f>
        <v>55000.001</v>
      </c>
      <c r="E58" s="820" t="n">
        <f aca="false">SUM(E55:E57)</f>
        <v>0</v>
      </c>
      <c r="F58" s="847" t="n">
        <f aca="false">SUM(F55:F57)</f>
        <v>55000.001</v>
      </c>
      <c r="G58" s="876"/>
      <c r="H58" s="847" t="n">
        <f aca="false">SUM(H55:H57)</f>
        <v>0</v>
      </c>
      <c r="I58" s="820" t="n">
        <f aca="false">SUM(I55:I57)</f>
        <v>55000.001</v>
      </c>
      <c r="J58" s="38"/>
      <c r="K58" s="847" t="n">
        <f aca="false">SUM(K55:K57)</f>
        <v>1197.66925</v>
      </c>
      <c r="L58" s="876"/>
      <c r="M58" s="847" t="n">
        <f aca="false">SUM(M55:M57)</f>
        <v>0</v>
      </c>
      <c r="N58" s="820" t="n">
        <f aca="false">SUM(N55:N57)</f>
        <v>56197.67025</v>
      </c>
      <c r="O58" s="38"/>
      <c r="P58" s="847" t="n">
        <f aca="false">SUM(P55:P57)</f>
        <v>0</v>
      </c>
      <c r="Q58" s="38"/>
      <c r="R58" s="847" t="n">
        <f aca="false">SUM(R55:R57)</f>
        <v>0</v>
      </c>
      <c r="S58" s="38"/>
      <c r="T58" s="847" t="n">
        <f aca="false">SUM(T55:T57)</f>
        <v>0</v>
      </c>
      <c r="U58" s="820" t="n">
        <f aca="false">SUM(U55:U57)</f>
        <v>55000.001</v>
      </c>
      <c r="V58" s="38"/>
      <c r="W58" s="847" t="n">
        <f aca="false">SUM(W55:W57)</f>
        <v>1457.5000265</v>
      </c>
      <c r="X58" s="820" t="n">
        <f aca="false">SUM(X55:X57)</f>
        <v>57655.1702765</v>
      </c>
      <c r="Y58" s="38"/>
      <c r="Z58" s="218" t="n">
        <f aca="false">SUM(Z55:Z57)</f>
        <v>115.310340553</v>
      </c>
    </row>
    <row r="59" customFormat="false" ht="12.75" hidden="false" customHeight="false" outlineLevel="0" collapsed="false">
      <c r="A59" s="37"/>
      <c r="B59" s="877"/>
      <c r="C59" s="876"/>
      <c r="D59" s="878"/>
      <c r="E59" s="876"/>
      <c r="F59" s="878"/>
      <c r="G59" s="876"/>
      <c r="H59" s="878"/>
      <c r="I59" s="876"/>
      <c r="J59" s="38"/>
      <c r="K59" s="878"/>
      <c r="L59" s="876"/>
      <c r="M59" s="878"/>
      <c r="N59" s="876"/>
      <c r="O59" s="38"/>
      <c r="P59" s="878"/>
      <c r="Q59" s="38"/>
      <c r="R59" s="878"/>
      <c r="S59" s="38"/>
      <c r="T59" s="878"/>
      <c r="U59" s="876"/>
      <c r="V59" s="38"/>
      <c r="W59" s="878"/>
      <c r="X59" s="876"/>
      <c r="Y59" s="38"/>
      <c r="Z59" s="43"/>
    </row>
    <row r="60" customFormat="false" ht="12.75" hidden="false" customHeight="false" outlineLevel="0" collapsed="false">
      <c r="A60" s="37" t="s">
        <v>1239</v>
      </c>
      <c r="B60" s="864" t="n">
        <v>28.293</v>
      </c>
      <c r="C60" s="865" t="n">
        <v>4.012</v>
      </c>
      <c r="D60" s="866" t="n">
        <f aca="false">B60-C60</f>
        <v>24.281</v>
      </c>
      <c r="E60" s="865" t="n">
        <v>0.387</v>
      </c>
      <c r="F60" s="866" t="n">
        <f aca="false">D60-E60</f>
        <v>23.894</v>
      </c>
      <c r="G60" s="867" t="n">
        <v>0.03</v>
      </c>
      <c r="H60" s="866" t="n">
        <f aca="false">D60*G60</f>
        <v>0.72843</v>
      </c>
      <c r="I60" s="868" t="n">
        <f aca="false">SUM(D60,H60)</f>
        <v>25.00943</v>
      </c>
      <c r="J60" s="93" t="n">
        <v>0.05</v>
      </c>
      <c r="K60" s="866" t="n">
        <f aca="false">I60*J60</f>
        <v>1.2504715</v>
      </c>
      <c r="L60" s="867" t="n">
        <v>0.25</v>
      </c>
      <c r="M60" s="866" t="n">
        <f aca="false">E60*L60</f>
        <v>0.09675</v>
      </c>
      <c r="N60" s="868" t="n">
        <f aca="false">SUM(C60,E60,I60,K60,M60)</f>
        <v>30.7556515</v>
      </c>
      <c r="O60" s="93" t="n">
        <v>0</v>
      </c>
      <c r="P60" s="866" t="n">
        <f aca="false">N60*O60</f>
        <v>0</v>
      </c>
      <c r="Q60" s="93" t="n">
        <v>0</v>
      </c>
      <c r="R60" s="866" t="n">
        <f aca="false">$C60*Q60</f>
        <v>0</v>
      </c>
      <c r="S60" s="93" t="n">
        <v>0.15</v>
      </c>
      <c r="T60" s="866" t="n">
        <f aca="false">$C60*S60</f>
        <v>0.6018</v>
      </c>
      <c r="U60" s="868" t="n">
        <f aca="false">SUM(N60,P60,R60,T60,-K60)</f>
        <v>30.10698</v>
      </c>
      <c r="V60" s="93" t="n">
        <v>0</v>
      </c>
      <c r="W60" s="866" t="n">
        <f aca="false">U60*V60</f>
        <v>0</v>
      </c>
      <c r="X60" s="868" t="n">
        <f aca="false">SUM(N60,P60,R60,T60,W60)</f>
        <v>31.3574515</v>
      </c>
      <c r="Y60" s="93" t="n">
        <v>0.002</v>
      </c>
      <c r="Z60" s="869" t="n">
        <f aca="false">X60*Y60</f>
        <v>0.062714903</v>
      </c>
    </row>
    <row r="61" customFormat="false" ht="12.75" hidden="false" customHeight="false" outlineLevel="0" collapsed="false">
      <c r="A61" s="37" t="s">
        <v>1240</v>
      </c>
      <c r="B61" s="864" t="n">
        <v>1125.615</v>
      </c>
      <c r="C61" s="865" t="n">
        <v>159.607</v>
      </c>
      <c r="D61" s="866" t="n">
        <f aca="false">B61-C61</f>
        <v>966.008</v>
      </c>
      <c r="E61" s="865" t="n">
        <v>15.399</v>
      </c>
      <c r="F61" s="866" t="n">
        <f aca="false">D61-E61</f>
        <v>950.609</v>
      </c>
      <c r="G61" s="867" t="n">
        <v>0.17</v>
      </c>
      <c r="H61" s="866" t="n">
        <f aca="false">D61*G61</f>
        <v>164.22136</v>
      </c>
      <c r="I61" s="868" t="n">
        <f aca="false">SUM(D61,H61)</f>
        <v>1130.22936</v>
      </c>
      <c r="J61" s="93" t="n">
        <v>0.1</v>
      </c>
      <c r="K61" s="866" t="n">
        <f aca="false">I61*J61</f>
        <v>113.022936</v>
      </c>
      <c r="L61" s="867" t="n">
        <v>0.25</v>
      </c>
      <c r="M61" s="866" t="n">
        <f aca="false">E61*L61</f>
        <v>3.84975</v>
      </c>
      <c r="N61" s="868" t="n">
        <f aca="false">SUM(C61,E61,I61,K61,M61)</f>
        <v>1422.108046</v>
      </c>
      <c r="O61" s="93" t="n">
        <v>0</v>
      </c>
      <c r="P61" s="866" t="n">
        <f aca="false">N61*O61</f>
        <v>0</v>
      </c>
      <c r="Q61" s="93" t="n">
        <v>0</v>
      </c>
      <c r="R61" s="866" t="n">
        <f aca="false">$C61*Q61</f>
        <v>0</v>
      </c>
      <c r="S61" s="93" t="n">
        <v>0.15</v>
      </c>
      <c r="T61" s="866" t="n">
        <f aca="false">$C61*S61</f>
        <v>23.94105</v>
      </c>
      <c r="U61" s="868" t="n">
        <f aca="false">SUM(N61,P61,R61,T61,-K61)</f>
        <v>1333.02616</v>
      </c>
      <c r="V61" s="93" t="n">
        <v>0</v>
      </c>
      <c r="W61" s="866" t="n">
        <f aca="false">U61*V61</f>
        <v>0</v>
      </c>
      <c r="X61" s="868" t="n">
        <f aca="false">SUM(N61,P61,R61,T61,W61)</f>
        <v>1446.049096</v>
      </c>
      <c r="Y61" s="93" t="n">
        <v>0.002</v>
      </c>
      <c r="Z61" s="869" t="n">
        <f aca="false">X61*Y61</f>
        <v>2.892098192</v>
      </c>
    </row>
    <row r="62" customFormat="false" ht="12.75" hidden="false" customHeight="false" outlineLevel="0" collapsed="false">
      <c r="A62" s="37" t="s">
        <v>1241</v>
      </c>
      <c r="B62" s="864" t="n">
        <v>3248.818</v>
      </c>
      <c r="C62" s="865" t="n">
        <v>460.667</v>
      </c>
      <c r="D62" s="866" t="n">
        <f aca="false">B62-C62</f>
        <v>2788.151</v>
      </c>
      <c r="E62" s="865" t="n">
        <v>44.444</v>
      </c>
      <c r="F62" s="866" t="n">
        <f aca="false">D62-E62</f>
        <v>2743.707</v>
      </c>
      <c r="G62" s="867" t="n">
        <v>0.03</v>
      </c>
      <c r="H62" s="866" t="n">
        <f aca="false">D62*G62</f>
        <v>83.64453</v>
      </c>
      <c r="I62" s="868" t="n">
        <f aca="false">SUM(D62,H62)</f>
        <v>2871.79553</v>
      </c>
      <c r="J62" s="93" t="n">
        <v>0</v>
      </c>
      <c r="K62" s="866" t="n">
        <f aca="false">I62*J62</f>
        <v>0</v>
      </c>
      <c r="L62" s="867" t="n">
        <v>0.25</v>
      </c>
      <c r="M62" s="866" t="n">
        <f aca="false">E62*L62</f>
        <v>11.111</v>
      </c>
      <c r="N62" s="868" t="n">
        <f aca="false">SUM(C62,E62,I62,K62,M62)</f>
        <v>3388.01753</v>
      </c>
      <c r="O62" s="93" t="n">
        <v>0</v>
      </c>
      <c r="P62" s="866" t="n">
        <f aca="false">N62*O62</f>
        <v>0</v>
      </c>
      <c r="Q62" s="93" t="n">
        <v>0</v>
      </c>
      <c r="R62" s="866" t="n">
        <f aca="false">$C62*Q62</f>
        <v>0</v>
      </c>
      <c r="S62" s="93" t="n">
        <v>0.15</v>
      </c>
      <c r="T62" s="866" t="n">
        <f aca="false">$C62*S62</f>
        <v>69.10005</v>
      </c>
      <c r="U62" s="868" t="n">
        <f aca="false">SUM(N62,P62,R62,T62,-K62)</f>
        <v>3457.11758</v>
      </c>
      <c r="V62" s="93" t="n">
        <v>0</v>
      </c>
      <c r="W62" s="866" t="n">
        <f aca="false">U62*V62</f>
        <v>0</v>
      </c>
      <c r="X62" s="868" t="n">
        <f aca="false">SUM(N62,P62,R62,T62,W62)</f>
        <v>3457.11758</v>
      </c>
      <c r="Y62" s="93" t="n">
        <v>0.002</v>
      </c>
      <c r="Z62" s="869" t="n">
        <f aca="false">X62*Y62</f>
        <v>6.91423516</v>
      </c>
    </row>
    <row r="63" customFormat="false" ht="12.75" hidden="false" customHeight="false" outlineLevel="0" collapsed="false">
      <c r="A63" s="37" t="s">
        <v>1242</v>
      </c>
      <c r="B63" s="864" t="n">
        <v>2962.386</v>
      </c>
      <c r="C63" s="865" t="n">
        <v>420.053</v>
      </c>
      <c r="D63" s="866" t="n">
        <f aca="false">B63-C63</f>
        <v>2542.333</v>
      </c>
      <c r="E63" s="865" t="n">
        <v>40.526</v>
      </c>
      <c r="F63" s="866" t="n">
        <f aca="false">D63-E63</f>
        <v>2501.807</v>
      </c>
      <c r="G63" s="867" t="n">
        <v>0.03</v>
      </c>
      <c r="H63" s="866" t="n">
        <f aca="false">D63*G63</f>
        <v>76.26999</v>
      </c>
      <c r="I63" s="868" t="n">
        <f aca="false">SUM(D63,H63)</f>
        <v>2618.60299</v>
      </c>
      <c r="J63" s="93" t="n">
        <v>0.1</v>
      </c>
      <c r="K63" s="866" t="n">
        <f aca="false">I63*J63</f>
        <v>261.860299</v>
      </c>
      <c r="L63" s="867" t="n">
        <v>0.25</v>
      </c>
      <c r="M63" s="866" t="n">
        <f aca="false">E63*L63</f>
        <v>10.1315</v>
      </c>
      <c r="N63" s="868" t="n">
        <f aca="false">SUM(C63,E63,I63,K63,M63)</f>
        <v>3351.173789</v>
      </c>
      <c r="O63" s="93" t="n">
        <v>0</v>
      </c>
      <c r="P63" s="866" t="n">
        <f aca="false">N63*O63</f>
        <v>0</v>
      </c>
      <c r="Q63" s="93" t="n">
        <v>0</v>
      </c>
      <c r="R63" s="866" t="n">
        <f aca="false">$C63*Q63</f>
        <v>0</v>
      </c>
      <c r="S63" s="93" t="n">
        <v>0.15</v>
      </c>
      <c r="T63" s="866" t="n">
        <f aca="false">$C63*S63</f>
        <v>63.00795</v>
      </c>
      <c r="U63" s="868" t="n">
        <f aca="false">SUM(N63,P63,R63,T63,-K63)</f>
        <v>3152.32144</v>
      </c>
      <c r="V63" s="93" t="n">
        <v>0</v>
      </c>
      <c r="W63" s="866" t="n">
        <f aca="false">U63*V63</f>
        <v>0</v>
      </c>
      <c r="X63" s="868" t="n">
        <f aca="false">SUM(N63,P63,R63,T63,W63)</f>
        <v>3414.181739</v>
      </c>
      <c r="Y63" s="93" t="n">
        <v>0.002</v>
      </c>
      <c r="Z63" s="869" t="n">
        <f aca="false">X63*Y63</f>
        <v>6.828363478</v>
      </c>
    </row>
    <row r="64" customFormat="false" ht="12.75" hidden="false" customHeight="false" outlineLevel="0" collapsed="false">
      <c r="A64" s="37" t="s">
        <v>1243</v>
      </c>
      <c r="B64" s="864" t="n">
        <v>56304.639</v>
      </c>
      <c r="C64" s="865" t="n">
        <v>7983.739</v>
      </c>
      <c r="D64" s="866" t="n">
        <f aca="false">B64-C64</f>
        <v>48320.9</v>
      </c>
      <c r="E64" s="865" t="n">
        <v>770.257</v>
      </c>
      <c r="F64" s="866" t="n">
        <f aca="false">D64-E64</f>
        <v>47550.643</v>
      </c>
      <c r="G64" s="867" t="n">
        <v>0.03</v>
      </c>
      <c r="H64" s="866" t="n">
        <f aca="false">D64*G64</f>
        <v>1449.627</v>
      </c>
      <c r="I64" s="868" t="n">
        <f aca="false">SUM(D64,H64)</f>
        <v>49770.527</v>
      </c>
      <c r="J64" s="93" t="n">
        <v>0</v>
      </c>
      <c r="K64" s="866" t="n">
        <f aca="false">I64*J64</f>
        <v>0</v>
      </c>
      <c r="L64" s="867" t="n">
        <v>0.25</v>
      </c>
      <c r="M64" s="866" t="n">
        <f aca="false">E64*L64</f>
        <v>192.56425</v>
      </c>
      <c r="N64" s="868" t="n">
        <f aca="false">SUM(C64,E64,I64,K64,M64)</f>
        <v>58717.08725</v>
      </c>
      <c r="O64" s="93" t="n">
        <v>0</v>
      </c>
      <c r="P64" s="866" t="n">
        <f aca="false">N64*O64</f>
        <v>0</v>
      </c>
      <c r="Q64" s="93" t="n">
        <v>0</v>
      </c>
      <c r="R64" s="866" t="n">
        <f aca="false">$C64*Q64</f>
        <v>0</v>
      </c>
      <c r="S64" s="93" t="n">
        <v>0.15</v>
      </c>
      <c r="T64" s="866" t="n">
        <f aca="false">$C64*S64</f>
        <v>1197.56085</v>
      </c>
      <c r="U64" s="868" t="n">
        <f aca="false">SUM(N64,P64,R64,T64,-K64)</f>
        <v>59914.6481</v>
      </c>
      <c r="V64" s="93" t="n">
        <v>0</v>
      </c>
      <c r="W64" s="866" t="n">
        <f aca="false">U64*V64</f>
        <v>0</v>
      </c>
      <c r="X64" s="868" t="n">
        <f aca="false">SUM(N64,P64,R64,T64,W64)</f>
        <v>59914.6481</v>
      </c>
      <c r="Y64" s="93" t="n">
        <v>0.002</v>
      </c>
      <c r="Z64" s="869" t="n">
        <f aca="false">X64*Y64</f>
        <v>119.8292962</v>
      </c>
    </row>
    <row r="65" customFormat="false" ht="12.75" hidden="false" customHeight="false" outlineLevel="0" collapsed="false">
      <c r="A65" s="37" t="s">
        <v>1244</v>
      </c>
      <c r="B65" s="864" t="n">
        <v>3833.964</v>
      </c>
      <c r="C65" s="865" t="n">
        <v>543.638</v>
      </c>
      <c r="D65" s="866" t="n">
        <f aca="false">B65-C65</f>
        <v>3290.326</v>
      </c>
      <c r="E65" s="865" t="n">
        <v>52.449</v>
      </c>
      <c r="F65" s="866" t="n">
        <f aca="false">D65-E65</f>
        <v>3237.877</v>
      </c>
      <c r="G65" s="867" t="n">
        <v>0.03</v>
      </c>
      <c r="H65" s="866" t="n">
        <f aca="false">D65*G65</f>
        <v>98.70978</v>
      </c>
      <c r="I65" s="868" t="n">
        <f aca="false">SUM(D65,H65)</f>
        <v>3389.03578</v>
      </c>
      <c r="J65" s="93" t="n">
        <v>0.08</v>
      </c>
      <c r="K65" s="866" t="n">
        <f aca="false">I65*J65</f>
        <v>271.1228624</v>
      </c>
      <c r="L65" s="867" t="n">
        <v>0.25</v>
      </c>
      <c r="M65" s="866" t="n">
        <f aca="false">E65*L65</f>
        <v>13.11225</v>
      </c>
      <c r="N65" s="868" t="n">
        <f aca="false">SUM(C65,E65,I65,K65,M65)</f>
        <v>4269.3578924</v>
      </c>
      <c r="O65" s="93" t="n">
        <v>0</v>
      </c>
      <c r="P65" s="866" t="n">
        <f aca="false">N65*O65</f>
        <v>0</v>
      </c>
      <c r="Q65" s="93" t="n">
        <v>0</v>
      </c>
      <c r="R65" s="866" t="n">
        <f aca="false">$C65*Q65</f>
        <v>0</v>
      </c>
      <c r="S65" s="93" t="n">
        <v>0.15</v>
      </c>
      <c r="T65" s="866" t="n">
        <f aca="false">$C65*S65</f>
        <v>81.5457</v>
      </c>
      <c r="U65" s="868" t="n">
        <f aca="false">SUM(N65,P65,R65,T65,-K65)</f>
        <v>4079.78073</v>
      </c>
      <c r="V65" s="93" t="n">
        <v>0</v>
      </c>
      <c r="W65" s="866" t="n">
        <f aca="false">U65*V65</f>
        <v>0</v>
      </c>
      <c r="X65" s="868" t="n">
        <f aca="false">SUM(N65,P65,R65,T65,W65)</f>
        <v>4350.9035924</v>
      </c>
      <c r="Y65" s="93" t="n">
        <v>0.002</v>
      </c>
      <c r="Z65" s="869" t="n">
        <f aca="false">X65*Y65</f>
        <v>8.7018071848</v>
      </c>
    </row>
    <row r="66" customFormat="false" ht="12.75" hidden="false" customHeight="false" outlineLevel="0" collapsed="false">
      <c r="A66" s="37" t="s">
        <v>1245</v>
      </c>
      <c r="B66" s="864" t="n">
        <v>30728.834</v>
      </c>
      <c r="C66" s="865" t="n">
        <v>4357.207</v>
      </c>
      <c r="D66" s="866" t="n">
        <f aca="false">B66-C66</f>
        <v>26371.627</v>
      </c>
      <c r="E66" s="865" t="n">
        <v>420.376</v>
      </c>
      <c r="F66" s="866" t="n">
        <f aca="false">D66-E66</f>
        <v>25951.251</v>
      </c>
      <c r="G66" s="867" t="n">
        <v>0.03</v>
      </c>
      <c r="H66" s="866" t="n">
        <f aca="false">D66*G66</f>
        <v>791.14881</v>
      </c>
      <c r="I66" s="868" t="n">
        <f aca="false">SUM(D66,H66)</f>
        <v>27162.77581</v>
      </c>
      <c r="J66" s="93" t="n">
        <v>0</v>
      </c>
      <c r="K66" s="866" t="n">
        <f aca="false">I66*J66</f>
        <v>0</v>
      </c>
      <c r="L66" s="867" t="n">
        <v>0.25</v>
      </c>
      <c r="M66" s="866" t="n">
        <f aca="false">E66*L66</f>
        <v>105.094</v>
      </c>
      <c r="N66" s="868" t="n">
        <f aca="false">SUM(C66,E66,I66,K66,M66)</f>
        <v>32045.45281</v>
      </c>
      <c r="O66" s="93" t="n">
        <v>0</v>
      </c>
      <c r="P66" s="866" t="n">
        <f aca="false">N66*O66</f>
        <v>0</v>
      </c>
      <c r="Q66" s="93" t="n">
        <v>0</v>
      </c>
      <c r="R66" s="866" t="n">
        <f aca="false">$C66*Q66</f>
        <v>0</v>
      </c>
      <c r="S66" s="93" t="n">
        <v>0.15</v>
      </c>
      <c r="T66" s="866" t="n">
        <f aca="false">$C66*S66</f>
        <v>653.58105</v>
      </c>
      <c r="U66" s="868" t="n">
        <f aca="false">SUM(N66,P66,R66,T66,-K66)</f>
        <v>32699.03386</v>
      </c>
      <c r="V66" s="93" t="n">
        <v>0</v>
      </c>
      <c r="W66" s="866" t="n">
        <f aca="false">U66*V66</f>
        <v>0</v>
      </c>
      <c r="X66" s="868" t="n">
        <f aca="false">SUM(N66,P66,R66,T66,W66)</f>
        <v>32699.03386</v>
      </c>
      <c r="Y66" s="93" t="n">
        <v>0.002</v>
      </c>
      <c r="Z66" s="869" t="n">
        <f aca="false">X66*Y66</f>
        <v>65.39806772</v>
      </c>
    </row>
    <row r="67" customFormat="false" ht="12.75" hidden="false" customHeight="false" outlineLevel="0" collapsed="false">
      <c r="A67" s="37" t="s">
        <v>1246</v>
      </c>
      <c r="B67" s="864" t="n">
        <v>4630.096</v>
      </c>
      <c r="C67" s="865" t="n">
        <v>656.526</v>
      </c>
      <c r="D67" s="866" t="n">
        <f aca="false">B67-C67</f>
        <v>3973.57</v>
      </c>
      <c r="E67" s="865" t="n">
        <v>63.34</v>
      </c>
      <c r="F67" s="866" t="n">
        <f aca="false">D67-E67</f>
        <v>3910.23</v>
      </c>
      <c r="G67" s="867" t="n">
        <v>0.03</v>
      </c>
      <c r="H67" s="866" t="n">
        <f aca="false">D67*G67</f>
        <v>119.2071</v>
      </c>
      <c r="I67" s="868" t="n">
        <f aca="false">SUM(D67,H67)</f>
        <v>4092.7771</v>
      </c>
      <c r="J67" s="93" t="n">
        <v>0.15</v>
      </c>
      <c r="K67" s="866" t="n">
        <f aca="false">I67*J67</f>
        <v>613.916565</v>
      </c>
      <c r="L67" s="867" t="n">
        <v>0.25</v>
      </c>
      <c r="M67" s="866" t="n">
        <f aca="false">E67*L67</f>
        <v>15.835</v>
      </c>
      <c r="N67" s="868" t="n">
        <f aca="false">SUM(C67,E67,I67,K67,M67)</f>
        <v>5442.394665</v>
      </c>
      <c r="O67" s="93" t="n">
        <v>0</v>
      </c>
      <c r="P67" s="866" t="n">
        <f aca="false">N67*O67</f>
        <v>0</v>
      </c>
      <c r="Q67" s="93" t="n">
        <v>0</v>
      </c>
      <c r="R67" s="866" t="n">
        <f aca="false">$C67*Q67</f>
        <v>0</v>
      </c>
      <c r="S67" s="93" t="n">
        <v>0.15</v>
      </c>
      <c r="T67" s="866" t="n">
        <f aca="false">$C67*S67</f>
        <v>98.4789</v>
      </c>
      <c r="U67" s="868" t="n">
        <f aca="false">SUM(N67,P67,R67,T67,-K67)</f>
        <v>4926.957</v>
      </c>
      <c r="V67" s="93" t="n">
        <v>0</v>
      </c>
      <c r="W67" s="866" t="n">
        <f aca="false">U67*V67</f>
        <v>0</v>
      </c>
      <c r="X67" s="868" t="n">
        <f aca="false">SUM(N67,P67,R67,T67,W67)</f>
        <v>5540.873565</v>
      </c>
      <c r="Y67" s="93" t="n">
        <v>0.002</v>
      </c>
      <c r="Z67" s="869" t="n">
        <f aca="false">X67*Y67</f>
        <v>11.08174713</v>
      </c>
    </row>
    <row r="68" customFormat="false" ht="12.75" hidden="false" customHeight="false" outlineLevel="0" collapsed="false">
      <c r="A68" s="37" t="s">
        <v>1247</v>
      </c>
      <c r="B68" s="864" t="n">
        <v>3780.102</v>
      </c>
      <c r="C68" s="865" t="n">
        <v>536.001</v>
      </c>
      <c r="D68" s="866" t="n">
        <f aca="false">B68-C68</f>
        <v>3244.101</v>
      </c>
      <c r="E68" s="865" t="n">
        <v>51.712</v>
      </c>
      <c r="F68" s="866" t="n">
        <f aca="false">D68-E68</f>
        <v>3192.389</v>
      </c>
      <c r="G68" s="867" t="n">
        <v>0.03</v>
      </c>
      <c r="H68" s="866" t="n">
        <f aca="false">D68*G68</f>
        <v>97.32303</v>
      </c>
      <c r="I68" s="868" t="n">
        <f aca="false">SUM(D68,H68)</f>
        <v>3341.42403</v>
      </c>
      <c r="J68" s="93" t="n">
        <v>0.08</v>
      </c>
      <c r="K68" s="866" t="n">
        <f aca="false">I68*J68</f>
        <v>267.3139224</v>
      </c>
      <c r="L68" s="867" t="n">
        <v>0.25</v>
      </c>
      <c r="M68" s="866" t="n">
        <f aca="false">E68*L68</f>
        <v>12.928</v>
      </c>
      <c r="N68" s="868" t="n">
        <f aca="false">SUM(C68,E68,I68,K68,M68)</f>
        <v>4209.3789524</v>
      </c>
      <c r="O68" s="93" t="n">
        <v>0</v>
      </c>
      <c r="P68" s="866" t="n">
        <f aca="false">N68*O68</f>
        <v>0</v>
      </c>
      <c r="Q68" s="93" t="n">
        <v>0</v>
      </c>
      <c r="R68" s="866" t="n">
        <f aca="false">$C68*Q68</f>
        <v>0</v>
      </c>
      <c r="S68" s="93" t="n">
        <v>0.15</v>
      </c>
      <c r="T68" s="866" t="n">
        <f aca="false">$C68*S68</f>
        <v>80.40015</v>
      </c>
      <c r="U68" s="868" t="n">
        <f aca="false">SUM(N68,P68,R68,T68,-K68)</f>
        <v>4022.46518</v>
      </c>
      <c r="V68" s="93" t="n">
        <v>0</v>
      </c>
      <c r="W68" s="866" t="n">
        <f aca="false">U68*V68</f>
        <v>0</v>
      </c>
      <c r="X68" s="868" t="n">
        <f aca="false">SUM(N68,P68,R68,T68,W68)</f>
        <v>4289.7791024</v>
      </c>
      <c r="Y68" s="93" t="n">
        <v>0.002</v>
      </c>
      <c r="Z68" s="869" t="n">
        <f aca="false">X68*Y68</f>
        <v>8.5795582048</v>
      </c>
    </row>
    <row r="69" customFormat="false" ht="12.75" hidden="false" customHeight="false" outlineLevel="0" collapsed="false">
      <c r="A69" s="37" t="s">
        <v>1248</v>
      </c>
      <c r="B69" s="864" t="n">
        <v>125.677</v>
      </c>
      <c r="C69" s="865" t="n">
        <v>17.82</v>
      </c>
      <c r="D69" s="866" t="n">
        <f aca="false">B69-C69</f>
        <v>107.857</v>
      </c>
      <c r="E69" s="865" t="n">
        <v>1.719</v>
      </c>
      <c r="F69" s="866" t="n">
        <f aca="false">D69-E69</f>
        <v>106.138</v>
      </c>
      <c r="G69" s="867" t="n">
        <v>0.03</v>
      </c>
      <c r="H69" s="866" t="n">
        <f aca="false">D69*G69</f>
        <v>3.23571</v>
      </c>
      <c r="I69" s="868" t="n">
        <f aca="false">SUM(D69,H69)</f>
        <v>111.09271</v>
      </c>
      <c r="J69" s="93" t="n">
        <v>0</v>
      </c>
      <c r="K69" s="866" t="n">
        <f aca="false">I69*J69</f>
        <v>0</v>
      </c>
      <c r="L69" s="867" t="n">
        <v>0.25</v>
      </c>
      <c r="M69" s="866" t="n">
        <f aca="false">E69*L69</f>
        <v>0.42975</v>
      </c>
      <c r="N69" s="868" t="n">
        <f aca="false">SUM(C69,E69,I69,K69,M69)</f>
        <v>131.06146</v>
      </c>
      <c r="O69" s="93" t="n">
        <v>0</v>
      </c>
      <c r="P69" s="866" t="n">
        <f aca="false">N69*O69</f>
        <v>0</v>
      </c>
      <c r="Q69" s="93" t="n">
        <v>0</v>
      </c>
      <c r="R69" s="866" t="n">
        <f aca="false">$C69*Q69</f>
        <v>0</v>
      </c>
      <c r="S69" s="93" t="n">
        <v>0.15</v>
      </c>
      <c r="T69" s="866" t="n">
        <f aca="false">$C69*S69</f>
        <v>2.673</v>
      </c>
      <c r="U69" s="868" t="n">
        <f aca="false">SUM(N69,P69,R69,T69,-K69)</f>
        <v>133.73446</v>
      </c>
      <c r="V69" s="93" t="n">
        <v>0</v>
      </c>
      <c r="W69" s="866" t="n">
        <f aca="false">U69*V69</f>
        <v>0</v>
      </c>
      <c r="X69" s="868" t="n">
        <f aca="false">SUM(N69,P69,R69,T69,W69)</f>
        <v>133.73446</v>
      </c>
      <c r="Y69" s="93" t="n">
        <v>0.002</v>
      </c>
      <c r="Z69" s="869" t="n">
        <f aca="false">X69*Y69</f>
        <v>0.26746892</v>
      </c>
    </row>
    <row r="70" customFormat="false" ht="12.75" hidden="false" customHeight="false" outlineLevel="0" collapsed="false">
      <c r="A70" s="37" t="s">
        <v>1249</v>
      </c>
      <c r="B70" s="864" t="n">
        <v>18698.742</v>
      </c>
      <c r="C70" s="865" t="n">
        <v>2651.396</v>
      </c>
      <c r="D70" s="866" t="n">
        <f aca="false">B70-C70</f>
        <v>16047.346</v>
      </c>
      <c r="E70" s="865" t="n">
        <v>255.802</v>
      </c>
      <c r="F70" s="866" t="n">
        <f aca="false">D70-E70</f>
        <v>15791.544</v>
      </c>
      <c r="G70" s="867" t="n">
        <v>0.03</v>
      </c>
      <c r="H70" s="866" t="n">
        <f aca="false">D70*G70</f>
        <v>481.42038</v>
      </c>
      <c r="I70" s="868" t="n">
        <f aca="false">SUM(D70,H70)</f>
        <v>16528.76638</v>
      </c>
      <c r="J70" s="93" t="n">
        <v>0</v>
      </c>
      <c r="K70" s="866" t="n">
        <f aca="false">I70*J70</f>
        <v>0</v>
      </c>
      <c r="L70" s="867" t="n">
        <v>0.25</v>
      </c>
      <c r="M70" s="866" t="n">
        <f aca="false">E70*L70</f>
        <v>63.9505</v>
      </c>
      <c r="N70" s="868" t="n">
        <f aca="false">SUM(C70,E70,I70,K70,M70)</f>
        <v>19499.91488</v>
      </c>
      <c r="O70" s="93" t="n">
        <v>0</v>
      </c>
      <c r="P70" s="866" t="n">
        <f aca="false">N70*O70</f>
        <v>0</v>
      </c>
      <c r="Q70" s="93" t="n">
        <v>0</v>
      </c>
      <c r="R70" s="866" t="n">
        <f aca="false">$C70*Q70</f>
        <v>0</v>
      </c>
      <c r="S70" s="93" t="n">
        <v>0.15</v>
      </c>
      <c r="T70" s="866" t="n">
        <f aca="false">$C70*S70</f>
        <v>397.7094</v>
      </c>
      <c r="U70" s="868" t="n">
        <f aca="false">SUM(N70,P70,R70,T70,-K70)</f>
        <v>19897.62428</v>
      </c>
      <c r="V70" s="93" t="n">
        <v>0</v>
      </c>
      <c r="W70" s="866" t="n">
        <f aca="false">U70*V70</f>
        <v>0</v>
      </c>
      <c r="X70" s="868" t="n">
        <f aca="false">SUM(N70,P70,R70,T70,W70)</f>
        <v>19897.62428</v>
      </c>
      <c r="Y70" s="93" t="n">
        <v>0.002</v>
      </c>
      <c r="Z70" s="869" t="n">
        <f aca="false">X70*Y70</f>
        <v>39.79524856</v>
      </c>
    </row>
    <row r="71" customFormat="false" ht="12.75" hidden="false" customHeight="false" outlineLevel="0" collapsed="false">
      <c r="A71" s="37" t="s">
        <v>1250</v>
      </c>
      <c r="B71" s="864" t="n">
        <v>514.133</v>
      </c>
      <c r="C71" s="865" t="n">
        <v>72.902</v>
      </c>
      <c r="D71" s="866" t="n">
        <f aca="false">B71-C71</f>
        <v>441.231</v>
      </c>
      <c r="E71" s="865" t="n">
        <v>7.033</v>
      </c>
      <c r="F71" s="866" t="n">
        <f aca="false">D71-E71</f>
        <v>434.198</v>
      </c>
      <c r="G71" s="867" t="n">
        <v>0.2</v>
      </c>
      <c r="H71" s="866" t="n">
        <f aca="false">D71*G71</f>
        <v>88.2462</v>
      </c>
      <c r="I71" s="868" t="n">
        <f aca="false">SUM(D71,H71)</f>
        <v>529.4772</v>
      </c>
      <c r="J71" s="93" t="n">
        <v>0.1</v>
      </c>
      <c r="K71" s="866" t="n">
        <f aca="false">I71*J71</f>
        <v>52.94772</v>
      </c>
      <c r="L71" s="867" t="n">
        <v>0.25</v>
      </c>
      <c r="M71" s="866" t="n">
        <f aca="false">E71*L71</f>
        <v>1.75825</v>
      </c>
      <c r="N71" s="868" t="n">
        <f aca="false">SUM(C71,E71,I71,K71,M71)</f>
        <v>664.11817</v>
      </c>
      <c r="O71" s="93" t="n">
        <v>0</v>
      </c>
      <c r="P71" s="866" t="n">
        <f aca="false">N71*O71</f>
        <v>0</v>
      </c>
      <c r="Q71" s="93" t="n">
        <v>0</v>
      </c>
      <c r="R71" s="866" t="n">
        <f aca="false">$C71*Q71</f>
        <v>0</v>
      </c>
      <c r="S71" s="93" t="n">
        <v>0.15</v>
      </c>
      <c r="T71" s="866" t="n">
        <f aca="false">$C71*S71</f>
        <v>10.9353</v>
      </c>
      <c r="U71" s="868" t="n">
        <f aca="false">SUM(N71,P71,R71,T71,-K71)</f>
        <v>622.10575</v>
      </c>
      <c r="V71" s="93" t="n">
        <v>0</v>
      </c>
      <c r="W71" s="866" t="n">
        <f aca="false">U71*V71</f>
        <v>0</v>
      </c>
      <c r="X71" s="868" t="n">
        <f aca="false">SUM(N71,P71,R71,T71,W71)</f>
        <v>675.05347</v>
      </c>
      <c r="Y71" s="93" t="n">
        <v>0.002</v>
      </c>
      <c r="Z71" s="869" t="n">
        <f aca="false">X71*Y71</f>
        <v>1.35010694</v>
      </c>
    </row>
    <row r="72" customFormat="false" ht="12.75" hidden="false" customHeight="false" outlineLevel="0" collapsed="false">
      <c r="A72" s="37" t="s">
        <v>1251</v>
      </c>
      <c r="B72" s="864" t="n">
        <v>1303.286</v>
      </c>
      <c r="C72" s="865" t="n">
        <v>184.8</v>
      </c>
      <c r="D72" s="866" t="n">
        <f aca="false">B72-C72</f>
        <v>1118.486</v>
      </c>
      <c r="E72" s="865" t="n">
        <v>17.829</v>
      </c>
      <c r="F72" s="866" t="n">
        <f aca="false">D72-E72</f>
        <v>1100.657</v>
      </c>
      <c r="G72" s="867" t="n">
        <v>0.2</v>
      </c>
      <c r="H72" s="866" t="n">
        <f aca="false">D72*G72</f>
        <v>223.6972</v>
      </c>
      <c r="I72" s="868" t="n">
        <f aca="false">SUM(D72,H72)</f>
        <v>1342.1832</v>
      </c>
      <c r="J72" s="93" t="n">
        <v>0.1</v>
      </c>
      <c r="K72" s="866" t="n">
        <f aca="false">I72*J72</f>
        <v>134.21832</v>
      </c>
      <c r="L72" s="867" t="n">
        <v>0.25</v>
      </c>
      <c r="M72" s="866" t="n">
        <f aca="false">E72*L72</f>
        <v>4.45725</v>
      </c>
      <c r="N72" s="868" t="n">
        <f aca="false">SUM(C72,E72,I72,K72,M72)</f>
        <v>1683.48777</v>
      </c>
      <c r="O72" s="93" t="n">
        <v>0</v>
      </c>
      <c r="P72" s="866" t="n">
        <f aca="false">N72*O72</f>
        <v>0</v>
      </c>
      <c r="Q72" s="93" t="n">
        <v>0</v>
      </c>
      <c r="R72" s="866" t="n">
        <f aca="false">$C72*Q72</f>
        <v>0</v>
      </c>
      <c r="S72" s="93" t="n">
        <v>0.15</v>
      </c>
      <c r="T72" s="866" t="n">
        <f aca="false">$C72*S72</f>
        <v>27.72</v>
      </c>
      <c r="U72" s="868" t="n">
        <f aca="false">SUM(N72,P72,R72,T72,-K72)</f>
        <v>1576.98945</v>
      </c>
      <c r="V72" s="93" t="n">
        <v>0</v>
      </c>
      <c r="W72" s="866" t="n">
        <f aca="false">U72*V72</f>
        <v>0</v>
      </c>
      <c r="X72" s="868" t="n">
        <f aca="false">SUM(N72,P72,R72,T72,W72)</f>
        <v>1711.20777</v>
      </c>
      <c r="Y72" s="93" t="n">
        <v>0.002</v>
      </c>
      <c r="Z72" s="869" t="n">
        <f aca="false">X72*Y72</f>
        <v>3.42241554</v>
      </c>
    </row>
    <row r="73" customFormat="false" ht="12.75" hidden="false" customHeight="false" outlineLevel="0" collapsed="false">
      <c r="A73" s="37" t="s">
        <v>1252</v>
      </c>
      <c r="B73" s="870" t="n">
        <v>1076.415</v>
      </c>
      <c r="C73" s="871" t="n">
        <v>152.631</v>
      </c>
      <c r="D73" s="872" t="n">
        <f aca="false">B73-C73</f>
        <v>923.784</v>
      </c>
      <c r="E73" s="871" t="n">
        <v>14.726</v>
      </c>
      <c r="F73" s="872" t="n">
        <f aca="false">D73-E73</f>
        <v>909.058</v>
      </c>
      <c r="G73" s="867" t="n">
        <v>0.17</v>
      </c>
      <c r="H73" s="872" t="n">
        <f aca="false">D73*G73</f>
        <v>157.04328</v>
      </c>
      <c r="I73" s="873" t="n">
        <f aca="false">SUM(D73,H73)</f>
        <v>1080.82728</v>
      </c>
      <c r="J73" s="93" t="n">
        <v>0.04</v>
      </c>
      <c r="K73" s="872" t="n">
        <f aca="false">I73*J73</f>
        <v>43.2330912</v>
      </c>
      <c r="L73" s="867" t="n">
        <v>0.25</v>
      </c>
      <c r="M73" s="872" t="n">
        <f aca="false">E73*L73</f>
        <v>3.6815</v>
      </c>
      <c r="N73" s="873" t="n">
        <f aca="false">SUM(C73,E73,I73,K73,M73)</f>
        <v>1295.0988712</v>
      </c>
      <c r="O73" s="93" t="n">
        <v>0</v>
      </c>
      <c r="P73" s="872" t="n">
        <f aca="false">N73*O73</f>
        <v>0</v>
      </c>
      <c r="Q73" s="93" t="n">
        <v>0</v>
      </c>
      <c r="R73" s="872" t="n">
        <f aca="false">$C73*Q73</f>
        <v>0</v>
      </c>
      <c r="S73" s="93" t="n">
        <v>0.15</v>
      </c>
      <c r="T73" s="872" t="n">
        <f aca="false">$C73*S73</f>
        <v>22.89465</v>
      </c>
      <c r="U73" s="873" t="n">
        <f aca="false">SUM(N73,P73,R73,T73,-K73)</f>
        <v>1274.76043</v>
      </c>
      <c r="V73" s="93" t="n">
        <v>0</v>
      </c>
      <c r="W73" s="872" t="n">
        <f aca="false">U73*V73</f>
        <v>0</v>
      </c>
      <c r="X73" s="873" t="n">
        <f aca="false">SUM(N73,P73,R73,T73,W73)</f>
        <v>1317.9935212</v>
      </c>
      <c r="Y73" s="93" t="n">
        <v>0.002</v>
      </c>
      <c r="Z73" s="874" t="n">
        <f aca="false">X73*Y73</f>
        <v>2.6359870424</v>
      </c>
    </row>
    <row r="74" customFormat="false" ht="12.75" hidden="false" customHeight="false" outlineLevel="0" collapsed="false">
      <c r="A74" s="37" t="s">
        <v>1253</v>
      </c>
      <c r="B74" s="875" t="n">
        <f aca="false">SUM(B60:B73)</f>
        <v>128361</v>
      </c>
      <c r="C74" s="820" t="n">
        <f aca="false">SUM(C60:C73)</f>
        <v>18200.999</v>
      </c>
      <c r="D74" s="847" t="n">
        <f aca="false">SUM(D60:D73)</f>
        <v>110160.001</v>
      </c>
      <c r="E74" s="820" t="n">
        <f aca="false">SUM(E60:E73)</f>
        <v>1755.999</v>
      </c>
      <c r="F74" s="847" t="n">
        <f aca="false">SUM(F60:F73)</f>
        <v>108404.002</v>
      </c>
      <c r="G74" s="876"/>
      <c r="H74" s="847" t="n">
        <f aca="false">SUM(H60:H73)</f>
        <v>3834.5228</v>
      </c>
      <c r="I74" s="820" t="n">
        <f aca="false">SUM(I60:I73)</f>
        <v>113994.5238</v>
      </c>
      <c r="J74" s="38"/>
      <c r="K74" s="847" t="n">
        <f aca="false">SUM(K60:K73)</f>
        <v>1758.8861875</v>
      </c>
      <c r="L74" s="876"/>
      <c r="M74" s="847" t="n">
        <f aca="false">SUM(M60:M73)</f>
        <v>438.99975</v>
      </c>
      <c r="N74" s="820" t="n">
        <f aca="false">SUM(N60:N73)</f>
        <v>136149.4077375</v>
      </c>
      <c r="O74" s="38"/>
      <c r="P74" s="847" t="n">
        <f aca="false">SUM(P60:P73)</f>
        <v>0</v>
      </c>
      <c r="Q74" s="38"/>
      <c r="R74" s="847" t="n">
        <f aca="false">SUM(R60:R73)</f>
        <v>0</v>
      </c>
      <c r="S74" s="38"/>
      <c r="T74" s="847" t="n">
        <f aca="false">SUM(T60:T73)</f>
        <v>2730.14985</v>
      </c>
      <c r="U74" s="820" t="n">
        <f aca="false">SUM(U60:U73)</f>
        <v>137120.6714</v>
      </c>
      <c r="V74" s="38"/>
      <c r="W74" s="847" t="n">
        <f aca="false">SUM(W60:W73)</f>
        <v>0</v>
      </c>
      <c r="X74" s="820" t="n">
        <f aca="false">SUM(X60:X73)</f>
        <v>138879.5575875</v>
      </c>
      <c r="Y74" s="38"/>
      <c r="Z74" s="218" t="n">
        <f aca="false">SUM(Z60:Z73)</f>
        <v>277.759115175</v>
      </c>
    </row>
    <row r="75" customFormat="false" ht="12.75" hidden="false" customHeight="false" outlineLevel="0" collapsed="false">
      <c r="A75" s="37"/>
      <c r="B75" s="877"/>
      <c r="C75" s="876"/>
      <c r="D75" s="878"/>
      <c r="E75" s="876"/>
      <c r="F75" s="878"/>
      <c r="G75" s="876"/>
      <c r="H75" s="878"/>
      <c r="I75" s="876"/>
      <c r="J75" s="38"/>
      <c r="K75" s="878"/>
      <c r="L75" s="876"/>
      <c r="M75" s="878"/>
      <c r="N75" s="876"/>
      <c r="O75" s="38"/>
      <c r="P75" s="878"/>
      <c r="Q75" s="38"/>
      <c r="R75" s="878"/>
      <c r="S75" s="38"/>
      <c r="T75" s="878"/>
      <c r="U75" s="876"/>
      <c r="V75" s="38"/>
      <c r="W75" s="878"/>
      <c r="X75" s="876"/>
      <c r="Y75" s="38"/>
      <c r="Z75" s="43"/>
    </row>
    <row r="76" customFormat="false" ht="13.5" hidden="false" customHeight="false" outlineLevel="0" collapsed="false">
      <c r="A76" s="70" t="s">
        <v>1254</v>
      </c>
      <c r="B76" s="879" t="n">
        <f aca="false">SUM(B58,B74)</f>
        <v>183361.001</v>
      </c>
      <c r="C76" s="829" t="n">
        <f aca="false">SUM(C58,C74)</f>
        <v>18200.999</v>
      </c>
      <c r="D76" s="853" t="n">
        <f aca="false">SUM(D58,D74)</f>
        <v>165160.002</v>
      </c>
      <c r="E76" s="829" t="n">
        <f aca="false">SUM(E58,E74)</f>
        <v>1755.999</v>
      </c>
      <c r="F76" s="853" t="n">
        <f aca="false">SUM(F58,F74)</f>
        <v>163404.003</v>
      </c>
      <c r="G76" s="880"/>
      <c r="H76" s="853" t="n">
        <f aca="false">SUM(H58,H74)</f>
        <v>3834.5228</v>
      </c>
      <c r="I76" s="829" t="n">
        <f aca="false">SUM(I58,I74)</f>
        <v>168994.5248</v>
      </c>
      <c r="J76" s="71"/>
      <c r="K76" s="853" t="n">
        <f aca="false">SUM(K58,K74)</f>
        <v>2956.5554375</v>
      </c>
      <c r="L76" s="880"/>
      <c r="M76" s="853" t="n">
        <f aca="false">SUM(M58,M74)</f>
        <v>438.99975</v>
      </c>
      <c r="N76" s="829" t="n">
        <f aca="false">SUM(N58,N74)</f>
        <v>192347.0779875</v>
      </c>
      <c r="O76" s="71"/>
      <c r="P76" s="853" t="n">
        <f aca="false">SUM(P58,P74)</f>
        <v>0</v>
      </c>
      <c r="Q76" s="71"/>
      <c r="R76" s="853" t="n">
        <f aca="false">SUM(R58,R74)</f>
        <v>0</v>
      </c>
      <c r="S76" s="71"/>
      <c r="T76" s="853" t="n">
        <f aca="false">SUM(T58,T74)</f>
        <v>2730.14985</v>
      </c>
      <c r="U76" s="829" t="n">
        <f aca="false">SUM(U58,U74)</f>
        <v>192120.6724</v>
      </c>
      <c r="V76" s="71"/>
      <c r="W76" s="853" t="n">
        <f aca="false">SUM(W58,W74)</f>
        <v>1457.5000265</v>
      </c>
      <c r="X76" s="829" t="n">
        <f aca="false">SUM(X58,X74)</f>
        <v>196534.727864</v>
      </c>
      <c r="Y76" s="71"/>
      <c r="Z76" s="319" t="n">
        <f aca="false">SUM(Z58,Z74)</f>
        <v>393.069455728</v>
      </c>
    </row>
    <row r="78" customFormat="false" ht="13.5" hidden="false" customHeight="false" outlineLevel="0" collapsed="false"/>
    <row r="79" customFormat="false" ht="12.75" hidden="false" customHeight="false" outlineLevel="0" collapsed="false">
      <c r="A79" s="453" t="s">
        <v>1255</v>
      </c>
      <c r="B79" s="881" t="s">
        <v>1256</v>
      </c>
      <c r="C79" s="882" t="s">
        <v>1257</v>
      </c>
      <c r="D79" s="882"/>
      <c r="E79" s="882" t="s">
        <v>1258</v>
      </c>
      <c r="F79" s="882"/>
      <c r="G79" s="882" t="s">
        <v>1259</v>
      </c>
      <c r="H79" s="882"/>
      <c r="I79" s="882"/>
      <c r="J79" s="882"/>
      <c r="K79" s="882"/>
      <c r="L79" s="883" t="s">
        <v>1260</v>
      </c>
      <c r="M79" s="883"/>
      <c r="N79" s="883"/>
      <c r="O79" s="883"/>
      <c r="P79" s="883"/>
      <c r="Q79" s="883"/>
      <c r="R79" s="883"/>
    </row>
    <row r="80" customFormat="false" ht="13.5" hidden="false" customHeight="false" outlineLevel="0" collapsed="false">
      <c r="A80" s="634" t="s">
        <v>1261</v>
      </c>
      <c r="B80" s="884" t="s">
        <v>66</v>
      </c>
      <c r="C80" s="884" t="s">
        <v>1262</v>
      </c>
      <c r="D80" s="885" t="s">
        <v>1263</v>
      </c>
      <c r="E80" s="884" t="s">
        <v>1262</v>
      </c>
      <c r="F80" s="885" t="s">
        <v>1263</v>
      </c>
      <c r="G80" s="884" t="s">
        <v>1215</v>
      </c>
      <c r="H80" s="886" t="s">
        <v>1213</v>
      </c>
      <c r="I80" s="886" t="s">
        <v>1212</v>
      </c>
      <c r="J80" s="886" t="s">
        <v>1193</v>
      </c>
      <c r="K80" s="885" t="s">
        <v>1218</v>
      </c>
      <c r="L80" s="884" t="s">
        <v>1215</v>
      </c>
      <c r="M80" s="886" t="s">
        <v>1213</v>
      </c>
      <c r="N80" s="886" t="s">
        <v>1212</v>
      </c>
      <c r="O80" s="886" t="s">
        <v>1193</v>
      </c>
      <c r="P80" s="886" t="s">
        <v>1218</v>
      </c>
      <c r="Q80" s="886" t="s">
        <v>1264</v>
      </c>
      <c r="R80" s="887" t="s">
        <v>66</v>
      </c>
    </row>
    <row r="81" customFormat="false" ht="12.75" hidden="false" customHeight="false" outlineLevel="0" collapsed="false">
      <c r="A81" s="888"/>
      <c r="B81" s="889"/>
      <c r="C81" s="889"/>
      <c r="D81" s="890"/>
      <c r="E81" s="889"/>
      <c r="F81" s="891"/>
      <c r="G81" s="889"/>
      <c r="H81" s="890"/>
      <c r="I81" s="890"/>
      <c r="J81" s="890"/>
      <c r="K81" s="891"/>
      <c r="L81" s="889"/>
      <c r="M81" s="890"/>
      <c r="N81" s="890"/>
      <c r="O81" s="890"/>
      <c r="P81" s="892"/>
      <c r="Q81" s="893"/>
      <c r="R81" s="894"/>
    </row>
    <row r="82" customFormat="false" ht="12.75" hidden="false" customHeight="false" outlineLevel="0" collapsed="false">
      <c r="A82" s="65" t="s">
        <v>1265</v>
      </c>
      <c r="B82" s="895" t="n">
        <v>48033</v>
      </c>
      <c r="C82" s="896" t="n">
        <v>1</v>
      </c>
      <c r="D82" s="897"/>
      <c r="E82" s="898" t="n">
        <f aca="false">$B82*C82</f>
        <v>48033</v>
      </c>
      <c r="F82" s="899" t="n">
        <f aca="false">$B82*D82</f>
        <v>0</v>
      </c>
      <c r="G82" s="896" t="n">
        <v>0</v>
      </c>
      <c r="H82" s="897" t="n">
        <v>0</v>
      </c>
      <c r="I82" s="897" t="n">
        <v>0</v>
      </c>
      <c r="J82" s="897" t="n">
        <v>0</v>
      </c>
      <c r="K82" s="900" t="n">
        <v>0</v>
      </c>
      <c r="L82" s="898" t="n">
        <f aca="false">$B82*G82</f>
        <v>0</v>
      </c>
      <c r="M82" s="901" t="n">
        <f aca="false">$B82*H82</f>
        <v>0</v>
      </c>
      <c r="N82" s="901" t="n">
        <f aca="false">$B82*I82</f>
        <v>0</v>
      </c>
      <c r="O82" s="901" t="n">
        <f aca="false">$B82*J82</f>
        <v>0</v>
      </c>
      <c r="P82" s="902" t="n">
        <f aca="false">$B82*K82</f>
        <v>0</v>
      </c>
      <c r="Q82" s="903" t="n">
        <v>0</v>
      </c>
      <c r="R82" s="869" t="n">
        <f aca="false">SUM(L68:Q68)</f>
        <v>4222.5569524</v>
      </c>
    </row>
    <row r="83" customFormat="false" ht="12.75" hidden="false" customHeight="false" outlineLevel="0" collapsed="false">
      <c r="A83" s="65" t="s">
        <v>1266</v>
      </c>
      <c r="B83" s="895" t="n">
        <v>19986</v>
      </c>
      <c r="C83" s="896" t="n">
        <v>1</v>
      </c>
      <c r="D83" s="897"/>
      <c r="E83" s="898" t="n">
        <f aca="false">$B83*C83</f>
        <v>19986</v>
      </c>
      <c r="F83" s="899" t="n">
        <f aca="false">$B83*D83</f>
        <v>0</v>
      </c>
      <c r="G83" s="896" t="n">
        <v>0</v>
      </c>
      <c r="H83" s="897" t="n">
        <v>0</v>
      </c>
      <c r="I83" s="897" t="n">
        <v>0</v>
      </c>
      <c r="J83" s="897" t="n">
        <v>0</v>
      </c>
      <c r="K83" s="900" t="n">
        <v>0</v>
      </c>
      <c r="L83" s="898" t="n">
        <f aca="false">$B83*G83</f>
        <v>0</v>
      </c>
      <c r="M83" s="901" t="n">
        <f aca="false">$B83*H83</f>
        <v>0</v>
      </c>
      <c r="N83" s="901" t="n">
        <f aca="false">$B83*I83</f>
        <v>0</v>
      </c>
      <c r="O83" s="901" t="n">
        <f aca="false">$B83*J83</f>
        <v>0</v>
      </c>
      <c r="P83" s="902" t="n">
        <f aca="false">$B83*K83</f>
        <v>0</v>
      </c>
      <c r="Q83" s="903" t="n">
        <v>0</v>
      </c>
      <c r="R83" s="869" t="n">
        <f aca="false">SUM(L69:Q69)</f>
        <v>131.74121</v>
      </c>
    </row>
    <row r="84" customFormat="false" ht="12.75" hidden="false" customHeight="false" outlineLevel="0" collapsed="false">
      <c r="A84" s="65" t="s">
        <v>1267</v>
      </c>
      <c r="B84" s="895" t="n">
        <v>13454</v>
      </c>
      <c r="C84" s="896" t="n">
        <v>1</v>
      </c>
      <c r="D84" s="897"/>
      <c r="E84" s="898" t="n">
        <f aca="false">$B84*C84</f>
        <v>13454</v>
      </c>
      <c r="F84" s="899" t="n">
        <f aca="false">$B84*D84</f>
        <v>0</v>
      </c>
      <c r="G84" s="896" t="n">
        <v>0</v>
      </c>
      <c r="H84" s="897" t="n">
        <v>0</v>
      </c>
      <c r="I84" s="897" t="n">
        <v>0.17</v>
      </c>
      <c r="J84" s="897" t="n">
        <v>0</v>
      </c>
      <c r="K84" s="900" t="n">
        <v>0</v>
      </c>
      <c r="L84" s="898" t="n">
        <f aca="false">$B84*G84</f>
        <v>0</v>
      </c>
      <c r="M84" s="901" t="n">
        <f aca="false">$B84*H84</f>
        <v>0</v>
      </c>
      <c r="N84" s="901" t="n">
        <f aca="false">$B84*I84</f>
        <v>2287.18</v>
      </c>
      <c r="O84" s="901" t="n">
        <f aca="false">$B84*J84</f>
        <v>0</v>
      </c>
      <c r="P84" s="902" t="n">
        <f aca="false">$B84*K84</f>
        <v>0</v>
      </c>
      <c r="Q84" s="903" t="n">
        <v>0</v>
      </c>
      <c r="R84" s="869" t="n">
        <f aca="false">SUM(L70:Q70)</f>
        <v>19564.11538</v>
      </c>
    </row>
    <row r="85" customFormat="false" ht="12.75" hidden="false" customHeight="false" outlineLevel="0" collapsed="false">
      <c r="A85" s="65" t="s">
        <v>1268</v>
      </c>
      <c r="B85" s="895" t="n">
        <v>2544</v>
      </c>
      <c r="C85" s="896"/>
      <c r="D85" s="897" t="n">
        <v>1</v>
      </c>
      <c r="E85" s="898" t="n">
        <f aca="false">$B85*C85</f>
        <v>0</v>
      </c>
      <c r="F85" s="899" t="n">
        <f aca="false">$B85*D85</f>
        <v>2544</v>
      </c>
      <c r="G85" s="896" t="n">
        <v>0.17</v>
      </c>
      <c r="H85" s="897" t="n">
        <v>0.1</v>
      </c>
      <c r="I85" s="897" t="n">
        <v>0</v>
      </c>
      <c r="J85" s="897" t="n">
        <v>0</v>
      </c>
      <c r="K85" s="900" t="n">
        <v>0.0265</v>
      </c>
      <c r="L85" s="898" t="n">
        <f aca="false">$B85*G85</f>
        <v>432.48</v>
      </c>
      <c r="M85" s="901" t="n">
        <f aca="false">$B85*H85</f>
        <v>254.4</v>
      </c>
      <c r="N85" s="901" t="n">
        <f aca="false">$B85*I85</f>
        <v>0</v>
      </c>
      <c r="O85" s="901" t="n">
        <f aca="false">$B85*J85</f>
        <v>0</v>
      </c>
      <c r="P85" s="902" t="n">
        <f aca="false">$B85*K85</f>
        <v>67.416</v>
      </c>
      <c r="Q85" s="903" t="n">
        <v>0</v>
      </c>
      <c r="R85" s="869" t="n">
        <f aca="false">SUM(L71:Q71)</f>
        <v>666.12642</v>
      </c>
    </row>
    <row r="86" customFormat="false" ht="12.75" hidden="false" customHeight="false" outlineLevel="0" collapsed="false">
      <c r="A86" s="65" t="s">
        <v>1269</v>
      </c>
      <c r="B86" s="895" t="n">
        <v>170</v>
      </c>
      <c r="C86" s="896"/>
      <c r="D86" s="897" t="n">
        <v>1</v>
      </c>
      <c r="E86" s="898" t="n">
        <f aca="false">$B86*C86</f>
        <v>0</v>
      </c>
      <c r="F86" s="899" t="n">
        <f aca="false">$B86*D86</f>
        <v>170</v>
      </c>
      <c r="G86" s="896" t="n">
        <v>0</v>
      </c>
      <c r="H86" s="897" t="n">
        <v>0</v>
      </c>
      <c r="I86" s="897" t="n">
        <v>0.17</v>
      </c>
      <c r="J86" s="897" t="n">
        <v>0</v>
      </c>
      <c r="K86" s="900" t="n">
        <v>0</v>
      </c>
      <c r="L86" s="898" t="n">
        <f aca="false">$B86*G86</f>
        <v>0</v>
      </c>
      <c r="M86" s="901" t="n">
        <f aca="false">$B86*H86</f>
        <v>0</v>
      </c>
      <c r="N86" s="901" t="n">
        <f aca="false">$B86*I86</f>
        <v>28.9</v>
      </c>
      <c r="O86" s="901" t="n">
        <f aca="false">$B86*J86</f>
        <v>0</v>
      </c>
      <c r="P86" s="902" t="n">
        <f aca="false">$B86*K86</f>
        <v>0</v>
      </c>
      <c r="Q86" s="903" t="n">
        <v>0</v>
      </c>
      <c r="R86" s="869" t="n">
        <f aca="false">SUM(L72:Q72)</f>
        <v>1688.19502</v>
      </c>
    </row>
    <row r="87" customFormat="false" ht="12.75" hidden="false" customHeight="false" outlineLevel="0" collapsed="false">
      <c r="A87" s="65" t="s">
        <v>1270</v>
      </c>
      <c r="B87" s="895" t="n">
        <v>1069</v>
      </c>
      <c r="C87" s="896" t="n">
        <v>1</v>
      </c>
      <c r="D87" s="897"/>
      <c r="E87" s="898" t="n">
        <f aca="false">$B87*C87</f>
        <v>1069</v>
      </c>
      <c r="F87" s="899" t="n">
        <f aca="false">$B87*D87</f>
        <v>0</v>
      </c>
      <c r="G87" s="896" t="n">
        <v>0</v>
      </c>
      <c r="H87" s="897" t="n">
        <v>0</v>
      </c>
      <c r="I87" s="897" t="n">
        <v>0.17</v>
      </c>
      <c r="J87" s="897" t="n">
        <v>0</v>
      </c>
      <c r="K87" s="900" t="n">
        <v>0</v>
      </c>
      <c r="L87" s="898" t="n">
        <f aca="false">$B87*G87</f>
        <v>0</v>
      </c>
      <c r="M87" s="901" t="n">
        <f aca="false">$B87*H87</f>
        <v>0</v>
      </c>
      <c r="N87" s="901" t="n">
        <f aca="false">$B87*I87</f>
        <v>181.73</v>
      </c>
      <c r="O87" s="901" t="n">
        <f aca="false">$B87*J87</f>
        <v>0</v>
      </c>
      <c r="P87" s="902" t="n">
        <f aca="false">$B87*K87</f>
        <v>0</v>
      </c>
      <c r="Q87" s="903" t="n">
        <v>0</v>
      </c>
      <c r="R87" s="869" t="n">
        <f aca="false">SUM(L73:Q73)</f>
        <v>1299.0303712</v>
      </c>
    </row>
    <row r="88" customFormat="false" ht="12.75" hidden="false" customHeight="false" outlineLevel="0" collapsed="false">
      <c r="A88" s="65" t="s">
        <v>1271</v>
      </c>
      <c r="B88" s="895" t="n">
        <v>2440</v>
      </c>
      <c r="C88" s="896"/>
      <c r="D88" s="897" t="n">
        <v>1</v>
      </c>
      <c r="E88" s="898" t="n">
        <f aca="false">$B88*C88</f>
        <v>0</v>
      </c>
      <c r="F88" s="899" t="n">
        <f aca="false">$B88*D88</f>
        <v>2440</v>
      </c>
      <c r="G88" s="896" t="n">
        <v>0.07</v>
      </c>
      <c r="H88" s="897" t="n">
        <v>0</v>
      </c>
      <c r="I88" s="897" t="n">
        <v>0</v>
      </c>
      <c r="J88" s="897" t="n">
        <v>0</v>
      </c>
      <c r="K88" s="900" t="n">
        <v>0.0265</v>
      </c>
      <c r="L88" s="898" t="n">
        <f aca="false">$B88*G88</f>
        <v>170.8</v>
      </c>
      <c r="M88" s="901" t="n">
        <f aca="false">$B88*H88</f>
        <v>0</v>
      </c>
      <c r="N88" s="901" t="n">
        <f aca="false">$B88*I88</f>
        <v>0</v>
      </c>
      <c r="O88" s="901" t="n">
        <f aca="false">$B88*J88</f>
        <v>0</v>
      </c>
      <c r="P88" s="902" t="n">
        <f aca="false">$B88*K88</f>
        <v>64.66</v>
      </c>
      <c r="Q88" s="903" t="n">
        <v>0</v>
      </c>
      <c r="R88" s="869" t="n">
        <f aca="false">SUM(L74:Q74)</f>
        <v>136588.4074875</v>
      </c>
    </row>
    <row r="89" customFormat="false" ht="12.75" hidden="false" customHeight="false" outlineLevel="0" collapsed="false">
      <c r="A89" s="65" t="s">
        <v>1272</v>
      </c>
      <c r="B89" s="895" t="n">
        <v>899</v>
      </c>
      <c r="C89" s="896" t="n">
        <v>1</v>
      </c>
      <c r="D89" s="897"/>
      <c r="E89" s="898" t="n">
        <f aca="false">$B89*C89</f>
        <v>899</v>
      </c>
      <c r="F89" s="899" t="n">
        <f aca="false">$B89*D89</f>
        <v>0</v>
      </c>
      <c r="G89" s="896" t="n">
        <v>0</v>
      </c>
      <c r="H89" s="897" t="n">
        <v>0</v>
      </c>
      <c r="I89" s="897" t="n">
        <v>0.17</v>
      </c>
      <c r="J89" s="897" t="n">
        <v>0</v>
      </c>
      <c r="K89" s="900" t="n">
        <v>0</v>
      </c>
      <c r="L89" s="898" t="n">
        <f aca="false">$B89*G89</f>
        <v>0</v>
      </c>
      <c r="M89" s="901" t="n">
        <f aca="false">$B89*H89</f>
        <v>0</v>
      </c>
      <c r="N89" s="901" t="n">
        <f aca="false">$B89*I89</f>
        <v>152.83</v>
      </c>
      <c r="O89" s="901" t="n">
        <f aca="false">$B89*J89</f>
        <v>0</v>
      </c>
      <c r="P89" s="902" t="n">
        <f aca="false">$B89*K89</f>
        <v>0</v>
      </c>
      <c r="Q89" s="903" t="n">
        <v>0</v>
      </c>
      <c r="R89" s="869" t="n">
        <f aca="false">SUM(L75:Q75)</f>
        <v>0</v>
      </c>
    </row>
    <row r="90" customFormat="false" ht="12.75" hidden="false" customHeight="false" outlineLevel="0" collapsed="false">
      <c r="A90" s="65" t="s">
        <v>1273</v>
      </c>
      <c r="B90" s="895" t="n">
        <v>574</v>
      </c>
      <c r="C90" s="896"/>
      <c r="D90" s="897" t="n">
        <v>1</v>
      </c>
      <c r="E90" s="898" t="n">
        <f aca="false">$B90*C90</f>
        <v>0</v>
      </c>
      <c r="F90" s="899" t="n">
        <f aca="false">$B90*D90</f>
        <v>574</v>
      </c>
      <c r="G90" s="896" t="n">
        <v>0.07</v>
      </c>
      <c r="H90" s="897" t="n">
        <v>0</v>
      </c>
      <c r="I90" s="897" t="n">
        <v>0</v>
      </c>
      <c r="J90" s="897" t="n">
        <v>0</v>
      </c>
      <c r="K90" s="900" t="n">
        <v>0.0265</v>
      </c>
      <c r="L90" s="898" t="n">
        <f aca="false">$B90*G90</f>
        <v>40.18</v>
      </c>
      <c r="M90" s="901" t="n">
        <f aca="false">$B90*H90</f>
        <v>0</v>
      </c>
      <c r="N90" s="901" t="n">
        <f aca="false">$B90*I90</f>
        <v>0</v>
      </c>
      <c r="O90" s="901" t="n">
        <f aca="false">$B90*J90</f>
        <v>0</v>
      </c>
      <c r="P90" s="902" t="n">
        <f aca="false">$B90*K90</f>
        <v>15.211</v>
      </c>
      <c r="Q90" s="903" t="n">
        <v>0</v>
      </c>
      <c r="R90" s="869" t="n">
        <f aca="false">SUM(L76:Q76)</f>
        <v>192786.0777375</v>
      </c>
    </row>
    <row r="91" customFormat="false" ht="12.75" hidden="false" customHeight="false" outlineLevel="0" collapsed="false">
      <c r="A91" s="65" t="s">
        <v>1274</v>
      </c>
      <c r="B91" s="895" t="n">
        <v>1208</v>
      </c>
      <c r="C91" s="896" t="n">
        <v>1</v>
      </c>
      <c r="D91" s="897"/>
      <c r="E91" s="898" t="n">
        <f aca="false">$B91*C91</f>
        <v>1208</v>
      </c>
      <c r="F91" s="899" t="n">
        <f aca="false">$B91*D91</f>
        <v>0</v>
      </c>
      <c r="G91" s="896" t="n">
        <v>0</v>
      </c>
      <c r="H91" s="897" t="n">
        <v>0</v>
      </c>
      <c r="I91" s="897" t="n">
        <v>0.17</v>
      </c>
      <c r="J91" s="897" t="n">
        <v>0</v>
      </c>
      <c r="K91" s="900" t="n">
        <v>0</v>
      </c>
      <c r="L91" s="898" t="n">
        <f aca="false">$B91*G91</f>
        <v>0</v>
      </c>
      <c r="M91" s="901" t="n">
        <f aca="false">$B91*H91</f>
        <v>0</v>
      </c>
      <c r="N91" s="901" t="n">
        <f aca="false">$B91*I91</f>
        <v>205.36</v>
      </c>
      <c r="O91" s="901" t="n">
        <f aca="false">$B91*J91</f>
        <v>0</v>
      </c>
      <c r="P91" s="902" t="n">
        <f aca="false">$B91*K91</f>
        <v>0</v>
      </c>
      <c r="Q91" s="903" t="n">
        <v>0</v>
      </c>
      <c r="R91" s="869" t="n">
        <f aca="false">SUM(L77:Q77)</f>
        <v>0</v>
      </c>
    </row>
    <row r="92" customFormat="false" ht="12.75" hidden="false" customHeight="false" outlineLevel="0" collapsed="false">
      <c r="A92" s="65" t="s">
        <v>1275</v>
      </c>
      <c r="B92" s="895" t="n">
        <v>293</v>
      </c>
      <c r="C92" s="896"/>
      <c r="D92" s="897" t="n">
        <v>1</v>
      </c>
      <c r="E92" s="898" t="n">
        <f aca="false">$B92*C92</f>
        <v>0</v>
      </c>
      <c r="F92" s="899" t="n">
        <f aca="false">$B92*D92</f>
        <v>293</v>
      </c>
      <c r="G92" s="896" t="n">
        <v>0.07</v>
      </c>
      <c r="H92" s="897" t="n">
        <v>0</v>
      </c>
      <c r="I92" s="897" t="n">
        <v>0</v>
      </c>
      <c r="J92" s="897" t="n">
        <v>0</v>
      </c>
      <c r="K92" s="900" t="n">
        <v>0.0265</v>
      </c>
      <c r="L92" s="898" t="n">
        <f aca="false">$B92*G92</f>
        <v>20.51</v>
      </c>
      <c r="M92" s="901" t="n">
        <f aca="false">$B92*H92</f>
        <v>0</v>
      </c>
      <c r="N92" s="901" t="n">
        <f aca="false">$B92*I92</f>
        <v>0</v>
      </c>
      <c r="O92" s="901" t="n">
        <f aca="false">$B92*J92</f>
        <v>0</v>
      </c>
      <c r="P92" s="902" t="n">
        <f aca="false">$B92*K92</f>
        <v>7.7645</v>
      </c>
      <c r="Q92" s="903" t="n">
        <v>0</v>
      </c>
      <c r="R92" s="869" t="n">
        <f aca="false">SUM(L78:Q78)</f>
        <v>0</v>
      </c>
    </row>
    <row r="93" customFormat="false" ht="12.75" hidden="false" customHeight="false" outlineLevel="0" collapsed="false">
      <c r="A93" s="65" t="s">
        <v>1276</v>
      </c>
      <c r="B93" s="895" t="n">
        <v>293</v>
      </c>
      <c r="C93" s="896"/>
      <c r="D93" s="897" t="n">
        <v>1</v>
      </c>
      <c r="E93" s="898" t="n">
        <f aca="false">$B93*C93</f>
        <v>0</v>
      </c>
      <c r="F93" s="899" t="n">
        <f aca="false">$B93*D93</f>
        <v>293</v>
      </c>
      <c r="G93" s="896" t="n">
        <v>0.07</v>
      </c>
      <c r="H93" s="897" t="n">
        <v>0.08</v>
      </c>
      <c r="I93" s="897" t="n">
        <v>0</v>
      </c>
      <c r="J93" s="897" t="n">
        <v>0</v>
      </c>
      <c r="K93" s="900" t="n">
        <v>0.0265</v>
      </c>
      <c r="L93" s="898" t="n">
        <f aca="false">$B93*G93</f>
        <v>20.51</v>
      </c>
      <c r="M93" s="901" t="n">
        <f aca="false">$B93*H93</f>
        <v>23.44</v>
      </c>
      <c r="N93" s="901" t="n">
        <f aca="false">$B93*I93</f>
        <v>0</v>
      </c>
      <c r="O93" s="901" t="n">
        <f aca="false">$B93*J93</f>
        <v>0</v>
      </c>
      <c r="P93" s="902" t="n">
        <f aca="false">$B93*K93</f>
        <v>7.7645</v>
      </c>
      <c r="Q93" s="903" t="n">
        <v>0</v>
      </c>
      <c r="R93" s="869" t="n">
        <f aca="false">SUM(L79:Q79)</f>
        <v>0</v>
      </c>
    </row>
    <row r="94" customFormat="false" ht="12.75" hidden="false" customHeight="false" outlineLevel="0" collapsed="false">
      <c r="A94" s="65" t="s">
        <v>1277</v>
      </c>
      <c r="B94" s="895" t="n">
        <v>1213</v>
      </c>
      <c r="C94" s="896"/>
      <c r="D94" s="897" t="n">
        <v>1</v>
      </c>
      <c r="E94" s="898" t="n">
        <f aca="false">$B94*C94</f>
        <v>0</v>
      </c>
      <c r="F94" s="899" t="n">
        <f aca="false">$B94*D94</f>
        <v>1213</v>
      </c>
      <c r="G94" s="896" t="n">
        <v>0.07</v>
      </c>
      <c r="H94" s="897" t="n">
        <v>0</v>
      </c>
      <c r="I94" s="897" t="n">
        <v>0</v>
      </c>
      <c r="J94" s="897" t="n">
        <v>0</v>
      </c>
      <c r="K94" s="900" t="n">
        <v>0.0265</v>
      </c>
      <c r="L94" s="898" t="n">
        <f aca="false">$B94*G94</f>
        <v>84.91</v>
      </c>
      <c r="M94" s="901" t="n">
        <f aca="false">$B94*H94</f>
        <v>0</v>
      </c>
      <c r="N94" s="901" t="n">
        <f aca="false">$B94*I94</f>
        <v>0</v>
      </c>
      <c r="O94" s="901" t="n">
        <f aca="false">$B94*J94</f>
        <v>0</v>
      </c>
      <c r="P94" s="902" t="n">
        <f aca="false">$B94*K94</f>
        <v>32.1445</v>
      </c>
      <c r="Q94" s="903" t="n">
        <v>0</v>
      </c>
      <c r="R94" s="869" t="n">
        <f aca="false">SUM(L80:Q80)</f>
        <v>0</v>
      </c>
    </row>
    <row r="95" customFormat="false" ht="12.75" hidden="false" customHeight="false" outlineLevel="0" collapsed="false">
      <c r="A95" s="65" t="s">
        <v>1278</v>
      </c>
      <c r="B95" s="895" t="n">
        <v>3203</v>
      </c>
      <c r="C95" s="896"/>
      <c r="D95" s="897" t="n">
        <v>1</v>
      </c>
      <c r="E95" s="898" t="n">
        <f aca="false">$B95*C95</f>
        <v>0</v>
      </c>
      <c r="F95" s="899" t="n">
        <f aca="false">$B95*D95</f>
        <v>3203</v>
      </c>
      <c r="G95" s="896" t="n">
        <v>0.07</v>
      </c>
      <c r="H95" s="897" t="n">
        <v>0.08</v>
      </c>
      <c r="I95" s="897" t="n">
        <v>0</v>
      </c>
      <c r="J95" s="897" t="n">
        <v>0</v>
      </c>
      <c r="K95" s="900" t="n">
        <v>0.0265</v>
      </c>
      <c r="L95" s="898" t="n">
        <f aca="false">$B95*G95</f>
        <v>224.21</v>
      </c>
      <c r="M95" s="901" t="n">
        <f aca="false">$B95*H95</f>
        <v>256.24</v>
      </c>
      <c r="N95" s="901" t="n">
        <f aca="false">$B95*I95</f>
        <v>0</v>
      </c>
      <c r="O95" s="901" t="n">
        <f aca="false">$B95*J95</f>
        <v>0</v>
      </c>
      <c r="P95" s="902" t="n">
        <f aca="false">$B95*K95</f>
        <v>84.8795</v>
      </c>
      <c r="Q95" s="903" t="n">
        <v>0</v>
      </c>
      <c r="R95" s="869" t="n">
        <f aca="false">SUM(L81:Q81)</f>
        <v>0</v>
      </c>
    </row>
    <row r="96" customFormat="false" ht="12.75" hidden="false" customHeight="false" outlineLevel="0" collapsed="false">
      <c r="A96" s="65" t="s">
        <v>1279</v>
      </c>
      <c r="B96" s="895" t="n">
        <v>2135</v>
      </c>
      <c r="C96" s="896" t="n">
        <v>1</v>
      </c>
      <c r="D96" s="897"/>
      <c r="E96" s="898" t="n">
        <f aca="false">$B96*C96</f>
        <v>2135</v>
      </c>
      <c r="F96" s="899" t="n">
        <f aca="false">$B96*D96</f>
        <v>0</v>
      </c>
      <c r="G96" s="896" t="n">
        <v>0</v>
      </c>
      <c r="H96" s="897" t="n">
        <v>0.08</v>
      </c>
      <c r="I96" s="897" t="n">
        <v>0.17</v>
      </c>
      <c r="J96" s="897" t="n">
        <v>0</v>
      </c>
      <c r="K96" s="900" t="n">
        <v>0</v>
      </c>
      <c r="L96" s="898" t="n">
        <f aca="false">$B96*G96</f>
        <v>0</v>
      </c>
      <c r="M96" s="901" t="n">
        <f aca="false">$B96*H96</f>
        <v>170.8</v>
      </c>
      <c r="N96" s="901" t="n">
        <f aca="false">$B96*I96</f>
        <v>362.95</v>
      </c>
      <c r="O96" s="901" t="n">
        <f aca="false">$B96*J96</f>
        <v>0</v>
      </c>
      <c r="P96" s="902" t="n">
        <f aca="false">$B96*K96</f>
        <v>0</v>
      </c>
      <c r="Q96" s="903" t="n">
        <v>0</v>
      </c>
      <c r="R96" s="869" t="n">
        <f aca="false">SUM(L82:Q82)</f>
        <v>0</v>
      </c>
    </row>
    <row r="97" customFormat="false" ht="12.75" hidden="false" customHeight="false" outlineLevel="0" collapsed="false">
      <c r="A97" s="65" t="s">
        <v>1280</v>
      </c>
      <c r="B97" s="895" t="n">
        <v>831</v>
      </c>
      <c r="C97" s="896"/>
      <c r="D97" s="897" t="n">
        <v>1</v>
      </c>
      <c r="E97" s="898" t="n">
        <f aca="false">$B97*C97</f>
        <v>0</v>
      </c>
      <c r="F97" s="899" t="n">
        <f aca="false">$B97*D97</f>
        <v>831</v>
      </c>
      <c r="G97" s="896" t="n">
        <v>0.07</v>
      </c>
      <c r="H97" s="897" t="n">
        <v>0.08</v>
      </c>
      <c r="I97" s="897" t="n">
        <v>0</v>
      </c>
      <c r="J97" s="897" t="n">
        <v>0</v>
      </c>
      <c r="K97" s="900" t="n">
        <v>0.0265</v>
      </c>
      <c r="L97" s="898" t="n">
        <f aca="false">$B97*G97</f>
        <v>58.17</v>
      </c>
      <c r="M97" s="901" t="n">
        <f aca="false">$B97*H97</f>
        <v>66.48</v>
      </c>
      <c r="N97" s="901" t="n">
        <f aca="false">$B97*I97</f>
        <v>0</v>
      </c>
      <c r="O97" s="901" t="n">
        <f aca="false">$B97*J97</f>
        <v>0</v>
      </c>
      <c r="P97" s="902" t="n">
        <f aca="false">$B97*K97</f>
        <v>22.0215</v>
      </c>
      <c r="Q97" s="903" t="n">
        <v>0</v>
      </c>
      <c r="R97" s="869" t="n">
        <f aca="false">SUM(L83:Q83)</f>
        <v>0</v>
      </c>
    </row>
    <row r="98" customFormat="false" ht="12.75" hidden="false" customHeight="false" outlineLevel="0" collapsed="false">
      <c r="A98" s="65" t="s">
        <v>1281</v>
      </c>
      <c r="B98" s="895" t="n">
        <v>554</v>
      </c>
      <c r="C98" s="896" t="n">
        <v>1</v>
      </c>
      <c r="D98" s="897"/>
      <c r="E98" s="898" t="n">
        <f aca="false">$B98*C98</f>
        <v>554</v>
      </c>
      <c r="F98" s="899" t="n">
        <f aca="false">$B98*D98</f>
        <v>0</v>
      </c>
      <c r="G98" s="896" t="n">
        <v>0</v>
      </c>
      <c r="H98" s="897" t="n">
        <v>0.08</v>
      </c>
      <c r="I98" s="897" t="n">
        <v>0.17</v>
      </c>
      <c r="J98" s="897" t="n">
        <v>0</v>
      </c>
      <c r="K98" s="900" t="n">
        <v>0</v>
      </c>
      <c r="L98" s="898" t="n">
        <f aca="false">$B98*G98</f>
        <v>0</v>
      </c>
      <c r="M98" s="901" t="n">
        <f aca="false">$B98*H98</f>
        <v>44.32</v>
      </c>
      <c r="N98" s="901" t="n">
        <f aca="false">$B98*I98</f>
        <v>94.18</v>
      </c>
      <c r="O98" s="901" t="n">
        <f aca="false">$B98*J98</f>
        <v>0</v>
      </c>
      <c r="P98" s="902" t="n">
        <f aca="false">$B98*K98</f>
        <v>0</v>
      </c>
      <c r="Q98" s="903" t="n">
        <v>0</v>
      </c>
      <c r="R98" s="869" t="n">
        <f aca="false">SUM(L84:Q84)</f>
        <v>2287.18</v>
      </c>
    </row>
    <row r="99" customFormat="false" ht="12.75" hidden="false" customHeight="false" outlineLevel="0" collapsed="false">
      <c r="A99" s="65" t="s">
        <v>1282</v>
      </c>
      <c r="B99" s="895" t="n">
        <v>736</v>
      </c>
      <c r="C99" s="896"/>
      <c r="D99" s="897" t="n">
        <v>1</v>
      </c>
      <c r="E99" s="898" t="n">
        <f aca="false">$B99*C99</f>
        <v>0</v>
      </c>
      <c r="F99" s="899" t="n">
        <f aca="false">$B99*D99</f>
        <v>736</v>
      </c>
      <c r="G99" s="896" t="n">
        <v>0.17</v>
      </c>
      <c r="H99" s="897" t="n">
        <v>0.04</v>
      </c>
      <c r="I99" s="897" t="n">
        <v>0</v>
      </c>
      <c r="J99" s="897" t="n">
        <v>0</v>
      </c>
      <c r="K99" s="900" t="n">
        <v>0.0265</v>
      </c>
      <c r="L99" s="898" t="n">
        <f aca="false">$B99*G99</f>
        <v>125.12</v>
      </c>
      <c r="M99" s="901" t="n">
        <f aca="false">$B99*H99</f>
        <v>29.44</v>
      </c>
      <c r="N99" s="901" t="n">
        <f aca="false">$B99*I99</f>
        <v>0</v>
      </c>
      <c r="O99" s="901" t="n">
        <f aca="false">$B99*J99</f>
        <v>0</v>
      </c>
      <c r="P99" s="902" t="n">
        <f aca="false">$B99*K99</f>
        <v>19.504</v>
      </c>
      <c r="Q99" s="903" t="n">
        <v>0</v>
      </c>
      <c r="R99" s="869" t="n">
        <f aca="false">SUM(L85:Q85)</f>
        <v>754.296</v>
      </c>
    </row>
    <row r="100" customFormat="false" ht="12.75" hidden="false" customHeight="false" outlineLevel="0" collapsed="false">
      <c r="A100" s="65" t="s">
        <v>1283</v>
      </c>
      <c r="B100" s="895" t="n">
        <v>69</v>
      </c>
      <c r="C100" s="896"/>
      <c r="D100" s="897" t="n">
        <v>1</v>
      </c>
      <c r="E100" s="898" t="n">
        <f aca="false">$B100*C100</f>
        <v>0</v>
      </c>
      <c r="F100" s="899" t="n">
        <f aca="false">$B100*D100</f>
        <v>69</v>
      </c>
      <c r="G100" s="896" t="n">
        <v>0.07</v>
      </c>
      <c r="H100" s="897" t="n">
        <v>0</v>
      </c>
      <c r="I100" s="897" t="n">
        <v>0</v>
      </c>
      <c r="J100" s="897" t="n">
        <v>0</v>
      </c>
      <c r="K100" s="900" t="n">
        <v>0.0265</v>
      </c>
      <c r="L100" s="898" t="n">
        <f aca="false">$B100*G100</f>
        <v>4.83</v>
      </c>
      <c r="M100" s="901" t="n">
        <f aca="false">$B100*H100</f>
        <v>0</v>
      </c>
      <c r="N100" s="901" t="n">
        <f aca="false">$B100*I100</f>
        <v>0</v>
      </c>
      <c r="O100" s="901" t="n">
        <f aca="false">$B100*J100</f>
        <v>0</v>
      </c>
      <c r="P100" s="902" t="n">
        <f aca="false">$B100*K100</f>
        <v>1.8285</v>
      </c>
      <c r="Q100" s="903" t="n">
        <v>0</v>
      </c>
      <c r="R100" s="869" t="n">
        <f aca="false">SUM(L86:Q86)</f>
        <v>28.9</v>
      </c>
    </row>
    <row r="101" customFormat="false" ht="12.75" hidden="false" customHeight="false" outlineLevel="0" collapsed="false">
      <c r="A101" s="65" t="s">
        <v>1284</v>
      </c>
      <c r="B101" s="895" t="n">
        <v>900</v>
      </c>
      <c r="C101" s="896"/>
      <c r="D101" s="897" t="n">
        <v>1</v>
      </c>
      <c r="E101" s="898" t="n">
        <f aca="false">$B101*C101</f>
        <v>0</v>
      </c>
      <c r="F101" s="899" t="n">
        <f aca="false">$B101*D101</f>
        <v>900</v>
      </c>
      <c r="G101" s="896" t="n">
        <v>0.07</v>
      </c>
      <c r="H101" s="897" t="n">
        <v>0.04</v>
      </c>
      <c r="I101" s="897" t="n">
        <v>0</v>
      </c>
      <c r="J101" s="897" t="n">
        <v>0</v>
      </c>
      <c r="K101" s="900" t="n">
        <v>0.0265</v>
      </c>
      <c r="L101" s="898" t="n">
        <f aca="false">$B101*G101</f>
        <v>63</v>
      </c>
      <c r="M101" s="901" t="n">
        <f aca="false">$B101*H101</f>
        <v>36</v>
      </c>
      <c r="N101" s="901" t="n">
        <f aca="false">$B101*I101</f>
        <v>0</v>
      </c>
      <c r="O101" s="901" t="n">
        <f aca="false">$B101*J101</f>
        <v>0</v>
      </c>
      <c r="P101" s="902" t="n">
        <f aca="false">$B101*K101</f>
        <v>23.85</v>
      </c>
      <c r="Q101" s="903" t="n">
        <v>0</v>
      </c>
      <c r="R101" s="869" t="n">
        <f aca="false">SUM(L87:Q87)</f>
        <v>181.73</v>
      </c>
    </row>
    <row r="102" customFormat="false" ht="12.75" hidden="false" customHeight="false" outlineLevel="0" collapsed="false">
      <c r="A102" s="65" t="s">
        <v>1285</v>
      </c>
      <c r="B102" s="895" t="n">
        <v>5627</v>
      </c>
      <c r="C102" s="896"/>
      <c r="D102" s="897" t="n">
        <v>1</v>
      </c>
      <c r="E102" s="898" t="n">
        <f aca="false">$B102*C102</f>
        <v>0</v>
      </c>
      <c r="F102" s="899" t="n">
        <f aca="false">$B102*D102</f>
        <v>5627</v>
      </c>
      <c r="G102" s="896" t="n">
        <v>0.07</v>
      </c>
      <c r="H102" s="897" t="n">
        <v>0</v>
      </c>
      <c r="I102" s="897" t="n">
        <v>0</v>
      </c>
      <c r="J102" s="897" t="n">
        <v>0</v>
      </c>
      <c r="K102" s="900" t="n">
        <v>0.0265</v>
      </c>
      <c r="L102" s="898" t="n">
        <f aca="false">$B102*G102</f>
        <v>393.89</v>
      </c>
      <c r="M102" s="901" t="n">
        <f aca="false">$B102*H102</f>
        <v>0</v>
      </c>
      <c r="N102" s="901" t="n">
        <f aca="false">$B102*I102</f>
        <v>0</v>
      </c>
      <c r="O102" s="901" t="n">
        <f aca="false">$B102*J102</f>
        <v>0</v>
      </c>
      <c r="P102" s="902" t="n">
        <f aca="false">$B102*K102</f>
        <v>149.1155</v>
      </c>
      <c r="Q102" s="903" t="n">
        <v>0</v>
      </c>
      <c r="R102" s="869" t="n">
        <f aca="false">SUM(L88:Q88)</f>
        <v>235.46</v>
      </c>
    </row>
    <row r="103" customFormat="false" ht="12.75" hidden="false" customHeight="false" outlineLevel="0" collapsed="false">
      <c r="A103" s="65" t="s">
        <v>1286</v>
      </c>
      <c r="B103" s="895" t="n">
        <v>311</v>
      </c>
      <c r="C103" s="896"/>
      <c r="D103" s="897" t="n">
        <v>1</v>
      </c>
      <c r="E103" s="898" t="n">
        <f aca="false">$B103*C103</f>
        <v>0</v>
      </c>
      <c r="F103" s="899" t="n">
        <f aca="false">$B103*D103</f>
        <v>311</v>
      </c>
      <c r="G103" s="896" t="n">
        <v>0.07</v>
      </c>
      <c r="H103" s="897" t="n">
        <v>0</v>
      </c>
      <c r="I103" s="897" t="n">
        <v>0</v>
      </c>
      <c r="J103" s="897" t="n">
        <v>0</v>
      </c>
      <c r="K103" s="900" t="n">
        <v>0.0265</v>
      </c>
      <c r="L103" s="898" t="n">
        <f aca="false">$B103*G103</f>
        <v>21.77</v>
      </c>
      <c r="M103" s="901" t="n">
        <f aca="false">$B103*H103</f>
        <v>0</v>
      </c>
      <c r="N103" s="901" t="n">
        <f aca="false">$B103*I103</f>
        <v>0</v>
      </c>
      <c r="O103" s="901" t="n">
        <f aca="false">$B103*J103</f>
        <v>0</v>
      </c>
      <c r="P103" s="902" t="n">
        <f aca="false">$B103*K103</f>
        <v>8.2415</v>
      </c>
      <c r="Q103" s="903" t="n">
        <v>0</v>
      </c>
      <c r="R103" s="869" t="n">
        <f aca="false">SUM(L89:Q89)</f>
        <v>152.83</v>
      </c>
    </row>
    <row r="104" customFormat="false" ht="12.75" hidden="false" customHeight="false" outlineLevel="0" collapsed="false">
      <c r="A104" s="65" t="s">
        <v>1239</v>
      </c>
      <c r="B104" s="895" t="n">
        <v>293</v>
      </c>
      <c r="C104" s="896"/>
      <c r="D104" s="897" t="n">
        <v>1</v>
      </c>
      <c r="E104" s="898" t="n">
        <f aca="false">$B104*C104</f>
        <v>0</v>
      </c>
      <c r="F104" s="899" t="n">
        <f aca="false">$B104*D104</f>
        <v>293</v>
      </c>
      <c r="G104" s="896" t="n">
        <v>0.17</v>
      </c>
      <c r="H104" s="897" t="n">
        <v>0.05</v>
      </c>
      <c r="I104" s="897" t="n">
        <v>0</v>
      </c>
      <c r="J104" s="897" t="n">
        <v>0</v>
      </c>
      <c r="K104" s="900" t="n">
        <v>0.0265</v>
      </c>
      <c r="L104" s="898" t="n">
        <f aca="false">$B104*G104</f>
        <v>49.81</v>
      </c>
      <c r="M104" s="901" t="n">
        <f aca="false">$B104*H104</f>
        <v>14.65</v>
      </c>
      <c r="N104" s="901" t="n">
        <f aca="false">$B104*I104</f>
        <v>0</v>
      </c>
      <c r="O104" s="901" t="n">
        <f aca="false">$B104*J104</f>
        <v>0</v>
      </c>
      <c r="P104" s="902" t="n">
        <f aca="false">$B104*K104</f>
        <v>7.7645</v>
      </c>
      <c r="Q104" s="903" t="n">
        <v>0</v>
      </c>
      <c r="R104" s="869" t="n">
        <f aca="false">SUM(L90:Q90)</f>
        <v>55.391</v>
      </c>
    </row>
    <row r="105" customFormat="false" ht="12.75" hidden="false" customHeight="false" outlineLevel="0" collapsed="false">
      <c r="A105" s="65" t="s">
        <v>1287</v>
      </c>
      <c r="B105" s="895" t="n">
        <v>9074</v>
      </c>
      <c r="C105" s="896"/>
      <c r="D105" s="897" t="n">
        <v>1</v>
      </c>
      <c r="E105" s="898" t="n">
        <f aca="false">$B105*C105</f>
        <v>0</v>
      </c>
      <c r="F105" s="899" t="n">
        <f aca="false">$B105*D105</f>
        <v>9074</v>
      </c>
      <c r="G105" s="896" t="n">
        <v>0.07</v>
      </c>
      <c r="H105" s="897" t="n">
        <v>0</v>
      </c>
      <c r="I105" s="897" t="n">
        <v>0</v>
      </c>
      <c r="J105" s="897" t="n">
        <v>0</v>
      </c>
      <c r="K105" s="900" t="n">
        <v>0.0265</v>
      </c>
      <c r="L105" s="898" t="n">
        <f aca="false">$B105*G105</f>
        <v>635.18</v>
      </c>
      <c r="M105" s="901" t="n">
        <f aca="false">$B105*H105</f>
        <v>0</v>
      </c>
      <c r="N105" s="901" t="n">
        <f aca="false">$B105*I105</f>
        <v>0</v>
      </c>
      <c r="O105" s="901" t="n">
        <f aca="false">$B105*J105</f>
        <v>0</v>
      </c>
      <c r="P105" s="902" t="n">
        <f aca="false">$B105*K105</f>
        <v>240.461</v>
      </c>
      <c r="Q105" s="903" t="n">
        <v>0</v>
      </c>
      <c r="R105" s="869" t="n">
        <f aca="false">SUM(L91:Q91)</f>
        <v>205.36</v>
      </c>
    </row>
    <row r="106" customFormat="false" ht="12.75" hidden="false" customHeight="false" outlineLevel="0" collapsed="false">
      <c r="A106" s="65" t="s">
        <v>1288</v>
      </c>
      <c r="B106" s="895" t="n">
        <v>4516</v>
      </c>
      <c r="C106" s="896"/>
      <c r="D106" s="897" t="n">
        <v>1</v>
      </c>
      <c r="E106" s="898" t="n">
        <f aca="false">$B106*C106</f>
        <v>0</v>
      </c>
      <c r="F106" s="899" t="n">
        <f aca="false">$B106*D106</f>
        <v>4516</v>
      </c>
      <c r="G106" s="896" t="n">
        <v>0.07</v>
      </c>
      <c r="H106" s="897" t="n">
        <v>0</v>
      </c>
      <c r="I106" s="897" t="n">
        <v>0</v>
      </c>
      <c r="J106" s="897" t="n">
        <v>0</v>
      </c>
      <c r="K106" s="900" t="n">
        <v>0.0265</v>
      </c>
      <c r="L106" s="898" t="n">
        <f aca="false">$B106*G106</f>
        <v>316.12</v>
      </c>
      <c r="M106" s="901" t="n">
        <f aca="false">$B106*H106</f>
        <v>0</v>
      </c>
      <c r="N106" s="901" t="n">
        <f aca="false">$B106*I106</f>
        <v>0</v>
      </c>
      <c r="O106" s="901" t="n">
        <f aca="false">$B106*J106</f>
        <v>0</v>
      </c>
      <c r="P106" s="902" t="n">
        <f aca="false">$B106*K106</f>
        <v>119.674</v>
      </c>
      <c r="Q106" s="903" t="n">
        <v>0</v>
      </c>
      <c r="R106" s="869" t="n">
        <f aca="false">SUM(L92:Q92)</f>
        <v>28.2745</v>
      </c>
    </row>
    <row r="107" customFormat="false" ht="12.75" hidden="false" customHeight="false" outlineLevel="0" collapsed="false">
      <c r="A107" s="65" t="s">
        <v>1289</v>
      </c>
      <c r="B107" s="895" t="n">
        <v>1505</v>
      </c>
      <c r="C107" s="896" t="n">
        <v>1</v>
      </c>
      <c r="D107" s="897"/>
      <c r="E107" s="898" t="n">
        <f aca="false">$B107*C107</f>
        <v>1505</v>
      </c>
      <c r="F107" s="899" t="n">
        <f aca="false">$B107*D107</f>
        <v>0</v>
      </c>
      <c r="G107" s="896" t="n">
        <v>0</v>
      </c>
      <c r="H107" s="897" t="n">
        <v>0</v>
      </c>
      <c r="I107" s="897" t="n">
        <v>0</v>
      </c>
      <c r="J107" s="897" t="n">
        <v>0</v>
      </c>
      <c r="K107" s="900" t="n">
        <v>0</v>
      </c>
      <c r="L107" s="898" t="n">
        <f aca="false">$B107*G107</f>
        <v>0</v>
      </c>
      <c r="M107" s="901" t="n">
        <f aca="false">$B107*H107</f>
        <v>0</v>
      </c>
      <c r="N107" s="901" t="n">
        <f aca="false">$B107*I107</f>
        <v>0</v>
      </c>
      <c r="O107" s="901" t="n">
        <f aca="false">$B107*J107</f>
        <v>0</v>
      </c>
      <c r="P107" s="902" t="n">
        <f aca="false">$B107*K107</f>
        <v>0</v>
      </c>
      <c r="Q107" s="903" t="n">
        <v>0</v>
      </c>
      <c r="R107" s="869" t="n">
        <f aca="false">SUM(L93:Q93)</f>
        <v>51.7145</v>
      </c>
    </row>
    <row r="108" customFormat="false" ht="12.75" hidden="false" customHeight="false" outlineLevel="0" collapsed="false">
      <c r="A108" s="65" t="s">
        <v>1290</v>
      </c>
      <c r="B108" s="895" t="n">
        <v>7940</v>
      </c>
      <c r="C108" s="896" t="n">
        <v>1</v>
      </c>
      <c r="D108" s="897"/>
      <c r="E108" s="898" t="n">
        <f aca="false">$B108*C108</f>
        <v>7940</v>
      </c>
      <c r="F108" s="899" t="n">
        <f aca="false">$B108*D108</f>
        <v>0</v>
      </c>
      <c r="G108" s="896" t="n">
        <v>0</v>
      </c>
      <c r="H108" s="897" t="n">
        <v>0.15</v>
      </c>
      <c r="I108" s="897" t="n">
        <v>0.18</v>
      </c>
      <c r="J108" s="897" t="n">
        <v>0</v>
      </c>
      <c r="K108" s="900" t="n">
        <v>0</v>
      </c>
      <c r="L108" s="898" t="n">
        <f aca="false">$B108*G108</f>
        <v>0</v>
      </c>
      <c r="M108" s="901" t="n">
        <f aca="false">$B108*H108</f>
        <v>1191</v>
      </c>
      <c r="N108" s="901" t="n">
        <f aca="false">$B108*I108</f>
        <v>1429.2</v>
      </c>
      <c r="O108" s="901" t="n">
        <f aca="false">$B108*J108</f>
        <v>0</v>
      </c>
      <c r="P108" s="902" t="n">
        <f aca="false">$B108*K108</f>
        <v>0</v>
      </c>
      <c r="Q108" s="903" t="n">
        <v>0</v>
      </c>
      <c r="R108" s="869" t="n">
        <f aca="false">SUM(L94:Q94)</f>
        <v>117.0545</v>
      </c>
    </row>
    <row r="109" customFormat="false" ht="12.75" hidden="false" customHeight="false" outlineLevel="0" collapsed="false">
      <c r="A109" s="37" t="s">
        <v>1291</v>
      </c>
      <c r="B109" s="895" t="n">
        <v>26720</v>
      </c>
      <c r="C109" s="896"/>
      <c r="D109" s="897" t="n">
        <v>1</v>
      </c>
      <c r="E109" s="898" t="n">
        <f aca="false">$B109*C109</f>
        <v>0</v>
      </c>
      <c r="F109" s="899" t="n">
        <f aca="false">$B109*D109</f>
        <v>26720</v>
      </c>
      <c r="G109" s="896" t="n">
        <v>0</v>
      </c>
      <c r="H109" s="897" t="n">
        <v>0</v>
      </c>
      <c r="I109" s="897" t="n">
        <v>0</v>
      </c>
      <c r="J109" s="897" t="n">
        <v>0.05</v>
      </c>
      <c r="K109" s="900" t="n">
        <v>0.0265</v>
      </c>
      <c r="L109" s="898" t="n">
        <f aca="false">$B109*G109</f>
        <v>0</v>
      </c>
      <c r="M109" s="901" t="n">
        <f aca="false">$B109*H109</f>
        <v>0</v>
      </c>
      <c r="N109" s="901" t="n">
        <f aca="false">$B109*I109</f>
        <v>0</v>
      </c>
      <c r="O109" s="901" t="n">
        <f aca="false">$B109*J109</f>
        <v>1336</v>
      </c>
      <c r="P109" s="902" t="n">
        <f aca="false">$B109*K109</f>
        <v>708.08</v>
      </c>
      <c r="Q109" s="903" t="n">
        <v>0</v>
      </c>
      <c r="R109" s="869" t="n">
        <f aca="false">SUM(L95:Q95)</f>
        <v>565.3295</v>
      </c>
    </row>
    <row r="110" customFormat="false" ht="12.75" hidden="false" customHeight="false" outlineLevel="0" collapsed="false">
      <c r="A110" s="37" t="s">
        <v>1292</v>
      </c>
      <c r="B110" s="895" t="n">
        <v>24010</v>
      </c>
      <c r="C110" s="896"/>
      <c r="D110" s="897" t="n">
        <v>1</v>
      </c>
      <c r="E110" s="898" t="n">
        <f aca="false">$B110*C110</f>
        <v>0</v>
      </c>
      <c r="F110" s="899" t="n">
        <f aca="false">$B110*D110</f>
        <v>24010</v>
      </c>
      <c r="G110" s="896" t="n">
        <v>0</v>
      </c>
      <c r="H110" s="897" t="n">
        <v>0</v>
      </c>
      <c r="I110" s="897" t="n">
        <v>0</v>
      </c>
      <c r="J110" s="897" t="n">
        <v>0.05</v>
      </c>
      <c r="K110" s="900" t="n">
        <v>0.0265</v>
      </c>
      <c r="L110" s="898" t="n">
        <f aca="false">$B110*G110</f>
        <v>0</v>
      </c>
      <c r="M110" s="901" t="n">
        <f aca="false">$B110*H110</f>
        <v>0</v>
      </c>
      <c r="N110" s="901" t="n">
        <f aca="false">$B110*I110</f>
        <v>0</v>
      </c>
      <c r="O110" s="901" t="n">
        <f aca="false">$B110*J110</f>
        <v>1200.5</v>
      </c>
      <c r="P110" s="902" t="n">
        <f aca="false">$B110*K110</f>
        <v>636.265</v>
      </c>
      <c r="Q110" s="903" t="n">
        <v>0</v>
      </c>
      <c r="R110" s="869" t="n">
        <f aca="false">SUM(L96:Q96)</f>
        <v>533.75</v>
      </c>
    </row>
    <row r="111" customFormat="false" ht="12.75" hidden="false" customHeight="false" outlineLevel="0" collapsed="false">
      <c r="A111" s="65" t="s">
        <v>1264</v>
      </c>
      <c r="B111" s="898"/>
      <c r="C111" s="904"/>
      <c r="D111" s="905"/>
      <c r="E111" s="898"/>
      <c r="F111" s="899"/>
      <c r="G111" s="904"/>
      <c r="H111" s="905"/>
      <c r="I111" s="905"/>
      <c r="J111" s="905"/>
      <c r="K111" s="906"/>
      <c r="L111" s="898"/>
      <c r="M111" s="901"/>
      <c r="N111" s="901"/>
      <c r="O111" s="901"/>
      <c r="P111" s="902"/>
      <c r="Q111" s="903" t="n">
        <v>1000</v>
      </c>
      <c r="R111" s="869" t="n">
        <f aca="false">SUM(L97:Q97)</f>
        <v>146.6715</v>
      </c>
    </row>
    <row r="112" customFormat="false" ht="13.5" hidden="false" customHeight="false" outlineLevel="0" collapsed="false">
      <c r="A112" s="65"/>
      <c r="B112" s="898"/>
      <c r="C112" s="904"/>
      <c r="D112" s="905"/>
      <c r="E112" s="898"/>
      <c r="F112" s="899"/>
      <c r="G112" s="904"/>
      <c r="H112" s="905"/>
      <c r="I112" s="905"/>
      <c r="J112" s="905"/>
      <c r="K112" s="906"/>
      <c r="L112" s="898"/>
      <c r="M112" s="901"/>
      <c r="N112" s="901"/>
      <c r="O112" s="901"/>
      <c r="P112" s="902"/>
      <c r="Q112" s="907"/>
      <c r="R112" s="869"/>
    </row>
    <row r="113" customFormat="false" ht="13.5" hidden="false" customHeight="false" outlineLevel="0" collapsed="false">
      <c r="A113" s="908" t="s">
        <v>1293</v>
      </c>
      <c r="B113" s="909" t="n">
        <f aca="false">SUM(B82:B110)</f>
        <v>180600</v>
      </c>
      <c r="C113" s="910"/>
      <c r="D113" s="911"/>
      <c r="E113" s="909" t="n">
        <f aca="false">SUM(E82:E110)</f>
        <v>96783</v>
      </c>
      <c r="F113" s="912" t="n">
        <f aca="false">SUM(F82:F110)</f>
        <v>83817</v>
      </c>
      <c r="G113" s="910"/>
      <c r="H113" s="911"/>
      <c r="I113" s="911"/>
      <c r="J113" s="911"/>
      <c r="K113" s="913"/>
      <c r="L113" s="909" t="n">
        <f aca="false">SUM(L82:L110)</f>
        <v>2661.49</v>
      </c>
      <c r="M113" s="914" t="n">
        <f aca="false">SUM(M82:M110)</f>
        <v>2086.77</v>
      </c>
      <c r="N113" s="914" t="n">
        <f aca="false">SUM(N82:N110)</f>
        <v>4742.33</v>
      </c>
      <c r="O113" s="914" t="n">
        <f aca="false">SUM(O82:O110)</f>
        <v>2536.5</v>
      </c>
      <c r="P113" s="915" t="n">
        <f aca="false">SUM(P82:P110)</f>
        <v>2216.6455</v>
      </c>
      <c r="Q113" s="916" t="n">
        <f aca="false">SUM(Q82:Q111)</f>
        <v>1000</v>
      </c>
      <c r="R113" s="916" t="n">
        <f aca="false">SUM(R82:R111)</f>
        <v>362290.1920786</v>
      </c>
    </row>
  </sheetData>
  <mergeCells count="4">
    <mergeCell ref="C79:D79"/>
    <mergeCell ref="E79:F79"/>
    <mergeCell ref="G79:K79"/>
    <mergeCell ref="L79:R79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7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5" ySplit="8" topLeftCell="AO61" activePane="bottomRight" state="frozen"/>
      <selection pane="topLeft" activeCell="A1" activeCellId="0" sqref="A1"/>
      <selection pane="topRight" activeCell="AO1" activeCellId="0" sqref="AO1"/>
      <selection pane="bottomLeft" activeCell="A61" activeCellId="0" sqref="A61"/>
      <selection pane="bottomRight" activeCell="BA65" activeCellId="0" sqref="BA6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917" width="4.7"/>
    <col collapsed="false" customWidth="true" hidden="false" outlineLevel="0" max="2" min="2" style="917" width="30.7"/>
    <col collapsed="false" customWidth="true" hidden="false" outlineLevel="0" max="3" min="3" style="917" width="10.71"/>
    <col collapsed="false" customWidth="true" hidden="false" outlineLevel="0" max="4" min="4" style="917" width="4.7"/>
    <col collapsed="false" customWidth="true" hidden="false" outlineLevel="0" max="8" min="5" style="917" width="10.71"/>
    <col collapsed="false" customWidth="true" hidden="false" outlineLevel="0" max="9" min="9" style="917" width="13.28"/>
    <col collapsed="false" customWidth="true" hidden="false" outlineLevel="0" max="10" min="10" style="917" width="10.71"/>
    <col collapsed="false" customWidth="true" hidden="false" outlineLevel="0" max="11" min="11" style="917" width="12.28"/>
    <col collapsed="false" customWidth="true" hidden="false" outlineLevel="0" max="13" min="12" style="917" width="10.71"/>
    <col collapsed="false" customWidth="true" hidden="false" outlineLevel="0" max="17" min="14" style="917" width="12.28"/>
    <col collapsed="false" customWidth="true" hidden="false" outlineLevel="0" max="20" min="18" style="917" width="10.71"/>
    <col collapsed="false" customWidth="true" hidden="false" outlineLevel="0" max="23" min="21" style="917" width="12.7"/>
    <col collapsed="false" customWidth="true" hidden="false" outlineLevel="0" max="28" min="24" style="917" width="10.71"/>
    <col collapsed="false" customWidth="true" hidden="false" outlineLevel="0" max="29" min="29" style="917" width="13.28"/>
    <col collapsed="false" customWidth="true" hidden="false" outlineLevel="0" max="30" min="30" style="917" width="10.71"/>
    <col collapsed="false" customWidth="true" hidden="false" outlineLevel="0" max="32" min="31" style="917" width="9.7"/>
    <col collapsed="false" customWidth="true" hidden="false" outlineLevel="0" max="33" min="33" style="917" width="9.99"/>
    <col collapsed="false" customWidth="true" hidden="false" outlineLevel="0" max="51" min="34" style="917" width="9.7"/>
    <col collapsed="false" customWidth="true" hidden="false" outlineLevel="0" max="52" min="52" style="917" width="1.7"/>
    <col collapsed="false" customWidth="true" hidden="false" outlineLevel="0" max="53" min="53" style="917" width="10.71"/>
    <col collapsed="false" customWidth="false" hidden="false" outlineLevel="0" max="54" min="54" style="917" width="9.14"/>
    <col collapsed="false" customWidth="true" hidden="false" outlineLevel="0" max="55" min="55" style="917" width="11.56"/>
    <col collapsed="false" customWidth="false" hidden="false" outlineLevel="0" max="56" min="56" style="917" width="9.14"/>
    <col collapsed="false" customWidth="true" hidden="false" outlineLevel="0" max="57" min="57" style="917" width="13.85"/>
    <col collapsed="false" customWidth="true" hidden="false" outlineLevel="0" max="58" min="58" style="917" width="11.56"/>
    <col collapsed="false" customWidth="false" hidden="false" outlineLevel="0" max="257" min="59" style="917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918"/>
      <c r="C1" s="919"/>
      <c r="D1" s="920"/>
      <c r="E1" s="921"/>
      <c r="F1" s="921"/>
      <c r="G1" s="921"/>
      <c r="H1" s="922"/>
      <c r="I1" s="921"/>
      <c r="J1" s="921"/>
      <c r="K1" s="923"/>
      <c r="L1" s="921"/>
      <c r="M1" s="921"/>
      <c r="N1" s="921"/>
      <c r="O1" s="921"/>
      <c r="P1" s="921"/>
      <c r="Q1" s="921"/>
      <c r="R1" s="921"/>
      <c r="S1" s="924"/>
      <c r="T1" s="921"/>
      <c r="U1" s="921"/>
      <c r="V1" s="921"/>
      <c r="W1" s="921"/>
      <c r="X1" s="921"/>
      <c r="Y1" s="921"/>
      <c r="Z1" s="925"/>
      <c r="AA1" s="925"/>
      <c r="AB1" s="920"/>
      <c r="AC1" s="926"/>
      <c r="AD1" s="926"/>
      <c r="AE1" s="926"/>
      <c r="AF1" s="926"/>
      <c r="AG1" s="926"/>
      <c r="AH1" s="926"/>
      <c r="AI1" s="926"/>
      <c r="AJ1" s="926"/>
      <c r="AK1" s="926"/>
      <c r="AL1" s="926"/>
      <c r="AM1" s="926"/>
      <c r="AN1" s="926"/>
      <c r="AO1" s="926"/>
      <c r="AP1" s="926"/>
      <c r="AQ1" s="926"/>
      <c r="AR1" s="926"/>
      <c r="AS1" s="926"/>
      <c r="AT1" s="926"/>
      <c r="AU1" s="926"/>
      <c r="AV1" s="926"/>
      <c r="AW1" s="926"/>
      <c r="AX1" s="926"/>
      <c r="AY1" s="926"/>
      <c r="AZ1" s="926"/>
      <c r="BA1" s="926"/>
      <c r="BB1" s="926"/>
      <c r="BC1" s="926"/>
      <c r="BD1" s="926"/>
      <c r="BE1" s="926"/>
      <c r="BF1" s="926"/>
      <c r="BG1" s="926"/>
      <c r="BH1" s="926"/>
      <c r="BI1" s="926"/>
      <c r="BJ1" s="926"/>
      <c r="BK1" s="926"/>
      <c r="BL1" s="926"/>
      <c r="BM1" s="926"/>
      <c r="BN1" s="926"/>
      <c r="BO1" s="926"/>
      <c r="BP1" s="926"/>
      <c r="BQ1" s="926"/>
      <c r="BR1" s="926"/>
      <c r="BS1" s="926"/>
      <c r="BT1" s="926"/>
      <c r="BU1" s="926"/>
      <c r="BV1" s="926"/>
      <c r="BW1" s="926"/>
      <c r="BX1" s="926"/>
      <c r="BY1" s="926"/>
      <c r="BZ1" s="926"/>
      <c r="CA1" s="926"/>
      <c r="CB1" s="926"/>
      <c r="CC1" s="926"/>
      <c r="CD1" s="926"/>
      <c r="CE1" s="926"/>
      <c r="CF1" s="926"/>
      <c r="CG1" s="926"/>
      <c r="CH1" s="926"/>
      <c r="CI1" s="926"/>
      <c r="CJ1" s="926"/>
      <c r="CK1" s="926"/>
      <c r="CL1" s="926"/>
      <c r="CM1" s="926"/>
      <c r="CN1" s="926"/>
      <c r="CO1" s="926"/>
      <c r="CP1" s="926"/>
      <c r="CQ1" s="926"/>
      <c r="CR1" s="926"/>
      <c r="CS1" s="926"/>
      <c r="CT1" s="926"/>
      <c r="CU1" s="926"/>
      <c r="CV1" s="926"/>
      <c r="CW1" s="926"/>
      <c r="CX1" s="926"/>
      <c r="CY1" s="926"/>
      <c r="CZ1" s="926"/>
      <c r="DA1" s="926"/>
      <c r="DB1" s="926"/>
      <c r="DC1" s="926"/>
      <c r="DD1" s="926"/>
      <c r="DE1" s="926"/>
      <c r="DF1" s="926"/>
      <c r="DG1" s="926"/>
      <c r="DH1" s="926"/>
      <c r="DI1" s="926"/>
      <c r="DJ1" s="926"/>
      <c r="DK1" s="926"/>
      <c r="DL1" s="926"/>
      <c r="DM1" s="926"/>
      <c r="DN1" s="926"/>
      <c r="DO1" s="926"/>
      <c r="DP1" s="926"/>
      <c r="DQ1" s="926"/>
      <c r="DR1" s="926"/>
      <c r="DS1" s="926"/>
      <c r="DT1" s="926"/>
      <c r="DU1" s="926"/>
      <c r="DV1" s="926"/>
      <c r="DW1" s="926"/>
      <c r="DX1" s="926"/>
      <c r="DY1" s="926"/>
      <c r="DZ1" s="926"/>
      <c r="EA1" s="926"/>
      <c r="EB1" s="926"/>
      <c r="EC1" s="926"/>
      <c r="ED1" s="926"/>
      <c r="EE1" s="926"/>
      <c r="EF1" s="926"/>
      <c r="EG1" s="926"/>
      <c r="EH1" s="926"/>
      <c r="EI1" s="926"/>
      <c r="EJ1" s="926"/>
      <c r="EK1" s="926"/>
      <c r="EL1" s="926"/>
      <c r="EM1" s="926"/>
      <c r="EN1" s="926"/>
      <c r="EO1" s="926"/>
      <c r="EP1" s="926"/>
      <c r="EQ1" s="926"/>
      <c r="ER1" s="926"/>
      <c r="ES1" s="926"/>
      <c r="ET1" s="926"/>
      <c r="EU1" s="926"/>
      <c r="EV1" s="926"/>
      <c r="EW1" s="926"/>
      <c r="EX1" s="926"/>
      <c r="EY1" s="926"/>
      <c r="EZ1" s="926"/>
      <c r="FA1" s="926"/>
      <c r="FB1" s="926"/>
      <c r="FC1" s="926"/>
      <c r="FD1" s="926"/>
      <c r="FE1" s="926"/>
      <c r="FF1" s="926"/>
      <c r="FG1" s="926"/>
      <c r="FH1" s="926"/>
      <c r="FI1" s="926"/>
      <c r="FJ1" s="926"/>
      <c r="FK1" s="926"/>
      <c r="FL1" s="926"/>
      <c r="FM1" s="926"/>
      <c r="FN1" s="926"/>
      <c r="FO1" s="926"/>
      <c r="FP1" s="926"/>
      <c r="FQ1" s="926"/>
      <c r="FR1" s="926"/>
      <c r="FS1" s="926"/>
      <c r="FT1" s="926"/>
      <c r="FU1" s="926"/>
      <c r="FV1" s="926"/>
      <c r="FW1" s="926"/>
      <c r="FX1" s="926"/>
      <c r="FY1" s="926"/>
      <c r="FZ1" s="926"/>
      <c r="GA1" s="926"/>
      <c r="GB1" s="926"/>
      <c r="GC1" s="926"/>
      <c r="GD1" s="926"/>
      <c r="GE1" s="926"/>
      <c r="GF1" s="926"/>
      <c r="GG1" s="926"/>
      <c r="GH1" s="926"/>
      <c r="GI1" s="926"/>
      <c r="GJ1" s="926"/>
      <c r="GK1" s="926"/>
      <c r="GL1" s="926"/>
      <c r="GM1" s="926"/>
      <c r="GN1" s="926"/>
      <c r="GO1" s="926"/>
      <c r="GP1" s="926"/>
      <c r="GQ1" s="926"/>
      <c r="GR1" s="926"/>
      <c r="GS1" s="926"/>
      <c r="GT1" s="926"/>
      <c r="GU1" s="926"/>
      <c r="GV1" s="926"/>
      <c r="GW1" s="926"/>
      <c r="GX1" s="926"/>
      <c r="GY1" s="926"/>
      <c r="GZ1" s="926"/>
      <c r="HA1" s="926"/>
      <c r="HB1" s="926"/>
      <c r="HC1" s="926"/>
      <c r="HD1" s="926"/>
      <c r="HE1" s="926"/>
      <c r="HF1" s="926"/>
      <c r="HG1" s="926"/>
      <c r="HH1" s="926"/>
      <c r="HI1" s="926"/>
      <c r="HJ1" s="926"/>
      <c r="HK1" s="926"/>
      <c r="HL1" s="926"/>
      <c r="HM1" s="926"/>
      <c r="HN1" s="926"/>
      <c r="HO1" s="926"/>
      <c r="HP1" s="926"/>
      <c r="HQ1" s="926"/>
      <c r="HR1" s="926"/>
      <c r="HS1" s="926"/>
      <c r="HT1" s="926"/>
      <c r="HU1" s="926"/>
      <c r="HV1" s="926"/>
      <c r="HW1" s="926"/>
      <c r="HX1" s="926"/>
      <c r="HY1" s="926"/>
      <c r="HZ1" s="926"/>
      <c r="IA1" s="926"/>
      <c r="IB1" s="926"/>
      <c r="IC1" s="926"/>
      <c r="ID1" s="926"/>
      <c r="IE1" s="926"/>
      <c r="IF1" s="926"/>
      <c r="IG1" s="926"/>
      <c r="IH1" s="926"/>
      <c r="II1" s="926"/>
      <c r="IJ1" s="926"/>
      <c r="IK1" s="926"/>
      <c r="IL1" s="926"/>
      <c r="IM1" s="926"/>
      <c r="IN1" s="926"/>
      <c r="IO1" s="926"/>
      <c r="IP1" s="926"/>
      <c r="IQ1" s="926"/>
      <c r="IR1" s="926"/>
      <c r="IS1" s="926"/>
      <c r="IT1" s="926"/>
      <c r="IU1" s="926"/>
      <c r="IV1" s="926"/>
      <c r="IW1" s="926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918"/>
      <c r="C2" s="919"/>
      <c r="D2" s="920"/>
      <c r="E2" s="921"/>
      <c r="F2" s="921"/>
      <c r="G2" s="921"/>
      <c r="H2" s="922"/>
      <c r="I2" s="921"/>
      <c r="J2" s="921"/>
      <c r="K2" s="923"/>
      <c r="L2" s="921"/>
      <c r="M2" s="921"/>
      <c r="N2" s="921"/>
      <c r="O2" s="921"/>
      <c r="P2" s="921"/>
      <c r="Q2" s="921"/>
      <c r="R2" s="921"/>
      <c r="S2" s="924"/>
      <c r="T2" s="921"/>
      <c r="U2" s="921"/>
      <c r="V2" s="921"/>
      <c r="W2" s="921"/>
      <c r="X2" s="921"/>
      <c r="Y2" s="921"/>
      <c r="Z2" s="925"/>
      <c r="AA2" s="925"/>
      <c r="AB2" s="920"/>
      <c r="AC2" s="926"/>
      <c r="AD2" s="926"/>
      <c r="AE2" s="926"/>
      <c r="AF2" s="926"/>
      <c r="AG2" s="926"/>
      <c r="AH2" s="926"/>
      <c r="AI2" s="926"/>
      <c r="AJ2" s="926"/>
      <c r="AK2" s="926"/>
      <c r="AL2" s="926"/>
      <c r="AM2" s="926"/>
      <c r="AN2" s="926"/>
      <c r="AO2" s="926"/>
      <c r="AP2" s="926"/>
      <c r="AQ2" s="926"/>
      <c r="AR2" s="926"/>
      <c r="AS2" s="926"/>
      <c r="AT2" s="926"/>
      <c r="AU2" s="926"/>
      <c r="AV2" s="926"/>
      <c r="AW2" s="926"/>
      <c r="AX2" s="926"/>
      <c r="AY2" s="926"/>
      <c r="AZ2" s="926"/>
      <c r="BA2" s="926"/>
      <c r="BB2" s="926"/>
      <c r="BC2" s="926"/>
      <c r="BD2" s="926"/>
      <c r="BE2" s="926"/>
      <c r="BF2" s="926"/>
      <c r="BG2" s="926"/>
      <c r="BH2" s="926"/>
      <c r="BI2" s="926"/>
      <c r="BJ2" s="926"/>
      <c r="BK2" s="926"/>
      <c r="BL2" s="926"/>
      <c r="BM2" s="926"/>
      <c r="BN2" s="926"/>
      <c r="BO2" s="926"/>
      <c r="BP2" s="926"/>
      <c r="BQ2" s="926"/>
      <c r="BR2" s="926"/>
      <c r="BS2" s="926"/>
      <c r="BT2" s="926"/>
      <c r="BU2" s="926"/>
      <c r="BV2" s="926"/>
      <c r="BW2" s="926"/>
      <c r="BX2" s="926"/>
      <c r="BY2" s="926"/>
      <c r="BZ2" s="926"/>
      <c r="CA2" s="926"/>
      <c r="CB2" s="926"/>
      <c r="CC2" s="926"/>
      <c r="CD2" s="926"/>
      <c r="CE2" s="926"/>
      <c r="CF2" s="926"/>
      <c r="CG2" s="926"/>
      <c r="CH2" s="926"/>
      <c r="CI2" s="926"/>
      <c r="CJ2" s="926"/>
      <c r="CK2" s="926"/>
      <c r="CL2" s="926"/>
      <c r="CM2" s="926"/>
      <c r="CN2" s="926"/>
      <c r="CO2" s="926"/>
      <c r="CP2" s="926"/>
      <c r="CQ2" s="926"/>
      <c r="CR2" s="926"/>
      <c r="CS2" s="926"/>
      <c r="CT2" s="926"/>
      <c r="CU2" s="926"/>
      <c r="CV2" s="926"/>
      <c r="CW2" s="926"/>
      <c r="CX2" s="926"/>
      <c r="CY2" s="926"/>
      <c r="CZ2" s="926"/>
      <c r="DA2" s="926"/>
      <c r="DB2" s="926"/>
      <c r="DC2" s="926"/>
      <c r="DD2" s="926"/>
      <c r="DE2" s="926"/>
      <c r="DF2" s="926"/>
      <c r="DG2" s="926"/>
      <c r="DH2" s="926"/>
      <c r="DI2" s="926"/>
      <c r="DJ2" s="926"/>
      <c r="DK2" s="926"/>
      <c r="DL2" s="926"/>
      <c r="DM2" s="926"/>
      <c r="DN2" s="926"/>
      <c r="DO2" s="926"/>
      <c r="DP2" s="926"/>
      <c r="DQ2" s="926"/>
      <c r="DR2" s="926"/>
      <c r="DS2" s="926"/>
      <c r="DT2" s="926"/>
      <c r="DU2" s="926"/>
      <c r="DV2" s="926"/>
      <c r="DW2" s="926"/>
      <c r="DX2" s="926"/>
      <c r="DY2" s="926"/>
      <c r="DZ2" s="926"/>
      <c r="EA2" s="926"/>
      <c r="EB2" s="926"/>
      <c r="EC2" s="926"/>
      <c r="ED2" s="926"/>
      <c r="EE2" s="926"/>
      <c r="EF2" s="926"/>
      <c r="EG2" s="926"/>
      <c r="EH2" s="926"/>
      <c r="EI2" s="926"/>
      <c r="EJ2" s="926"/>
      <c r="EK2" s="926"/>
      <c r="EL2" s="926"/>
      <c r="EM2" s="926"/>
      <c r="EN2" s="926"/>
      <c r="EO2" s="926"/>
      <c r="EP2" s="926"/>
      <c r="EQ2" s="926"/>
      <c r="ER2" s="926"/>
      <c r="ES2" s="926"/>
      <c r="ET2" s="926"/>
      <c r="EU2" s="926"/>
      <c r="EV2" s="926"/>
      <c r="EW2" s="926"/>
      <c r="EX2" s="926"/>
      <c r="EY2" s="926"/>
      <c r="EZ2" s="926"/>
      <c r="FA2" s="926"/>
      <c r="FB2" s="926"/>
      <c r="FC2" s="926"/>
      <c r="FD2" s="926"/>
      <c r="FE2" s="926"/>
      <c r="FF2" s="926"/>
      <c r="FG2" s="926"/>
      <c r="FH2" s="926"/>
      <c r="FI2" s="926"/>
      <c r="FJ2" s="926"/>
      <c r="FK2" s="926"/>
      <c r="FL2" s="926"/>
      <c r="FM2" s="926"/>
      <c r="FN2" s="926"/>
      <c r="FO2" s="926"/>
      <c r="FP2" s="926"/>
      <c r="FQ2" s="926"/>
      <c r="FR2" s="926"/>
      <c r="FS2" s="926"/>
      <c r="FT2" s="926"/>
      <c r="FU2" s="926"/>
      <c r="FV2" s="926"/>
      <c r="FW2" s="926"/>
      <c r="FX2" s="926"/>
      <c r="FY2" s="926"/>
      <c r="FZ2" s="926"/>
      <c r="GA2" s="926"/>
      <c r="GB2" s="926"/>
      <c r="GC2" s="926"/>
      <c r="GD2" s="926"/>
      <c r="GE2" s="926"/>
      <c r="GF2" s="926"/>
      <c r="GG2" s="926"/>
      <c r="GH2" s="926"/>
      <c r="GI2" s="926"/>
      <c r="GJ2" s="926"/>
      <c r="GK2" s="926"/>
      <c r="GL2" s="926"/>
      <c r="GM2" s="926"/>
      <c r="GN2" s="926"/>
      <c r="GO2" s="926"/>
      <c r="GP2" s="926"/>
      <c r="GQ2" s="926"/>
      <c r="GR2" s="926"/>
      <c r="GS2" s="926"/>
      <c r="GT2" s="926"/>
      <c r="GU2" s="926"/>
      <c r="GV2" s="926"/>
      <c r="GW2" s="926"/>
      <c r="GX2" s="926"/>
      <c r="GY2" s="926"/>
      <c r="GZ2" s="926"/>
      <c r="HA2" s="926"/>
      <c r="HB2" s="926"/>
      <c r="HC2" s="926"/>
      <c r="HD2" s="926"/>
      <c r="HE2" s="926"/>
      <c r="HF2" s="926"/>
      <c r="HG2" s="926"/>
      <c r="HH2" s="926"/>
      <c r="HI2" s="926"/>
      <c r="HJ2" s="926"/>
      <c r="HK2" s="926"/>
      <c r="HL2" s="926"/>
      <c r="HM2" s="926"/>
      <c r="HN2" s="926"/>
      <c r="HO2" s="926"/>
      <c r="HP2" s="926"/>
      <c r="HQ2" s="926"/>
      <c r="HR2" s="926"/>
      <c r="HS2" s="926"/>
      <c r="HT2" s="926"/>
      <c r="HU2" s="926"/>
      <c r="HV2" s="926"/>
      <c r="HW2" s="926"/>
      <c r="HX2" s="926"/>
      <c r="HY2" s="926"/>
      <c r="HZ2" s="926"/>
      <c r="IA2" s="926"/>
      <c r="IB2" s="926"/>
      <c r="IC2" s="926"/>
      <c r="ID2" s="926"/>
      <c r="IE2" s="926"/>
      <c r="IF2" s="926"/>
      <c r="IG2" s="926"/>
      <c r="IH2" s="926"/>
      <c r="II2" s="926"/>
      <c r="IJ2" s="926"/>
      <c r="IK2" s="926"/>
      <c r="IL2" s="926"/>
      <c r="IM2" s="926"/>
      <c r="IN2" s="926"/>
      <c r="IO2" s="926"/>
      <c r="IP2" s="926"/>
      <c r="IQ2" s="926"/>
      <c r="IR2" s="926"/>
      <c r="IS2" s="926"/>
      <c r="IT2" s="926"/>
      <c r="IU2" s="926"/>
      <c r="IV2" s="926"/>
      <c r="IW2" s="926"/>
    </row>
    <row r="3" customFormat="false" ht="15.75" hidden="false" customHeight="false" outlineLevel="0" collapsed="false">
      <c r="A3" s="927" t="str">
        <f aca="false">Assm!A3</f>
        <v>ENRON INTERNATIONAL</v>
      </c>
      <c r="B3" s="927"/>
      <c r="C3" s="919"/>
      <c r="D3" s="920"/>
      <c r="E3" s="921"/>
      <c r="F3" s="928"/>
      <c r="G3" s="921"/>
      <c r="H3" s="922"/>
      <c r="I3" s="921"/>
      <c r="J3" s="921"/>
      <c r="K3" s="923"/>
      <c r="L3" s="921"/>
      <c r="M3" s="921"/>
      <c r="N3" s="921"/>
      <c r="O3" s="921"/>
      <c r="P3" s="921"/>
      <c r="Q3" s="921"/>
      <c r="R3" s="921"/>
      <c r="S3" s="921"/>
      <c r="T3" s="929"/>
      <c r="U3" s="929"/>
      <c r="V3" s="921"/>
      <c r="W3" s="921"/>
      <c r="X3" s="921"/>
      <c r="Y3" s="921"/>
      <c r="Z3" s="925"/>
      <c r="AA3" s="925"/>
      <c r="AB3" s="920"/>
      <c r="AC3" s="926"/>
      <c r="AD3" s="926"/>
      <c r="AE3" s="926"/>
      <c r="AF3" s="926"/>
      <c r="AG3" s="926"/>
      <c r="AH3" s="926"/>
      <c r="AI3" s="926"/>
      <c r="AJ3" s="926"/>
      <c r="AK3" s="926"/>
      <c r="AL3" s="926"/>
      <c r="AM3" s="926"/>
      <c r="AN3" s="926"/>
      <c r="AO3" s="926"/>
      <c r="AP3" s="926"/>
      <c r="AQ3" s="926"/>
      <c r="AR3" s="926"/>
      <c r="AS3" s="926"/>
      <c r="AT3" s="926"/>
      <c r="AU3" s="926"/>
      <c r="AV3" s="926"/>
      <c r="AW3" s="926"/>
      <c r="AX3" s="926"/>
      <c r="AY3" s="926"/>
      <c r="AZ3" s="926"/>
      <c r="BA3" s="926"/>
      <c r="BB3" s="926"/>
      <c r="BC3" s="926"/>
      <c r="BD3" s="926"/>
      <c r="BE3" s="926"/>
      <c r="BF3" s="926"/>
      <c r="BG3" s="926"/>
      <c r="BH3" s="926"/>
      <c r="BI3" s="926"/>
      <c r="BJ3" s="926"/>
      <c r="BK3" s="926"/>
      <c r="BL3" s="926"/>
      <c r="BM3" s="926"/>
      <c r="BN3" s="926"/>
      <c r="BO3" s="926"/>
      <c r="BP3" s="926"/>
      <c r="BQ3" s="926"/>
      <c r="BR3" s="926"/>
      <c r="BS3" s="926"/>
      <c r="BT3" s="926"/>
      <c r="BU3" s="926"/>
      <c r="BV3" s="926"/>
      <c r="BW3" s="926"/>
      <c r="BX3" s="926"/>
      <c r="BY3" s="926"/>
      <c r="BZ3" s="926"/>
      <c r="CA3" s="926"/>
      <c r="CB3" s="926"/>
      <c r="CC3" s="926"/>
      <c r="CD3" s="926"/>
      <c r="CE3" s="926"/>
      <c r="CF3" s="926"/>
      <c r="CG3" s="926"/>
      <c r="CH3" s="926"/>
      <c r="CI3" s="926"/>
      <c r="CJ3" s="926"/>
      <c r="CK3" s="926"/>
      <c r="CL3" s="926"/>
      <c r="CM3" s="926"/>
      <c r="CN3" s="926"/>
      <c r="CO3" s="926"/>
      <c r="CP3" s="926"/>
      <c r="CQ3" s="926"/>
      <c r="CR3" s="926"/>
      <c r="CS3" s="926"/>
      <c r="CT3" s="926"/>
      <c r="CU3" s="926"/>
      <c r="CV3" s="926"/>
      <c r="CW3" s="926"/>
      <c r="CX3" s="926"/>
      <c r="CY3" s="926"/>
      <c r="CZ3" s="926"/>
      <c r="DA3" s="926"/>
      <c r="DB3" s="926"/>
      <c r="DC3" s="926"/>
      <c r="DD3" s="926"/>
      <c r="DE3" s="926"/>
      <c r="DF3" s="926"/>
      <c r="DG3" s="926"/>
      <c r="DH3" s="926"/>
      <c r="DI3" s="926"/>
      <c r="DJ3" s="926"/>
      <c r="DK3" s="926"/>
      <c r="DL3" s="926"/>
      <c r="DM3" s="926"/>
      <c r="DN3" s="926"/>
      <c r="DO3" s="926"/>
      <c r="DP3" s="926"/>
      <c r="DQ3" s="926"/>
      <c r="DR3" s="926"/>
      <c r="DS3" s="926"/>
      <c r="DT3" s="926"/>
      <c r="DU3" s="926"/>
      <c r="DV3" s="926"/>
      <c r="DW3" s="926"/>
      <c r="DX3" s="926"/>
      <c r="DY3" s="926"/>
      <c r="DZ3" s="926"/>
      <c r="EA3" s="926"/>
      <c r="EB3" s="926"/>
      <c r="EC3" s="926"/>
      <c r="ED3" s="926"/>
      <c r="EE3" s="926"/>
      <c r="EF3" s="926"/>
      <c r="EG3" s="926"/>
      <c r="EH3" s="926"/>
      <c r="EI3" s="926"/>
      <c r="EJ3" s="926"/>
      <c r="EK3" s="926"/>
      <c r="EL3" s="926"/>
      <c r="EM3" s="926"/>
      <c r="EN3" s="926"/>
      <c r="EO3" s="926"/>
      <c r="EP3" s="926"/>
      <c r="EQ3" s="926"/>
      <c r="ER3" s="926"/>
      <c r="ES3" s="926"/>
      <c r="ET3" s="926"/>
      <c r="EU3" s="926"/>
      <c r="EV3" s="926"/>
      <c r="EW3" s="926"/>
      <c r="EX3" s="926"/>
      <c r="EY3" s="926"/>
      <c r="EZ3" s="926"/>
      <c r="FA3" s="926"/>
      <c r="FB3" s="926"/>
      <c r="FC3" s="926"/>
      <c r="FD3" s="926"/>
      <c r="FE3" s="926"/>
      <c r="FF3" s="926"/>
      <c r="FG3" s="926"/>
      <c r="FH3" s="926"/>
      <c r="FI3" s="926"/>
      <c r="FJ3" s="926"/>
      <c r="FK3" s="926"/>
      <c r="FL3" s="926"/>
      <c r="FM3" s="926"/>
      <c r="FN3" s="926"/>
      <c r="FO3" s="926"/>
      <c r="FP3" s="926"/>
      <c r="FQ3" s="926"/>
      <c r="FR3" s="926"/>
      <c r="FS3" s="926"/>
      <c r="FT3" s="926"/>
      <c r="FU3" s="926"/>
      <c r="FV3" s="926"/>
      <c r="FW3" s="926"/>
      <c r="FX3" s="926"/>
      <c r="FY3" s="926"/>
      <c r="FZ3" s="926"/>
      <c r="GA3" s="926"/>
      <c r="GB3" s="926"/>
      <c r="GC3" s="926"/>
      <c r="GD3" s="926"/>
      <c r="GE3" s="926"/>
      <c r="GF3" s="926"/>
      <c r="GG3" s="926"/>
      <c r="GH3" s="926"/>
      <c r="GI3" s="926"/>
      <c r="GJ3" s="926"/>
      <c r="GK3" s="926"/>
      <c r="GL3" s="926"/>
      <c r="GM3" s="926"/>
      <c r="GN3" s="926"/>
      <c r="GO3" s="926"/>
      <c r="GP3" s="926"/>
      <c r="GQ3" s="926"/>
      <c r="GR3" s="926"/>
      <c r="GS3" s="926"/>
      <c r="GT3" s="926"/>
      <c r="GU3" s="926"/>
      <c r="GV3" s="926"/>
      <c r="GW3" s="926"/>
      <c r="GX3" s="926"/>
      <c r="GY3" s="926"/>
      <c r="GZ3" s="926"/>
      <c r="HA3" s="926"/>
      <c r="HB3" s="926"/>
      <c r="HC3" s="926"/>
      <c r="HD3" s="926"/>
      <c r="HE3" s="926"/>
      <c r="HF3" s="926"/>
      <c r="HG3" s="926"/>
      <c r="HH3" s="926"/>
      <c r="HI3" s="926"/>
      <c r="HJ3" s="926"/>
      <c r="HK3" s="926"/>
      <c r="HL3" s="926"/>
      <c r="HM3" s="926"/>
      <c r="HN3" s="926"/>
      <c r="HO3" s="926"/>
      <c r="HP3" s="926"/>
      <c r="HQ3" s="926"/>
      <c r="HR3" s="926"/>
      <c r="HS3" s="926"/>
      <c r="HT3" s="926"/>
      <c r="HU3" s="926"/>
      <c r="HV3" s="926"/>
      <c r="HW3" s="926"/>
      <c r="HX3" s="926"/>
      <c r="HY3" s="926"/>
      <c r="HZ3" s="926"/>
      <c r="IA3" s="926"/>
      <c r="IB3" s="926"/>
      <c r="IC3" s="926"/>
      <c r="ID3" s="926"/>
      <c r="IE3" s="926"/>
      <c r="IF3" s="926"/>
      <c r="IG3" s="926"/>
      <c r="IH3" s="926"/>
      <c r="II3" s="926"/>
      <c r="IJ3" s="926"/>
      <c r="IK3" s="926"/>
      <c r="IL3" s="926"/>
      <c r="IM3" s="926"/>
      <c r="IN3" s="926"/>
      <c r="IO3" s="926"/>
      <c r="IP3" s="926"/>
      <c r="IQ3" s="926"/>
      <c r="IR3" s="926"/>
      <c r="IS3" s="926"/>
      <c r="IT3" s="926"/>
      <c r="IU3" s="926"/>
      <c r="IV3" s="926"/>
      <c r="IW3" s="926"/>
    </row>
    <row r="4" customFormat="false" ht="15.75" hidden="false" customHeight="false" outlineLevel="0" collapsed="false">
      <c r="A4" s="930" t="s">
        <v>1294</v>
      </c>
      <c r="B4" s="930"/>
      <c r="C4" s="931"/>
      <c r="D4" s="920"/>
      <c r="E4" s="921"/>
      <c r="F4" s="928"/>
      <c r="G4" s="921"/>
      <c r="H4" s="922"/>
      <c r="I4" s="921"/>
      <c r="J4" s="921"/>
      <c r="K4" s="923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5"/>
      <c r="AA4" s="925"/>
      <c r="AB4" s="920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926"/>
      <c r="DE4" s="926"/>
      <c r="DF4" s="926"/>
      <c r="DG4" s="926"/>
      <c r="DH4" s="926"/>
      <c r="DI4" s="926"/>
      <c r="DJ4" s="926"/>
      <c r="DK4" s="926"/>
      <c r="DL4" s="926"/>
      <c r="DM4" s="926"/>
      <c r="DN4" s="926"/>
      <c r="DO4" s="926"/>
      <c r="DP4" s="926"/>
      <c r="DQ4" s="926"/>
      <c r="DR4" s="926"/>
      <c r="DS4" s="926"/>
      <c r="DT4" s="926"/>
      <c r="DU4" s="926"/>
      <c r="DV4" s="926"/>
      <c r="DW4" s="926"/>
      <c r="DX4" s="926"/>
      <c r="DY4" s="926"/>
      <c r="DZ4" s="926"/>
      <c r="EA4" s="926"/>
      <c r="EB4" s="926"/>
      <c r="EC4" s="926"/>
      <c r="ED4" s="926"/>
      <c r="EE4" s="926"/>
      <c r="EF4" s="926"/>
      <c r="EG4" s="926"/>
      <c r="EH4" s="926"/>
      <c r="EI4" s="926"/>
      <c r="EJ4" s="926"/>
      <c r="EK4" s="926"/>
      <c r="EL4" s="926"/>
      <c r="EM4" s="926"/>
      <c r="EN4" s="926"/>
      <c r="EO4" s="926"/>
      <c r="EP4" s="926"/>
      <c r="EQ4" s="926"/>
      <c r="ER4" s="926"/>
      <c r="ES4" s="926"/>
      <c r="ET4" s="926"/>
      <c r="EU4" s="926"/>
      <c r="EV4" s="926"/>
      <c r="EW4" s="926"/>
      <c r="EX4" s="926"/>
      <c r="EY4" s="926"/>
      <c r="EZ4" s="926"/>
      <c r="FA4" s="926"/>
      <c r="FB4" s="926"/>
      <c r="FC4" s="926"/>
      <c r="FD4" s="926"/>
      <c r="FE4" s="926"/>
      <c r="FF4" s="926"/>
      <c r="FG4" s="926"/>
      <c r="FH4" s="926"/>
      <c r="FI4" s="926"/>
      <c r="FJ4" s="926"/>
      <c r="FK4" s="926"/>
      <c r="FL4" s="926"/>
      <c r="FM4" s="926"/>
      <c r="FN4" s="926"/>
      <c r="FO4" s="926"/>
      <c r="FP4" s="926"/>
      <c r="FQ4" s="926"/>
      <c r="FR4" s="926"/>
      <c r="FS4" s="926"/>
      <c r="FT4" s="926"/>
      <c r="FU4" s="926"/>
      <c r="FV4" s="926"/>
      <c r="FW4" s="926"/>
      <c r="FX4" s="926"/>
      <c r="FY4" s="926"/>
      <c r="FZ4" s="926"/>
      <c r="GA4" s="926"/>
      <c r="GB4" s="926"/>
      <c r="GC4" s="926"/>
      <c r="GD4" s="926"/>
      <c r="GE4" s="926"/>
      <c r="GF4" s="926"/>
      <c r="GG4" s="926"/>
      <c r="GH4" s="926"/>
      <c r="GI4" s="926"/>
      <c r="GJ4" s="926"/>
      <c r="GK4" s="926"/>
      <c r="GL4" s="926"/>
      <c r="GM4" s="926"/>
      <c r="GN4" s="926"/>
      <c r="GO4" s="926"/>
      <c r="GP4" s="926"/>
      <c r="GQ4" s="926"/>
      <c r="GR4" s="926"/>
      <c r="GS4" s="926"/>
      <c r="GT4" s="926"/>
      <c r="GU4" s="926"/>
      <c r="GV4" s="926"/>
      <c r="GW4" s="926"/>
      <c r="GX4" s="926"/>
      <c r="GY4" s="926"/>
      <c r="GZ4" s="926"/>
      <c r="HA4" s="926"/>
      <c r="HB4" s="926"/>
      <c r="HC4" s="926"/>
      <c r="HD4" s="926"/>
      <c r="HE4" s="926"/>
      <c r="HF4" s="926"/>
      <c r="HG4" s="926"/>
      <c r="HH4" s="926"/>
      <c r="HI4" s="926"/>
      <c r="HJ4" s="926"/>
      <c r="HK4" s="926"/>
      <c r="HL4" s="926"/>
      <c r="HM4" s="926"/>
      <c r="HN4" s="926"/>
      <c r="HO4" s="926"/>
      <c r="HP4" s="926"/>
      <c r="HQ4" s="926"/>
      <c r="HR4" s="926"/>
      <c r="HS4" s="926"/>
      <c r="HT4" s="926"/>
      <c r="HU4" s="926"/>
      <c r="HV4" s="926"/>
      <c r="HW4" s="926"/>
      <c r="HX4" s="926"/>
      <c r="HY4" s="926"/>
      <c r="HZ4" s="926"/>
      <c r="IA4" s="926"/>
      <c r="IB4" s="926"/>
      <c r="IC4" s="926"/>
      <c r="ID4" s="926"/>
      <c r="IE4" s="926"/>
      <c r="IF4" s="926"/>
      <c r="IG4" s="926"/>
      <c r="IH4" s="926"/>
      <c r="II4" s="926"/>
      <c r="IJ4" s="926"/>
      <c r="IK4" s="926"/>
      <c r="IL4" s="926"/>
      <c r="IM4" s="926"/>
      <c r="IN4" s="926"/>
      <c r="IO4" s="926"/>
      <c r="IP4" s="926"/>
      <c r="IQ4" s="926"/>
      <c r="IR4" s="926"/>
      <c r="IS4" s="926"/>
      <c r="IT4" s="926"/>
      <c r="IU4" s="926"/>
      <c r="IV4" s="926"/>
      <c r="IW4" s="926"/>
    </row>
    <row r="5" customFormat="false" ht="13.5" hidden="false" customHeight="false" outlineLevel="0" collapsed="false">
      <c r="A5" s="920"/>
      <c r="B5" s="920"/>
      <c r="C5" s="920"/>
      <c r="D5" s="920"/>
      <c r="E5" s="925"/>
      <c r="F5" s="925"/>
      <c r="G5" s="925"/>
      <c r="H5" s="925"/>
      <c r="I5" s="925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5"/>
      <c r="AB5" s="920"/>
      <c r="AC5" s="926"/>
      <c r="AD5" s="926"/>
      <c r="AE5" s="926"/>
      <c r="AF5" s="926"/>
      <c r="AG5" s="926"/>
      <c r="AH5" s="926"/>
      <c r="AI5" s="926"/>
      <c r="AJ5" s="926"/>
      <c r="AK5" s="926"/>
      <c r="AL5" s="926"/>
      <c r="AM5" s="926"/>
      <c r="AN5" s="926"/>
      <c r="AO5" s="926"/>
      <c r="AP5" s="926"/>
      <c r="AQ5" s="926"/>
      <c r="AR5" s="926"/>
      <c r="AS5" s="926"/>
      <c r="AT5" s="926"/>
      <c r="AU5" s="926"/>
      <c r="AV5" s="926"/>
      <c r="AW5" s="926"/>
      <c r="AX5" s="926"/>
      <c r="AY5" s="926"/>
      <c r="AZ5" s="926"/>
      <c r="BA5" s="926"/>
      <c r="BB5" s="926"/>
      <c r="BC5" s="926"/>
      <c r="BD5" s="926"/>
      <c r="BE5" s="926"/>
      <c r="BF5" s="926"/>
      <c r="BG5" s="926"/>
      <c r="BH5" s="926"/>
      <c r="BI5" s="926"/>
      <c r="BJ5" s="926"/>
      <c r="BK5" s="926"/>
      <c r="BL5" s="926"/>
      <c r="BM5" s="926"/>
      <c r="BN5" s="926"/>
      <c r="BO5" s="926"/>
      <c r="BP5" s="926"/>
      <c r="BQ5" s="926"/>
      <c r="BR5" s="926"/>
      <c r="BS5" s="926"/>
      <c r="BT5" s="926"/>
      <c r="BU5" s="926"/>
      <c r="BV5" s="926"/>
      <c r="BW5" s="926"/>
      <c r="BX5" s="926"/>
      <c r="BY5" s="926"/>
      <c r="BZ5" s="926"/>
      <c r="CA5" s="926"/>
      <c r="CB5" s="926"/>
      <c r="CC5" s="926"/>
      <c r="CD5" s="926"/>
      <c r="CE5" s="926"/>
      <c r="CF5" s="926"/>
      <c r="CG5" s="926"/>
      <c r="CH5" s="926"/>
      <c r="CI5" s="926"/>
      <c r="CJ5" s="926"/>
      <c r="CK5" s="926"/>
      <c r="CL5" s="926"/>
      <c r="CM5" s="926"/>
      <c r="CN5" s="926"/>
      <c r="CO5" s="926"/>
      <c r="CP5" s="926"/>
      <c r="CQ5" s="926"/>
      <c r="CR5" s="926"/>
      <c r="CS5" s="926"/>
      <c r="CT5" s="926"/>
      <c r="CU5" s="926"/>
      <c r="CV5" s="926"/>
      <c r="CW5" s="926"/>
      <c r="CX5" s="926"/>
      <c r="CY5" s="926"/>
      <c r="CZ5" s="926"/>
      <c r="DA5" s="926"/>
      <c r="DB5" s="926"/>
      <c r="DC5" s="926"/>
      <c r="DD5" s="926"/>
      <c r="DE5" s="926"/>
      <c r="DF5" s="926"/>
      <c r="DG5" s="926"/>
      <c r="DH5" s="926"/>
      <c r="DI5" s="926"/>
      <c r="DJ5" s="926"/>
      <c r="DK5" s="926"/>
      <c r="DL5" s="926"/>
      <c r="DM5" s="926"/>
      <c r="DN5" s="926"/>
      <c r="DO5" s="926"/>
      <c r="DP5" s="926"/>
      <c r="DQ5" s="926"/>
      <c r="DR5" s="926"/>
      <c r="DS5" s="926"/>
      <c r="DT5" s="926"/>
      <c r="DU5" s="926"/>
      <c r="DV5" s="926"/>
      <c r="DW5" s="926"/>
      <c r="DX5" s="926"/>
      <c r="DY5" s="926"/>
      <c r="DZ5" s="926"/>
      <c r="EA5" s="926"/>
      <c r="EB5" s="926"/>
      <c r="EC5" s="926"/>
      <c r="ED5" s="926"/>
      <c r="EE5" s="926"/>
      <c r="EF5" s="926"/>
      <c r="EG5" s="926"/>
      <c r="EH5" s="926"/>
      <c r="EI5" s="926"/>
      <c r="EJ5" s="926"/>
      <c r="EK5" s="926"/>
      <c r="EL5" s="926"/>
      <c r="EM5" s="926"/>
      <c r="EN5" s="926"/>
      <c r="EO5" s="926"/>
      <c r="EP5" s="926"/>
      <c r="EQ5" s="926"/>
      <c r="ER5" s="926"/>
      <c r="ES5" s="926"/>
      <c r="ET5" s="926"/>
      <c r="EU5" s="926"/>
      <c r="EV5" s="926"/>
      <c r="EW5" s="926"/>
      <c r="EX5" s="926"/>
      <c r="EY5" s="926"/>
      <c r="EZ5" s="926"/>
      <c r="FA5" s="926"/>
      <c r="FB5" s="926"/>
      <c r="FC5" s="926"/>
      <c r="FD5" s="926"/>
      <c r="FE5" s="926"/>
      <c r="FF5" s="926"/>
      <c r="FG5" s="926"/>
      <c r="FH5" s="926"/>
      <c r="FI5" s="926"/>
      <c r="FJ5" s="926"/>
      <c r="FK5" s="926"/>
      <c r="FL5" s="926"/>
      <c r="FM5" s="926"/>
      <c r="FN5" s="926"/>
      <c r="FO5" s="926"/>
      <c r="FP5" s="926"/>
      <c r="FQ5" s="926"/>
      <c r="FR5" s="926"/>
      <c r="FS5" s="926"/>
      <c r="FT5" s="926"/>
      <c r="FU5" s="926"/>
      <c r="FV5" s="926"/>
      <c r="FW5" s="926"/>
      <c r="FX5" s="926"/>
      <c r="FY5" s="926"/>
      <c r="FZ5" s="926"/>
      <c r="GA5" s="926"/>
      <c r="GB5" s="926"/>
      <c r="GC5" s="926"/>
      <c r="GD5" s="926"/>
      <c r="GE5" s="926"/>
      <c r="GF5" s="926"/>
      <c r="GG5" s="926"/>
      <c r="GH5" s="926"/>
      <c r="GI5" s="926"/>
      <c r="GJ5" s="926"/>
      <c r="GK5" s="926"/>
      <c r="GL5" s="926"/>
      <c r="GM5" s="926"/>
      <c r="GN5" s="926"/>
      <c r="GO5" s="926"/>
      <c r="GP5" s="926"/>
      <c r="GQ5" s="926"/>
      <c r="GR5" s="926"/>
      <c r="GS5" s="926"/>
      <c r="GT5" s="926"/>
      <c r="GU5" s="926"/>
      <c r="GV5" s="926"/>
      <c r="GW5" s="926"/>
      <c r="GX5" s="926"/>
      <c r="GY5" s="926"/>
      <c r="GZ5" s="926"/>
      <c r="HA5" s="926"/>
      <c r="HB5" s="926"/>
      <c r="HC5" s="926"/>
      <c r="HD5" s="926"/>
      <c r="HE5" s="926"/>
      <c r="HF5" s="926"/>
      <c r="HG5" s="926"/>
      <c r="HH5" s="926"/>
      <c r="HI5" s="926"/>
      <c r="HJ5" s="926"/>
      <c r="HK5" s="926"/>
      <c r="HL5" s="926"/>
      <c r="HM5" s="926"/>
      <c r="HN5" s="926"/>
      <c r="HO5" s="926"/>
      <c r="HP5" s="926"/>
      <c r="HQ5" s="926"/>
      <c r="HR5" s="926"/>
      <c r="HS5" s="926"/>
      <c r="HT5" s="926"/>
      <c r="HU5" s="926"/>
      <c r="HV5" s="926"/>
      <c r="HW5" s="926"/>
      <c r="HX5" s="926"/>
      <c r="HY5" s="926"/>
      <c r="HZ5" s="926"/>
      <c r="IA5" s="926"/>
      <c r="IB5" s="926"/>
      <c r="IC5" s="926"/>
      <c r="ID5" s="926"/>
      <c r="IE5" s="926"/>
      <c r="IF5" s="926"/>
      <c r="IG5" s="926"/>
      <c r="IH5" s="926"/>
      <c r="II5" s="926"/>
      <c r="IJ5" s="926"/>
      <c r="IK5" s="926"/>
      <c r="IL5" s="926"/>
      <c r="IM5" s="926"/>
      <c r="IN5" s="926"/>
      <c r="IO5" s="926"/>
      <c r="IP5" s="926"/>
      <c r="IQ5" s="926"/>
      <c r="IR5" s="926"/>
      <c r="IS5" s="926"/>
      <c r="IT5" s="926"/>
      <c r="IU5" s="926"/>
      <c r="IV5" s="926"/>
      <c r="IW5" s="926"/>
    </row>
    <row r="6" customFormat="false" ht="12.75" hidden="false" customHeight="false" outlineLevel="0" collapsed="false">
      <c r="A6" s="932" t="s">
        <v>1295</v>
      </c>
      <c r="B6" s="933"/>
      <c r="C6" s="933"/>
      <c r="D6" s="933"/>
      <c r="E6" s="934" t="n">
        <v>1</v>
      </c>
      <c r="F6" s="933" t="n">
        <f aca="false">E6+1</f>
        <v>2</v>
      </c>
      <c r="G6" s="933" t="n">
        <f aca="false">F6+1</f>
        <v>3</v>
      </c>
      <c r="H6" s="933" t="n">
        <f aca="false">G6+1</f>
        <v>4</v>
      </c>
      <c r="I6" s="933" t="n">
        <f aca="false">H6+1</f>
        <v>5</v>
      </c>
      <c r="J6" s="933" t="n">
        <f aca="false">I6+1</f>
        <v>6</v>
      </c>
      <c r="K6" s="933" t="n">
        <f aca="false">J6+1</f>
        <v>7</v>
      </c>
      <c r="L6" s="933" t="n">
        <f aca="false">K6+1</f>
        <v>8</v>
      </c>
      <c r="M6" s="933" t="n">
        <f aca="false">L6+1</f>
        <v>9</v>
      </c>
      <c r="N6" s="933" t="n">
        <f aca="false">M6+1</f>
        <v>10</v>
      </c>
      <c r="O6" s="933" t="n">
        <f aca="false">N6+1</f>
        <v>11</v>
      </c>
      <c r="P6" s="933" t="n">
        <f aca="false">O6+1</f>
        <v>12</v>
      </c>
      <c r="Q6" s="933" t="n">
        <f aca="false">P6+1</f>
        <v>13</v>
      </c>
      <c r="R6" s="933" t="n">
        <f aca="false">Q6+1</f>
        <v>14</v>
      </c>
      <c r="S6" s="933" t="n">
        <f aca="false">R6+1</f>
        <v>15</v>
      </c>
      <c r="T6" s="933" t="n">
        <f aca="false">S6+1</f>
        <v>16</v>
      </c>
      <c r="U6" s="933" t="n">
        <f aca="false">T6+1</f>
        <v>17</v>
      </c>
      <c r="V6" s="933" t="n">
        <f aca="false">U6+1</f>
        <v>18</v>
      </c>
      <c r="W6" s="933" t="n">
        <f aca="false">V6+1</f>
        <v>19</v>
      </c>
      <c r="X6" s="933" t="n">
        <f aca="false">W6+1</f>
        <v>20</v>
      </c>
      <c r="Y6" s="933" t="n">
        <f aca="false">X6+1</f>
        <v>21</v>
      </c>
      <c r="Z6" s="933" t="n">
        <f aca="false">Y6+1</f>
        <v>22</v>
      </c>
      <c r="AA6" s="933" t="n">
        <f aca="false">Z6+1</f>
        <v>23</v>
      </c>
      <c r="AB6" s="933" t="n">
        <f aca="false">AA6+1</f>
        <v>24</v>
      </c>
      <c r="AC6" s="933" t="n">
        <f aca="false">AB6+1</f>
        <v>25</v>
      </c>
      <c r="AD6" s="933" t="n">
        <f aca="false">AC6+1</f>
        <v>26</v>
      </c>
      <c r="AE6" s="933" t="n">
        <f aca="false">AD6+1</f>
        <v>27</v>
      </c>
      <c r="AF6" s="933" t="n">
        <f aca="false">AE6+1</f>
        <v>28</v>
      </c>
      <c r="AG6" s="933" t="n">
        <f aca="false">AF6+1</f>
        <v>29</v>
      </c>
      <c r="AH6" s="933" t="n">
        <f aca="false">AG6+1</f>
        <v>30</v>
      </c>
      <c r="AI6" s="933" t="n">
        <f aca="false">AH6+1</f>
        <v>31</v>
      </c>
      <c r="AJ6" s="933" t="n">
        <f aca="false">AI6+1</f>
        <v>32</v>
      </c>
      <c r="AK6" s="933" t="n">
        <f aca="false">AJ6+1</f>
        <v>33</v>
      </c>
      <c r="AL6" s="933" t="n">
        <f aca="false">AK6+1</f>
        <v>34</v>
      </c>
      <c r="AM6" s="933" t="n">
        <f aca="false">AL6+1</f>
        <v>35</v>
      </c>
      <c r="AN6" s="933" t="n">
        <f aca="false">AM6+1</f>
        <v>36</v>
      </c>
      <c r="AO6" s="933" t="n">
        <f aca="false">AN6+1</f>
        <v>37</v>
      </c>
      <c r="AP6" s="933" t="n">
        <f aca="false">AO6+1</f>
        <v>38</v>
      </c>
      <c r="AQ6" s="933" t="n">
        <f aca="false">AP6+1</f>
        <v>39</v>
      </c>
      <c r="AR6" s="933" t="n">
        <f aca="false">AQ6+1</f>
        <v>40</v>
      </c>
      <c r="AS6" s="933" t="n">
        <f aca="false">AR6+1</f>
        <v>41</v>
      </c>
      <c r="AT6" s="933" t="n">
        <f aca="false">AS6+1</f>
        <v>42</v>
      </c>
      <c r="AU6" s="933" t="n">
        <f aca="false">AT6+1</f>
        <v>43</v>
      </c>
      <c r="AV6" s="933" t="n">
        <f aca="false">AU6+1</f>
        <v>44</v>
      </c>
      <c r="AW6" s="933" t="n">
        <f aca="false">AV6+1</f>
        <v>45</v>
      </c>
      <c r="AX6" s="933" t="n">
        <f aca="false">AW6+1</f>
        <v>46</v>
      </c>
      <c r="AY6" s="933" t="n">
        <f aca="false">AX6+1</f>
        <v>47</v>
      </c>
      <c r="AZ6" s="935"/>
      <c r="BA6" s="936"/>
      <c r="BB6" s="937"/>
      <c r="BC6" s="937"/>
      <c r="BD6" s="937"/>
      <c r="BE6" s="937"/>
      <c r="BF6" s="937"/>
      <c r="BG6" s="937"/>
      <c r="BH6" s="937"/>
      <c r="BI6" s="937"/>
      <c r="BJ6" s="937"/>
      <c r="BK6" s="937"/>
      <c r="BL6" s="937"/>
      <c r="BM6" s="937"/>
      <c r="BN6" s="937"/>
      <c r="BO6" s="937"/>
      <c r="BP6" s="937"/>
      <c r="BQ6" s="937"/>
      <c r="BR6" s="937"/>
      <c r="BS6" s="937"/>
      <c r="BT6" s="937"/>
      <c r="BU6" s="937"/>
      <c r="BV6" s="937"/>
      <c r="BW6" s="937"/>
      <c r="BX6" s="937"/>
      <c r="BY6" s="937"/>
      <c r="BZ6" s="937"/>
      <c r="CA6" s="937"/>
      <c r="CB6" s="937"/>
      <c r="CC6" s="937"/>
      <c r="CD6" s="937"/>
      <c r="CE6" s="937"/>
      <c r="CF6" s="937"/>
      <c r="CG6" s="937"/>
      <c r="CH6" s="937"/>
      <c r="CI6" s="937"/>
      <c r="CJ6" s="937"/>
      <c r="CK6" s="937"/>
      <c r="CL6" s="937"/>
      <c r="CM6" s="937"/>
      <c r="CN6" s="937"/>
      <c r="CO6" s="937"/>
      <c r="CP6" s="937"/>
      <c r="CQ6" s="937"/>
      <c r="CR6" s="937"/>
      <c r="CS6" s="937"/>
      <c r="CT6" s="937"/>
      <c r="CU6" s="937"/>
      <c r="CV6" s="937"/>
      <c r="CW6" s="937"/>
      <c r="CX6" s="937"/>
      <c r="CY6" s="937"/>
      <c r="CZ6" s="937"/>
      <c r="DA6" s="937"/>
      <c r="DB6" s="937"/>
      <c r="DC6" s="937"/>
      <c r="DD6" s="937"/>
      <c r="DE6" s="937"/>
      <c r="DF6" s="937"/>
      <c r="DG6" s="937"/>
      <c r="DH6" s="937"/>
      <c r="DI6" s="937"/>
      <c r="DJ6" s="937"/>
      <c r="DK6" s="937"/>
      <c r="DL6" s="937"/>
      <c r="DM6" s="937"/>
      <c r="DN6" s="937"/>
      <c r="DO6" s="937"/>
      <c r="DP6" s="937"/>
      <c r="DQ6" s="937"/>
      <c r="DR6" s="937"/>
      <c r="DS6" s="937"/>
      <c r="DT6" s="937"/>
      <c r="DU6" s="937"/>
      <c r="DV6" s="937"/>
      <c r="DW6" s="937"/>
      <c r="DX6" s="937"/>
      <c r="DY6" s="937"/>
      <c r="DZ6" s="937"/>
      <c r="EA6" s="937"/>
      <c r="EB6" s="937"/>
      <c r="EC6" s="937"/>
      <c r="ED6" s="937"/>
      <c r="EE6" s="937"/>
      <c r="EF6" s="937"/>
      <c r="EG6" s="937"/>
      <c r="EH6" s="937"/>
      <c r="EI6" s="937"/>
      <c r="EJ6" s="937"/>
      <c r="EK6" s="937"/>
      <c r="EL6" s="937"/>
      <c r="EM6" s="937"/>
      <c r="EN6" s="937"/>
      <c r="EO6" s="937"/>
      <c r="EP6" s="937"/>
      <c r="EQ6" s="937"/>
      <c r="ER6" s="937"/>
      <c r="ES6" s="937"/>
      <c r="ET6" s="937"/>
      <c r="EU6" s="937"/>
      <c r="EV6" s="937"/>
      <c r="EW6" s="937"/>
      <c r="EX6" s="937"/>
      <c r="EY6" s="937"/>
      <c r="EZ6" s="937"/>
      <c r="FA6" s="937"/>
      <c r="FB6" s="937"/>
      <c r="FC6" s="937"/>
      <c r="FD6" s="937"/>
      <c r="FE6" s="937"/>
      <c r="FF6" s="937"/>
      <c r="FG6" s="937"/>
      <c r="FH6" s="937"/>
      <c r="FI6" s="937"/>
      <c r="FJ6" s="937"/>
      <c r="FK6" s="937"/>
      <c r="FL6" s="937"/>
      <c r="FM6" s="937"/>
      <c r="FN6" s="937"/>
      <c r="FO6" s="937"/>
      <c r="FP6" s="937"/>
      <c r="FQ6" s="937"/>
      <c r="FR6" s="937"/>
      <c r="FS6" s="937"/>
      <c r="FT6" s="937"/>
      <c r="FU6" s="937"/>
      <c r="FV6" s="937"/>
      <c r="FW6" s="937"/>
      <c r="FX6" s="937"/>
      <c r="FY6" s="937"/>
      <c r="FZ6" s="937"/>
      <c r="GA6" s="937"/>
      <c r="GB6" s="937"/>
      <c r="GC6" s="937"/>
      <c r="GD6" s="937"/>
      <c r="GE6" s="937"/>
      <c r="GF6" s="937"/>
      <c r="GG6" s="937"/>
      <c r="GH6" s="937"/>
      <c r="GI6" s="937"/>
      <c r="GJ6" s="937"/>
      <c r="GK6" s="937"/>
      <c r="GL6" s="937"/>
      <c r="GM6" s="937"/>
      <c r="GN6" s="937"/>
      <c r="GO6" s="937"/>
      <c r="GP6" s="937"/>
      <c r="GQ6" s="937"/>
      <c r="GR6" s="937"/>
      <c r="GS6" s="937"/>
      <c r="GT6" s="937"/>
      <c r="GU6" s="937"/>
      <c r="GV6" s="937"/>
      <c r="GW6" s="937"/>
      <c r="GX6" s="937"/>
      <c r="GY6" s="937"/>
      <c r="GZ6" s="937"/>
      <c r="HA6" s="937"/>
      <c r="HB6" s="937"/>
      <c r="HC6" s="937"/>
      <c r="HD6" s="937"/>
      <c r="HE6" s="937"/>
      <c r="HF6" s="937"/>
      <c r="HG6" s="937"/>
      <c r="HH6" s="937"/>
      <c r="HI6" s="937"/>
      <c r="HJ6" s="937"/>
      <c r="HK6" s="937"/>
      <c r="HL6" s="937"/>
      <c r="HM6" s="937"/>
      <c r="HN6" s="937"/>
      <c r="HO6" s="937"/>
      <c r="HP6" s="937"/>
      <c r="HQ6" s="937"/>
      <c r="HR6" s="937"/>
      <c r="HS6" s="937"/>
      <c r="HT6" s="937"/>
      <c r="HU6" s="937"/>
      <c r="HV6" s="937"/>
      <c r="HW6" s="937"/>
      <c r="HX6" s="937"/>
      <c r="HY6" s="937"/>
      <c r="HZ6" s="937"/>
      <c r="IA6" s="937"/>
      <c r="IB6" s="937"/>
      <c r="IC6" s="937"/>
      <c r="ID6" s="937"/>
      <c r="IE6" s="937"/>
      <c r="IF6" s="937"/>
      <c r="IG6" s="937"/>
      <c r="IH6" s="937"/>
      <c r="II6" s="937"/>
      <c r="IJ6" s="937"/>
      <c r="IK6" s="937"/>
      <c r="IL6" s="937"/>
      <c r="IM6" s="937"/>
      <c r="IN6" s="937"/>
      <c r="IO6" s="937"/>
      <c r="IP6" s="937"/>
      <c r="IQ6" s="937"/>
      <c r="IR6" s="937"/>
      <c r="IS6" s="937"/>
      <c r="IT6" s="937"/>
      <c r="IU6" s="937"/>
      <c r="IV6" s="937"/>
      <c r="IW6" s="937"/>
    </row>
    <row r="7" customFormat="false" ht="13.5" hidden="false" customHeight="false" outlineLevel="0" collapsed="false">
      <c r="A7" s="938" t="s">
        <v>1296</v>
      </c>
      <c r="B7" s="939"/>
      <c r="C7" s="939"/>
      <c r="D7" s="939"/>
      <c r="E7" s="940" t="n">
        <f aca="false">IDC!E7</f>
        <v>35765</v>
      </c>
      <c r="F7" s="940" t="n">
        <f aca="false">IDC!F7</f>
        <v>35796</v>
      </c>
      <c r="G7" s="940" t="n">
        <f aca="false">IDC!G7</f>
        <v>35827</v>
      </c>
      <c r="H7" s="940" t="n">
        <f aca="false">IDC!H7</f>
        <v>35855</v>
      </c>
      <c r="I7" s="940" t="n">
        <f aca="false">IDC!I7</f>
        <v>35886</v>
      </c>
      <c r="J7" s="940" t="n">
        <f aca="false">IDC!J7</f>
        <v>35916</v>
      </c>
      <c r="K7" s="940" t="n">
        <f aca="false">IDC!K7</f>
        <v>35947</v>
      </c>
      <c r="L7" s="940" t="n">
        <f aca="false">IDC!L7</f>
        <v>35977</v>
      </c>
      <c r="M7" s="940" t="n">
        <f aca="false">IDC!M7</f>
        <v>36008</v>
      </c>
      <c r="N7" s="940" t="n">
        <f aca="false">IDC!N7</f>
        <v>36039</v>
      </c>
      <c r="O7" s="940" t="n">
        <f aca="false">IDC!O7</f>
        <v>36069</v>
      </c>
      <c r="P7" s="940" t="n">
        <f aca="false">IDC!P7</f>
        <v>36100</v>
      </c>
      <c r="Q7" s="940" t="n">
        <f aca="false">IDC!Q7</f>
        <v>36130</v>
      </c>
      <c r="R7" s="940" t="n">
        <f aca="false">IDC!R7</f>
        <v>36161</v>
      </c>
      <c r="S7" s="940" t="n">
        <f aca="false">IDC!S7</f>
        <v>36192</v>
      </c>
      <c r="T7" s="940" t="n">
        <f aca="false">IDC!T7</f>
        <v>36220</v>
      </c>
      <c r="U7" s="940" t="n">
        <f aca="false">IDC!U7</f>
        <v>36251</v>
      </c>
      <c r="V7" s="940" t="n">
        <f aca="false">IDC!V7</f>
        <v>36281</v>
      </c>
      <c r="W7" s="940" t="n">
        <f aca="false">IDC!W7</f>
        <v>36312</v>
      </c>
      <c r="X7" s="940" t="n">
        <f aca="false">IDC!X7</f>
        <v>36342</v>
      </c>
      <c r="Y7" s="940" t="n">
        <f aca="false">IDC!Y7</f>
        <v>36373</v>
      </c>
      <c r="Z7" s="940" t="n">
        <f aca="false">IDC!Z7</f>
        <v>36404</v>
      </c>
      <c r="AA7" s="940" t="n">
        <f aca="false">IDC!AA7</f>
        <v>36434</v>
      </c>
      <c r="AB7" s="940" t="n">
        <f aca="false">IDC!AB7</f>
        <v>36465</v>
      </c>
      <c r="AC7" s="940" t="n">
        <f aca="false">IDC!AC7</f>
        <v>36495</v>
      </c>
      <c r="AD7" s="940" t="n">
        <f aca="false">IDC!AD7</f>
        <v>36526</v>
      </c>
      <c r="AE7" s="940" t="n">
        <f aca="false">IDC!AE7</f>
        <v>36557</v>
      </c>
      <c r="AF7" s="940" t="n">
        <f aca="false">IDC!AF7</f>
        <v>36586</v>
      </c>
      <c r="AG7" s="940" t="n">
        <f aca="false">IDC!AG7</f>
        <v>36617</v>
      </c>
      <c r="AH7" s="940" t="n">
        <f aca="false">IDC!AH7</f>
        <v>36647</v>
      </c>
      <c r="AI7" s="940" t="n">
        <f aca="false">IDC!AI7</f>
        <v>36678</v>
      </c>
      <c r="AJ7" s="940" t="n">
        <f aca="false">IDC!AJ7</f>
        <v>36708</v>
      </c>
      <c r="AK7" s="940" t="n">
        <f aca="false">IDC!AK7</f>
        <v>36739</v>
      </c>
      <c r="AL7" s="940" t="n">
        <f aca="false">IDC!AL7</f>
        <v>36770</v>
      </c>
      <c r="AM7" s="940" t="n">
        <f aca="false">IDC!AM7</f>
        <v>36800</v>
      </c>
      <c r="AN7" s="940" t="n">
        <f aca="false">IDC!AN7</f>
        <v>36831</v>
      </c>
      <c r="AO7" s="940" t="n">
        <f aca="false">IDC!AO7</f>
        <v>36861</v>
      </c>
      <c r="AP7" s="940" t="n">
        <f aca="false">IDC!AP7</f>
        <v>36892</v>
      </c>
      <c r="AQ7" s="940" t="n">
        <f aca="false">IDC!AQ7</f>
        <v>36923</v>
      </c>
      <c r="AR7" s="940" t="n">
        <f aca="false">IDC!AR7</f>
        <v>36951</v>
      </c>
      <c r="AS7" s="940" t="n">
        <f aca="false">IDC!AS7</f>
        <v>36982</v>
      </c>
      <c r="AT7" s="940" t="n">
        <f aca="false">IDC!AT7</f>
        <v>37012</v>
      </c>
      <c r="AU7" s="940" t="n">
        <f aca="false">IDC!AU7</f>
        <v>37043</v>
      </c>
      <c r="AV7" s="940" t="n">
        <f aca="false">IDC!AV7</f>
        <v>37073</v>
      </c>
      <c r="AW7" s="940" t="n">
        <f aca="false">IDC!AW7</f>
        <v>37104</v>
      </c>
      <c r="AX7" s="940" t="n">
        <f aca="false">IDC!AX7</f>
        <v>37135</v>
      </c>
      <c r="AY7" s="940" t="n">
        <f aca="false">IDC!AY7</f>
        <v>37165</v>
      </c>
      <c r="AZ7" s="941"/>
      <c r="BA7" s="942" t="s">
        <v>766</v>
      </c>
      <c r="BB7" s="937"/>
      <c r="BC7" s="937"/>
      <c r="BD7" s="937"/>
      <c r="BE7" s="937"/>
      <c r="BF7" s="937"/>
      <c r="BG7" s="937"/>
      <c r="BH7" s="937"/>
      <c r="BI7" s="937"/>
      <c r="BJ7" s="937"/>
      <c r="BK7" s="937"/>
      <c r="BL7" s="937"/>
      <c r="BM7" s="937"/>
      <c r="BN7" s="937"/>
      <c r="BO7" s="937"/>
      <c r="BP7" s="937"/>
      <c r="BQ7" s="937"/>
      <c r="BR7" s="937"/>
      <c r="BS7" s="937"/>
      <c r="BT7" s="937"/>
      <c r="BU7" s="937"/>
      <c r="BV7" s="937"/>
      <c r="BW7" s="937"/>
      <c r="BX7" s="937"/>
      <c r="BY7" s="937"/>
      <c r="BZ7" s="937"/>
      <c r="CA7" s="937"/>
      <c r="CB7" s="937"/>
      <c r="CC7" s="937"/>
      <c r="CD7" s="937"/>
      <c r="CE7" s="937"/>
      <c r="CF7" s="937"/>
      <c r="CG7" s="937"/>
      <c r="CH7" s="937"/>
      <c r="CI7" s="937"/>
      <c r="CJ7" s="937"/>
      <c r="CK7" s="937"/>
      <c r="CL7" s="937"/>
      <c r="CM7" s="937"/>
      <c r="CN7" s="937"/>
      <c r="CO7" s="937"/>
      <c r="CP7" s="937"/>
      <c r="CQ7" s="937"/>
      <c r="CR7" s="937"/>
      <c r="CS7" s="937"/>
      <c r="CT7" s="937"/>
      <c r="CU7" s="937"/>
      <c r="CV7" s="937"/>
      <c r="CW7" s="937"/>
      <c r="CX7" s="937"/>
      <c r="CY7" s="937"/>
      <c r="CZ7" s="937"/>
      <c r="DA7" s="937"/>
      <c r="DB7" s="937"/>
      <c r="DC7" s="937"/>
      <c r="DD7" s="937"/>
      <c r="DE7" s="937"/>
      <c r="DF7" s="937"/>
      <c r="DG7" s="937"/>
      <c r="DH7" s="937"/>
      <c r="DI7" s="937"/>
      <c r="DJ7" s="937"/>
      <c r="DK7" s="937"/>
      <c r="DL7" s="937"/>
      <c r="DM7" s="937"/>
      <c r="DN7" s="937"/>
      <c r="DO7" s="937"/>
      <c r="DP7" s="937"/>
      <c r="DQ7" s="937"/>
      <c r="DR7" s="937"/>
      <c r="DS7" s="937"/>
      <c r="DT7" s="937"/>
      <c r="DU7" s="937"/>
      <c r="DV7" s="937"/>
      <c r="DW7" s="937"/>
      <c r="DX7" s="937"/>
      <c r="DY7" s="937"/>
      <c r="DZ7" s="937"/>
      <c r="EA7" s="937"/>
      <c r="EB7" s="937"/>
      <c r="EC7" s="937"/>
      <c r="ED7" s="937"/>
      <c r="EE7" s="937"/>
      <c r="EF7" s="937"/>
      <c r="EG7" s="937"/>
      <c r="EH7" s="937"/>
      <c r="EI7" s="937"/>
      <c r="EJ7" s="937"/>
      <c r="EK7" s="937"/>
      <c r="EL7" s="937"/>
      <c r="EM7" s="937"/>
      <c r="EN7" s="937"/>
      <c r="EO7" s="937"/>
      <c r="EP7" s="937"/>
      <c r="EQ7" s="937"/>
      <c r="ER7" s="937"/>
      <c r="ES7" s="937"/>
      <c r="ET7" s="937"/>
      <c r="EU7" s="937"/>
      <c r="EV7" s="937"/>
      <c r="EW7" s="937"/>
      <c r="EX7" s="937"/>
      <c r="EY7" s="937"/>
      <c r="EZ7" s="937"/>
      <c r="FA7" s="937"/>
      <c r="FB7" s="937"/>
      <c r="FC7" s="937"/>
      <c r="FD7" s="937"/>
      <c r="FE7" s="937"/>
      <c r="FF7" s="937"/>
      <c r="FG7" s="937"/>
      <c r="FH7" s="937"/>
      <c r="FI7" s="937"/>
      <c r="FJ7" s="937"/>
      <c r="FK7" s="937"/>
      <c r="FL7" s="937"/>
      <c r="FM7" s="937"/>
      <c r="FN7" s="937"/>
      <c r="FO7" s="937"/>
      <c r="FP7" s="937"/>
      <c r="FQ7" s="937"/>
      <c r="FR7" s="937"/>
      <c r="FS7" s="937"/>
      <c r="FT7" s="937"/>
      <c r="FU7" s="937"/>
      <c r="FV7" s="937"/>
      <c r="FW7" s="937"/>
      <c r="FX7" s="937"/>
      <c r="FY7" s="937"/>
      <c r="FZ7" s="937"/>
      <c r="GA7" s="937"/>
      <c r="GB7" s="937"/>
      <c r="GC7" s="937"/>
      <c r="GD7" s="937"/>
      <c r="GE7" s="937"/>
      <c r="GF7" s="937"/>
      <c r="GG7" s="937"/>
      <c r="GH7" s="937"/>
      <c r="GI7" s="937"/>
      <c r="GJ7" s="937"/>
      <c r="GK7" s="937"/>
      <c r="GL7" s="937"/>
      <c r="GM7" s="937"/>
      <c r="GN7" s="937"/>
      <c r="GO7" s="937"/>
      <c r="GP7" s="937"/>
      <c r="GQ7" s="937"/>
      <c r="GR7" s="937"/>
      <c r="GS7" s="937"/>
      <c r="GT7" s="937"/>
      <c r="GU7" s="937"/>
      <c r="GV7" s="937"/>
      <c r="GW7" s="937"/>
      <c r="GX7" s="937"/>
      <c r="GY7" s="937"/>
      <c r="GZ7" s="937"/>
      <c r="HA7" s="937"/>
      <c r="HB7" s="937"/>
      <c r="HC7" s="937"/>
      <c r="HD7" s="937"/>
      <c r="HE7" s="937"/>
      <c r="HF7" s="937"/>
      <c r="HG7" s="937"/>
      <c r="HH7" s="937"/>
      <c r="HI7" s="937"/>
      <c r="HJ7" s="937"/>
      <c r="HK7" s="937"/>
      <c r="HL7" s="937"/>
      <c r="HM7" s="937"/>
      <c r="HN7" s="937"/>
      <c r="HO7" s="937"/>
      <c r="HP7" s="937"/>
      <c r="HQ7" s="937"/>
      <c r="HR7" s="937"/>
      <c r="HS7" s="937"/>
      <c r="HT7" s="937"/>
      <c r="HU7" s="937"/>
      <c r="HV7" s="937"/>
      <c r="HW7" s="937"/>
      <c r="HX7" s="937"/>
      <c r="HY7" s="937"/>
      <c r="HZ7" s="937"/>
      <c r="IA7" s="937"/>
      <c r="IB7" s="937"/>
      <c r="IC7" s="937"/>
      <c r="ID7" s="937"/>
      <c r="IE7" s="937"/>
      <c r="IF7" s="937"/>
      <c r="IG7" s="937"/>
      <c r="IH7" s="937"/>
      <c r="II7" s="937"/>
      <c r="IJ7" s="937"/>
      <c r="IK7" s="937"/>
      <c r="IL7" s="937"/>
      <c r="IM7" s="937"/>
      <c r="IN7" s="937"/>
      <c r="IO7" s="937"/>
      <c r="IP7" s="937"/>
      <c r="IQ7" s="937"/>
      <c r="IR7" s="937"/>
      <c r="IS7" s="937"/>
      <c r="IT7" s="937"/>
      <c r="IU7" s="937"/>
      <c r="IV7" s="937"/>
      <c r="IW7" s="937"/>
    </row>
    <row r="8" customFormat="false" ht="12.75" hidden="false" customHeight="false" outlineLevel="0" collapsed="false">
      <c r="A8" s="943"/>
      <c r="B8" s="944"/>
      <c r="C8" s="945"/>
      <c r="D8" s="945"/>
      <c r="E8" s="945"/>
      <c r="F8" s="945"/>
      <c r="G8" s="945"/>
      <c r="H8" s="945"/>
      <c r="I8" s="945"/>
      <c r="J8" s="945"/>
      <c r="K8" s="945"/>
      <c r="L8" s="945"/>
      <c r="M8" s="945"/>
      <c r="N8" s="945"/>
      <c r="O8" s="945"/>
      <c r="P8" s="945"/>
      <c r="Q8" s="945"/>
      <c r="R8" s="945"/>
      <c r="S8" s="945"/>
      <c r="T8" s="945"/>
      <c r="U8" s="945"/>
      <c r="V8" s="945"/>
      <c r="W8" s="945"/>
      <c r="X8" s="945"/>
      <c r="Y8" s="945"/>
      <c r="Z8" s="945"/>
      <c r="AA8" s="945"/>
      <c r="AB8" s="945"/>
      <c r="AC8" s="945"/>
      <c r="AD8" s="945"/>
      <c r="AE8" s="945"/>
      <c r="AF8" s="945"/>
      <c r="AG8" s="945"/>
      <c r="AH8" s="945"/>
      <c r="AI8" s="945"/>
      <c r="AJ8" s="945"/>
      <c r="AK8" s="945"/>
      <c r="AL8" s="945"/>
      <c r="AM8" s="945"/>
      <c r="AN8" s="945"/>
      <c r="AO8" s="945"/>
      <c r="AP8" s="945"/>
      <c r="AQ8" s="945"/>
      <c r="AR8" s="945"/>
      <c r="AS8" s="945"/>
      <c r="AT8" s="945"/>
      <c r="AU8" s="945"/>
      <c r="AV8" s="945"/>
      <c r="AW8" s="945"/>
      <c r="AX8" s="945"/>
      <c r="AY8" s="945"/>
      <c r="AZ8" s="945"/>
      <c r="BA8" s="946"/>
      <c r="BB8" s="937"/>
      <c r="BC8" s="937"/>
      <c r="BD8" s="937"/>
      <c r="BE8" s="937"/>
      <c r="BF8" s="937"/>
      <c r="BG8" s="937"/>
      <c r="BH8" s="937"/>
      <c r="BI8" s="937"/>
      <c r="BJ8" s="937"/>
      <c r="BK8" s="937"/>
      <c r="BL8" s="937"/>
      <c r="BM8" s="937"/>
      <c r="BN8" s="937"/>
      <c r="BO8" s="937"/>
      <c r="BP8" s="937"/>
      <c r="BQ8" s="937"/>
      <c r="BR8" s="937"/>
      <c r="BS8" s="937"/>
      <c r="BT8" s="937"/>
      <c r="BU8" s="937"/>
      <c r="BV8" s="937"/>
      <c r="BW8" s="937"/>
      <c r="BX8" s="937"/>
      <c r="BY8" s="937"/>
      <c r="BZ8" s="937"/>
      <c r="CA8" s="937"/>
      <c r="CB8" s="937"/>
      <c r="CC8" s="937"/>
      <c r="CD8" s="937"/>
      <c r="CE8" s="937"/>
      <c r="CF8" s="937"/>
      <c r="CG8" s="937"/>
      <c r="CH8" s="937"/>
      <c r="CI8" s="937"/>
      <c r="CJ8" s="937"/>
      <c r="CK8" s="937"/>
      <c r="CL8" s="937"/>
      <c r="CM8" s="937"/>
      <c r="CN8" s="937"/>
      <c r="CO8" s="937"/>
      <c r="CP8" s="937"/>
      <c r="CQ8" s="937"/>
      <c r="CR8" s="937"/>
      <c r="CS8" s="937"/>
      <c r="CT8" s="937"/>
      <c r="CU8" s="937"/>
      <c r="CV8" s="937"/>
      <c r="CW8" s="937"/>
      <c r="CX8" s="937"/>
      <c r="CY8" s="937"/>
      <c r="CZ8" s="937"/>
      <c r="DA8" s="937"/>
      <c r="DB8" s="937"/>
      <c r="DC8" s="937"/>
      <c r="DD8" s="937"/>
      <c r="DE8" s="937"/>
      <c r="DF8" s="937"/>
      <c r="DG8" s="937"/>
      <c r="DH8" s="937"/>
      <c r="DI8" s="937"/>
      <c r="DJ8" s="937"/>
      <c r="DK8" s="937"/>
      <c r="DL8" s="937"/>
      <c r="DM8" s="937"/>
      <c r="DN8" s="937"/>
      <c r="DO8" s="937"/>
      <c r="DP8" s="937"/>
      <c r="DQ8" s="937"/>
      <c r="DR8" s="937"/>
      <c r="DS8" s="937"/>
      <c r="DT8" s="937"/>
      <c r="DU8" s="937"/>
      <c r="DV8" s="937"/>
      <c r="DW8" s="937"/>
      <c r="DX8" s="937"/>
      <c r="DY8" s="937"/>
      <c r="DZ8" s="937"/>
      <c r="EA8" s="937"/>
      <c r="EB8" s="937"/>
      <c r="EC8" s="937"/>
      <c r="ED8" s="937"/>
      <c r="EE8" s="937"/>
      <c r="EF8" s="937"/>
      <c r="EG8" s="937"/>
      <c r="EH8" s="937"/>
      <c r="EI8" s="937"/>
      <c r="EJ8" s="937"/>
      <c r="EK8" s="937"/>
      <c r="EL8" s="937"/>
      <c r="EM8" s="937"/>
      <c r="EN8" s="937"/>
      <c r="EO8" s="937"/>
      <c r="EP8" s="937"/>
      <c r="EQ8" s="937"/>
      <c r="ER8" s="937"/>
      <c r="ES8" s="937"/>
      <c r="ET8" s="937"/>
      <c r="EU8" s="937"/>
      <c r="EV8" s="937"/>
      <c r="EW8" s="937"/>
      <c r="EX8" s="937"/>
      <c r="EY8" s="937"/>
      <c r="EZ8" s="937"/>
      <c r="FA8" s="937"/>
      <c r="FB8" s="937"/>
      <c r="FC8" s="937"/>
      <c r="FD8" s="937"/>
      <c r="FE8" s="937"/>
      <c r="FF8" s="937"/>
      <c r="FG8" s="937"/>
      <c r="FH8" s="937"/>
      <c r="FI8" s="937"/>
      <c r="FJ8" s="937"/>
      <c r="FK8" s="937"/>
      <c r="FL8" s="937"/>
      <c r="FM8" s="937"/>
      <c r="FN8" s="937"/>
      <c r="FO8" s="937"/>
      <c r="FP8" s="937"/>
      <c r="FQ8" s="937"/>
      <c r="FR8" s="937"/>
      <c r="FS8" s="937"/>
      <c r="FT8" s="937"/>
      <c r="FU8" s="937"/>
      <c r="FV8" s="937"/>
      <c r="FW8" s="937"/>
      <c r="FX8" s="937"/>
      <c r="FY8" s="937"/>
      <c r="FZ8" s="937"/>
      <c r="GA8" s="937"/>
      <c r="GB8" s="937"/>
      <c r="GC8" s="937"/>
      <c r="GD8" s="937"/>
      <c r="GE8" s="937"/>
      <c r="GF8" s="937"/>
      <c r="GG8" s="937"/>
      <c r="GH8" s="937"/>
      <c r="GI8" s="937"/>
      <c r="GJ8" s="937"/>
      <c r="GK8" s="937"/>
      <c r="GL8" s="937"/>
      <c r="GM8" s="937"/>
      <c r="GN8" s="937"/>
      <c r="GO8" s="937"/>
      <c r="GP8" s="937"/>
      <c r="GQ8" s="937"/>
      <c r="GR8" s="937"/>
      <c r="GS8" s="937"/>
      <c r="GT8" s="937"/>
      <c r="GU8" s="937"/>
      <c r="GV8" s="937"/>
      <c r="GW8" s="937"/>
      <c r="GX8" s="937"/>
      <c r="GY8" s="937"/>
      <c r="GZ8" s="937"/>
      <c r="HA8" s="937"/>
      <c r="HB8" s="937"/>
      <c r="HC8" s="937"/>
      <c r="HD8" s="937"/>
      <c r="HE8" s="937"/>
      <c r="HF8" s="937"/>
      <c r="HG8" s="937"/>
      <c r="HH8" s="937"/>
      <c r="HI8" s="937"/>
      <c r="HJ8" s="937"/>
      <c r="HK8" s="937"/>
      <c r="HL8" s="937"/>
      <c r="HM8" s="937"/>
      <c r="HN8" s="937"/>
      <c r="HO8" s="937"/>
      <c r="HP8" s="937"/>
      <c r="HQ8" s="937"/>
      <c r="HR8" s="937"/>
      <c r="HS8" s="937"/>
      <c r="HT8" s="937"/>
      <c r="HU8" s="937"/>
      <c r="HV8" s="937"/>
      <c r="HW8" s="937"/>
      <c r="HX8" s="937"/>
      <c r="HY8" s="937"/>
      <c r="HZ8" s="937"/>
      <c r="IA8" s="937"/>
      <c r="IB8" s="937"/>
      <c r="IC8" s="937"/>
      <c r="ID8" s="937"/>
      <c r="IE8" s="937"/>
      <c r="IF8" s="937"/>
      <c r="IG8" s="937"/>
      <c r="IH8" s="937"/>
      <c r="II8" s="937"/>
      <c r="IJ8" s="937"/>
      <c r="IK8" s="937"/>
      <c r="IL8" s="937"/>
      <c r="IM8" s="937"/>
      <c r="IN8" s="937"/>
      <c r="IO8" s="937"/>
      <c r="IP8" s="937"/>
      <c r="IQ8" s="937"/>
      <c r="IR8" s="937"/>
      <c r="IS8" s="937"/>
      <c r="IT8" s="937"/>
      <c r="IU8" s="937"/>
      <c r="IV8" s="937"/>
      <c r="IW8" s="937"/>
    </row>
    <row r="9" customFormat="false" ht="12.75" hidden="false" customHeight="false" outlineLevel="0" collapsed="false">
      <c r="A9" s="947" t="str">
        <f aca="false">Assm!N8</f>
        <v>EPC Turnkey Contract</v>
      </c>
      <c r="B9" s="944"/>
      <c r="C9" s="948" t="n">
        <f aca="false">Assm!V8</f>
        <v>238466.383</v>
      </c>
      <c r="D9" s="945"/>
      <c r="E9" s="949" t="n">
        <f aca="false">SUM(E73:E76,E78,E80,E82)</f>
        <v>5785.55107526882</v>
      </c>
      <c r="F9" s="949" t="n">
        <f aca="false">SUM(F73:F76,F78,F80,F82)</f>
        <v>0</v>
      </c>
      <c r="G9" s="949" t="n">
        <f aca="false">SUM(G73:G76,G78,G80,G82)</f>
        <v>2859.07264450308</v>
      </c>
      <c r="H9" s="949" t="n">
        <f aca="false">SUM(H73:H76,H78,H80,H82)</f>
        <v>7901.09112312225</v>
      </c>
      <c r="I9" s="949" t="n">
        <f aca="false">SUM(I73:I76,I78,I80,I82)</f>
        <v>7609.22169519668</v>
      </c>
      <c r="J9" s="949" t="n">
        <f aca="false">SUM(J73:J76,J78,J80,J82)</f>
        <v>2560.7458245913</v>
      </c>
      <c r="K9" s="949" t="n">
        <f aca="false">SUM(K73:K76,K78,K80,K82)</f>
        <v>19441.8274157303</v>
      </c>
      <c r="L9" s="949" t="n">
        <f aca="false">SUM(L73:L76,L78,L80,L82)</f>
        <v>3248.08957007739</v>
      </c>
      <c r="M9" s="949" t="n">
        <f aca="false">SUM(M73:M76,M78,M80,M82)</f>
        <v>2817.12812234494</v>
      </c>
      <c r="N9" s="949" t="n">
        <f aca="false">SUM(N73:N76,N78,N80,N82)</f>
        <v>16456.1908937605</v>
      </c>
      <c r="O9" s="949" t="n">
        <f aca="false">SUM(O73:O76,O78,O80,O82)</f>
        <v>3583.30977291842</v>
      </c>
      <c r="P9" s="949" t="n">
        <f aca="false">SUM(P73:P76,P78,P80,P82)</f>
        <v>1738.4937942068</v>
      </c>
      <c r="Q9" s="949" t="n">
        <f aca="false">SUM(Q73:Q76,Q78,Q80,Q82)</f>
        <v>22611.7624191676</v>
      </c>
      <c r="R9" s="949" t="n">
        <f aca="false">SUM(R73:R76,R78,R80,R82)</f>
        <v>474.483248730965</v>
      </c>
      <c r="S9" s="949" t="n">
        <f aca="false">SUM(S73:S76,S78,S80,S82)</f>
        <v>314.702271406432</v>
      </c>
      <c r="T9" s="949" t="n">
        <f aca="false">SUM(T73:T76,T78,T80,T82)</f>
        <v>1116.87368596882</v>
      </c>
      <c r="U9" s="949" t="n">
        <f aca="false">SUM(U73:U76,U78,U80,U82)</f>
        <v>12642.1998931751</v>
      </c>
      <c r="V9" s="949" t="n">
        <f aca="false">SUM(V73:V76,V78,V80,V82)</f>
        <v>1878.39633410673</v>
      </c>
      <c r="W9" s="949" t="n">
        <f aca="false">SUM(W73:W76,W78,W80,W82)</f>
        <v>18648.3380719326</v>
      </c>
      <c r="X9" s="949" t="n">
        <f aca="false">SUM(X73:X76,X78,X80,X82)</f>
        <v>2656.34787878788</v>
      </c>
      <c r="Y9" s="949" t="n">
        <f aca="false">SUM(Y73:Y76,Y78,Y80,Y82)</f>
        <v>2029.33283574299</v>
      </c>
      <c r="Z9" s="949" t="n">
        <f aca="false">SUM(Z73:Z76,Z78,Z80,Z82)</f>
        <v>2337.78101232898</v>
      </c>
      <c r="AA9" s="949" t="n">
        <f aca="false">SUM(AA73:AA76,AA78,AA80,AA82)</f>
        <v>1785.06131080389</v>
      </c>
      <c r="AB9" s="949" t="n">
        <f aca="false">SUM(AB73:AB76,AB78,AB80,AB82)</f>
        <v>1403.89167836896</v>
      </c>
      <c r="AC9" s="949" t="n">
        <f aca="false">SUM(AC73:AC76,AC78,AC80,AC82)</f>
        <v>901.517255449972</v>
      </c>
      <c r="AD9" s="949" t="n">
        <f aca="false">SUM(AD73:AD76,AD78,AD80,AD82)</f>
        <v>437.818741677763</v>
      </c>
      <c r="AE9" s="949" t="n">
        <f aca="false">SUM(AE73:AE76,AE78,AE80,AE82)</f>
        <v>725.77917697324</v>
      </c>
      <c r="AF9" s="949" t="n">
        <f aca="false">SUM(AF73:AF76,AF78,AF80,AF82)</f>
        <v>554.578492531334</v>
      </c>
      <c r="AG9" s="950" t="n">
        <v>12500</v>
      </c>
      <c r="AH9" s="950" t="n">
        <v>0</v>
      </c>
      <c r="AI9" s="950" t="n">
        <v>0</v>
      </c>
      <c r="AJ9" s="950" t="n">
        <v>0</v>
      </c>
      <c r="AK9" s="950" t="n">
        <f aca="false">($C$15-SUM($E9:$AJ9))/4</f>
        <v>19057.4577133174</v>
      </c>
      <c r="AL9" s="950" t="n">
        <v>0</v>
      </c>
      <c r="AM9" s="950" t="n">
        <v>0</v>
      </c>
      <c r="AN9" s="950" t="n">
        <v>0</v>
      </c>
      <c r="AO9" s="950" t="n">
        <f aca="false">($C$15-SUM($E9:$AJ9))/4</f>
        <v>19057.4577133174</v>
      </c>
      <c r="AP9" s="950" t="n">
        <v>0</v>
      </c>
      <c r="AQ9" s="950" t="n">
        <v>0</v>
      </c>
      <c r="AR9" s="950" t="n">
        <v>0</v>
      </c>
      <c r="AS9" s="950" t="n">
        <f aca="false">($C$15-SUM($E9:$AJ9))/4</f>
        <v>19057.4577133174</v>
      </c>
      <c r="AT9" s="950" t="n">
        <v>0</v>
      </c>
      <c r="AU9" s="950" t="n">
        <v>0</v>
      </c>
      <c r="AV9" s="950" t="n">
        <v>0</v>
      </c>
      <c r="AW9" s="950" t="n">
        <f aca="false">($C$15-SUM($E9:$AJ9))/4</f>
        <v>19057.4577133174</v>
      </c>
      <c r="AX9" s="950" t="n">
        <v>0</v>
      </c>
      <c r="AY9" s="950" t="n">
        <v>0</v>
      </c>
      <c r="AZ9" s="945"/>
      <c r="BA9" s="951" t="n">
        <f aca="false">SUM(E9:AY9)</f>
        <v>233249.417092144</v>
      </c>
      <c r="BB9" s="937"/>
      <c r="BC9" s="937"/>
      <c r="BD9" s="937"/>
      <c r="BE9" s="937"/>
      <c r="BF9" s="937"/>
      <c r="BG9" s="937"/>
      <c r="BH9" s="937"/>
      <c r="BI9" s="937"/>
      <c r="BJ9" s="937"/>
      <c r="BK9" s="937"/>
      <c r="BL9" s="937"/>
      <c r="BM9" s="937"/>
      <c r="BN9" s="937"/>
      <c r="BO9" s="937"/>
      <c r="BP9" s="937"/>
      <c r="BQ9" s="937"/>
      <c r="BR9" s="937"/>
      <c r="BS9" s="937"/>
      <c r="BT9" s="937"/>
      <c r="BU9" s="937"/>
      <c r="BV9" s="937"/>
      <c r="BW9" s="937"/>
      <c r="BX9" s="937"/>
      <c r="BY9" s="937"/>
      <c r="BZ9" s="937"/>
      <c r="CA9" s="937"/>
      <c r="CB9" s="937"/>
      <c r="CC9" s="937"/>
      <c r="CD9" s="937"/>
      <c r="CE9" s="937"/>
      <c r="CF9" s="937"/>
      <c r="CG9" s="937"/>
      <c r="CH9" s="937"/>
      <c r="CI9" s="937"/>
      <c r="CJ9" s="937"/>
      <c r="CK9" s="937"/>
      <c r="CL9" s="937"/>
      <c r="CM9" s="937"/>
      <c r="CN9" s="937"/>
      <c r="CO9" s="937"/>
      <c r="CP9" s="937"/>
      <c r="CQ9" s="937"/>
      <c r="CR9" s="937"/>
      <c r="CS9" s="937"/>
      <c r="CT9" s="937"/>
      <c r="CU9" s="937"/>
      <c r="CV9" s="937"/>
      <c r="CW9" s="937"/>
      <c r="CX9" s="937"/>
      <c r="CY9" s="937"/>
      <c r="CZ9" s="937"/>
      <c r="DA9" s="937"/>
      <c r="DB9" s="937"/>
      <c r="DC9" s="937"/>
      <c r="DD9" s="937"/>
      <c r="DE9" s="937"/>
      <c r="DF9" s="937"/>
      <c r="DG9" s="937"/>
      <c r="DH9" s="937"/>
      <c r="DI9" s="937"/>
      <c r="DJ9" s="937"/>
      <c r="DK9" s="937"/>
      <c r="DL9" s="937"/>
      <c r="DM9" s="937"/>
      <c r="DN9" s="937"/>
      <c r="DO9" s="937"/>
      <c r="DP9" s="937"/>
      <c r="DQ9" s="937"/>
      <c r="DR9" s="937"/>
      <c r="DS9" s="937"/>
      <c r="DT9" s="937"/>
      <c r="DU9" s="937"/>
      <c r="DV9" s="937"/>
      <c r="DW9" s="937"/>
      <c r="DX9" s="937"/>
      <c r="DY9" s="937"/>
      <c r="DZ9" s="937"/>
      <c r="EA9" s="937"/>
      <c r="EB9" s="937"/>
      <c r="EC9" s="937"/>
      <c r="ED9" s="937"/>
      <c r="EE9" s="937"/>
      <c r="EF9" s="937"/>
      <c r="EG9" s="937"/>
      <c r="EH9" s="937"/>
      <c r="EI9" s="937"/>
      <c r="EJ9" s="937"/>
      <c r="EK9" s="937"/>
      <c r="EL9" s="937"/>
      <c r="EM9" s="937"/>
      <c r="EN9" s="937"/>
      <c r="EO9" s="937"/>
      <c r="EP9" s="937"/>
      <c r="EQ9" s="937"/>
      <c r="ER9" s="937"/>
      <c r="ES9" s="937"/>
      <c r="ET9" s="937"/>
      <c r="EU9" s="937"/>
      <c r="EV9" s="937"/>
      <c r="EW9" s="937"/>
      <c r="EX9" s="937"/>
      <c r="EY9" s="937"/>
      <c r="EZ9" s="937"/>
      <c r="FA9" s="937"/>
      <c r="FB9" s="937"/>
      <c r="FC9" s="937"/>
      <c r="FD9" s="937"/>
      <c r="FE9" s="937"/>
      <c r="FF9" s="937"/>
      <c r="FG9" s="937"/>
      <c r="FH9" s="937"/>
      <c r="FI9" s="937"/>
      <c r="FJ9" s="937"/>
      <c r="FK9" s="937"/>
      <c r="FL9" s="937"/>
      <c r="FM9" s="937"/>
      <c r="FN9" s="937"/>
      <c r="FO9" s="937"/>
      <c r="FP9" s="937"/>
      <c r="FQ9" s="937"/>
      <c r="FR9" s="937"/>
      <c r="FS9" s="937"/>
      <c r="FT9" s="937"/>
      <c r="FU9" s="937"/>
      <c r="FV9" s="937"/>
      <c r="FW9" s="937"/>
      <c r="FX9" s="937"/>
      <c r="FY9" s="937"/>
      <c r="FZ9" s="937"/>
      <c r="GA9" s="937"/>
      <c r="GB9" s="937"/>
      <c r="GC9" s="937"/>
      <c r="GD9" s="937"/>
      <c r="GE9" s="937"/>
      <c r="GF9" s="937"/>
      <c r="GG9" s="937"/>
      <c r="GH9" s="937"/>
      <c r="GI9" s="937"/>
      <c r="GJ9" s="937"/>
      <c r="GK9" s="937"/>
      <c r="GL9" s="937"/>
      <c r="GM9" s="937"/>
      <c r="GN9" s="937"/>
      <c r="GO9" s="937"/>
      <c r="GP9" s="937"/>
      <c r="GQ9" s="937"/>
      <c r="GR9" s="937"/>
      <c r="GS9" s="937"/>
      <c r="GT9" s="937"/>
      <c r="GU9" s="937"/>
      <c r="GV9" s="937"/>
      <c r="GW9" s="937"/>
      <c r="GX9" s="937"/>
      <c r="GY9" s="937"/>
      <c r="GZ9" s="937"/>
      <c r="HA9" s="937"/>
      <c r="HB9" s="937"/>
      <c r="HC9" s="937"/>
      <c r="HD9" s="937"/>
      <c r="HE9" s="937"/>
      <c r="HF9" s="937"/>
      <c r="HG9" s="937"/>
      <c r="HH9" s="937"/>
      <c r="HI9" s="937"/>
      <c r="HJ9" s="937"/>
      <c r="HK9" s="937"/>
      <c r="HL9" s="937"/>
      <c r="HM9" s="937"/>
      <c r="HN9" s="937"/>
      <c r="HO9" s="937"/>
      <c r="HP9" s="937"/>
      <c r="HQ9" s="937"/>
      <c r="HR9" s="937"/>
      <c r="HS9" s="937"/>
      <c r="HT9" s="937"/>
      <c r="HU9" s="937"/>
      <c r="HV9" s="937"/>
      <c r="HW9" s="937"/>
      <c r="HX9" s="937"/>
      <c r="HY9" s="937"/>
      <c r="HZ9" s="937"/>
      <c r="IA9" s="937"/>
      <c r="IB9" s="937"/>
      <c r="IC9" s="937"/>
      <c r="ID9" s="937"/>
      <c r="IE9" s="937"/>
      <c r="IF9" s="937"/>
      <c r="IG9" s="937"/>
      <c r="IH9" s="937"/>
      <c r="II9" s="937"/>
      <c r="IJ9" s="937"/>
      <c r="IK9" s="937"/>
      <c r="IL9" s="937"/>
      <c r="IM9" s="937"/>
      <c r="IN9" s="937"/>
      <c r="IO9" s="937"/>
      <c r="IP9" s="937"/>
      <c r="IQ9" s="937"/>
      <c r="IR9" s="937"/>
      <c r="IS9" s="937"/>
      <c r="IT9" s="937"/>
      <c r="IU9" s="937"/>
      <c r="IV9" s="937"/>
      <c r="IW9" s="937"/>
    </row>
    <row r="10" customFormat="false" ht="12.75" hidden="false" customHeight="false" outlineLevel="0" collapsed="false">
      <c r="A10" s="947" t="str">
        <f aca="false">Assm!N9</f>
        <v>Approved Change Orders</v>
      </c>
      <c r="B10" s="944"/>
      <c r="C10" s="948" t="n">
        <f aca="false">Assm!V9</f>
        <v>13200.458</v>
      </c>
      <c r="D10" s="945"/>
      <c r="E10" s="952" t="n">
        <v>0</v>
      </c>
      <c r="F10" s="952" t="n">
        <v>0</v>
      </c>
      <c r="G10" s="952" t="n">
        <v>0</v>
      </c>
      <c r="H10" s="952" t="n">
        <v>0</v>
      </c>
      <c r="I10" s="952" t="n">
        <v>0</v>
      </c>
      <c r="J10" s="952" t="n">
        <v>0</v>
      </c>
      <c r="K10" s="952" t="n">
        <v>0</v>
      </c>
      <c r="L10" s="952" t="n">
        <v>0</v>
      </c>
      <c r="M10" s="952" t="n">
        <v>0</v>
      </c>
      <c r="N10" s="952" t="n">
        <v>0</v>
      </c>
      <c r="O10" s="952" t="n">
        <v>0</v>
      </c>
      <c r="P10" s="952" t="n">
        <v>0</v>
      </c>
      <c r="Q10" s="952" t="n">
        <v>0</v>
      </c>
      <c r="R10" s="952" t="n">
        <v>0</v>
      </c>
      <c r="S10" s="952" t="n">
        <v>0</v>
      </c>
      <c r="T10" s="952" t="n">
        <v>0</v>
      </c>
      <c r="U10" s="952" t="n">
        <v>0</v>
      </c>
      <c r="V10" s="952" t="n">
        <v>0</v>
      </c>
      <c r="W10" s="952" t="n">
        <v>0</v>
      </c>
      <c r="X10" s="952" t="n">
        <v>0</v>
      </c>
      <c r="Y10" s="952" t="n">
        <v>0</v>
      </c>
      <c r="Z10" s="952" t="n">
        <v>0</v>
      </c>
      <c r="AA10" s="952" t="n">
        <v>0</v>
      </c>
      <c r="AB10" s="952" t="n">
        <v>0</v>
      </c>
      <c r="AC10" s="952" t="n">
        <v>0</v>
      </c>
      <c r="AD10" s="952" t="n">
        <v>0</v>
      </c>
      <c r="AE10" s="952" t="n">
        <v>0</v>
      </c>
      <c r="AF10" s="952" t="n">
        <v>0</v>
      </c>
      <c r="AG10" s="952" t="n">
        <v>0</v>
      </c>
      <c r="AH10" s="952" t="n">
        <v>0</v>
      </c>
      <c r="AI10" s="952" t="n">
        <v>0</v>
      </c>
      <c r="AJ10" s="952" t="n">
        <v>0</v>
      </c>
      <c r="AK10" s="952" t="n">
        <v>0</v>
      </c>
      <c r="AL10" s="952" t="n">
        <v>0</v>
      </c>
      <c r="AM10" s="952" t="n">
        <v>0</v>
      </c>
      <c r="AN10" s="952" t="n">
        <v>0</v>
      </c>
      <c r="AO10" s="952" t="n">
        <v>0</v>
      </c>
      <c r="AP10" s="952" t="n">
        <v>0</v>
      </c>
      <c r="AQ10" s="952" t="n">
        <v>0</v>
      </c>
      <c r="AR10" s="952" t="n">
        <v>0</v>
      </c>
      <c r="AS10" s="952" t="n">
        <v>0</v>
      </c>
      <c r="AT10" s="952" t="n">
        <v>0</v>
      </c>
      <c r="AU10" s="952" t="n">
        <v>0</v>
      </c>
      <c r="AV10" s="952" t="n">
        <v>0</v>
      </c>
      <c r="AW10" s="952" t="n">
        <v>0</v>
      </c>
      <c r="AX10" s="952" t="n">
        <v>0</v>
      </c>
      <c r="AY10" s="952" t="n">
        <v>0</v>
      </c>
      <c r="AZ10" s="945"/>
      <c r="BA10" s="951" t="n">
        <f aca="false">SUM(E10:AY10)</f>
        <v>0</v>
      </c>
      <c r="BB10" s="937"/>
      <c r="BC10" s="937"/>
      <c r="BD10" s="937"/>
      <c r="BE10" s="937"/>
      <c r="BF10" s="937"/>
      <c r="BG10" s="937"/>
      <c r="BH10" s="937"/>
      <c r="BI10" s="937"/>
      <c r="BJ10" s="937"/>
      <c r="BK10" s="937"/>
      <c r="BL10" s="937"/>
      <c r="BM10" s="937"/>
      <c r="BN10" s="937"/>
      <c r="BO10" s="937"/>
      <c r="BP10" s="937"/>
      <c r="BQ10" s="937"/>
      <c r="BR10" s="937"/>
      <c r="BS10" s="937"/>
      <c r="BT10" s="937"/>
      <c r="BU10" s="937"/>
      <c r="BV10" s="937"/>
      <c r="BW10" s="937"/>
      <c r="BX10" s="937"/>
      <c r="BY10" s="937"/>
      <c r="BZ10" s="937"/>
      <c r="CA10" s="937"/>
      <c r="CB10" s="937"/>
      <c r="CC10" s="937"/>
      <c r="CD10" s="937"/>
      <c r="CE10" s="937"/>
      <c r="CF10" s="937"/>
      <c r="CG10" s="937"/>
      <c r="CH10" s="937"/>
      <c r="CI10" s="937"/>
      <c r="CJ10" s="937"/>
      <c r="CK10" s="937"/>
      <c r="CL10" s="937"/>
      <c r="CM10" s="937"/>
      <c r="CN10" s="937"/>
      <c r="CO10" s="937"/>
      <c r="CP10" s="937"/>
      <c r="CQ10" s="937"/>
      <c r="CR10" s="937"/>
      <c r="CS10" s="937"/>
      <c r="CT10" s="937"/>
      <c r="CU10" s="937"/>
      <c r="CV10" s="937"/>
      <c r="CW10" s="937"/>
      <c r="CX10" s="937"/>
      <c r="CY10" s="937"/>
      <c r="CZ10" s="937"/>
      <c r="DA10" s="937"/>
      <c r="DB10" s="937"/>
      <c r="DC10" s="937"/>
      <c r="DD10" s="937"/>
      <c r="DE10" s="937"/>
      <c r="DF10" s="937"/>
      <c r="DG10" s="937"/>
      <c r="DH10" s="937"/>
      <c r="DI10" s="937"/>
      <c r="DJ10" s="937"/>
      <c r="DK10" s="937"/>
      <c r="DL10" s="937"/>
      <c r="DM10" s="937"/>
      <c r="DN10" s="937"/>
      <c r="DO10" s="937"/>
      <c r="DP10" s="937"/>
      <c r="DQ10" s="937"/>
      <c r="DR10" s="937"/>
      <c r="DS10" s="937"/>
      <c r="DT10" s="937"/>
      <c r="DU10" s="937"/>
      <c r="DV10" s="937"/>
      <c r="DW10" s="937"/>
      <c r="DX10" s="937"/>
      <c r="DY10" s="937"/>
      <c r="DZ10" s="937"/>
      <c r="EA10" s="937"/>
      <c r="EB10" s="937"/>
      <c r="EC10" s="937"/>
      <c r="ED10" s="937"/>
      <c r="EE10" s="937"/>
      <c r="EF10" s="937"/>
      <c r="EG10" s="937"/>
      <c r="EH10" s="937"/>
      <c r="EI10" s="937"/>
      <c r="EJ10" s="937"/>
      <c r="EK10" s="937"/>
      <c r="EL10" s="937"/>
      <c r="EM10" s="937"/>
      <c r="EN10" s="937"/>
      <c r="EO10" s="937"/>
      <c r="EP10" s="937"/>
      <c r="EQ10" s="937"/>
      <c r="ER10" s="937"/>
      <c r="ES10" s="937"/>
      <c r="ET10" s="937"/>
      <c r="EU10" s="937"/>
      <c r="EV10" s="937"/>
      <c r="EW10" s="937"/>
      <c r="EX10" s="937"/>
      <c r="EY10" s="937"/>
      <c r="EZ10" s="937"/>
      <c r="FA10" s="937"/>
      <c r="FB10" s="937"/>
      <c r="FC10" s="937"/>
      <c r="FD10" s="937"/>
      <c r="FE10" s="937"/>
      <c r="FF10" s="937"/>
      <c r="FG10" s="937"/>
      <c r="FH10" s="937"/>
      <c r="FI10" s="937"/>
      <c r="FJ10" s="937"/>
      <c r="FK10" s="937"/>
      <c r="FL10" s="937"/>
      <c r="FM10" s="937"/>
      <c r="FN10" s="937"/>
      <c r="FO10" s="937"/>
      <c r="FP10" s="937"/>
      <c r="FQ10" s="937"/>
      <c r="FR10" s="937"/>
      <c r="FS10" s="937"/>
      <c r="FT10" s="937"/>
      <c r="FU10" s="937"/>
      <c r="FV10" s="937"/>
      <c r="FW10" s="937"/>
      <c r="FX10" s="937"/>
      <c r="FY10" s="937"/>
      <c r="FZ10" s="937"/>
      <c r="GA10" s="937"/>
      <c r="GB10" s="937"/>
      <c r="GC10" s="937"/>
      <c r="GD10" s="937"/>
      <c r="GE10" s="937"/>
      <c r="GF10" s="937"/>
      <c r="GG10" s="937"/>
      <c r="GH10" s="937"/>
      <c r="GI10" s="937"/>
      <c r="GJ10" s="937"/>
      <c r="GK10" s="937"/>
      <c r="GL10" s="937"/>
      <c r="GM10" s="937"/>
      <c r="GN10" s="937"/>
      <c r="GO10" s="937"/>
      <c r="GP10" s="937"/>
      <c r="GQ10" s="937"/>
      <c r="GR10" s="937"/>
      <c r="GS10" s="937"/>
      <c r="GT10" s="937"/>
      <c r="GU10" s="937"/>
      <c r="GV10" s="937"/>
      <c r="GW10" s="937"/>
      <c r="GX10" s="937"/>
      <c r="GY10" s="937"/>
      <c r="GZ10" s="937"/>
      <c r="HA10" s="937"/>
      <c r="HB10" s="937"/>
      <c r="HC10" s="937"/>
      <c r="HD10" s="937"/>
      <c r="HE10" s="937"/>
      <c r="HF10" s="937"/>
      <c r="HG10" s="937"/>
      <c r="HH10" s="937"/>
      <c r="HI10" s="937"/>
      <c r="HJ10" s="937"/>
      <c r="HK10" s="937"/>
      <c r="HL10" s="937"/>
      <c r="HM10" s="937"/>
      <c r="HN10" s="937"/>
      <c r="HO10" s="937"/>
      <c r="HP10" s="937"/>
      <c r="HQ10" s="937"/>
      <c r="HR10" s="937"/>
      <c r="HS10" s="937"/>
      <c r="HT10" s="937"/>
      <c r="HU10" s="937"/>
      <c r="HV10" s="937"/>
      <c r="HW10" s="937"/>
      <c r="HX10" s="937"/>
      <c r="HY10" s="937"/>
      <c r="HZ10" s="937"/>
      <c r="IA10" s="937"/>
      <c r="IB10" s="937"/>
      <c r="IC10" s="937"/>
      <c r="ID10" s="937"/>
      <c r="IE10" s="937"/>
      <c r="IF10" s="937"/>
      <c r="IG10" s="937"/>
      <c r="IH10" s="937"/>
      <c r="II10" s="937"/>
      <c r="IJ10" s="937"/>
      <c r="IK10" s="937"/>
      <c r="IL10" s="937"/>
      <c r="IM10" s="937"/>
      <c r="IN10" s="937"/>
      <c r="IO10" s="937"/>
      <c r="IP10" s="937"/>
      <c r="IQ10" s="937"/>
      <c r="IR10" s="937"/>
      <c r="IS10" s="937"/>
      <c r="IT10" s="937"/>
      <c r="IU10" s="937"/>
      <c r="IV10" s="937"/>
      <c r="IW10" s="937"/>
    </row>
    <row r="11" customFormat="false" ht="12.75" hidden="false" customHeight="false" outlineLevel="0" collapsed="false">
      <c r="A11" s="947" t="str">
        <f aca="false">Assm!N10</f>
        <v>Pending Change Orders</v>
      </c>
      <c r="B11" s="944"/>
      <c r="C11" s="948" t="n">
        <f aca="false">Assm!V10</f>
        <v>4073</v>
      </c>
      <c r="D11" s="945"/>
      <c r="E11" s="952" t="n">
        <v>0</v>
      </c>
      <c r="F11" s="952" t="n">
        <v>0</v>
      </c>
      <c r="G11" s="952" t="n">
        <v>0</v>
      </c>
      <c r="H11" s="952" t="n">
        <v>0</v>
      </c>
      <c r="I11" s="952" t="n">
        <v>0</v>
      </c>
      <c r="J11" s="952" t="n">
        <v>0</v>
      </c>
      <c r="K11" s="952" t="n">
        <v>0</v>
      </c>
      <c r="L11" s="952" t="n">
        <v>0</v>
      </c>
      <c r="M11" s="952" t="n">
        <v>0</v>
      </c>
      <c r="N11" s="952" t="n">
        <v>0</v>
      </c>
      <c r="O11" s="952" t="n">
        <v>0</v>
      </c>
      <c r="P11" s="952" t="n">
        <v>0</v>
      </c>
      <c r="Q11" s="952" t="n">
        <v>0</v>
      </c>
      <c r="R11" s="952" t="n">
        <v>0</v>
      </c>
      <c r="S11" s="952" t="n">
        <v>0</v>
      </c>
      <c r="T11" s="952" t="n">
        <v>0</v>
      </c>
      <c r="U11" s="952" t="n">
        <v>0</v>
      </c>
      <c r="V11" s="952" t="n">
        <v>0</v>
      </c>
      <c r="W11" s="952" t="n">
        <v>0</v>
      </c>
      <c r="X11" s="952" t="n">
        <v>0</v>
      </c>
      <c r="Y11" s="952" t="n">
        <v>0</v>
      </c>
      <c r="Z11" s="952" t="n">
        <v>0</v>
      </c>
      <c r="AA11" s="952" t="n">
        <v>0</v>
      </c>
      <c r="AB11" s="952" t="n">
        <v>0</v>
      </c>
      <c r="AC11" s="952" t="n">
        <v>0</v>
      </c>
      <c r="AD11" s="952" t="n">
        <v>0</v>
      </c>
      <c r="AE11" s="952" t="n">
        <v>0</v>
      </c>
      <c r="AF11" s="952" t="n">
        <v>0</v>
      </c>
      <c r="AG11" s="952" t="n">
        <v>0</v>
      </c>
      <c r="AH11" s="952" t="n">
        <v>0</v>
      </c>
      <c r="AI11" s="952" t="n">
        <v>0</v>
      </c>
      <c r="AJ11" s="952" t="n">
        <v>0</v>
      </c>
      <c r="AK11" s="952" t="n">
        <v>0</v>
      </c>
      <c r="AL11" s="952" t="n">
        <v>0</v>
      </c>
      <c r="AM11" s="952" t="n">
        <v>0</v>
      </c>
      <c r="AN11" s="952" t="n">
        <v>0</v>
      </c>
      <c r="AO11" s="952" t="n">
        <v>0</v>
      </c>
      <c r="AP11" s="952" t="n">
        <v>0</v>
      </c>
      <c r="AQ11" s="952" t="n">
        <v>0</v>
      </c>
      <c r="AR11" s="952" t="n">
        <v>0</v>
      </c>
      <c r="AS11" s="952" t="n">
        <v>0</v>
      </c>
      <c r="AT11" s="952" t="n">
        <v>0</v>
      </c>
      <c r="AU11" s="952" t="n">
        <v>0</v>
      </c>
      <c r="AV11" s="952" t="n">
        <v>0</v>
      </c>
      <c r="AW11" s="952" t="n">
        <v>0</v>
      </c>
      <c r="AX11" s="952" t="n">
        <v>0</v>
      </c>
      <c r="AY11" s="952" t="n">
        <v>0</v>
      </c>
      <c r="AZ11" s="945"/>
      <c r="BA11" s="951" t="n">
        <f aca="false">SUM(E11:AY11)</f>
        <v>0</v>
      </c>
      <c r="BB11" s="937"/>
      <c r="BC11" s="937"/>
      <c r="BD11" s="937"/>
      <c r="BE11" s="937"/>
      <c r="BF11" s="937"/>
      <c r="BG11" s="937"/>
      <c r="BH11" s="937"/>
      <c r="BI11" s="937"/>
      <c r="BJ11" s="937"/>
      <c r="BK11" s="937"/>
      <c r="BL11" s="937"/>
      <c r="BM11" s="937"/>
      <c r="BN11" s="937"/>
      <c r="BO11" s="937"/>
      <c r="BP11" s="937"/>
      <c r="BQ11" s="937"/>
      <c r="BR11" s="937"/>
      <c r="BS11" s="937"/>
      <c r="BT11" s="937"/>
      <c r="BU11" s="937"/>
      <c r="BV11" s="937"/>
      <c r="BW11" s="937"/>
      <c r="BX11" s="937"/>
      <c r="BY11" s="937"/>
      <c r="BZ11" s="937"/>
      <c r="CA11" s="937"/>
      <c r="CB11" s="937"/>
      <c r="CC11" s="937"/>
      <c r="CD11" s="937"/>
      <c r="CE11" s="937"/>
      <c r="CF11" s="937"/>
      <c r="CG11" s="937"/>
      <c r="CH11" s="937"/>
      <c r="CI11" s="937"/>
      <c r="CJ11" s="937"/>
      <c r="CK11" s="937"/>
      <c r="CL11" s="937"/>
      <c r="CM11" s="937"/>
      <c r="CN11" s="937"/>
      <c r="CO11" s="937"/>
      <c r="CP11" s="937"/>
      <c r="CQ11" s="937"/>
      <c r="CR11" s="937"/>
      <c r="CS11" s="937"/>
      <c r="CT11" s="937"/>
      <c r="CU11" s="937"/>
      <c r="CV11" s="937"/>
      <c r="CW11" s="937"/>
      <c r="CX11" s="937"/>
      <c r="CY11" s="937"/>
      <c r="CZ11" s="937"/>
      <c r="DA11" s="937"/>
      <c r="DB11" s="937"/>
      <c r="DC11" s="937"/>
      <c r="DD11" s="937"/>
      <c r="DE11" s="937"/>
      <c r="DF11" s="937"/>
      <c r="DG11" s="937"/>
      <c r="DH11" s="937"/>
      <c r="DI11" s="937"/>
      <c r="DJ11" s="937"/>
      <c r="DK11" s="937"/>
      <c r="DL11" s="937"/>
      <c r="DM11" s="937"/>
      <c r="DN11" s="937"/>
      <c r="DO11" s="937"/>
      <c r="DP11" s="937"/>
      <c r="DQ11" s="937"/>
      <c r="DR11" s="937"/>
      <c r="DS11" s="937"/>
      <c r="DT11" s="937"/>
      <c r="DU11" s="937"/>
      <c r="DV11" s="937"/>
      <c r="DW11" s="937"/>
      <c r="DX11" s="937"/>
      <c r="DY11" s="937"/>
      <c r="DZ11" s="937"/>
      <c r="EA11" s="937"/>
      <c r="EB11" s="937"/>
      <c r="EC11" s="937"/>
      <c r="ED11" s="937"/>
      <c r="EE11" s="937"/>
      <c r="EF11" s="937"/>
      <c r="EG11" s="937"/>
      <c r="EH11" s="937"/>
      <c r="EI11" s="937"/>
      <c r="EJ11" s="937"/>
      <c r="EK11" s="937"/>
      <c r="EL11" s="937"/>
      <c r="EM11" s="937"/>
      <c r="EN11" s="937"/>
      <c r="EO11" s="937"/>
      <c r="EP11" s="937"/>
      <c r="EQ11" s="937"/>
      <c r="ER11" s="937"/>
      <c r="ES11" s="937"/>
      <c r="ET11" s="937"/>
      <c r="EU11" s="937"/>
      <c r="EV11" s="937"/>
      <c r="EW11" s="937"/>
      <c r="EX11" s="937"/>
      <c r="EY11" s="937"/>
      <c r="EZ11" s="937"/>
      <c r="FA11" s="937"/>
      <c r="FB11" s="937"/>
      <c r="FC11" s="937"/>
      <c r="FD11" s="937"/>
      <c r="FE11" s="937"/>
      <c r="FF11" s="937"/>
      <c r="FG11" s="937"/>
      <c r="FH11" s="937"/>
      <c r="FI11" s="937"/>
      <c r="FJ11" s="937"/>
      <c r="FK11" s="937"/>
      <c r="FL11" s="937"/>
      <c r="FM11" s="937"/>
      <c r="FN11" s="937"/>
      <c r="FO11" s="937"/>
      <c r="FP11" s="937"/>
      <c r="FQ11" s="937"/>
      <c r="FR11" s="937"/>
      <c r="FS11" s="937"/>
      <c r="FT11" s="937"/>
      <c r="FU11" s="937"/>
      <c r="FV11" s="937"/>
      <c r="FW11" s="937"/>
      <c r="FX11" s="937"/>
      <c r="FY11" s="937"/>
      <c r="FZ11" s="937"/>
      <c r="GA11" s="937"/>
      <c r="GB11" s="937"/>
      <c r="GC11" s="937"/>
      <c r="GD11" s="937"/>
      <c r="GE11" s="937"/>
      <c r="GF11" s="937"/>
      <c r="GG11" s="937"/>
      <c r="GH11" s="937"/>
      <c r="GI11" s="937"/>
      <c r="GJ11" s="937"/>
      <c r="GK11" s="937"/>
      <c r="GL11" s="937"/>
      <c r="GM11" s="937"/>
      <c r="GN11" s="937"/>
      <c r="GO11" s="937"/>
      <c r="GP11" s="937"/>
      <c r="GQ11" s="937"/>
      <c r="GR11" s="937"/>
      <c r="GS11" s="937"/>
      <c r="GT11" s="937"/>
      <c r="GU11" s="937"/>
      <c r="GV11" s="937"/>
      <c r="GW11" s="937"/>
      <c r="GX11" s="937"/>
      <c r="GY11" s="937"/>
      <c r="GZ11" s="937"/>
      <c r="HA11" s="937"/>
      <c r="HB11" s="937"/>
      <c r="HC11" s="937"/>
      <c r="HD11" s="937"/>
      <c r="HE11" s="937"/>
      <c r="HF11" s="937"/>
      <c r="HG11" s="937"/>
      <c r="HH11" s="937"/>
      <c r="HI11" s="937"/>
      <c r="HJ11" s="937"/>
      <c r="HK11" s="937"/>
      <c r="HL11" s="937"/>
      <c r="HM11" s="937"/>
      <c r="HN11" s="937"/>
      <c r="HO11" s="937"/>
      <c r="HP11" s="937"/>
      <c r="HQ11" s="937"/>
      <c r="HR11" s="937"/>
      <c r="HS11" s="937"/>
      <c r="HT11" s="937"/>
      <c r="HU11" s="937"/>
      <c r="HV11" s="937"/>
      <c r="HW11" s="937"/>
      <c r="HX11" s="937"/>
      <c r="HY11" s="937"/>
      <c r="HZ11" s="937"/>
      <c r="IA11" s="937"/>
      <c r="IB11" s="937"/>
      <c r="IC11" s="937"/>
      <c r="ID11" s="937"/>
      <c r="IE11" s="937"/>
      <c r="IF11" s="937"/>
      <c r="IG11" s="937"/>
      <c r="IH11" s="937"/>
      <c r="II11" s="937"/>
      <c r="IJ11" s="937"/>
      <c r="IK11" s="937"/>
      <c r="IL11" s="937"/>
      <c r="IM11" s="937"/>
      <c r="IN11" s="937"/>
      <c r="IO11" s="937"/>
      <c r="IP11" s="937"/>
      <c r="IQ11" s="937"/>
      <c r="IR11" s="937"/>
      <c r="IS11" s="937"/>
      <c r="IT11" s="937"/>
      <c r="IU11" s="937"/>
      <c r="IV11" s="937"/>
      <c r="IW11" s="937"/>
    </row>
    <row r="12" customFormat="false" ht="12.75" hidden="false" customHeight="false" outlineLevel="0" collapsed="false">
      <c r="A12" s="947" t="str">
        <f aca="false">Assm!N11</f>
        <v>Onshore Payment Adjustment</v>
      </c>
      <c r="B12" s="944"/>
      <c r="C12" s="948" t="n">
        <f aca="false">Assm!V11</f>
        <v>-7675.23388985648</v>
      </c>
      <c r="D12" s="945"/>
      <c r="E12" s="952" t="n">
        <v>0</v>
      </c>
      <c r="F12" s="952" t="n">
        <v>0</v>
      </c>
      <c r="G12" s="952" t="n">
        <v>0</v>
      </c>
      <c r="H12" s="952" t="n">
        <v>0</v>
      </c>
      <c r="I12" s="952" t="n">
        <v>0</v>
      </c>
      <c r="J12" s="952" t="n">
        <v>0</v>
      </c>
      <c r="K12" s="952" t="n">
        <v>0</v>
      </c>
      <c r="L12" s="952" t="n">
        <v>0</v>
      </c>
      <c r="M12" s="952" t="n">
        <v>0</v>
      </c>
      <c r="N12" s="952" t="n">
        <v>0</v>
      </c>
      <c r="O12" s="952" t="n">
        <v>0</v>
      </c>
      <c r="P12" s="952" t="n">
        <v>0</v>
      </c>
      <c r="Q12" s="952" t="n">
        <v>0</v>
      </c>
      <c r="R12" s="952" t="n">
        <v>0</v>
      </c>
      <c r="S12" s="952" t="n">
        <v>0</v>
      </c>
      <c r="T12" s="952" t="n">
        <v>0</v>
      </c>
      <c r="U12" s="952" t="n">
        <v>0</v>
      </c>
      <c r="V12" s="952" t="n">
        <v>0</v>
      </c>
      <c r="W12" s="952" t="n">
        <v>0</v>
      </c>
      <c r="X12" s="952" t="n">
        <v>0</v>
      </c>
      <c r="Y12" s="952" t="n">
        <v>0</v>
      </c>
      <c r="Z12" s="952" t="n">
        <v>0</v>
      </c>
      <c r="AA12" s="952" t="n">
        <v>0</v>
      </c>
      <c r="AB12" s="952" t="n">
        <v>0</v>
      </c>
      <c r="AC12" s="952" t="n">
        <v>0</v>
      </c>
      <c r="AD12" s="952" t="n">
        <v>0</v>
      </c>
      <c r="AE12" s="952" t="n">
        <v>0</v>
      </c>
      <c r="AF12" s="952" t="n">
        <v>0</v>
      </c>
      <c r="AG12" s="952" t="n">
        <v>0</v>
      </c>
      <c r="AH12" s="952" t="n">
        <v>0</v>
      </c>
      <c r="AI12" s="952" t="n">
        <v>0</v>
      </c>
      <c r="AJ12" s="952" t="n">
        <v>0</v>
      </c>
      <c r="AK12" s="952" t="n">
        <v>0</v>
      </c>
      <c r="AL12" s="952" t="n">
        <v>0</v>
      </c>
      <c r="AM12" s="952" t="n">
        <v>0</v>
      </c>
      <c r="AN12" s="952" t="n">
        <v>0</v>
      </c>
      <c r="AO12" s="952" t="n">
        <v>0</v>
      </c>
      <c r="AP12" s="952" t="n">
        <v>0</v>
      </c>
      <c r="AQ12" s="952" t="n">
        <v>0</v>
      </c>
      <c r="AR12" s="952" t="n">
        <v>0</v>
      </c>
      <c r="AS12" s="952" t="n">
        <v>0</v>
      </c>
      <c r="AT12" s="952" t="n">
        <v>0</v>
      </c>
      <c r="AU12" s="952" t="n">
        <v>0</v>
      </c>
      <c r="AV12" s="952" t="n">
        <v>0</v>
      </c>
      <c r="AW12" s="952" t="n">
        <v>0</v>
      </c>
      <c r="AX12" s="952" t="n">
        <v>0</v>
      </c>
      <c r="AY12" s="952" t="n">
        <v>0</v>
      </c>
      <c r="AZ12" s="945"/>
      <c r="BA12" s="951" t="n">
        <f aca="false">SUM(E12:AY12)</f>
        <v>0</v>
      </c>
      <c r="BB12" s="937"/>
      <c r="BC12" s="937"/>
      <c r="BD12" s="937"/>
      <c r="BE12" s="937"/>
      <c r="BF12" s="937"/>
      <c r="BG12" s="937"/>
      <c r="BH12" s="937"/>
      <c r="BI12" s="937"/>
      <c r="BJ12" s="937"/>
      <c r="BK12" s="937"/>
      <c r="BL12" s="937"/>
      <c r="BM12" s="937"/>
      <c r="BN12" s="937"/>
      <c r="BO12" s="937"/>
      <c r="BP12" s="937"/>
      <c r="BQ12" s="937"/>
      <c r="BR12" s="937"/>
      <c r="BS12" s="937"/>
      <c r="BT12" s="937"/>
      <c r="BU12" s="937"/>
      <c r="BV12" s="937"/>
      <c r="BW12" s="937"/>
      <c r="BX12" s="937"/>
      <c r="BY12" s="937"/>
      <c r="BZ12" s="937"/>
      <c r="CA12" s="937"/>
      <c r="CB12" s="937"/>
      <c r="CC12" s="937"/>
      <c r="CD12" s="937"/>
      <c r="CE12" s="937"/>
      <c r="CF12" s="937"/>
      <c r="CG12" s="937"/>
      <c r="CH12" s="937"/>
      <c r="CI12" s="937"/>
      <c r="CJ12" s="937"/>
      <c r="CK12" s="937"/>
      <c r="CL12" s="937"/>
      <c r="CM12" s="937"/>
      <c r="CN12" s="937"/>
      <c r="CO12" s="937"/>
      <c r="CP12" s="937"/>
      <c r="CQ12" s="937"/>
      <c r="CR12" s="937"/>
      <c r="CS12" s="937"/>
      <c r="CT12" s="937"/>
      <c r="CU12" s="937"/>
      <c r="CV12" s="937"/>
      <c r="CW12" s="937"/>
      <c r="CX12" s="937"/>
      <c r="CY12" s="937"/>
      <c r="CZ12" s="937"/>
      <c r="DA12" s="937"/>
      <c r="DB12" s="937"/>
      <c r="DC12" s="937"/>
      <c r="DD12" s="937"/>
      <c r="DE12" s="937"/>
      <c r="DF12" s="937"/>
      <c r="DG12" s="937"/>
      <c r="DH12" s="937"/>
      <c r="DI12" s="937"/>
      <c r="DJ12" s="937"/>
      <c r="DK12" s="937"/>
      <c r="DL12" s="937"/>
      <c r="DM12" s="937"/>
      <c r="DN12" s="937"/>
      <c r="DO12" s="937"/>
      <c r="DP12" s="937"/>
      <c r="DQ12" s="937"/>
      <c r="DR12" s="937"/>
      <c r="DS12" s="937"/>
      <c r="DT12" s="937"/>
      <c r="DU12" s="937"/>
      <c r="DV12" s="937"/>
      <c r="DW12" s="937"/>
      <c r="DX12" s="937"/>
      <c r="DY12" s="937"/>
      <c r="DZ12" s="937"/>
      <c r="EA12" s="937"/>
      <c r="EB12" s="937"/>
      <c r="EC12" s="937"/>
      <c r="ED12" s="937"/>
      <c r="EE12" s="937"/>
      <c r="EF12" s="937"/>
      <c r="EG12" s="937"/>
      <c r="EH12" s="937"/>
      <c r="EI12" s="937"/>
      <c r="EJ12" s="937"/>
      <c r="EK12" s="937"/>
      <c r="EL12" s="937"/>
      <c r="EM12" s="937"/>
      <c r="EN12" s="937"/>
      <c r="EO12" s="937"/>
      <c r="EP12" s="937"/>
      <c r="EQ12" s="937"/>
      <c r="ER12" s="937"/>
      <c r="ES12" s="937"/>
      <c r="ET12" s="937"/>
      <c r="EU12" s="937"/>
      <c r="EV12" s="937"/>
      <c r="EW12" s="937"/>
      <c r="EX12" s="937"/>
      <c r="EY12" s="937"/>
      <c r="EZ12" s="937"/>
      <c r="FA12" s="937"/>
      <c r="FB12" s="937"/>
      <c r="FC12" s="937"/>
      <c r="FD12" s="937"/>
      <c r="FE12" s="937"/>
      <c r="FF12" s="937"/>
      <c r="FG12" s="937"/>
      <c r="FH12" s="937"/>
      <c r="FI12" s="937"/>
      <c r="FJ12" s="937"/>
      <c r="FK12" s="937"/>
      <c r="FL12" s="937"/>
      <c r="FM12" s="937"/>
      <c r="FN12" s="937"/>
      <c r="FO12" s="937"/>
      <c r="FP12" s="937"/>
      <c r="FQ12" s="937"/>
      <c r="FR12" s="937"/>
      <c r="FS12" s="937"/>
      <c r="FT12" s="937"/>
      <c r="FU12" s="937"/>
      <c r="FV12" s="937"/>
      <c r="FW12" s="937"/>
      <c r="FX12" s="937"/>
      <c r="FY12" s="937"/>
      <c r="FZ12" s="937"/>
      <c r="GA12" s="937"/>
      <c r="GB12" s="937"/>
      <c r="GC12" s="937"/>
      <c r="GD12" s="937"/>
      <c r="GE12" s="937"/>
      <c r="GF12" s="937"/>
      <c r="GG12" s="937"/>
      <c r="GH12" s="937"/>
      <c r="GI12" s="937"/>
      <c r="GJ12" s="937"/>
      <c r="GK12" s="937"/>
      <c r="GL12" s="937"/>
      <c r="GM12" s="937"/>
      <c r="GN12" s="937"/>
      <c r="GO12" s="937"/>
      <c r="GP12" s="937"/>
      <c r="GQ12" s="937"/>
      <c r="GR12" s="937"/>
      <c r="GS12" s="937"/>
      <c r="GT12" s="937"/>
      <c r="GU12" s="937"/>
      <c r="GV12" s="937"/>
      <c r="GW12" s="937"/>
      <c r="GX12" s="937"/>
      <c r="GY12" s="937"/>
      <c r="GZ12" s="937"/>
      <c r="HA12" s="937"/>
      <c r="HB12" s="937"/>
      <c r="HC12" s="937"/>
      <c r="HD12" s="937"/>
      <c r="HE12" s="937"/>
      <c r="HF12" s="937"/>
      <c r="HG12" s="937"/>
      <c r="HH12" s="937"/>
      <c r="HI12" s="937"/>
      <c r="HJ12" s="937"/>
      <c r="HK12" s="937"/>
      <c r="HL12" s="937"/>
      <c r="HM12" s="937"/>
      <c r="HN12" s="937"/>
      <c r="HO12" s="937"/>
      <c r="HP12" s="937"/>
      <c r="HQ12" s="937"/>
      <c r="HR12" s="937"/>
      <c r="HS12" s="937"/>
      <c r="HT12" s="937"/>
      <c r="HU12" s="937"/>
      <c r="HV12" s="937"/>
      <c r="HW12" s="937"/>
      <c r="HX12" s="937"/>
      <c r="HY12" s="937"/>
      <c r="HZ12" s="937"/>
      <c r="IA12" s="937"/>
      <c r="IB12" s="937"/>
      <c r="IC12" s="937"/>
      <c r="ID12" s="937"/>
      <c r="IE12" s="937"/>
      <c r="IF12" s="937"/>
      <c r="IG12" s="937"/>
      <c r="IH12" s="937"/>
      <c r="II12" s="937"/>
      <c r="IJ12" s="937"/>
      <c r="IK12" s="937"/>
      <c r="IL12" s="937"/>
      <c r="IM12" s="937"/>
      <c r="IN12" s="937"/>
      <c r="IO12" s="937"/>
      <c r="IP12" s="937"/>
      <c r="IQ12" s="937"/>
      <c r="IR12" s="937"/>
      <c r="IS12" s="937"/>
      <c r="IT12" s="937"/>
      <c r="IU12" s="937"/>
      <c r="IV12" s="937"/>
      <c r="IW12" s="937"/>
    </row>
    <row r="13" customFormat="false" ht="12.75" hidden="false" customHeight="false" outlineLevel="0" collapsed="false">
      <c r="A13" s="947" t="str">
        <f aca="false">Assm!N12</f>
        <v>Turnkey Tax Adjustment (0=Off, 1=On)</v>
      </c>
      <c r="B13" s="944"/>
      <c r="C13" s="948" t="n">
        <f aca="false">Assm!V12</f>
        <v>-7513.835018</v>
      </c>
      <c r="D13" s="945"/>
      <c r="E13" s="952" t="n">
        <v>0</v>
      </c>
      <c r="F13" s="952" t="n">
        <v>0</v>
      </c>
      <c r="G13" s="952" t="n">
        <v>0</v>
      </c>
      <c r="H13" s="952" t="n">
        <v>0</v>
      </c>
      <c r="I13" s="952" t="n">
        <v>0</v>
      </c>
      <c r="J13" s="952" t="n">
        <v>0</v>
      </c>
      <c r="K13" s="952" t="n">
        <v>0</v>
      </c>
      <c r="L13" s="952" t="n">
        <v>0</v>
      </c>
      <c r="M13" s="952" t="n">
        <v>0</v>
      </c>
      <c r="N13" s="952" t="n">
        <v>0</v>
      </c>
      <c r="O13" s="952" t="n">
        <v>0</v>
      </c>
      <c r="P13" s="952" t="n">
        <v>0</v>
      </c>
      <c r="Q13" s="952" t="n">
        <v>0</v>
      </c>
      <c r="R13" s="952" t="n">
        <v>0</v>
      </c>
      <c r="S13" s="952" t="n">
        <v>0</v>
      </c>
      <c r="T13" s="952" t="n">
        <v>0</v>
      </c>
      <c r="U13" s="952" t="n">
        <v>0</v>
      </c>
      <c r="V13" s="952" t="n">
        <v>0</v>
      </c>
      <c r="W13" s="952" t="n">
        <v>0</v>
      </c>
      <c r="X13" s="952" t="n">
        <v>0</v>
      </c>
      <c r="Y13" s="952" t="n">
        <v>0</v>
      </c>
      <c r="Z13" s="952" t="n">
        <v>0</v>
      </c>
      <c r="AA13" s="952" t="n">
        <v>0</v>
      </c>
      <c r="AB13" s="952" t="n">
        <v>0</v>
      </c>
      <c r="AC13" s="952" t="n">
        <v>0</v>
      </c>
      <c r="AD13" s="952" t="n">
        <v>0</v>
      </c>
      <c r="AE13" s="952" t="n">
        <v>0</v>
      </c>
      <c r="AF13" s="952" t="n">
        <v>0</v>
      </c>
      <c r="AG13" s="952" t="n">
        <v>0</v>
      </c>
      <c r="AH13" s="952" t="n">
        <v>0</v>
      </c>
      <c r="AI13" s="952" t="n">
        <v>0</v>
      </c>
      <c r="AJ13" s="952" t="n">
        <v>0</v>
      </c>
      <c r="AK13" s="952" t="n">
        <v>0</v>
      </c>
      <c r="AL13" s="952" t="n">
        <v>0</v>
      </c>
      <c r="AM13" s="952" t="n">
        <v>0</v>
      </c>
      <c r="AN13" s="952" t="n">
        <v>0</v>
      </c>
      <c r="AO13" s="952" t="n">
        <v>0</v>
      </c>
      <c r="AP13" s="952" t="n">
        <v>0</v>
      </c>
      <c r="AQ13" s="952" t="n">
        <v>0</v>
      </c>
      <c r="AR13" s="952" t="n">
        <v>0</v>
      </c>
      <c r="AS13" s="952" t="n">
        <v>0</v>
      </c>
      <c r="AT13" s="952" t="n">
        <v>0</v>
      </c>
      <c r="AU13" s="952" t="n">
        <v>0</v>
      </c>
      <c r="AV13" s="952" t="n">
        <v>0</v>
      </c>
      <c r="AW13" s="952" t="n">
        <v>0</v>
      </c>
      <c r="AX13" s="952" t="n">
        <v>0</v>
      </c>
      <c r="AY13" s="952" t="n">
        <v>0</v>
      </c>
      <c r="AZ13" s="945"/>
      <c r="BA13" s="951" t="n">
        <f aca="false">SUM(E13:AY13)</f>
        <v>0</v>
      </c>
      <c r="BB13" s="937"/>
      <c r="BC13" s="937"/>
      <c r="BD13" s="937"/>
      <c r="BE13" s="937"/>
      <c r="BF13" s="937"/>
      <c r="BG13" s="937"/>
      <c r="BH13" s="937"/>
      <c r="BI13" s="937"/>
      <c r="BJ13" s="937"/>
      <c r="BK13" s="937"/>
      <c r="BL13" s="937"/>
      <c r="BM13" s="937"/>
      <c r="BN13" s="937"/>
      <c r="BO13" s="937"/>
      <c r="BP13" s="937"/>
      <c r="BQ13" s="937"/>
      <c r="BR13" s="937"/>
      <c r="BS13" s="937"/>
      <c r="BT13" s="937"/>
      <c r="BU13" s="937"/>
      <c r="BV13" s="937"/>
      <c r="BW13" s="937"/>
      <c r="BX13" s="937"/>
      <c r="BY13" s="937"/>
      <c r="BZ13" s="937"/>
      <c r="CA13" s="937"/>
      <c r="CB13" s="937"/>
      <c r="CC13" s="937"/>
      <c r="CD13" s="937"/>
      <c r="CE13" s="937"/>
      <c r="CF13" s="937"/>
      <c r="CG13" s="937"/>
      <c r="CH13" s="937"/>
      <c r="CI13" s="937"/>
      <c r="CJ13" s="937"/>
      <c r="CK13" s="937"/>
      <c r="CL13" s="937"/>
      <c r="CM13" s="937"/>
      <c r="CN13" s="937"/>
      <c r="CO13" s="937"/>
      <c r="CP13" s="937"/>
      <c r="CQ13" s="937"/>
      <c r="CR13" s="937"/>
      <c r="CS13" s="937"/>
      <c r="CT13" s="937"/>
      <c r="CU13" s="937"/>
      <c r="CV13" s="937"/>
      <c r="CW13" s="937"/>
      <c r="CX13" s="937"/>
      <c r="CY13" s="937"/>
      <c r="CZ13" s="937"/>
      <c r="DA13" s="937"/>
      <c r="DB13" s="937"/>
      <c r="DC13" s="937"/>
      <c r="DD13" s="937"/>
      <c r="DE13" s="937"/>
      <c r="DF13" s="937"/>
      <c r="DG13" s="937"/>
      <c r="DH13" s="937"/>
      <c r="DI13" s="937"/>
      <c r="DJ13" s="937"/>
      <c r="DK13" s="937"/>
      <c r="DL13" s="937"/>
      <c r="DM13" s="937"/>
      <c r="DN13" s="937"/>
      <c r="DO13" s="937"/>
      <c r="DP13" s="937"/>
      <c r="DQ13" s="937"/>
      <c r="DR13" s="937"/>
      <c r="DS13" s="937"/>
      <c r="DT13" s="937"/>
      <c r="DU13" s="937"/>
      <c r="DV13" s="937"/>
      <c r="DW13" s="937"/>
      <c r="DX13" s="937"/>
      <c r="DY13" s="937"/>
      <c r="DZ13" s="937"/>
      <c r="EA13" s="937"/>
      <c r="EB13" s="937"/>
      <c r="EC13" s="937"/>
      <c r="ED13" s="937"/>
      <c r="EE13" s="937"/>
      <c r="EF13" s="937"/>
      <c r="EG13" s="937"/>
      <c r="EH13" s="937"/>
      <c r="EI13" s="937"/>
      <c r="EJ13" s="937"/>
      <c r="EK13" s="937"/>
      <c r="EL13" s="937"/>
      <c r="EM13" s="937"/>
      <c r="EN13" s="937"/>
      <c r="EO13" s="937"/>
      <c r="EP13" s="937"/>
      <c r="EQ13" s="937"/>
      <c r="ER13" s="937"/>
      <c r="ES13" s="937"/>
      <c r="ET13" s="937"/>
      <c r="EU13" s="937"/>
      <c r="EV13" s="937"/>
      <c r="EW13" s="937"/>
      <c r="EX13" s="937"/>
      <c r="EY13" s="937"/>
      <c r="EZ13" s="937"/>
      <c r="FA13" s="937"/>
      <c r="FB13" s="937"/>
      <c r="FC13" s="937"/>
      <c r="FD13" s="937"/>
      <c r="FE13" s="937"/>
      <c r="FF13" s="937"/>
      <c r="FG13" s="937"/>
      <c r="FH13" s="937"/>
      <c r="FI13" s="937"/>
      <c r="FJ13" s="937"/>
      <c r="FK13" s="937"/>
      <c r="FL13" s="937"/>
      <c r="FM13" s="937"/>
      <c r="FN13" s="937"/>
      <c r="FO13" s="937"/>
      <c r="FP13" s="937"/>
      <c r="FQ13" s="937"/>
      <c r="FR13" s="937"/>
      <c r="FS13" s="937"/>
      <c r="FT13" s="937"/>
      <c r="FU13" s="937"/>
      <c r="FV13" s="937"/>
      <c r="FW13" s="937"/>
      <c r="FX13" s="937"/>
      <c r="FY13" s="937"/>
      <c r="FZ13" s="937"/>
      <c r="GA13" s="937"/>
      <c r="GB13" s="937"/>
      <c r="GC13" s="937"/>
      <c r="GD13" s="937"/>
      <c r="GE13" s="937"/>
      <c r="GF13" s="937"/>
      <c r="GG13" s="937"/>
      <c r="GH13" s="937"/>
      <c r="GI13" s="937"/>
      <c r="GJ13" s="937"/>
      <c r="GK13" s="937"/>
      <c r="GL13" s="937"/>
      <c r="GM13" s="937"/>
      <c r="GN13" s="937"/>
      <c r="GO13" s="937"/>
      <c r="GP13" s="937"/>
      <c r="GQ13" s="937"/>
      <c r="GR13" s="937"/>
      <c r="GS13" s="937"/>
      <c r="GT13" s="937"/>
      <c r="GU13" s="937"/>
      <c r="GV13" s="937"/>
      <c r="GW13" s="937"/>
      <c r="GX13" s="937"/>
      <c r="GY13" s="937"/>
      <c r="GZ13" s="937"/>
      <c r="HA13" s="937"/>
      <c r="HB13" s="937"/>
      <c r="HC13" s="937"/>
      <c r="HD13" s="937"/>
      <c r="HE13" s="937"/>
      <c r="HF13" s="937"/>
      <c r="HG13" s="937"/>
      <c r="HH13" s="937"/>
      <c r="HI13" s="937"/>
      <c r="HJ13" s="937"/>
      <c r="HK13" s="937"/>
      <c r="HL13" s="937"/>
      <c r="HM13" s="937"/>
      <c r="HN13" s="937"/>
      <c r="HO13" s="937"/>
      <c r="HP13" s="937"/>
      <c r="HQ13" s="937"/>
      <c r="HR13" s="937"/>
      <c r="HS13" s="937"/>
      <c r="HT13" s="937"/>
      <c r="HU13" s="937"/>
      <c r="HV13" s="937"/>
      <c r="HW13" s="937"/>
      <c r="HX13" s="937"/>
      <c r="HY13" s="937"/>
      <c r="HZ13" s="937"/>
      <c r="IA13" s="937"/>
      <c r="IB13" s="937"/>
      <c r="IC13" s="937"/>
      <c r="ID13" s="937"/>
      <c r="IE13" s="937"/>
      <c r="IF13" s="937"/>
      <c r="IG13" s="937"/>
      <c r="IH13" s="937"/>
      <c r="II13" s="937"/>
      <c r="IJ13" s="937"/>
      <c r="IK13" s="937"/>
      <c r="IL13" s="937"/>
      <c r="IM13" s="937"/>
      <c r="IN13" s="937"/>
      <c r="IO13" s="937"/>
      <c r="IP13" s="937"/>
      <c r="IQ13" s="937"/>
      <c r="IR13" s="937"/>
      <c r="IS13" s="937"/>
      <c r="IT13" s="937"/>
      <c r="IU13" s="937"/>
      <c r="IV13" s="937"/>
      <c r="IW13" s="937"/>
    </row>
    <row r="14" customFormat="false" ht="12.75" hidden="false" customHeight="false" outlineLevel="0" collapsed="false">
      <c r="A14" s="947" t="str">
        <f aca="false">Assm!N13</f>
        <v>Delay/Performance Damages From SCC (0=Off, 1=On)</v>
      </c>
      <c r="B14" s="944"/>
      <c r="C14" s="953" t="n">
        <f aca="false">Assm!V13</f>
        <v>-7301.355</v>
      </c>
      <c r="D14" s="954"/>
      <c r="E14" s="955" t="n">
        <v>0</v>
      </c>
      <c r="F14" s="955" t="n">
        <v>0</v>
      </c>
      <c r="G14" s="955" t="n">
        <v>0</v>
      </c>
      <c r="H14" s="955" t="n">
        <v>0</v>
      </c>
      <c r="I14" s="955" t="n">
        <v>0</v>
      </c>
      <c r="J14" s="955" t="n">
        <v>0</v>
      </c>
      <c r="K14" s="955" t="n">
        <v>0</v>
      </c>
      <c r="L14" s="955" t="n">
        <v>0</v>
      </c>
      <c r="M14" s="955" t="n">
        <v>0</v>
      </c>
      <c r="N14" s="955" t="n">
        <v>0</v>
      </c>
      <c r="O14" s="955" t="n">
        <v>0</v>
      </c>
      <c r="P14" s="955" t="n">
        <v>0</v>
      </c>
      <c r="Q14" s="955" t="n">
        <v>0</v>
      </c>
      <c r="R14" s="955" t="n">
        <v>0</v>
      </c>
      <c r="S14" s="955" t="n">
        <v>0</v>
      </c>
      <c r="T14" s="955" t="n">
        <v>0</v>
      </c>
      <c r="U14" s="955" t="n">
        <v>0</v>
      </c>
      <c r="V14" s="955" t="n">
        <v>0</v>
      </c>
      <c r="W14" s="955" t="n">
        <v>0</v>
      </c>
      <c r="X14" s="955" t="n">
        <v>0</v>
      </c>
      <c r="Y14" s="955" t="n">
        <v>0</v>
      </c>
      <c r="Z14" s="955" t="n">
        <v>0</v>
      </c>
      <c r="AA14" s="955" t="n">
        <v>0</v>
      </c>
      <c r="AB14" s="955" t="n">
        <v>0</v>
      </c>
      <c r="AC14" s="955" t="n">
        <v>0</v>
      </c>
      <c r="AD14" s="955" t="n">
        <v>0</v>
      </c>
      <c r="AE14" s="955" t="n">
        <v>0</v>
      </c>
      <c r="AF14" s="955" t="n">
        <v>0</v>
      </c>
      <c r="AG14" s="955" t="n">
        <v>0</v>
      </c>
      <c r="AH14" s="955" t="n">
        <v>0</v>
      </c>
      <c r="AI14" s="955" t="n">
        <v>0</v>
      </c>
      <c r="AJ14" s="955" t="n">
        <v>0</v>
      </c>
      <c r="AK14" s="955" t="n">
        <v>0</v>
      </c>
      <c r="AL14" s="955" t="n">
        <v>0</v>
      </c>
      <c r="AM14" s="955" t="n">
        <v>0</v>
      </c>
      <c r="AN14" s="955" t="n">
        <v>0</v>
      </c>
      <c r="AO14" s="955" t="n">
        <v>0</v>
      </c>
      <c r="AP14" s="955" t="n">
        <v>0</v>
      </c>
      <c r="AQ14" s="955" t="n">
        <v>0</v>
      </c>
      <c r="AR14" s="955" t="n">
        <v>0</v>
      </c>
      <c r="AS14" s="955" t="n">
        <v>0</v>
      </c>
      <c r="AT14" s="955" t="n">
        <v>0</v>
      </c>
      <c r="AU14" s="955" t="n">
        <v>0</v>
      </c>
      <c r="AV14" s="955" t="n">
        <v>0</v>
      </c>
      <c r="AW14" s="955" t="n">
        <v>0</v>
      </c>
      <c r="AX14" s="955" t="n">
        <v>0</v>
      </c>
      <c r="AY14" s="955" t="n">
        <v>0</v>
      </c>
      <c r="AZ14" s="954"/>
      <c r="BA14" s="956" t="n">
        <f aca="false">SUM(E14:AY14)</f>
        <v>0</v>
      </c>
      <c r="BB14" s="937"/>
      <c r="BC14" s="937"/>
      <c r="BD14" s="937"/>
      <c r="BE14" s="937"/>
      <c r="BF14" s="937"/>
      <c r="BG14" s="937"/>
      <c r="BH14" s="937"/>
      <c r="BI14" s="937"/>
      <c r="BJ14" s="937"/>
      <c r="BK14" s="937"/>
      <c r="BL14" s="937"/>
      <c r="BM14" s="937"/>
      <c r="BN14" s="937"/>
      <c r="BO14" s="937"/>
      <c r="BP14" s="937"/>
      <c r="BQ14" s="937"/>
      <c r="BR14" s="937"/>
      <c r="BS14" s="937"/>
      <c r="BT14" s="937"/>
      <c r="BU14" s="937"/>
      <c r="BV14" s="937"/>
      <c r="BW14" s="937"/>
      <c r="BX14" s="937"/>
      <c r="BY14" s="937"/>
      <c r="BZ14" s="937"/>
      <c r="CA14" s="937"/>
      <c r="CB14" s="937"/>
      <c r="CC14" s="937"/>
      <c r="CD14" s="937"/>
      <c r="CE14" s="937"/>
      <c r="CF14" s="937"/>
      <c r="CG14" s="937"/>
      <c r="CH14" s="937"/>
      <c r="CI14" s="937"/>
      <c r="CJ14" s="937"/>
      <c r="CK14" s="937"/>
      <c r="CL14" s="937"/>
      <c r="CM14" s="937"/>
      <c r="CN14" s="937"/>
      <c r="CO14" s="937"/>
      <c r="CP14" s="937"/>
      <c r="CQ14" s="937"/>
      <c r="CR14" s="937"/>
      <c r="CS14" s="937"/>
      <c r="CT14" s="937"/>
      <c r="CU14" s="937"/>
      <c r="CV14" s="937"/>
      <c r="CW14" s="937"/>
      <c r="CX14" s="937"/>
      <c r="CY14" s="937"/>
      <c r="CZ14" s="937"/>
      <c r="DA14" s="937"/>
      <c r="DB14" s="937"/>
      <c r="DC14" s="937"/>
      <c r="DD14" s="937"/>
      <c r="DE14" s="937"/>
      <c r="DF14" s="937"/>
      <c r="DG14" s="937"/>
      <c r="DH14" s="937"/>
      <c r="DI14" s="937"/>
      <c r="DJ14" s="937"/>
      <c r="DK14" s="937"/>
      <c r="DL14" s="937"/>
      <c r="DM14" s="937"/>
      <c r="DN14" s="937"/>
      <c r="DO14" s="937"/>
      <c r="DP14" s="937"/>
      <c r="DQ14" s="937"/>
      <c r="DR14" s="937"/>
      <c r="DS14" s="937"/>
      <c r="DT14" s="937"/>
      <c r="DU14" s="937"/>
      <c r="DV14" s="937"/>
      <c r="DW14" s="937"/>
      <c r="DX14" s="937"/>
      <c r="DY14" s="937"/>
      <c r="DZ14" s="937"/>
      <c r="EA14" s="937"/>
      <c r="EB14" s="937"/>
      <c r="EC14" s="937"/>
      <c r="ED14" s="937"/>
      <c r="EE14" s="937"/>
      <c r="EF14" s="937"/>
      <c r="EG14" s="937"/>
      <c r="EH14" s="937"/>
      <c r="EI14" s="937"/>
      <c r="EJ14" s="937"/>
      <c r="EK14" s="937"/>
      <c r="EL14" s="937"/>
      <c r="EM14" s="937"/>
      <c r="EN14" s="937"/>
      <c r="EO14" s="937"/>
      <c r="EP14" s="937"/>
      <c r="EQ14" s="937"/>
      <c r="ER14" s="937"/>
      <c r="ES14" s="937"/>
      <c r="ET14" s="937"/>
      <c r="EU14" s="937"/>
      <c r="EV14" s="937"/>
      <c r="EW14" s="937"/>
      <c r="EX14" s="937"/>
      <c r="EY14" s="937"/>
      <c r="EZ14" s="937"/>
      <c r="FA14" s="937"/>
      <c r="FB14" s="937"/>
      <c r="FC14" s="937"/>
      <c r="FD14" s="937"/>
      <c r="FE14" s="937"/>
      <c r="FF14" s="937"/>
      <c r="FG14" s="937"/>
      <c r="FH14" s="937"/>
      <c r="FI14" s="937"/>
      <c r="FJ14" s="937"/>
      <c r="FK14" s="937"/>
      <c r="FL14" s="937"/>
      <c r="FM14" s="937"/>
      <c r="FN14" s="937"/>
      <c r="FO14" s="937"/>
      <c r="FP14" s="937"/>
      <c r="FQ14" s="937"/>
      <c r="FR14" s="937"/>
      <c r="FS14" s="937"/>
      <c r="FT14" s="937"/>
      <c r="FU14" s="937"/>
      <c r="FV14" s="937"/>
      <c r="FW14" s="937"/>
      <c r="FX14" s="937"/>
      <c r="FY14" s="937"/>
      <c r="FZ14" s="937"/>
      <c r="GA14" s="937"/>
      <c r="GB14" s="937"/>
      <c r="GC14" s="937"/>
      <c r="GD14" s="937"/>
      <c r="GE14" s="937"/>
      <c r="GF14" s="937"/>
      <c r="GG14" s="937"/>
      <c r="GH14" s="937"/>
      <c r="GI14" s="937"/>
      <c r="GJ14" s="937"/>
      <c r="GK14" s="937"/>
      <c r="GL14" s="937"/>
      <c r="GM14" s="937"/>
      <c r="GN14" s="937"/>
      <c r="GO14" s="937"/>
      <c r="GP14" s="937"/>
      <c r="GQ14" s="937"/>
      <c r="GR14" s="937"/>
      <c r="GS14" s="937"/>
      <c r="GT14" s="937"/>
      <c r="GU14" s="937"/>
      <c r="GV14" s="937"/>
      <c r="GW14" s="937"/>
      <c r="GX14" s="937"/>
      <c r="GY14" s="937"/>
      <c r="GZ14" s="937"/>
      <c r="HA14" s="937"/>
      <c r="HB14" s="937"/>
      <c r="HC14" s="937"/>
      <c r="HD14" s="937"/>
      <c r="HE14" s="937"/>
      <c r="HF14" s="937"/>
      <c r="HG14" s="937"/>
      <c r="HH14" s="937"/>
      <c r="HI14" s="937"/>
      <c r="HJ14" s="937"/>
      <c r="HK14" s="937"/>
      <c r="HL14" s="937"/>
      <c r="HM14" s="937"/>
      <c r="HN14" s="937"/>
      <c r="HO14" s="937"/>
      <c r="HP14" s="937"/>
      <c r="HQ14" s="937"/>
      <c r="HR14" s="937"/>
      <c r="HS14" s="937"/>
      <c r="HT14" s="937"/>
      <c r="HU14" s="937"/>
      <c r="HV14" s="937"/>
      <c r="HW14" s="937"/>
      <c r="HX14" s="937"/>
      <c r="HY14" s="937"/>
      <c r="HZ14" s="937"/>
      <c r="IA14" s="937"/>
      <c r="IB14" s="937"/>
      <c r="IC14" s="937"/>
      <c r="ID14" s="937"/>
      <c r="IE14" s="937"/>
      <c r="IF14" s="937"/>
      <c r="IG14" s="937"/>
      <c r="IH14" s="937"/>
      <c r="II14" s="937"/>
      <c r="IJ14" s="937"/>
      <c r="IK14" s="937"/>
      <c r="IL14" s="937"/>
      <c r="IM14" s="937"/>
      <c r="IN14" s="937"/>
      <c r="IO14" s="937"/>
      <c r="IP14" s="937"/>
      <c r="IQ14" s="937"/>
      <c r="IR14" s="937"/>
      <c r="IS14" s="937"/>
      <c r="IT14" s="937"/>
      <c r="IU14" s="937"/>
      <c r="IV14" s="937"/>
      <c r="IW14" s="937"/>
    </row>
    <row r="15" customFormat="false" ht="12.75" hidden="false" customHeight="false" outlineLevel="0" collapsed="false">
      <c r="A15" s="947" t="str">
        <f aca="false">Assm!N14</f>
        <v>Total Turnkey Construction</v>
      </c>
      <c r="B15" s="944"/>
      <c r="C15" s="948" t="n">
        <f aca="false">SUM(C9:C14)</f>
        <v>233249.417092144</v>
      </c>
      <c r="D15" s="945"/>
      <c r="E15" s="948" t="n">
        <f aca="false">SUM(E9:E14)</f>
        <v>5785.55107526882</v>
      </c>
      <c r="F15" s="948" t="n">
        <f aca="false">SUM(F9:F14)</f>
        <v>0</v>
      </c>
      <c r="G15" s="948" t="n">
        <f aca="false">SUM(G9:G14)</f>
        <v>2859.07264450308</v>
      </c>
      <c r="H15" s="948" t="n">
        <f aca="false">SUM(H9:H14)</f>
        <v>7901.09112312225</v>
      </c>
      <c r="I15" s="948" t="n">
        <f aca="false">SUM(I9:I14)</f>
        <v>7609.22169519668</v>
      </c>
      <c r="J15" s="948" t="n">
        <f aca="false">SUM(J9:J14)</f>
        <v>2560.7458245913</v>
      </c>
      <c r="K15" s="948" t="n">
        <f aca="false">SUM(K9:K14)</f>
        <v>19441.8274157303</v>
      </c>
      <c r="L15" s="948" t="n">
        <f aca="false">SUM(L9:L14)</f>
        <v>3248.08957007739</v>
      </c>
      <c r="M15" s="948" t="n">
        <f aca="false">SUM(M9:M14)</f>
        <v>2817.12812234494</v>
      </c>
      <c r="N15" s="948" t="n">
        <f aca="false">SUM(N9:N14)</f>
        <v>16456.1908937605</v>
      </c>
      <c r="O15" s="948" t="n">
        <f aca="false">SUM(O9:O14)</f>
        <v>3583.30977291842</v>
      </c>
      <c r="P15" s="948" t="n">
        <f aca="false">SUM(P9:P14)</f>
        <v>1738.4937942068</v>
      </c>
      <c r="Q15" s="948" t="n">
        <f aca="false">SUM(Q9:Q14)</f>
        <v>22611.7624191676</v>
      </c>
      <c r="R15" s="948" t="n">
        <f aca="false">SUM(R9:R14)</f>
        <v>474.483248730965</v>
      </c>
      <c r="S15" s="948" t="n">
        <f aca="false">SUM(S9:S14)</f>
        <v>314.702271406432</v>
      </c>
      <c r="T15" s="948" t="n">
        <f aca="false">SUM(T9:T14)</f>
        <v>1116.87368596882</v>
      </c>
      <c r="U15" s="948" t="n">
        <f aca="false">SUM(U9:U14)</f>
        <v>12642.1998931751</v>
      </c>
      <c r="V15" s="948" t="n">
        <f aca="false">SUM(V9:V14)</f>
        <v>1878.39633410673</v>
      </c>
      <c r="W15" s="948" t="n">
        <f aca="false">SUM(W9:W14)</f>
        <v>18648.3380719326</v>
      </c>
      <c r="X15" s="948" t="n">
        <f aca="false">SUM(X9:X14)</f>
        <v>2656.34787878788</v>
      </c>
      <c r="Y15" s="948" t="n">
        <f aca="false">SUM(Y9:Y14)</f>
        <v>2029.33283574299</v>
      </c>
      <c r="Z15" s="948" t="n">
        <f aca="false">SUM(Z9:Z14)</f>
        <v>2337.78101232898</v>
      </c>
      <c r="AA15" s="948" t="n">
        <f aca="false">SUM(AA9:AA14)</f>
        <v>1785.06131080389</v>
      </c>
      <c r="AB15" s="948" t="n">
        <f aca="false">SUM(AB9:AB14)</f>
        <v>1403.89167836896</v>
      </c>
      <c r="AC15" s="948" t="n">
        <f aca="false">SUM(AC9:AC14)</f>
        <v>901.517255449972</v>
      </c>
      <c r="AD15" s="948" t="n">
        <f aca="false">SUM(AD9:AD14)</f>
        <v>437.818741677763</v>
      </c>
      <c r="AE15" s="948" t="n">
        <f aca="false">SUM(AE9:AE14)</f>
        <v>725.77917697324</v>
      </c>
      <c r="AF15" s="948" t="n">
        <f aca="false">SUM(AF9:AF14)</f>
        <v>554.578492531334</v>
      </c>
      <c r="AG15" s="948" t="n">
        <f aca="false">SUM(AG9:AG14)</f>
        <v>12500</v>
      </c>
      <c r="AH15" s="948" t="n">
        <f aca="false">SUM(AH9:AH14)</f>
        <v>0</v>
      </c>
      <c r="AI15" s="948" t="n">
        <f aca="false">SUM(AI9:AI14)</f>
        <v>0</v>
      </c>
      <c r="AJ15" s="948" t="n">
        <f aca="false">SUM(AJ9:AJ14)</f>
        <v>0</v>
      </c>
      <c r="AK15" s="948" t="n">
        <f aca="false">SUM(AK9:AK14)</f>
        <v>19057.4577133174</v>
      </c>
      <c r="AL15" s="948" t="n">
        <f aca="false">SUM(AL9:AL14)</f>
        <v>0</v>
      </c>
      <c r="AM15" s="948" t="n">
        <f aca="false">SUM(AM9:AM14)</f>
        <v>0</v>
      </c>
      <c r="AN15" s="948" t="n">
        <f aca="false">SUM(AN9:AN14)</f>
        <v>0</v>
      </c>
      <c r="AO15" s="948" t="n">
        <f aca="false">SUM(AO9:AO14)</f>
        <v>19057.4577133174</v>
      </c>
      <c r="AP15" s="948" t="n">
        <f aca="false">SUM(AP9:AP14)</f>
        <v>0</v>
      </c>
      <c r="AQ15" s="948" t="n">
        <f aca="false">SUM(AQ9:AQ14)</f>
        <v>0</v>
      </c>
      <c r="AR15" s="948" t="n">
        <f aca="false">SUM(AR9:AR14)</f>
        <v>0</v>
      </c>
      <c r="AS15" s="948" t="n">
        <f aca="false">SUM(AS9:AS14)</f>
        <v>19057.4577133174</v>
      </c>
      <c r="AT15" s="948" t="n">
        <f aca="false">SUM(AT9:AT14)</f>
        <v>0</v>
      </c>
      <c r="AU15" s="948" t="n">
        <f aca="false">SUM(AU9:AU14)</f>
        <v>0</v>
      </c>
      <c r="AV15" s="948" t="n">
        <f aca="false">SUM(AV9:AV14)</f>
        <v>0</v>
      </c>
      <c r="AW15" s="948" t="n">
        <f aca="false">SUM(AW9:AW14)</f>
        <v>19057.4577133174</v>
      </c>
      <c r="AX15" s="948" t="n">
        <f aca="false">SUM(AX9:AX14)</f>
        <v>0</v>
      </c>
      <c r="AY15" s="948" t="n">
        <f aca="false">SUM(AY9:AY14)</f>
        <v>0</v>
      </c>
      <c r="AZ15" s="945"/>
      <c r="BA15" s="951" t="n">
        <f aca="false">SUM(E15:AY15)</f>
        <v>233249.417092144</v>
      </c>
      <c r="BB15" s="937"/>
      <c r="BC15" s="937"/>
      <c r="BD15" s="937"/>
      <c r="BE15" s="937"/>
      <c r="BF15" s="937"/>
      <c r="BG15" s="937"/>
      <c r="BH15" s="937"/>
      <c r="BI15" s="937"/>
      <c r="BJ15" s="937"/>
      <c r="BK15" s="937"/>
      <c r="BL15" s="937"/>
      <c r="BM15" s="937"/>
      <c r="BN15" s="937"/>
      <c r="BO15" s="937"/>
      <c r="BP15" s="937"/>
      <c r="BQ15" s="937"/>
      <c r="BR15" s="937"/>
      <c r="BS15" s="937"/>
      <c r="BT15" s="937"/>
      <c r="BU15" s="937"/>
      <c r="BV15" s="937"/>
      <c r="BW15" s="937"/>
      <c r="BX15" s="937"/>
      <c r="BY15" s="937"/>
      <c r="BZ15" s="937"/>
      <c r="CA15" s="937"/>
      <c r="CB15" s="937"/>
      <c r="CC15" s="937"/>
      <c r="CD15" s="937"/>
      <c r="CE15" s="937"/>
      <c r="CF15" s="937"/>
      <c r="CG15" s="937"/>
      <c r="CH15" s="937"/>
      <c r="CI15" s="937"/>
      <c r="CJ15" s="937"/>
      <c r="CK15" s="937"/>
      <c r="CL15" s="937"/>
      <c r="CM15" s="937"/>
      <c r="CN15" s="937"/>
      <c r="CO15" s="937"/>
      <c r="CP15" s="937"/>
      <c r="CQ15" s="937"/>
      <c r="CR15" s="937"/>
      <c r="CS15" s="937"/>
      <c r="CT15" s="937"/>
      <c r="CU15" s="937"/>
      <c r="CV15" s="937"/>
      <c r="CW15" s="937"/>
      <c r="CX15" s="937"/>
      <c r="CY15" s="937"/>
      <c r="CZ15" s="937"/>
      <c r="DA15" s="937"/>
      <c r="DB15" s="937"/>
      <c r="DC15" s="937"/>
      <c r="DD15" s="937"/>
      <c r="DE15" s="937"/>
      <c r="DF15" s="937"/>
      <c r="DG15" s="937"/>
      <c r="DH15" s="937"/>
      <c r="DI15" s="937"/>
      <c r="DJ15" s="937"/>
      <c r="DK15" s="937"/>
      <c r="DL15" s="937"/>
      <c r="DM15" s="937"/>
      <c r="DN15" s="937"/>
      <c r="DO15" s="937"/>
      <c r="DP15" s="937"/>
      <c r="DQ15" s="937"/>
      <c r="DR15" s="937"/>
      <c r="DS15" s="937"/>
      <c r="DT15" s="937"/>
      <c r="DU15" s="937"/>
      <c r="DV15" s="937"/>
      <c r="DW15" s="937"/>
      <c r="DX15" s="937"/>
      <c r="DY15" s="937"/>
      <c r="DZ15" s="937"/>
      <c r="EA15" s="937"/>
      <c r="EB15" s="937"/>
      <c r="EC15" s="937"/>
      <c r="ED15" s="937"/>
      <c r="EE15" s="937"/>
      <c r="EF15" s="937"/>
      <c r="EG15" s="937"/>
      <c r="EH15" s="937"/>
      <c r="EI15" s="937"/>
      <c r="EJ15" s="937"/>
      <c r="EK15" s="937"/>
      <c r="EL15" s="937"/>
      <c r="EM15" s="937"/>
      <c r="EN15" s="937"/>
      <c r="EO15" s="937"/>
      <c r="EP15" s="937"/>
      <c r="EQ15" s="937"/>
      <c r="ER15" s="937"/>
      <c r="ES15" s="937"/>
      <c r="ET15" s="937"/>
      <c r="EU15" s="937"/>
      <c r="EV15" s="937"/>
      <c r="EW15" s="937"/>
      <c r="EX15" s="937"/>
      <c r="EY15" s="937"/>
      <c r="EZ15" s="937"/>
      <c r="FA15" s="937"/>
      <c r="FB15" s="937"/>
      <c r="FC15" s="937"/>
      <c r="FD15" s="937"/>
      <c r="FE15" s="937"/>
      <c r="FF15" s="937"/>
      <c r="FG15" s="937"/>
      <c r="FH15" s="937"/>
      <c r="FI15" s="937"/>
      <c r="FJ15" s="937"/>
      <c r="FK15" s="937"/>
      <c r="FL15" s="937"/>
      <c r="FM15" s="937"/>
      <c r="FN15" s="937"/>
      <c r="FO15" s="937"/>
      <c r="FP15" s="937"/>
      <c r="FQ15" s="937"/>
      <c r="FR15" s="937"/>
      <c r="FS15" s="937"/>
      <c r="FT15" s="937"/>
      <c r="FU15" s="937"/>
      <c r="FV15" s="937"/>
      <c r="FW15" s="937"/>
      <c r="FX15" s="937"/>
      <c r="FY15" s="937"/>
      <c r="FZ15" s="937"/>
      <c r="GA15" s="937"/>
      <c r="GB15" s="937"/>
      <c r="GC15" s="937"/>
      <c r="GD15" s="937"/>
      <c r="GE15" s="937"/>
      <c r="GF15" s="937"/>
      <c r="GG15" s="937"/>
      <c r="GH15" s="937"/>
      <c r="GI15" s="937"/>
      <c r="GJ15" s="937"/>
      <c r="GK15" s="937"/>
      <c r="GL15" s="937"/>
      <c r="GM15" s="937"/>
      <c r="GN15" s="937"/>
      <c r="GO15" s="937"/>
      <c r="GP15" s="937"/>
      <c r="GQ15" s="937"/>
      <c r="GR15" s="937"/>
      <c r="GS15" s="937"/>
      <c r="GT15" s="937"/>
      <c r="GU15" s="937"/>
      <c r="GV15" s="937"/>
      <c r="GW15" s="937"/>
      <c r="GX15" s="937"/>
      <c r="GY15" s="937"/>
      <c r="GZ15" s="937"/>
      <c r="HA15" s="937"/>
      <c r="HB15" s="937"/>
      <c r="HC15" s="937"/>
      <c r="HD15" s="937"/>
      <c r="HE15" s="937"/>
      <c r="HF15" s="937"/>
      <c r="HG15" s="937"/>
      <c r="HH15" s="937"/>
      <c r="HI15" s="937"/>
      <c r="HJ15" s="937"/>
      <c r="HK15" s="937"/>
      <c r="HL15" s="937"/>
      <c r="HM15" s="937"/>
      <c r="HN15" s="937"/>
      <c r="HO15" s="937"/>
      <c r="HP15" s="937"/>
      <c r="HQ15" s="937"/>
      <c r="HR15" s="937"/>
      <c r="HS15" s="937"/>
      <c r="HT15" s="937"/>
      <c r="HU15" s="937"/>
      <c r="HV15" s="937"/>
      <c r="HW15" s="937"/>
      <c r="HX15" s="937"/>
      <c r="HY15" s="937"/>
      <c r="HZ15" s="937"/>
      <c r="IA15" s="937"/>
      <c r="IB15" s="937"/>
      <c r="IC15" s="937"/>
      <c r="ID15" s="937"/>
      <c r="IE15" s="937"/>
      <c r="IF15" s="937"/>
      <c r="IG15" s="937"/>
      <c r="IH15" s="937"/>
      <c r="II15" s="937"/>
      <c r="IJ15" s="937"/>
      <c r="IK15" s="937"/>
      <c r="IL15" s="937"/>
      <c r="IM15" s="937"/>
      <c r="IN15" s="937"/>
      <c r="IO15" s="937"/>
      <c r="IP15" s="937"/>
      <c r="IQ15" s="937"/>
      <c r="IR15" s="937"/>
      <c r="IS15" s="937"/>
      <c r="IT15" s="937"/>
      <c r="IU15" s="937"/>
      <c r="IV15" s="937"/>
      <c r="IW15" s="937"/>
    </row>
    <row r="16" customFormat="false" ht="12.75" hidden="false" customHeight="false" outlineLevel="0" collapsed="false">
      <c r="A16" s="947"/>
      <c r="B16" s="944"/>
      <c r="C16" s="945"/>
      <c r="D16" s="945"/>
      <c r="E16" s="945"/>
      <c r="F16" s="945"/>
      <c r="G16" s="945"/>
      <c r="H16" s="945"/>
      <c r="I16" s="945"/>
      <c r="J16" s="945"/>
      <c r="K16" s="945"/>
      <c r="L16" s="945"/>
      <c r="M16" s="945"/>
      <c r="N16" s="945"/>
      <c r="O16" s="945"/>
      <c r="P16" s="945"/>
      <c r="Q16" s="945"/>
      <c r="R16" s="945"/>
      <c r="S16" s="945"/>
      <c r="T16" s="945"/>
      <c r="U16" s="945"/>
      <c r="V16" s="945"/>
      <c r="W16" s="945"/>
      <c r="X16" s="945"/>
      <c r="Y16" s="945"/>
      <c r="Z16" s="945"/>
      <c r="AA16" s="945"/>
      <c r="AB16" s="945"/>
      <c r="AC16" s="948"/>
      <c r="AD16" s="945"/>
      <c r="AE16" s="945"/>
      <c r="AF16" s="945"/>
      <c r="AG16" s="945"/>
      <c r="AH16" s="945"/>
      <c r="AI16" s="945"/>
      <c r="AJ16" s="945"/>
      <c r="AK16" s="945"/>
      <c r="AL16" s="945"/>
      <c r="AM16" s="945"/>
      <c r="AN16" s="945"/>
      <c r="AO16" s="945"/>
      <c r="AP16" s="945"/>
      <c r="AQ16" s="945"/>
      <c r="AR16" s="945"/>
      <c r="AS16" s="945"/>
      <c r="AT16" s="945"/>
      <c r="AU16" s="945"/>
      <c r="AV16" s="945"/>
      <c r="AW16" s="945"/>
      <c r="AX16" s="945"/>
      <c r="AY16" s="945"/>
      <c r="AZ16" s="945"/>
      <c r="BA16" s="946"/>
      <c r="BB16" s="937"/>
      <c r="BC16" s="937"/>
      <c r="BD16" s="937"/>
      <c r="BE16" s="937"/>
      <c r="BF16" s="937"/>
      <c r="BG16" s="937"/>
      <c r="BH16" s="937"/>
      <c r="BI16" s="937"/>
      <c r="BJ16" s="937"/>
      <c r="BK16" s="937"/>
      <c r="BL16" s="937"/>
      <c r="BM16" s="937"/>
      <c r="BN16" s="937"/>
      <c r="BO16" s="937"/>
      <c r="BP16" s="937"/>
      <c r="BQ16" s="937"/>
      <c r="BR16" s="937"/>
      <c r="BS16" s="937"/>
      <c r="BT16" s="937"/>
      <c r="BU16" s="937"/>
      <c r="BV16" s="937"/>
      <c r="BW16" s="937"/>
      <c r="BX16" s="937"/>
      <c r="BY16" s="937"/>
      <c r="BZ16" s="937"/>
      <c r="CA16" s="937"/>
      <c r="CB16" s="937"/>
      <c r="CC16" s="937"/>
      <c r="CD16" s="937"/>
      <c r="CE16" s="937"/>
      <c r="CF16" s="937"/>
      <c r="CG16" s="937"/>
      <c r="CH16" s="937"/>
      <c r="CI16" s="937"/>
      <c r="CJ16" s="937"/>
      <c r="CK16" s="937"/>
      <c r="CL16" s="937"/>
      <c r="CM16" s="937"/>
      <c r="CN16" s="937"/>
      <c r="CO16" s="937"/>
      <c r="CP16" s="937"/>
      <c r="CQ16" s="937"/>
      <c r="CR16" s="937"/>
      <c r="CS16" s="937"/>
      <c r="CT16" s="937"/>
      <c r="CU16" s="937"/>
      <c r="CV16" s="937"/>
      <c r="CW16" s="937"/>
      <c r="CX16" s="937"/>
      <c r="CY16" s="937"/>
      <c r="CZ16" s="937"/>
      <c r="DA16" s="937"/>
      <c r="DB16" s="937"/>
      <c r="DC16" s="937"/>
      <c r="DD16" s="937"/>
      <c r="DE16" s="937"/>
      <c r="DF16" s="937"/>
      <c r="DG16" s="937"/>
      <c r="DH16" s="937"/>
      <c r="DI16" s="937"/>
      <c r="DJ16" s="937"/>
      <c r="DK16" s="937"/>
      <c r="DL16" s="937"/>
      <c r="DM16" s="937"/>
      <c r="DN16" s="937"/>
      <c r="DO16" s="937"/>
      <c r="DP16" s="937"/>
      <c r="DQ16" s="937"/>
      <c r="DR16" s="937"/>
      <c r="DS16" s="937"/>
      <c r="DT16" s="937"/>
      <c r="DU16" s="937"/>
      <c r="DV16" s="937"/>
      <c r="DW16" s="937"/>
      <c r="DX16" s="937"/>
      <c r="DY16" s="937"/>
      <c r="DZ16" s="937"/>
      <c r="EA16" s="937"/>
      <c r="EB16" s="937"/>
      <c r="EC16" s="937"/>
      <c r="ED16" s="937"/>
      <c r="EE16" s="937"/>
      <c r="EF16" s="937"/>
      <c r="EG16" s="937"/>
      <c r="EH16" s="937"/>
      <c r="EI16" s="937"/>
      <c r="EJ16" s="937"/>
      <c r="EK16" s="937"/>
      <c r="EL16" s="937"/>
      <c r="EM16" s="937"/>
      <c r="EN16" s="937"/>
      <c r="EO16" s="937"/>
      <c r="EP16" s="937"/>
      <c r="EQ16" s="937"/>
      <c r="ER16" s="937"/>
      <c r="ES16" s="937"/>
      <c r="ET16" s="937"/>
      <c r="EU16" s="937"/>
      <c r="EV16" s="937"/>
      <c r="EW16" s="937"/>
      <c r="EX16" s="937"/>
      <c r="EY16" s="937"/>
      <c r="EZ16" s="937"/>
      <c r="FA16" s="937"/>
      <c r="FB16" s="937"/>
      <c r="FC16" s="937"/>
      <c r="FD16" s="937"/>
      <c r="FE16" s="937"/>
      <c r="FF16" s="937"/>
      <c r="FG16" s="937"/>
      <c r="FH16" s="937"/>
      <c r="FI16" s="937"/>
      <c r="FJ16" s="937"/>
      <c r="FK16" s="937"/>
      <c r="FL16" s="937"/>
      <c r="FM16" s="937"/>
      <c r="FN16" s="937"/>
      <c r="FO16" s="937"/>
      <c r="FP16" s="937"/>
      <c r="FQ16" s="937"/>
      <c r="FR16" s="937"/>
      <c r="FS16" s="937"/>
      <c r="FT16" s="937"/>
      <c r="FU16" s="937"/>
      <c r="FV16" s="937"/>
      <c r="FW16" s="937"/>
      <c r="FX16" s="937"/>
      <c r="FY16" s="937"/>
      <c r="FZ16" s="937"/>
      <c r="GA16" s="937"/>
      <c r="GB16" s="937"/>
      <c r="GC16" s="937"/>
      <c r="GD16" s="937"/>
      <c r="GE16" s="937"/>
      <c r="GF16" s="937"/>
      <c r="GG16" s="937"/>
      <c r="GH16" s="937"/>
      <c r="GI16" s="937"/>
      <c r="GJ16" s="937"/>
      <c r="GK16" s="937"/>
      <c r="GL16" s="937"/>
      <c r="GM16" s="937"/>
      <c r="GN16" s="937"/>
      <c r="GO16" s="937"/>
      <c r="GP16" s="937"/>
      <c r="GQ16" s="937"/>
      <c r="GR16" s="937"/>
      <c r="GS16" s="937"/>
      <c r="GT16" s="937"/>
      <c r="GU16" s="937"/>
      <c r="GV16" s="937"/>
      <c r="GW16" s="937"/>
      <c r="GX16" s="937"/>
      <c r="GY16" s="937"/>
      <c r="GZ16" s="937"/>
      <c r="HA16" s="937"/>
      <c r="HB16" s="937"/>
      <c r="HC16" s="937"/>
      <c r="HD16" s="937"/>
      <c r="HE16" s="937"/>
      <c r="HF16" s="937"/>
      <c r="HG16" s="937"/>
      <c r="HH16" s="937"/>
      <c r="HI16" s="937"/>
      <c r="HJ16" s="937"/>
      <c r="HK16" s="937"/>
      <c r="HL16" s="937"/>
      <c r="HM16" s="937"/>
      <c r="HN16" s="937"/>
      <c r="HO16" s="937"/>
      <c r="HP16" s="937"/>
      <c r="HQ16" s="937"/>
      <c r="HR16" s="937"/>
      <c r="HS16" s="937"/>
      <c r="HT16" s="937"/>
      <c r="HU16" s="937"/>
      <c r="HV16" s="937"/>
      <c r="HW16" s="937"/>
      <c r="HX16" s="937"/>
      <c r="HY16" s="937"/>
      <c r="HZ16" s="937"/>
      <c r="IA16" s="937"/>
      <c r="IB16" s="937"/>
      <c r="IC16" s="937"/>
      <c r="ID16" s="937"/>
      <c r="IE16" s="937"/>
      <c r="IF16" s="937"/>
      <c r="IG16" s="937"/>
      <c r="IH16" s="937"/>
      <c r="II16" s="937"/>
      <c r="IJ16" s="937"/>
      <c r="IK16" s="937"/>
      <c r="IL16" s="937"/>
      <c r="IM16" s="937"/>
      <c r="IN16" s="937"/>
      <c r="IO16" s="937"/>
      <c r="IP16" s="937"/>
      <c r="IQ16" s="937"/>
      <c r="IR16" s="937"/>
      <c r="IS16" s="937"/>
      <c r="IT16" s="937"/>
      <c r="IU16" s="937"/>
      <c r="IV16" s="937"/>
      <c r="IW16" s="937"/>
    </row>
    <row r="17" customFormat="false" ht="12.75" hidden="false" customHeight="false" outlineLevel="0" collapsed="false">
      <c r="A17" s="947" t="str">
        <f aca="false">Assm!N16</f>
        <v>Diesel Fuel Inventory</v>
      </c>
      <c r="B17" s="944"/>
      <c r="C17" s="948" t="n">
        <f aca="false">Assm!V16</f>
        <v>1735</v>
      </c>
      <c r="D17" s="945"/>
      <c r="E17" s="949" t="n">
        <f aca="false">SUM(E81,E84)</f>
        <v>0</v>
      </c>
      <c r="F17" s="949" t="n">
        <f aca="false">SUM(F81,F84)</f>
        <v>0</v>
      </c>
      <c r="G17" s="949" t="n">
        <f aca="false">SUM(G81,G84)</f>
        <v>0</v>
      </c>
      <c r="H17" s="949" t="n">
        <f aca="false">SUM(H81,H84)</f>
        <v>0</v>
      </c>
      <c r="I17" s="949" t="n">
        <f aca="false">SUM(I81,I84)</f>
        <v>0</v>
      </c>
      <c r="J17" s="949" t="n">
        <f aca="false">SUM(J81,J84)</f>
        <v>0</v>
      </c>
      <c r="K17" s="949" t="n">
        <f aca="false">SUM(K81,K84)</f>
        <v>0</v>
      </c>
      <c r="L17" s="949" t="n">
        <f aca="false">SUM(L81,L84)</f>
        <v>0</v>
      </c>
      <c r="M17" s="949" t="n">
        <f aca="false">SUM(M81,M84)</f>
        <v>0</v>
      </c>
      <c r="N17" s="949" t="n">
        <f aca="false">SUM(N81,N84)</f>
        <v>0</v>
      </c>
      <c r="O17" s="949" t="n">
        <f aca="false">SUM(O81,O84)</f>
        <v>0</v>
      </c>
      <c r="P17" s="949" t="n">
        <f aca="false">SUM(P81,P84)</f>
        <v>0</v>
      </c>
      <c r="Q17" s="949" t="n">
        <f aca="false">SUM(Q81,Q84)</f>
        <v>0</v>
      </c>
      <c r="R17" s="949" t="n">
        <f aca="false">SUM(R81,R84)</f>
        <v>0</v>
      </c>
      <c r="S17" s="949" t="n">
        <f aca="false">SUM(S81,S84)</f>
        <v>0</v>
      </c>
      <c r="T17" s="949" t="n">
        <f aca="false">SUM(T81,T84)</f>
        <v>0</v>
      </c>
      <c r="U17" s="949" t="n">
        <f aca="false">SUM(U81,U84)</f>
        <v>0</v>
      </c>
      <c r="V17" s="949" t="n">
        <f aca="false">SUM(V81,V84)</f>
        <v>0</v>
      </c>
      <c r="W17" s="949" t="n">
        <f aca="false">SUM(W81,W84)</f>
        <v>0</v>
      </c>
      <c r="X17" s="949" t="n">
        <f aca="false">SUM(X81,X84)</f>
        <v>0</v>
      </c>
      <c r="Y17" s="949" t="n">
        <f aca="false">SUM(Y81,Y84)</f>
        <v>0</v>
      </c>
      <c r="Z17" s="949" t="n">
        <f aca="false">SUM(Z81,Z84)</f>
        <v>0</v>
      </c>
      <c r="AA17" s="949" t="n">
        <f aca="false">SUM(AA81,AA84)</f>
        <v>0</v>
      </c>
      <c r="AB17" s="949" t="n">
        <f aca="false">SUM(AB81,AB84)</f>
        <v>0</v>
      </c>
      <c r="AC17" s="949" t="n">
        <f aca="false">SUM(AC81,AC84)</f>
        <v>0</v>
      </c>
      <c r="AD17" s="949" t="n">
        <f aca="false">SUM(AD81,AD84)</f>
        <v>653.328894806924</v>
      </c>
      <c r="AE17" s="949" t="n">
        <f aca="false">SUM(AE81,AE84)</f>
        <v>0</v>
      </c>
      <c r="AF17" s="949" t="n">
        <f aca="false">SUM(AF81,AF84)</f>
        <v>0</v>
      </c>
      <c r="AG17" s="950" t="n">
        <f aca="false">($C$22-SUM($E17:$AF17))/17</f>
        <v>437.966283834887</v>
      </c>
      <c r="AH17" s="950" t="n">
        <f aca="false">($C$22-SUM($E17:$AF17))/17</f>
        <v>437.966283834887</v>
      </c>
      <c r="AI17" s="950" t="n">
        <f aca="false">($C$22-SUM($E17:$AF17))/17</f>
        <v>437.966283834887</v>
      </c>
      <c r="AJ17" s="950" t="n">
        <f aca="false">($C$22-SUM($E17:$AF17))/17</f>
        <v>437.966283834887</v>
      </c>
      <c r="AK17" s="950" t="n">
        <f aca="false">($C$22-SUM($E17:$AF17))/17</f>
        <v>437.966283834887</v>
      </c>
      <c r="AL17" s="950" t="n">
        <f aca="false">($C$22-SUM($E17:$AF17))/17</f>
        <v>437.966283834887</v>
      </c>
      <c r="AM17" s="950" t="n">
        <f aca="false">($C$22-SUM($E17:$AF17))/17</f>
        <v>437.966283834887</v>
      </c>
      <c r="AN17" s="950" t="n">
        <f aca="false">($C$22-SUM($E17:$AF17))/17</f>
        <v>437.966283834887</v>
      </c>
      <c r="AO17" s="950" t="n">
        <f aca="false">($C$22-SUM($E17:$AF17))/17</f>
        <v>437.966283834887</v>
      </c>
      <c r="AP17" s="950" t="n">
        <f aca="false">($C$22-SUM($E17:$AF17))/17</f>
        <v>437.966283834887</v>
      </c>
      <c r="AQ17" s="950" t="n">
        <f aca="false">($C$22-SUM($E17:$AF17))/17</f>
        <v>437.966283834887</v>
      </c>
      <c r="AR17" s="950" t="n">
        <f aca="false">($C$22-SUM($E17:$AF17))/17</f>
        <v>437.966283834887</v>
      </c>
      <c r="AS17" s="950" t="n">
        <f aca="false">($C$22-SUM($E17:$AF17))/17</f>
        <v>437.966283834887</v>
      </c>
      <c r="AT17" s="950" t="n">
        <f aca="false">($C$22-SUM($E17:$AF17))/17</f>
        <v>437.966283834887</v>
      </c>
      <c r="AU17" s="950" t="n">
        <f aca="false">($C$22-SUM($E17:$AF17))/17</f>
        <v>437.966283834887</v>
      </c>
      <c r="AV17" s="950" t="n">
        <f aca="false">($C$22-SUM($E17:$AF17))/17</f>
        <v>437.966283834887</v>
      </c>
      <c r="AW17" s="950" t="n">
        <f aca="false">($C$22-SUM($E17:$AF17))/17</f>
        <v>437.966283834887</v>
      </c>
      <c r="AX17" s="950" t="n">
        <v>0</v>
      </c>
      <c r="AY17" s="950" t="n">
        <v>0</v>
      </c>
      <c r="AZ17" s="945"/>
      <c r="BA17" s="951" t="n">
        <f aca="false">SUM(E17:AY17)</f>
        <v>8098.75572</v>
      </c>
      <c r="BB17" s="937"/>
      <c r="BC17" s="937"/>
      <c r="BD17" s="937"/>
      <c r="BE17" s="937"/>
      <c r="BF17" s="937"/>
      <c r="BG17" s="937"/>
      <c r="BH17" s="937"/>
      <c r="BI17" s="937"/>
      <c r="BJ17" s="937"/>
      <c r="BK17" s="937"/>
      <c r="BL17" s="937"/>
      <c r="BM17" s="937"/>
      <c r="BN17" s="937"/>
      <c r="BO17" s="937"/>
      <c r="BP17" s="937"/>
      <c r="BQ17" s="937"/>
      <c r="BR17" s="937"/>
      <c r="BS17" s="937"/>
      <c r="BT17" s="937"/>
      <c r="BU17" s="937"/>
      <c r="BV17" s="937"/>
      <c r="BW17" s="937"/>
      <c r="BX17" s="937"/>
      <c r="BY17" s="937"/>
      <c r="BZ17" s="937"/>
      <c r="CA17" s="937"/>
      <c r="CB17" s="937"/>
      <c r="CC17" s="937"/>
      <c r="CD17" s="937"/>
      <c r="CE17" s="937"/>
      <c r="CF17" s="937"/>
      <c r="CG17" s="937"/>
      <c r="CH17" s="937"/>
      <c r="CI17" s="937"/>
      <c r="CJ17" s="937"/>
      <c r="CK17" s="937"/>
      <c r="CL17" s="937"/>
      <c r="CM17" s="937"/>
      <c r="CN17" s="937"/>
      <c r="CO17" s="937"/>
      <c r="CP17" s="937"/>
      <c r="CQ17" s="937"/>
      <c r="CR17" s="937"/>
      <c r="CS17" s="937"/>
      <c r="CT17" s="937"/>
      <c r="CU17" s="937"/>
      <c r="CV17" s="937"/>
      <c r="CW17" s="937"/>
      <c r="CX17" s="937"/>
      <c r="CY17" s="937"/>
      <c r="CZ17" s="937"/>
      <c r="DA17" s="937"/>
      <c r="DB17" s="937"/>
      <c r="DC17" s="937"/>
      <c r="DD17" s="937"/>
      <c r="DE17" s="937"/>
      <c r="DF17" s="937"/>
      <c r="DG17" s="937"/>
      <c r="DH17" s="937"/>
      <c r="DI17" s="937"/>
      <c r="DJ17" s="937"/>
      <c r="DK17" s="937"/>
      <c r="DL17" s="937"/>
      <c r="DM17" s="937"/>
      <c r="DN17" s="937"/>
      <c r="DO17" s="937"/>
      <c r="DP17" s="937"/>
      <c r="DQ17" s="937"/>
      <c r="DR17" s="937"/>
      <c r="DS17" s="937"/>
      <c r="DT17" s="937"/>
      <c r="DU17" s="937"/>
      <c r="DV17" s="937"/>
      <c r="DW17" s="937"/>
      <c r="DX17" s="937"/>
      <c r="DY17" s="937"/>
      <c r="DZ17" s="937"/>
      <c r="EA17" s="937"/>
      <c r="EB17" s="937"/>
      <c r="EC17" s="937"/>
      <c r="ED17" s="937"/>
      <c r="EE17" s="937"/>
      <c r="EF17" s="937"/>
      <c r="EG17" s="937"/>
      <c r="EH17" s="937"/>
      <c r="EI17" s="937"/>
      <c r="EJ17" s="937"/>
      <c r="EK17" s="937"/>
      <c r="EL17" s="937"/>
      <c r="EM17" s="937"/>
      <c r="EN17" s="937"/>
      <c r="EO17" s="937"/>
      <c r="EP17" s="937"/>
      <c r="EQ17" s="937"/>
      <c r="ER17" s="937"/>
      <c r="ES17" s="937"/>
      <c r="ET17" s="937"/>
      <c r="EU17" s="937"/>
      <c r="EV17" s="937"/>
      <c r="EW17" s="937"/>
      <c r="EX17" s="937"/>
      <c r="EY17" s="937"/>
      <c r="EZ17" s="937"/>
      <c r="FA17" s="937"/>
      <c r="FB17" s="937"/>
      <c r="FC17" s="937"/>
      <c r="FD17" s="937"/>
      <c r="FE17" s="937"/>
      <c r="FF17" s="937"/>
      <c r="FG17" s="937"/>
      <c r="FH17" s="937"/>
      <c r="FI17" s="937"/>
      <c r="FJ17" s="937"/>
      <c r="FK17" s="937"/>
      <c r="FL17" s="937"/>
      <c r="FM17" s="937"/>
      <c r="FN17" s="937"/>
      <c r="FO17" s="937"/>
      <c r="FP17" s="937"/>
      <c r="FQ17" s="937"/>
      <c r="FR17" s="937"/>
      <c r="FS17" s="937"/>
      <c r="FT17" s="937"/>
      <c r="FU17" s="937"/>
      <c r="FV17" s="937"/>
      <c r="FW17" s="937"/>
      <c r="FX17" s="937"/>
      <c r="FY17" s="937"/>
      <c r="FZ17" s="937"/>
      <c r="GA17" s="937"/>
      <c r="GB17" s="937"/>
      <c r="GC17" s="937"/>
      <c r="GD17" s="937"/>
      <c r="GE17" s="937"/>
      <c r="GF17" s="937"/>
      <c r="GG17" s="937"/>
      <c r="GH17" s="937"/>
      <c r="GI17" s="937"/>
      <c r="GJ17" s="937"/>
      <c r="GK17" s="937"/>
      <c r="GL17" s="937"/>
      <c r="GM17" s="937"/>
      <c r="GN17" s="937"/>
      <c r="GO17" s="937"/>
      <c r="GP17" s="937"/>
      <c r="GQ17" s="937"/>
      <c r="GR17" s="937"/>
      <c r="GS17" s="937"/>
      <c r="GT17" s="937"/>
      <c r="GU17" s="937"/>
      <c r="GV17" s="937"/>
      <c r="GW17" s="937"/>
      <c r="GX17" s="937"/>
      <c r="GY17" s="937"/>
      <c r="GZ17" s="937"/>
      <c r="HA17" s="937"/>
      <c r="HB17" s="937"/>
      <c r="HC17" s="937"/>
      <c r="HD17" s="937"/>
      <c r="HE17" s="937"/>
      <c r="HF17" s="937"/>
      <c r="HG17" s="937"/>
      <c r="HH17" s="937"/>
      <c r="HI17" s="937"/>
      <c r="HJ17" s="937"/>
      <c r="HK17" s="937"/>
      <c r="HL17" s="937"/>
      <c r="HM17" s="937"/>
      <c r="HN17" s="937"/>
      <c r="HO17" s="937"/>
      <c r="HP17" s="937"/>
      <c r="HQ17" s="937"/>
      <c r="HR17" s="937"/>
      <c r="HS17" s="937"/>
      <c r="HT17" s="937"/>
      <c r="HU17" s="937"/>
      <c r="HV17" s="937"/>
      <c r="HW17" s="937"/>
      <c r="HX17" s="937"/>
      <c r="HY17" s="937"/>
      <c r="HZ17" s="937"/>
      <c r="IA17" s="937"/>
      <c r="IB17" s="937"/>
      <c r="IC17" s="937"/>
      <c r="ID17" s="937"/>
      <c r="IE17" s="937"/>
      <c r="IF17" s="937"/>
      <c r="IG17" s="937"/>
      <c r="IH17" s="937"/>
      <c r="II17" s="937"/>
      <c r="IJ17" s="937"/>
      <c r="IK17" s="937"/>
      <c r="IL17" s="937"/>
      <c r="IM17" s="937"/>
      <c r="IN17" s="937"/>
      <c r="IO17" s="937"/>
      <c r="IP17" s="937"/>
      <c r="IQ17" s="937"/>
      <c r="IR17" s="937"/>
      <c r="IS17" s="937"/>
      <c r="IT17" s="937"/>
      <c r="IU17" s="937"/>
      <c r="IV17" s="937"/>
      <c r="IW17" s="937"/>
    </row>
    <row r="18" customFormat="false" ht="12.75" hidden="false" customHeight="false" outlineLevel="0" collapsed="false">
      <c r="A18" s="947" t="str">
        <f aca="false">Assm!N17</f>
        <v>Land &amp; Rights Of Way</v>
      </c>
      <c r="B18" s="944"/>
      <c r="C18" s="948" t="n">
        <f aca="false">Assm!V17</f>
        <v>540</v>
      </c>
      <c r="D18" s="945"/>
      <c r="E18" s="952" t="n">
        <v>0</v>
      </c>
      <c r="F18" s="952" t="n">
        <v>0</v>
      </c>
      <c r="G18" s="952" t="n">
        <v>0</v>
      </c>
      <c r="H18" s="952" t="n">
        <v>0</v>
      </c>
      <c r="I18" s="952" t="n">
        <v>0</v>
      </c>
      <c r="J18" s="952" t="n">
        <v>0</v>
      </c>
      <c r="K18" s="952" t="n">
        <v>0</v>
      </c>
      <c r="L18" s="952" t="n">
        <v>0</v>
      </c>
      <c r="M18" s="952" t="n">
        <v>0</v>
      </c>
      <c r="N18" s="952" t="n">
        <v>0</v>
      </c>
      <c r="O18" s="952" t="n">
        <v>0</v>
      </c>
      <c r="P18" s="952" t="n">
        <v>0</v>
      </c>
      <c r="Q18" s="952" t="n">
        <v>0</v>
      </c>
      <c r="R18" s="952" t="n">
        <v>0</v>
      </c>
      <c r="S18" s="952" t="n">
        <v>0</v>
      </c>
      <c r="T18" s="952" t="n">
        <v>0</v>
      </c>
      <c r="U18" s="952" t="n">
        <v>0</v>
      </c>
      <c r="V18" s="952" t="n">
        <v>0</v>
      </c>
      <c r="W18" s="952" t="n">
        <v>0</v>
      </c>
      <c r="X18" s="952" t="n">
        <v>0</v>
      </c>
      <c r="Y18" s="952" t="n">
        <v>0</v>
      </c>
      <c r="Z18" s="952" t="n">
        <v>0</v>
      </c>
      <c r="AA18" s="952" t="n">
        <v>0</v>
      </c>
      <c r="AB18" s="952" t="n">
        <v>0</v>
      </c>
      <c r="AC18" s="950" t="n">
        <v>0</v>
      </c>
      <c r="AD18" s="950" t="n">
        <v>0</v>
      </c>
      <c r="AE18" s="950" t="n">
        <v>0</v>
      </c>
      <c r="AF18" s="950" t="n">
        <v>0</v>
      </c>
      <c r="AG18" s="950" t="n">
        <v>0</v>
      </c>
      <c r="AH18" s="950" t="n">
        <v>0</v>
      </c>
      <c r="AI18" s="950" t="n">
        <v>0</v>
      </c>
      <c r="AJ18" s="950" t="n">
        <v>0</v>
      </c>
      <c r="AK18" s="950" t="n">
        <v>0</v>
      </c>
      <c r="AL18" s="950" t="n">
        <v>0</v>
      </c>
      <c r="AM18" s="950" t="n">
        <v>0</v>
      </c>
      <c r="AN18" s="950" t="n">
        <v>0</v>
      </c>
      <c r="AO18" s="950" t="n">
        <v>0</v>
      </c>
      <c r="AP18" s="950" t="n">
        <v>0</v>
      </c>
      <c r="AQ18" s="950" t="n">
        <v>0</v>
      </c>
      <c r="AR18" s="950" t="n">
        <v>0</v>
      </c>
      <c r="AS18" s="950" t="n">
        <v>0</v>
      </c>
      <c r="AT18" s="950" t="n">
        <v>0</v>
      </c>
      <c r="AU18" s="950" t="n">
        <v>0</v>
      </c>
      <c r="AV18" s="950" t="n">
        <v>0</v>
      </c>
      <c r="AW18" s="950" t="n">
        <v>0</v>
      </c>
      <c r="AX18" s="950" t="n">
        <v>0</v>
      </c>
      <c r="AY18" s="950" t="n">
        <v>0</v>
      </c>
      <c r="AZ18" s="945"/>
      <c r="BA18" s="951" t="n">
        <f aca="false">SUM(E18:AY18)</f>
        <v>0</v>
      </c>
      <c r="BB18" s="937"/>
      <c r="BC18" s="937"/>
      <c r="BD18" s="937"/>
      <c r="BE18" s="937"/>
      <c r="BF18" s="937"/>
      <c r="BG18" s="937"/>
      <c r="BH18" s="937"/>
      <c r="BI18" s="937"/>
      <c r="BJ18" s="937"/>
      <c r="BK18" s="937"/>
      <c r="BL18" s="937"/>
      <c r="BM18" s="937"/>
      <c r="BN18" s="937"/>
      <c r="BO18" s="937"/>
      <c r="BP18" s="937"/>
      <c r="BQ18" s="937"/>
      <c r="BR18" s="937"/>
      <c r="BS18" s="937"/>
      <c r="BT18" s="937"/>
      <c r="BU18" s="937"/>
      <c r="BV18" s="937"/>
      <c r="BW18" s="937"/>
      <c r="BX18" s="937"/>
      <c r="BY18" s="937"/>
      <c r="BZ18" s="937"/>
      <c r="CA18" s="937"/>
      <c r="CB18" s="937"/>
      <c r="CC18" s="937"/>
      <c r="CD18" s="937"/>
      <c r="CE18" s="937"/>
      <c r="CF18" s="937"/>
      <c r="CG18" s="937"/>
      <c r="CH18" s="937"/>
      <c r="CI18" s="937"/>
      <c r="CJ18" s="937"/>
      <c r="CK18" s="937"/>
      <c r="CL18" s="937"/>
      <c r="CM18" s="937"/>
      <c r="CN18" s="937"/>
      <c r="CO18" s="937"/>
      <c r="CP18" s="937"/>
      <c r="CQ18" s="937"/>
      <c r="CR18" s="937"/>
      <c r="CS18" s="937"/>
      <c r="CT18" s="937"/>
      <c r="CU18" s="937"/>
      <c r="CV18" s="937"/>
      <c r="CW18" s="937"/>
      <c r="CX18" s="937"/>
      <c r="CY18" s="937"/>
      <c r="CZ18" s="937"/>
      <c r="DA18" s="937"/>
      <c r="DB18" s="937"/>
      <c r="DC18" s="937"/>
      <c r="DD18" s="937"/>
      <c r="DE18" s="937"/>
      <c r="DF18" s="937"/>
      <c r="DG18" s="937"/>
      <c r="DH18" s="937"/>
      <c r="DI18" s="937"/>
      <c r="DJ18" s="937"/>
      <c r="DK18" s="937"/>
      <c r="DL18" s="937"/>
      <c r="DM18" s="937"/>
      <c r="DN18" s="937"/>
      <c r="DO18" s="937"/>
      <c r="DP18" s="937"/>
      <c r="DQ18" s="937"/>
      <c r="DR18" s="937"/>
      <c r="DS18" s="937"/>
      <c r="DT18" s="937"/>
      <c r="DU18" s="937"/>
      <c r="DV18" s="937"/>
      <c r="DW18" s="937"/>
      <c r="DX18" s="937"/>
      <c r="DY18" s="937"/>
      <c r="DZ18" s="937"/>
      <c r="EA18" s="937"/>
      <c r="EB18" s="937"/>
      <c r="EC18" s="937"/>
      <c r="ED18" s="937"/>
      <c r="EE18" s="937"/>
      <c r="EF18" s="937"/>
      <c r="EG18" s="937"/>
      <c r="EH18" s="937"/>
      <c r="EI18" s="937"/>
      <c r="EJ18" s="937"/>
      <c r="EK18" s="937"/>
      <c r="EL18" s="937"/>
      <c r="EM18" s="937"/>
      <c r="EN18" s="937"/>
      <c r="EO18" s="937"/>
      <c r="EP18" s="937"/>
      <c r="EQ18" s="937"/>
      <c r="ER18" s="937"/>
      <c r="ES18" s="937"/>
      <c r="ET18" s="937"/>
      <c r="EU18" s="937"/>
      <c r="EV18" s="937"/>
      <c r="EW18" s="937"/>
      <c r="EX18" s="937"/>
      <c r="EY18" s="937"/>
      <c r="EZ18" s="937"/>
      <c r="FA18" s="937"/>
      <c r="FB18" s="937"/>
      <c r="FC18" s="937"/>
      <c r="FD18" s="937"/>
      <c r="FE18" s="937"/>
      <c r="FF18" s="937"/>
      <c r="FG18" s="937"/>
      <c r="FH18" s="937"/>
      <c r="FI18" s="937"/>
      <c r="FJ18" s="937"/>
      <c r="FK18" s="937"/>
      <c r="FL18" s="937"/>
      <c r="FM18" s="937"/>
      <c r="FN18" s="937"/>
      <c r="FO18" s="937"/>
      <c r="FP18" s="937"/>
      <c r="FQ18" s="937"/>
      <c r="FR18" s="937"/>
      <c r="FS18" s="937"/>
      <c r="FT18" s="937"/>
      <c r="FU18" s="937"/>
      <c r="FV18" s="937"/>
      <c r="FW18" s="937"/>
      <c r="FX18" s="937"/>
      <c r="FY18" s="937"/>
      <c r="FZ18" s="937"/>
      <c r="GA18" s="937"/>
      <c r="GB18" s="937"/>
      <c r="GC18" s="937"/>
      <c r="GD18" s="937"/>
      <c r="GE18" s="937"/>
      <c r="GF18" s="937"/>
      <c r="GG18" s="937"/>
      <c r="GH18" s="937"/>
      <c r="GI18" s="937"/>
      <c r="GJ18" s="937"/>
      <c r="GK18" s="937"/>
      <c r="GL18" s="937"/>
      <c r="GM18" s="937"/>
      <c r="GN18" s="937"/>
      <c r="GO18" s="937"/>
      <c r="GP18" s="937"/>
      <c r="GQ18" s="937"/>
      <c r="GR18" s="937"/>
      <c r="GS18" s="937"/>
      <c r="GT18" s="937"/>
      <c r="GU18" s="937"/>
      <c r="GV18" s="937"/>
      <c r="GW18" s="937"/>
      <c r="GX18" s="937"/>
      <c r="GY18" s="937"/>
      <c r="GZ18" s="937"/>
      <c r="HA18" s="937"/>
      <c r="HB18" s="937"/>
      <c r="HC18" s="937"/>
      <c r="HD18" s="937"/>
      <c r="HE18" s="937"/>
      <c r="HF18" s="937"/>
      <c r="HG18" s="937"/>
      <c r="HH18" s="937"/>
      <c r="HI18" s="937"/>
      <c r="HJ18" s="937"/>
      <c r="HK18" s="937"/>
      <c r="HL18" s="937"/>
      <c r="HM18" s="937"/>
      <c r="HN18" s="937"/>
      <c r="HO18" s="937"/>
      <c r="HP18" s="937"/>
      <c r="HQ18" s="937"/>
      <c r="HR18" s="937"/>
      <c r="HS18" s="937"/>
      <c r="HT18" s="937"/>
      <c r="HU18" s="937"/>
      <c r="HV18" s="937"/>
      <c r="HW18" s="937"/>
      <c r="HX18" s="937"/>
      <c r="HY18" s="937"/>
      <c r="HZ18" s="937"/>
      <c r="IA18" s="937"/>
      <c r="IB18" s="937"/>
      <c r="IC18" s="937"/>
      <c r="ID18" s="937"/>
      <c r="IE18" s="937"/>
      <c r="IF18" s="937"/>
      <c r="IG18" s="937"/>
      <c r="IH18" s="937"/>
      <c r="II18" s="937"/>
      <c r="IJ18" s="937"/>
      <c r="IK18" s="937"/>
      <c r="IL18" s="937"/>
      <c r="IM18" s="937"/>
      <c r="IN18" s="937"/>
      <c r="IO18" s="937"/>
      <c r="IP18" s="937"/>
      <c r="IQ18" s="937"/>
      <c r="IR18" s="937"/>
      <c r="IS18" s="937"/>
      <c r="IT18" s="937"/>
      <c r="IU18" s="937"/>
      <c r="IV18" s="937"/>
      <c r="IW18" s="937"/>
    </row>
    <row r="19" customFormat="false" ht="12.75" hidden="false" customHeight="false" outlineLevel="0" collapsed="false">
      <c r="A19" s="947" t="str">
        <f aca="false">Assm!N18</f>
        <v>Owner's Engineer (Parson's)</v>
      </c>
      <c r="B19" s="944"/>
      <c r="C19" s="948" t="n">
        <f aca="false">Assm!V18</f>
        <v>1925</v>
      </c>
      <c r="D19" s="945"/>
      <c r="E19" s="952" t="n">
        <v>0</v>
      </c>
      <c r="F19" s="952" t="n">
        <v>0</v>
      </c>
      <c r="G19" s="952" t="n">
        <v>0</v>
      </c>
      <c r="H19" s="952" t="n">
        <v>0</v>
      </c>
      <c r="I19" s="952" t="n">
        <v>0</v>
      </c>
      <c r="J19" s="952" t="n">
        <v>0</v>
      </c>
      <c r="K19" s="952" t="n">
        <v>0</v>
      </c>
      <c r="L19" s="952" t="n">
        <v>0</v>
      </c>
      <c r="M19" s="952" t="n">
        <v>0</v>
      </c>
      <c r="N19" s="952" t="n">
        <v>0</v>
      </c>
      <c r="O19" s="952" t="n">
        <v>0</v>
      </c>
      <c r="P19" s="952" t="n">
        <v>0</v>
      </c>
      <c r="Q19" s="952" t="n">
        <v>0</v>
      </c>
      <c r="R19" s="952" t="n">
        <v>0</v>
      </c>
      <c r="S19" s="952" t="n">
        <v>0</v>
      </c>
      <c r="T19" s="952" t="n">
        <v>0</v>
      </c>
      <c r="U19" s="952" t="n">
        <v>0</v>
      </c>
      <c r="V19" s="952" t="n">
        <v>0</v>
      </c>
      <c r="W19" s="952" t="n">
        <v>0</v>
      </c>
      <c r="X19" s="952" t="n">
        <v>0</v>
      </c>
      <c r="Y19" s="952" t="n">
        <v>0</v>
      </c>
      <c r="Z19" s="952" t="n">
        <v>0</v>
      </c>
      <c r="AA19" s="952" t="n">
        <v>0</v>
      </c>
      <c r="AB19" s="952" t="n">
        <v>0</v>
      </c>
      <c r="AC19" s="950" t="n">
        <v>0</v>
      </c>
      <c r="AD19" s="950" t="n">
        <v>0</v>
      </c>
      <c r="AE19" s="950" t="n">
        <v>0</v>
      </c>
      <c r="AF19" s="950" t="n">
        <v>0</v>
      </c>
      <c r="AG19" s="950" t="n">
        <v>0</v>
      </c>
      <c r="AH19" s="950" t="n">
        <v>0</v>
      </c>
      <c r="AI19" s="950" t="n">
        <v>0</v>
      </c>
      <c r="AJ19" s="950" t="n">
        <v>0</v>
      </c>
      <c r="AK19" s="950" t="n">
        <v>0</v>
      </c>
      <c r="AL19" s="950" t="n">
        <v>0</v>
      </c>
      <c r="AM19" s="950" t="n">
        <v>0</v>
      </c>
      <c r="AN19" s="950" t="n">
        <v>0</v>
      </c>
      <c r="AO19" s="950" t="n">
        <v>0</v>
      </c>
      <c r="AP19" s="950" t="n">
        <v>0</v>
      </c>
      <c r="AQ19" s="950" t="n">
        <v>0</v>
      </c>
      <c r="AR19" s="950" t="n">
        <v>0</v>
      </c>
      <c r="AS19" s="950" t="n">
        <v>0</v>
      </c>
      <c r="AT19" s="950" t="n">
        <v>0</v>
      </c>
      <c r="AU19" s="950" t="n">
        <v>0</v>
      </c>
      <c r="AV19" s="950" t="n">
        <v>0</v>
      </c>
      <c r="AW19" s="950" t="n">
        <v>0</v>
      </c>
      <c r="AX19" s="950" t="n">
        <v>0</v>
      </c>
      <c r="AY19" s="950" t="n">
        <v>0</v>
      </c>
      <c r="AZ19" s="945"/>
      <c r="BA19" s="951" t="n">
        <f aca="false">SUM(E19:AY19)</f>
        <v>0</v>
      </c>
      <c r="BB19" s="937"/>
      <c r="BC19" s="937"/>
      <c r="BD19" s="937"/>
      <c r="BE19" s="937"/>
      <c r="BF19" s="937"/>
      <c r="BG19" s="937"/>
      <c r="BH19" s="937"/>
      <c r="BI19" s="937"/>
      <c r="BJ19" s="937"/>
      <c r="BK19" s="937"/>
      <c r="BL19" s="937"/>
      <c r="BM19" s="937"/>
      <c r="BN19" s="937"/>
      <c r="BO19" s="937"/>
      <c r="BP19" s="937"/>
      <c r="BQ19" s="937"/>
      <c r="BR19" s="937"/>
      <c r="BS19" s="937"/>
      <c r="BT19" s="937"/>
      <c r="BU19" s="937"/>
      <c r="BV19" s="937"/>
      <c r="BW19" s="937"/>
      <c r="BX19" s="937"/>
      <c r="BY19" s="937"/>
      <c r="BZ19" s="937"/>
      <c r="CA19" s="937"/>
      <c r="CB19" s="937"/>
      <c r="CC19" s="937"/>
      <c r="CD19" s="937"/>
      <c r="CE19" s="937"/>
      <c r="CF19" s="937"/>
      <c r="CG19" s="937"/>
      <c r="CH19" s="937"/>
      <c r="CI19" s="937"/>
      <c r="CJ19" s="937"/>
      <c r="CK19" s="937"/>
      <c r="CL19" s="937"/>
      <c r="CM19" s="937"/>
      <c r="CN19" s="937"/>
      <c r="CO19" s="937"/>
      <c r="CP19" s="937"/>
      <c r="CQ19" s="937"/>
      <c r="CR19" s="937"/>
      <c r="CS19" s="937"/>
      <c r="CT19" s="937"/>
      <c r="CU19" s="937"/>
      <c r="CV19" s="937"/>
      <c r="CW19" s="937"/>
      <c r="CX19" s="937"/>
      <c r="CY19" s="937"/>
      <c r="CZ19" s="937"/>
      <c r="DA19" s="937"/>
      <c r="DB19" s="937"/>
      <c r="DC19" s="937"/>
      <c r="DD19" s="937"/>
      <c r="DE19" s="937"/>
      <c r="DF19" s="937"/>
      <c r="DG19" s="937"/>
      <c r="DH19" s="937"/>
      <c r="DI19" s="937"/>
      <c r="DJ19" s="937"/>
      <c r="DK19" s="937"/>
      <c r="DL19" s="937"/>
      <c r="DM19" s="937"/>
      <c r="DN19" s="937"/>
      <c r="DO19" s="937"/>
      <c r="DP19" s="937"/>
      <c r="DQ19" s="937"/>
      <c r="DR19" s="937"/>
      <c r="DS19" s="937"/>
      <c r="DT19" s="937"/>
      <c r="DU19" s="937"/>
      <c r="DV19" s="937"/>
      <c r="DW19" s="937"/>
      <c r="DX19" s="937"/>
      <c r="DY19" s="937"/>
      <c r="DZ19" s="937"/>
      <c r="EA19" s="937"/>
      <c r="EB19" s="937"/>
      <c r="EC19" s="937"/>
      <c r="ED19" s="937"/>
      <c r="EE19" s="937"/>
      <c r="EF19" s="937"/>
      <c r="EG19" s="937"/>
      <c r="EH19" s="937"/>
      <c r="EI19" s="937"/>
      <c r="EJ19" s="937"/>
      <c r="EK19" s="937"/>
      <c r="EL19" s="937"/>
      <c r="EM19" s="937"/>
      <c r="EN19" s="937"/>
      <c r="EO19" s="937"/>
      <c r="EP19" s="937"/>
      <c r="EQ19" s="937"/>
      <c r="ER19" s="937"/>
      <c r="ES19" s="937"/>
      <c r="ET19" s="937"/>
      <c r="EU19" s="937"/>
      <c r="EV19" s="937"/>
      <c r="EW19" s="937"/>
      <c r="EX19" s="937"/>
      <c r="EY19" s="937"/>
      <c r="EZ19" s="937"/>
      <c r="FA19" s="937"/>
      <c r="FB19" s="937"/>
      <c r="FC19" s="937"/>
      <c r="FD19" s="937"/>
      <c r="FE19" s="937"/>
      <c r="FF19" s="937"/>
      <c r="FG19" s="937"/>
      <c r="FH19" s="937"/>
      <c r="FI19" s="937"/>
      <c r="FJ19" s="937"/>
      <c r="FK19" s="937"/>
      <c r="FL19" s="937"/>
      <c r="FM19" s="937"/>
      <c r="FN19" s="937"/>
      <c r="FO19" s="937"/>
      <c r="FP19" s="937"/>
      <c r="FQ19" s="937"/>
      <c r="FR19" s="937"/>
      <c r="FS19" s="937"/>
      <c r="FT19" s="937"/>
      <c r="FU19" s="937"/>
      <c r="FV19" s="937"/>
      <c r="FW19" s="937"/>
      <c r="FX19" s="937"/>
      <c r="FY19" s="937"/>
      <c r="FZ19" s="937"/>
      <c r="GA19" s="937"/>
      <c r="GB19" s="937"/>
      <c r="GC19" s="937"/>
      <c r="GD19" s="937"/>
      <c r="GE19" s="937"/>
      <c r="GF19" s="937"/>
      <c r="GG19" s="937"/>
      <c r="GH19" s="937"/>
      <c r="GI19" s="937"/>
      <c r="GJ19" s="937"/>
      <c r="GK19" s="937"/>
      <c r="GL19" s="937"/>
      <c r="GM19" s="937"/>
      <c r="GN19" s="937"/>
      <c r="GO19" s="937"/>
      <c r="GP19" s="937"/>
      <c r="GQ19" s="937"/>
      <c r="GR19" s="937"/>
      <c r="GS19" s="937"/>
      <c r="GT19" s="937"/>
      <c r="GU19" s="937"/>
      <c r="GV19" s="937"/>
      <c r="GW19" s="937"/>
      <c r="GX19" s="937"/>
      <c r="GY19" s="937"/>
      <c r="GZ19" s="937"/>
      <c r="HA19" s="937"/>
      <c r="HB19" s="937"/>
      <c r="HC19" s="937"/>
      <c r="HD19" s="937"/>
      <c r="HE19" s="937"/>
      <c r="HF19" s="937"/>
      <c r="HG19" s="937"/>
      <c r="HH19" s="937"/>
      <c r="HI19" s="937"/>
      <c r="HJ19" s="937"/>
      <c r="HK19" s="937"/>
      <c r="HL19" s="937"/>
      <c r="HM19" s="937"/>
      <c r="HN19" s="937"/>
      <c r="HO19" s="937"/>
      <c r="HP19" s="937"/>
      <c r="HQ19" s="937"/>
      <c r="HR19" s="937"/>
      <c r="HS19" s="937"/>
      <c r="HT19" s="937"/>
      <c r="HU19" s="937"/>
      <c r="HV19" s="937"/>
      <c r="HW19" s="937"/>
      <c r="HX19" s="937"/>
      <c r="HY19" s="937"/>
      <c r="HZ19" s="937"/>
      <c r="IA19" s="937"/>
      <c r="IB19" s="937"/>
      <c r="IC19" s="937"/>
      <c r="ID19" s="937"/>
      <c r="IE19" s="937"/>
      <c r="IF19" s="937"/>
      <c r="IG19" s="937"/>
      <c r="IH19" s="937"/>
      <c r="II19" s="937"/>
      <c r="IJ19" s="937"/>
      <c r="IK19" s="937"/>
      <c r="IL19" s="937"/>
      <c r="IM19" s="937"/>
      <c r="IN19" s="937"/>
      <c r="IO19" s="937"/>
      <c r="IP19" s="937"/>
      <c r="IQ19" s="937"/>
      <c r="IR19" s="937"/>
      <c r="IS19" s="937"/>
      <c r="IT19" s="937"/>
      <c r="IU19" s="937"/>
      <c r="IV19" s="937"/>
      <c r="IW19" s="937"/>
    </row>
    <row r="20" customFormat="false" ht="12.75" hidden="false" customHeight="false" outlineLevel="0" collapsed="false">
      <c r="A20" s="947" t="str">
        <f aca="false">Assm!N19</f>
        <v>Environmental &amp; Permitting</v>
      </c>
      <c r="B20" s="944"/>
      <c r="C20" s="948" t="n">
        <f aca="false">Assm!V19</f>
        <v>1256.75572</v>
      </c>
      <c r="D20" s="945"/>
      <c r="E20" s="952" t="n">
        <v>0</v>
      </c>
      <c r="F20" s="952" t="n">
        <v>0</v>
      </c>
      <c r="G20" s="952" t="n">
        <v>0</v>
      </c>
      <c r="H20" s="952" t="n">
        <v>0</v>
      </c>
      <c r="I20" s="952" t="n">
        <v>0</v>
      </c>
      <c r="J20" s="952" t="n">
        <v>0</v>
      </c>
      <c r="K20" s="952" t="n">
        <v>0</v>
      </c>
      <c r="L20" s="952" t="n">
        <v>0</v>
      </c>
      <c r="M20" s="952" t="n">
        <v>0</v>
      </c>
      <c r="N20" s="952" t="n">
        <v>0</v>
      </c>
      <c r="O20" s="952" t="n">
        <v>0</v>
      </c>
      <c r="P20" s="952" t="n">
        <v>0</v>
      </c>
      <c r="Q20" s="952" t="n">
        <v>0</v>
      </c>
      <c r="R20" s="952" t="n">
        <v>0</v>
      </c>
      <c r="S20" s="952" t="n">
        <v>0</v>
      </c>
      <c r="T20" s="952" t="n">
        <v>0</v>
      </c>
      <c r="U20" s="952" t="n">
        <v>0</v>
      </c>
      <c r="V20" s="952" t="n">
        <v>0</v>
      </c>
      <c r="W20" s="952" t="n">
        <v>0</v>
      </c>
      <c r="X20" s="952" t="n">
        <v>0</v>
      </c>
      <c r="Y20" s="952" t="n">
        <v>0</v>
      </c>
      <c r="Z20" s="952" t="n">
        <v>0</v>
      </c>
      <c r="AA20" s="952" t="n">
        <v>0</v>
      </c>
      <c r="AB20" s="952" t="n">
        <v>0</v>
      </c>
      <c r="AC20" s="950" t="n">
        <v>0</v>
      </c>
      <c r="AD20" s="950" t="n">
        <v>0</v>
      </c>
      <c r="AE20" s="950" t="n">
        <v>0</v>
      </c>
      <c r="AF20" s="950" t="n">
        <v>0</v>
      </c>
      <c r="AG20" s="950" t="n">
        <v>0</v>
      </c>
      <c r="AH20" s="950" t="n">
        <v>0</v>
      </c>
      <c r="AI20" s="950" t="n">
        <v>0</v>
      </c>
      <c r="AJ20" s="950" t="n">
        <v>0</v>
      </c>
      <c r="AK20" s="950" t="n">
        <v>0</v>
      </c>
      <c r="AL20" s="950" t="n">
        <v>0</v>
      </c>
      <c r="AM20" s="950" t="n">
        <v>0</v>
      </c>
      <c r="AN20" s="950" t="n">
        <v>0</v>
      </c>
      <c r="AO20" s="950" t="n">
        <v>0</v>
      </c>
      <c r="AP20" s="950" t="n">
        <v>0</v>
      </c>
      <c r="AQ20" s="950" t="n">
        <v>0</v>
      </c>
      <c r="AR20" s="950" t="n">
        <v>0</v>
      </c>
      <c r="AS20" s="950" t="n">
        <v>0</v>
      </c>
      <c r="AT20" s="950" t="n">
        <v>0</v>
      </c>
      <c r="AU20" s="950" t="n">
        <v>0</v>
      </c>
      <c r="AV20" s="950" t="n">
        <v>0</v>
      </c>
      <c r="AW20" s="950" t="n">
        <v>0</v>
      </c>
      <c r="AX20" s="950" t="n">
        <v>0</v>
      </c>
      <c r="AY20" s="950" t="n">
        <v>0</v>
      </c>
      <c r="AZ20" s="945"/>
      <c r="BA20" s="951" t="n">
        <f aca="false">SUM(E20:AY20)</f>
        <v>0</v>
      </c>
      <c r="BB20" s="937"/>
      <c r="BC20" s="937"/>
      <c r="BD20" s="937"/>
      <c r="BE20" s="937"/>
      <c r="BF20" s="937"/>
      <c r="BG20" s="937"/>
      <c r="BH20" s="937"/>
      <c r="BI20" s="937"/>
      <c r="BJ20" s="937"/>
      <c r="BK20" s="937"/>
      <c r="BL20" s="937"/>
      <c r="BM20" s="937"/>
      <c r="BN20" s="937"/>
      <c r="BO20" s="937"/>
      <c r="BP20" s="937"/>
      <c r="BQ20" s="937"/>
      <c r="BR20" s="937"/>
      <c r="BS20" s="937"/>
      <c r="BT20" s="937"/>
      <c r="BU20" s="937"/>
      <c r="BV20" s="937"/>
      <c r="BW20" s="937"/>
      <c r="BX20" s="937"/>
      <c r="BY20" s="937"/>
      <c r="BZ20" s="937"/>
      <c r="CA20" s="937"/>
      <c r="CB20" s="937"/>
      <c r="CC20" s="937"/>
      <c r="CD20" s="937"/>
      <c r="CE20" s="937"/>
      <c r="CF20" s="937"/>
      <c r="CG20" s="937"/>
      <c r="CH20" s="937"/>
      <c r="CI20" s="937"/>
      <c r="CJ20" s="937"/>
      <c r="CK20" s="937"/>
      <c r="CL20" s="937"/>
      <c r="CM20" s="937"/>
      <c r="CN20" s="937"/>
      <c r="CO20" s="937"/>
      <c r="CP20" s="937"/>
      <c r="CQ20" s="937"/>
      <c r="CR20" s="937"/>
      <c r="CS20" s="937"/>
      <c r="CT20" s="937"/>
      <c r="CU20" s="937"/>
      <c r="CV20" s="937"/>
      <c r="CW20" s="937"/>
      <c r="CX20" s="937"/>
      <c r="CY20" s="937"/>
      <c r="CZ20" s="937"/>
      <c r="DA20" s="937"/>
      <c r="DB20" s="937"/>
      <c r="DC20" s="937"/>
      <c r="DD20" s="937"/>
      <c r="DE20" s="937"/>
      <c r="DF20" s="937"/>
      <c r="DG20" s="937"/>
      <c r="DH20" s="937"/>
      <c r="DI20" s="937"/>
      <c r="DJ20" s="937"/>
      <c r="DK20" s="937"/>
      <c r="DL20" s="937"/>
      <c r="DM20" s="937"/>
      <c r="DN20" s="937"/>
      <c r="DO20" s="937"/>
      <c r="DP20" s="937"/>
      <c r="DQ20" s="937"/>
      <c r="DR20" s="937"/>
      <c r="DS20" s="937"/>
      <c r="DT20" s="937"/>
      <c r="DU20" s="937"/>
      <c r="DV20" s="937"/>
      <c r="DW20" s="937"/>
      <c r="DX20" s="937"/>
      <c r="DY20" s="937"/>
      <c r="DZ20" s="937"/>
      <c r="EA20" s="937"/>
      <c r="EB20" s="937"/>
      <c r="EC20" s="937"/>
      <c r="ED20" s="937"/>
      <c r="EE20" s="937"/>
      <c r="EF20" s="937"/>
      <c r="EG20" s="937"/>
      <c r="EH20" s="937"/>
      <c r="EI20" s="937"/>
      <c r="EJ20" s="937"/>
      <c r="EK20" s="937"/>
      <c r="EL20" s="937"/>
      <c r="EM20" s="937"/>
      <c r="EN20" s="937"/>
      <c r="EO20" s="937"/>
      <c r="EP20" s="937"/>
      <c r="EQ20" s="937"/>
      <c r="ER20" s="937"/>
      <c r="ES20" s="937"/>
      <c r="ET20" s="937"/>
      <c r="EU20" s="937"/>
      <c r="EV20" s="937"/>
      <c r="EW20" s="937"/>
      <c r="EX20" s="937"/>
      <c r="EY20" s="937"/>
      <c r="EZ20" s="937"/>
      <c r="FA20" s="937"/>
      <c r="FB20" s="937"/>
      <c r="FC20" s="937"/>
      <c r="FD20" s="937"/>
      <c r="FE20" s="937"/>
      <c r="FF20" s="937"/>
      <c r="FG20" s="937"/>
      <c r="FH20" s="937"/>
      <c r="FI20" s="937"/>
      <c r="FJ20" s="937"/>
      <c r="FK20" s="937"/>
      <c r="FL20" s="937"/>
      <c r="FM20" s="937"/>
      <c r="FN20" s="937"/>
      <c r="FO20" s="937"/>
      <c r="FP20" s="937"/>
      <c r="FQ20" s="937"/>
      <c r="FR20" s="937"/>
      <c r="FS20" s="937"/>
      <c r="FT20" s="937"/>
      <c r="FU20" s="937"/>
      <c r="FV20" s="937"/>
      <c r="FW20" s="937"/>
      <c r="FX20" s="937"/>
      <c r="FY20" s="937"/>
      <c r="FZ20" s="937"/>
      <c r="GA20" s="937"/>
      <c r="GB20" s="937"/>
      <c r="GC20" s="937"/>
      <c r="GD20" s="937"/>
      <c r="GE20" s="937"/>
      <c r="GF20" s="937"/>
      <c r="GG20" s="937"/>
      <c r="GH20" s="937"/>
      <c r="GI20" s="937"/>
      <c r="GJ20" s="937"/>
      <c r="GK20" s="937"/>
      <c r="GL20" s="937"/>
      <c r="GM20" s="937"/>
      <c r="GN20" s="937"/>
      <c r="GO20" s="937"/>
      <c r="GP20" s="937"/>
      <c r="GQ20" s="937"/>
      <c r="GR20" s="937"/>
      <c r="GS20" s="937"/>
      <c r="GT20" s="937"/>
      <c r="GU20" s="937"/>
      <c r="GV20" s="937"/>
      <c r="GW20" s="937"/>
      <c r="GX20" s="937"/>
      <c r="GY20" s="937"/>
      <c r="GZ20" s="937"/>
      <c r="HA20" s="937"/>
      <c r="HB20" s="937"/>
      <c r="HC20" s="937"/>
      <c r="HD20" s="937"/>
      <c r="HE20" s="937"/>
      <c r="HF20" s="937"/>
      <c r="HG20" s="937"/>
      <c r="HH20" s="937"/>
      <c r="HI20" s="937"/>
      <c r="HJ20" s="937"/>
      <c r="HK20" s="937"/>
      <c r="HL20" s="937"/>
      <c r="HM20" s="937"/>
      <c r="HN20" s="937"/>
      <c r="HO20" s="937"/>
      <c r="HP20" s="937"/>
      <c r="HQ20" s="937"/>
      <c r="HR20" s="937"/>
      <c r="HS20" s="937"/>
      <c r="HT20" s="937"/>
      <c r="HU20" s="937"/>
      <c r="HV20" s="937"/>
      <c r="HW20" s="937"/>
      <c r="HX20" s="937"/>
      <c r="HY20" s="937"/>
      <c r="HZ20" s="937"/>
      <c r="IA20" s="937"/>
      <c r="IB20" s="937"/>
      <c r="IC20" s="937"/>
      <c r="ID20" s="937"/>
      <c r="IE20" s="937"/>
      <c r="IF20" s="937"/>
      <c r="IG20" s="937"/>
      <c r="IH20" s="937"/>
      <c r="II20" s="937"/>
      <c r="IJ20" s="937"/>
      <c r="IK20" s="937"/>
      <c r="IL20" s="937"/>
      <c r="IM20" s="937"/>
      <c r="IN20" s="937"/>
      <c r="IO20" s="937"/>
      <c r="IP20" s="937"/>
      <c r="IQ20" s="937"/>
      <c r="IR20" s="937"/>
      <c r="IS20" s="937"/>
      <c r="IT20" s="937"/>
      <c r="IU20" s="937"/>
      <c r="IV20" s="937"/>
      <c r="IW20" s="937"/>
    </row>
    <row r="21" customFormat="false" ht="12.75" hidden="false" customHeight="false" outlineLevel="0" collapsed="false">
      <c r="A21" s="947" t="str">
        <f aca="false">Assm!N20</f>
        <v>Consulting Fee</v>
      </c>
      <c r="B21" s="944"/>
      <c r="C21" s="953" t="n">
        <f aca="false">Assm!V20</f>
        <v>2642</v>
      </c>
      <c r="D21" s="954"/>
      <c r="E21" s="955" t="n">
        <v>0</v>
      </c>
      <c r="F21" s="955" t="n">
        <v>0</v>
      </c>
      <c r="G21" s="955" t="n">
        <v>0</v>
      </c>
      <c r="H21" s="955" t="n">
        <v>0</v>
      </c>
      <c r="I21" s="955" t="n">
        <v>0</v>
      </c>
      <c r="J21" s="955" t="n">
        <v>0</v>
      </c>
      <c r="K21" s="955" t="n">
        <v>0</v>
      </c>
      <c r="L21" s="955" t="n">
        <v>0</v>
      </c>
      <c r="M21" s="955" t="n">
        <v>0</v>
      </c>
      <c r="N21" s="955" t="n">
        <v>0</v>
      </c>
      <c r="O21" s="955" t="n">
        <v>0</v>
      </c>
      <c r="P21" s="955" t="n">
        <v>0</v>
      </c>
      <c r="Q21" s="955" t="n">
        <v>0</v>
      </c>
      <c r="R21" s="955" t="n">
        <v>0</v>
      </c>
      <c r="S21" s="955" t="n">
        <v>0</v>
      </c>
      <c r="T21" s="955" t="n">
        <v>0</v>
      </c>
      <c r="U21" s="955" t="n">
        <v>0</v>
      </c>
      <c r="V21" s="955" t="n">
        <v>0</v>
      </c>
      <c r="W21" s="955" t="n">
        <v>0</v>
      </c>
      <c r="X21" s="955" t="n">
        <v>0</v>
      </c>
      <c r="Y21" s="955" t="n">
        <v>0</v>
      </c>
      <c r="Z21" s="955" t="n">
        <v>0</v>
      </c>
      <c r="AA21" s="955" t="n">
        <v>0</v>
      </c>
      <c r="AB21" s="955" t="n">
        <v>0</v>
      </c>
      <c r="AC21" s="957" t="n">
        <v>0</v>
      </c>
      <c r="AD21" s="957" t="n">
        <v>0</v>
      </c>
      <c r="AE21" s="957" t="n">
        <v>0</v>
      </c>
      <c r="AF21" s="957" t="n">
        <v>0</v>
      </c>
      <c r="AG21" s="957" t="n">
        <v>0</v>
      </c>
      <c r="AH21" s="957" t="n">
        <v>0</v>
      </c>
      <c r="AI21" s="957" t="n">
        <v>0</v>
      </c>
      <c r="AJ21" s="957" t="n">
        <v>0</v>
      </c>
      <c r="AK21" s="957" t="n">
        <v>0</v>
      </c>
      <c r="AL21" s="957" t="n">
        <v>0</v>
      </c>
      <c r="AM21" s="957" t="n">
        <v>0</v>
      </c>
      <c r="AN21" s="957" t="n">
        <v>0</v>
      </c>
      <c r="AO21" s="957" t="n">
        <v>0</v>
      </c>
      <c r="AP21" s="957" t="n">
        <v>0</v>
      </c>
      <c r="AQ21" s="957" t="n">
        <v>0</v>
      </c>
      <c r="AR21" s="957" t="n">
        <v>0</v>
      </c>
      <c r="AS21" s="957" t="n">
        <v>0</v>
      </c>
      <c r="AT21" s="957" t="n">
        <v>0</v>
      </c>
      <c r="AU21" s="957" t="n">
        <v>0</v>
      </c>
      <c r="AV21" s="957" t="n">
        <v>0</v>
      </c>
      <c r="AW21" s="957" t="n">
        <v>0</v>
      </c>
      <c r="AX21" s="957" t="n">
        <v>0</v>
      </c>
      <c r="AY21" s="957" t="n">
        <v>0</v>
      </c>
      <c r="AZ21" s="954"/>
      <c r="BA21" s="956" t="n">
        <f aca="false">SUM(E21:AY21)</f>
        <v>0</v>
      </c>
      <c r="BB21" s="937"/>
      <c r="BC21" s="937"/>
      <c r="BD21" s="937"/>
      <c r="BE21" s="937"/>
      <c r="BF21" s="937"/>
      <c r="BG21" s="937"/>
      <c r="BH21" s="937"/>
      <c r="BI21" s="937"/>
      <c r="BJ21" s="937"/>
      <c r="BK21" s="937"/>
      <c r="BL21" s="937"/>
      <c r="BM21" s="937"/>
      <c r="BN21" s="937"/>
      <c r="BO21" s="937"/>
      <c r="BP21" s="937"/>
      <c r="BQ21" s="937"/>
      <c r="BR21" s="937"/>
      <c r="BS21" s="937"/>
      <c r="BT21" s="937"/>
      <c r="BU21" s="937"/>
      <c r="BV21" s="937"/>
      <c r="BW21" s="937"/>
      <c r="BX21" s="937"/>
      <c r="BY21" s="937"/>
      <c r="BZ21" s="937"/>
      <c r="CA21" s="937"/>
      <c r="CB21" s="937"/>
      <c r="CC21" s="937"/>
      <c r="CD21" s="937"/>
      <c r="CE21" s="937"/>
      <c r="CF21" s="937"/>
      <c r="CG21" s="937"/>
      <c r="CH21" s="937"/>
      <c r="CI21" s="937"/>
      <c r="CJ21" s="937"/>
      <c r="CK21" s="937"/>
      <c r="CL21" s="937"/>
      <c r="CM21" s="937"/>
      <c r="CN21" s="937"/>
      <c r="CO21" s="937"/>
      <c r="CP21" s="937"/>
      <c r="CQ21" s="937"/>
      <c r="CR21" s="937"/>
      <c r="CS21" s="937"/>
      <c r="CT21" s="937"/>
      <c r="CU21" s="937"/>
      <c r="CV21" s="937"/>
      <c r="CW21" s="937"/>
      <c r="CX21" s="937"/>
      <c r="CY21" s="937"/>
      <c r="CZ21" s="937"/>
      <c r="DA21" s="937"/>
      <c r="DB21" s="937"/>
      <c r="DC21" s="937"/>
      <c r="DD21" s="937"/>
      <c r="DE21" s="937"/>
      <c r="DF21" s="937"/>
      <c r="DG21" s="937"/>
      <c r="DH21" s="937"/>
      <c r="DI21" s="937"/>
      <c r="DJ21" s="937"/>
      <c r="DK21" s="937"/>
      <c r="DL21" s="937"/>
      <c r="DM21" s="937"/>
      <c r="DN21" s="937"/>
      <c r="DO21" s="937"/>
      <c r="DP21" s="937"/>
      <c r="DQ21" s="937"/>
      <c r="DR21" s="937"/>
      <c r="DS21" s="937"/>
      <c r="DT21" s="937"/>
      <c r="DU21" s="937"/>
      <c r="DV21" s="937"/>
      <c r="DW21" s="937"/>
      <c r="DX21" s="937"/>
      <c r="DY21" s="937"/>
      <c r="DZ21" s="937"/>
      <c r="EA21" s="937"/>
      <c r="EB21" s="937"/>
      <c r="EC21" s="937"/>
      <c r="ED21" s="937"/>
      <c r="EE21" s="937"/>
      <c r="EF21" s="937"/>
      <c r="EG21" s="937"/>
      <c r="EH21" s="937"/>
      <c r="EI21" s="937"/>
      <c r="EJ21" s="937"/>
      <c r="EK21" s="937"/>
      <c r="EL21" s="937"/>
      <c r="EM21" s="937"/>
      <c r="EN21" s="937"/>
      <c r="EO21" s="937"/>
      <c r="EP21" s="937"/>
      <c r="EQ21" s="937"/>
      <c r="ER21" s="937"/>
      <c r="ES21" s="937"/>
      <c r="ET21" s="937"/>
      <c r="EU21" s="937"/>
      <c r="EV21" s="937"/>
      <c r="EW21" s="937"/>
      <c r="EX21" s="937"/>
      <c r="EY21" s="937"/>
      <c r="EZ21" s="937"/>
      <c r="FA21" s="937"/>
      <c r="FB21" s="937"/>
      <c r="FC21" s="937"/>
      <c r="FD21" s="937"/>
      <c r="FE21" s="937"/>
      <c r="FF21" s="937"/>
      <c r="FG21" s="937"/>
      <c r="FH21" s="937"/>
      <c r="FI21" s="937"/>
      <c r="FJ21" s="937"/>
      <c r="FK21" s="937"/>
      <c r="FL21" s="937"/>
      <c r="FM21" s="937"/>
      <c r="FN21" s="937"/>
      <c r="FO21" s="937"/>
      <c r="FP21" s="937"/>
      <c r="FQ21" s="937"/>
      <c r="FR21" s="937"/>
      <c r="FS21" s="937"/>
      <c r="FT21" s="937"/>
      <c r="FU21" s="937"/>
      <c r="FV21" s="937"/>
      <c r="FW21" s="937"/>
      <c r="FX21" s="937"/>
      <c r="FY21" s="937"/>
      <c r="FZ21" s="937"/>
      <c r="GA21" s="937"/>
      <c r="GB21" s="937"/>
      <c r="GC21" s="937"/>
      <c r="GD21" s="937"/>
      <c r="GE21" s="937"/>
      <c r="GF21" s="937"/>
      <c r="GG21" s="937"/>
      <c r="GH21" s="937"/>
      <c r="GI21" s="937"/>
      <c r="GJ21" s="937"/>
      <c r="GK21" s="937"/>
      <c r="GL21" s="937"/>
      <c r="GM21" s="937"/>
      <c r="GN21" s="937"/>
      <c r="GO21" s="937"/>
      <c r="GP21" s="937"/>
      <c r="GQ21" s="937"/>
      <c r="GR21" s="937"/>
      <c r="GS21" s="937"/>
      <c r="GT21" s="937"/>
      <c r="GU21" s="937"/>
      <c r="GV21" s="937"/>
      <c r="GW21" s="937"/>
      <c r="GX21" s="937"/>
      <c r="GY21" s="937"/>
      <c r="GZ21" s="937"/>
      <c r="HA21" s="937"/>
      <c r="HB21" s="937"/>
      <c r="HC21" s="937"/>
      <c r="HD21" s="937"/>
      <c r="HE21" s="937"/>
      <c r="HF21" s="937"/>
      <c r="HG21" s="937"/>
      <c r="HH21" s="937"/>
      <c r="HI21" s="937"/>
      <c r="HJ21" s="937"/>
      <c r="HK21" s="937"/>
      <c r="HL21" s="937"/>
      <c r="HM21" s="937"/>
      <c r="HN21" s="937"/>
      <c r="HO21" s="937"/>
      <c r="HP21" s="937"/>
      <c r="HQ21" s="937"/>
      <c r="HR21" s="937"/>
      <c r="HS21" s="937"/>
      <c r="HT21" s="937"/>
      <c r="HU21" s="937"/>
      <c r="HV21" s="937"/>
      <c r="HW21" s="937"/>
      <c r="HX21" s="937"/>
      <c r="HY21" s="937"/>
      <c r="HZ21" s="937"/>
      <c r="IA21" s="937"/>
      <c r="IB21" s="937"/>
      <c r="IC21" s="937"/>
      <c r="ID21" s="937"/>
      <c r="IE21" s="937"/>
      <c r="IF21" s="937"/>
      <c r="IG21" s="937"/>
      <c r="IH21" s="937"/>
      <c r="II21" s="937"/>
      <c r="IJ21" s="937"/>
      <c r="IK21" s="937"/>
      <c r="IL21" s="937"/>
      <c r="IM21" s="937"/>
      <c r="IN21" s="937"/>
      <c r="IO21" s="937"/>
      <c r="IP21" s="937"/>
      <c r="IQ21" s="937"/>
      <c r="IR21" s="937"/>
      <c r="IS21" s="937"/>
      <c r="IT21" s="937"/>
      <c r="IU21" s="937"/>
      <c r="IV21" s="937"/>
      <c r="IW21" s="937"/>
    </row>
    <row r="22" customFormat="false" ht="12.75" hidden="false" customHeight="false" outlineLevel="0" collapsed="false">
      <c r="A22" s="947" t="str">
        <f aca="false">Assm!N21</f>
        <v>Total Other Construction</v>
      </c>
      <c r="B22" s="944"/>
      <c r="C22" s="948" t="n">
        <f aca="false">SUM(C17:C21)</f>
        <v>8098.75572</v>
      </c>
      <c r="D22" s="945"/>
      <c r="E22" s="948" t="n">
        <f aca="false">SUM(E17:E21)</f>
        <v>0</v>
      </c>
      <c r="F22" s="948" t="n">
        <f aca="false">SUM(F17:F21)</f>
        <v>0</v>
      </c>
      <c r="G22" s="948" t="n">
        <f aca="false">SUM(G17:G21)</f>
        <v>0</v>
      </c>
      <c r="H22" s="948" t="n">
        <f aca="false">SUM(H17:H21)</f>
        <v>0</v>
      </c>
      <c r="I22" s="948" t="n">
        <f aca="false">SUM(I17:I21)</f>
        <v>0</v>
      </c>
      <c r="J22" s="948" t="n">
        <f aca="false">SUM(J17:J21)</f>
        <v>0</v>
      </c>
      <c r="K22" s="948" t="n">
        <f aca="false">SUM(K17:K21)</f>
        <v>0</v>
      </c>
      <c r="L22" s="948" t="n">
        <f aca="false">SUM(L17:L21)</f>
        <v>0</v>
      </c>
      <c r="M22" s="948" t="n">
        <f aca="false">SUM(M17:M21)</f>
        <v>0</v>
      </c>
      <c r="N22" s="948" t="n">
        <f aca="false">SUM(N17:N21)</f>
        <v>0</v>
      </c>
      <c r="O22" s="948" t="n">
        <f aca="false">SUM(O17:O21)</f>
        <v>0</v>
      </c>
      <c r="P22" s="948" t="n">
        <f aca="false">SUM(P17:P21)</f>
        <v>0</v>
      </c>
      <c r="Q22" s="948" t="n">
        <f aca="false">SUM(Q17:Q21)</f>
        <v>0</v>
      </c>
      <c r="R22" s="948" t="n">
        <f aca="false">SUM(R17:R21)</f>
        <v>0</v>
      </c>
      <c r="S22" s="948" t="n">
        <f aca="false">SUM(S17:S21)</f>
        <v>0</v>
      </c>
      <c r="T22" s="948" t="n">
        <f aca="false">SUM(T17:T21)</f>
        <v>0</v>
      </c>
      <c r="U22" s="948" t="n">
        <f aca="false">SUM(U17:U21)</f>
        <v>0</v>
      </c>
      <c r="V22" s="948" t="n">
        <f aca="false">SUM(V17:V21)</f>
        <v>0</v>
      </c>
      <c r="W22" s="948" t="n">
        <f aca="false">SUM(W17:W21)</f>
        <v>0</v>
      </c>
      <c r="X22" s="948" t="n">
        <f aca="false">SUM(X17:X21)</f>
        <v>0</v>
      </c>
      <c r="Y22" s="948" t="n">
        <f aca="false">SUM(Y17:Y21)</f>
        <v>0</v>
      </c>
      <c r="Z22" s="948" t="n">
        <f aca="false">SUM(Z17:Z21)</f>
        <v>0</v>
      </c>
      <c r="AA22" s="948" t="n">
        <f aca="false">SUM(AA17:AA21)</f>
        <v>0</v>
      </c>
      <c r="AB22" s="948" t="n">
        <f aca="false">SUM(AB17:AB21)</f>
        <v>0</v>
      </c>
      <c r="AC22" s="948" t="n">
        <f aca="false">SUM(AC17:AC21)</f>
        <v>0</v>
      </c>
      <c r="AD22" s="948" t="n">
        <f aca="false">SUM(AD17:AD21)</f>
        <v>653.328894806924</v>
      </c>
      <c r="AE22" s="948" t="n">
        <f aca="false">SUM(AE17:AE21)</f>
        <v>0</v>
      </c>
      <c r="AF22" s="948" t="n">
        <f aca="false">SUM(AF17:AF21)</f>
        <v>0</v>
      </c>
      <c r="AG22" s="948" t="n">
        <f aca="false">SUM(AG17:AG21)</f>
        <v>437.966283834887</v>
      </c>
      <c r="AH22" s="948" t="n">
        <f aca="false">SUM(AH17:AH21)</f>
        <v>437.966283834887</v>
      </c>
      <c r="AI22" s="948" t="n">
        <f aca="false">SUM(AI17:AI21)</f>
        <v>437.966283834887</v>
      </c>
      <c r="AJ22" s="948" t="n">
        <f aca="false">SUM(AJ17:AJ21)</f>
        <v>437.966283834887</v>
      </c>
      <c r="AK22" s="948" t="n">
        <f aca="false">SUM(AK17:AK21)</f>
        <v>437.966283834887</v>
      </c>
      <c r="AL22" s="948" t="n">
        <f aca="false">SUM(AL17:AL21)</f>
        <v>437.966283834887</v>
      </c>
      <c r="AM22" s="948" t="n">
        <f aca="false">SUM(AM17:AM21)</f>
        <v>437.966283834887</v>
      </c>
      <c r="AN22" s="948" t="n">
        <f aca="false">SUM(AN17:AN21)</f>
        <v>437.966283834887</v>
      </c>
      <c r="AO22" s="948" t="n">
        <f aca="false">SUM(AO17:AO21)</f>
        <v>437.966283834887</v>
      </c>
      <c r="AP22" s="948" t="n">
        <f aca="false">SUM(AP17:AP21)</f>
        <v>437.966283834887</v>
      </c>
      <c r="AQ22" s="948" t="n">
        <f aca="false">SUM(AQ17:AQ21)</f>
        <v>437.966283834887</v>
      </c>
      <c r="AR22" s="948" t="n">
        <f aca="false">SUM(AR17:AR21)</f>
        <v>437.966283834887</v>
      </c>
      <c r="AS22" s="948" t="n">
        <f aca="false">SUM(AS17:AS21)</f>
        <v>437.966283834887</v>
      </c>
      <c r="AT22" s="948" t="n">
        <f aca="false">SUM(AT17:AT21)</f>
        <v>437.966283834887</v>
      </c>
      <c r="AU22" s="948" t="n">
        <f aca="false">SUM(AU17:AU21)</f>
        <v>437.966283834887</v>
      </c>
      <c r="AV22" s="948" t="n">
        <f aca="false">SUM(AV17:AV21)</f>
        <v>437.966283834887</v>
      </c>
      <c r="AW22" s="948" t="n">
        <f aca="false">SUM(AW17:AW21)</f>
        <v>437.966283834887</v>
      </c>
      <c r="AX22" s="948" t="n">
        <f aca="false">SUM(AX17:AX21)</f>
        <v>0</v>
      </c>
      <c r="AY22" s="948" t="n">
        <f aca="false">SUM(AY17:AY21)</f>
        <v>0</v>
      </c>
      <c r="AZ22" s="945"/>
      <c r="BA22" s="951" t="n">
        <f aca="false">SUM(BA17:BA21)</f>
        <v>8098.75572</v>
      </c>
      <c r="BB22" s="937"/>
      <c r="BC22" s="937"/>
      <c r="BD22" s="937"/>
      <c r="BE22" s="937"/>
      <c r="BF22" s="937"/>
      <c r="BG22" s="937"/>
      <c r="BH22" s="937"/>
      <c r="BI22" s="937"/>
      <c r="BJ22" s="937"/>
      <c r="BK22" s="937"/>
      <c r="BL22" s="937"/>
      <c r="BM22" s="937"/>
      <c r="BN22" s="937"/>
      <c r="BO22" s="937"/>
      <c r="BP22" s="937"/>
      <c r="BQ22" s="937"/>
      <c r="BR22" s="937"/>
      <c r="BS22" s="937"/>
      <c r="BT22" s="937"/>
      <c r="BU22" s="937"/>
      <c r="BV22" s="937"/>
      <c r="BW22" s="937"/>
      <c r="BX22" s="937"/>
      <c r="BY22" s="937"/>
      <c r="BZ22" s="937"/>
      <c r="CA22" s="937"/>
      <c r="CB22" s="937"/>
      <c r="CC22" s="937"/>
      <c r="CD22" s="937"/>
      <c r="CE22" s="937"/>
      <c r="CF22" s="937"/>
      <c r="CG22" s="937"/>
      <c r="CH22" s="937"/>
      <c r="CI22" s="937"/>
      <c r="CJ22" s="937"/>
      <c r="CK22" s="937"/>
      <c r="CL22" s="937"/>
      <c r="CM22" s="937"/>
      <c r="CN22" s="937"/>
      <c r="CO22" s="937"/>
      <c r="CP22" s="937"/>
      <c r="CQ22" s="937"/>
      <c r="CR22" s="937"/>
      <c r="CS22" s="937"/>
      <c r="CT22" s="937"/>
      <c r="CU22" s="937"/>
      <c r="CV22" s="937"/>
      <c r="CW22" s="937"/>
      <c r="CX22" s="937"/>
      <c r="CY22" s="937"/>
      <c r="CZ22" s="937"/>
      <c r="DA22" s="937"/>
      <c r="DB22" s="937"/>
      <c r="DC22" s="937"/>
      <c r="DD22" s="937"/>
      <c r="DE22" s="937"/>
      <c r="DF22" s="937"/>
      <c r="DG22" s="937"/>
      <c r="DH22" s="937"/>
      <c r="DI22" s="937"/>
      <c r="DJ22" s="937"/>
      <c r="DK22" s="937"/>
      <c r="DL22" s="937"/>
      <c r="DM22" s="937"/>
      <c r="DN22" s="937"/>
      <c r="DO22" s="937"/>
      <c r="DP22" s="937"/>
      <c r="DQ22" s="937"/>
      <c r="DR22" s="937"/>
      <c r="DS22" s="937"/>
      <c r="DT22" s="937"/>
      <c r="DU22" s="937"/>
      <c r="DV22" s="937"/>
      <c r="DW22" s="937"/>
      <c r="DX22" s="937"/>
      <c r="DY22" s="937"/>
      <c r="DZ22" s="937"/>
      <c r="EA22" s="937"/>
      <c r="EB22" s="937"/>
      <c r="EC22" s="937"/>
      <c r="ED22" s="937"/>
      <c r="EE22" s="937"/>
      <c r="EF22" s="937"/>
      <c r="EG22" s="937"/>
      <c r="EH22" s="937"/>
      <c r="EI22" s="937"/>
      <c r="EJ22" s="937"/>
      <c r="EK22" s="937"/>
      <c r="EL22" s="937"/>
      <c r="EM22" s="937"/>
      <c r="EN22" s="937"/>
      <c r="EO22" s="937"/>
      <c r="EP22" s="937"/>
      <c r="EQ22" s="937"/>
      <c r="ER22" s="937"/>
      <c r="ES22" s="937"/>
      <c r="ET22" s="937"/>
      <c r="EU22" s="937"/>
      <c r="EV22" s="937"/>
      <c r="EW22" s="937"/>
      <c r="EX22" s="937"/>
      <c r="EY22" s="937"/>
      <c r="EZ22" s="937"/>
      <c r="FA22" s="937"/>
      <c r="FB22" s="937"/>
      <c r="FC22" s="937"/>
      <c r="FD22" s="937"/>
      <c r="FE22" s="937"/>
      <c r="FF22" s="937"/>
      <c r="FG22" s="937"/>
      <c r="FH22" s="937"/>
      <c r="FI22" s="937"/>
      <c r="FJ22" s="937"/>
      <c r="FK22" s="937"/>
      <c r="FL22" s="937"/>
      <c r="FM22" s="937"/>
      <c r="FN22" s="937"/>
      <c r="FO22" s="937"/>
      <c r="FP22" s="937"/>
      <c r="FQ22" s="937"/>
      <c r="FR22" s="937"/>
      <c r="FS22" s="937"/>
      <c r="FT22" s="937"/>
      <c r="FU22" s="937"/>
      <c r="FV22" s="937"/>
      <c r="FW22" s="937"/>
      <c r="FX22" s="937"/>
      <c r="FY22" s="937"/>
      <c r="FZ22" s="937"/>
      <c r="GA22" s="937"/>
      <c r="GB22" s="937"/>
      <c r="GC22" s="937"/>
      <c r="GD22" s="937"/>
      <c r="GE22" s="937"/>
      <c r="GF22" s="937"/>
      <c r="GG22" s="937"/>
      <c r="GH22" s="937"/>
      <c r="GI22" s="937"/>
      <c r="GJ22" s="937"/>
      <c r="GK22" s="937"/>
      <c r="GL22" s="937"/>
      <c r="GM22" s="937"/>
      <c r="GN22" s="937"/>
      <c r="GO22" s="937"/>
      <c r="GP22" s="937"/>
      <c r="GQ22" s="937"/>
      <c r="GR22" s="937"/>
      <c r="GS22" s="937"/>
      <c r="GT22" s="937"/>
      <c r="GU22" s="937"/>
      <c r="GV22" s="937"/>
      <c r="GW22" s="937"/>
      <c r="GX22" s="937"/>
      <c r="GY22" s="937"/>
      <c r="GZ22" s="937"/>
      <c r="HA22" s="937"/>
      <c r="HB22" s="937"/>
      <c r="HC22" s="937"/>
      <c r="HD22" s="937"/>
      <c r="HE22" s="937"/>
      <c r="HF22" s="937"/>
      <c r="HG22" s="937"/>
      <c r="HH22" s="937"/>
      <c r="HI22" s="937"/>
      <c r="HJ22" s="937"/>
      <c r="HK22" s="937"/>
      <c r="HL22" s="937"/>
      <c r="HM22" s="937"/>
      <c r="HN22" s="937"/>
      <c r="HO22" s="937"/>
      <c r="HP22" s="937"/>
      <c r="HQ22" s="937"/>
      <c r="HR22" s="937"/>
      <c r="HS22" s="937"/>
      <c r="HT22" s="937"/>
      <c r="HU22" s="937"/>
      <c r="HV22" s="937"/>
      <c r="HW22" s="937"/>
      <c r="HX22" s="937"/>
      <c r="HY22" s="937"/>
      <c r="HZ22" s="937"/>
      <c r="IA22" s="937"/>
      <c r="IB22" s="937"/>
      <c r="IC22" s="937"/>
      <c r="ID22" s="937"/>
      <c r="IE22" s="937"/>
      <c r="IF22" s="937"/>
      <c r="IG22" s="937"/>
      <c r="IH22" s="937"/>
      <c r="II22" s="937"/>
      <c r="IJ22" s="937"/>
      <c r="IK22" s="937"/>
      <c r="IL22" s="937"/>
      <c r="IM22" s="937"/>
      <c r="IN22" s="937"/>
      <c r="IO22" s="937"/>
      <c r="IP22" s="937"/>
      <c r="IQ22" s="937"/>
      <c r="IR22" s="937"/>
      <c r="IS22" s="937"/>
      <c r="IT22" s="937"/>
      <c r="IU22" s="937"/>
      <c r="IV22" s="937"/>
      <c r="IW22" s="937"/>
    </row>
    <row r="23" customFormat="false" ht="12.75" hidden="false" customHeight="false" outlineLevel="0" collapsed="false">
      <c r="A23" s="947"/>
      <c r="B23" s="944"/>
      <c r="C23" s="945"/>
      <c r="D23" s="945"/>
      <c r="E23" s="945"/>
      <c r="F23" s="945"/>
      <c r="G23" s="945"/>
      <c r="H23" s="945"/>
      <c r="I23" s="945"/>
      <c r="J23" s="945"/>
      <c r="K23" s="945"/>
      <c r="L23" s="945"/>
      <c r="M23" s="945"/>
      <c r="N23" s="945"/>
      <c r="O23" s="945"/>
      <c r="P23" s="945"/>
      <c r="Q23" s="945"/>
      <c r="R23" s="945"/>
      <c r="S23" s="945"/>
      <c r="T23" s="945"/>
      <c r="U23" s="945"/>
      <c r="V23" s="945"/>
      <c r="W23" s="945"/>
      <c r="X23" s="945"/>
      <c r="Y23" s="945"/>
      <c r="Z23" s="945"/>
      <c r="AA23" s="945"/>
      <c r="AB23" s="945"/>
      <c r="AC23" s="945"/>
      <c r="AD23" s="945"/>
      <c r="AE23" s="945"/>
      <c r="AF23" s="945"/>
      <c r="AG23" s="945"/>
      <c r="AH23" s="945"/>
      <c r="AI23" s="945"/>
      <c r="AJ23" s="945"/>
      <c r="AK23" s="945"/>
      <c r="AL23" s="945"/>
      <c r="AM23" s="945"/>
      <c r="AN23" s="945"/>
      <c r="AO23" s="945"/>
      <c r="AP23" s="945"/>
      <c r="AQ23" s="945"/>
      <c r="AR23" s="945"/>
      <c r="AS23" s="945"/>
      <c r="AT23" s="945"/>
      <c r="AU23" s="945"/>
      <c r="AV23" s="945"/>
      <c r="AW23" s="945"/>
      <c r="AX23" s="945"/>
      <c r="AY23" s="945"/>
      <c r="AZ23" s="945"/>
      <c r="BA23" s="946"/>
      <c r="BB23" s="937"/>
      <c r="BC23" s="937"/>
      <c r="BD23" s="937"/>
      <c r="BE23" s="937"/>
      <c r="BF23" s="937"/>
      <c r="BG23" s="937"/>
      <c r="BH23" s="937"/>
      <c r="BI23" s="937"/>
      <c r="BJ23" s="937"/>
      <c r="BK23" s="937"/>
      <c r="BL23" s="937"/>
      <c r="BM23" s="937"/>
      <c r="BN23" s="937"/>
      <c r="BO23" s="937"/>
      <c r="BP23" s="937"/>
      <c r="BQ23" s="937"/>
      <c r="BR23" s="937"/>
      <c r="BS23" s="937"/>
      <c r="BT23" s="937"/>
      <c r="BU23" s="937"/>
      <c r="BV23" s="937"/>
      <c r="BW23" s="937"/>
      <c r="BX23" s="937"/>
      <c r="BY23" s="937"/>
      <c r="BZ23" s="937"/>
      <c r="CA23" s="937"/>
      <c r="CB23" s="937"/>
      <c r="CC23" s="937"/>
      <c r="CD23" s="937"/>
      <c r="CE23" s="937"/>
      <c r="CF23" s="937"/>
      <c r="CG23" s="937"/>
      <c r="CH23" s="937"/>
      <c r="CI23" s="937"/>
      <c r="CJ23" s="937"/>
      <c r="CK23" s="937"/>
      <c r="CL23" s="937"/>
      <c r="CM23" s="937"/>
      <c r="CN23" s="937"/>
      <c r="CO23" s="937"/>
      <c r="CP23" s="937"/>
      <c r="CQ23" s="937"/>
      <c r="CR23" s="937"/>
      <c r="CS23" s="937"/>
      <c r="CT23" s="937"/>
      <c r="CU23" s="937"/>
      <c r="CV23" s="937"/>
      <c r="CW23" s="937"/>
      <c r="CX23" s="937"/>
      <c r="CY23" s="937"/>
      <c r="CZ23" s="937"/>
      <c r="DA23" s="937"/>
      <c r="DB23" s="937"/>
      <c r="DC23" s="937"/>
      <c r="DD23" s="937"/>
      <c r="DE23" s="937"/>
      <c r="DF23" s="937"/>
      <c r="DG23" s="937"/>
      <c r="DH23" s="937"/>
      <c r="DI23" s="937"/>
      <c r="DJ23" s="937"/>
      <c r="DK23" s="937"/>
      <c r="DL23" s="937"/>
      <c r="DM23" s="937"/>
      <c r="DN23" s="937"/>
      <c r="DO23" s="937"/>
      <c r="DP23" s="937"/>
      <c r="DQ23" s="937"/>
      <c r="DR23" s="937"/>
      <c r="DS23" s="937"/>
      <c r="DT23" s="937"/>
      <c r="DU23" s="937"/>
      <c r="DV23" s="937"/>
      <c r="DW23" s="937"/>
      <c r="DX23" s="937"/>
      <c r="DY23" s="937"/>
      <c r="DZ23" s="937"/>
      <c r="EA23" s="937"/>
      <c r="EB23" s="937"/>
      <c r="EC23" s="937"/>
      <c r="ED23" s="937"/>
      <c r="EE23" s="937"/>
      <c r="EF23" s="937"/>
      <c r="EG23" s="937"/>
      <c r="EH23" s="937"/>
      <c r="EI23" s="937"/>
      <c r="EJ23" s="937"/>
      <c r="EK23" s="937"/>
      <c r="EL23" s="937"/>
      <c r="EM23" s="937"/>
      <c r="EN23" s="937"/>
      <c r="EO23" s="937"/>
      <c r="EP23" s="937"/>
      <c r="EQ23" s="937"/>
      <c r="ER23" s="937"/>
      <c r="ES23" s="937"/>
      <c r="ET23" s="937"/>
      <c r="EU23" s="937"/>
      <c r="EV23" s="937"/>
      <c r="EW23" s="937"/>
      <c r="EX23" s="937"/>
      <c r="EY23" s="937"/>
      <c r="EZ23" s="937"/>
      <c r="FA23" s="937"/>
      <c r="FB23" s="937"/>
      <c r="FC23" s="937"/>
      <c r="FD23" s="937"/>
      <c r="FE23" s="937"/>
      <c r="FF23" s="937"/>
      <c r="FG23" s="937"/>
      <c r="FH23" s="937"/>
      <c r="FI23" s="937"/>
      <c r="FJ23" s="937"/>
      <c r="FK23" s="937"/>
      <c r="FL23" s="937"/>
      <c r="FM23" s="937"/>
      <c r="FN23" s="937"/>
      <c r="FO23" s="937"/>
      <c r="FP23" s="937"/>
      <c r="FQ23" s="937"/>
      <c r="FR23" s="937"/>
      <c r="FS23" s="937"/>
      <c r="FT23" s="937"/>
      <c r="FU23" s="937"/>
      <c r="FV23" s="937"/>
      <c r="FW23" s="937"/>
      <c r="FX23" s="937"/>
      <c r="FY23" s="937"/>
      <c r="FZ23" s="937"/>
      <c r="GA23" s="937"/>
      <c r="GB23" s="937"/>
      <c r="GC23" s="937"/>
      <c r="GD23" s="937"/>
      <c r="GE23" s="937"/>
      <c r="GF23" s="937"/>
      <c r="GG23" s="937"/>
      <c r="GH23" s="937"/>
      <c r="GI23" s="937"/>
      <c r="GJ23" s="937"/>
      <c r="GK23" s="937"/>
      <c r="GL23" s="937"/>
      <c r="GM23" s="937"/>
      <c r="GN23" s="937"/>
      <c r="GO23" s="937"/>
      <c r="GP23" s="937"/>
      <c r="GQ23" s="937"/>
      <c r="GR23" s="937"/>
      <c r="GS23" s="937"/>
      <c r="GT23" s="937"/>
      <c r="GU23" s="937"/>
      <c r="GV23" s="937"/>
      <c r="GW23" s="937"/>
      <c r="GX23" s="937"/>
      <c r="GY23" s="937"/>
      <c r="GZ23" s="937"/>
      <c r="HA23" s="937"/>
      <c r="HB23" s="937"/>
      <c r="HC23" s="937"/>
      <c r="HD23" s="937"/>
      <c r="HE23" s="937"/>
      <c r="HF23" s="937"/>
      <c r="HG23" s="937"/>
      <c r="HH23" s="937"/>
      <c r="HI23" s="937"/>
      <c r="HJ23" s="937"/>
      <c r="HK23" s="937"/>
      <c r="HL23" s="937"/>
      <c r="HM23" s="937"/>
      <c r="HN23" s="937"/>
      <c r="HO23" s="937"/>
      <c r="HP23" s="937"/>
      <c r="HQ23" s="937"/>
      <c r="HR23" s="937"/>
      <c r="HS23" s="937"/>
      <c r="HT23" s="937"/>
      <c r="HU23" s="937"/>
      <c r="HV23" s="937"/>
      <c r="HW23" s="937"/>
      <c r="HX23" s="937"/>
      <c r="HY23" s="937"/>
      <c r="HZ23" s="937"/>
      <c r="IA23" s="937"/>
      <c r="IB23" s="937"/>
      <c r="IC23" s="937"/>
      <c r="ID23" s="937"/>
      <c r="IE23" s="937"/>
      <c r="IF23" s="937"/>
      <c r="IG23" s="937"/>
      <c r="IH23" s="937"/>
      <c r="II23" s="937"/>
      <c r="IJ23" s="937"/>
      <c r="IK23" s="937"/>
      <c r="IL23" s="937"/>
      <c r="IM23" s="937"/>
      <c r="IN23" s="937"/>
      <c r="IO23" s="937"/>
      <c r="IP23" s="937"/>
      <c r="IQ23" s="937"/>
      <c r="IR23" s="937"/>
      <c r="IS23" s="937"/>
      <c r="IT23" s="937"/>
      <c r="IU23" s="937"/>
      <c r="IV23" s="937"/>
      <c r="IW23" s="937"/>
    </row>
    <row r="24" customFormat="false" ht="12.75" hidden="false" customHeight="false" outlineLevel="0" collapsed="false">
      <c r="A24" s="947" t="str">
        <f aca="false">Assm!N26</f>
        <v>Upfront Fee</v>
      </c>
      <c r="B24" s="944"/>
      <c r="C24" s="948" t="n">
        <f aca="false">Assm!V26</f>
        <v>29527.5167986659</v>
      </c>
      <c r="D24" s="945"/>
      <c r="E24" s="948" t="n">
        <f aca="false">IF(E$7=Fin_Close,$C24,0)</f>
        <v>0</v>
      </c>
      <c r="F24" s="948" t="n">
        <f aca="false">IF(F$7=Fin_Close,$C24,0)</f>
        <v>0</v>
      </c>
      <c r="G24" s="948" t="n">
        <f aca="false">IF(G$7=Fin_Close,$C24,0)</f>
        <v>0</v>
      </c>
      <c r="H24" s="948" t="n">
        <f aca="false">IF(H$7=Fin_Close,$C24,0)</f>
        <v>0</v>
      </c>
      <c r="I24" s="948" t="n">
        <f aca="false">IF(I$7=Fin_Close,$C24,0)</f>
        <v>0</v>
      </c>
      <c r="J24" s="948" t="n">
        <f aca="false">IF(J$7=Fin_Close,$C24,0)</f>
        <v>0</v>
      </c>
      <c r="K24" s="948" t="n">
        <f aca="false">IF(K$7=Fin_Close,$C24,0)</f>
        <v>0</v>
      </c>
      <c r="L24" s="948" t="n">
        <f aca="false">IF(L$7=Fin_Close,$C24,0)</f>
        <v>0</v>
      </c>
      <c r="M24" s="948" t="n">
        <f aca="false">IF(M$7=Fin_Close,$C24,0)</f>
        <v>0</v>
      </c>
      <c r="N24" s="948" t="n">
        <f aca="false">IF(N$7=Fin_Close,$C24,0)</f>
        <v>0</v>
      </c>
      <c r="O24" s="948" t="n">
        <f aca="false">IF(O$7=Fin_Close,$C24,0)</f>
        <v>0</v>
      </c>
      <c r="P24" s="948" t="n">
        <f aca="false">IF(P$7=Fin_Close,$C24,0)</f>
        <v>0</v>
      </c>
      <c r="Q24" s="948" t="n">
        <f aca="false">IF(Q$7=Fin_Close,$C24,0)</f>
        <v>0</v>
      </c>
      <c r="R24" s="948" t="n">
        <f aca="false">IF(R$7=Fin_Close,$C24,0)</f>
        <v>0</v>
      </c>
      <c r="S24" s="948" t="n">
        <f aca="false">IF(S$7=Fin_Close,$C24,0)</f>
        <v>0</v>
      </c>
      <c r="T24" s="948" t="n">
        <f aca="false">IF(T$7=Fin_Close,$C24,0)</f>
        <v>0</v>
      </c>
      <c r="U24" s="948" t="n">
        <f aca="false">IF(U$7=Fin_Close,$C24,0)</f>
        <v>0</v>
      </c>
      <c r="V24" s="948" t="n">
        <f aca="false">IF(V$7=Fin_Close,$C24,0)</f>
        <v>0</v>
      </c>
      <c r="W24" s="948" t="n">
        <f aca="false">IF(W$7=Fin_Close,$C24,0)</f>
        <v>0</v>
      </c>
      <c r="X24" s="948" t="n">
        <f aca="false">IF(X$7=Fin_Close,$C24,0)</f>
        <v>0</v>
      </c>
      <c r="Y24" s="948" t="n">
        <f aca="false">IF(Y$7=Fin_Close,$C24,0)</f>
        <v>0</v>
      </c>
      <c r="Z24" s="948" t="n">
        <f aca="false">IF(Z$7=Fin_Close,$C24,0)</f>
        <v>0</v>
      </c>
      <c r="AA24" s="948" t="n">
        <f aca="false">IF(AA$7=Fin_Close,$C24,0)</f>
        <v>0</v>
      </c>
      <c r="AB24" s="948" t="n">
        <f aca="false">IF(AB$7=Fin_Close,$C24,0)</f>
        <v>0</v>
      </c>
      <c r="AC24" s="948" t="n">
        <f aca="false">IF(AC$7=Fin_Close,$C24,0)</f>
        <v>0</v>
      </c>
      <c r="AD24" s="948" t="n">
        <f aca="false">IF(AD$7=Fin_Close,$C24,0)</f>
        <v>0</v>
      </c>
      <c r="AE24" s="948" t="n">
        <f aca="false">IF(AE$7=Fin_Close,$C24,0)</f>
        <v>0</v>
      </c>
      <c r="AF24" s="948" t="n">
        <f aca="false">IF(AF$7=Fin_Close,$C24,0)</f>
        <v>0</v>
      </c>
      <c r="AG24" s="948" t="n">
        <f aca="false">IF(AG$7=Fin_Close,$C24,0)</f>
        <v>0</v>
      </c>
      <c r="AH24" s="948" t="n">
        <f aca="false">IF(AH$7=Fin_Close,$C24,0)</f>
        <v>0</v>
      </c>
      <c r="AI24" s="948" t="n">
        <f aca="false">IF(AI$7=Fin_Close,$C24,0)</f>
        <v>0</v>
      </c>
      <c r="AJ24" s="948" t="n">
        <f aca="false">IF(AJ$7=Fin_Close,$C24,0)</f>
        <v>0</v>
      </c>
      <c r="AK24" s="948" t="n">
        <f aca="false">IF(AK$7=Fin_Close,$C24,0)</f>
        <v>0</v>
      </c>
      <c r="AL24" s="948" t="n">
        <f aca="false">IF(AL$7=Fin_Close,$C24,0)</f>
        <v>29527.5167986659</v>
      </c>
      <c r="AM24" s="948" t="n">
        <f aca="false">IF(AM$7=Fin_Close,$C24,0)</f>
        <v>0</v>
      </c>
      <c r="AN24" s="948" t="n">
        <f aca="false">IF(AN$7=Fin_Close,$C24,0)</f>
        <v>0</v>
      </c>
      <c r="AO24" s="948" t="n">
        <f aca="false">IF(AO$7=Fin_Close,$C24,0)</f>
        <v>0</v>
      </c>
      <c r="AP24" s="948" t="n">
        <f aca="false">IF(AP$7=Fin_Close,$C24,0)</f>
        <v>0</v>
      </c>
      <c r="AQ24" s="948" t="n">
        <f aca="false">IF(AQ$7=Fin_Close,$C24,0)</f>
        <v>0</v>
      </c>
      <c r="AR24" s="948" t="n">
        <f aca="false">IF(AR$7=Fin_Close,$C24,0)</f>
        <v>0</v>
      </c>
      <c r="AS24" s="948" t="n">
        <f aca="false">IF(AS$7=Fin_Close,$C24,0)</f>
        <v>0</v>
      </c>
      <c r="AT24" s="948" t="n">
        <f aca="false">IF(AT$7=Fin_Close,$C24,0)</f>
        <v>0</v>
      </c>
      <c r="AU24" s="948" t="n">
        <f aca="false">IF(AU$7=Fin_Close,$C24,0)</f>
        <v>0</v>
      </c>
      <c r="AV24" s="948" t="n">
        <f aca="false">IF(AV$7=Fin_Close,$C24,0)</f>
        <v>0</v>
      </c>
      <c r="AW24" s="948" t="n">
        <f aca="false">IF(AW$7=Fin_Close,$C24,0)</f>
        <v>0</v>
      </c>
      <c r="AX24" s="948" t="n">
        <f aca="false">IF(AX$7=Fin_Close,$C24,0)</f>
        <v>0</v>
      </c>
      <c r="AY24" s="948" t="n">
        <f aca="false">IF(AY$7=Fin_Close,$C24,0)</f>
        <v>0</v>
      </c>
      <c r="AZ24" s="945"/>
      <c r="BA24" s="951" t="n">
        <f aca="false">SUM(E24:AY24)</f>
        <v>29527.5167986659</v>
      </c>
      <c r="BB24" s="937"/>
      <c r="BC24" s="937"/>
      <c r="BD24" s="937"/>
      <c r="BE24" s="937"/>
      <c r="BF24" s="937"/>
      <c r="BG24" s="937"/>
      <c r="BH24" s="937"/>
      <c r="BI24" s="937"/>
      <c r="BJ24" s="937"/>
      <c r="BK24" s="937"/>
      <c r="BL24" s="937"/>
      <c r="BM24" s="937"/>
      <c r="BN24" s="937"/>
      <c r="BO24" s="937"/>
      <c r="BP24" s="937"/>
      <c r="BQ24" s="937"/>
      <c r="BR24" s="937"/>
      <c r="BS24" s="937"/>
      <c r="BT24" s="937"/>
      <c r="BU24" s="937"/>
      <c r="BV24" s="937"/>
      <c r="BW24" s="937"/>
      <c r="BX24" s="937"/>
      <c r="BY24" s="937"/>
      <c r="BZ24" s="937"/>
      <c r="CA24" s="937"/>
      <c r="CB24" s="937"/>
      <c r="CC24" s="937"/>
      <c r="CD24" s="937"/>
      <c r="CE24" s="937"/>
      <c r="CF24" s="937"/>
      <c r="CG24" s="937"/>
      <c r="CH24" s="937"/>
      <c r="CI24" s="937"/>
      <c r="CJ24" s="937"/>
      <c r="CK24" s="937"/>
      <c r="CL24" s="937"/>
      <c r="CM24" s="937"/>
      <c r="CN24" s="937"/>
      <c r="CO24" s="937"/>
      <c r="CP24" s="937"/>
      <c r="CQ24" s="937"/>
      <c r="CR24" s="937"/>
      <c r="CS24" s="937"/>
      <c r="CT24" s="937"/>
      <c r="CU24" s="937"/>
      <c r="CV24" s="937"/>
      <c r="CW24" s="937"/>
      <c r="CX24" s="937"/>
      <c r="CY24" s="937"/>
      <c r="CZ24" s="937"/>
      <c r="DA24" s="937"/>
      <c r="DB24" s="937"/>
      <c r="DC24" s="937"/>
      <c r="DD24" s="937"/>
      <c r="DE24" s="937"/>
      <c r="DF24" s="937"/>
      <c r="DG24" s="937"/>
      <c r="DH24" s="937"/>
      <c r="DI24" s="937"/>
      <c r="DJ24" s="937"/>
      <c r="DK24" s="937"/>
      <c r="DL24" s="937"/>
      <c r="DM24" s="937"/>
      <c r="DN24" s="937"/>
      <c r="DO24" s="937"/>
      <c r="DP24" s="937"/>
      <c r="DQ24" s="937"/>
      <c r="DR24" s="937"/>
      <c r="DS24" s="937"/>
      <c r="DT24" s="937"/>
      <c r="DU24" s="937"/>
      <c r="DV24" s="937"/>
      <c r="DW24" s="937"/>
      <c r="DX24" s="937"/>
      <c r="DY24" s="937"/>
      <c r="DZ24" s="937"/>
      <c r="EA24" s="937"/>
      <c r="EB24" s="937"/>
      <c r="EC24" s="937"/>
      <c r="ED24" s="937"/>
      <c r="EE24" s="937"/>
      <c r="EF24" s="937"/>
      <c r="EG24" s="937"/>
      <c r="EH24" s="937"/>
      <c r="EI24" s="937"/>
      <c r="EJ24" s="937"/>
      <c r="EK24" s="937"/>
      <c r="EL24" s="937"/>
      <c r="EM24" s="937"/>
      <c r="EN24" s="937"/>
      <c r="EO24" s="937"/>
      <c r="EP24" s="937"/>
      <c r="EQ24" s="937"/>
      <c r="ER24" s="937"/>
      <c r="ES24" s="937"/>
      <c r="ET24" s="937"/>
      <c r="EU24" s="937"/>
      <c r="EV24" s="937"/>
      <c r="EW24" s="937"/>
      <c r="EX24" s="937"/>
      <c r="EY24" s="937"/>
      <c r="EZ24" s="937"/>
      <c r="FA24" s="937"/>
      <c r="FB24" s="937"/>
      <c r="FC24" s="937"/>
      <c r="FD24" s="937"/>
      <c r="FE24" s="937"/>
      <c r="FF24" s="937"/>
      <c r="FG24" s="937"/>
      <c r="FH24" s="937"/>
      <c r="FI24" s="937"/>
      <c r="FJ24" s="937"/>
      <c r="FK24" s="937"/>
      <c r="FL24" s="937"/>
      <c r="FM24" s="937"/>
      <c r="FN24" s="937"/>
      <c r="FO24" s="937"/>
      <c r="FP24" s="937"/>
      <c r="FQ24" s="937"/>
      <c r="FR24" s="937"/>
      <c r="FS24" s="937"/>
      <c r="FT24" s="937"/>
      <c r="FU24" s="937"/>
      <c r="FV24" s="937"/>
      <c r="FW24" s="937"/>
      <c r="FX24" s="937"/>
      <c r="FY24" s="937"/>
      <c r="FZ24" s="937"/>
      <c r="GA24" s="937"/>
      <c r="GB24" s="937"/>
      <c r="GC24" s="937"/>
      <c r="GD24" s="937"/>
      <c r="GE24" s="937"/>
      <c r="GF24" s="937"/>
      <c r="GG24" s="937"/>
      <c r="GH24" s="937"/>
      <c r="GI24" s="937"/>
      <c r="GJ24" s="937"/>
      <c r="GK24" s="937"/>
      <c r="GL24" s="937"/>
      <c r="GM24" s="937"/>
      <c r="GN24" s="937"/>
      <c r="GO24" s="937"/>
      <c r="GP24" s="937"/>
      <c r="GQ24" s="937"/>
      <c r="GR24" s="937"/>
      <c r="GS24" s="937"/>
      <c r="GT24" s="937"/>
      <c r="GU24" s="937"/>
      <c r="GV24" s="937"/>
      <c r="GW24" s="937"/>
      <c r="GX24" s="937"/>
      <c r="GY24" s="937"/>
      <c r="GZ24" s="937"/>
      <c r="HA24" s="937"/>
      <c r="HB24" s="937"/>
      <c r="HC24" s="937"/>
      <c r="HD24" s="937"/>
      <c r="HE24" s="937"/>
      <c r="HF24" s="937"/>
      <c r="HG24" s="937"/>
      <c r="HH24" s="937"/>
      <c r="HI24" s="937"/>
      <c r="HJ24" s="937"/>
      <c r="HK24" s="937"/>
      <c r="HL24" s="937"/>
      <c r="HM24" s="937"/>
      <c r="HN24" s="937"/>
      <c r="HO24" s="937"/>
      <c r="HP24" s="937"/>
      <c r="HQ24" s="937"/>
      <c r="HR24" s="937"/>
      <c r="HS24" s="937"/>
      <c r="HT24" s="937"/>
      <c r="HU24" s="937"/>
      <c r="HV24" s="937"/>
      <c r="HW24" s="937"/>
      <c r="HX24" s="937"/>
      <c r="HY24" s="937"/>
      <c r="HZ24" s="937"/>
      <c r="IA24" s="937"/>
      <c r="IB24" s="937"/>
      <c r="IC24" s="937"/>
      <c r="ID24" s="937"/>
      <c r="IE24" s="937"/>
      <c r="IF24" s="937"/>
      <c r="IG24" s="937"/>
      <c r="IH24" s="937"/>
      <c r="II24" s="937"/>
      <c r="IJ24" s="937"/>
      <c r="IK24" s="937"/>
      <c r="IL24" s="937"/>
      <c r="IM24" s="937"/>
      <c r="IN24" s="937"/>
      <c r="IO24" s="937"/>
      <c r="IP24" s="937"/>
      <c r="IQ24" s="937"/>
      <c r="IR24" s="937"/>
      <c r="IS24" s="937"/>
      <c r="IT24" s="937"/>
      <c r="IU24" s="937"/>
      <c r="IV24" s="937"/>
      <c r="IW24" s="937"/>
    </row>
    <row r="25" customFormat="false" ht="12.75" hidden="false" customHeight="false" outlineLevel="0" collapsed="false">
      <c r="A25" s="947" t="str">
        <f aca="false">Assm!N27</f>
        <v>Financing Costs (Borrower And Lender)</v>
      </c>
      <c r="B25" s="944"/>
      <c r="C25" s="948" t="n">
        <f aca="false">Assm!V27</f>
        <v>7419.875</v>
      </c>
      <c r="D25" s="945"/>
      <c r="E25" s="952" t="n">
        <v>0</v>
      </c>
      <c r="F25" s="952" t="n">
        <v>0</v>
      </c>
      <c r="G25" s="952" t="n">
        <v>0</v>
      </c>
      <c r="H25" s="952" t="n">
        <v>0</v>
      </c>
      <c r="I25" s="952" t="n">
        <v>0</v>
      </c>
      <c r="J25" s="952" t="n">
        <v>0</v>
      </c>
      <c r="K25" s="952" t="n">
        <v>0</v>
      </c>
      <c r="L25" s="952" t="n">
        <v>0</v>
      </c>
      <c r="M25" s="952" t="n">
        <v>0</v>
      </c>
      <c r="N25" s="952" t="n">
        <v>0</v>
      </c>
      <c r="O25" s="952" t="n">
        <v>0</v>
      </c>
      <c r="P25" s="952" t="n">
        <v>0</v>
      </c>
      <c r="Q25" s="952" t="n">
        <v>0</v>
      </c>
      <c r="R25" s="952" t="n">
        <v>0</v>
      </c>
      <c r="S25" s="952" t="n">
        <v>0</v>
      </c>
      <c r="T25" s="952" t="n">
        <v>0</v>
      </c>
      <c r="U25" s="952" t="n">
        <v>0</v>
      </c>
      <c r="V25" s="952" t="n">
        <v>0</v>
      </c>
      <c r="W25" s="952" t="n">
        <v>0</v>
      </c>
      <c r="X25" s="952" t="n">
        <v>0</v>
      </c>
      <c r="Y25" s="952" t="n">
        <v>0</v>
      </c>
      <c r="Z25" s="952" t="n">
        <v>0</v>
      </c>
      <c r="AA25" s="952" t="n">
        <v>0</v>
      </c>
      <c r="AB25" s="952" t="n">
        <v>0</v>
      </c>
      <c r="AC25" s="952" t="n">
        <v>0</v>
      </c>
      <c r="AD25" s="952" t="n">
        <v>0</v>
      </c>
      <c r="AE25" s="952" t="n">
        <v>0</v>
      </c>
      <c r="AF25" s="952" t="n">
        <v>0</v>
      </c>
      <c r="AG25" s="952" t="n">
        <v>0</v>
      </c>
      <c r="AH25" s="952" t="n">
        <v>0</v>
      </c>
      <c r="AI25" s="952" t="n">
        <v>0</v>
      </c>
      <c r="AJ25" s="950" t="n">
        <f aca="false">$C25</f>
        <v>7419.875</v>
      </c>
      <c r="AK25" s="952" t="n">
        <v>0</v>
      </c>
      <c r="AL25" s="952" t="n">
        <v>0</v>
      </c>
      <c r="AM25" s="952" t="n">
        <v>0</v>
      </c>
      <c r="AN25" s="952" t="n">
        <v>0</v>
      </c>
      <c r="AO25" s="952" t="n">
        <v>0</v>
      </c>
      <c r="AP25" s="952" t="n">
        <v>0</v>
      </c>
      <c r="AQ25" s="952" t="n">
        <v>0</v>
      </c>
      <c r="AR25" s="952" t="n">
        <v>0</v>
      </c>
      <c r="AS25" s="952" t="n">
        <v>0</v>
      </c>
      <c r="AT25" s="952" t="n">
        <v>0</v>
      </c>
      <c r="AU25" s="952" t="n">
        <v>0</v>
      </c>
      <c r="AV25" s="952" t="n">
        <v>0</v>
      </c>
      <c r="AW25" s="952" t="n">
        <v>0</v>
      </c>
      <c r="AX25" s="952" t="n">
        <v>0</v>
      </c>
      <c r="AY25" s="952" t="n">
        <v>0</v>
      </c>
      <c r="AZ25" s="945"/>
      <c r="BA25" s="951" t="n">
        <f aca="false">SUM(E25:AY25)</f>
        <v>7419.875</v>
      </c>
      <c r="BB25" s="937"/>
      <c r="BC25" s="937"/>
      <c r="BD25" s="937"/>
      <c r="BE25" s="937"/>
      <c r="BF25" s="937"/>
      <c r="BG25" s="937"/>
      <c r="BH25" s="937"/>
      <c r="BI25" s="937"/>
      <c r="BJ25" s="937"/>
      <c r="BK25" s="937"/>
      <c r="BL25" s="937"/>
      <c r="BM25" s="937"/>
      <c r="BN25" s="937"/>
      <c r="BO25" s="937"/>
      <c r="BP25" s="937"/>
      <c r="BQ25" s="937"/>
      <c r="BR25" s="937"/>
      <c r="BS25" s="937"/>
      <c r="BT25" s="937"/>
      <c r="BU25" s="937"/>
      <c r="BV25" s="937"/>
      <c r="BW25" s="937"/>
      <c r="BX25" s="937"/>
      <c r="BY25" s="937"/>
      <c r="BZ25" s="937"/>
      <c r="CA25" s="937"/>
      <c r="CB25" s="937"/>
      <c r="CC25" s="937"/>
      <c r="CD25" s="937"/>
      <c r="CE25" s="937"/>
      <c r="CF25" s="937"/>
      <c r="CG25" s="937"/>
      <c r="CH25" s="937"/>
      <c r="CI25" s="937"/>
      <c r="CJ25" s="937"/>
      <c r="CK25" s="937"/>
      <c r="CL25" s="937"/>
      <c r="CM25" s="937"/>
      <c r="CN25" s="937"/>
      <c r="CO25" s="937"/>
      <c r="CP25" s="937"/>
      <c r="CQ25" s="937"/>
      <c r="CR25" s="937"/>
      <c r="CS25" s="937"/>
      <c r="CT25" s="937"/>
      <c r="CU25" s="937"/>
      <c r="CV25" s="937"/>
      <c r="CW25" s="937"/>
      <c r="CX25" s="937"/>
      <c r="CY25" s="937"/>
      <c r="CZ25" s="937"/>
      <c r="DA25" s="937"/>
      <c r="DB25" s="937"/>
      <c r="DC25" s="937"/>
      <c r="DD25" s="937"/>
      <c r="DE25" s="937"/>
      <c r="DF25" s="937"/>
      <c r="DG25" s="937"/>
      <c r="DH25" s="937"/>
      <c r="DI25" s="937"/>
      <c r="DJ25" s="937"/>
      <c r="DK25" s="937"/>
      <c r="DL25" s="937"/>
      <c r="DM25" s="937"/>
      <c r="DN25" s="937"/>
      <c r="DO25" s="937"/>
      <c r="DP25" s="937"/>
      <c r="DQ25" s="937"/>
      <c r="DR25" s="937"/>
      <c r="DS25" s="937"/>
      <c r="DT25" s="937"/>
      <c r="DU25" s="937"/>
      <c r="DV25" s="937"/>
      <c r="DW25" s="937"/>
      <c r="DX25" s="937"/>
      <c r="DY25" s="937"/>
      <c r="DZ25" s="937"/>
      <c r="EA25" s="937"/>
      <c r="EB25" s="937"/>
      <c r="EC25" s="937"/>
      <c r="ED25" s="937"/>
      <c r="EE25" s="937"/>
      <c r="EF25" s="937"/>
      <c r="EG25" s="937"/>
      <c r="EH25" s="937"/>
      <c r="EI25" s="937"/>
      <c r="EJ25" s="937"/>
      <c r="EK25" s="937"/>
      <c r="EL25" s="937"/>
      <c r="EM25" s="937"/>
      <c r="EN25" s="937"/>
      <c r="EO25" s="937"/>
      <c r="EP25" s="937"/>
      <c r="EQ25" s="937"/>
      <c r="ER25" s="937"/>
      <c r="ES25" s="937"/>
      <c r="ET25" s="937"/>
      <c r="EU25" s="937"/>
      <c r="EV25" s="937"/>
      <c r="EW25" s="937"/>
      <c r="EX25" s="937"/>
      <c r="EY25" s="937"/>
      <c r="EZ25" s="937"/>
      <c r="FA25" s="937"/>
      <c r="FB25" s="937"/>
      <c r="FC25" s="937"/>
      <c r="FD25" s="937"/>
      <c r="FE25" s="937"/>
      <c r="FF25" s="937"/>
      <c r="FG25" s="937"/>
      <c r="FH25" s="937"/>
      <c r="FI25" s="937"/>
      <c r="FJ25" s="937"/>
      <c r="FK25" s="937"/>
      <c r="FL25" s="937"/>
      <c r="FM25" s="937"/>
      <c r="FN25" s="937"/>
      <c r="FO25" s="937"/>
      <c r="FP25" s="937"/>
      <c r="FQ25" s="937"/>
      <c r="FR25" s="937"/>
      <c r="FS25" s="937"/>
      <c r="FT25" s="937"/>
      <c r="FU25" s="937"/>
      <c r="FV25" s="937"/>
      <c r="FW25" s="937"/>
      <c r="FX25" s="937"/>
      <c r="FY25" s="937"/>
      <c r="FZ25" s="937"/>
      <c r="GA25" s="937"/>
      <c r="GB25" s="937"/>
      <c r="GC25" s="937"/>
      <c r="GD25" s="937"/>
      <c r="GE25" s="937"/>
      <c r="GF25" s="937"/>
      <c r="GG25" s="937"/>
      <c r="GH25" s="937"/>
      <c r="GI25" s="937"/>
      <c r="GJ25" s="937"/>
      <c r="GK25" s="937"/>
      <c r="GL25" s="937"/>
      <c r="GM25" s="937"/>
      <c r="GN25" s="937"/>
      <c r="GO25" s="937"/>
      <c r="GP25" s="937"/>
      <c r="GQ25" s="937"/>
      <c r="GR25" s="937"/>
      <c r="GS25" s="937"/>
      <c r="GT25" s="937"/>
      <c r="GU25" s="937"/>
      <c r="GV25" s="937"/>
      <c r="GW25" s="937"/>
      <c r="GX25" s="937"/>
      <c r="GY25" s="937"/>
      <c r="GZ25" s="937"/>
      <c r="HA25" s="937"/>
      <c r="HB25" s="937"/>
      <c r="HC25" s="937"/>
      <c r="HD25" s="937"/>
      <c r="HE25" s="937"/>
      <c r="HF25" s="937"/>
      <c r="HG25" s="937"/>
      <c r="HH25" s="937"/>
      <c r="HI25" s="937"/>
      <c r="HJ25" s="937"/>
      <c r="HK25" s="937"/>
      <c r="HL25" s="937"/>
      <c r="HM25" s="937"/>
      <c r="HN25" s="937"/>
      <c r="HO25" s="937"/>
      <c r="HP25" s="937"/>
      <c r="HQ25" s="937"/>
      <c r="HR25" s="937"/>
      <c r="HS25" s="937"/>
      <c r="HT25" s="937"/>
      <c r="HU25" s="937"/>
      <c r="HV25" s="937"/>
      <c r="HW25" s="937"/>
      <c r="HX25" s="937"/>
      <c r="HY25" s="937"/>
      <c r="HZ25" s="937"/>
      <c r="IA25" s="937"/>
      <c r="IB25" s="937"/>
      <c r="IC25" s="937"/>
      <c r="ID25" s="937"/>
      <c r="IE25" s="937"/>
      <c r="IF25" s="937"/>
      <c r="IG25" s="937"/>
      <c r="IH25" s="937"/>
      <c r="II25" s="937"/>
      <c r="IJ25" s="937"/>
      <c r="IK25" s="937"/>
      <c r="IL25" s="937"/>
      <c r="IM25" s="937"/>
      <c r="IN25" s="937"/>
      <c r="IO25" s="937"/>
      <c r="IP25" s="937"/>
      <c r="IQ25" s="937"/>
      <c r="IR25" s="937"/>
      <c r="IS25" s="937"/>
      <c r="IT25" s="937"/>
      <c r="IU25" s="937"/>
      <c r="IV25" s="937"/>
      <c r="IW25" s="937"/>
    </row>
    <row r="26" customFormat="false" ht="12.75" hidden="false" customHeight="false" outlineLevel="0" collapsed="false">
      <c r="A26" s="947" t="str">
        <f aca="false">Assm!N28</f>
        <v>Financing Costs (Other)</v>
      </c>
      <c r="B26" s="944"/>
      <c r="C26" s="948" t="n">
        <f aca="false">Assm!V28</f>
        <v>0</v>
      </c>
      <c r="D26" s="945"/>
      <c r="E26" s="952" t="n">
        <v>0</v>
      </c>
      <c r="F26" s="952" t="n">
        <v>0</v>
      </c>
      <c r="G26" s="952" t="n">
        <v>0</v>
      </c>
      <c r="H26" s="952" t="n">
        <v>0</v>
      </c>
      <c r="I26" s="952" t="n">
        <v>0</v>
      </c>
      <c r="J26" s="952" t="n">
        <v>0</v>
      </c>
      <c r="K26" s="952" t="n">
        <v>0</v>
      </c>
      <c r="L26" s="952" t="n">
        <v>0</v>
      </c>
      <c r="M26" s="952" t="n">
        <v>0</v>
      </c>
      <c r="N26" s="952" t="n">
        <v>0</v>
      </c>
      <c r="O26" s="952" t="n">
        <v>0</v>
      </c>
      <c r="P26" s="952" t="n">
        <v>0</v>
      </c>
      <c r="Q26" s="952" t="n">
        <v>0</v>
      </c>
      <c r="R26" s="952" t="n">
        <v>0</v>
      </c>
      <c r="S26" s="952" t="n">
        <v>0</v>
      </c>
      <c r="T26" s="952" t="n">
        <v>0</v>
      </c>
      <c r="U26" s="952" t="n">
        <v>0</v>
      </c>
      <c r="V26" s="952" t="n">
        <v>0</v>
      </c>
      <c r="W26" s="952" t="n">
        <v>0</v>
      </c>
      <c r="X26" s="952" t="n">
        <v>0</v>
      </c>
      <c r="Y26" s="952" t="n">
        <v>0</v>
      </c>
      <c r="Z26" s="952" t="n">
        <v>0</v>
      </c>
      <c r="AA26" s="952" t="n">
        <v>0</v>
      </c>
      <c r="AB26" s="952" t="n">
        <v>0</v>
      </c>
      <c r="AC26" s="952" t="n">
        <v>0</v>
      </c>
      <c r="AD26" s="952" t="n">
        <v>0</v>
      </c>
      <c r="AE26" s="952" t="n">
        <v>0</v>
      </c>
      <c r="AF26" s="952" t="n">
        <v>0</v>
      </c>
      <c r="AG26" s="952" t="n">
        <v>0</v>
      </c>
      <c r="AH26" s="952" t="n">
        <v>0</v>
      </c>
      <c r="AI26" s="952" t="n">
        <v>0</v>
      </c>
      <c r="AJ26" s="950" t="n">
        <f aca="false">$C26</f>
        <v>0</v>
      </c>
      <c r="AK26" s="952" t="n">
        <v>0</v>
      </c>
      <c r="AL26" s="952" t="n">
        <v>0</v>
      </c>
      <c r="AM26" s="952" t="n">
        <v>0</v>
      </c>
      <c r="AN26" s="952" t="n">
        <v>0</v>
      </c>
      <c r="AO26" s="952" t="n">
        <v>0</v>
      </c>
      <c r="AP26" s="952" t="n">
        <v>0</v>
      </c>
      <c r="AQ26" s="952" t="n">
        <v>0</v>
      </c>
      <c r="AR26" s="952" t="n">
        <v>0</v>
      </c>
      <c r="AS26" s="952" t="n">
        <v>0</v>
      </c>
      <c r="AT26" s="952" t="n">
        <v>0</v>
      </c>
      <c r="AU26" s="952" t="n">
        <v>0</v>
      </c>
      <c r="AV26" s="952" t="n">
        <v>0</v>
      </c>
      <c r="AW26" s="952" t="n">
        <v>0</v>
      </c>
      <c r="AX26" s="952" t="n">
        <v>0</v>
      </c>
      <c r="AY26" s="952" t="n">
        <v>0</v>
      </c>
      <c r="AZ26" s="945"/>
      <c r="BA26" s="951" t="n">
        <f aca="false">SUM(E26:AY26)</f>
        <v>0</v>
      </c>
      <c r="BB26" s="937"/>
      <c r="BC26" s="937"/>
      <c r="BD26" s="937"/>
      <c r="BE26" s="937"/>
      <c r="BF26" s="937"/>
      <c r="BG26" s="937"/>
      <c r="BH26" s="937"/>
      <c r="BI26" s="937"/>
      <c r="BJ26" s="937"/>
      <c r="BK26" s="937"/>
      <c r="BL26" s="937"/>
      <c r="BM26" s="937"/>
      <c r="BN26" s="937"/>
      <c r="BO26" s="937"/>
      <c r="BP26" s="937"/>
      <c r="BQ26" s="937"/>
      <c r="BR26" s="937"/>
      <c r="BS26" s="937"/>
      <c r="BT26" s="937"/>
      <c r="BU26" s="937"/>
      <c r="BV26" s="937"/>
      <c r="BW26" s="937"/>
      <c r="BX26" s="937"/>
      <c r="BY26" s="937"/>
      <c r="BZ26" s="937"/>
      <c r="CA26" s="937"/>
      <c r="CB26" s="937"/>
      <c r="CC26" s="937"/>
      <c r="CD26" s="937"/>
      <c r="CE26" s="937"/>
      <c r="CF26" s="937"/>
      <c r="CG26" s="937"/>
      <c r="CH26" s="937"/>
      <c r="CI26" s="937"/>
      <c r="CJ26" s="937"/>
      <c r="CK26" s="937"/>
      <c r="CL26" s="937"/>
      <c r="CM26" s="937"/>
      <c r="CN26" s="937"/>
      <c r="CO26" s="937"/>
      <c r="CP26" s="937"/>
      <c r="CQ26" s="937"/>
      <c r="CR26" s="937"/>
      <c r="CS26" s="937"/>
      <c r="CT26" s="937"/>
      <c r="CU26" s="937"/>
      <c r="CV26" s="937"/>
      <c r="CW26" s="937"/>
      <c r="CX26" s="937"/>
      <c r="CY26" s="937"/>
      <c r="CZ26" s="937"/>
      <c r="DA26" s="937"/>
      <c r="DB26" s="937"/>
      <c r="DC26" s="937"/>
      <c r="DD26" s="937"/>
      <c r="DE26" s="937"/>
      <c r="DF26" s="937"/>
      <c r="DG26" s="937"/>
      <c r="DH26" s="937"/>
      <c r="DI26" s="937"/>
      <c r="DJ26" s="937"/>
      <c r="DK26" s="937"/>
      <c r="DL26" s="937"/>
      <c r="DM26" s="937"/>
      <c r="DN26" s="937"/>
      <c r="DO26" s="937"/>
      <c r="DP26" s="937"/>
      <c r="DQ26" s="937"/>
      <c r="DR26" s="937"/>
      <c r="DS26" s="937"/>
      <c r="DT26" s="937"/>
      <c r="DU26" s="937"/>
      <c r="DV26" s="937"/>
      <c r="DW26" s="937"/>
      <c r="DX26" s="937"/>
      <c r="DY26" s="937"/>
      <c r="DZ26" s="937"/>
      <c r="EA26" s="937"/>
      <c r="EB26" s="937"/>
      <c r="EC26" s="937"/>
      <c r="ED26" s="937"/>
      <c r="EE26" s="937"/>
      <c r="EF26" s="937"/>
      <c r="EG26" s="937"/>
      <c r="EH26" s="937"/>
      <c r="EI26" s="937"/>
      <c r="EJ26" s="937"/>
      <c r="EK26" s="937"/>
      <c r="EL26" s="937"/>
      <c r="EM26" s="937"/>
      <c r="EN26" s="937"/>
      <c r="EO26" s="937"/>
      <c r="EP26" s="937"/>
      <c r="EQ26" s="937"/>
      <c r="ER26" s="937"/>
      <c r="ES26" s="937"/>
      <c r="ET26" s="937"/>
      <c r="EU26" s="937"/>
      <c r="EV26" s="937"/>
      <c r="EW26" s="937"/>
      <c r="EX26" s="937"/>
      <c r="EY26" s="937"/>
      <c r="EZ26" s="937"/>
      <c r="FA26" s="937"/>
      <c r="FB26" s="937"/>
      <c r="FC26" s="937"/>
      <c r="FD26" s="937"/>
      <c r="FE26" s="937"/>
      <c r="FF26" s="937"/>
      <c r="FG26" s="937"/>
      <c r="FH26" s="937"/>
      <c r="FI26" s="937"/>
      <c r="FJ26" s="937"/>
      <c r="FK26" s="937"/>
      <c r="FL26" s="937"/>
      <c r="FM26" s="937"/>
      <c r="FN26" s="937"/>
      <c r="FO26" s="937"/>
      <c r="FP26" s="937"/>
      <c r="FQ26" s="937"/>
      <c r="FR26" s="937"/>
      <c r="FS26" s="937"/>
      <c r="FT26" s="937"/>
      <c r="FU26" s="937"/>
      <c r="FV26" s="937"/>
      <c r="FW26" s="937"/>
      <c r="FX26" s="937"/>
      <c r="FY26" s="937"/>
      <c r="FZ26" s="937"/>
      <c r="GA26" s="937"/>
      <c r="GB26" s="937"/>
      <c r="GC26" s="937"/>
      <c r="GD26" s="937"/>
      <c r="GE26" s="937"/>
      <c r="GF26" s="937"/>
      <c r="GG26" s="937"/>
      <c r="GH26" s="937"/>
      <c r="GI26" s="937"/>
      <c r="GJ26" s="937"/>
      <c r="GK26" s="937"/>
      <c r="GL26" s="937"/>
      <c r="GM26" s="937"/>
      <c r="GN26" s="937"/>
      <c r="GO26" s="937"/>
      <c r="GP26" s="937"/>
      <c r="GQ26" s="937"/>
      <c r="GR26" s="937"/>
      <c r="GS26" s="937"/>
      <c r="GT26" s="937"/>
      <c r="GU26" s="937"/>
      <c r="GV26" s="937"/>
      <c r="GW26" s="937"/>
      <c r="GX26" s="937"/>
      <c r="GY26" s="937"/>
      <c r="GZ26" s="937"/>
      <c r="HA26" s="937"/>
      <c r="HB26" s="937"/>
      <c r="HC26" s="937"/>
      <c r="HD26" s="937"/>
      <c r="HE26" s="937"/>
      <c r="HF26" s="937"/>
      <c r="HG26" s="937"/>
      <c r="HH26" s="937"/>
      <c r="HI26" s="937"/>
      <c r="HJ26" s="937"/>
      <c r="HK26" s="937"/>
      <c r="HL26" s="937"/>
      <c r="HM26" s="937"/>
      <c r="HN26" s="937"/>
      <c r="HO26" s="937"/>
      <c r="HP26" s="937"/>
      <c r="HQ26" s="937"/>
      <c r="HR26" s="937"/>
      <c r="HS26" s="937"/>
      <c r="HT26" s="937"/>
      <c r="HU26" s="937"/>
      <c r="HV26" s="937"/>
      <c r="HW26" s="937"/>
      <c r="HX26" s="937"/>
      <c r="HY26" s="937"/>
      <c r="HZ26" s="937"/>
      <c r="IA26" s="937"/>
      <c r="IB26" s="937"/>
      <c r="IC26" s="937"/>
      <c r="ID26" s="937"/>
      <c r="IE26" s="937"/>
      <c r="IF26" s="937"/>
      <c r="IG26" s="937"/>
      <c r="IH26" s="937"/>
      <c r="II26" s="937"/>
      <c r="IJ26" s="937"/>
      <c r="IK26" s="937"/>
      <c r="IL26" s="937"/>
      <c r="IM26" s="937"/>
      <c r="IN26" s="937"/>
      <c r="IO26" s="937"/>
      <c r="IP26" s="937"/>
      <c r="IQ26" s="937"/>
      <c r="IR26" s="937"/>
      <c r="IS26" s="937"/>
      <c r="IT26" s="937"/>
      <c r="IU26" s="937"/>
      <c r="IV26" s="937"/>
      <c r="IW26" s="937"/>
    </row>
    <row r="27" customFormat="false" ht="12.75" hidden="false" customHeight="false" outlineLevel="0" collapsed="false">
      <c r="A27" s="947" t="str">
        <f aca="false">Assm!N29</f>
        <v>3rd Party Legal Fees</v>
      </c>
      <c r="B27" s="944"/>
      <c r="C27" s="948" t="n">
        <f aca="false">Assm!V29</f>
        <v>4288.125</v>
      </c>
      <c r="D27" s="945"/>
      <c r="E27" s="949" t="n">
        <f aca="false">E77</f>
        <v>0</v>
      </c>
      <c r="F27" s="949" t="n">
        <f aca="false">F77</f>
        <v>0</v>
      </c>
      <c r="G27" s="949" t="n">
        <f aca="false">G77</f>
        <v>0</v>
      </c>
      <c r="H27" s="949" t="n">
        <f aca="false">H77</f>
        <v>0</v>
      </c>
      <c r="I27" s="949" t="n">
        <f aca="false">I77</f>
        <v>0</v>
      </c>
      <c r="J27" s="949" t="n">
        <f aca="false">J77</f>
        <v>0</v>
      </c>
      <c r="K27" s="949" t="n">
        <f aca="false">K77</f>
        <v>0</v>
      </c>
      <c r="L27" s="949" t="n">
        <f aca="false">L77</f>
        <v>0</v>
      </c>
      <c r="M27" s="949" t="n">
        <f aca="false">M77</f>
        <v>0</v>
      </c>
      <c r="N27" s="949" t="n">
        <f aca="false">N77</f>
        <v>0</v>
      </c>
      <c r="O27" s="949" t="n">
        <f aca="false">O77</f>
        <v>0</v>
      </c>
      <c r="P27" s="949" t="n">
        <f aca="false">P77</f>
        <v>0</v>
      </c>
      <c r="Q27" s="949" t="n">
        <f aca="false">Q77</f>
        <v>0</v>
      </c>
      <c r="R27" s="949" t="n">
        <f aca="false">R77</f>
        <v>0</v>
      </c>
      <c r="S27" s="949" t="n">
        <f aca="false">S77</f>
        <v>0</v>
      </c>
      <c r="T27" s="949" t="n">
        <f aca="false">T77</f>
        <v>0</v>
      </c>
      <c r="U27" s="949" t="n">
        <f aca="false">U77</f>
        <v>104.765703264095</v>
      </c>
      <c r="V27" s="949" t="n">
        <f aca="false">V77</f>
        <v>0</v>
      </c>
      <c r="W27" s="949" t="n">
        <f aca="false">W77</f>
        <v>638.973833371273</v>
      </c>
      <c r="X27" s="949" t="n">
        <f aca="false">X77</f>
        <v>488.215426997245</v>
      </c>
      <c r="Y27" s="949" t="n">
        <f aca="false">Y77</f>
        <v>0</v>
      </c>
      <c r="Z27" s="949" t="n">
        <f aca="false">Z77</f>
        <v>0</v>
      </c>
      <c r="AA27" s="949" t="n">
        <f aca="false">AA77</f>
        <v>197.61140296979</v>
      </c>
      <c r="AB27" s="949" t="n">
        <f aca="false">AB77</f>
        <v>0</v>
      </c>
      <c r="AC27" s="952" t="n">
        <v>0</v>
      </c>
      <c r="AD27" s="952" t="n">
        <v>0</v>
      </c>
      <c r="AE27" s="952" t="n">
        <v>0</v>
      </c>
      <c r="AF27" s="952" t="n">
        <v>0</v>
      </c>
      <c r="AG27" s="952" t="n">
        <v>0</v>
      </c>
      <c r="AH27" s="952" t="n">
        <v>0</v>
      </c>
      <c r="AI27" s="952" t="n">
        <v>0</v>
      </c>
      <c r="AJ27" s="950" t="n">
        <f aca="false">$C27-SUM($E27:AI27)</f>
        <v>2858.5586333976</v>
      </c>
      <c r="AK27" s="952" t="n">
        <v>0</v>
      </c>
      <c r="AL27" s="952" t="n">
        <v>0</v>
      </c>
      <c r="AM27" s="952" t="n">
        <v>0</v>
      </c>
      <c r="AN27" s="952" t="n">
        <v>0</v>
      </c>
      <c r="AO27" s="952" t="n">
        <v>0</v>
      </c>
      <c r="AP27" s="952" t="n">
        <v>0</v>
      </c>
      <c r="AQ27" s="952" t="n">
        <v>0</v>
      </c>
      <c r="AR27" s="952" t="n">
        <v>0</v>
      </c>
      <c r="AS27" s="952" t="n">
        <v>0</v>
      </c>
      <c r="AT27" s="952" t="n">
        <v>0</v>
      </c>
      <c r="AU27" s="952" t="n">
        <v>0</v>
      </c>
      <c r="AV27" s="952" t="n">
        <v>0</v>
      </c>
      <c r="AW27" s="952" t="n">
        <v>0</v>
      </c>
      <c r="AX27" s="952" t="n">
        <v>0</v>
      </c>
      <c r="AY27" s="952" t="n">
        <v>0</v>
      </c>
      <c r="AZ27" s="945"/>
      <c r="BA27" s="951" t="n">
        <f aca="false">SUM(E27:AY27)</f>
        <v>4288.125</v>
      </c>
      <c r="BB27" s="937"/>
      <c r="BC27" s="937"/>
      <c r="BD27" s="937"/>
      <c r="BE27" s="937"/>
      <c r="BF27" s="937"/>
      <c r="BG27" s="937"/>
      <c r="BH27" s="937"/>
      <c r="BI27" s="937"/>
      <c r="BJ27" s="937"/>
      <c r="BK27" s="937"/>
      <c r="BL27" s="937"/>
      <c r="BM27" s="937"/>
      <c r="BN27" s="937"/>
      <c r="BO27" s="937"/>
      <c r="BP27" s="937"/>
      <c r="BQ27" s="937"/>
      <c r="BR27" s="937"/>
      <c r="BS27" s="937"/>
      <c r="BT27" s="937"/>
      <c r="BU27" s="937"/>
      <c r="BV27" s="937"/>
      <c r="BW27" s="937"/>
      <c r="BX27" s="937"/>
      <c r="BY27" s="937"/>
      <c r="BZ27" s="937"/>
      <c r="CA27" s="937"/>
      <c r="CB27" s="937"/>
      <c r="CC27" s="937"/>
      <c r="CD27" s="937"/>
      <c r="CE27" s="937"/>
      <c r="CF27" s="937"/>
      <c r="CG27" s="937"/>
      <c r="CH27" s="937"/>
      <c r="CI27" s="937"/>
      <c r="CJ27" s="937"/>
      <c r="CK27" s="937"/>
      <c r="CL27" s="937"/>
      <c r="CM27" s="937"/>
      <c r="CN27" s="937"/>
      <c r="CO27" s="937"/>
      <c r="CP27" s="937"/>
      <c r="CQ27" s="937"/>
      <c r="CR27" s="937"/>
      <c r="CS27" s="937"/>
      <c r="CT27" s="937"/>
      <c r="CU27" s="937"/>
      <c r="CV27" s="937"/>
      <c r="CW27" s="937"/>
      <c r="CX27" s="937"/>
      <c r="CY27" s="937"/>
      <c r="CZ27" s="937"/>
      <c r="DA27" s="937"/>
      <c r="DB27" s="937"/>
      <c r="DC27" s="937"/>
      <c r="DD27" s="937"/>
      <c r="DE27" s="937"/>
      <c r="DF27" s="937"/>
      <c r="DG27" s="937"/>
      <c r="DH27" s="937"/>
      <c r="DI27" s="937"/>
      <c r="DJ27" s="937"/>
      <c r="DK27" s="937"/>
      <c r="DL27" s="937"/>
      <c r="DM27" s="937"/>
      <c r="DN27" s="937"/>
      <c r="DO27" s="937"/>
      <c r="DP27" s="937"/>
      <c r="DQ27" s="937"/>
      <c r="DR27" s="937"/>
      <c r="DS27" s="937"/>
      <c r="DT27" s="937"/>
      <c r="DU27" s="937"/>
      <c r="DV27" s="937"/>
      <c r="DW27" s="937"/>
      <c r="DX27" s="937"/>
      <c r="DY27" s="937"/>
      <c r="DZ27" s="937"/>
      <c r="EA27" s="937"/>
      <c r="EB27" s="937"/>
      <c r="EC27" s="937"/>
      <c r="ED27" s="937"/>
      <c r="EE27" s="937"/>
      <c r="EF27" s="937"/>
      <c r="EG27" s="937"/>
      <c r="EH27" s="937"/>
      <c r="EI27" s="937"/>
      <c r="EJ27" s="937"/>
      <c r="EK27" s="937"/>
      <c r="EL27" s="937"/>
      <c r="EM27" s="937"/>
      <c r="EN27" s="937"/>
      <c r="EO27" s="937"/>
      <c r="EP27" s="937"/>
      <c r="EQ27" s="937"/>
      <c r="ER27" s="937"/>
      <c r="ES27" s="937"/>
      <c r="ET27" s="937"/>
      <c r="EU27" s="937"/>
      <c r="EV27" s="937"/>
      <c r="EW27" s="937"/>
      <c r="EX27" s="937"/>
      <c r="EY27" s="937"/>
      <c r="EZ27" s="937"/>
      <c r="FA27" s="937"/>
      <c r="FB27" s="937"/>
      <c r="FC27" s="937"/>
      <c r="FD27" s="937"/>
      <c r="FE27" s="937"/>
      <c r="FF27" s="937"/>
      <c r="FG27" s="937"/>
      <c r="FH27" s="937"/>
      <c r="FI27" s="937"/>
      <c r="FJ27" s="937"/>
      <c r="FK27" s="937"/>
      <c r="FL27" s="937"/>
      <c r="FM27" s="937"/>
      <c r="FN27" s="937"/>
      <c r="FO27" s="937"/>
      <c r="FP27" s="937"/>
      <c r="FQ27" s="937"/>
      <c r="FR27" s="937"/>
      <c r="FS27" s="937"/>
      <c r="FT27" s="937"/>
      <c r="FU27" s="937"/>
      <c r="FV27" s="937"/>
      <c r="FW27" s="937"/>
      <c r="FX27" s="937"/>
      <c r="FY27" s="937"/>
      <c r="FZ27" s="937"/>
      <c r="GA27" s="937"/>
      <c r="GB27" s="937"/>
      <c r="GC27" s="937"/>
      <c r="GD27" s="937"/>
      <c r="GE27" s="937"/>
      <c r="GF27" s="937"/>
      <c r="GG27" s="937"/>
      <c r="GH27" s="937"/>
      <c r="GI27" s="937"/>
      <c r="GJ27" s="937"/>
      <c r="GK27" s="937"/>
      <c r="GL27" s="937"/>
      <c r="GM27" s="937"/>
      <c r="GN27" s="937"/>
      <c r="GO27" s="937"/>
      <c r="GP27" s="937"/>
      <c r="GQ27" s="937"/>
      <c r="GR27" s="937"/>
      <c r="GS27" s="937"/>
      <c r="GT27" s="937"/>
      <c r="GU27" s="937"/>
      <c r="GV27" s="937"/>
      <c r="GW27" s="937"/>
      <c r="GX27" s="937"/>
      <c r="GY27" s="937"/>
      <c r="GZ27" s="937"/>
      <c r="HA27" s="937"/>
      <c r="HB27" s="937"/>
      <c r="HC27" s="937"/>
      <c r="HD27" s="937"/>
      <c r="HE27" s="937"/>
      <c r="HF27" s="937"/>
      <c r="HG27" s="937"/>
      <c r="HH27" s="937"/>
      <c r="HI27" s="937"/>
      <c r="HJ27" s="937"/>
      <c r="HK27" s="937"/>
      <c r="HL27" s="937"/>
      <c r="HM27" s="937"/>
      <c r="HN27" s="937"/>
      <c r="HO27" s="937"/>
      <c r="HP27" s="937"/>
      <c r="HQ27" s="937"/>
      <c r="HR27" s="937"/>
      <c r="HS27" s="937"/>
      <c r="HT27" s="937"/>
      <c r="HU27" s="937"/>
      <c r="HV27" s="937"/>
      <c r="HW27" s="937"/>
      <c r="HX27" s="937"/>
      <c r="HY27" s="937"/>
      <c r="HZ27" s="937"/>
      <c r="IA27" s="937"/>
      <c r="IB27" s="937"/>
      <c r="IC27" s="937"/>
      <c r="ID27" s="937"/>
      <c r="IE27" s="937"/>
      <c r="IF27" s="937"/>
      <c r="IG27" s="937"/>
      <c r="IH27" s="937"/>
      <c r="II27" s="937"/>
      <c r="IJ27" s="937"/>
      <c r="IK27" s="937"/>
      <c r="IL27" s="937"/>
      <c r="IM27" s="937"/>
      <c r="IN27" s="937"/>
      <c r="IO27" s="937"/>
      <c r="IP27" s="937"/>
      <c r="IQ27" s="937"/>
      <c r="IR27" s="937"/>
      <c r="IS27" s="937"/>
      <c r="IT27" s="937"/>
      <c r="IU27" s="937"/>
      <c r="IV27" s="937"/>
      <c r="IW27" s="937"/>
    </row>
    <row r="28" customFormat="false" ht="12.75" hidden="false" customHeight="false" outlineLevel="0" collapsed="false">
      <c r="A28" s="947" t="str">
        <f aca="false">Assm!N30</f>
        <v>Construction Insurance</v>
      </c>
      <c r="B28" s="944"/>
      <c r="C28" s="953" t="n">
        <f aca="false">Assm!V30</f>
        <v>5702.18</v>
      </c>
      <c r="D28" s="945"/>
      <c r="E28" s="958" t="n">
        <f aca="false">E79</f>
        <v>0</v>
      </c>
      <c r="F28" s="958" t="n">
        <f aca="false">F79</f>
        <v>0</v>
      </c>
      <c r="G28" s="958" t="n">
        <f aca="false">G79</f>
        <v>0</v>
      </c>
      <c r="H28" s="958" t="n">
        <f aca="false">H79</f>
        <v>0</v>
      </c>
      <c r="I28" s="958" t="n">
        <f aca="false">I79</f>
        <v>60.4922902097902</v>
      </c>
      <c r="J28" s="958" t="n">
        <f aca="false">J79</f>
        <v>466.011939130435</v>
      </c>
      <c r="K28" s="958" t="n">
        <f aca="false">K79</f>
        <v>0</v>
      </c>
      <c r="L28" s="958" t="n">
        <f aca="false">L79</f>
        <v>902.447558039553</v>
      </c>
      <c r="M28" s="958" t="n">
        <f aca="false">M79</f>
        <v>0</v>
      </c>
      <c r="N28" s="958" t="n">
        <f aca="false">N79</f>
        <v>0</v>
      </c>
      <c r="O28" s="958" t="n">
        <f aca="false">O79</f>
        <v>0</v>
      </c>
      <c r="P28" s="958" t="n">
        <f aca="false">P79</f>
        <v>0</v>
      </c>
      <c r="Q28" s="958" t="n">
        <f aca="false">Q79</f>
        <v>0</v>
      </c>
      <c r="R28" s="958" t="n">
        <f aca="false">R79</f>
        <v>0</v>
      </c>
      <c r="S28" s="958" t="n">
        <f aca="false">S79</f>
        <v>0</v>
      </c>
      <c r="T28" s="958" t="n">
        <f aca="false">T79</f>
        <v>0</v>
      </c>
      <c r="U28" s="958" t="n">
        <f aca="false">U79</f>
        <v>934.147139465875</v>
      </c>
      <c r="V28" s="958" t="n">
        <f aca="false">V79</f>
        <v>0</v>
      </c>
      <c r="W28" s="958" t="n">
        <f aca="false">W79</f>
        <v>0</v>
      </c>
      <c r="X28" s="958" t="n">
        <f aca="false">X79</f>
        <v>0</v>
      </c>
      <c r="Y28" s="958" t="n">
        <f aca="false">Y79</f>
        <v>0</v>
      </c>
      <c r="Z28" s="958" t="n">
        <f aca="false">Z79</f>
        <v>0</v>
      </c>
      <c r="AA28" s="958" t="n">
        <f aca="false">AA79</f>
        <v>0</v>
      </c>
      <c r="AB28" s="958" t="n">
        <f aca="false">AB79</f>
        <v>0</v>
      </c>
      <c r="AC28" s="955" t="n">
        <v>0</v>
      </c>
      <c r="AD28" s="955" t="n">
        <v>0</v>
      </c>
      <c r="AE28" s="955" t="n">
        <v>0</v>
      </c>
      <c r="AF28" s="955" t="n">
        <v>0</v>
      </c>
      <c r="AG28" s="955" t="n">
        <v>0</v>
      </c>
      <c r="AH28" s="955" t="n">
        <v>0</v>
      </c>
      <c r="AI28" s="955" t="n">
        <v>0</v>
      </c>
      <c r="AJ28" s="957" t="n">
        <f aca="false">$C28-SUM($E28:AI28)</f>
        <v>3339.08107315435</v>
      </c>
      <c r="AK28" s="955" t="n">
        <v>0</v>
      </c>
      <c r="AL28" s="955" t="n">
        <v>0</v>
      </c>
      <c r="AM28" s="955" t="n">
        <v>0</v>
      </c>
      <c r="AN28" s="955" t="n">
        <v>0</v>
      </c>
      <c r="AO28" s="955" t="n">
        <v>0</v>
      </c>
      <c r="AP28" s="955" t="n">
        <v>0</v>
      </c>
      <c r="AQ28" s="955" t="n">
        <v>0</v>
      </c>
      <c r="AR28" s="955" t="n">
        <v>0</v>
      </c>
      <c r="AS28" s="955" t="n">
        <v>0</v>
      </c>
      <c r="AT28" s="955" t="n">
        <v>0</v>
      </c>
      <c r="AU28" s="955" t="n">
        <v>0</v>
      </c>
      <c r="AV28" s="955" t="n">
        <v>0</v>
      </c>
      <c r="AW28" s="955" t="n">
        <v>0</v>
      </c>
      <c r="AX28" s="955" t="n">
        <v>0</v>
      </c>
      <c r="AY28" s="955" t="n">
        <v>0</v>
      </c>
      <c r="AZ28" s="945"/>
      <c r="BA28" s="956" t="n">
        <f aca="false">SUM(E28:AY28)</f>
        <v>5702.18</v>
      </c>
      <c r="BB28" s="937"/>
      <c r="BC28" s="937"/>
      <c r="BD28" s="937"/>
      <c r="BE28" s="937"/>
      <c r="BF28" s="937"/>
      <c r="BG28" s="937"/>
      <c r="BH28" s="937"/>
      <c r="BI28" s="937"/>
      <c r="BJ28" s="937"/>
      <c r="BK28" s="937"/>
      <c r="BL28" s="937"/>
      <c r="BM28" s="937"/>
      <c r="BN28" s="937"/>
      <c r="BO28" s="937"/>
      <c r="BP28" s="937"/>
      <c r="BQ28" s="937"/>
      <c r="BR28" s="937"/>
      <c r="BS28" s="937"/>
      <c r="BT28" s="937"/>
      <c r="BU28" s="937"/>
      <c r="BV28" s="937"/>
      <c r="BW28" s="937"/>
      <c r="BX28" s="937"/>
      <c r="BY28" s="937"/>
      <c r="BZ28" s="937"/>
      <c r="CA28" s="937"/>
      <c r="CB28" s="937"/>
      <c r="CC28" s="937"/>
      <c r="CD28" s="937"/>
      <c r="CE28" s="937"/>
      <c r="CF28" s="937"/>
      <c r="CG28" s="937"/>
      <c r="CH28" s="937"/>
      <c r="CI28" s="937"/>
      <c r="CJ28" s="937"/>
      <c r="CK28" s="937"/>
      <c r="CL28" s="937"/>
      <c r="CM28" s="937"/>
      <c r="CN28" s="937"/>
      <c r="CO28" s="937"/>
      <c r="CP28" s="937"/>
      <c r="CQ28" s="937"/>
      <c r="CR28" s="937"/>
      <c r="CS28" s="937"/>
      <c r="CT28" s="937"/>
      <c r="CU28" s="937"/>
      <c r="CV28" s="937"/>
      <c r="CW28" s="937"/>
      <c r="CX28" s="937"/>
      <c r="CY28" s="937"/>
      <c r="CZ28" s="937"/>
      <c r="DA28" s="937"/>
      <c r="DB28" s="937"/>
      <c r="DC28" s="937"/>
      <c r="DD28" s="937"/>
      <c r="DE28" s="937"/>
      <c r="DF28" s="937"/>
      <c r="DG28" s="937"/>
      <c r="DH28" s="937"/>
      <c r="DI28" s="937"/>
      <c r="DJ28" s="937"/>
      <c r="DK28" s="937"/>
      <c r="DL28" s="937"/>
      <c r="DM28" s="937"/>
      <c r="DN28" s="937"/>
      <c r="DO28" s="937"/>
      <c r="DP28" s="937"/>
      <c r="DQ28" s="937"/>
      <c r="DR28" s="937"/>
      <c r="DS28" s="937"/>
      <c r="DT28" s="937"/>
      <c r="DU28" s="937"/>
      <c r="DV28" s="937"/>
      <c r="DW28" s="937"/>
      <c r="DX28" s="937"/>
      <c r="DY28" s="937"/>
      <c r="DZ28" s="937"/>
      <c r="EA28" s="937"/>
      <c r="EB28" s="937"/>
      <c r="EC28" s="937"/>
      <c r="ED28" s="937"/>
      <c r="EE28" s="937"/>
      <c r="EF28" s="937"/>
      <c r="EG28" s="937"/>
      <c r="EH28" s="937"/>
      <c r="EI28" s="937"/>
      <c r="EJ28" s="937"/>
      <c r="EK28" s="937"/>
      <c r="EL28" s="937"/>
      <c r="EM28" s="937"/>
      <c r="EN28" s="937"/>
      <c r="EO28" s="937"/>
      <c r="EP28" s="937"/>
      <c r="EQ28" s="937"/>
      <c r="ER28" s="937"/>
      <c r="ES28" s="937"/>
      <c r="ET28" s="937"/>
      <c r="EU28" s="937"/>
      <c r="EV28" s="937"/>
      <c r="EW28" s="937"/>
      <c r="EX28" s="937"/>
      <c r="EY28" s="937"/>
      <c r="EZ28" s="937"/>
      <c r="FA28" s="937"/>
      <c r="FB28" s="937"/>
      <c r="FC28" s="937"/>
      <c r="FD28" s="937"/>
      <c r="FE28" s="937"/>
      <c r="FF28" s="937"/>
      <c r="FG28" s="937"/>
      <c r="FH28" s="937"/>
      <c r="FI28" s="937"/>
      <c r="FJ28" s="937"/>
      <c r="FK28" s="937"/>
      <c r="FL28" s="937"/>
      <c r="FM28" s="937"/>
      <c r="FN28" s="937"/>
      <c r="FO28" s="937"/>
      <c r="FP28" s="937"/>
      <c r="FQ28" s="937"/>
      <c r="FR28" s="937"/>
      <c r="FS28" s="937"/>
      <c r="FT28" s="937"/>
      <c r="FU28" s="937"/>
      <c r="FV28" s="937"/>
      <c r="FW28" s="937"/>
      <c r="FX28" s="937"/>
      <c r="FY28" s="937"/>
      <c r="FZ28" s="937"/>
      <c r="GA28" s="937"/>
      <c r="GB28" s="937"/>
      <c r="GC28" s="937"/>
      <c r="GD28" s="937"/>
      <c r="GE28" s="937"/>
      <c r="GF28" s="937"/>
      <c r="GG28" s="937"/>
      <c r="GH28" s="937"/>
      <c r="GI28" s="937"/>
      <c r="GJ28" s="937"/>
      <c r="GK28" s="937"/>
      <c r="GL28" s="937"/>
      <c r="GM28" s="937"/>
      <c r="GN28" s="937"/>
      <c r="GO28" s="937"/>
      <c r="GP28" s="937"/>
      <c r="GQ28" s="937"/>
      <c r="GR28" s="937"/>
      <c r="GS28" s="937"/>
      <c r="GT28" s="937"/>
      <c r="GU28" s="937"/>
      <c r="GV28" s="937"/>
      <c r="GW28" s="937"/>
      <c r="GX28" s="937"/>
      <c r="GY28" s="937"/>
      <c r="GZ28" s="937"/>
      <c r="HA28" s="937"/>
      <c r="HB28" s="937"/>
      <c r="HC28" s="937"/>
      <c r="HD28" s="937"/>
      <c r="HE28" s="937"/>
      <c r="HF28" s="937"/>
      <c r="HG28" s="937"/>
      <c r="HH28" s="937"/>
      <c r="HI28" s="937"/>
      <c r="HJ28" s="937"/>
      <c r="HK28" s="937"/>
      <c r="HL28" s="937"/>
      <c r="HM28" s="937"/>
      <c r="HN28" s="937"/>
      <c r="HO28" s="937"/>
      <c r="HP28" s="937"/>
      <c r="HQ28" s="937"/>
      <c r="HR28" s="937"/>
      <c r="HS28" s="937"/>
      <c r="HT28" s="937"/>
      <c r="HU28" s="937"/>
      <c r="HV28" s="937"/>
      <c r="HW28" s="937"/>
      <c r="HX28" s="937"/>
      <c r="HY28" s="937"/>
      <c r="HZ28" s="937"/>
      <c r="IA28" s="937"/>
      <c r="IB28" s="937"/>
      <c r="IC28" s="937"/>
      <c r="ID28" s="937"/>
      <c r="IE28" s="937"/>
      <c r="IF28" s="937"/>
      <c r="IG28" s="937"/>
      <c r="IH28" s="937"/>
      <c r="II28" s="937"/>
      <c r="IJ28" s="937"/>
      <c r="IK28" s="937"/>
      <c r="IL28" s="937"/>
      <c r="IM28" s="937"/>
      <c r="IN28" s="937"/>
      <c r="IO28" s="937"/>
      <c r="IP28" s="937"/>
      <c r="IQ28" s="937"/>
      <c r="IR28" s="937"/>
      <c r="IS28" s="937"/>
      <c r="IT28" s="937"/>
      <c r="IU28" s="937"/>
      <c r="IV28" s="937"/>
      <c r="IW28" s="937"/>
    </row>
    <row r="29" customFormat="false" ht="12.75" hidden="false" customHeight="false" outlineLevel="0" collapsed="false">
      <c r="A29" s="947" t="str">
        <f aca="false">Assm!N31</f>
        <v>Total 3rd Party Dev / Financing Costs</v>
      </c>
      <c r="B29" s="944"/>
      <c r="C29" s="948" t="n">
        <f aca="false">SUM(C24:C28)</f>
        <v>46937.6967986659</v>
      </c>
      <c r="D29" s="945"/>
      <c r="E29" s="948" t="n">
        <f aca="false">SUM(E24:E28)</f>
        <v>0</v>
      </c>
      <c r="F29" s="948" t="n">
        <f aca="false">SUM(F24:F28)</f>
        <v>0</v>
      </c>
      <c r="G29" s="948" t="n">
        <f aca="false">SUM(G24:G28)</f>
        <v>0</v>
      </c>
      <c r="H29" s="948" t="n">
        <f aca="false">SUM(H24:H28)</f>
        <v>0</v>
      </c>
      <c r="I29" s="948" t="n">
        <f aca="false">SUM(I24:I28)</f>
        <v>60.4922902097902</v>
      </c>
      <c r="J29" s="948" t="n">
        <f aca="false">SUM(J24:J28)</f>
        <v>466.011939130435</v>
      </c>
      <c r="K29" s="948" t="n">
        <f aca="false">SUM(K24:K28)</f>
        <v>0</v>
      </c>
      <c r="L29" s="948" t="n">
        <f aca="false">SUM(L24:L28)</f>
        <v>902.447558039553</v>
      </c>
      <c r="M29" s="948" t="n">
        <f aca="false">SUM(M24:M28)</f>
        <v>0</v>
      </c>
      <c r="N29" s="948" t="n">
        <f aca="false">SUM(N24:N28)</f>
        <v>0</v>
      </c>
      <c r="O29" s="948" t="n">
        <f aca="false">SUM(O24:O28)</f>
        <v>0</v>
      </c>
      <c r="P29" s="948" t="n">
        <f aca="false">SUM(P24:P28)</f>
        <v>0</v>
      </c>
      <c r="Q29" s="948" t="n">
        <f aca="false">SUM(Q24:Q28)</f>
        <v>0</v>
      </c>
      <c r="R29" s="948" t="n">
        <f aca="false">SUM(R24:R28)</f>
        <v>0</v>
      </c>
      <c r="S29" s="948" t="n">
        <f aca="false">SUM(S24:S28)</f>
        <v>0</v>
      </c>
      <c r="T29" s="948" t="n">
        <f aca="false">SUM(T24:T28)</f>
        <v>0</v>
      </c>
      <c r="U29" s="948" t="n">
        <f aca="false">SUM(U24:U28)</f>
        <v>1038.91284272997</v>
      </c>
      <c r="V29" s="948" t="n">
        <f aca="false">SUM(V24:V28)</f>
        <v>0</v>
      </c>
      <c r="W29" s="948" t="n">
        <f aca="false">SUM(W24:W28)</f>
        <v>638.973833371273</v>
      </c>
      <c r="X29" s="948" t="n">
        <f aca="false">SUM(X24:X28)</f>
        <v>488.215426997245</v>
      </c>
      <c r="Y29" s="948" t="n">
        <f aca="false">SUM(Y24:Y28)</f>
        <v>0</v>
      </c>
      <c r="Z29" s="948" t="n">
        <f aca="false">SUM(Z24:Z28)</f>
        <v>0</v>
      </c>
      <c r="AA29" s="948" t="n">
        <f aca="false">SUM(AA24:AA28)</f>
        <v>197.61140296979</v>
      </c>
      <c r="AB29" s="948" t="n">
        <f aca="false">SUM(AB24:AB28)</f>
        <v>0</v>
      </c>
      <c r="AC29" s="948" t="n">
        <f aca="false">SUM(AC24:AC28)</f>
        <v>0</v>
      </c>
      <c r="AD29" s="948" t="n">
        <f aca="false">SUM(AD24:AD28)</f>
        <v>0</v>
      </c>
      <c r="AE29" s="948" t="n">
        <f aca="false">SUM(AE24:AE28)</f>
        <v>0</v>
      </c>
      <c r="AF29" s="948" t="n">
        <f aca="false">SUM(AF24:AF28)</f>
        <v>0</v>
      </c>
      <c r="AG29" s="948" t="n">
        <f aca="false">SUM(AG24:AG28)</f>
        <v>0</v>
      </c>
      <c r="AH29" s="948" t="n">
        <f aca="false">SUM(AH24:AH28)</f>
        <v>0</v>
      </c>
      <c r="AI29" s="948" t="n">
        <f aca="false">SUM(AI24:AI28)</f>
        <v>0</v>
      </c>
      <c r="AJ29" s="948" t="n">
        <f aca="false">SUM(AJ24:AJ28)</f>
        <v>13617.5147065519</v>
      </c>
      <c r="AK29" s="948" t="n">
        <f aca="false">SUM(AK24:AK28)</f>
        <v>0</v>
      </c>
      <c r="AL29" s="948" t="n">
        <f aca="false">SUM(AL24:AL28)</f>
        <v>29527.5167986659</v>
      </c>
      <c r="AM29" s="948" t="n">
        <f aca="false">SUM(AM24:AM28)</f>
        <v>0</v>
      </c>
      <c r="AN29" s="948" t="n">
        <f aca="false">SUM(AN24:AN28)</f>
        <v>0</v>
      </c>
      <c r="AO29" s="948" t="n">
        <f aca="false">SUM(AO24:AO28)</f>
        <v>0</v>
      </c>
      <c r="AP29" s="948" t="n">
        <f aca="false">SUM(AP24:AP28)</f>
        <v>0</v>
      </c>
      <c r="AQ29" s="948" t="n">
        <f aca="false">SUM(AQ24:AQ28)</f>
        <v>0</v>
      </c>
      <c r="AR29" s="948" t="n">
        <f aca="false">SUM(AR24:AR28)</f>
        <v>0</v>
      </c>
      <c r="AS29" s="948" t="n">
        <f aca="false">SUM(AS24:AS28)</f>
        <v>0</v>
      </c>
      <c r="AT29" s="948" t="n">
        <f aca="false">SUM(AT24:AT28)</f>
        <v>0</v>
      </c>
      <c r="AU29" s="948" t="n">
        <f aca="false">SUM(AU24:AU28)</f>
        <v>0</v>
      </c>
      <c r="AV29" s="948" t="n">
        <f aca="false">SUM(AV24:AV28)</f>
        <v>0</v>
      </c>
      <c r="AW29" s="948" t="n">
        <f aca="false">SUM(AW24:AW28)</f>
        <v>0</v>
      </c>
      <c r="AX29" s="948" t="n">
        <f aca="false">SUM(AX24:AX28)</f>
        <v>0</v>
      </c>
      <c r="AY29" s="948" t="n">
        <f aca="false">SUM(AY24:AY28)</f>
        <v>0</v>
      </c>
      <c r="AZ29" s="945"/>
      <c r="BA29" s="951" t="n">
        <f aca="false">SUM(E29:AY29)</f>
        <v>46937.6967986659</v>
      </c>
      <c r="BB29" s="937"/>
      <c r="BC29" s="937"/>
      <c r="BD29" s="937"/>
      <c r="BE29" s="937"/>
      <c r="BF29" s="937"/>
      <c r="BG29" s="937"/>
      <c r="BH29" s="937"/>
      <c r="BI29" s="937"/>
      <c r="BJ29" s="937"/>
      <c r="BK29" s="937"/>
      <c r="BL29" s="937"/>
      <c r="BM29" s="937"/>
      <c r="BN29" s="937"/>
      <c r="BO29" s="937"/>
      <c r="BP29" s="937"/>
      <c r="BQ29" s="937"/>
      <c r="BR29" s="937"/>
      <c r="BS29" s="937"/>
      <c r="BT29" s="937"/>
      <c r="BU29" s="937"/>
      <c r="BV29" s="937"/>
      <c r="BW29" s="937"/>
      <c r="BX29" s="937"/>
      <c r="BY29" s="937"/>
      <c r="BZ29" s="937"/>
      <c r="CA29" s="937"/>
      <c r="CB29" s="937"/>
      <c r="CC29" s="937"/>
      <c r="CD29" s="937"/>
      <c r="CE29" s="937"/>
      <c r="CF29" s="937"/>
      <c r="CG29" s="937"/>
      <c r="CH29" s="937"/>
      <c r="CI29" s="937"/>
      <c r="CJ29" s="937"/>
      <c r="CK29" s="937"/>
      <c r="CL29" s="937"/>
      <c r="CM29" s="937"/>
      <c r="CN29" s="937"/>
      <c r="CO29" s="937"/>
      <c r="CP29" s="937"/>
      <c r="CQ29" s="937"/>
      <c r="CR29" s="937"/>
      <c r="CS29" s="937"/>
      <c r="CT29" s="937"/>
      <c r="CU29" s="937"/>
      <c r="CV29" s="937"/>
      <c r="CW29" s="937"/>
      <c r="CX29" s="937"/>
      <c r="CY29" s="937"/>
      <c r="CZ29" s="937"/>
      <c r="DA29" s="937"/>
      <c r="DB29" s="937"/>
      <c r="DC29" s="937"/>
      <c r="DD29" s="937"/>
      <c r="DE29" s="937"/>
      <c r="DF29" s="937"/>
      <c r="DG29" s="937"/>
      <c r="DH29" s="937"/>
      <c r="DI29" s="937"/>
      <c r="DJ29" s="937"/>
      <c r="DK29" s="937"/>
      <c r="DL29" s="937"/>
      <c r="DM29" s="937"/>
      <c r="DN29" s="937"/>
      <c r="DO29" s="937"/>
      <c r="DP29" s="937"/>
      <c r="DQ29" s="937"/>
      <c r="DR29" s="937"/>
      <c r="DS29" s="937"/>
      <c r="DT29" s="937"/>
      <c r="DU29" s="937"/>
      <c r="DV29" s="937"/>
      <c r="DW29" s="937"/>
      <c r="DX29" s="937"/>
      <c r="DY29" s="937"/>
      <c r="DZ29" s="937"/>
      <c r="EA29" s="937"/>
      <c r="EB29" s="937"/>
      <c r="EC29" s="937"/>
      <c r="ED29" s="937"/>
      <c r="EE29" s="937"/>
      <c r="EF29" s="937"/>
      <c r="EG29" s="937"/>
      <c r="EH29" s="937"/>
      <c r="EI29" s="937"/>
      <c r="EJ29" s="937"/>
      <c r="EK29" s="937"/>
      <c r="EL29" s="937"/>
      <c r="EM29" s="937"/>
      <c r="EN29" s="937"/>
      <c r="EO29" s="937"/>
      <c r="EP29" s="937"/>
      <c r="EQ29" s="937"/>
      <c r="ER29" s="937"/>
      <c r="ES29" s="937"/>
      <c r="ET29" s="937"/>
      <c r="EU29" s="937"/>
      <c r="EV29" s="937"/>
      <c r="EW29" s="937"/>
      <c r="EX29" s="937"/>
      <c r="EY29" s="937"/>
      <c r="EZ29" s="937"/>
      <c r="FA29" s="937"/>
      <c r="FB29" s="937"/>
      <c r="FC29" s="937"/>
      <c r="FD29" s="937"/>
      <c r="FE29" s="937"/>
      <c r="FF29" s="937"/>
      <c r="FG29" s="937"/>
      <c r="FH29" s="937"/>
      <c r="FI29" s="937"/>
      <c r="FJ29" s="937"/>
      <c r="FK29" s="937"/>
      <c r="FL29" s="937"/>
      <c r="FM29" s="937"/>
      <c r="FN29" s="937"/>
      <c r="FO29" s="937"/>
      <c r="FP29" s="937"/>
      <c r="FQ29" s="937"/>
      <c r="FR29" s="937"/>
      <c r="FS29" s="937"/>
      <c r="FT29" s="937"/>
      <c r="FU29" s="937"/>
      <c r="FV29" s="937"/>
      <c r="FW29" s="937"/>
      <c r="FX29" s="937"/>
      <c r="FY29" s="937"/>
      <c r="FZ29" s="937"/>
      <c r="GA29" s="937"/>
      <c r="GB29" s="937"/>
      <c r="GC29" s="937"/>
      <c r="GD29" s="937"/>
      <c r="GE29" s="937"/>
      <c r="GF29" s="937"/>
      <c r="GG29" s="937"/>
      <c r="GH29" s="937"/>
      <c r="GI29" s="937"/>
      <c r="GJ29" s="937"/>
      <c r="GK29" s="937"/>
      <c r="GL29" s="937"/>
      <c r="GM29" s="937"/>
      <c r="GN29" s="937"/>
      <c r="GO29" s="937"/>
      <c r="GP29" s="937"/>
      <c r="GQ29" s="937"/>
      <c r="GR29" s="937"/>
      <c r="GS29" s="937"/>
      <c r="GT29" s="937"/>
      <c r="GU29" s="937"/>
      <c r="GV29" s="937"/>
      <c r="GW29" s="937"/>
      <c r="GX29" s="937"/>
      <c r="GY29" s="937"/>
      <c r="GZ29" s="937"/>
      <c r="HA29" s="937"/>
      <c r="HB29" s="937"/>
      <c r="HC29" s="937"/>
      <c r="HD29" s="937"/>
      <c r="HE29" s="937"/>
      <c r="HF29" s="937"/>
      <c r="HG29" s="937"/>
      <c r="HH29" s="937"/>
      <c r="HI29" s="937"/>
      <c r="HJ29" s="937"/>
      <c r="HK29" s="937"/>
      <c r="HL29" s="937"/>
      <c r="HM29" s="937"/>
      <c r="HN29" s="937"/>
      <c r="HO29" s="937"/>
      <c r="HP29" s="937"/>
      <c r="HQ29" s="937"/>
      <c r="HR29" s="937"/>
      <c r="HS29" s="937"/>
      <c r="HT29" s="937"/>
      <c r="HU29" s="937"/>
      <c r="HV29" s="937"/>
      <c r="HW29" s="937"/>
      <c r="HX29" s="937"/>
      <c r="HY29" s="937"/>
      <c r="HZ29" s="937"/>
      <c r="IA29" s="937"/>
      <c r="IB29" s="937"/>
      <c r="IC29" s="937"/>
      <c r="ID29" s="937"/>
      <c r="IE29" s="937"/>
      <c r="IF29" s="937"/>
      <c r="IG29" s="937"/>
      <c r="IH29" s="937"/>
      <c r="II29" s="937"/>
      <c r="IJ29" s="937"/>
      <c r="IK29" s="937"/>
      <c r="IL29" s="937"/>
      <c r="IM29" s="937"/>
      <c r="IN29" s="937"/>
      <c r="IO29" s="937"/>
      <c r="IP29" s="937"/>
      <c r="IQ29" s="937"/>
      <c r="IR29" s="937"/>
      <c r="IS29" s="937"/>
      <c r="IT29" s="937"/>
      <c r="IU29" s="937"/>
      <c r="IV29" s="937"/>
      <c r="IW29" s="937"/>
    </row>
    <row r="30" customFormat="false" ht="12.75" hidden="false" customHeight="false" outlineLevel="0" collapsed="false">
      <c r="A30" s="947"/>
      <c r="B30" s="944"/>
      <c r="C30" s="945"/>
      <c r="D30" s="945"/>
      <c r="E30" s="945"/>
      <c r="F30" s="945"/>
      <c r="G30" s="945"/>
      <c r="H30" s="945"/>
      <c r="I30" s="945"/>
      <c r="J30" s="945"/>
      <c r="K30" s="945"/>
      <c r="L30" s="945"/>
      <c r="M30" s="945"/>
      <c r="N30" s="945"/>
      <c r="O30" s="945"/>
      <c r="P30" s="945"/>
      <c r="Q30" s="945"/>
      <c r="R30" s="945"/>
      <c r="S30" s="945"/>
      <c r="T30" s="945"/>
      <c r="U30" s="945"/>
      <c r="V30" s="945"/>
      <c r="W30" s="945"/>
      <c r="X30" s="945"/>
      <c r="Y30" s="945"/>
      <c r="Z30" s="945"/>
      <c r="AA30" s="945"/>
      <c r="AB30" s="945"/>
      <c r="AC30" s="945"/>
      <c r="AD30" s="945"/>
      <c r="AE30" s="945"/>
      <c r="AF30" s="945"/>
      <c r="AG30" s="945"/>
      <c r="AH30" s="945"/>
      <c r="AI30" s="945"/>
      <c r="AJ30" s="945"/>
      <c r="AK30" s="945"/>
      <c r="AL30" s="945"/>
      <c r="AM30" s="945"/>
      <c r="AN30" s="945"/>
      <c r="AO30" s="945"/>
      <c r="AP30" s="945"/>
      <c r="AQ30" s="945"/>
      <c r="AR30" s="945"/>
      <c r="AS30" s="945"/>
      <c r="AT30" s="945"/>
      <c r="AU30" s="945"/>
      <c r="AV30" s="945"/>
      <c r="AW30" s="945"/>
      <c r="AX30" s="945"/>
      <c r="AY30" s="945"/>
      <c r="AZ30" s="945"/>
      <c r="BA30" s="946"/>
      <c r="BB30" s="937"/>
      <c r="BC30" s="937"/>
      <c r="BD30" s="937"/>
      <c r="BE30" s="937"/>
      <c r="BF30" s="937"/>
      <c r="BG30" s="937"/>
      <c r="BH30" s="937"/>
      <c r="BI30" s="937"/>
      <c r="BJ30" s="937"/>
      <c r="BK30" s="937"/>
      <c r="BL30" s="937"/>
      <c r="BM30" s="937"/>
      <c r="BN30" s="937"/>
      <c r="BO30" s="937"/>
      <c r="BP30" s="937"/>
      <c r="BQ30" s="937"/>
      <c r="BR30" s="937"/>
      <c r="BS30" s="937"/>
      <c r="BT30" s="937"/>
      <c r="BU30" s="937"/>
      <c r="BV30" s="937"/>
      <c r="BW30" s="937"/>
      <c r="BX30" s="937"/>
      <c r="BY30" s="937"/>
      <c r="BZ30" s="937"/>
      <c r="CA30" s="937"/>
      <c r="CB30" s="937"/>
      <c r="CC30" s="937"/>
      <c r="CD30" s="937"/>
      <c r="CE30" s="937"/>
      <c r="CF30" s="937"/>
      <c r="CG30" s="937"/>
      <c r="CH30" s="937"/>
      <c r="CI30" s="937"/>
      <c r="CJ30" s="937"/>
      <c r="CK30" s="937"/>
      <c r="CL30" s="937"/>
      <c r="CM30" s="937"/>
      <c r="CN30" s="937"/>
      <c r="CO30" s="937"/>
      <c r="CP30" s="937"/>
      <c r="CQ30" s="937"/>
      <c r="CR30" s="937"/>
      <c r="CS30" s="937"/>
      <c r="CT30" s="937"/>
      <c r="CU30" s="937"/>
      <c r="CV30" s="937"/>
      <c r="CW30" s="937"/>
      <c r="CX30" s="937"/>
      <c r="CY30" s="937"/>
      <c r="CZ30" s="937"/>
      <c r="DA30" s="937"/>
      <c r="DB30" s="937"/>
      <c r="DC30" s="937"/>
      <c r="DD30" s="937"/>
      <c r="DE30" s="937"/>
      <c r="DF30" s="937"/>
      <c r="DG30" s="937"/>
      <c r="DH30" s="937"/>
      <c r="DI30" s="937"/>
      <c r="DJ30" s="937"/>
      <c r="DK30" s="937"/>
      <c r="DL30" s="937"/>
      <c r="DM30" s="937"/>
      <c r="DN30" s="937"/>
      <c r="DO30" s="937"/>
      <c r="DP30" s="937"/>
      <c r="DQ30" s="937"/>
      <c r="DR30" s="937"/>
      <c r="DS30" s="937"/>
      <c r="DT30" s="937"/>
      <c r="DU30" s="937"/>
      <c r="DV30" s="937"/>
      <c r="DW30" s="937"/>
      <c r="DX30" s="937"/>
      <c r="DY30" s="937"/>
      <c r="DZ30" s="937"/>
      <c r="EA30" s="937"/>
      <c r="EB30" s="937"/>
      <c r="EC30" s="937"/>
      <c r="ED30" s="937"/>
      <c r="EE30" s="937"/>
      <c r="EF30" s="937"/>
      <c r="EG30" s="937"/>
      <c r="EH30" s="937"/>
      <c r="EI30" s="937"/>
      <c r="EJ30" s="937"/>
      <c r="EK30" s="937"/>
      <c r="EL30" s="937"/>
      <c r="EM30" s="937"/>
      <c r="EN30" s="937"/>
      <c r="EO30" s="937"/>
      <c r="EP30" s="937"/>
      <c r="EQ30" s="937"/>
      <c r="ER30" s="937"/>
      <c r="ES30" s="937"/>
      <c r="ET30" s="937"/>
      <c r="EU30" s="937"/>
      <c r="EV30" s="937"/>
      <c r="EW30" s="937"/>
      <c r="EX30" s="937"/>
      <c r="EY30" s="937"/>
      <c r="EZ30" s="937"/>
      <c r="FA30" s="937"/>
      <c r="FB30" s="937"/>
      <c r="FC30" s="937"/>
      <c r="FD30" s="937"/>
      <c r="FE30" s="937"/>
      <c r="FF30" s="937"/>
      <c r="FG30" s="937"/>
      <c r="FH30" s="937"/>
      <c r="FI30" s="937"/>
      <c r="FJ30" s="937"/>
      <c r="FK30" s="937"/>
      <c r="FL30" s="937"/>
      <c r="FM30" s="937"/>
      <c r="FN30" s="937"/>
      <c r="FO30" s="937"/>
      <c r="FP30" s="937"/>
      <c r="FQ30" s="937"/>
      <c r="FR30" s="937"/>
      <c r="FS30" s="937"/>
      <c r="FT30" s="937"/>
      <c r="FU30" s="937"/>
      <c r="FV30" s="937"/>
      <c r="FW30" s="937"/>
      <c r="FX30" s="937"/>
      <c r="FY30" s="937"/>
      <c r="FZ30" s="937"/>
      <c r="GA30" s="937"/>
      <c r="GB30" s="937"/>
      <c r="GC30" s="937"/>
      <c r="GD30" s="937"/>
      <c r="GE30" s="937"/>
      <c r="GF30" s="937"/>
      <c r="GG30" s="937"/>
      <c r="GH30" s="937"/>
      <c r="GI30" s="937"/>
      <c r="GJ30" s="937"/>
      <c r="GK30" s="937"/>
      <c r="GL30" s="937"/>
      <c r="GM30" s="937"/>
      <c r="GN30" s="937"/>
      <c r="GO30" s="937"/>
      <c r="GP30" s="937"/>
      <c r="GQ30" s="937"/>
      <c r="GR30" s="937"/>
      <c r="GS30" s="937"/>
      <c r="GT30" s="937"/>
      <c r="GU30" s="937"/>
      <c r="GV30" s="937"/>
      <c r="GW30" s="937"/>
      <c r="GX30" s="937"/>
      <c r="GY30" s="937"/>
      <c r="GZ30" s="937"/>
      <c r="HA30" s="937"/>
      <c r="HB30" s="937"/>
      <c r="HC30" s="937"/>
      <c r="HD30" s="937"/>
      <c r="HE30" s="937"/>
      <c r="HF30" s="937"/>
      <c r="HG30" s="937"/>
      <c r="HH30" s="937"/>
      <c r="HI30" s="937"/>
      <c r="HJ30" s="937"/>
      <c r="HK30" s="937"/>
      <c r="HL30" s="937"/>
      <c r="HM30" s="937"/>
      <c r="HN30" s="937"/>
      <c r="HO30" s="937"/>
      <c r="HP30" s="937"/>
      <c r="HQ30" s="937"/>
      <c r="HR30" s="937"/>
      <c r="HS30" s="937"/>
      <c r="HT30" s="937"/>
      <c r="HU30" s="937"/>
      <c r="HV30" s="937"/>
      <c r="HW30" s="937"/>
      <c r="HX30" s="937"/>
      <c r="HY30" s="937"/>
      <c r="HZ30" s="937"/>
      <c r="IA30" s="937"/>
      <c r="IB30" s="937"/>
      <c r="IC30" s="937"/>
      <c r="ID30" s="937"/>
      <c r="IE30" s="937"/>
      <c r="IF30" s="937"/>
      <c r="IG30" s="937"/>
      <c r="IH30" s="937"/>
      <c r="II30" s="937"/>
      <c r="IJ30" s="937"/>
      <c r="IK30" s="937"/>
      <c r="IL30" s="937"/>
      <c r="IM30" s="937"/>
      <c r="IN30" s="937"/>
      <c r="IO30" s="937"/>
      <c r="IP30" s="937"/>
      <c r="IQ30" s="937"/>
      <c r="IR30" s="937"/>
      <c r="IS30" s="937"/>
      <c r="IT30" s="937"/>
      <c r="IU30" s="937"/>
      <c r="IV30" s="937"/>
      <c r="IW30" s="937"/>
    </row>
    <row r="31" customFormat="false" ht="12.75" hidden="false" customHeight="false" outlineLevel="0" collapsed="false">
      <c r="A31" s="947" t="str">
        <f aca="false">Assm!N33</f>
        <v>Development Costs</v>
      </c>
      <c r="B31" s="944"/>
      <c r="C31" s="948" t="n">
        <f aca="false">Assm!V33</f>
        <v>14055.9197342</v>
      </c>
      <c r="D31" s="945"/>
      <c r="E31" s="949" t="n">
        <f aca="false">SUM(E83,E85,E86)</f>
        <v>217.68458781362</v>
      </c>
      <c r="F31" s="949" t="n">
        <f aca="false">SUM(F83,F85,F86)</f>
        <v>598.66518254675</v>
      </c>
      <c r="G31" s="949" t="n">
        <f aca="false">SUM(G83,G85,G86)</f>
        <v>470.542656112577</v>
      </c>
      <c r="H31" s="949" t="n">
        <f aca="false">SUM(H83,H85,H86)</f>
        <v>1352.76253298153</v>
      </c>
      <c r="I31" s="949" t="n">
        <f aca="false">SUM(I83,I85,I86)</f>
        <v>3910.05594405594</v>
      </c>
      <c r="J31" s="949" t="n">
        <f aca="false">SUM(J83,J85,J86)</f>
        <v>1334.50608695652</v>
      </c>
      <c r="K31" s="949" t="n">
        <f aca="false">SUM(K83,K85,K86)</f>
        <v>1134.64477095938</v>
      </c>
      <c r="L31" s="949" t="n">
        <f aca="false">SUM(L83,L85,L86)</f>
        <v>980.829750644884</v>
      </c>
      <c r="M31" s="949" t="n">
        <f aca="false">SUM(M83,M85,M86)</f>
        <v>0</v>
      </c>
      <c r="N31" s="949" t="n">
        <f aca="false">SUM(N83,N85,N86)</f>
        <v>4247.14531197302</v>
      </c>
      <c r="O31" s="949" t="n">
        <f aca="false">SUM(O83,O85,O86)</f>
        <v>364.857367535744</v>
      </c>
      <c r="P31" s="949" t="n">
        <f aca="false">SUM(P83,P85,P86)</f>
        <v>3503.63774840013</v>
      </c>
      <c r="Q31" s="949" t="n">
        <f aca="false">SUM(Q83,Q85,Q86)</f>
        <v>931.063894876472</v>
      </c>
      <c r="R31" s="949" t="n">
        <f aca="false">SUM(R83,R85,R86)</f>
        <v>437.831472081218</v>
      </c>
      <c r="S31" s="949" t="n">
        <f aca="false">SUM(S83,S85,S86)</f>
        <v>1084.69294846959</v>
      </c>
      <c r="T31" s="949" t="n">
        <f aca="false">SUM(T83,T85,T86)</f>
        <v>1281.82110801782</v>
      </c>
      <c r="U31" s="949" t="n">
        <f aca="false">SUM(U83,U85,U86)</f>
        <v>1416.94810089021</v>
      </c>
      <c r="V31" s="949" t="n">
        <f aca="false">SUM(V83,V85,V86)</f>
        <v>1244.38631090487</v>
      </c>
      <c r="W31" s="949" t="n">
        <f aca="false">SUM(W83,W85,W86)</f>
        <v>0</v>
      </c>
      <c r="X31" s="949" t="n">
        <f aca="false">SUM(X83,X85,X86)</f>
        <v>1930.11744352617</v>
      </c>
      <c r="Y31" s="949" t="n">
        <f aca="false">SUM(Y83,Y85,Y86)</f>
        <v>913.364998173182</v>
      </c>
      <c r="Z31" s="949" t="n">
        <f aca="false">SUM(Z83,Z85,Z86)</f>
        <v>1047.38282266035</v>
      </c>
      <c r="AA31" s="949" t="n">
        <f aca="false">SUM(AA83,AA85,AA86)</f>
        <v>1001.72452636969</v>
      </c>
      <c r="AB31" s="949" t="n">
        <f aca="false">SUM(AB83,AB85,AB86)</f>
        <v>1203.67650179435</v>
      </c>
      <c r="AC31" s="952" t="n">
        <v>0</v>
      </c>
      <c r="AD31" s="952" t="n">
        <v>0</v>
      </c>
      <c r="AE31" s="952" t="n">
        <v>0</v>
      </c>
      <c r="AF31" s="952" t="n">
        <v>0</v>
      </c>
      <c r="AG31" s="952" t="n">
        <v>0</v>
      </c>
      <c r="AH31" s="952" t="n">
        <v>0</v>
      </c>
      <c r="AI31" s="952" t="n">
        <v>0</v>
      </c>
      <c r="AJ31" s="950" t="n">
        <f aca="false">$C31-SUM($E31:AI31)</f>
        <v>-16552.422333544</v>
      </c>
      <c r="AK31" s="952" t="n">
        <v>0</v>
      </c>
      <c r="AL31" s="952" t="n">
        <v>0</v>
      </c>
      <c r="AM31" s="952" t="n">
        <v>0</v>
      </c>
      <c r="AN31" s="952" t="n">
        <v>0</v>
      </c>
      <c r="AO31" s="952" t="n">
        <v>0</v>
      </c>
      <c r="AP31" s="952" t="n">
        <v>0</v>
      </c>
      <c r="AQ31" s="952" t="n">
        <v>0</v>
      </c>
      <c r="AR31" s="952" t="n">
        <v>0</v>
      </c>
      <c r="AS31" s="952" t="n">
        <v>0</v>
      </c>
      <c r="AT31" s="952" t="n">
        <v>0</v>
      </c>
      <c r="AU31" s="952" t="n">
        <v>0</v>
      </c>
      <c r="AV31" s="952" t="n">
        <v>0</v>
      </c>
      <c r="AW31" s="952" t="n">
        <v>0</v>
      </c>
      <c r="AX31" s="952" t="n">
        <v>0</v>
      </c>
      <c r="AY31" s="952" t="n">
        <v>0</v>
      </c>
      <c r="AZ31" s="945"/>
      <c r="BA31" s="951" t="n">
        <f aca="false">SUM(E31:AY31)</f>
        <v>14055.9197342</v>
      </c>
      <c r="BB31" s="937"/>
      <c r="BC31" s="937"/>
      <c r="BD31" s="937"/>
      <c r="BE31" s="937"/>
      <c r="BF31" s="937"/>
      <c r="BG31" s="937"/>
      <c r="BH31" s="937"/>
      <c r="BI31" s="937"/>
      <c r="BJ31" s="937"/>
      <c r="BK31" s="937"/>
      <c r="BL31" s="937"/>
      <c r="BM31" s="937"/>
      <c r="BN31" s="937"/>
      <c r="BO31" s="937"/>
      <c r="BP31" s="937"/>
      <c r="BQ31" s="937"/>
      <c r="BR31" s="937"/>
      <c r="BS31" s="937"/>
      <c r="BT31" s="937"/>
      <c r="BU31" s="937"/>
      <c r="BV31" s="937"/>
      <c r="BW31" s="937"/>
      <c r="BX31" s="937"/>
      <c r="BY31" s="937"/>
      <c r="BZ31" s="937"/>
      <c r="CA31" s="937"/>
      <c r="CB31" s="937"/>
      <c r="CC31" s="937"/>
      <c r="CD31" s="937"/>
      <c r="CE31" s="937"/>
      <c r="CF31" s="937"/>
      <c r="CG31" s="937"/>
      <c r="CH31" s="937"/>
      <c r="CI31" s="937"/>
      <c r="CJ31" s="937"/>
      <c r="CK31" s="937"/>
      <c r="CL31" s="937"/>
      <c r="CM31" s="937"/>
      <c r="CN31" s="937"/>
      <c r="CO31" s="937"/>
      <c r="CP31" s="937"/>
      <c r="CQ31" s="937"/>
      <c r="CR31" s="937"/>
      <c r="CS31" s="937"/>
      <c r="CT31" s="937"/>
      <c r="CU31" s="937"/>
      <c r="CV31" s="937"/>
      <c r="CW31" s="937"/>
      <c r="CX31" s="937"/>
      <c r="CY31" s="937"/>
      <c r="CZ31" s="937"/>
      <c r="DA31" s="937"/>
      <c r="DB31" s="937"/>
      <c r="DC31" s="937"/>
      <c r="DD31" s="937"/>
      <c r="DE31" s="937"/>
      <c r="DF31" s="937"/>
      <c r="DG31" s="937"/>
      <c r="DH31" s="937"/>
      <c r="DI31" s="937"/>
      <c r="DJ31" s="937"/>
      <c r="DK31" s="937"/>
      <c r="DL31" s="937"/>
      <c r="DM31" s="937"/>
      <c r="DN31" s="937"/>
      <c r="DO31" s="937"/>
      <c r="DP31" s="937"/>
      <c r="DQ31" s="937"/>
      <c r="DR31" s="937"/>
      <c r="DS31" s="937"/>
      <c r="DT31" s="937"/>
      <c r="DU31" s="937"/>
      <c r="DV31" s="937"/>
      <c r="DW31" s="937"/>
      <c r="DX31" s="937"/>
      <c r="DY31" s="937"/>
      <c r="DZ31" s="937"/>
      <c r="EA31" s="937"/>
      <c r="EB31" s="937"/>
      <c r="EC31" s="937"/>
      <c r="ED31" s="937"/>
      <c r="EE31" s="937"/>
      <c r="EF31" s="937"/>
      <c r="EG31" s="937"/>
      <c r="EH31" s="937"/>
      <c r="EI31" s="937"/>
      <c r="EJ31" s="937"/>
      <c r="EK31" s="937"/>
      <c r="EL31" s="937"/>
      <c r="EM31" s="937"/>
      <c r="EN31" s="937"/>
      <c r="EO31" s="937"/>
      <c r="EP31" s="937"/>
      <c r="EQ31" s="937"/>
      <c r="ER31" s="937"/>
      <c r="ES31" s="937"/>
      <c r="ET31" s="937"/>
      <c r="EU31" s="937"/>
      <c r="EV31" s="937"/>
      <c r="EW31" s="937"/>
      <c r="EX31" s="937"/>
      <c r="EY31" s="937"/>
      <c r="EZ31" s="937"/>
      <c r="FA31" s="937"/>
      <c r="FB31" s="937"/>
      <c r="FC31" s="937"/>
      <c r="FD31" s="937"/>
      <c r="FE31" s="937"/>
      <c r="FF31" s="937"/>
      <c r="FG31" s="937"/>
      <c r="FH31" s="937"/>
      <c r="FI31" s="937"/>
      <c r="FJ31" s="937"/>
      <c r="FK31" s="937"/>
      <c r="FL31" s="937"/>
      <c r="FM31" s="937"/>
      <c r="FN31" s="937"/>
      <c r="FO31" s="937"/>
      <c r="FP31" s="937"/>
      <c r="FQ31" s="937"/>
      <c r="FR31" s="937"/>
      <c r="FS31" s="937"/>
      <c r="FT31" s="937"/>
      <c r="FU31" s="937"/>
      <c r="FV31" s="937"/>
      <c r="FW31" s="937"/>
      <c r="FX31" s="937"/>
      <c r="FY31" s="937"/>
      <c r="FZ31" s="937"/>
      <c r="GA31" s="937"/>
      <c r="GB31" s="937"/>
      <c r="GC31" s="937"/>
      <c r="GD31" s="937"/>
      <c r="GE31" s="937"/>
      <c r="GF31" s="937"/>
      <c r="GG31" s="937"/>
      <c r="GH31" s="937"/>
      <c r="GI31" s="937"/>
      <c r="GJ31" s="937"/>
      <c r="GK31" s="937"/>
      <c r="GL31" s="937"/>
      <c r="GM31" s="937"/>
      <c r="GN31" s="937"/>
      <c r="GO31" s="937"/>
      <c r="GP31" s="937"/>
      <c r="GQ31" s="937"/>
      <c r="GR31" s="937"/>
      <c r="GS31" s="937"/>
      <c r="GT31" s="937"/>
      <c r="GU31" s="937"/>
      <c r="GV31" s="937"/>
      <c r="GW31" s="937"/>
      <c r="GX31" s="937"/>
      <c r="GY31" s="937"/>
      <c r="GZ31" s="937"/>
      <c r="HA31" s="937"/>
      <c r="HB31" s="937"/>
      <c r="HC31" s="937"/>
      <c r="HD31" s="937"/>
      <c r="HE31" s="937"/>
      <c r="HF31" s="937"/>
      <c r="HG31" s="937"/>
      <c r="HH31" s="937"/>
      <c r="HI31" s="937"/>
      <c r="HJ31" s="937"/>
      <c r="HK31" s="937"/>
      <c r="HL31" s="937"/>
      <c r="HM31" s="937"/>
      <c r="HN31" s="937"/>
      <c r="HO31" s="937"/>
      <c r="HP31" s="937"/>
      <c r="HQ31" s="937"/>
      <c r="HR31" s="937"/>
      <c r="HS31" s="937"/>
      <c r="HT31" s="937"/>
      <c r="HU31" s="937"/>
      <c r="HV31" s="937"/>
      <c r="HW31" s="937"/>
      <c r="HX31" s="937"/>
      <c r="HY31" s="937"/>
      <c r="HZ31" s="937"/>
      <c r="IA31" s="937"/>
      <c r="IB31" s="937"/>
      <c r="IC31" s="937"/>
      <c r="ID31" s="937"/>
      <c r="IE31" s="937"/>
      <c r="IF31" s="937"/>
      <c r="IG31" s="937"/>
      <c r="IH31" s="937"/>
      <c r="II31" s="937"/>
      <c r="IJ31" s="937"/>
      <c r="IK31" s="937"/>
      <c r="IL31" s="937"/>
      <c r="IM31" s="937"/>
      <c r="IN31" s="937"/>
      <c r="IO31" s="937"/>
      <c r="IP31" s="937"/>
      <c r="IQ31" s="937"/>
      <c r="IR31" s="937"/>
      <c r="IS31" s="937"/>
      <c r="IT31" s="937"/>
      <c r="IU31" s="937"/>
      <c r="IV31" s="937"/>
      <c r="IW31" s="937"/>
    </row>
    <row r="32" customFormat="false" ht="12.75" hidden="false" customHeight="false" outlineLevel="0" collapsed="false">
      <c r="A32" s="947" t="str">
        <f aca="false">Assm!N34</f>
        <v>Operations Mobilization - Plant</v>
      </c>
      <c r="B32" s="944"/>
      <c r="C32" s="948" t="n">
        <f aca="false">Assm!V34</f>
        <v>6540</v>
      </c>
      <c r="D32" s="945"/>
      <c r="E32" s="952" t="n">
        <v>0</v>
      </c>
      <c r="F32" s="952" t="n">
        <v>0</v>
      </c>
      <c r="G32" s="952" t="n">
        <v>0</v>
      </c>
      <c r="H32" s="952" t="n">
        <v>0</v>
      </c>
      <c r="I32" s="952" t="n">
        <v>0</v>
      </c>
      <c r="J32" s="952" t="n">
        <v>0</v>
      </c>
      <c r="K32" s="952" t="n">
        <v>0</v>
      </c>
      <c r="L32" s="952" t="n">
        <v>0</v>
      </c>
      <c r="M32" s="952" t="n">
        <v>0</v>
      </c>
      <c r="N32" s="952" t="n">
        <v>0</v>
      </c>
      <c r="O32" s="952" t="n">
        <v>0</v>
      </c>
      <c r="P32" s="952" t="n">
        <v>0</v>
      </c>
      <c r="Q32" s="952" t="n">
        <v>0</v>
      </c>
      <c r="R32" s="952" t="n">
        <v>0</v>
      </c>
      <c r="S32" s="952" t="n">
        <v>0</v>
      </c>
      <c r="T32" s="952" t="n">
        <v>0</v>
      </c>
      <c r="U32" s="952" t="n">
        <v>0</v>
      </c>
      <c r="V32" s="952" t="n">
        <v>0</v>
      </c>
      <c r="W32" s="952" t="n">
        <v>0</v>
      </c>
      <c r="X32" s="952" t="n">
        <v>0</v>
      </c>
      <c r="Y32" s="952" t="n">
        <v>0</v>
      </c>
      <c r="Z32" s="952" t="n">
        <v>0</v>
      </c>
      <c r="AA32" s="952" t="n">
        <v>0</v>
      </c>
      <c r="AB32" s="952" t="n">
        <v>0</v>
      </c>
      <c r="AC32" s="952" t="n">
        <v>0</v>
      </c>
      <c r="AD32" s="952" t="n">
        <v>0</v>
      </c>
      <c r="AE32" s="952" t="n">
        <v>0</v>
      </c>
      <c r="AF32" s="952" t="n">
        <v>0</v>
      </c>
      <c r="AG32" s="952" t="n">
        <v>0</v>
      </c>
      <c r="AH32" s="952" t="n">
        <v>0</v>
      </c>
      <c r="AI32" s="952" t="n">
        <v>0</v>
      </c>
      <c r="AJ32" s="950" t="n">
        <f aca="false">$C32</f>
        <v>6540</v>
      </c>
      <c r="AK32" s="952" t="n">
        <v>0</v>
      </c>
      <c r="AL32" s="952" t="n">
        <v>0</v>
      </c>
      <c r="AM32" s="952" t="n">
        <v>0</v>
      </c>
      <c r="AN32" s="952" t="n">
        <v>0</v>
      </c>
      <c r="AO32" s="952" t="n">
        <v>0</v>
      </c>
      <c r="AP32" s="952" t="n">
        <v>0</v>
      </c>
      <c r="AQ32" s="952" t="n">
        <v>0</v>
      </c>
      <c r="AR32" s="952" t="n">
        <v>0</v>
      </c>
      <c r="AS32" s="952" t="n">
        <v>0</v>
      </c>
      <c r="AT32" s="952" t="n">
        <v>0</v>
      </c>
      <c r="AU32" s="952" t="n">
        <v>0</v>
      </c>
      <c r="AV32" s="952" t="n">
        <v>0</v>
      </c>
      <c r="AW32" s="952" t="n">
        <v>0</v>
      </c>
      <c r="AX32" s="952" t="n">
        <v>0</v>
      </c>
      <c r="AY32" s="952" t="n">
        <v>0</v>
      </c>
      <c r="AZ32" s="945"/>
      <c r="BA32" s="951" t="n">
        <f aca="false">SUM(E32:AY32)</f>
        <v>6540</v>
      </c>
      <c r="BB32" s="937"/>
      <c r="BC32" s="937"/>
      <c r="BD32" s="937"/>
      <c r="BE32" s="937"/>
      <c r="BF32" s="937"/>
      <c r="BG32" s="937"/>
      <c r="BH32" s="937"/>
      <c r="BI32" s="937"/>
      <c r="BJ32" s="937"/>
      <c r="BK32" s="937"/>
      <c r="BL32" s="937"/>
      <c r="BM32" s="937"/>
      <c r="BN32" s="937"/>
      <c r="BO32" s="937"/>
      <c r="BP32" s="937"/>
      <c r="BQ32" s="937"/>
      <c r="BR32" s="937"/>
      <c r="BS32" s="937"/>
      <c r="BT32" s="937"/>
      <c r="BU32" s="937"/>
      <c r="BV32" s="937"/>
      <c r="BW32" s="937"/>
      <c r="BX32" s="937"/>
      <c r="BY32" s="937"/>
      <c r="BZ32" s="937"/>
      <c r="CA32" s="937"/>
      <c r="CB32" s="937"/>
      <c r="CC32" s="937"/>
      <c r="CD32" s="937"/>
      <c r="CE32" s="937"/>
      <c r="CF32" s="937"/>
      <c r="CG32" s="937"/>
      <c r="CH32" s="937"/>
      <c r="CI32" s="937"/>
      <c r="CJ32" s="937"/>
      <c r="CK32" s="937"/>
      <c r="CL32" s="937"/>
      <c r="CM32" s="937"/>
      <c r="CN32" s="937"/>
      <c r="CO32" s="937"/>
      <c r="CP32" s="937"/>
      <c r="CQ32" s="937"/>
      <c r="CR32" s="937"/>
      <c r="CS32" s="937"/>
      <c r="CT32" s="937"/>
      <c r="CU32" s="937"/>
      <c r="CV32" s="937"/>
      <c r="CW32" s="937"/>
      <c r="CX32" s="937"/>
      <c r="CY32" s="937"/>
      <c r="CZ32" s="937"/>
      <c r="DA32" s="937"/>
      <c r="DB32" s="937"/>
      <c r="DC32" s="937"/>
      <c r="DD32" s="937"/>
      <c r="DE32" s="937"/>
      <c r="DF32" s="937"/>
      <c r="DG32" s="937"/>
      <c r="DH32" s="937"/>
      <c r="DI32" s="937"/>
      <c r="DJ32" s="937"/>
      <c r="DK32" s="937"/>
      <c r="DL32" s="937"/>
      <c r="DM32" s="937"/>
      <c r="DN32" s="937"/>
      <c r="DO32" s="937"/>
      <c r="DP32" s="937"/>
      <c r="DQ32" s="937"/>
      <c r="DR32" s="937"/>
      <c r="DS32" s="937"/>
      <c r="DT32" s="937"/>
      <c r="DU32" s="937"/>
      <c r="DV32" s="937"/>
      <c r="DW32" s="937"/>
      <c r="DX32" s="937"/>
      <c r="DY32" s="937"/>
      <c r="DZ32" s="937"/>
      <c r="EA32" s="937"/>
      <c r="EB32" s="937"/>
      <c r="EC32" s="937"/>
      <c r="ED32" s="937"/>
      <c r="EE32" s="937"/>
      <c r="EF32" s="937"/>
      <c r="EG32" s="937"/>
      <c r="EH32" s="937"/>
      <c r="EI32" s="937"/>
      <c r="EJ32" s="937"/>
      <c r="EK32" s="937"/>
      <c r="EL32" s="937"/>
      <c r="EM32" s="937"/>
      <c r="EN32" s="937"/>
      <c r="EO32" s="937"/>
      <c r="EP32" s="937"/>
      <c r="EQ32" s="937"/>
      <c r="ER32" s="937"/>
      <c r="ES32" s="937"/>
      <c r="ET32" s="937"/>
      <c r="EU32" s="937"/>
      <c r="EV32" s="937"/>
      <c r="EW32" s="937"/>
      <c r="EX32" s="937"/>
      <c r="EY32" s="937"/>
      <c r="EZ32" s="937"/>
      <c r="FA32" s="937"/>
      <c r="FB32" s="937"/>
      <c r="FC32" s="937"/>
      <c r="FD32" s="937"/>
      <c r="FE32" s="937"/>
      <c r="FF32" s="937"/>
      <c r="FG32" s="937"/>
      <c r="FH32" s="937"/>
      <c r="FI32" s="937"/>
      <c r="FJ32" s="937"/>
      <c r="FK32" s="937"/>
      <c r="FL32" s="937"/>
      <c r="FM32" s="937"/>
      <c r="FN32" s="937"/>
      <c r="FO32" s="937"/>
      <c r="FP32" s="937"/>
      <c r="FQ32" s="937"/>
      <c r="FR32" s="937"/>
      <c r="FS32" s="937"/>
      <c r="FT32" s="937"/>
      <c r="FU32" s="937"/>
      <c r="FV32" s="937"/>
      <c r="FW32" s="937"/>
      <c r="FX32" s="937"/>
      <c r="FY32" s="937"/>
      <c r="FZ32" s="937"/>
      <c r="GA32" s="937"/>
      <c r="GB32" s="937"/>
      <c r="GC32" s="937"/>
      <c r="GD32" s="937"/>
      <c r="GE32" s="937"/>
      <c r="GF32" s="937"/>
      <c r="GG32" s="937"/>
      <c r="GH32" s="937"/>
      <c r="GI32" s="937"/>
      <c r="GJ32" s="937"/>
      <c r="GK32" s="937"/>
      <c r="GL32" s="937"/>
      <c r="GM32" s="937"/>
      <c r="GN32" s="937"/>
      <c r="GO32" s="937"/>
      <c r="GP32" s="937"/>
      <c r="GQ32" s="937"/>
      <c r="GR32" s="937"/>
      <c r="GS32" s="937"/>
      <c r="GT32" s="937"/>
      <c r="GU32" s="937"/>
      <c r="GV32" s="937"/>
      <c r="GW32" s="937"/>
      <c r="GX32" s="937"/>
      <c r="GY32" s="937"/>
      <c r="GZ32" s="937"/>
      <c r="HA32" s="937"/>
      <c r="HB32" s="937"/>
      <c r="HC32" s="937"/>
      <c r="HD32" s="937"/>
      <c r="HE32" s="937"/>
      <c r="HF32" s="937"/>
      <c r="HG32" s="937"/>
      <c r="HH32" s="937"/>
      <c r="HI32" s="937"/>
      <c r="HJ32" s="937"/>
      <c r="HK32" s="937"/>
      <c r="HL32" s="937"/>
      <c r="HM32" s="937"/>
      <c r="HN32" s="937"/>
      <c r="HO32" s="937"/>
      <c r="HP32" s="937"/>
      <c r="HQ32" s="937"/>
      <c r="HR32" s="937"/>
      <c r="HS32" s="937"/>
      <c r="HT32" s="937"/>
      <c r="HU32" s="937"/>
      <c r="HV32" s="937"/>
      <c r="HW32" s="937"/>
      <c r="HX32" s="937"/>
      <c r="HY32" s="937"/>
      <c r="HZ32" s="937"/>
      <c r="IA32" s="937"/>
      <c r="IB32" s="937"/>
      <c r="IC32" s="937"/>
      <c r="ID32" s="937"/>
      <c r="IE32" s="937"/>
      <c r="IF32" s="937"/>
      <c r="IG32" s="937"/>
      <c r="IH32" s="937"/>
      <c r="II32" s="937"/>
      <c r="IJ32" s="937"/>
      <c r="IK32" s="937"/>
      <c r="IL32" s="937"/>
      <c r="IM32" s="937"/>
      <c r="IN32" s="937"/>
      <c r="IO32" s="937"/>
      <c r="IP32" s="937"/>
      <c r="IQ32" s="937"/>
      <c r="IR32" s="937"/>
      <c r="IS32" s="937"/>
      <c r="IT32" s="937"/>
      <c r="IU32" s="937"/>
      <c r="IV32" s="937"/>
      <c r="IW32" s="937"/>
    </row>
    <row r="33" customFormat="false" ht="12.75" hidden="false" customHeight="false" outlineLevel="0" collapsed="false">
      <c r="A33" s="947" t="str">
        <f aca="false">Assm!N35</f>
        <v>Operations Mobilization - WTF</v>
      </c>
      <c r="B33" s="944"/>
      <c r="C33" s="953" t="n">
        <f aca="false">Assm!V35</f>
        <v>97</v>
      </c>
      <c r="D33" s="945"/>
      <c r="E33" s="955" t="n">
        <v>0</v>
      </c>
      <c r="F33" s="955" t="n">
        <v>0</v>
      </c>
      <c r="G33" s="955" t="n">
        <v>0</v>
      </c>
      <c r="H33" s="955" t="n">
        <v>0</v>
      </c>
      <c r="I33" s="955" t="n">
        <v>0</v>
      </c>
      <c r="J33" s="955" t="n">
        <v>0</v>
      </c>
      <c r="K33" s="955" t="n">
        <v>0</v>
      </c>
      <c r="L33" s="955" t="n">
        <v>0</v>
      </c>
      <c r="M33" s="955" t="n">
        <v>0</v>
      </c>
      <c r="N33" s="955" t="n">
        <v>0</v>
      </c>
      <c r="O33" s="955" t="n">
        <v>0</v>
      </c>
      <c r="P33" s="955" t="n">
        <v>0</v>
      </c>
      <c r="Q33" s="955" t="n">
        <v>0</v>
      </c>
      <c r="R33" s="955" t="n">
        <v>0</v>
      </c>
      <c r="S33" s="955" t="n">
        <v>0</v>
      </c>
      <c r="T33" s="955" t="n">
        <v>0</v>
      </c>
      <c r="U33" s="955" t="n">
        <v>0</v>
      </c>
      <c r="V33" s="955" t="n">
        <v>0</v>
      </c>
      <c r="W33" s="955" t="n">
        <v>0</v>
      </c>
      <c r="X33" s="955" t="n">
        <v>0</v>
      </c>
      <c r="Y33" s="955" t="n">
        <v>0</v>
      </c>
      <c r="Z33" s="955" t="n">
        <v>0</v>
      </c>
      <c r="AA33" s="955" t="n">
        <v>0</v>
      </c>
      <c r="AB33" s="955" t="n">
        <v>0</v>
      </c>
      <c r="AC33" s="955" t="n">
        <v>0</v>
      </c>
      <c r="AD33" s="955" t="n">
        <v>0</v>
      </c>
      <c r="AE33" s="955" t="n">
        <v>0</v>
      </c>
      <c r="AF33" s="955" t="n">
        <v>0</v>
      </c>
      <c r="AG33" s="955" t="n">
        <v>0</v>
      </c>
      <c r="AH33" s="955" t="n">
        <v>0</v>
      </c>
      <c r="AI33" s="955" t="n">
        <v>0</v>
      </c>
      <c r="AJ33" s="957" t="n">
        <f aca="false">$C33</f>
        <v>97</v>
      </c>
      <c r="AK33" s="955" t="n">
        <v>0</v>
      </c>
      <c r="AL33" s="955" t="n">
        <v>0</v>
      </c>
      <c r="AM33" s="955" t="n">
        <v>0</v>
      </c>
      <c r="AN33" s="955" t="n">
        <v>0</v>
      </c>
      <c r="AO33" s="955" t="n">
        <v>0</v>
      </c>
      <c r="AP33" s="955" t="n">
        <v>0</v>
      </c>
      <c r="AQ33" s="955" t="n">
        <v>0</v>
      </c>
      <c r="AR33" s="955" t="n">
        <v>0</v>
      </c>
      <c r="AS33" s="955" t="n">
        <v>0</v>
      </c>
      <c r="AT33" s="955" t="n">
        <v>0</v>
      </c>
      <c r="AU33" s="955" t="n">
        <v>0</v>
      </c>
      <c r="AV33" s="955" t="n">
        <v>0</v>
      </c>
      <c r="AW33" s="955" t="n">
        <v>0</v>
      </c>
      <c r="AX33" s="955" t="n">
        <v>0</v>
      </c>
      <c r="AY33" s="955" t="n">
        <v>0</v>
      </c>
      <c r="AZ33" s="945"/>
      <c r="BA33" s="956" t="n">
        <f aca="false">SUM(E33:AY33)</f>
        <v>97</v>
      </c>
      <c r="BB33" s="937"/>
      <c r="BC33" s="937"/>
      <c r="BD33" s="937"/>
      <c r="BE33" s="937"/>
      <c r="BF33" s="937"/>
      <c r="BG33" s="937"/>
      <c r="BH33" s="937"/>
      <c r="BI33" s="937"/>
      <c r="BJ33" s="937"/>
      <c r="BK33" s="937"/>
      <c r="BL33" s="937"/>
      <c r="BM33" s="937"/>
      <c r="BN33" s="937"/>
      <c r="BO33" s="937"/>
      <c r="BP33" s="937"/>
      <c r="BQ33" s="937"/>
      <c r="BR33" s="937"/>
      <c r="BS33" s="937"/>
      <c r="BT33" s="937"/>
      <c r="BU33" s="937"/>
      <c r="BV33" s="937"/>
      <c r="BW33" s="937"/>
      <c r="BX33" s="937"/>
      <c r="BY33" s="937"/>
      <c r="BZ33" s="937"/>
      <c r="CA33" s="937"/>
      <c r="CB33" s="937"/>
      <c r="CC33" s="937"/>
      <c r="CD33" s="937"/>
      <c r="CE33" s="937"/>
      <c r="CF33" s="937"/>
      <c r="CG33" s="937"/>
      <c r="CH33" s="937"/>
      <c r="CI33" s="937"/>
      <c r="CJ33" s="937"/>
      <c r="CK33" s="937"/>
      <c r="CL33" s="937"/>
      <c r="CM33" s="937"/>
      <c r="CN33" s="937"/>
      <c r="CO33" s="937"/>
      <c r="CP33" s="937"/>
      <c r="CQ33" s="937"/>
      <c r="CR33" s="937"/>
      <c r="CS33" s="937"/>
      <c r="CT33" s="937"/>
      <c r="CU33" s="937"/>
      <c r="CV33" s="937"/>
      <c r="CW33" s="937"/>
      <c r="CX33" s="937"/>
      <c r="CY33" s="937"/>
      <c r="CZ33" s="937"/>
      <c r="DA33" s="937"/>
      <c r="DB33" s="937"/>
      <c r="DC33" s="937"/>
      <c r="DD33" s="937"/>
      <c r="DE33" s="937"/>
      <c r="DF33" s="937"/>
      <c r="DG33" s="937"/>
      <c r="DH33" s="937"/>
      <c r="DI33" s="937"/>
      <c r="DJ33" s="937"/>
      <c r="DK33" s="937"/>
      <c r="DL33" s="937"/>
      <c r="DM33" s="937"/>
      <c r="DN33" s="937"/>
      <c r="DO33" s="937"/>
      <c r="DP33" s="937"/>
      <c r="DQ33" s="937"/>
      <c r="DR33" s="937"/>
      <c r="DS33" s="937"/>
      <c r="DT33" s="937"/>
      <c r="DU33" s="937"/>
      <c r="DV33" s="937"/>
      <c r="DW33" s="937"/>
      <c r="DX33" s="937"/>
      <c r="DY33" s="937"/>
      <c r="DZ33" s="937"/>
      <c r="EA33" s="937"/>
      <c r="EB33" s="937"/>
      <c r="EC33" s="937"/>
      <c r="ED33" s="937"/>
      <c r="EE33" s="937"/>
      <c r="EF33" s="937"/>
      <c r="EG33" s="937"/>
      <c r="EH33" s="937"/>
      <c r="EI33" s="937"/>
      <c r="EJ33" s="937"/>
      <c r="EK33" s="937"/>
      <c r="EL33" s="937"/>
      <c r="EM33" s="937"/>
      <c r="EN33" s="937"/>
      <c r="EO33" s="937"/>
      <c r="EP33" s="937"/>
      <c r="EQ33" s="937"/>
      <c r="ER33" s="937"/>
      <c r="ES33" s="937"/>
      <c r="ET33" s="937"/>
      <c r="EU33" s="937"/>
      <c r="EV33" s="937"/>
      <c r="EW33" s="937"/>
      <c r="EX33" s="937"/>
      <c r="EY33" s="937"/>
      <c r="EZ33" s="937"/>
      <c r="FA33" s="937"/>
      <c r="FB33" s="937"/>
      <c r="FC33" s="937"/>
      <c r="FD33" s="937"/>
      <c r="FE33" s="937"/>
      <c r="FF33" s="937"/>
      <c r="FG33" s="937"/>
      <c r="FH33" s="937"/>
      <c r="FI33" s="937"/>
      <c r="FJ33" s="937"/>
      <c r="FK33" s="937"/>
      <c r="FL33" s="937"/>
      <c r="FM33" s="937"/>
      <c r="FN33" s="937"/>
      <c r="FO33" s="937"/>
      <c r="FP33" s="937"/>
      <c r="FQ33" s="937"/>
      <c r="FR33" s="937"/>
      <c r="FS33" s="937"/>
      <c r="FT33" s="937"/>
      <c r="FU33" s="937"/>
      <c r="FV33" s="937"/>
      <c r="FW33" s="937"/>
      <c r="FX33" s="937"/>
      <c r="FY33" s="937"/>
      <c r="FZ33" s="937"/>
      <c r="GA33" s="937"/>
      <c r="GB33" s="937"/>
      <c r="GC33" s="937"/>
      <c r="GD33" s="937"/>
      <c r="GE33" s="937"/>
      <c r="GF33" s="937"/>
      <c r="GG33" s="937"/>
      <c r="GH33" s="937"/>
      <c r="GI33" s="937"/>
      <c r="GJ33" s="937"/>
      <c r="GK33" s="937"/>
      <c r="GL33" s="937"/>
      <c r="GM33" s="937"/>
      <c r="GN33" s="937"/>
      <c r="GO33" s="937"/>
      <c r="GP33" s="937"/>
      <c r="GQ33" s="937"/>
      <c r="GR33" s="937"/>
      <c r="GS33" s="937"/>
      <c r="GT33" s="937"/>
      <c r="GU33" s="937"/>
      <c r="GV33" s="937"/>
      <c r="GW33" s="937"/>
      <c r="GX33" s="937"/>
      <c r="GY33" s="937"/>
      <c r="GZ33" s="937"/>
      <c r="HA33" s="937"/>
      <c r="HB33" s="937"/>
      <c r="HC33" s="937"/>
      <c r="HD33" s="937"/>
      <c r="HE33" s="937"/>
      <c r="HF33" s="937"/>
      <c r="HG33" s="937"/>
      <c r="HH33" s="937"/>
      <c r="HI33" s="937"/>
      <c r="HJ33" s="937"/>
      <c r="HK33" s="937"/>
      <c r="HL33" s="937"/>
      <c r="HM33" s="937"/>
      <c r="HN33" s="937"/>
      <c r="HO33" s="937"/>
      <c r="HP33" s="937"/>
      <c r="HQ33" s="937"/>
      <c r="HR33" s="937"/>
      <c r="HS33" s="937"/>
      <c r="HT33" s="937"/>
      <c r="HU33" s="937"/>
      <c r="HV33" s="937"/>
      <c r="HW33" s="937"/>
      <c r="HX33" s="937"/>
      <c r="HY33" s="937"/>
      <c r="HZ33" s="937"/>
      <c r="IA33" s="937"/>
      <c r="IB33" s="937"/>
      <c r="IC33" s="937"/>
      <c r="ID33" s="937"/>
      <c r="IE33" s="937"/>
      <c r="IF33" s="937"/>
      <c r="IG33" s="937"/>
      <c r="IH33" s="937"/>
      <c r="II33" s="937"/>
      <c r="IJ33" s="937"/>
      <c r="IK33" s="937"/>
      <c r="IL33" s="937"/>
      <c r="IM33" s="937"/>
      <c r="IN33" s="937"/>
      <c r="IO33" s="937"/>
      <c r="IP33" s="937"/>
      <c r="IQ33" s="937"/>
      <c r="IR33" s="937"/>
      <c r="IS33" s="937"/>
      <c r="IT33" s="937"/>
      <c r="IU33" s="937"/>
      <c r="IV33" s="937"/>
      <c r="IW33" s="937"/>
    </row>
    <row r="34" customFormat="false" ht="12.75" hidden="false" customHeight="false" outlineLevel="0" collapsed="false">
      <c r="A34" s="947" t="str">
        <f aca="false">Assm!N36</f>
        <v>Total Development Costs / Fees</v>
      </c>
      <c r="B34" s="944"/>
      <c r="C34" s="948" t="n">
        <f aca="false">SUM(C31:C33)</f>
        <v>20692.9197342</v>
      </c>
      <c r="D34" s="945"/>
      <c r="E34" s="948" t="n">
        <f aca="false">SUM(E31:E33)</f>
        <v>217.68458781362</v>
      </c>
      <c r="F34" s="948" t="n">
        <f aca="false">SUM(F31:F33)</f>
        <v>598.66518254675</v>
      </c>
      <c r="G34" s="948" t="n">
        <f aca="false">SUM(G31:G33)</f>
        <v>470.542656112577</v>
      </c>
      <c r="H34" s="948" t="n">
        <f aca="false">SUM(H31:H33)</f>
        <v>1352.76253298153</v>
      </c>
      <c r="I34" s="948" t="n">
        <f aca="false">SUM(I31:I33)</f>
        <v>3910.05594405594</v>
      </c>
      <c r="J34" s="948" t="n">
        <f aca="false">SUM(J31:J33)</f>
        <v>1334.50608695652</v>
      </c>
      <c r="K34" s="948" t="n">
        <f aca="false">SUM(K31:K33)</f>
        <v>1134.64477095938</v>
      </c>
      <c r="L34" s="948" t="n">
        <f aca="false">SUM(L31:L33)</f>
        <v>980.829750644884</v>
      </c>
      <c r="M34" s="948" t="n">
        <f aca="false">SUM(M31:M33)</f>
        <v>0</v>
      </c>
      <c r="N34" s="948" t="n">
        <f aca="false">SUM(N31:N33)</f>
        <v>4247.14531197302</v>
      </c>
      <c r="O34" s="948" t="n">
        <f aca="false">SUM(O31:O33)</f>
        <v>364.857367535744</v>
      </c>
      <c r="P34" s="948" t="n">
        <f aca="false">SUM(P31:P33)</f>
        <v>3503.63774840013</v>
      </c>
      <c r="Q34" s="948" t="n">
        <f aca="false">SUM(Q31:Q33)</f>
        <v>931.063894876472</v>
      </c>
      <c r="R34" s="948" t="n">
        <f aca="false">SUM(R31:R33)</f>
        <v>437.831472081218</v>
      </c>
      <c r="S34" s="948" t="n">
        <f aca="false">SUM(S31:S33)</f>
        <v>1084.69294846959</v>
      </c>
      <c r="T34" s="948" t="n">
        <f aca="false">SUM(T31:T33)</f>
        <v>1281.82110801782</v>
      </c>
      <c r="U34" s="948" t="n">
        <f aca="false">SUM(U31:U33)</f>
        <v>1416.94810089021</v>
      </c>
      <c r="V34" s="948" t="n">
        <f aca="false">SUM(V31:V33)</f>
        <v>1244.38631090487</v>
      </c>
      <c r="W34" s="948" t="n">
        <f aca="false">SUM(W31:W33)</f>
        <v>0</v>
      </c>
      <c r="X34" s="948" t="n">
        <f aca="false">SUM(X31:X33)</f>
        <v>1930.11744352617</v>
      </c>
      <c r="Y34" s="948" t="n">
        <f aca="false">SUM(Y31:Y33)</f>
        <v>913.364998173182</v>
      </c>
      <c r="Z34" s="948" t="n">
        <f aca="false">SUM(Z31:Z33)</f>
        <v>1047.38282266035</v>
      </c>
      <c r="AA34" s="948" t="n">
        <f aca="false">SUM(AA31:AA33)</f>
        <v>1001.72452636969</v>
      </c>
      <c r="AB34" s="948" t="n">
        <f aca="false">SUM(AB31:AB33)</f>
        <v>1203.67650179435</v>
      </c>
      <c r="AC34" s="948" t="n">
        <f aca="false">SUM(AC31:AC33)</f>
        <v>0</v>
      </c>
      <c r="AD34" s="948" t="n">
        <f aca="false">SUM(AD31:AD33)</f>
        <v>0</v>
      </c>
      <c r="AE34" s="948" t="n">
        <f aca="false">SUM(AE31:AE33)</f>
        <v>0</v>
      </c>
      <c r="AF34" s="948" t="n">
        <f aca="false">SUM(AF31:AF33)</f>
        <v>0</v>
      </c>
      <c r="AG34" s="948" t="n">
        <f aca="false">SUM(AG31:AG33)</f>
        <v>0</v>
      </c>
      <c r="AH34" s="948" t="n">
        <f aca="false">SUM(AH31:AH33)</f>
        <v>0</v>
      </c>
      <c r="AI34" s="948" t="n">
        <f aca="false">SUM(AI31:AI33)</f>
        <v>0</v>
      </c>
      <c r="AJ34" s="948" t="n">
        <f aca="false">SUM(AJ31:AJ33)</f>
        <v>-9915.42233354402</v>
      </c>
      <c r="AK34" s="948" t="n">
        <f aca="false">SUM(AK31:AK33)</f>
        <v>0</v>
      </c>
      <c r="AL34" s="948" t="n">
        <f aca="false">SUM(AL31:AL33)</f>
        <v>0</v>
      </c>
      <c r="AM34" s="948" t="n">
        <f aca="false">SUM(AM31:AM33)</f>
        <v>0</v>
      </c>
      <c r="AN34" s="948" t="n">
        <f aca="false">SUM(AN31:AN33)</f>
        <v>0</v>
      </c>
      <c r="AO34" s="948" t="n">
        <f aca="false">SUM(AO31:AO33)</f>
        <v>0</v>
      </c>
      <c r="AP34" s="948" t="n">
        <f aca="false">SUM(AP31:AP33)</f>
        <v>0</v>
      </c>
      <c r="AQ34" s="948" t="n">
        <f aca="false">SUM(AQ31:AQ33)</f>
        <v>0</v>
      </c>
      <c r="AR34" s="948" t="n">
        <f aca="false">SUM(AR31:AR33)</f>
        <v>0</v>
      </c>
      <c r="AS34" s="948" t="n">
        <f aca="false">SUM(AS31:AS33)</f>
        <v>0</v>
      </c>
      <c r="AT34" s="948" t="n">
        <f aca="false">SUM(AT31:AT33)</f>
        <v>0</v>
      </c>
      <c r="AU34" s="948" t="n">
        <f aca="false">SUM(AU31:AU33)</f>
        <v>0</v>
      </c>
      <c r="AV34" s="948" t="n">
        <f aca="false">SUM(AV31:AV33)</f>
        <v>0</v>
      </c>
      <c r="AW34" s="948" t="n">
        <f aca="false">SUM(AW31:AW33)</f>
        <v>0</v>
      </c>
      <c r="AX34" s="948" t="n">
        <f aca="false">SUM(AX31:AX33)</f>
        <v>0</v>
      </c>
      <c r="AY34" s="948" t="n">
        <f aca="false">SUM(AY31:AY33)</f>
        <v>0</v>
      </c>
      <c r="AZ34" s="945"/>
      <c r="BA34" s="951" t="n">
        <f aca="false">SUM(E34:AY34)</f>
        <v>20692.9197342</v>
      </c>
      <c r="BB34" s="937"/>
      <c r="BC34" s="937"/>
      <c r="BD34" s="937"/>
      <c r="BE34" s="937"/>
      <c r="BF34" s="937"/>
      <c r="BG34" s="937"/>
      <c r="BH34" s="937"/>
      <c r="BI34" s="937"/>
      <c r="BJ34" s="937"/>
      <c r="BK34" s="937"/>
      <c r="BL34" s="937"/>
      <c r="BM34" s="937"/>
      <c r="BN34" s="937"/>
      <c r="BO34" s="937"/>
      <c r="BP34" s="937"/>
      <c r="BQ34" s="937"/>
      <c r="BR34" s="937"/>
      <c r="BS34" s="937"/>
      <c r="BT34" s="937"/>
      <c r="BU34" s="937"/>
      <c r="BV34" s="937"/>
      <c r="BW34" s="937"/>
      <c r="BX34" s="937"/>
      <c r="BY34" s="937"/>
      <c r="BZ34" s="937"/>
      <c r="CA34" s="937"/>
      <c r="CB34" s="937"/>
      <c r="CC34" s="937"/>
      <c r="CD34" s="937"/>
      <c r="CE34" s="937"/>
      <c r="CF34" s="937"/>
      <c r="CG34" s="937"/>
      <c r="CH34" s="937"/>
      <c r="CI34" s="937"/>
      <c r="CJ34" s="937"/>
      <c r="CK34" s="937"/>
      <c r="CL34" s="937"/>
      <c r="CM34" s="937"/>
      <c r="CN34" s="937"/>
      <c r="CO34" s="937"/>
      <c r="CP34" s="937"/>
      <c r="CQ34" s="937"/>
      <c r="CR34" s="937"/>
      <c r="CS34" s="937"/>
      <c r="CT34" s="937"/>
      <c r="CU34" s="937"/>
      <c r="CV34" s="937"/>
      <c r="CW34" s="937"/>
      <c r="CX34" s="937"/>
      <c r="CY34" s="937"/>
      <c r="CZ34" s="937"/>
      <c r="DA34" s="937"/>
      <c r="DB34" s="937"/>
      <c r="DC34" s="937"/>
      <c r="DD34" s="937"/>
      <c r="DE34" s="937"/>
      <c r="DF34" s="937"/>
      <c r="DG34" s="937"/>
      <c r="DH34" s="937"/>
      <c r="DI34" s="937"/>
      <c r="DJ34" s="937"/>
      <c r="DK34" s="937"/>
      <c r="DL34" s="937"/>
      <c r="DM34" s="937"/>
      <c r="DN34" s="937"/>
      <c r="DO34" s="937"/>
      <c r="DP34" s="937"/>
      <c r="DQ34" s="937"/>
      <c r="DR34" s="937"/>
      <c r="DS34" s="937"/>
      <c r="DT34" s="937"/>
      <c r="DU34" s="937"/>
      <c r="DV34" s="937"/>
      <c r="DW34" s="937"/>
      <c r="DX34" s="937"/>
      <c r="DY34" s="937"/>
      <c r="DZ34" s="937"/>
      <c r="EA34" s="937"/>
      <c r="EB34" s="937"/>
      <c r="EC34" s="937"/>
      <c r="ED34" s="937"/>
      <c r="EE34" s="937"/>
      <c r="EF34" s="937"/>
      <c r="EG34" s="937"/>
      <c r="EH34" s="937"/>
      <c r="EI34" s="937"/>
      <c r="EJ34" s="937"/>
      <c r="EK34" s="937"/>
      <c r="EL34" s="937"/>
      <c r="EM34" s="937"/>
      <c r="EN34" s="937"/>
      <c r="EO34" s="937"/>
      <c r="EP34" s="937"/>
      <c r="EQ34" s="937"/>
      <c r="ER34" s="937"/>
      <c r="ES34" s="937"/>
      <c r="ET34" s="937"/>
      <c r="EU34" s="937"/>
      <c r="EV34" s="937"/>
      <c r="EW34" s="937"/>
      <c r="EX34" s="937"/>
      <c r="EY34" s="937"/>
      <c r="EZ34" s="937"/>
      <c r="FA34" s="937"/>
      <c r="FB34" s="937"/>
      <c r="FC34" s="937"/>
      <c r="FD34" s="937"/>
      <c r="FE34" s="937"/>
      <c r="FF34" s="937"/>
      <c r="FG34" s="937"/>
      <c r="FH34" s="937"/>
      <c r="FI34" s="937"/>
      <c r="FJ34" s="937"/>
      <c r="FK34" s="937"/>
      <c r="FL34" s="937"/>
      <c r="FM34" s="937"/>
      <c r="FN34" s="937"/>
      <c r="FO34" s="937"/>
      <c r="FP34" s="937"/>
      <c r="FQ34" s="937"/>
      <c r="FR34" s="937"/>
      <c r="FS34" s="937"/>
      <c r="FT34" s="937"/>
      <c r="FU34" s="937"/>
      <c r="FV34" s="937"/>
      <c r="FW34" s="937"/>
      <c r="FX34" s="937"/>
      <c r="FY34" s="937"/>
      <c r="FZ34" s="937"/>
      <c r="GA34" s="937"/>
      <c r="GB34" s="937"/>
      <c r="GC34" s="937"/>
      <c r="GD34" s="937"/>
      <c r="GE34" s="937"/>
      <c r="GF34" s="937"/>
      <c r="GG34" s="937"/>
      <c r="GH34" s="937"/>
      <c r="GI34" s="937"/>
      <c r="GJ34" s="937"/>
      <c r="GK34" s="937"/>
      <c r="GL34" s="937"/>
      <c r="GM34" s="937"/>
      <c r="GN34" s="937"/>
      <c r="GO34" s="937"/>
      <c r="GP34" s="937"/>
      <c r="GQ34" s="937"/>
      <c r="GR34" s="937"/>
      <c r="GS34" s="937"/>
      <c r="GT34" s="937"/>
      <c r="GU34" s="937"/>
      <c r="GV34" s="937"/>
      <c r="GW34" s="937"/>
      <c r="GX34" s="937"/>
      <c r="GY34" s="937"/>
      <c r="GZ34" s="937"/>
      <c r="HA34" s="937"/>
      <c r="HB34" s="937"/>
      <c r="HC34" s="937"/>
      <c r="HD34" s="937"/>
      <c r="HE34" s="937"/>
      <c r="HF34" s="937"/>
      <c r="HG34" s="937"/>
      <c r="HH34" s="937"/>
      <c r="HI34" s="937"/>
      <c r="HJ34" s="937"/>
      <c r="HK34" s="937"/>
      <c r="HL34" s="937"/>
      <c r="HM34" s="937"/>
      <c r="HN34" s="937"/>
      <c r="HO34" s="937"/>
      <c r="HP34" s="937"/>
      <c r="HQ34" s="937"/>
      <c r="HR34" s="937"/>
      <c r="HS34" s="937"/>
      <c r="HT34" s="937"/>
      <c r="HU34" s="937"/>
      <c r="HV34" s="937"/>
      <c r="HW34" s="937"/>
      <c r="HX34" s="937"/>
      <c r="HY34" s="937"/>
      <c r="HZ34" s="937"/>
      <c r="IA34" s="937"/>
      <c r="IB34" s="937"/>
      <c r="IC34" s="937"/>
      <c r="ID34" s="937"/>
      <c r="IE34" s="937"/>
      <c r="IF34" s="937"/>
      <c r="IG34" s="937"/>
      <c r="IH34" s="937"/>
      <c r="II34" s="937"/>
      <c r="IJ34" s="937"/>
      <c r="IK34" s="937"/>
      <c r="IL34" s="937"/>
      <c r="IM34" s="937"/>
      <c r="IN34" s="937"/>
      <c r="IO34" s="937"/>
      <c r="IP34" s="937"/>
      <c r="IQ34" s="937"/>
      <c r="IR34" s="937"/>
      <c r="IS34" s="937"/>
      <c r="IT34" s="937"/>
      <c r="IU34" s="937"/>
      <c r="IV34" s="937"/>
      <c r="IW34" s="937"/>
    </row>
    <row r="35" customFormat="false" ht="12.75" hidden="false" customHeight="false" outlineLevel="0" collapsed="false">
      <c r="A35" s="947"/>
      <c r="B35" s="944"/>
      <c r="C35" s="945"/>
      <c r="D35" s="945"/>
      <c r="E35" s="959" t="n">
        <f aca="false">E64+E65</f>
        <v>7598.20788530466</v>
      </c>
      <c r="F35" s="959" t="n">
        <f aca="false">F64+F65</f>
        <v>0</v>
      </c>
      <c r="G35" s="959" t="n">
        <f aca="false">G64+G65</f>
        <v>2638.52242744063</v>
      </c>
      <c r="H35" s="959" t="n">
        <f aca="false">H64+H65</f>
        <v>9410.72999120493</v>
      </c>
      <c r="I35" s="959" t="n">
        <f aca="false">I64+I65</f>
        <v>12938.6643356643</v>
      </c>
      <c r="J35" s="959" t="n">
        <f aca="false">J64+J65</f>
        <v>5260.86956521739</v>
      </c>
      <c r="K35" s="959" t="n">
        <f aca="false">K64+K65</f>
        <v>18755.4122731201</v>
      </c>
      <c r="L35" s="959" t="n">
        <f aca="false">L64+L65</f>
        <v>5760.9630266552</v>
      </c>
      <c r="M35" s="959" t="n">
        <f aca="false">M64+M65</f>
        <v>5692.43840271878</v>
      </c>
      <c r="N35" s="959" t="n">
        <f aca="false">N64+N65</f>
        <v>21168.1239460371</v>
      </c>
      <c r="O35" s="959" t="n">
        <f aca="false">O64+O65</f>
        <v>6065.01597981497</v>
      </c>
      <c r="P35" s="959" t="n">
        <f aca="false">P64+P65</f>
        <v>9453.00016840687</v>
      </c>
      <c r="Q35" s="959" t="n">
        <f aca="false">Q64+Q65</f>
        <v>14376.499751285</v>
      </c>
      <c r="R35" s="959" t="n">
        <f aca="false">R64+R65</f>
        <v>1524.45025380711</v>
      </c>
      <c r="S35" s="959" t="n">
        <f aca="false">S64+S65</f>
        <v>0</v>
      </c>
      <c r="T35" s="959" t="n">
        <f aca="false">T64+T65</f>
        <v>1919.38975501114</v>
      </c>
      <c r="U35" s="959" t="n">
        <f aca="false">U64+U65</f>
        <v>26661.3430267062</v>
      </c>
      <c r="V35" s="959" t="n">
        <f aca="false">V64+V65</f>
        <v>0</v>
      </c>
      <c r="W35" s="959" t="n">
        <f aca="false">W64+W65</f>
        <v>18268.6489870248</v>
      </c>
      <c r="X35" s="959" t="n">
        <f aca="false">X64+X65</f>
        <v>2521.55316804408</v>
      </c>
      <c r="Y35" s="959" t="n">
        <f aca="false">Y64+Y65</f>
        <v>0</v>
      </c>
      <c r="Z35" s="959" t="n">
        <f aca="false">Z64+Z65</f>
        <v>1807.03480206003</v>
      </c>
      <c r="AA35" s="959" t="n">
        <f aca="false">AA64+AA65</f>
        <v>1897.12779825909</v>
      </c>
      <c r="AB35" s="959" t="n">
        <f aca="false">AB64+AB65</f>
        <v>834.194460914339</v>
      </c>
      <c r="AC35" s="959" t="n">
        <f aca="false">AC64+AC65</f>
        <v>1475.73893795416</v>
      </c>
      <c r="AD35" s="959" t="n">
        <f aca="false">AD64+AD65</f>
        <v>1208.91367066134</v>
      </c>
      <c r="AE35" s="959" t="n">
        <f aca="false">AE64+AE65</f>
        <v>2951.91927141893</v>
      </c>
      <c r="AF35" s="959" t="n">
        <f aca="false">AF64+AF65</f>
        <v>0</v>
      </c>
      <c r="AG35" s="945"/>
      <c r="AH35" s="945"/>
      <c r="AI35" s="945"/>
      <c r="AJ35" s="945"/>
      <c r="AK35" s="945"/>
      <c r="AL35" s="945"/>
      <c r="AM35" s="945"/>
      <c r="AN35" s="945"/>
      <c r="AO35" s="945"/>
      <c r="AP35" s="945"/>
      <c r="AQ35" s="945"/>
      <c r="AR35" s="945"/>
      <c r="AS35" s="945"/>
      <c r="AT35" s="945"/>
      <c r="AU35" s="945"/>
      <c r="AV35" s="945"/>
      <c r="AW35" s="945"/>
      <c r="AX35" s="945"/>
      <c r="AY35" s="945"/>
      <c r="AZ35" s="945"/>
      <c r="BA35" s="960" t="n">
        <v>28264.8781558917</v>
      </c>
      <c r="BB35" s="937"/>
      <c r="BC35" s="937"/>
      <c r="BD35" s="937"/>
      <c r="BE35" s="937"/>
      <c r="BF35" s="937"/>
      <c r="BG35" s="937"/>
      <c r="BH35" s="937"/>
      <c r="BI35" s="937"/>
      <c r="BJ35" s="937"/>
      <c r="BK35" s="937"/>
      <c r="BL35" s="937"/>
      <c r="BM35" s="937"/>
      <c r="BN35" s="937"/>
      <c r="BO35" s="937"/>
      <c r="BP35" s="937"/>
      <c r="BQ35" s="937"/>
      <c r="BR35" s="937"/>
      <c r="BS35" s="937"/>
      <c r="BT35" s="937"/>
      <c r="BU35" s="937"/>
      <c r="BV35" s="937"/>
      <c r="BW35" s="937"/>
      <c r="BX35" s="937"/>
      <c r="BY35" s="937"/>
      <c r="BZ35" s="937"/>
      <c r="CA35" s="937"/>
      <c r="CB35" s="937"/>
      <c r="CC35" s="937"/>
      <c r="CD35" s="937"/>
      <c r="CE35" s="937"/>
      <c r="CF35" s="937"/>
      <c r="CG35" s="937"/>
      <c r="CH35" s="937"/>
      <c r="CI35" s="937"/>
      <c r="CJ35" s="937"/>
      <c r="CK35" s="937"/>
      <c r="CL35" s="937"/>
      <c r="CM35" s="937"/>
      <c r="CN35" s="937"/>
      <c r="CO35" s="937"/>
      <c r="CP35" s="937"/>
      <c r="CQ35" s="937"/>
      <c r="CR35" s="937"/>
      <c r="CS35" s="937"/>
      <c r="CT35" s="937"/>
      <c r="CU35" s="937"/>
      <c r="CV35" s="937"/>
      <c r="CW35" s="937"/>
      <c r="CX35" s="937"/>
      <c r="CY35" s="937"/>
      <c r="CZ35" s="937"/>
      <c r="DA35" s="937"/>
      <c r="DB35" s="937"/>
      <c r="DC35" s="937"/>
      <c r="DD35" s="937"/>
      <c r="DE35" s="937"/>
      <c r="DF35" s="937"/>
      <c r="DG35" s="937"/>
      <c r="DH35" s="937"/>
      <c r="DI35" s="937"/>
      <c r="DJ35" s="937"/>
      <c r="DK35" s="937"/>
      <c r="DL35" s="937"/>
      <c r="DM35" s="937"/>
      <c r="DN35" s="937"/>
      <c r="DO35" s="937"/>
      <c r="DP35" s="937"/>
      <c r="DQ35" s="937"/>
      <c r="DR35" s="937"/>
      <c r="DS35" s="937"/>
      <c r="DT35" s="937"/>
      <c r="DU35" s="937"/>
      <c r="DV35" s="937"/>
      <c r="DW35" s="937"/>
      <c r="DX35" s="937"/>
      <c r="DY35" s="937"/>
      <c r="DZ35" s="937"/>
      <c r="EA35" s="937"/>
      <c r="EB35" s="937"/>
      <c r="EC35" s="937"/>
      <c r="ED35" s="937"/>
      <c r="EE35" s="937"/>
      <c r="EF35" s="937"/>
      <c r="EG35" s="937"/>
      <c r="EH35" s="937"/>
      <c r="EI35" s="937"/>
      <c r="EJ35" s="937"/>
      <c r="EK35" s="937"/>
      <c r="EL35" s="937"/>
      <c r="EM35" s="937"/>
      <c r="EN35" s="937"/>
      <c r="EO35" s="937"/>
      <c r="EP35" s="937"/>
      <c r="EQ35" s="937"/>
      <c r="ER35" s="937"/>
      <c r="ES35" s="937"/>
      <c r="ET35" s="937"/>
      <c r="EU35" s="937"/>
      <c r="EV35" s="937"/>
      <c r="EW35" s="937"/>
      <c r="EX35" s="937"/>
      <c r="EY35" s="937"/>
      <c r="EZ35" s="937"/>
      <c r="FA35" s="937"/>
      <c r="FB35" s="937"/>
      <c r="FC35" s="937"/>
      <c r="FD35" s="937"/>
      <c r="FE35" s="937"/>
      <c r="FF35" s="937"/>
      <c r="FG35" s="937"/>
      <c r="FH35" s="937"/>
      <c r="FI35" s="937"/>
      <c r="FJ35" s="937"/>
      <c r="FK35" s="937"/>
      <c r="FL35" s="937"/>
      <c r="FM35" s="937"/>
      <c r="FN35" s="937"/>
      <c r="FO35" s="937"/>
      <c r="FP35" s="937"/>
      <c r="FQ35" s="937"/>
      <c r="FR35" s="937"/>
      <c r="FS35" s="937"/>
      <c r="FT35" s="937"/>
      <c r="FU35" s="937"/>
      <c r="FV35" s="937"/>
      <c r="FW35" s="937"/>
      <c r="FX35" s="937"/>
      <c r="FY35" s="937"/>
      <c r="FZ35" s="937"/>
      <c r="GA35" s="937"/>
      <c r="GB35" s="937"/>
      <c r="GC35" s="937"/>
      <c r="GD35" s="937"/>
      <c r="GE35" s="937"/>
      <c r="GF35" s="937"/>
      <c r="GG35" s="937"/>
      <c r="GH35" s="937"/>
      <c r="GI35" s="937"/>
      <c r="GJ35" s="937"/>
      <c r="GK35" s="937"/>
      <c r="GL35" s="937"/>
      <c r="GM35" s="937"/>
      <c r="GN35" s="937"/>
      <c r="GO35" s="937"/>
      <c r="GP35" s="937"/>
      <c r="GQ35" s="937"/>
      <c r="GR35" s="937"/>
      <c r="GS35" s="937"/>
      <c r="GT35" s="937"/>
      <c r="GU35" s="937"/>
      <c r="GV35" s="937"/>
      <c r="GW35" s="937"/>
      <c r="GX35" s="937"/>
      <c r="GY35" s="937"/>
      <c r="GZ35" s="937"/>
      <c r="HA35" s="937"/>
      <c r="HB35" s="937"/>
      <c r="HC35" s="937"/>
      <c r="HD35" s="937"/>
      <c r="HE35" s="937"/>
      <c r="HF35" s="937"/>
      <c r="HG35" s="937"/>
      <c r="HH35" s="937"/>
      <c r="HI35" s="937"/>
      <c r="HJ35" s="937"/>
      <c r="HK35" s="937"/>
      <c r="HL35" s="937"/>
      <c r="HM35" s="937"/>
      <c r="HN35" s="937"/>
      <c r="HO35" s="937"/>
      <c r="HP35" s="937"/>
      <c r="HQ35" s="937"/>
      <c r="HR35" s="937"/>
      <c r="HS35" s="937"/>
      <c r="HT35" s="937"/>
      <c r="HU35" s="937"/>
      <c r="HV35" s="937"/>
      <c r="HW35" s="937"/>
      <c r="HX35" s="937"/>
      <c r="HY35" s="937"/>
      <c r="HZ35" s="937"/>
      <c r="IA35" s="937"/>
      <c r="IB35" s="937"/>
      <c r="IC35" s="937"/>
      <c r="ID35" s="937"/>
      <c r="IE35" s="937"/>
      <c r="IF35" s="937"/>
      <c r="IG35" s="937"/>
      <c r="IH35" s="937"/>
      <c r="II35" s="937"/>
      <c r="IJ35" s="937"/>
      <c r="IK35" s="937"/>
      <c r="IL35" s="937"/>
      <c r="IM35" s="937"/>
      <c r="IN35" s="937"/>
      <c r="IO35" s="937"/>
      <c r="IP35" s="937"/>
      <c r="IQ35" s="937"/>
      <c r="IR35" s="937"/>
      <c r="IS35" s="937"/>
      <c r="IT35" s="937"/>
      <c r="IU35" s="937"/>
      <c r="IV35" s="937"/>
      <c r="IW35" s="937"/>
    </row>
    <row r="36" customFormat="false" ht="12.75" hidden="false" customHeight="false" outlineLevel="0" collapsed="false">
      <c r="A36" s="947" t="str">
        <f aca="false">Assm!N38</f>
        <v>Working Capital </v>
      </c>
      <c r="B36" s="944"/>
      <c r="C36" s="948" t="n">
        <f aca="false">Assm!V38</f>
        <v>0</v>
      </c>
      <c r="D36" s="945"/>
      <c r="E36" s="952" t="n">
        <f aca="false">E35-E47</f>
        <v>1594.97222222222</v>
      </c>
      <c r="F36" s="952" t="n">
        <f aca="false">F35-F47</f>
        <v>-598.66518254675</v>
      </c>
      <c r="G36" s="952" t="n">
        <f aca="false">G35-G47</f>
        <v>-691.092873175022</v>
      </c>
      <c r="H36" s="952" t="n">
        <f aca="false">H35-H47</f>
        <v>156.876335101144</v>
      </c>
      <c r="I36" s="952" t="n">
        <f aca="false">I35-I47</f>
        <v>1358.89440620193</v>
      </c>
      <c r="J36" s="952" t="n">
        <f aca="false">J35-J47</f>
        <v>899.605714539131</v>
      </c>
      <c r="K36" s="952" t="n">
        <f aca="false">K35-K47</f>
        <v>-1821.05991356958</v>
      </c>
      <c r="L36" s="952" t="n">
        <f aca="false">L35-L47</f>
        <v>629.59614789338</v>
      </c>
      <c r="M36" s="952" t="n">
        <f aca="false">M35-M47</f>
        <v>2875.31028037383</v>
      </c>
      <c r="N36" s="952" t="n">
        <f aca="false">N35-N47</f>
        <v>464.787740303542</v>
      </c>
      <c r="O36" s="952" t="n">
        <f aca="false">O35-O47</f>
        <v>2116.84883936081</v>
      </c>
      <c r="P36" s="952" t="n">
        <f aca="false">P35-P47</f>
        <v>4210.86862579993</v>
      </c>
      <c r="Q36" s="952" t="n">
        <f aca="false">Q35-Q47</f>
        <v>-9166.32656275908</v>
      </c>
      <c r="R36" s="952" t="n">
        <f aca="false">R35-R47</f>
        <v>612.135532994924</v>
      </c>
      <c r="S36" s="952" t="n">
        <f aca="false">S35-S47</f>
        <v>-1399.39521987602</v>
      </c>
      <c r="T36" s="952" t="n">
        <f aca="false">T35-T47</f>
        <v>-479.305038975501</v>
      </c>
      <c r="U36" s="952" t="n">
        <f aca="false">U35-U47</f>
        <v>11563.282189911</v>
      </c>
      <c r="V36" s="952" t="n">
        <f aca="false">V35-V47</f>
        <v>-3122.7826450116</v>
      </c>
      <c r="W36" s="952" t="n">
        <f aca="false">W35-W47</f>
        <v>-1018.66291827908</v>
      </c>
      <c r="X36" s="952" t="n">
        <f aca="false">X35-X47</f>
        <v>-2553.12758126722</v>
      </c>
      <c r="Y36" s="952" t="n">
        <f aca="false">Y35-Y47</f>
        <v>-2942.69783391618</v>
      </c>
      <c r="Z36" s="952" t="n">
        <f aca="false">Z35-Z47</f>
        <v>-1578.1290329293</v>
      </c>
      <c r="AA36" s="952" t="n">
        <f aca="false">AA35-AA47</f>
        <v>-1087.26944188428</v>
      </c>
      <c r="AB36" s="952" t="n">
        <f aca="false">AB35-AB47</f>
        <v>-1773.37371924897</v>
      </c>
      <c r="AC36" s="952" t="n">
        <f aca="false">AC35-AC47</f>
        <v>-1315.34399664617</v>
      </c>
      <c r="AD36" s="952" t="n">
        <f aca="false">AD35-AD47</f>
        <v>117.766034176653</v>
      </c>
      <c r="AE36" s="952" t="n">
        <f aca="false">AE35-AE47</f>
        <v>-814.788621542613</v>
      </c>
      <c r="AF36" s="952" t="n">
        <f aca="false">AF35-AF47</f>
        <v>-2338.55430664454</v>
      </c>
      <c r="AG36" s="950" t="n">
        <f aca="false">-SUM($E36:$AF36)/17</f>
        <v>358.801812905496</v>
      </c>
      <c r="AH36" s="950" t="n">
        <f aca="false">-SUM($E36:$AF36)/17</f>
        <v>358.801812905496</v>
      </c>
      <c r="AI36" s="950" t="n">
        <f aca="false">-SUM($E36:$AF36)/17</f>
        <v>358.801812905496</v>
      </c>
      <c r="AJ36" s="950" t="n">
        <f aca="false">-SUM($E36:$AF36)/17</f>
        <v>358.801812905496</v>
      </c>
      <c r="AK36" s="950" t="n">
        <f aca="false">-SUM($E36:$AF36)/17</f>
        <v>358.801812905496</v>
      </c>
      <c r="AL36" s="950" t="n">
        <f aca="false">-SUM($E36:$AF36)/17</f>
        <v>358.801812905496</v>
      </c>
      <c r="AM36" s="950" t="n">
        <f aca="false">-SUM($E36:$AF36)/17</f>
        <v>358.801812905496</v>
      </c>
      <c r="AN36" s="950" t="n">
        <f aca="false">-SUM($E36:$AF36)/17</f>
        <v>358.801812905496</v>
      </c>
      <c r="AO36" s="950" t="n">
        <f aca="false">-SUM($E36:$AF36)/17</f>
        <v>358.801812905496</v>
      </c>
      <c r="AP36" s="950" t="n">
        <f aca="false">-SUM($E36:$AF36)/17</f>
        <v>358.801812905496</v>
      </c>
      <c r="AQ36" s="950" t="n">
        <f aca="false">-SUM($E36:$AF36)/17</f>
        <v>358.801812905496</v>
      </c>
      <c r="AR36" s="950" t="n">
        <f aca="false">-SUM($E36:$AF36)/17</f>
        <v>358.801812905496</v>
      </c>
      <c r="AS36" s="950" t="n">
        <f aca="false">-SUM($E36:$AF36)/17</f>
        <v>358.801812905496</v>
      </c>
      <c r="AT36" s="950" t="n">
        <f aca="false">-SUM($E36:$AF36)/17</f>
        <v>358.801812905496</v>
      </c>
      <c r="AU36" s="950" t="n">
        <f aca="false">-SUM($E36:$AF36)/17</f>
        <v>358.801812905496</v>
      </c>
      <c r="AV36" s="950" t="n">
        <f aca="false">-SUM($E36:$AF36)/17</f>
        <v>358.801812905496</v>
      </c>
      <c r="AW36" s="950" t="n">
        <f aca="false">-SUM($E36:$AF36)/17</f>
        <v>358.801812905496</v>
      </c>
      <c r="AX36" s="950" t="n">
        <v>0</v>
      </c>
      <c r="AY36" s="950" t="n">
        <v>0</v>
      </c>
      <c r="AZ36" s="945"/>
      <c r="BA36" s="951" t="n">
        <f aca="false">SUM(E36:AY36)</f>
        <v>0</v>
      </c>
      <c r="BB36" s="937"/>
      <c r="BC36" s="937"/>
      <c r="BD36" s="937"/>
      <c r="BE36" s="961"/>
      <c r="BF36" s="937"/>
      <c r="BG36" s="937"/>
      <c r="BH36" s="937"/>
      <c r="BI36" s="937"/>
      <c r="BJ36" s="937"/>
      <c r="BK36" s="937"/>
      <c r="BL36" s="937"/>
      <c r="BM36" s="937"/>
      <c r="BN36" s="937"/>
      <c r="BO36" s="937"/>
      <c r="BP36" s="937"/>
      <c r="BQ36" s="937"/>
      <c r="BR36" s="937"/>
      <c r="BS36" s="937"/>
      <c r="BT36" s="937"/>
      <c r="BU36" s="937"/>
      <c r="BV36" s="937"/>
      <c r="BW36" s="937"/>
      <c r="BX36" s="937"/>
      <c r="BY36" s="937"/>
      <c r="BZ36" s="937"/>
      <c r="CA36" s="937"/>
      <c r="CB36" s="937"/>
      <c r="CC36" s="937"/>
      <c r="CD36" s="937"/>
      <c r="CE36" s="937"/>
      <c r="CF36" s="937"/>
      <c r="CG36" s="937"/>
      <c r="CH36" s="937"/>
      <c r="CI36" s="937"/>
      <c r="CJ36" s="937"/>
      <c r="CK36" s="937"/>
      <c r="CL36" s="937"/>
      <c r="CM36" s="937"/>
      <c r="CN36" s="937"/>
      <c r="CO36" s="937"/>
      <c r="CP36" s="937"/>
      <c r="CQ36" s="937"/>
      <c r="CR36" s="937"/>
      <c r="CS36" s="937"/>
      <c r="CT36" s="937"/>
      <c r="CU36" s="937"/>
      <c r="CV36" s="937"/>
      <c r="CW36" s="937"/>
      <c r="CX36" s="937"/>
      <c r="CY36" s="937"/>
      <c r="CZ36" s="937"/>
      <c r="DA36" s="937"/>
      <c r="DB36" s="937"/>
      <c r="DC36" s="937"/>
      <c r="DD36" s="937"/>
      <c r="DE36" s="937"/>
      <c r="DF36" s="937"/>
      <c r="DG36" s="937"/>
      <c r="DH36" s="937"/>
      <c r="DI36" s="937"/>
      <c r="DJ36" s="937"/>
      <c r="DK36" s="937"/>
      <c r="DL36" s="937"/>
      <c r="DM36" s="937"/>
      <c r="DN36" s="937"/>
      <c r="DO36" s="937"/>
      <c r="DP36" s="937"/>
      <c r="DQ36" s="937"/>
      <c r="DR36" s="937"/>
      <c r="DS36" s="937"/>
      <c r="DT36" s="937"/>
      <c r="DU36" s="937"/>
      <c r="DV36" s="937"/>
      <c r="DW36" s="937"/>
      <c r="DX36" s="937"/>
      <c r="DY36" s="937"/>
      <c r="DZ36" s="937"/>
      <c r="EA36" s="937"/>
      <c r="EB36" s="937"/>
      <c r="EC36" s="937"/>
      <c r="ED36" s="937"/>
      <c r="EE36" s="937"/>
      <c r="EF36" s="937"/>
      <c r="EG36" s="937"/>
      <c r="EH36" s="937"/>
      <c r="EI36" s="937"/>
      <c r="EJ36" s="937"/>
      <c r="EK36" s="937"/>
      <c r="EL36" s="937"/>
      <c r="EM36" s="937"/>
      <c r="EN36" s="937"/>
      <c r="EO36" s="937"/>
      <c r="EP36" s="937"/>
      <c r="EQ36" s="937"/>
      <c r="ER36" s="937"/>
      <c r="ES36" s="937"/>
      <c r="ET36" s="937"/>
      <c r="EU36" s="937"/>
      <c r="EV36" s="937"/>
      <c r="EW36" s="937"/>
      <c r="EX36" s="937"/>
      <c r="EY36" s="937"/>
      <c r="EZ36" s="937"/>
      <c r="FA36" s="937"/>
      <c r="FB36" s="937"/>
      <c r="FC36" s="937"/>
      <c r="FD36" s="937"/>
      <c r="FE36" s="937"/>
      <c r="FF36" s="937"/>
      <c r="FG36" s="937"/>
      <c r="FH36" s="937"/>
      <c r="FI36" s="937"/>
      <c r="FJ36" s="937"/>
      <c r="FK36" s="937"/>
      <c r="FL36" s="937"/>
      <c r="FM36" s="937"/>
      <c r="FN36" s="937"/>
      <c r="FO36" s="937"/>
      <c r="FP36" s="937"/>
      <c r="FQ36" s="937"/>
      <c r="FR36" s="937"/>
      <c r="FS36" s="937"/>
      <c r="FT36" s="937"/>
      <c r="FU36" s="937"/>
      <c r="FV36" s="937"/>
      <c r="FW36" s="937"/>
      <c r="FX36" s="937"/>
      <c r="FY36" s="937"/>
      <c r="FZ36" s="937"/>
      <c r="GA36" s="937"/>
      <c r="GB36" s="937"/>
      <c r="GC36" s="937"/>
      <c r="GD36" s="937"/>
      <c r="GE36" s="937"/>
      <c r="GF36" s="937"/>
      <c r="GG36" s="937"/>
      <c r="GH36" s="937"/>
      <c r="GI36" s="937"/>
      <c r="GJ36" s="937"/>
      <c r="GK36" s="937"/>
      <c r="GL36" s="937"/>
      <c r="GM36" s="937"/>
      <c r="GN36" s="937"/>
      <c r="GO36" s="937"/>
      <c r="GP36" s="937"/>
      <c r="GQ36" s="937"/>
      <c r="GR36" s="937"/>
      <c r="GS36" s="937"/>
      <c r="GT36" s="937"/>
      <c r="GU36" s="937"/>
      <c r="GV36" s="937"/>
      <c r="GW36" s="937"/>
      <c r="GX36" s="937"/>
      <c r="GY36" s="937"/>
      <c r="GZ36" s="937"/>
      <c r="HA36" s="937"/>
      <c r="HB36" s="937"/>
      <c r="HC36" s="937"/>
      <c r="HD36" s="937"/>
      <c r="HE36" s="937"/>
      <c r="HF36" s="937"/>
      <c r="HG36" s="937"/>
      <c r="HH36" s="937"/>
      <c r="HI36" s="937"/>
      <c r="HJ36" s="937"/>
      <c r="HK36" s="937"/>
      <c r="HL36" s="937"/>
      <c r="HM36" s="937"/>
      <c r="HN36" s="937"/>
      <c r="HO36" s="937"/>
      <c r="HP36" s="937"/>
      <c r="HQ36" s="937"/>
      <c r="HR36" s="937"/>
      <c r="HS36" s="937"/>
      <c r="HT36" s="937"/>
      <c r="HU36" s="937"/>
      <c r="HV36" s="937"/>
      <c r="HW36" s="937"/>
      <c r="HX36" s="937"/>
      <c r="HY36" s="937"/>
      <c r="HZ36" s="937"/>
      <c r="IA36" s="937"/>
      <c r="IB36" s="937"/>
      <c r="IC36" s="937"/>
      <c r="ID36" s="937"/>
      <c r="IE36" s="937"/>
      <c r="IF36" s="937"/>
      <c r="IG36" s="937"/>
      <c r="IH36" s="937"/>
      <c r="II36" s="937"/>
      <c r="IJ36" s="937"/>
      <c r="IK36" s="937"/>
      <c r="IL36" s="937"/>
      <c r="IM36" s="937"/>
      <c r="IN36" s="937"/>
      <c r="IO36" s="937"/>
      <c r="IP36" s="937"/>
      <c r="IQ36" s="937"/>
      <c r="IR36" s="937"/>
      <c r="IS36" s="937"/>
      <c r="IT36" s="937"/>
      <c r="IU36" s="937"/>
      <c r="IV36" s="937"/>
      <c r="IW36" s="937"/>
    </row>
    <row r="37" customFormat="false" ht="12.75" hidden="false" customHeight="false" outlineLevel="0" collapsed="false">
      <c r="A37" s="947" t="str">
        <f aca="false">Assm!N39</f>
        <v>Spare Parts - Plant</v>
      </c>
      <c r="B37" s="944"/>
      <c r="C37" s="948" t="n">
        <f aca="false">Assm!V39</f>
        <v>4544.494</v>
      </c>
      <c r="D37" s="945"/>
      <c r="E37" s="952" t="n">
        <v>0</v>
      </c>
      <c r="F37" s="952" t="n">
        <f aca="false">IF(F$6=Term_C1,$C37,0)*0</f>
        <v>0</v>
      </c>
      <c r="G37" s="952" t="n">
        <f aca="false">IF(G$6=Term_C1,$C37,0)*0</f>
        <v>0</v>
      </c>
      <c r="H37" s="952" t="n">
        <f aca="false">IF(H$6=Term_C1,$C37,0)*0</f>
        <v>0</v>
      </c>
      <c r="I37" s="952" t="n">
        <f aca="false">IF(I$6=Term_C1,$C37,0)*0</f>
        <v>0</v>
      </c>
      <c r="J37" s="952" t="n">
        <f aca="false">IF(J$6=Term_C1,$C37,0)*0</f>
        <v>0</v>
      </c>
      <c r="K37" s="952" t="n">
        <f aca="false">IF(K$6=Term_C1,$C37,0)*0</f>
        <v>0</v>
      </c>
      <c r="L37" s="952" t="n">
        <f aca="false">IF(L$6=Term_C1,$C37,0)*0</f>
        <v>0</v>
      </c>
      <c r="M37" s="952" t="n">
        <f aca="false">IF(M$6=Term_C1,$C37,0)*0</f>
        <v>0</v>
      </c>
      <c r="N37" s="952" t="n">
        <f aca="false">IF(N$6=Term_C1,$C37,0)*0</f>
        <v>0</v>
      </c>
      <c r="O37" s="952" t="n">
        <f aca="false">IF(O$6=Term_C1,$C37,0)*0</f>
        <v>0</v>
      </c>
      <c r="P37" s="952" t="n">
        <f aca="false">IF(P$6=Term_C1,$C37,0)*0</f>
        <v>0</v>
      </c>
      <c r="Q37" s="952" t="n">
        <f aca="false">IF(Q$6=Term_C1,$C37,0)*0</f>
        <v>0</v>
      </c>
      <c r="R37" s="952" t="n">
        <f aca="false">IF(R$6=Term_C1,$C37,0)*0</f>
        <v>0</v>
      </c>
      <c r="S37" s="952" t="n">
        <f aca="false">IF(S$6=Term_C1,$C37,0)*0</f>
        <v>0</v>
      </c>
      <c r="T37" s="952" t="n">
        <f aca="false">IF(T$6=Term_C1,$C37,0)*0</f>
        <v>0</v>
      </c>
      <c r="U37" s="952" t="n">
        <f aca="false">IF(U$6=Term_C1,$C37,0)*0</f>
        <v>0</v>
      </c>
      <c r="V37" s="952" t="n">
        <f aca="false">IF(V$6=Term_C1,$C37,0)*0</f>
        <v>0</v>
      </c>
      <c r="W37" s="952" t="n">
        <f aca="false">IF(W$6=Term_C1,$C37,0)*0</f>
        <v>0</v>
      </c>
      <c r="X37" s="952" t="n">
        <f aca="false">IF(X$6=Term_C1,$C37,0)*0</f>
        <v>0</v>
      </c>
      <c r="Y37" s="952" t="n">
        <f aca="false">IF(Y$6=Term_C1,$C37,0)*0</f>
        <v>0</v>
      </c>
      <c r="Z37" s="952" t="n">
        <f aca="false">IF(Z$6=Term_C1,$C37,0)*0</f>
        <v>0</v>
      </c>
      <c r="AA37" s="952" t="n">
        <f aca="false">IF(AA$6=Term_C1,$C37,0)*0</f>
        <v>0</v>
      </c>
      <c r="AB37" s="952" t="n">
        <f aca="false">IF(AB$6=Term_C1,$C37,0)*0</f>
        <v>0</v>
      </c>
      <c r="AC37" s="952" t="n">
        <f aca="false">IF(AC$6=Term_C1,$C37,0)*0</f>
        <v>0</v>
      </c>
      <c r="AD37" s="952" t="n">
        <f aca="false">IF(AD$6=Term_C1,$C37,0)*0</f>
        <v>0</v>
      </c>
      <c r="AE37" s="952" t="n">
        <f aca="false">IF(AE$6=Term_C1,$C37,0)*0</f>
        <v>0</v>
      </c>
      <c r="AF37" s="952" t="n">
        <f aca="false">IF(AF$6=Term_C1,$C37,0)*0</f>
        <v>0</v>
      </c>
      <c r="AG37" s="950" t="n">
        <f aca="false">$C37/17</f>
        <v>267.323176470588</v>
      </c>
      <c r="AH37" s="950" t="n">
        <f aca="false">$C37/17</f>
        <v>267.323176470588</v>
      </c>
      <c r="AI37" s="950" t="n">
        <f aca="false">$C37/17</f>
        <v>267.323176470588</v>
      </c>
      <c r="AJ37" s="950" t="n">
        <f aca="false">$C37/17</f>
        <v>267.323176470588</v>
      </c>
      <c r="AK37" s="950" t="n">
        <f aca="false">$C37/17</f>
        <v>267.323176470588</v>
      </c>
      <c r="AL37" s="950" t="n">
        <f aca="false">$C37/17</f>
        <v>267.323176470588</v>
      </c>
      <c r="AM37" s="950" t="n">
        <f aca="false">$C37/17</f>
        <v>267.323176470588</v>
      </c>
      <c r="AN37" s="950" t="n">
        <f aca="false">$C37/17</f>
        <v>267.323176470588</v>
      </c>
      <c r="AO37" s="950" t="n">
        <f aca="false">$C37/17</f>
        <v>267.323176470588</v>
      </c>
      <c r="AP37" s="950" t="n">
        <f aca="false">$C37/17</f>
        <v>267.323176470588</v>
      </c>
      <c r="AQ37" s="950" t="n">
        <f aca="false">$C37/17</f>
        <v>267.323176470588</v>
      </c>
      <c r="AR37" s="950" t="n">
        <f aca="false">$C37/17</f>
        <v>267.323176470588</v>
      </c>
      <c r="AS37" s="950" t="n">
        <f aca="false">$C37/17</f>
        <v>267.323176470588</v>
      </c>
      <c r="AT37" s="950" t="n">
        <f aca="false">$C37/17</f>
        <v>267.323176470588</v>
      </c>
      <c r="AU37" s="950" t="n">
        <f aca="false">$C37/17</f>
        <v>267.323176470588</v>
      </c>
      <c r="AV37" s="950" t="n">
        <f aca="false">$C37/17</f>
        <v>267.323176470588</v>
      </c>
      <c r="AW37" s="950" t="n">
        <f aca="false">$C37/17</f>
        <v>267.323176470588</v>
      </c>
      <c r="AX37" s="950" t="n">
        <v>0</v>
      </c>
      <c r="AY37" s="950" t="n">
        <v>0</v>
      </c>
      <c r="AZ37" s="945"/>
      <c r="BA37" s="951" t="n">
        <f aca="false">SUM(E37:AY37)</f>
        <v>4544.494</v>
      </c>
      <c r="BB37" s="937"/>
      <c r="BC37" s="937"/>
      <c r="BD37" s="937"/>
      <c r="BE37" s="937"/>
      <c r="BF37" s="937"/>
      <c r="BG37" s="937"/>
      <c r="BH37" s="937"/>
      <c r="BI37" s="937"/>
      <c r="BJ37" s="937"/>
      <c r="BK37" s="937"/>
      <c r="BL37" s="937"/>
      <c r="BM37" s="937"/>
      <c r="BN37" s="937"/>
      <c r="BO37" s="937"/>
      <c r="BP37" s="937"/>
      <c r="BQ37" s="937"/>
      <c r="BR37" s="937"/>
      <c r="BS37" s="937"/>
      <c r="BT37" s="937"/>
      <c r="BU37" s="937"/>
      <c r="BV37" s="937"/>
      <c r="BW37" s="937"/>
      <c r="BX37" s="937"/>
      <c r="BY37" s="937"/>
      <c r="BZ37" s="937"/>
      <c r="CA37" s="937"/>
      <c r="CB37" s="937"/>
      <c r="CC37" s="937"/>
      <c r="CD37" s="937"/>
      <c r="CE37" s="937"/>
      <c r="CF37" s="937"/>
      <c r="CG37" s="937"/>
      <c r="CH37" s="937"/>
      <c r="CI37" s="937"/>
      <c r="CJ37" s="937"/>
      <c r="CK37" s="937"/>
      <c r="CL37" s="937"/>
      <c r="CM37" s="937"/>
      <c r="CN37" s="937"/>
      <c r="CO37" s="937"/>
      <c r="CP37" s="937"/>
      <c r="CQ37" s="937"/>
      <c r="CR37" s="937"/>
      <c r="CS37" s="937"/>
      <c r="CT37" s="937"/>
      <c r="CU37" s="937"/>
      <c r="CV37" s="937"/>
      <c r="CW37" s="937"/>
      <c r="CX37" s="937"/>
      <c r="CY37" s="937"/>
      <c r="CZ37" s="937"/>
      <c r="DA37" s="937"/>
      <c r="DB37" s="937"/>
      <c r="DC37" s="937"/>
      <c r="DD37" s="937"/>
      <c r="DE37" s="937"/>
      <c r="DF37" s="937"/>
      <c r="DG37" s="937"/>
      <c r="DH37" s="937"/>
      <c r="DI37" s="937"/>
      <c r="DJ37" s="937"/>
      <c r="DK37" s="937"/>
      <c r="DL37" s="937"/>
      <c r="DM37" s="937"/>
      <c r="DN37" s="937"/>
      <c r="DO37" s="937"/>
      <c r="DP37" s="937"/>
      <c r="DQ37" s="937"/>
      <c r="DR37" s="937"/>
      <c r="DS37" s="937"/>
      <c r="DT37" s="937"/>
      <c r="DU37" s="937"/>
      <c r="DV37" s="937"/>
      <c r="DW37" s="937"/>
      <c r="DX37" s="937"/>
      <c r="DY37" s="937"/>
      <c r="DZ37" s="937"/>
      <c r="EA37" s="937"/>
      <c r="EB37" s="937"/>
      <c r="EC37" s="937"/>
      <c r="ED37" s="937"/>
      <c r="EE37" s="937"/>
      <c r="EF37" s="937"/>
      <c r="EG37" s="937"/>
      <c r="EH37" s="937"/>
      <c r="EI37" s="937"/>
      <c r="EJ37" s="937"/>
      <c r="EK37" s="937"/>
      <c r="EL37" s="937"/>
      <c r="EM37" s="937"/>
      <c r="EN37" s="937"/>
      <c r="EO37" s="937"/>
      <c r="EP37" s="937"/>
      <c r="EQ37" s="937"/>
      <c r="ER37" s="937"/>
      <c r="ES37" s="937"/>
      <c r="ET37" s="937"/>
      <c r="EU37" s="937"/>
      <c r="EV37" s="937"/>
      <c r="EW37" s="937"/>
      <c r="EX37" s="937"/>
      <c r="EY37" s="937"/>
      <c r="EZ37" s="937"/>
      <c r="FA37" s="937"/>
      <c r="FB37" s="937"/>
      <c r="FC37" s="937"/>
      <c r="FD37" s="937"/>
      <c r="FE37" s="937"/>
      <c r="FF37" s="937"/>
      <c r="FG37" s="937"/>
      <c r="FH37" s="937"/>
      <c r="FI37" s="937"/>
      <c r="FJ37" s="937"/>
      <c r="FK37" s="937"/>
      <c r="FL37" s="937"/>
      <c r="FM37" s="937"/>
      <c r="FN37" s="937"/>
      <c r="FO37" s="937"/>
      <c r="FP37" s="937"/>
      <c r="FQ37" s="937"/>
      <c r="FR37" s="937"/>
      <c r="FS37" s="937"/>
      <c r="FT37" s="937"/>
      <c r="FU37" s="937"/>
      <c r="FV37" s="937"/>
      <c r="FW37" s="937"/>
      <c r="FX37" s="937"/>
      <c r="FY37" s="937"/>
      <c r="FZ37" s="937"/>
      <c r="GA37" s="937"/>
      <c r="GB37" s="937"/>
      <c r="GC37" s="937"/>
      <c r="GD37" s="937"/>
      <c r="GE37" s="937"/>
      <c r="GF37" s="937"/>
      <c r="GG37" s="937"/>
      <c r="GH37" s="937"/>
      <c r="GI37" s="937"/>
      <c r="GJ37" s="937"/>
      <c r="GK37" s="937"/>
      <c r="GL37" s="937"/>
      <c r="GM37" s="937"/>
      <c r="GN37" s="937"/>
      <c r="GO37" s="937"/>
      <c r="GP37" s="937"/>
      <c r="GQ37" s="937"/>
      <c r="GR37" s="937"/>
      <c r="GS37" s="937"/>
      <c r="GT37" s="937"/>
      <c r="GU37" s="937"/>
      <c r="GV37" s="937"/>
      <c r="GW37" s="937"/>
      <c r="GX37" s="937"/>
      <c r="GY37" s="937"/>
      <c r="GZ37" s="937"/>
      <c r="HA37" s="937"/>
      <c r="HB37" s="937"/>
      <c r="HC37" s="937"/>
      <c r="HD37" s="937"/>
      <c r="HE37" s="937"/>
      <c r="HF37" s="937"/>
      <c r="HG37" s="937"/>
      <c r="HH37" s="937"/>
      <c r="HI37" s="937"/>
      <c r="HJ37" s="937"/>
      <c r="HK37" s="937"/>
      <c r="HL37" s="937"/>
      <c r="HM37" s="937"/>
      <c r="HN37" s="937"/>
      <c r="HO37" s="937"/>
      <c r="HP37" s="937"/>
      <c r="HQ37" s="937"/>
      <c r="HR37" s="937"/>
      <c r="HS37" s="937"/>
      <c r="HT37" s="937"/>
      <c r="HU37" s="937"/>
      <c r="HV37" s="937"/>
      <c r="HW37" s="937"/>
      <c r="HX37" s="937"/>
      <c r="HY37" s="937"/>
      <c r="HZ37" s="937"/>
      <c r="IA37" s="937"/>
      <c r="IB37" s="937"/>
      <c r="IC37" s="937"/>
      <c r="ID37" s="937"/>
      <c r="IE37" s="937"/>
      <c r="IF37" s="937"/>
      <c r="IG37" s="937"/>
      <c r="IH37" s="937"/>
      <c r="II37" s="937"/>
      <c r="IJ37" s="937"/>
      <c r="IK37" s="937"/>
      <c r="IL37" s="937"/>
      <c r="IM37" s="937"/>
      <c r="IN37" s="937"/>
      <c r="IO37" s="937"/>
      <c r="IP37" s="937"/>
      <c r="IQ37" s="937"/>
      <c r="IR37" s="937"/>
      <c r="IS37" s="937"/>
      <c r="IT37" s="937"/>
      <c r="IU37" s="937"/>
      <c r="IV37" s="937"/>
      <c r="IW37" s="937"/>
    </row>
    <row r="38" customFormat="false" ht="12.75" hidden="false" customHeight="false" outlineLevel="0" collapsed="false">
      <c r="A38" s="947" t="str">
        <f aca="false">Assm!N40</f>
        <v>Spare Parts - WTF</v>
      </c>
      <c r="B38" s="944"/>
      <c r="C38" s="953" t="n">
        <f aca="false">Assm!V40</f>
        <v>100</v>
      </c>
      <c r="D38" s="954"/>
      <c r="E38" s="955" t="n">
        <v>0</v>
      </c>
      <c r="F38" s="955" t="n">
        <f aca="false">IF(F$6=Term_C1,$C38,0)*0</f>
        <v>0</v>
      </c>
      <c r="G38" s="955" t="n">
        <f aca="false">IF(G$6=Term_C1,$C38,0)*0</f>
        <v>0</v>
      </c>
      <c r="H38" s="955" t="n">
        <f aca="false">IF(H$6=Term_C1,$C38,0)*0</f>
        <v>0</v>
      </c>
      <c r="I38" s="955" t="n">
        <f aca="false">IF(I$6=Term_C1,$C38,0)*0</f>
        <v>0</v>
      </c>
      <c r="J38" s="955" t="n">
        <f aca="false">IF(J$6=Term_C1,$C38,0)*0</f>
        <v>0</v>
      </c>
      <c r="K38" s="955" t="n">
        <f aca="false">IF(K$6=Term_C1,$C38,0)*0</f>
        <v>0</v>
      </c>
      <c r="L38" s="955" t="n">
        <f aca="false">IF(L$6=Term_C1,$C38,0)*0</f>
        <v>0</v>
      </c>
      <c r="M38" s="955" t="n">
        <f aca="false">IF(M$6=Term_C1,$C38,0)*0</f>
        <v>0</v>
      </c>
      <c r="N38" s="955" t="n">
        <f aca="false">IF(N$6=Term_C1,$C38,0)*0</f>
        <v>0</v>
      </c>
      <c r="O38" s="955" t="n">
        <f aca="false">IF(O$6=Term_C1,$C38,0)*0</f>
        <v>0</v>
      </c>
      <c r="P38" s="955" t="n">
        <f aca="false">IF(P$6=Term_C1,$C38,0)*0</f>
        <v>0</v>
      </c>
      <c r="Q38" s="955" t="n">
        <f aca="false">IF(Q$6=Term_C1,$C38,0)*0</f>
        <v>0</v>
      </c>
      <c r="R38" s="955" t="n">
        <f aca="false">IF(R$6=Term_C1,$C38,0)*0</f>
        <v>0</v>
      </c>
      <c r="S38" s="955" t="n">
        <f aca="false">IF(S$6=Term_C1,$C38,0)*0</f>
        <v>0</v>
      </c>
      <c r="T38" s="955" t="n">
        <f aca="false">IF(T$6=Term_C1,$C38,0)*0</f>
        <v>0</v>
      </c>
      <c r="U38" s="955" t="n">
        <f aca="false">IF(U$6=Term_C1,$C38,0)*0</f>
        <v>0</v>
      </c>
      <c r="V38" s="955" t="n">
        <f aca="false">IF(V$6=Term_C1,$C38,0)*0</f>
        <v>0</v>
      </c>
      <c r="W38" s="955" t="n">
        <f aca="false">IF(W$6=Term_C1,$C38,0)*0</f>
        <v>0</v>
      </c>
      <c r="X38" s="955" t="n">
        <f aca="false">IF(X$6=Term_C1,$C38,0)*0</f>
        <v>0</v>
      </c>
      <c r="Y38" s="955" t="n">
        <f aca="false">IF(Y$6=Term_C1,$C38,0)*0</f>
        <v>0</v>
      </c>
      <c r="Z38" s="955" t="n">
        <f aca="false">IF(Z$6=Term_C1,$C38,0)*0</f>
        <v>0</v>
      </c>
      <c r="AA38" s="955" t="n">
        <f aca="false">IF(AA$6=Term_C1,$C38,0)*0</f>
        <v>0</v>
      </c>
      <c r="AB38" s="955" t="n">
        <f aca="false">IF(AB$6=Term_C1,$C38,0)*0</f>
        <v>0</v>
      </c>
      <c r="AC38" s="955" t="n">
        <f aca="false">IF(AC$6=Term_C1,$C38,0)*0</f>
        <v>0</v>
      </c>
      <c r="AD38" s="955" t="n">
        <f aca="false">IF(AD$6=Term_C1,$C38,0)*0</f>
        <v>0</v>
      </c>
      <c r="AE38" s="955" t="n">
        <f aca="false">IF(AE$6=Term_C1,$C38,0)*0</f>
        <v>0</v>
      </c>
      <c r="AF38" s="955" t="n">
        <f aca="false">IF(AF$6=Term_C1,$C38,0)*0</f>
        <v>0</v>
      </c>
      <c r="AG38" s="957" t="n">
        <f aca="false">$C38/17</f>
        <v>5.88235294117647</v>
      </c>
      <c r="AH38" s="957" t="n">
        <f aca="false">$C38/17</f>
        <v>5.88235294117647</v>
      </c>
      <c r="AI38" s="957" t="n">
        <f aca="false">$C38/17</f>
        <v>5.88235294117647</v>
      </c>
      <c r="AJ38" s="957" t="n">
        <f aca="false">$C38/17</f>
        <v>5.88235294117647</v>
      </c>
      <c r="AK38" s="957" t="n">
        <f aca="false">$C38/17</f>
        <v>5.88235294117647</v>
      </c>
      <c r="AL38" s="957" t="n">
        <f aca="false">$C38/17</f>
        <v>5.88235294117647</v>
      </c>
      <c r="AM38" s="957" t="n">
        <f aca="false">$C38/17</f>
        <v>5.88235294117647</v>
      </c>
      <c r="AN38" s="957" t="n">
        <f aca="false">$C38/17</f>
        <v>5.88235294117647</v>
      </c>
      <c r="AO38" s="957" t="n">
        <f aca="false">$C38/17</f>
        <v>5.88235294117647</v>
      </c>
      <c r="AP38" s="957" t="n">
        <f aca="false">$C38/17</f>
        <v>5.88235294117647</v>
      </c>
      <c r="AQ38" s="957" t="n">
        <f aca="false">$C38/17</f>
        <v>5.88235294117647</v>
      </c>
      <c r="AR38" s="957" t="n">
        <f aca="false">$C38/17</f>
        <v>5.88235294117647</v>
      </c>
      <c r="AS38" s="957" t="n">
        <f aca="false">$C38/17</f>
        <v>5.88235294117647</v>
      </c>
      <c r="AT38" s="957" t="n">
        <f aca="false">$C38/17</f>
        <v>5.88235294117647</v>
      </c>
      <c r="AU38" s="957" t="n">
        <f aca="false">$C38/17</f>
        <v>5.88235294117647</v>
      </c>
      <c r="AV38" s="957" t="n">
        <f aca="false">$C38/17</f>
        <v>5.88235294117647</v>
      </c>
      <c r="AW38" s="957" t="n">
        <f aca="false">$C38/17</f>
        <v>5.88235294117647</v>
      </c>
      <c r="AX38" s="957" t="n">
        <v>0</v>
      </c>
      <c r="AY38" s="957" t="n">
        <v>0</v>
      </c>
      <c r="AZ38" s="954"/>
      <c r="BA38" s="956" t="n">
        <f aca="false">SUM(E38:AY38)</f>
        <v>100</v>
      </c>
      <c r="BB38" s="937"/>
      <c r="BC38" s="937"/>
      <c r="BD38" s="937"/>
      <c r="BE38" s="937"/>
      <c r="BF38" s="937"/>
      <c r="BG38" s="937"/>
      <c r="BH38" s="937"/>
      <c r="BI38" s="937"/>
      <c r="BJ38" s="937"/>
      <c r="BK38" s="937"/>
      <c r="BL38" s="937"/>
      <c r="BM38" s="937"/>
      <c r="BN38" s="937"/>
      <c r="BO38" s="937"/>
      <c r="BP38" s="937"/>
      <c r="BQ38" s="937"/>
      <c r="BR38" s="937"/>
      <c r="BS38" s="937"/>
      <c r="BT38" s="937"/>
      <c r="BU38" s="937"/>
      <c r="BV38" s="937"/>
      <c r="BW38" s="937"/>
      <c r="BX38" s="937"/>
      <c r="BY38" s="937"/>
      <c r="BZ38" s="937"/>
      <c r="CA38" s="937"/>
      <c r="CB38" s="937"/>
      <c r="CC38" s="937"/>
      <c r="CD38" s="937"/>
      <c r="CE38" s="937"/>
      <c r="CF38" s="937"/>
      <c r="CG38" s="937"/>
      <c r="CH38" s="937"/>
      <c r="CI38" s="937"/>
      <c r="CJ38" s="937"/>
      <c r="CK38" s="937"/>
      <c r="CL38" s="937"/>
      <c r="CM38" s="937"/>
      <c r="CN38" s="937"/>
      <c r="CO38" s="937"/>
      <c r="CP38" s="937"/>
      <c r="CQ38" s="937"/>
      <c r="CR38" s="937"/>
      <c r="CS38" s="937"/>
      <c r="CT38" s="937"/>
      <c r="CU38" s="937"/>
      <c r="CV38" s="937"/>
      <c r="CW38" s="937"/>
      <c r="CX38" s="937"/>
      <c r="CY38" s="937"/>
      <c r="CZ38" s="937"/>
      <c r="DA38" s="937"/>
      <c r="DB38" s="937"/>
      <c r="DC38" s="937"/>
      <c r="DD38" s="937"/>
      <c r="DE38" s="937"/>
      <c r="DF38" s="937"/>
      <c r="DG38" s="937"/>
      <c r="DH38" s="937"/>
      <c r="DI38" s="937"/>
      <c r="DJ38" s="937"/>
      <c r="DK38" s="937"/>
      <c r="DL38" s="937"/>
      <c r="DM38" s="937"/>
      <c r="DN38" s="937"/>
      <c r="DO38" s="937"/>
      <c r="DP38" s="937"/>
      <c r="DQ38" s="937"/>
      <c r="DR38" s="937"/>
      <c r="DS38" s="937"/>
      <c r="DT38" s="937"/>
      <c r="DU38" s="937"/>
      <c r="DV38" s="937"/>
      <c r="DW38" s="937"/>
      <c r="DX38" s="937"/>
      <c r="DY38" s="937"/>
      <c r="DZ38" s="937"/>
      <c r="EA38" s="937"/>
      <c r="EB38" s="937"/>
      <c r="EC38" s="937"/>
      <c r="ED38" s="937"/>
      <c r="EE38" s="937"/>
      <c r="EF38" s="937"/>
      <c r="EG38" s="937"/>
      <c r="EH38" s="937"/>
      <c r="EI38" s="937"/>
      <c r="EJ38" s="937"/>
      <c r="EK38" s="937"/>
      <c r="EL38" s="937"/>
      <c r="EM38" s="937"/>
      <c r="EN38" s="937"/>
      <c r="EO38" s="937"/>
      <c r="EP38" s="937"/>
      <c r="EQ38" s="937"/>
      <c r="ER38" s="937"/>
      <c r="ES38" s="937"/>
      <c r="ET38" s="937"/>
      <c r="EU38" s="937"/>
      <c r="EV38" s="937"/>
      <c r="EW38" s="937"/>
      <c r="EX38" s="937"/>
      <c r="EY38" s="937"/>
      <c r="EZ38" s="937"/>
      <c r="FA38" s="937"/>
      <c r="FB38" s="937"/>
      <c r="FC38" s="937"/>
      <c r="FD38" s="937"/>
      <c r="FE38" s="937"/>
      <c r="FF38" s="937"/>
      <c r="FG38" s="937"/>
      <c r="FH38" s="937"/>
      <c r="FI38" s="937"/>
      <c r="FJ38" s="937"/>
      <c r="FK38" s="937"/>
      <c r="FL38" s="937"/>
      <c r="FM38" s="937"/>
      <c r="FN38" s="937"/>
      <c r="FO38" s="937"/>
      <c r="FP38" s="937"/>
      <c r="FQ38" s="937"/>
      <c r="FR38" s="937"/>
      <c r="FS38" s="937"/>
      <c r="FT38" s="937"/>
      <c r="FU38" s="937"/>
      <c r="FV38" s="937"/>
      <c r="FW38" s="937"/>
      <c r="FX38" s="937"/>
      <c r="FY38" s="937"/>
      <c r="FZ38" s="937"/>
      <c r="GA38" s="937"/>
      <c r="GB38" s="937"/>
      <c r="GC38" s="937"/>
      <c r="GD38" s="937"/>
      <c r="GE38" s="937"/>
      <c r="GF38" s="937"/>
      <c r="GG38" s="937"/>
      <c r="GH38" s="937"/>
      <c r="GI38" s="937"/>
      <c r="GJ38" s="937"/>
      <c r="GK38" s="937"/>
      <c r="GL38" s="937"/>
      <c r="GM38" s="937"/>
      <c r="GN38" s="937"/>
      <c r="GO38" s="937"/>
      <c r="GP38" s="937"/>
      <c r="GQ38" s="937"/>
      <c r="GR38" s="937"/>
      <c r="GS38" s="937"/>
      <c r="GT38" s="937"/>
      <c r="GU38" s="937"/>
      <c r="GV38" s="937"/>
      <c r="GW38" s="937"/>
      <c r="GX38" s="937"/>
      <c r="GY38" s="937"/>
      <c r="GZ38" s="937"/>
      <c r="HA38" s="937"/>
      <c r="HB38" s="937"/>
      <c r="HC38" s="937"/>
      <c r="HD38" s="937"/>
      <c r="HE38" s="937"/>
      <c r="HF38" s="937"/>
      <c r="HG38" s="937"/>
      <c r="HH38" s="937"/>
      <c r="HI38" s="937"/>
      <c r="HJ38" s="937"/>
      <c r="HK38" s="937"/>
      <c r="HL38" s="937"/>
      <c r="HM38" s="937"/>
      <c r="HN38" s="937"/>
      <c r="HO38" s="937"/>
      <c r="HP38" s="937"/>
      <c r="HQ38" s="937"/>
      <c r="HR38" s="937"/>
      <c r="HS38" s="937"/>
      <c r="HT38" s="937"/>
      <c r="HU38" s="937"/>
      <c r="HV38" s="937"/>
      <c r="HW38" s="937"/>
      <c r="HX38" s="937"/>
      <c r="HY38" s="937"/>
      <c r="HZ38" s="937"/>
      <c r="IA38" s="937"/>
      <c r="IB38" s="937"/>
      <c r="IC38" s="937"/>
      <c r="ID38" s="937"/>
      <c r="IE38" s="937"/>
      <c r="IF38" s="937"/>
      <c r="IG38" s="937"/>
      <c r="IH38" s="937"/>
      <c r="II38" s="937"/>
      <c r="IJ38" s="937"/>
      <c r="IK38" s="937"/>
      <c r="IL38" s="937"/>
      <c r="IM38" s="937"/>
      <c r="IN38" s="937"/>
      <c r="IO38" s="937"/>
      <c r="IP38" s="937"/>
      <c r="IQ38" s="937"/>
      <c r="IR38" s="937"/>
      <c r="IS38" s="937"/>
      <c r="IT38" s="937"/>
      <c r="IU38" s="937"/>
      <c r="IV38" s="937"/>
      <c r="IW38" s="937"/>
    </row>
    <row r="39" customFormat="false" ht="12.75" hidden="false" customHeight="false" outlineLevel="0" collapsed="false">
      <c r="A39" s="947" t="str">
        <f aca="false">Assm!N41</f>
        <v>Total Other Costs</v>
      </c>
      <c r="B39" s="944"/>
      <c r="C39" s="948" t="n">
        <f aca="false">SUM(C36:C38)</f>
        <v>4644.494</v>
      </c>
      <c r="D39" s="945"/>
      <c r="E39" s="948" t="n">
        <f aca="false">SUM(E36:E38)</f>
        <v>1594.97222222222</v>
      </c>
      <c r="F39" s="948" t="n">
        <f aca="false">SUM(F36:F38)</f>
        <v>-598.66518254675</v>
      </c>
      <c r="G39" s="948" t="n">
        <f aca="false">SUM(G36:G38)</f>
        <v>-691.092873175022</v>
      </c>
      <c r="H39" s="948" t="n">
        <f aca="false">SUM(H36:H38)</f>
        <v>156.876335101144</v>
      </c>
      <c r="I39" s="948" t="n">
        <f aca="false">SUM(I36:I38)</f>
        <v>1358.89440620193</v>
      </c>
      <c r="J39" s="948" t="n">
        <f aca="false">SUM(J36:J38)</f>
        <v>899.605714539131</v>
      </c>
      <c r="K39" s="948" t="n">
        <f aca="false">SUM(K36:K38)</f>
        <v>-1821.05991356958</v>
      </c>
      <c r="L39" s="948" t="n">
        <f aca="false">SUM(L36:L38)</f>
        <v>629.59614789338</v>
      </c>
      <c r="M39" s="948" t="n">
        <f aca="false">SUM(M36:M38)</f>
        <v>2875.31028037383</v>
      </c>
      <c r="N39" s="948" t="n">
        <f aca="false">SUM(N36:N38)</f>
        <v>464.787740303542</v>
      </c>
      <c r="O39" s="948" t="n">
        <f aca="false">SUM(O36:O38)</f>
        <v>2116.84883936081</v>
      </c>
      <c r="P39" s="948" t="n">
        <f aca="false">SUM(P36:P38)</f>
        <v>4210.86862579993</v>
      </c>
      <c r="Q39" s="948" t="n">
        <f aca="false">SUM(Q36:Q38)</f>
        <v>-9166.32656275908</v>
      </c>
      <c r="R39" s="948" t="n">
        <f aca="false">SUM(R36:R38)</f>
        <v>612.135532994924</v>
      </c>
      <c r="S39" s="948" t="n">
        <f aca="false">SUM(S36:S38)</f>
        <v>-1399.39521987602</v>
      </c>
      <c r="T39" s="948" t="n">
        <f aca="false">SUM(T36:T38)</f>
        <v>-479.305038975501</v>
      </c>
      <c r="U39" s="948" t="n">
        <f aca="false">SUM(U36:U38)</f>
        <v>11563.282189911</v>
      </c>
      <c r="V39" s="948" t="n">
        <f aca="false">SUM(V36:V38)</f>
        <v>-3122.7826450116</v>
      </c>
      <c r="W39" s="948" t="n">
        <f aca="false">SUM(W36:W38)</f>
        <v>-1018.66291827908</v>
      </c>
      <c r="X39" s="948" t="n">
        <f aca="false">SUM(X36:X38)</f>
        <v>-2553.12758126722</v>
      </c>
      <c r="Y39" s="948" t="n">
        <f aca="false">SUM(Y36:Y38)</f>
        <v>-2942.69783391618</v>
      </c>
      <c r="Z39" s="948" t="n">
        <f aca="false">SUM(Z36:Z38)</f>
        <v>-1578.1290329293</v>
      </c>
      <c r="AA39" s="948" t="n">
        <f aca="false">SUM(AA36:AA38)</f>
        <v>-1087.26944188428</v>
      </c>
      <c r="AB39" s="948" t="n">
        <f aca="false">SUM(AB36:AB38)</f>
        <v>-1773.37371924897</v>
      </c>
      <c r="AC39" s="948" t="n">
        <f aca="false">SUM(AC36:AC38)</f>
        <v>-1315.34399664617</v>
      </c>
      <c r="AD39" s="948" t="n">
        <f aca="false">SUM(AD36:AD38)</f>
        <v>117.766034176653</v>
      </c>
      <c r="AE39" s="948" t="n">
        <f aca="false">SUM(AE36:AE38)</f>
        <v>-814.788621542613</v>
      </c>
      <c r="AF39" s="948" t="n">
        <f aca="false">SUM(AF36:AF38)</f>
        <v>-2338.55430664454</v>
      </c>
      <c r="AG39" s="948" t="n">
        <f aca="false">SUM(AG36:AG38)</f>
        <v>632.007342317261</v>
      </c>
      <c r="AH39" s="948" t="n">
        <f aca="false">SUM(AH36:AH38)</f>
        <v>632.007342317261</v>
      </c>
      <c r="AI39" s="948" t="n">
        <f aca="false">SUM(AI36:AI38)</f>
        <v>632.007342317261</v>
      </c>
      <c r="AJ39" s="948" t="n">
        <f aca="false">SUM(AJ36:AJ38)</f>
        <v>632.007342317261</v>
      </c>
      <c r="AK39" s="948" t="n">
        <f aca="false">SUM(AK36:AK38)</f>
        <v>632.007342317261</v>
      </c>
      <c r="AL39" s="948" t="n">
        <f aca="false">SUM(AL36:AL38)</f>
        <v>632.007342317261</v>
      </c>
      <c r="AM39" s="948" t="n">
        <f aca="false">SUM(AM36:AM38)</f>
        <v>632.007342317261</v>
      </c>
      <c r="AN39" s="948" t="n">
        <f aca="false">SUM(AN36:AN38)</f>
        <v>632.007342317261</v>
      </c>
      <c r="AO39" s="948" t="n">
        <f aca="false">SUM(AO36:AO38)</f>
        <v>632.007342317261</v>
      </c>
      <c r="AP39" s="948" t="n">
        <f aca="false">SUM(AP36:AP38)</f>
        <v>632.007342317261</v>
      </c>
      <c r="AQ39" s="948" t="n">
        <f aca="false">SUM(AQ36:AQ38)</f>
        <v>632.007342317261</v>
      </c>
      <c r="AR39" s="948" t="n">
        <f aca="false">SUM(AR36:AR38)</f>
        <v>632.007342317261</v>
      </c>
      <c r="AS39" s="948" t="n">
        <f aca="false">SUM(AS36:AS38)</f>
        <v>632.007342317261</v>
      </c>
      <c r="AT39" s="948" t="n">
        <f aca="false">SUM(AT36:AT38)</f>
        <v>632.007342317261</v>
      </c>
      <c r="AU39" s="948" t="n">
        <f aca="false">SUM(AU36:AU38)</f>
        <v>632.007342317261</v>
      </c>
      <c r="AV39" s="948" t="n">
        <f aca="false">SUM(AV36:AV38)</f>
        <v>632.007342317261</v>
      </c>
      <c r="AW39" s="948" t="n">
        <f aca="false">SUM(AW36:AW38)</f>
        <v>632.007342317261</v>
      </c>
      <c r="AX39" s="948" t="n">
        <f aca="false">SUM(AX36:AX38)</f>
        <v>0</v>
      </c>
      <c r="AY39" s="948" t="n">
        <f aca="false">SUM(AY36:AY38)</f>
        <v>0</v>
      </c>
      <c r="AZ39" s="945"/>
      <c r="BA39" s="951" t="n">
        <f aca="false">SUM(E39:AY39)</f>
        <v>4644.494</v>
      </c>
      <c r="BB39" s="937"/>
      <c r="BC39" s="937"/>
      <c r="BD39" s="937"/>
      <c r="BE39" s="937"/>
      <c r="BF39" s="937"/>
      <c r="BG39" s="937"/>
      <c r="BH39" s="937"/>
      <c r="BI39" s="937"/>
      <c r="BJ39" s="937"/>
      <c r="BK39" s="937"/>
      <c r="BL39" s="937"/>
      <c r="BM39" s="937"/>
      <c r="BN39" s="937"/>
      <c r="BO39" s="937"/>
      <c r="BP39" s="937"/>
      <c r="BQ39" s="937"/>
      <c r="BR39" s="937"/>
      <c r="BS39" s="937"/>
      <c r="BT39" s="937"/>
      <c r="BU39" s="937"/>
      <c r="BV39" s="937"/>
      <c r="BW39" s="937"/>
      <c r="BX39" s="937"/>
      <c r="BY39" s="937"/>
      <c r="BZ39" s="937"/>
      <c r="CA39" s="937"/>
      <c r="CB39" s="937"/>
      <c r="CC39" s="937"/>
      <c r="CD39" s="937"/>
      <c r="CE39" s="937"/>
      <c r="CF39" s="937"/>
      <c r="CG39" s="937"/>
      <c r="CH39" s="937"/>
      <c r="CI39" s="937"/>
      <c r="CJ39" s="937"/>
      <c r="CK39" s="937"/>
      <c r="CL39" s="937"/>
      <c r="CM39" s="937"/>
      <c r="CN39" s="937"/>
      <c r="CO39" s="937"/>
      <c r="CP39" s="937"/>
      <c r="CQ39" s="937"/>
      <c r="CR39" s="937"/>
      <c r="CS39" s="937"/>
      <c r="CT39" s="937"/>
      <c r="CU39" s="937"/>
      <c r="CV39" s="937"/>
      <c r="CW39" s="937"/>
      <c r="CX39" s="937"/>
      <c r="CY39" s="937"/>
      <c r="CZ39" s="937"/>
      <c r="DA39" s="937"/>
      <c r="DB39" s="937"/>
      <c r="DC39" s="937"/>
      <c r="DD39" s="937"/>
      <c r="DE39" s="937"/>
      <c r="DF39" s="937"/>
      <c r="DG39" s="937"/>
      <c r="DH39" s="937"/>
      <c r="DI39" s="937"/>
      <c r="DJ39" s="937"/>
      <c r="DK39" s="937"/>
      <c r="DL39" s="937"/>
      <c r="DM39" s="937"/>
      <c r="DN39" s="937"/>
      <c r="DO39" s="937"/>
      <c r="DP39" s="937"/>
      <c r="DQ39" s="937"/>
      <c r="DR39" s="937"/>
      <c r="DS39" s="937"/>
      <c r="DT39" s="937"/>
      <c r="DU39" s="937"/>
      <c r="DV39" s="937"/>
      <c r="DW39" s="937"/>
      <c r="DX39" s="937"/>
      <c r="DY39" s="937"/>
      <c r="DZ39" s="937"/>
      <c r="EA39" s="937"/>
      <c r="EB39" s="937"/>
      <c r="EC39" s="937"/>
      <c r="ED39" s="937"/>
      <c r="EE39" s="937"/>
      <c r="EF39" s="937"/>
      <c r="EG39" s="937"/>
      <c r="EH39" s="937"/>
      <c r="EI39" s="937"/>
      <c r="EJ39" s="937"/>
      <c r="EK39" s="937"/>
      <c r="EL39" s="937"/>
      <c r="EM39" s="937"/>
      <c r="EN39" s="937"/>
      <c r="EO39" s="937"/>
      <c r="EP39" s="937"/>
      <c r="EQ39" s="937"/>
      <c r="ER39" s="937"/>
      <c r="ES39" s="937"/>
      <c r="ET39" s="937"/>
      <c r="EU39" s="937"/>
      <c r="EV39" s="937"/>
      <c r="EW39" s="937"/>
      <c r="EX39" s="937"/>
      <c r="EY39" s="937"/>
      <c r="EZ39" s="937"/>
      <c r="FA39" s="937"/>
      <c r="FB39" s="937"/>
      <c r="FC39" s="937"/>
      <c r="FD39" s="937"/>
      <c r="FE39" s="937"/>
      <c r="FF39" s="937"/>
      <c r="FG39" s="937"/>
      <c r="FH39" s="937"/>
      <c r="FI39" s="937"/>
      <c r="FJ39" s="937"/>
      <c r="FK39" s="937"/>
      <c r="FL39" s="937"/>
      <c r="FM39" s="937"/>
      <c r="FN39" s="937"/>
      <c r="FO39" s="937"/>
      <c r="FP39" s="937"/>
      <c r="FQ39" s="937"/>
      <c r="FR39" s="937"/>
      <c r="FS39" s="937"/>
      <c r="FT39" s="937"/>
      <c r="FU39" s="937"/>
      <c r="FV39" s="937"/>
      <c r="FW39" s="937"/>
      <c r="FX39" s="937"/>
      <c r="FY39" s="937"/>
      <c r="FZ39" s="937"/>
      <c r="GA39" s="937"/>
      <c r="GB39" s="937"/>
      <c r="GC39" s="937"/>
      <c r="GD39" s="937"/>
      <c r="GE39" s="937"/>
      <c r="GF39" s="937"/>
      <c r="GG39" s="937"/>
      <c r="GH39" s="937"/>
      <c r="GI39" s="937"/>
      <c r="GJ39" s="937"/>
      <c r="GK39" s="937"/>
      <c r="GL39" s="937"/>
      <c r="GM39" s="937"/>
      <c r="GN39" s="937"/>
      <c r="GO39" s="937"/>
      <c r="GP39" s="937"/>
      <c r="GQ39" s="937"/>
      <c r="GR39" s="937"/>
      <c r="GS39" s="937"/>
      <c r="GT39" s="937"/>
      <c r="GU39" s="937"/>
      <c r="GV39" s="937"/>
      <c r="GW39" s="937"/>
      <c r="GX39" s="937"/>
      <c r="GY39" s="937"/>
      <c r="GZ39" s="937"/>
      <c r="HA39" s="937"/>
      <c r="HB39" s="937"/>
      <c r="HC39" s="937"/>
      <c r="HD39" s="937"/>
      <c r="HE39" s="937"/>
      <c r="HF39" s="937"/>
      <c r="HG39" s="937"/>
      <c r="HH39" s="937"/>
      <c r="HI39" s="937"/>
      <c r="HJ39" s="937"/>
      <c r="HK39" s="937"/>
      <c r="HL39" s="937"/>
      <c r="HM39" s="937"/>
      <c r="HN39" s="937"/>
      <c r="HO39" s="937"/>
      <c r="HP39" s="937"/>
      <c r="HQ39" s="937"/>
      <c r="HR39" s="937"/>
      <c r="HS39" s="937"/>
      <c r="HT39" s="937"/>
      <c r="HU39" s="937"/>
      <c r="HV39" s="937"/>
      <c r="HW39" s="937"/>
      <c r="HX39" s="937"/>
      <c r="HY39" s="937"/>
      <c r="HZ39" s="937"/>
      <c r="IA39" s="937"/>
      <c r="IB39" s="937"/>
      <c r="IC39" s="937"/>
      <c r="ID39" s="937"/>
      <c r="IE39" s="937"/>
      <c r="IF39" s="937"/>
      <c r="IG39" s="937"/>
      <c r="IH39" s="937"/>
      <c r="II39" s="937"/>
      <c r="IJ39" s="937"/>
      <c r="IK39" s="937"/>
      <c r="IL39" s="937"/>
      <c r="IM39" s="937"/>
      <c r="IN39" s="937"/>
      <c r="IO39" s="937"/>
      <c r="IP39" s="937"/>
      <c r="IQ39" s="937"/>
      <c r="IR39" s="937"/>
      <c r="IS39" s="937"/>
      <c r="IT39" s="937"/>
      <c r="IU39" s="937"/>
      <c r="IV39" s="937"/>
      <c r="IW39" s="937"/>
    </row>
    <row r="40" customFormat="false" ht="12.75" hidden="false" customHeight="false" outlineLevel="0" collapsed="false">
      <c r="A40" s="947"/>
      <c r="B40" s="944"/>
      <c r="C40" s="945"/>
      <c r="D40" s="945"/>
      <c r="E40" s="945"/>
      <c r="F40" s="945"/>
      <c r="G40" s="945"/>
      <c r="H40" s="945"/>
      <c r="I40" s="945"/>
      <c r="J40" s="945"/>
      <c r="K40" s="945"/>
      <c r="L40" s="945"/>
      <c r="M40" s="945"/>
      <c r="N40" s="945"/>
      <c r="O40" s="945"/>
      <c r="P40" s="945"/>
      <c r="Q40" s="945"/>
      <c r="R40" s="945"/>
      <c r="S40" s="945"/>
      <c r="T40" s="945"/>
      <c r="U40" s="945"/>
      <c r="V40" s="945"/>
      <c r="W40" s="945"/>
      <c r="X40" s="945"/>
      <c r="Y40" s="945"/>
      <c r="Z40" s="945"/>
      <c r="AA40" s="945"/>
      <c r="AB40" s="945"/>
      <c r="AC40" s="945"/>
      <c r="AD40" s="945"/>
      <c r="AE40" s="945"/>
      <c r="AF40" s="945"/>
      <c r="AG40" s="945"/>
      <c r="AH40" s="945"/>
      <c r="AI40" s="945"/>
      <c r="AJ40" s="945"/>
      <c r="AK40" s="945"/>
      <c r="AL40" s="945"/>
      <c r="AM40" s="945"/>
      <c r="AN40" s="945"/>
      <c r="AO40" s="945"/>
      <c r="AP40" s="945"/>
      <c r="AQ40" s="945"/>
      <c r="AR40" s="945"/>
      <c r="AS40" s="945"/>
      <c r="AT40" s="945"/>
      <c r="AU40" s="945"/>
      <c r="AV40" s="945"/>
      <c r="AW40" s="945"/>
      <c r="AX40" s="945"/>
      <c r="AY40" s="945"/>
      <c r="AZ40" s="945"/>
      <c r="BA40" s="946"/>
      <c r="BB40" s="937"/>
      <c r="BC40" s="937"/>
      <c r="BD40" s="937"/>
      <c r="BE40" s="937"/>
      <c r="BF40" s="937"/>
      <c r="BG40" s="937"/>
      <c r="BH40" s="937"/>
      <c r="BI40" s="937"/>
      <c r="BJ40" s="937"/>
      <c r="BK40" s="937"/>
      <c r="BL40" s="937"/>
      <c r="BM40" s="937"/>
      <c r="BN40" s="937"/>
      <c r="BO40" s="937"/>
      <c r="BP40" s="937"/>
      <c r="BQ40" s="937"/>
      <c r="BR40" s="937"/>
      <c r="BS40" s="937"/>
      <c r="BT40" s="937"/>
      <c r="BU40" s="937"/>
      <c r="BV40" s="937"/>
      <c r="BW40" s="937"/>
      <c r="BX40" s="937"/>
      <c r="BY40" s="937"/>
      <c r="BZ40" s="937"/>
      <c r="CA40" s="937"/>
      <c r="CB40" s="937"/>
      <c r="CC40" s="937"/>
      <c r="CD40" s="937"/>
      <c r="CE40" s="937"/>
      <c r="CF40" s="937"/>
      <c r="CG40" s="937"/>
      <c r="CH40" s="937"/>
      <c r="CI40" s="937"/>
      <c r="CJ40" s="937"/>
      <c r="CK40" s="937"/>
      <c r="CL40" s="937"/>
      <c r="CM40" s="937"/>
      <c r="CN40" s="937"/>
      <c r="CO40" s="937"/>
      <c r="CP40" s="937"/>
      <c r="CQ40" s="937"/>
      <c r="CR40" s="937"/>
      <c r="CS40" s="937"/>
      <c r="CT40" s="937"/>
      <c r="CU40" s="937"/>
      <c r="CV40" s="937"/>
      <c r="CW40" s="937"/>
      <c r="CX40" s="937"/>
      <c r="CY40" s="937"/>
      <c r="CZ40" s="937"/>
      <c r="DA40" s="937"/>
      <c r="DB40" s="937"/>
      <c r="DC40" s="937"/>
      <c r="DD40" s="937"/>
      <c r="DE40" s="937"/>
      <c r="DF40" s="937"/>
      <c r="DG40" s="937"/>
      <c r="DH40" s="937"/>
      <c r="DI40" s="937"/>
      <c r="DJ40" s="937"/>
      <c r="DK40" s="937"/>
      <c r="DL40" s="937"/>
      <c r="DM40" s="937"/>
      <c r="DN40" s="937"/>
      <c r="DO40" s="937"/>
      <c r="DP40" s="937"/>
      <c r="DQ40" s="937"/>
      <c r="DR40" s="937"/>
      <c r="DS40" s="937"/>
      <c r="DT40" s="937"/>
      <c r="DU40" s="937"/>
      <c r="DV40" s="937"/>
      <c r="DW40" s="937"/>
      <c r="DX40" s="937"/>
      <c r="DY40" s="937"/>
      <c r="DZ40" s="937"/>
      <c r="EA40" s="937"/>
      <c r="EB40" s="937"/>
      <c r="EC40" s="937"/>
      <c r="ED40" s="937"/>
      <c r="EE40" s="937"/>
      <c r="EF40" s="937"/>
      <c r="EG40" s="937"/>
      <c r="EH40" s="937"/>
      <c r="EI40" s="937"/>
      <c r="EJ40" s="937"/>
      <c r="EK40" s="937"/>
      <c r="EL40" s="937"/>
      <c r="EM40" s="937"/>
      <c r="EN40" s="937"/>
      <c r="EO40" s="937"/>
      <c r="EP40" s="937"/>
      <c r="EQ40" s="937"/>
      <c r="ER40" s="937"/>
      <c r="ES40" s="937"/>
      <c r="ET40" s="937"/>
      <c r="EU40" s="937"/>
      <c r="EV40" s="937"/>
      <c r="EW40" s="937"/>
      <c r="EX40" s="937"/>
      <c r="EY40" s="937"/>
      <c r="EZ40" s="937"/>
      <c r="FA40" s="937"/>
      <c r="FB40" s="937"/>
      <c r="FC40" s="937"/>
      <c r="FD40" s="937"/>
      <c r="FE40" s="937"/>
      <c r="FF40" s="937"/>
      <c r="FG40" s="937"/>
      <c r="FH40" s="937"/>
      <c r="FI40" s="937"/>
      <c r="FJ40" s="937"/>
      <c r="FK40" s="937"/>
      <c r="FL40" s="937"/>
      <c r="FM40" s="937"/>
      <c r="FN40" s="937"/>
      <c r="FO40" s="937"/>
      <c r="FP40" s="937"/>
      <c r="FQ40" s="937"/>
      <c r="FR40" s="937"/>
      <c r="FS40" s="937"/>
      <c r="FT40" s="937"/>
      <c r="FU40" s="937"/>
      <c r="FV40" s="937"/>
      <c r="FW40" s="937"/>
      <c r="FX40" s="937"/>
      <c r="FY40" s="937"/>
      <c r="FZ40" s="937"/>
      <c r="GA40" s="937"/>
      <c r="GB40" s="937"/>
      <c r="GC40" s="937"/>
      <c r="GD40" s="937"/>
      <c r="GE40" s="937"/>
      <c r="GF40" s="937"/>
      <c r="GG40" s="937"/>
      <c r="GH40" s="937"/>
      <c r="GI40" s="937"/>
      <c r="GJ40" s="937"/>
      <c r="GK40" s="937"/>
      <c r="GL40" s="937"/>
      <c r="GM40" s="937"/>
      <c r="GN40" s="937"/>
      <c r="GO40" s="937"/>
      <c r="GP40" s="937"/>
      <c r="GQ40" s="937"/>
      <c r="GR40" s="937"/>
      <c r="GS40" s="937"/>
      <c r="GT40" s="937"/>
      <c r="GU40" s="937"/>
      <c r="GV40" s="937"/>
      <c r="GW40" s="937"/>
      <c r="GX40" s="937"/>
      <c r="GY40" s="937"/>
      <c r="GZ40" s="937"/>
      <c r="HA40" s="937"/>
      <c r="HB40" s="937"/>
      <c r="HC40" s="937"/>
      <c r="HD40" s="937"/>
      <c r="HE40" s="937"/>
      <c r="HF40" s="937"/>
      <c r="HG40" s="937"/>
      <c r="HH40" s="937"/>
      <c r="HI40" s="937"/>
      <c r="HJ40" s="937"/>
      <c r="HK40" s="937"/>
      <c r="HL40" s="937"/>
      <c r="HM40" s="937"/>
      <c r="HN40" s="937"/>
      <c r="HO40" s="937"/>
      <c r="HP40" s="937"/>
      <c r="HQ40" s="937"/>
      <c r="HR40" s="937"/>
      <c r="HS40" s="937"/>
      <c r="HT40" s="937"/>
      <c r="HU40" s="937"/>
      <c r="HV40" s="937"/>
      <c r="HW40" s="937"/>
      <c r="HX40" s="937"/>
      <c r="HY40" s="937"/>
      <c r="HZ40" s="937"/>
      <c r="IA40" s="937"/>
      <c r="IB40" s="937"/>
      <c r="IC40" s="937"/>
      <c r="ID40" s="937"/>
      <c r="IE40" s="937"/>
      <c r="IF40" s="937"/>
      <c r="IG40" s="937"/>
      <c r="IH40" s="937"/>
      <c r="II40" s="937"/>
      <c r="IJ40" s="937"/>
      <c r="IK40" s="937"/>
      <c r="IL40" s="937"/>
      <c r="IM40" s="937"/>
      <c r="IN40" s="937"/>
      <c r="IO40" s="937"/>
      <c r="IP40" s="937"/>
      <c r="IQ40" s="937"/>
      <c r="IR40" s="937"/>
      <c r="IS40" s="937"/>
      <c r="IT40" s="937"/>
      <c r="IU40" s="937"/>
      <c r="IV40" s="937"/>
      <c r="IW40" s="937"/>
    </row>
    <row r="41" customFormat="false" ht="12.75" hidden="false" customHeight="false" outlineLevel="0" collapsed="false">
      <c r="A41" s="947" t="str">
        <f aca="false">Assm!N43</f>
        <v>Contingency - Diesel Burned</v>
      </c>
      <c r="B41" s="944"/>
      <c r="C41" s="948" t="n">
        <f aca="false">Assm!V43</f>
        <v>0</v>
      </c>
      <c r="D41" s="945"/>
      <c r="E41" s="952" t="n">
        <v>0</v>
      </c>
      <c r="F41" s="952" t="n">
        <v>0</v>
      </c>
      <c r="G41" s="952" t="n">
        <v>0</v>
      </c>
      <c r="H41" s="952" t="n">
        <v>0</v>
      </c>
      <c r="I41" s="952" t="n">
        <v>0</v>
      </c>
      <c r="J41" s="952" t="n">
        <v>0</v>
      </c>
      <c r="K41" s="952" t="n">
        <v>0</v>
      </c>
      <c r="L41" s="952" t="n">
        <v>0</v>
      </c>
      <c r="M41" s="952" t="n">
        <v>0</v>
      </c>
      <c r="N41" s="952" t="n">
        <v>0</v>
      </c>
      <c r="O41" s="952" t="n">
        <v>0</v>
      </c>
      <c r="P41" s="952" t="n">
        <v>0</v>
      </c>
      <c r="Q41" s="952" t="n">
        <v>0</v>
      </c>
      <c r="R41" s="952" t="n">
        <v>0</v>
      </c>
      <c r="S41" s="952" t="n">
        <v>0</v>
      </c>
      <c r="T41" s="952" t="n">
        <v>0</v>
      </c>
      <c r="U41" s="952" t="n">
        <v>0</v>
      </c>
      <c r="V41" s="952" t="n">
        <v>0</v>
      </c>
      <c r="W41" s="952" t="n">
        <v>0</v>
      </c>
      <c r="X41" s="952" t="n">
        <v>0</v>
      </c>
      <c r="Y41" s="952" t="n">
        <v>0</v>
      </c>
      <c r="Z41" s="952" t="n">
        <v>0</v>
      </c>
      <c r="AA41" s="952" t="n">
        <v>0</v>
      </c>
      <c r="AB41" s="952" t="n">
        <v>0</v>
      </c>
      <c r="AC41" s="952" t="n">
        <v>0</v>
      </c>
      <c r="AD41" s="952" t="n">
        <v>0</v>
      </c>
      <c r="AE41" s="952" t="n">
        <v>0</v>
      </c>
      <c r="AF41" s="952" t="n">
        <v>0</v>
      </c>
      <c r="AG41" s="950" t="n">
        <v>0</v>
      </c>
      <c r="AH41" s="950" t="n">
        <v>0</v>
      </c>
      <c r="AI41" s="950" t="n">
        <v>0</v>
      </c>
      <c r="AJ41" s="950" t="n">
        <v>0</v>
      </c>
      <c r="AK41" s="950" t="n">
        <v>0</v>
      </c>
      <c r="AL41" s="950" t="n">
        <v>0</v>
      </c>
      <c r="AM41" s="950" t="n">
        <v>0</v>
      </c>
      <c r="AN41" s="950" t="n">
        <v>0</v>
      </c>
      <c r="AO41" s="950" t="n">
        <v>0</v>
      </c>
      <c r="AP41" s="950" t="n">
        <v>0</v>
      </c>
      <c r="AQ41" s="950" t="n">
        <v>0</v>
      </c>
      <c r="AR41" s="950" t="n">
        <v>0</v>
      </c>
      <c r="AS41" s="950" t="n">
        <v>0</v>
      </c>
      <c r="AT41" s="950" t="n">
        <v>0</v>
      </c>
      <c r="AU41" s="950" t="n">
        <v>0</v>
      </c>
      <c r="AV41" s="950" t="n">
        <v>0</v>
      </c>
      <c r="AW41" s="950" t="n">
        <f aca="false">C41</f>
        <v>0</v>
      </c>
      <c r="AX41" s="950" t="n">
        <v>0</v>
      </c>
      <c r="AY41" s="950" t="n">
        <v>0</v>
      </c>
      <c r="AZ41" s="945"/>
      <c r="BA41" s="951" t="n">
        <f aca="false">SUM(E41:AY41)</f>
        <v>0</v>
      </c>
      <c r="BB41" s="937"/>
      <c r="BC41" s="937"/>
      <c r="BD41" s="937"/>
      <c r="BE41" s="937"/>
      <c r="BF41" s="937"/>
      <c r="BG41" s="937"/>
      <c r="BH41" s="937"/>
      <c r="BI41" s="937"/>
      <c r="BJ41" s="937"/>
      <c r="BK41" s="937"/>
      <c r="BL41" s="937"/>
      <c r="BM41" s="937"/>
      <c r="BN41" s="937"/>
      <c r="BO41" s="937"/>
      <c r="BP41" s="937"/>
      <c r="BQ41" s="937"/>
      <c r="BR41" s="937"/>
      <c r="BS41" s="937"/>
      <c r="BT41" s="937"/>
      <c r="BU41" s="937"/>
      <c r="BV41" s="937"/>
      <c r="BW41" s="937"/>
      <c r="BX41" s="937"/>
      <c r="BY41" s="937"/>
      <c r="BZ41" s="937"/>
      <c r="CA41" s="937"/>
      <c r="CB41" s="937"/>
      <c r="CC41" s="937"/>
      <c r="CD41" s="937"/>
      <c r="CE41" s="937"/>
      <c r="CF41" s="937"/>
      <c r="CG41" s="937"/>
      <c r="CH41" s="937"/>
      <c r="CI41" s="937"/>
      <c r="CJ41" s="937"/>
      <c r="CK41" s="937"/>
      <c r="CL41" s="937"/>
      <c r="CM41" s="937"/>
      <c r="CN41" s="937"/>
      <c r="CO41" s="937"/>
      <c r="CP41" s="937"/>
      <c r="CQ41" s="937"/>
      <c r="CR41" s="937"/>
      <c r="CS41" s="937"/>
      <c r="CT41" s="937"/>
      <c r="CU41" s="937"/>
      <c r="CV41" s="937"/>
      <c r="CW41" s="937"/>
      <c r="CX41" s="937"/>
      <c r="CY41" s="937"/>
      <c r="CZ41" s="937"/>
      <c r="DA41" s="937"/>
      <c r="DB41" s="937"/>
      <c r="DC41" s="937"/>
      <c r="DD41" s="937"/>
      <c r="DE41" s="937"/>
      <c r="DF41" s="937"/>
      <c r="DG41" s="937"/>
      <c r="DH41" s="937"/>
      <c r="DI41" s="937"/>
      <c r="DJ41" s="937"/>
      <c r="DK41" s="937"/>
      <c r="DL41" s="937"/>
      <c r="DM41" s="937"/>
      <c r="DN41" s="937"/>
      <c r="DO41" s="937"/>
      <c r="DP41" s="937"/>
      <c r="DQ41" s="937"/>
      <c r="DR41" s="937"/>
      <c r="DS41" s="937"/>
      <c r="DT41" s="937"/>
      <c r="DU41" s="937"/>
      <c r="DV41" s="937"/>
      <c r="DW41" s="937"/>
      <c r="DX41" s="937"/>
      <c r="DY41" s="937"/>
      <c r="DZ41" s="937"/>
      <c r="EA41" s="937"/>
      <c r="EB41" s="937"/>
      <c r="EC41" s="937"/>
      <c r="ED41" s="937"/>
      <c r="EE41" s="937"/>
      <c r="EF41" s="937"/>
      <c r="EG41" s="937"/>
      <c r="EH41" s="937"/>
      <c r="EI41" s="937"/>
      <c r="EJ41" s="937"/>
      <c r="EK41" s="937"/>
      <c r="EL41" s="937"/>
      <c r="EM41" s="937"/>
      <c r="EN41" s="937"/>
      <c r="EO41" s="937"/>
      <c r="EP41" s="937"/>
      <c r="EQ41" s="937"/>
      <c r="ER41" s="937"/>
      <c r="ES41" s="937"/>
      <c r="ET41" s="937"/>
      <c r="EU41" s="937"/>
      <c r="EV41" s="937"/>
      <c r="EW41" s="937"/>
      <c r="EX41" s="937"/>
      <c r="EY41" s="937"/>
      <c r="EZ41" s="937"/>
      <c r="FA41" s="937"/>
      <c r="FB41" s="937"/>
      <c r="FC41" s="937"/>
      <c r="FD41" s="937"/>
      <c r="FE41" s="937"/>
      <c r="FF41" s="937"/>
      <c r="FG41" s="937"/>
      <c r="FH41" s="937"/>
      <c r="FI41" s="937"/>
      <c r="FJ41" s="937"/>
      <c r="FK41" s="937"/>
      <c r="FL41" s="937"/>
      <c r="FM41" s="937"/>
      <c r="FN41" s="937"/>
      <c r="FO41" s="937"/>
      <c r="FP41" s="937"/>
      <c r="FQ41" s="937"/>
      <c r="FR41" s="937"/>
      <c r="FS41" s="937"/>
      <c r="FT41" s="937"/>
      <c r="FU41" s="937"/>
      <c r="FV41" s="937"/>
      <c r="FW41" s="937"/>
      <c r="FX41" s="937"/>
      <c r="FY41" s="937"/>
      <c r="FZ41" s="937"/>
      <c r="GA41" s="937"/>
      <c r="GB41" s="937"/>
      <c r="GC41" s="937"/>
      <c r="GD41" s="937"/>
      <c r="GE41" s="937"/>
      <c r="GF41" s="937"/>
      <c r="GG41" s="937"/>
      <c r="GH41" s="937"/>
      <c r="GI41" s="937"/>
      <c r="GJ41" s="937"/>
      <c r="GK41" s="937"/>
      <c r="GL41" s="937"/>
      <c r="GM41" s="937"/>
      <c r="GN41" s="937"/>
      <c r="GO41" s="937"/>
      <c r="GP41" s="937"/>
      <c r="GQ41" s="937"/>
      <c r="GR41" s="937"/>
      <c r="GS41" s="937"/>
      <c r="GT41" s="937"/>
      <c r="GU41" s="937"/>
      <c r="GV41" s="937"/>
      <c r="GW41" s="937"/>
      <c r="GX41" s="937"/>
      <c r="GY41" s="937"/>
      <c r="GZ41" s="937"/>
      <c r="HA41" s="937"/>
      <c r="HB41" s="937"/>
      <c r="HC41" s="937"/>
      <c r="HD41" s="937"/>
      <c r="HE41" s="937"/>
      <c r="HF41" s="937"/>
      <c r="HG41" s="937"/>
      <c r="HH41" s="937"/>
      <c r="HI41" s="937"/>
      <c r="HJ41" s="937"/>
      <c r="HK41" s="937"/>
      <c r="HL41" s="937"/>
      <c r="HM41" s="937"/>
      <c r="HN41" s="937"/>
      <c r="HO41" s="937"/>
      <c r="HP41" s="937"/>
      <c r="HQ41" s="937"/>
      <c r="HR41" s="937"/>
      <c r="HS41" s="937"/>
      <c r="HT41" s="937"/>
      <c r="HU41" s="937"/>
      <c r="HV41" s="937"/>
      <c r="HW41" s="937"/>
      <c r="HX41" s="937"/>
      <c r="HY41" s="937"/>
      <c r="HZ41" s="937"/>
      <c r="IA41" s="937"/>
      <c r="IB41" s="937"/>
      <c r="IC41" s="937"/>
      <c r="ID41" s="937"/>
      <c r="IE41" s="937"/>
      <c r="IF41" s="937"/>
      <c r="IG41" s="937"/>
      <c r="IH41" s="937"/>
      <c r="II41" s="937"/>
      <c r="IJ41" s="937"/>
      <c r="IK41" s="937"/>
      <c r="IL41" s="937"/>
      <c r="IM41" s="937"/>
      <c r="IN41" s="937"/>
      <c r="IO41" s="937"/>
      <c r="IP41" s="937"/>
      <c r="IQ41" s="937"/>
      <c r="IR41" s="937"/>
      <c r="IS41" s="937"/>
      <c r="IT41" s="937"/>
      <c r="IU41" s="937"/>
      <c r="IV41" s="937"/>
      <c r="IW41" s="937"/>
    </row>
    <row r="42" customFormat="false" ht="12.75" hidden="false" customHeight="false" outlineLevel="0" collapsed="false">
      <c r="A42" s="947" t="str">
        <f aca="false">Assm!N44</f>
        <v>Contingency - Change Orders</v>
      </c>
      <c r="B42" s="944"/>
      <c r="C42" s="948" t="n">
        <f aca="false">Assm!V44</f>
        <v>4179.40833333333</v>
      </c>
      <c r="D42" s="945"/>
      <c r="E42" s="952" t="n">
        <v>0</v>
      </c>
      <c r="F42" s="952" t="n">
        <v>0</v>
      </c>
      <c r="G42" s="952" t="n">
        <v>0</v>
      </c>
      <c r="H42" s="952" t="n">
        <v>0</v>
      </c>
      <c r="I42" s="952" t="n">
        <v>0</v>
      </c>
      <c r="J42" s="952" t="n">
        <v>0</v>
      </c>
      <c r="K42" s="952" t="n">
        <v>0</v>
      </c>
      <c r="L42" s="952" t="n">
        <v>0</v>
      </c>
      <c r="M42" s="952" t="n">
        <v>0</v>
      </c>
      <c r="N42" s="952" t="n">
        <v>0</v>
      </c>
      <c r="O42" s="952" t="n">
        <v>0</v>
      </c>
      <c r="P42" s="952" t="n">
        <v>0</v>
      </c>
      <c r="Q42" s="952" t="n">
        <v>0</v>
      </c>
      <c r="R42" s="952" t="n">
        <v>0</v>
      </c>
      <c r="S42" s="952" t="n">
        <v>0</v>
      </c>
      <c r="T42" s="952" t="n">
        <v>0</v>
      </c>
      <c r="U42" s="952" t="n">
        <v>0</v>
      </c>
      <c r="V42" s="952" t="n">
        <v>0</v>
      </c>
      <c r="W42" s="952" t="n">
        <v>0</v>
      </c>
      <c r="X42" s="952" t="n">
        <v>0</v>
      </c>
      <c r="Y42" s="952" t="n">
        <v>0</v>
      </c>
      <c r="Z42" s="952" t="n">
        <v>0</v>
      </c>
      <c r="AA42" s="952" t="n">
        <v>0</v>
      </c>
      <c r="AB42" s="952" t="n">
        <v>0</v>
      </c>
      <c r="AC42" s="952" t="n">
        <v>0</v>
      </c>
      <c r="AD42" s="952" t="n">
        <v>0</v>
      </c>
      <c r="AE42" s="952" t="n">
        <v>0</v>
      </c>
      <c r="AF42" s="952" t="n">
        <v>0</v>
      </c>
      <c r="AG42" s="950" t="n">
        <v>0</v>
      </c>
      <c r="AH42" s="950" t="n">
        <v>0</v>
      </c>
      <c r="AI42" s="950" t="n">
        <v>0</v>
      </c>
      <c r="AJ42" s="950" t="n">
        <v>0</v>
      </c>
      <c r="AK42" s="950" t="n">
        <v>0</v>
      </c>
      <c r="AL42" s="950" t="n">
        <v>0</v>
      </c>
      <c r="AM42" s="950" t="n">
        <v>0</v>
      </c>
      <c r="AN42" s="950" t="n">
        <v>0</v>
      </c>
      <c r="AO42" s="950" t="n">
        <v>0</v>
      </c>
      <c r="AP42" s="950" t="n">
        <v>0</v>
      </c>
      <c r="AQ42" s="950" t="n">
        <v>0</v>
      </c>
      <c r="AR42" s="950" t="n">
        <v>0</v>
      </c>
      <c r="AS42" s="950" t="n">
        <v>0</v>
      </c>
      <c r="AT42" s="950" t="n">
        <v>0</v>
      </c>
      <c r="AU42" s="950" t="n">
        <v>0</v>
      </c>
      <c r="AV42" s="950" t="n">
        <v>0</v>
      </c>
      <c r="AW42" s="950" t="n">
        <f aca="false">C42</f>
        <v>4179.40833333333</v>
      </c>
      <c r="AX42" s="950" t="n">
        <v>0</v>
      </c>
      <c r="AY42" s="950" t="n">
        <v>0</v>
      </c>
      <c r="AZ42" s="945"/>
      <c r="BA42" s="951" t="n">
        <f aca="false">SUM(E42:AY42)</f>
        <v>4179.40833333333</v>
      </c>
      <c r="BB42" s="937"/>
      <c r="BC42" s="937"/>
      <c r="BD42" s="937"/>
      <c r="BE42" s="937"/>
      <c r="BF42" s="937"/>
      <c r="BG42" s="937"/>
      <c r="BH42" s="937"/>
      <c r="BI42" s="937"/>
      <c r="BJ42" s="937"/>
      <c r="BK42" s="937"/>
      <c r="BL42" s="937"/>
      <c r="BM42" s="937"/>
      <c r="BN42" s="937"/>
      <c r="BO42" s="937"/>
      <c r="BP42" s="937"/>
      <c r="BQ42" s="937"/>
      <c r="BR42" s="937"/>
      <c r="BS42" s="937"/>
      <c r="BT42" s="937"/>
      <c r="BU42" s="937"/>
      <c r="BV42" s="937"/>
      <c r="BW42" s="937"/>
      <c r="BX42" s="937"/>
      <c r="BY42" s="937"/>
      <c r="BZ42" s="937"/>
      <c r="CA42" s="937"/>
      <c r="CB42" s="937"/>
      <c r="CC42" s="937"/>
      <c r="CD42" s="937"/>
      <c r="CE42" s="937"/>
      <c r="CF42" s="937"/>
      <c r="CG42" s="937"/>
      <c r="CH42" s="937"/>
      <c r="CI42" s="937"/>
      <c r="CJ42" s="937"/>
      <c r="CK42" s="937"/>
      <c r="CL42" s="937"/>
      <c r="CM42" s="937"/>
      <c r="CN42" s="937"/>
      <c r="CO42" s="937"/>
      <c r="CP42" s="937"/>
      <c r="CQ42" s="937"/>
      <c r="CR42" s="937"/>
      <c r="CS42" s="937"/>
      <c r="CT42" s="937"/>
      <c r="CU42" s="937"/>
      <c r="CV42" s="937"/>
      <c r="CW42" s="937"/>
      <c r="CX42" s="937"/>
      <c r="CY42" s="937"/>
      <c r="CZ42" s="937"/>
      <c r="DA42" s="937"/>
      <c r="DB42" s="937"/>
      <c r="DC42" s="937"/>
      <c r="DD42" s="937"/>
      <c r="DE42" s="937"/>
      <c r="DF42" s="937"/>
      <c r="DG42" s="937"/>
      <c r="DH42" s="937"/>
      <c r="DI42" s="937"/>
      <c r="DJ42" s="937"/>
      <c r="DK42" s="937"/>
      <c r="DL42" s="937"/>
      <c r="DM42" s="937"/>
      <c r="DN42" s="937"/>
      <c r="DO42" s="937"/>
      <c r="DP42" s="937"/>
      <c r="DQ42" s="937"/>
      <c r="DR42" s="937"/>
      <c r="DS42" s="937"/>
      <c r="DT42" s="937"/>
      <c r="DU42" s="937"/>
      <c r="DV42" s="937"/>
      <c r="DW42" s="937"/>
      <c r="DX42" s="937"/>
      <c r="DY42" s="937"/>
      <c r="DZ42" s="937"/>
      <c r="EA42" s="937"/>
      <c r="EB42" s="937"/>
      <c r="EC42" s="937"/>
      <c r="ED42" s="937"/>
      <c r="EE42" s="937"/>
      <c r="EF42" s="937"/>
      <c r="EG42" s="937"/>
      <c r="EH42" s="937"/>
      <c r="EI42" s="937"/>
      <c r="EJ42" s="937"/>
      <c r="EK42" s="937"/>
      <c r="EL42" s="937"/>
      <c r="EM42" s="937"/>
      <c r="EN42" s="937"/>
      <c r="EO42" s="937"/>
      <c r="EP42" s="937"/>
      <c r="EQ42" s="937"/>
      <c r="ER42" s="937"/>
      <c r="ES42" s="937"/>
      <c r="ET42" s="937"/>
      <c r="EU42" s="937"/>
      <c r="EV42" s="937"/>
      <c r="EW42" s="937"/>
      <c r="EX42" s="937"/>
      <c r="EY42" s="937"/>
      <c r="EZ42" s="937"/>
      <c r="FA42" s="937"/>
      <c r="FB42" s="937"/>
      <c r="FC42" s="937"/>
      <c r="FD42" s="937"/>
      <c r="FE42" s="937"/>
      <c r="FF42" s="937"/>
      <c r="FG42" s="937"/>
      <c r="FH42" s="937"/>
      <c r="FI42" s="937"/>
      <c r="FJ42" s="937"/>
      <c r="FK42" s="937"/>
      <c r="FL42" s="937"/>
      <c r="FM42" s="937"/>
      <c r="FN42" s="937"/>
      <c r="FO42" s="937"/>
      <c r="FP42" s="937"/>
      <c r="FQ42" s="937"/>
      <c r="FR42" s="937"/>
      <c r="FS42" s="937"/>
      <c r="FT42" s="937"/>
      <c r="FU42" s="937"/>
      <c r="FV42" s="937"/>
      <c r="FW42" s="937"/>
      <c r="FX42" s="937"/>
      <c r="FY42" s="937"/>
      <c r="FZ42" s="937"/>
      <c r="GA42" s="937"/>
      <c r="GB42" s="937"/>
      <c r="GC42" s="937"/>
      <c r="GD42" s="937"/>
      <c r="GE42" s="937"/>
      <c r="GF42" s="937"/>
      <c r="GG42" s="937"/>
      <c r="GH42" s="937"/>
      <c r="GI42" s="937"/>
      <c r="GJ42" s="937"/>
      <c r="GK42" s="937"/>
      <c r="GL42" s="937"/>
      <c r="GM42" s="937"/>
      <c r="GN42" s="937"/>
      <c r="GO42" s="937"/>
      <c r="GP42" s="937"/>
      <c r="GQ42" s="937"/>
      <c r="GR42" s="937"/>
      <c r="GS42" s="937"/>
      <c r="GT42" s="937"/>
      <c r="GU42" s="937"/>
      <c r="GV42" s="937"/>
      <c r="GW42" s="937"/>
      <c r="GX42" s="937"/>
      <c r="GY42" s="937"/>
      <c r="GZ42" s="937"/>
      <c r="HA42" s="937"/>
      <c r="HB42" s="937"/>
      <c r="HC42" s="937"/>
      <c r="HD42" s="937"/>
      <c r="HE42" s="937"/>
      <c r="HF42" s="937"/>
      <c r="HG42" s="937"/>
      <c r="HH42" s="937"/>
      <c r="HI42" s="937"/>
      <c r="HJ42" s="937"/>
      <c r="HK42" s="937"/>
      <c r="HL42" s="937"/>
      <c r="HM42" s="937"/>
      <c r="HN42" s="937"/>
      <c r="HO42" s="937"/>
      <c r="HP42" s="937"/>
      <c r="HQ42" s="937"/>
      <c r="HR42" s="937"/>
      <c r="HS42" s="937"/>
      <c r="HT42" s="937"/>
      <c r="HU42" s="937"/>
      <c r="HV42" s="937"/>
      <c r="HW42" s="937"/>
      <c r="HX42" s="937"/>
      <c r="HY42" s="937"/>
      <c r="HZ42" s="937"/>
      <c r="IA42" s="937"/>
      <c r="IB42" s="937"/>
      <c r="IC42" s="937"/>
      <c r="ID42" s="937"/>
      <c r="IE42" s="937"/>
      <c r="IF42" s="937"/>
      <c r="IG42" s="937"/>
      <c r="IH42" s="937"/>
      <c r="II42" s="937"/>
      <c r="IJ42" s="937"/>
      <c r="IK42" s="937"/>
      <c r="IL42" s="937"/>
      <c r="IM42" s="937"/>
      <c r="IN42" s="937"/>
      <c r="IO42" s="937"/>
      <c r="IP42" s="937"/>
      <c r="IQ42" s="937"/>
      <c r="IR42" s="937"/>
      <c r="IS42" s="937"/>
      <c r="IT42" s="937"/>
      <c r="IU42" s="937"/>
      <c r="IV42" s="937"/>
      <c r="IW42" s="937"/>
    </row>
    <row r="43" customFormat="false" ht="12.75" hidden="false" customHeight="false" outlineLevel="0" collapsed="false">
      <c r="A43" s="947" t="str">
        <f aca="false">Assm!N45</f>
        <v>Contingency - Other</v>
      </c>
      <c r="B43" s="944"/>
      <c r="C43" s="953" t="n">
        <f aca="false">Assm!V45</f>
        <v>0</v>
      </c>
      <c r="D43" s="954"/>
      <c r="E43" s="955" t="n">
        <v>0</v>
      </c>
      <c r="F43" s="955" t="n">
        <v>0</v>
      </c>
      <c r="G43" s="955" t="n">
        <v>0</v>
      </c>
      <c r="H43" s="955" t="n">
        <v>0</v>
      </c>
      <c r="I43" s="955" t="n">
        <v>0</v>
      </c>
      <c r="J43" s="955" t="n">
        <v>0</v>
      </c>
      <c r="K43" s="955" t="n">
        <v>0</v>
      </c>
      <c r="L43" s="955" t="n">
        <v>0</v>
      </c>
      <c r="M43" s="955" t="n">
        <v>0</v>
      </c>
      <c r="N43" s="955" t="n">
        <v>0</v>
      </c>
      <c r="O43" s="955" t="n">
        <v>0</v>
      </c>
      <c r="P43" s="955" t="n">
        <v>0</v>
      </c>
      <c r="Q43" s="955" t="n">
        <v>0</v>
      </c>
      <c r="R43" s="955" t="n">
        <v>0</v>
      </c>
      <c r="S43" s="955" t="n">
        <v>0</v>
      </c>
      <c r="T43" s="955" t="n">
        <v>0</v>
      </c>
      <c r="U43" s="955" t="n">
        <v>0</v>
      </c>
      <c r="V43" s="955" t="n">
        <v>0</v>
      </c>
      <c r="W43" s="955" t="n">
        <v>0</v>
      </c>
      <c r="X43" s="955" t="n">
        <v>0</v>
      </c>
      <c r="Y43" s="955" t="n">
        <v>0</v>
      </c>
      <c r="Z43" s="955" t="n">
        <v>0</v>
      </c>
      <c r="AA43" s="955" t="n">
        <v>0</v>
      </c>
      <c r="AB43" s="955" t="n">
        <v>0</v>
      </c>
      <c r="AC43" s="955" t="n">
        <v>0</v>
      </c>
      <c r="AD43" s="955" t="n">
        <v>0</v>
      </c>
      <c r="AE43" s="955" t="n">
        <v>0</v>
      </c>
      <c r="AF43" s="955" t="n">
        <v>0</v>
      </c>
      <c r="AG43" s="957" t="n">
        <v>0</v>
      </c>
      <c r="AH43" s="957" t="n">
        <v>0</v>
      </c>
      <c r="AI43" s="957" t="n">
        <v>0</v>
      </c>
      <c r="AJ43" s="957" t="n">
        <v>0</v>
      </c>
      <c r="AK43" s="957" t="n">
        <v>0</v>
      </c>
      <c r="AL43" s="957" t="n">
        <v>0</v>
      </c>
      <c r="AM43" s="957" t="n">
        <v>0</v>
      </c>
      <c r="AN43" s="957" t="n">
        <v>0</v>
      </c>
      <c r="AO43" s="957" t="n">
        <v>0</v>
      </c>
      <c r="AP43" s="957" t="n">
        <v>0</v>
      </c>
      <c r="AQ43" s="957" t="n">
        <v>0</v>
      </c>
      <c r="AR43" s="957" t="n">
        <v>0</v>
      </c>
      <c r="AS43" s="957" t="n">
        <v>0</v>
      </c>
      <c r="AT43" s="957" t="n">
        <v>0</v>
      </c>
      <c r="AU43" s="957" t="n">
        <v>0</v>
      </c>
      <c r="AV43" s="957" t="n">
        <v>0</v>
      </c>
      <c r="AW43" s="957" t="n">
        <f aca="false">C43</f>
        <v>0</v>
      </c>
      <c r="AX43" s="957" t="n">
        <v>0</v>
      </c>
      <c r="AY43" s="957" t="n">
        <v>0</v>
      </c>
      <c r="AZ43" s="954"/>
      <c r="BA43" s="956" t="n">
        <f aca="false">SUM(E43:AY43)</f>
        <v>0</v>
      </c>
      <c r="BB43" s="937"/>
      <c r="BC43" s="937"/>
      <c r="BD43" s="937"/>
      <c r="BE43" s="937"/>
      <c r="BF43" s="937"/>
      <c r="BG43" s="937"/>
      <c r="BH43" s="937"/>
      <c r="BI43" s="937"/>
      <c r="BJ43" s="937"/>
      <c r="BK43" s="937"/>
      <c r="BL43" s="937"/>
      <c r="BM43" s="937"/>
      <c r="BN43" s="937"/>
      <c r="BO43" s="937"/>
      <c r="BP43" s="937"/>
      <c r="BQ43" s="937"/>
      <c r="BR43" s="937"/>
      <c r="BS43" s="937"/>
      <c r="BT43" s="937"/>
      <c r="BU43" s="937"/>
      <c r="BV43" s="937"/>
      <c r="BW43" s="937"/>
      <c r="BX43" s="937"/>
      <c r="BY43" s="937"/>
      <c r="BZ43" s="937"/>
      <c r="CA43" s="937"/>
      <c r="CB43" s="937"/>
      <c r="CC43" s="937"/>
      <c r="CD43" s="937"/>
      <c r="CE43" s="937"/>
      <c r="CF43" s="937"/>
      <c r="CG43" s="937"/>
      <c r="CH43" s="937"/>
      <c r="CI43" s="937"/>
      <c r="CJ43" s="937"/>
      <c r="CK43" s="937"/>
      <c r="CL43" s="937"/>
      <c r="CM43" s="937"/>
      <c r="CN43" s="937"/>
      <c r="CO43" s="937"/>
      <c r="CP43" s="937"/>
      <c r="CQ43" s="937"/>
      <c r="CR43" s="937"/>
      <c r="CS43" s="937"/>
      <c r="CT43" s="937"/>
      <c r="CU43" s="937"/>
      <c r="CV43" s="937"/>
      <c r="CW43" s="937"/>
      <c r="CX43" s="937"/>
      <c r="CY43" s="937"/>
      <c r="CZ43" s="937"/>
      <c r="DA43" s="937"/>
      <c r="DB43" s="937"/>
      <c r="DC43" s="937"/>
      <c r="DD43" s="937"/>
      <c r="DE43" s="937"/>
      <c r="DF43" s="937"/>
      <c r="DG43" s="937"/>
      <c r="DH43" s="937"/>
      <c r="DI43" s="937"/>
      <c r="DJ43" s="937"/>
      <c r="DK43" s="937"/>
      <c r="DL43" s="937"/>
      <c r="DM43" s="937"/>
      <c r="DN43" s="937"/>
      <c r="DO43" s="937"/>
      <c r="DP43" s="937"/>
      <c r="DQ43" s="937"/>
      <c r="DR43" s="937"/>
      <c r="DS43" s="937"/>
      <c r="DT43" s="937"/>
      <c r="DU43" s="937"/>
      <c r="DV43" s="937"/>
      <c r="DW43" s="937"/>
      <c r="DX43" s="937"/>
      <c r="DY43" s="937"/>
      <c r="DZ43" s="937"/>
      <c r="EA43" s="937"/>
      <c r="EB43" s="937"/>
      <c r="EC43" s="937"/>
      <c r="ED43" s="937"/>
      <c r="EE43" s="937"/>
      <c r="EF43" s="937"/>
      <c r="EG43" s="937"/>
      <c r="EH43" s="937"/>
      <c r="EI43" s="937"/>
      <c r="EJ43" s="937"/>
      <c r="EK43" s="937"/>
      <c r="EL43" s="937"/>
      <c r="EM43" s="937"/>
      <c r="EN43" s="937"/>
      <c r="EO43" s="937"/>
      <c r="EP43" s="937"/>
      <c r="EQ43" s="937"/>
      <c r="ER43" s="937"/>
      <c r="ES43" s="937"/>
      <c r="ET43" s="937"/>
      <c r="EU43" s="937"/>
      <c r="EV43" s="937"/>
      <c r="EW43" s="937"/>
      <c r="EX43" s="937"/>
      <c r="EY43" s="937"/>
      <c r="EZ43" s="937"/>
      <c r="FA43" s="937"/>
      <c r="FB43" s="937"/>
      <c r="FC43" s="937"/>
      <c r="FD43" s="937"/>
      <c r="FE43" s="937"/>
      <c r="FF43" s="937"/>
      <c r="FG43" s="937"/>
      <c r="FH43" s="937"/>
      <c r="FI43" s="937"/>
      <c r="FJ43" s="937"/>
      <c r="FK43" s="937"/>
      <c r="FL43" s="937"/>
      <c r="FM43" s="937"/>
      <c r="FN43" s="937"/>
      <c r="FO43" s="937"/>
      <c r="FP43" s="937"/>
      <c r="FQ43" s="937"/>
      <c r="FR43" s="937"/>
      <c r="FS43" s="937"/>
      <c r="FT43" s="937"/>
      <c r="FU43" s="937"/>
      <c r="FV43" s="937"/>
      <c r="FW43" s="937"/>
      <c r="FX43" s="937"/>
      <c r="FY43" s="937"/>
      <c r="FZ43" s="937"/>
      <c r="GA43" s="937"/>
      <c r="GB43" s="937"/>
      <c r="GC43" s="937"/>
      <c r="GD43" s="937"/>
      <c r="GE43" s="937"/>
      <c r="GF43" s="937"/>
      <c r="GG43" s="937"/>
      <c r="GH43" s="937"/>
      <c r="GI43" s="937"/>
      <c r="GJ43" s="937"/>
      <c r="GK43" s="937"/>
      <c r="GL43" s="937"/>
      <c r="GM43" s="937"/>
      <c r="GN43" s="937"/>
      <c r="GO43" s="937"/>
      <c r="GP43" s="937"/>
      <c r="GQ43" s="937"/>
      <c r="GR43" s="937"/>
      <c r="GS43" s="937"/>
      <c r="GT43" s="937"/>
      <c r="GU43" s="937"/>
      <c r="GV43" s="937"/>
      <c r="GW43" s="937"/>
      <c r="GX43" s="937"/>
      <c r="GY43" s="937"/>
      <c r="GZ43" s="937"/>
      <c r="HA43" s="937"/>
      <c r="HB43" s="937"/>
      <c r="HC43" s="937"/>
      <c r="HD43" s="937"/>
      <c r="HE43" s="937"/>
      <c r="HF43" s="937"/>
      <c r="HG43" s="937"/>
      <c r="HH43" s="937"/>
      <c r="HI43" s="937"/>
      <c r="HJ43" s="937"/>
      <c r="HK43" s="937"/>
      <c r="HL43" s="937"/>
      <c r="HM43" s="937"/>
      <c r="HN43" s="937"/>
      <c r="HO43" s="937"/>
      <c r="HP43" s="937"/>
      <c r="HQ43" s="937"/>
      <c r="HR43" s="937"/>
      <c r="HS43" s="937"/>
      <c r="HT43" s="937"/>
      <c r="HU43" s="937"/>
      <c r="HV43" s="937"/>
      <c r="HW43" s="937"/>
      <c r="HX43" s="937"/>
      <c r="HY43" s="937"/>
      <c r="HZ43" s="937"/>
      <c r="IA43" s="937"/>
      <c r="IB43" s="937"/>
      <c r="IC43" s="937"/>
      <c r="ID43" s="937"/>
      <c r="IE43" s="937"/>
      <c r="IF43" s="937"/>
      <c r="IG43" s="937"/>
      <c r="IH43" s="937"/>
      <c r="II43" s="937"/>
      <c r="IJ43" s="937"/>
      <c r="IK43" s="937"/>
      <c r="IL43" s="937"/>
      <c r="IM43" s="937"/>
      <c r="IN43" s="937"/>
      <c r="IO43" s="937"/>
      <c r="IP43" s="937"/>
      <c r="IQ43" s="937"/>
      <c r="IR43" s="937"/>
      <c r="IS43" s="937"/>
      <c r="IT43" s="937"/>
      <c r="IU43" s="937"/>
      <c r="IV43" s="937"/>
      <c r="IW43" s="937"/>
    </row>
    <row r="44" customFormat="false" ht="12.75" hidden="false" customHeight="false" outlineLevel="0" collapsed="false">
      <c r="A44" s="947" t="str">
        <f aca="false">Assm!N46</f>
        <v>Total Contingency</v>
      </c>
      <c r="B44" s="944"/>
      <c r="C44" s="948" t="n">
        <f aca="false">SUM(C41:C43)</f>
        <v>4179.40833333333</v>
      </c>
      <c r="D44" s="945"/>
      <c r="E44" s="948" t="n">
        <f aca="false">SUM(E41:E43)</f>
        <v>0</v>
      </c>
      <c r="F44" s="948" t="n">
        <f aca="false">SUM(F41:F43)</f>
        <v>0</v>
      </c>
      <c r="G44" s="948" t="n">
        <f aca="false">SUM(G41:G43)</f>
        <v>0</v>
      </c>
      <c r="H44" s="948" t="n">
        <f aca="false">SUM(H41:H43)</f>
        <v>0</v>
      </c>
      <c r="I44" s="948" t="n">
        <f aca="false">SUM(I41:I43)</f>
        <v>0</v>
      </c>
      <c r="J44" s="948" t="n">
        <f aca="false">SUM(J41:J43)</f>
        <v>0</v>
      </c>
      <c r="K44" s="948" t="n">
        <f aca="false">SUM(K41:K43)</f>
        <v>0</v>
      </c>
      <c r="L44" s="948" t="n">
        <f aca="false">SUM(L41:L43)</f>
        <v>0</v>
      </c>
      <c r="M44" s="948" t="n">
        <f aca="false">SUM(M41:M43)</f>
        <v>0</v>
      </c>
      <c r="N44" s="948" t="n">
        <f aca="false">SUM(N41:N43)</f>
        <v>0</v>
      </c>
      <c r="O44" s="948" t="n">
        <f aca="false">SUM(O41:O43)</f>
        <v>0</v>
      </c>
      <c r="P44" s="948" t="n">
        <f aca="false">SUM(P41:P43)</f>
        <v>0</v>
      </c>
      <c r="Q44" s="948" t="n">
        <f aca="false">SUM(Q41:Q43)</f>
        <v>0</v>
      </c>
      <c r="R44" s="948" t="n">
        <f aca="false">SUM(R41:R43)</f>
        <v>0</v>
      </c>
      <c r="S44" s="948" t="n">
        <f aca="false">SUM(S41:S43)</f>
        <v>0</v>
      </c>
      <c r="T44" s="948" t="n">
        <f aca="false">SUM(T41:T43)</f>
        <v>0</v>
      </c>
      <c r="U44" s="948" t="n">
        <f aca="false">SUM(U41:U43)</f>
        <v>0</v>
      </c>
      <c r="V44" s="948" t="n">
        <f aca="false">SUM(V41:V43)</f>
        <v>0</v>
      </c>
      <c r="W44" s="948" t="n">
        <f aca="false">SUM(W41:W43)</f>
        <v>0</v>
      </c>
      <c r="X44" s="948" t="n">
        <f aca="false">SUM(X41:X43)</f>
        <v>0</v>
      </c>
      <c r="Y44" s="948" t="n">
        <f aca="false">SUM(Y41:Y43)</f>
        <v>0</v>
      </c>
      <c r="Z44" s="948" t="n">
        <f aca="false">SUM(Z41:Z43)</f>
        <v>0</v>
      </c>
      <c r="AA44" s="948" t="n">
        <f aca="false">SUM(AA41:AA43)</f>
        <v>0</v>
      </c>
      <c r="AB44" s="948" t="n">
        <f aca="false">SUM(AB41:AB43)</f>
        <v>0</v>
      </c>
      <c r="AC44" s="948" t="n">
        <f aca="false">SUM(AC41:AC43)</f>
        <v>0</v>
      </c>
      <c r="AD44" s="948" t="n">
        <f aca="false">SUM(AD41:AD43)</f>
        <v>0</v>
      </c>
      <c r="AE44" s="948" t="n">
        <f aca="false">SUM(AE41:AE43)</f>
        <v>0</v>
      </c>
      <c r="AF44" s="948" t="n">
        <f aca="false">SUM(AF41:AF43)</f>
        <v>0</v>
      </c>
      <c r="AG44" s="948" t="n">
        <f aca="false">SUM(AG41:AG43)</f>
        <v>0</v>
      </c>
      <c r="AH44" s="948" t="n">
        <f aca="false">SUM(AH41:AH43)</f>
        <v>0</v>
      </c>
      <c r="AI44" s="948" t="n">
        <f aca="false">SUM(AI41:AI43)</f>
        <v>0</v>
      </c>
      <c r="AJ44" s="948" t="n">
        <f aca="false">SUM(AJ41:AJ43)</f>
        <v>0</v>
      </c>
      <c r="AK44" s="948" t="n">
        <f aca="false">SUM(AK41:AK43)</f>
        <v>0</v>
      </c>
      <c r="AL44" s="948" t="n">
        <f aca="false">SUM(AL41:AL43)</f>
        <v>0</v>
      </c>
      <c r="AM44" s="948" t="n">
        <f aca="false">SUM(AM41:AM43)</f>
        <v>0</v>
      </c>
      <c r="AN44" s="948" t="n">
        <f aca="false">SUM(AN41:AN43)</f>
        <v>0</v>
      </c>
      <c r="AO44" s="948" t="n">
        <f aca="false">SUM(AO41:AO43)</f>
        <v>0</v>
      </c>
      <c r="AP44" s="948" t="n">
        <f aca="false">SUM(AP41:AP43)</f>
        <v>0</v>
      </c>
      <c r="AQ44" s="948" t="n">
        <f aca="false">SUM(AQ41:AQ43)</f>
        <v>0</v>
      </c>
      <c r="AR44" s="948" t="n">
        <f aca="false">SUM(AR41:AR43)</f>
        <v>0</v>
      </c>
      <c r="AS44" s="948" t="n">
        <f aca="false">SUM(AS41:AS43)</f>
        <v>0</v>
      </c>
      <c r="AT44" s="948" t="n">
        <f aca="false">SUM(AT41:AT43)</f>
        <v>0</v>
      </c>
      <c r="AU44" s="948" t="n">
        <f aca="false">SUM(AU41:AU43)</f>
        <v>0</v>
      </c>
      <c r="AV44" s="948" t="n">
        <f aca="false">SUM(AV41:AV43)</f>
        <v>0</v>
      </c>
      <c r="AW44" s="948" t="n">
        <f aca="false">SUM(AW41:AW43)</f>
        <v>4179.40833333333</v>
      </c>
      <c r="AX44" s="948" t="n">
        <f aca="false">SUM(AX41:AX43)</f>
        <v>0</v>
      </c>
      <c r="AY44" s="948" t="n">
        <f aca="false">SUM(AY41:AY43)</f>
        <v>0</v>
      </c>
      <c r="AZ44" s="945"/>
      <c r="BA44" s="951" t="n">
        <f aca="false">SUM(E44:AY44)</f>
        <v>4179.40833333333</v>
      </c>
      <c r="BB44" s="937"/>
      <c r="BC44" s="937"/>
      <c r="BD44" s="937"/>
      <c r="BE44" s="937"/>
      <c r="BF44" s="937"/>
      <c r="BG44" s="937"/>
      <c r="BH44" s="937"/>
      <c r="BI44" s="937"/>
      <c r="BJ44" s="937"/>
      <c r="BK44" s="937"/>
      <c r="BL44" s="937"/>
      <c r="BM44" s="937"/>
      <c r="BN44" s="937"/>
      <c r="BO44" s="937"/>
      <c r="BP44" s="937"/>
      <c r="BQ44" s="937"/>
      <c r="BR44" s="937"/>
      <c r="BS44" s="937"/>
      <c r="BT44" s="937"/>
      <c r="BU44" s="937"/>
      <c r="BV44" s="937"/>
      <c r="BW44" s="937"/>
      <c r="BX44" s="937"/>
      <c r="BY44" s="937"/>
      <c r="BZ44" s="937"/>
      <c r="CA44" s="937"/>
      <c r="CB44" s="937"/>
      <c r="CC44" s="937"/>
      <c r="CD44" s="937"/>
      <c r="CE44" s="937"/>
      <c r="CF44" s="937"/>
      <c r="CG44" s="937"/>
      <c r="CH44" s="937"/>
      <c r="CI44" s="937"/>
      <c r="CJ44" s="937"/>
      <c r="CK44" s="937"/>
      <c r="CL44" s="937"/>
      <c r="CM44" s="937"/>
      <c r="CN44" s="937"/>
      <c r="CO44" s="937"/>
      <c r="CP44" s="937"/>
      <c r="CQ44" s="937"/>
      <c r="CR44" s="937"/>
      <c r="CS44" s="937"/>
      <c r="CT44" s="937"/>
      <c r="CU44" s="937"/>
      <c r="CV44" s="937"/>
      <c r="CW44" s="937"/>
      <c r="CX44" s="937"/>
      <c r="CY44" s="937"/>
      <c r="CZ44" s="937"/>
      <c r="DA44" s="937"/>
      <c r="DB44" s="937"/>
      <c r="DC44" s="937"/>
      <c r="DD44" s="937"/>
      <c r="DE44" s="937"/>
      <c r="DF44" s="937"/>
      <c r="DG44" s="937"/>
      <c r="DH44" s="937"/>
      <c r="DI44" s="937"/>
      <c r="DJ44" s="937"/>
      <c r="DK44" s="937"/>
      <c r="DL44" s="937"/>
      <c r="DM44" s="937"/>
      <c r="DN44" s="937"/>
      <c r="DO44" s="937"/>
      <c r="DP44" s="937"/>
      <c r="DQ44" s="937"/>
      <c r="DR44" s="937"/>
      <c r="DS44" s="937"/>
      <c r="DT44" s="937"/>
      <c r="DU44" s="937"/>
      <c r="DV44" s="937"/>
      <c r="DW44" s="937"/>
      <c r="DX44" s="937"/>
      <c r="DY44" s="937"/>
      <c r="DZ44" s="937"/>
      <c r="EA44" s="937"/>
      <c r="EB44" s="937"/>
      <c r="EC44" s="937"/>
      <c r="ED44" s="937"/>
      <c r="EE44" s="937"/>
      <c r="EF44" s="937"/>
      <c r="EG44" s="937"/>
      <c r="EH44" s="937"/>
      <c r="EI44" s="937"/>
      <c r="EJ44" s="937"/>
      <c r="EK44" s="937"/>
      <c r="EL44" s="937"/>
      <c r="EM44" s="937"/>
      <c r="EN44" s="937"/>
      <c r="EO44" s="937"/>
      <c r="EP44" s="937"/>
      <c r="EQ44" s="937"/>
      <c r="ER44" s="937"/>
      <c r="ES44" s="937"/>
      <c r="ET44" s="937"/>
      <c r="EU44" s="937"/>
      <c r="EV44" s="937"/>
      <c r="EW44" s="937"/>
      <c r="EX44" s="937"/>
      <c r="EY44" s="937"/>
      <c r="EZ44" s="937"/>
      <c r="FA44" s="937"/>
      <c r="FB44" s="937"/>
      <c r="FC44" s="937"/>
      <c r="FD44" s="937"/>
      <c r="FE44" s="937"/>
      <c r="FF44" s="937"/>
      <c r="FG44" s="937"/>
      <c r="FH44" s="937"/>
      <c r="FI44" s="937"/>
      <c r="FJ44" s="937"/>
      <c r="FK44" s="937"/>
      <c r="FL44" s="937"/>
      <c r="FM44" s="937"/>
      <c r="FN44" s="937"/>
      <c r="FO44" s="937"/>
      <c r="FP44" s="937"/>
      <c r="FQ44" s="937"/>
      <c r="FR44" s="937"/>
      <c r="FS44" s="937"/>
      <c r="FT44" s="937"/>
      <c r="FU44" s="937"/>
      <c r="FV44" s="937"/>
      <c r="FW44" s="937"/>
      <c r="FX44" s="937"/>
      <c r="FY44" s="937"/>
      <c r="FZ44" s="937"/>
      <c r="GA44" s="937"/>
      <c r="GB44" s="937"/>
      <c r="GC44" s="937"/>
      <c r="GD44" s="937"/>
      <c r="GE44" s="937"/>
      <c r="GF44" s="937"/>
      <c r="GG44" s="937"/>
      <c r="GH44" s="937"/>
      <c r="GI44" s="937"/>
      <c r="GJ44" s="937"/>
      <c r="GK44" s="937"/>
      <c r="GL44" s="937"/>
      <c r="GM44" s="937"/>
      <c r="GN44" s="937"/>
      <c r="GO44" s="937"/>
      <c r="GP44" s="937"/>
      <c r="GQ44" s="937"/>
      <c r="GR44" s="937"/>
      <c r="GS44" s="937"/>
      <c r="GT44" s="937"/>
      <c r="GU44" s="937"/>
      <c r="GV44" s="937"/>
      <c r="GW44" s="937"/>
      <c r="GX44" s="937"/>
      <c r="GY44" s="937"/>
      <c r="GZ44" s="937"/>
      <c r="HA44" s="937"/>
      <c r="HB44" s="937"/>
      <c r="HC44" s="937"/>
      <c r="HD44" s="937"/>
      <c r="HE44" s="937"/>
      <c r="HF44" s="937"/>
      <c r="HG44" s="937"/>
      <c r="HH44" s="937"/>
      <c r="HI44" s="937"/>
      <c r="HJ44" s="937"/>
      <c r="HK44" s="937"/>
      <c r="HL44" s="937"/>
      <c r="HM44" s="937"/>
      <c r="HN44" s="937"/>
      <c r="HO44" s="937"/>
      <c r="HP44" s="937"/>
      <c r="HQ44" s="937"/>
      <c r="HR44" s="937"/>
      <c r="HS44" s="937"/>
      <c r="HT44" s="937"/>
      <c r="HU44" s="937"/>
      <c r="HV44" s="937"/>
      <c r="HW44" s="937"/>
      <c r="HX44" s="937"/>
      <c r="HY44" s="937"/>
      <c r="HZ44" s="937"/>
      <c r="IA44" s="937"/>
      <c r="IB44" s="937"/>
      <c r="IC44" s="937"/>
      <c r="ID44" s="937"/>
      <c r="IE44" s="937"/>
      <c r="IF44" s="937"/>
      <c r="IG44" s="937"/>
      <c r="IH44" s="937"/>
      <c r="II44" s="937"/>
      <c r="IJ44" s="937"/>
      <c r="IK44" s="937"/>
      <c r="IL44" s="937"/>
      <c r="IM44" s="937"/>
      <c r="IN44" s="937"/>
      <c r="IO44" s="937"/>
      <c r="IP44" s="937"/>
      <c r="IQ44" s="937"/>
      <c r="IR44" s="937"/>
      <c r="IS44" s="937"/>
      <c r="IT44" s="937"/>
      <c r="IU44" s="937"/>
      <c r="IV44" s="937"/>
      <c r="IW44" s="937"/>
    </row>
    <row r="45" customFormat="false" ht="12.75" hidden="false" customHeight="false" outlineLevel="0" collapsed="false">
      <c r="A45" s="947"/>
      <c r="B45" s="944"/>
      <c r="C45" s="945"/>
      <c r="D45" s="945"/>
      <c r="E45" s="945"/>
      <c r="F45" s="945"/>
      <c r="G45" s="945"/>
      <c r="H45" s="945"/>
      <c r="I45" s="945"/>
      <c r="J45" s="945"/>
      <c r="K45" s="945"/>
      <c r="L45" s="945"/>
      <c r="M45" s="945"/>
      <c r="N45" s="945"/>
      <c r="O45" s="945"/>
      <c r="P45" s="945"/>
      <c r="Q45" s="945"/>
      <c r="R45" s="945"/>
      <c r="S45" s="945"/>
      <c r="T45" s="945"/>
      <c r="U45" s="945"/>
      <c r="V45" s="945"/>
      <c r="W45" s="945"/>
      <c r="X45" s="945"/>
      <c r="Y45" s="945"/>
      <c r="Z45" s="945"/>
      <c r="AA45" s="945"/>
      <c r="AB45" s="945"/>
      <c r="AC45" s="945"/>
      <c r="AD45" s="945"/>
      <c r="AE45" s="945"/>
      <c r="AF45" s="945"/>
      <c r="AG45" s="945"/>
      <c r="AH45" s="945"/>
      <c r="AI45" s="945"/>
      <c r="AJ45" s="945"/>
      <c r="AK45" s="945"/>
      <c r="AL45" s="945"/>
      <c r="AM45" s="945"/>
      <c r="AN45" s="945"/>
      <c r="AO45" s="945"/>
      <c r="AP45" s="945"/>
      <c r="AQ45" s="945"/>
      <c r="AR45" s="945"/>
      <c r="AS45" s="945"/>
      <c r="AT45" s="945"/>
      <c r="AU45" s="945"/>
      <c r="AV45" s="945"/>
      <c r="AW45" s="945"/>
      <c r="AX45" s="945"/>
      <c r="AY45" s="945"/>
      <c r="AZ45" s="945"/>
      <c r="BA45" s="946"/>
      <c r="BB45" s="937"/>
      <c r="BC45" s="937"/>
      <c r="BD45" s="937"/>
      <c r="BE45" s="937"/>
      <c r="BF45" s="937"/>
      <c r="BG45" s="937"/>
      <c r="BH45" s="937"/>
      <c r="BI45" s="937"/>
      <c r="BJ45" s="937"/>
      <c r="BK45" s="937"/>
      <c r="BL45" s="937"/>
      <c r="BM45" s="937"/>
      <c r="BN45" s="937"/>
      <c r="BO45" s="937"/>
      <c r="BP45" s="937"/>
      <c r="BQ45" s="937"/>
      <c r="BR45" s="937"/>
      <c r="BS45" s="937"/>
      <c r="BT45" s="937"/>
      <c r="BU45" s="937"/>
      <c r="BV45" s="937"/>
      <c r="BW45" s="937"/>
      <c r="BX45" s="937"/>
      <c r="BY45" s="937"/>
      <c r="BZ45" s="937"/>
      <c r="CA45" s="937"/>
      <c r="CB45" s="937"/>
      <c r="CC45" s="937"/>
      <c r="CD45" s="937"/>
      <c r="CE45" s="937"/>
      <c r="CF45" s="937"/>
      <c r="CG45" s="937"/>
      <c r="CH45" s="937"/>
      <c r="CI45" s="937"/>
      <c r="CJ45" s="937"/>
      <c r="CK45" s="937"/>
      <c r="CL45" s="937"/>
      <c r="CM45" s="937"/>
      <c r="CN45" s="937"/>
      <c r="CO45" s="937"/>
      <c r="CP45" s="937"/>
      <c r="CQ45" s="937"/>
      <c r="CR45" s="937"/>
      <c r="CS45" s="937"/>
      <c r="CT45" s="937"/>
      <c r="CU45" s="937"/>
      <c r="CV45" s="937"/>
      <c r="CW45" s="937"/>
      <c r="CX45" s="937"/>
      <c r="CY45" s="937"/>
      <c r="CZ45" s="937"/>
      <c r="DA45" s="937"/>
      <c r="DB45" s="937"/>
      <c r="DC45" s="937"/>
      <c r="DD45" s="937"/>
      <c r="DE45" s="937"/>
      <c r="DF45" s="937"/>
      <c r="DG45" s="937"/>
      <c r="DH45" s="937"/>
      <c r="DI45" s="937"/>
      <c r="DJ45" s="937"/>
      <c r="DK45" s="937"/>
      <c r="DL45" s="937"/>
      <c r="DM45" s="937"/>
      <c r="DN45" s="937"/>
      <c r="DO45" s="937"/>
      <c r="DP45" s="937"/>
      <c r="DQ45" s="937"/>
      <c r="DR45" s="937"/>
      <c r="DS45" s="937"/>
      <c r="DT45" s="937"/>
      <c r="DU45" s="937"/>
      <c r="DV45" s="937"/>
      <c r="DW45" s="937"/>
      <c r="DX45" s="937"/>
      <c r="DY45" s="937"/>
      <c r="DZ45" s="937"/>
      <c r="EA45" s="937"/>
      <c r="EB45" s="937"/>
      <c r="EC45" s="937"/>
      <c r="ED45" s="937"/>
      <c r="EE45" s="937"/>
      <c r="EF45" s="937"/>
      <c r="EG45" s="937"/>
      <c r="EH45" s="937"/>
      <c r="EI45" s="937"/>
      <c r="EJ45" s="937"/>
      <c r="EK45" s="937"/>
      <c r="EL45" s="937"/>
      <c r="EM45" s="937"/>
      <c r="EN45" s="937"/>
      <c r="EO45" s="937"/>
      <c r="EP45" s="937"/>
      <c r="EQ45" s="937"/>
      <c r="ER45" s="937"/>
      <c r="ES45" s="937"/>
      <c r="ET45" s="937"/>
      <c r="EU45" s="937"/>
      <c r="EV45" s="937"/>
      <c r="EW45" s="937"/>
      <c r="EX45" s="937"/>
      <c r="EY45" s="937"/>
      <c r="EZ45" s="937"/>
      <c r="FA45" s="937"/>
      <c r="FB45" s="937"/>
      <c r="FC45" s="937"/>
      <c r="FD45" s="937"/>
      <c r="FE45" s="937"/>
      <c r="FF45" s="937"/>
      <c r="FG45" s="937"/>
      <c r="FH45" s="937"/>
      <c r="FI45" s="937"/>
      <c r="FJ45" s="937"/>
      <c r="FK45" s="937"/>
      <c r="FL45" s="937"/>
      <c r="FM45" s="937"/>
      <c r="FN45" s="937"/>
      <c r="FO45" s="937"/>
      <c r="FP45" s="937"/>
      <c r="FQ45" s="937"/>
      <c r="FR45" s="937"/>
      <c r="FS45" s="937"/>
      <c r="FT45" s="937"/>
      <c r="FU45" s="937"/>
      <c r="FV45" s="937"/>
      <c r="FW45" s="937"/>
      <c r="FX45" s="937"/>
      <c r="FY45" s="937"/>
      <c r="FZ45" s="937"/>
      <c r="GA45" s="937"/>
      <c r="GB45" s="937"/>
      <c r="GC45" s="937"/>
      <c r="GD45" s="937"/>
      <c r="GE45" s="937"/>
      <c r="GF45" s="937"/>
      <c r="GG45" s="937"/>
      <c r="GH45" s="937"/>
      <c r="GI45" s="937"/>
      <c r="GJ45" s="937"/>
      <c r="GK45" s="937"/>
      <c r="GL45" s="937"/>
      <c r="GM45" s="937"/>
      <c r="GN45" s="937"/>
      <c r="GO45" s="937"/>
      <c r="GP45" s="937"/>
      <c r="GQ45" s="937"/>
      <c r="GR45" s="937"/>
      <c r="GS45" s="937"/>
      <c r="GT45" s="937"/>
      <c r="GU45" s="937"/>
      <c r="GV45" s="937"/>
      <c r="GW45" s="937"/>
      <c r="GX45" s="937"/>
      <c r="GY45" s="937"/>
      <c r="GZ45" s="937"/>
      <c r="HA45" s="937"/>
      <c r="HB45" s="937"/>
      <c r="HC45" s="937"/>
      <c r="HD45" s="937"/>
      <c r="HE45" s="937"/>
      <c r="HF45" s="937"/>
      <c r="HG45" s="937"/>
      <c r="HH45" s="937"/>
      <c r="HI45" s="937"/>
      <c r="HJ45" s="937"/>
      <c r="HK45" s="937"/>
      <c r="HL45" s="937"/>
      <c r="HM45" s="937"/>
      <c r="HN45" s="937"/>
      <c r="HO45" s="937"/>
      <c r="HP45" s="937"/>
      <c r="HQ45" s="937"/>
      <c r="HR45" s="937"/>
      <c r="HS45" s="937"/>
      <c r="HT45" s="937"/>
      <c r="HU45" s="937"/>
      <c r="HV45" s="937"/>
      <c r="HW45" s="937"/>
      <c r="HX45" s="937"/>
      <c r="HY45" s="937"/>
      <c r="HZ45" s="937"/>
      <c r="IA45" s="937"/>
      <c r="IB45" s="937"/>
      <c r="IC45" s="937"/>
      <c r="ID45" s="937"/>
      <c r="IE45" s="937"/>
      <c r="IF45" s="937"/>
      <c r="IG45" s="937"/>
      <c r="IH45" s="937"/>
      <c r="II45" s="937"/>
      <c r="IJ45" s="937"/>
      <c r="IK45" s="937"/>
      <c r="IL45" s="937"/>
      <c r="IM45" s="937"/>
      <c r="IN45" s="937"/>
      <c r="IO45" s="937"/>
      <c r="IP45" s="937"/>
      <c r="IQ45" s="937"/>
      <c r="IR45" s="937"/>
      <c r="IS45" s="937"/>
      <c r="IT45" s="937"/>
      <c r="IU45" s="937"/>
      <c r="IV45" s="937"/>
      <c r="IW45" s="937"/>
    </row>
    <row r="46" customFormat="false" ht="13.5" hidden="false" customHeight="false" outlineLevel="0" collapsed="false">
      <c r="A46" s="962" t="s">
        <v>1297</v>
      </c>
      <c r="B46" s="963"/>
      <c r="C46" s="964" t="n">
        <f aca="false">SUM(C15,C22,C29,C34,C39,C44)</f>
        <v>317802.691678343</v>
      </c>
      <c r="D46" s="939"/>
      <c r="E46" s="964" t="n">
        <f aca="false">SUM(E15,E22,E29,E34,E39,E44)</f>
        <v>7598.20788530466</v>
      </c>
      <c r="F46" s="964" t="n">
        <f aca="false">SUM(F15,F22,F29,F34,F39,F44)</f>
        <v>0</v>
      </c>
      <c r="G46" s="964" t="n">
        <f aca="false">SUM(G15,G22,G29,G34,G39,G44)</f>
        <v>2638.52242744063</v>
      </c>
      <c r="H46" s="964" t="n">
        <f aca="false">SUM(H15,H22,H29,H34,H39,H44)</f>
        <v>9410.72999120493</v>
      </c>
      <c r="I46" s="964" t="n">
        <f aca="false">SUM(I15,I22,I29,I34,I39,I44)</f>
        <v>12938.6643356643</v>
      </c>
      <c r="J46" s="964" t="n">
        <f aca="false">SUM(J15,J22,J29,J34,J39,J44)</f>
        <v>5260.86956521739</v>
      </c>
      <c r="K46" s="964" t="n">
        <f aca="false">SUM(K15,K22,K29,K34,K39,K44)</f>
        <v>18755.4122731201</v>
      </c>
      <c r="L46" s="964" t="n">
        <f aca="false">SUM(L15,L22,L29,L34,L39,L44)</f>
        <v>5760.9630266552</v>
      </c>
      <c r="M46" s="964" t="n">
        <f aca="false">SUM(M15,M22,M29,M34,M39,M44)</f>
        <v>5692.43840271878</v>
      </c>
      <c r="N46" s="964" t="n">
        <f aca="false">SUM(N15,N22,N29,N34,N39,N44)</f>
        <v>21168.1239460371</v>
      </c>
      <c r="O46" s="964" t="n">
        <f aca="false">SUM(O15,O22,O29,O34,O39,O44)</f>
        <v>6065.01597981497</v>
      </c>
      <c r="P46" s="964" t="n">
        <f aca="false">SUM(P15,P22,P29,P34,P39,P44)</f>
        <v>9453.00016840687</v>
      </c>
      <c r="Q46" s="964" t="n">
        <f aca="false">SUM(Q15,Q22,Q29,Q34,Q39,Q44)</f>
        <v>14376.499751285</v>
      </c>
      <c r="R46" s="964" t="n">
        <f aca="false">SUM(R15,R22,R29,R34,R39,R44)</f>
        <v>1524.45025380711</v>
      </c>
      <c r="S46" s="964" t="n">
        <f aca="false">SUM(S15,S22,S29,S34,S39,S44)</f>
        <v>0</v>
      </c>
      <c r="T46" s="964" t="n">
        <f aca="false">SUM(T15,T22,T29,T34,T39,T44)</f>
        <v>1919.38975501114</v>
      </c>
      <c r="U46" s="964" t="n">
        <f aca="false">SUM(U15,U22,U29,U34,U39,U44)</f>
        <v>26661.3430267062</v>
      </c>
      <c r="V46" s="964" t="n">
        <f aca="false">SUM(V15,V22,V29,V34,V39,V44)</f>
        <v>0</v>
      </c>
      <c r="W46" s="964" t="n">
        <f aca="false">SUM(W15,W22,W29,W34,W39,W44)</f>
        <v>18268.6489870248</v>
      </c>
      <c r="X46" s="964" t="n">
        <f aca="false">SUM(X15,X22,X29,X34,X39,X44)</f>
        <v>2521.55316804408</v>
      </c>
      <c r="Y46" s="964" t="n">
        <f aca="false">SUM(Y15,Y22,Y29,Y34,Y39,Y44)</f>
        <v>0</v>
      </c>
      <c r="Z46" s="964" t="n">
        <f aca="false">SUM(Z15,Z22,Z29,Z34,Z39,Z44)</f>
        <v>1807.03480206003</v>
      </c>
      <c r="AA46" s="964" t="n">
        <f aca="false">SUM(AA15,AA22,AA29,AA34,AA39,AA44)</f>
        <v>1897.12779825909</v>
      </c>
      <c r="AB46" s="964" t="n">
        <f aca="false">SUM(AB15,AB22,AB29,AB34,AB39,AB44)</f>
        <v>834.19446091434</v>
      </c>
      <c r="AC46" s="964" t="n">
        <f aca="false">SUM(AC15,AC22,AC29,AC34,AC39,AC44)</f>
        <v>-413.826741196199</v>
      </c>
      <c r="AD46" s="964" t="n">
        <f aca="false">SUM(AD15,AD22,AD29,AD34,AD39,AD44)</f>
        <v>1208.91367066134</v>
      </c>
      <c r="AE46" s="964" t="n">
        <f aca="false">SUM(AE15,AE22,AE29,AE34,AE39,AE44)</f>
        <v>-89.0094445693725</v>
      </c>
      <c r="AF46" s="964" t="n">
        <f aca="false">SUM(AF15,AF22,AF29,AF34,AF39,AF44)</f>
        <v>-1783.9758141132</v>
      </c>
      <c r="AG46" s="964" t="n">
        <f aca="false">SUM(AG15,AG22,AG29,AG34,AG39,AG44)</f>
        <v>13569.9736261521</v>
      </c>
      <c r="AH46" s="964" t="n">
        <f aca="false">SUM(AH15,AH22,AH29,AH34,AH39,AH44)</f>
        <v>1069.97362615215</v>
      </c>
      <c r="AI46" s="964" t="n">
        <f aca="false">SUM(AI15,AI22,AI29,AI34,AI39,AI44)</f>
        <v>1069.97362615215</v>
      </c>
      <c r="AJ46" s="964" t="n">
        <f aca="false">SUM(AJ15,AJ22,AJ29,AJ34,AJ39,AJ44)</f>
        <v>4772.06599916007</v>
      </c>
      <c r="AK46" s="964" t="n">
        <f aca="false">SUM(AK15,AK22,AK29,AK34,AK39,AK44)</f>
        <v>20127.4313394696</v>
      </c>
      <c r="AL46" s="964" t="n">
        <f aca="false">SUM(AL15,AL22,AL29,AL34,AL39,AL44)</f>
        <v>30597.490424818</v>
      </c>
      <c r="AM46" s="964" t="n">
        <f aca="false">SUM(AM15,AM22,AM29,AM34,AM39,AM44)</f>
        <v>1069.97362615215</v>
      </c>
      <c r="AN46" s="964" t="n">
        <f aca="false">SUM(AN15,AN22,AN29,AN34,AN39,AN44)</f>
        <v>1069.97362615215</v>
      </c>
      <c r="AO46" s="964" t="n">
        <f aca="false">SUM(AO15,AO22,AO29,AO34,AO39,AO44)</f>
        <v>20127.4313394696</v>
      </c>
      <c r="AP46" s="964" t="n">
        <f aca="false">SUM(AP15,AP22,AP29,AP34,AP39,AP44)</f>
        <v>1069.97362615215</v>
      </c>
      <c r="AQ46" s="964" t="n">
        <f aca="false">SUM(AQ15,AQ22,AQ29,AQ34,AQ39,AQ44)</f>
        <v>1069.97362615215</v>
      </c>
      <c r="AR46" s="964" t="n">
        <f aca="false">SUM(AR15,AR22,AR29,AR34,AR39,AR44)</f>
        <v>1069.97362615215</v>
      </c>
      <c r="AS46" s="964" t="n">
        <f aca="false">SUM(AS15,AS22,AS29,AS34,AS39,AS44)</f>
        <v>20127.4313394696</v>
      </c>
      <c r="AT46" s="964" t="n">
        <f aca="false">SUM(AT15,AT22,AT29,AT34,AT39,AT44)</f>
        <v>1069.97362615215</v>
      </c>
      <c r="AU46" s="964" t="n">
        <f aca="false">SUM(AU15,AU22,AU29,AU34,AU39,AU44)</f>
        <v>1069.97362615215</v>
      </c>
      <c r="AV46" s="964" t="n">
        <f aca="false">SUM(AV15,AV22,AV29,AV34,AV39,AV44)</f>
        <v>1069.97362615215</v>
      </c>
      <c r="AW46" s="964" t="n">
        <f aca="false">SUM(AW15,AW22,AW29,AW34,AW39,AW44)</f>
        <v>24306.8396728029</v>
      </c>
      <c r="AX46" s="964" t="n">
        <f aca="false">SUM(AX15,AX22,AX29,AX34,AX39,AX44)</f>
        <v>0</v>
      </c>
      <c r="AY46" s="964" t="n">
        <f aca="false">SUM(AY15,AY22,AY29,AY34,AY39,AY44)</f>
        <v>0</v>
      </c>
      <c r="AZ46" s="939"/>
      <c r="BA46" s="965" t="n">
        <f aca="false">SUM(E46:AY46)</f>
        <v>317802.691678343</v>
      </c>
      <c r="BB46" s="937"/>
      <c r="BC46" s="966" t="n">
        <f aca="false">0.0434*BA46</f>
        <v>13792.6368188401</v>
      </c>
      <c r="BD46" s="937"/>
      <c r="BE46" s="937"/>
      <c r="BF46" s="966"/>
      <c r="BG46" s="937"/>
      <c r="BH46" s="937"/>
      <c r="BI46" s="937"/>
      <c r="BJ46" s="937"/>
      <c r="BK46" s="937"/>
      <c r="BL46" s="937"/>
      <c r="BM46" s="937"/>
      <c r="BN46" s="937"/>
      <c r="BO46" s="937"/>
      <c r="BP46" s="937"/>
      <c r="BQ46" s="937"/>
      <c r="BR46" s="937"/>
      <c r="BS46" s="937"/>
      <c r="BT46" s="937"/>
      <c r="BU46" s="937"/>
      <c r="BV46" s="937"/>
      <c r="BW46" s="937"/>
      <c r="BX46" s="937"/>
      <c r="BY46" s="937"/>
      <c r="BZ46" s="937"/>
      <c r="CA46" s="937"/>
      <c r="CB46" s="937"/>
      <c r="CC46" s="937"/>
      <c r="CD46" s="937"/>
      <c r="CE46" s="937"/>
      <c r="CF46" s="937"/>
      <c r="CG46" s="937"/>
      <c r="CH46" s="937"/>
      <c r="CI46" s="937"/>
      <c r="CJ46" s="937"/>
      <c r="CK46" s="937"/>
      <c r="CL46" s="937"/>
      <c r="CM46" s="937"/>
      <c r="CN46" s="937"/>
      <c r="CO46" s="937"/>
      <c r="CP46" s="937"/>
      <c r="CQ46" s="937"/>
      <c r="CR46" s="937"/>
      <c r="CS46" s="937"/>
      <c r="CT46" s="937"/>
      <c r="CU46" s="937"/>
      <c r="CV46" s="937"/>
      <c r="CW46" s="937"/>
      <c r="CX46" s="937"/>
      <c r="CY46" s="937"/>
      <c r="CZ46" s="937"/>
      <c r="DA46" s="937"/>
      <c r="DB46" s="937"/>
      <c r="DC46" s="937"/>
      <c r="DD46" s="937"/>
      <c r="DE46" s="937"/>
      <c r="DF46" s="937"/>
      <c r="DG46" s="937"/>
      <c r="DH46" s="937"/>
      <c r="DI46" s="937"/>
      <c r="DJ46" s="937"/>
      <c r="DK46" s="937"/>
      <c r="DL46" s="937"/>
      <c r="DM46" s="937"/>
      <c r="DN46" s="937"/>
      <c r="DO46" s="937"/>
      <c r="DP46" s="937"/>
      <c r="DQ46" s="937"/>
      <c r="DR46" s="937"/>
      <c r="DS46" s="937"/>
      <c r="DT46" s="937"/>
      <c r="DU46" s="937"/>
      <c r="DV46" s="937"/>
      <c r="DW46" s="937"/>
      <c r="DX46" s="937"/>
      <c r="DY46" s="937"/>
      <c r="DZ46" s="937"/>
      <c r="EA46" s="937"/>
      <c r="EB46" s="937"/>
      <c r="EC46" s="937"/>
      <c r="ED46" s="937"/>
      <c r="EE46" s="937"/>
      <c r="EF46" s="937"/>
      <c r="EG46" s="937"/>
      <c r="EH46" s="937"/>
      <c r="EI46" s="937"/>
      <c r="EJ46" s="937"/>
      <c r="EK46" s="937"/>
      <c r="EL46" s="937"/>
      <c r="EM46" s="937"/>
      <c r="EN46" s="937"/>
      <c r="EO46" s="937"/>
      <c r="EP46" s="937"/>
      <c r="EQ46" s="937"/>
      <c r="ER46" s="937"/>
      <c r="ES46" s="937"/>
      <c r="ET46" s="937"/>
      <c r="EU46" s="937"/>
      <c r="EV46" s="937"/>
      <c r="EW46" s="937"/>
      <c r="EX46" s="937"/>
      <c r="EY46" s="937"/>
      <c r="EZ46" s="937"/>
      <c r="FA46" s="937"/>
      <c r="FB46" s="937"/>
      <c r="FC46" s="937"/>
      <c r="FD46" s="937"/>
      <c r="FE46" s="937"/>
      <c r="FF46" s="937"/>
      <c r="FG46" s="937"/>
      <c r="FH46" s="937"/>
      <c r="FI46" s="937"/>
      <c r="FJ46" s="937"/>
      <c r="FK46" s="937"/>
      <c r="FL46" s="937"/>
      <c r="FM46" s="937"/>
      <c r="FN46" s="937"/>
      <c r="FO46" s="937"/>
      <c r="FP46" s="937"/>
      <c r="FQ46" s="937"/>
      <c r="FR46" s="937"/>
      <c r="FS46" s="937"/>
      <c r="FT46" s="937"/>
      <c r="FU46" s="937"/>
      <c r="FV46" s="937"/>
      <c r="FW46" s="937"/>
      <c r="FX46" s="937"/>
      <c r="FY46" s="937"/>
      <c r="FZ46" s="937"/>
      <c r="GA46" s="937"/>
      <c r="GB46" s="937"/>
      <c r="GC46" s="937"/>
      <c r="GD46" s="937"/>
      <c r="GE46" s="937"/>
      <c r="GF46" s="937"/>
      <c r="GG46" s="937"/>
      <c r="GH46" s="937"/>
      <c r="GI46" s="937"/>
      <c r="GJ46" s="937"/>
      <c r="GK46" s="937"/>
      <c r="GL46" s="937"/>
      <c r="GM46" s="937"/>
      <c r="GN46" s="937"/>
      <c r="GO46" s="937"/>
      <c r="GP46" s="937"/>
      <c r="GQ46" s="937"/>
      <c r="GR46" s="937"/>
      <c r="GS46" s="937"/>
      <c r="GT46" s="937"/>
      <c r="GU46" s="937"/>
      <c r="GV46" s="937"/>
      <c r="GW46" s="937"/>
      <c r="GX46" s="937"/>
      <c r="GY46" s="937"/>
      <c r="GZ46" s="937"/>
      <c r="HA46" s="937"/>
      <c r="HB46" s="937"/>
      <c r="HC46" s="937"/>
      <c r="HD46" s="937"/>
      <c r="HE46" s="937"/>
      <c r="HF46" s="937"/>
      <c r="HG46" s="937"/>
      <c r="HH46" s="937"/>
      <c r="HI46" s="937"/>
      <c r="HJ46" s="937"/>
      <c r="HK46" s="937"/>
      <c r="HL46" s="937"/>
      <c r="HM46" s="937"/>
      <c r="HN46" s="937"/>
      <c r="HO46" s="937"/>
      <c r="HP46" s="937"/>
      <c r="HQ46" s="937"/>
      <c r="HR46" s="937"/>
      <c r="HS46" s="937"/>
      <c r="HT46" s="937"/>
      <c r="HU46" s="937"/>
      <c r="HV46" s="937"/>
      <c r="HW46" s="937"/>
      <c r="HX46" s="937"/>
      <c r="HY46" s="937"/>
      <c r="HZ46" s="937"/>
      <c r="IA46" s="937"/>
      <c r="IB46" s="937"/>
      <c r="IC46" s="937"/>
      <c r="ID46" s="937"/>
      <c r="IE46" s="937"/>
      <c r="IF46" s="937"/>
      <c r="IG46" s="937"/>
      <c r="IH46" s="937"/>
      <c r="II46" s="937"/>
      <c r="IJ46" s="937"/>
      <c r="IK46" s="937"/>
      <c r="IL46" s="937"/>
      <c r="IM46" s="937"/>
      <c r="IN46" s="937"/>
      <c r="IO46" s="937"/>
      <c r="IP46" s="937"/>
      <c r="IQ46" s="937"/>
      <c r="IR46" s="937"/>
      <c r="IS46" s="937"/>
      <c r="IT46" s="937"/>
      <c r="IU46" s="937"/>
      <c r="IV46" s="937"/>
      <c r="IW46" s="937"/>
    </row>
    <row r="47" customFormat="false" ht="12.75" hidden="false" customHeight="false" outlineLevel="0" collapsed="false">
      <c r="A47" s="967"/>
      <c r="B47" s="945"/>
      <c r="C47" s="945"/>
      <c r="D47" s="945"/>
      <c r="E47" s="959" t="n">
        <v>6003.23566308244</v>
      </c>
      <c r="F47" s="959" t="n">
        <v>598.66518254675</v>
      </c>
      <c r="G47" s="959" t="n">
        <v>3329.61530061566</v>
      </c>
      <c r="H47" s="959" t="n">
        <v>9253.85365610378</v>
      </c>
      <c r="I47" s="959" t="n">
        <v>11579.7699294624</v>
      </c>
      <c r="J47" s="959" t="n">
        <v>4361.26385067826</v>
      </c>
      <c r="K47" s="959" t="n">
        <v>20576.4721866897</v>
      </c>
      <c r="L47" s="959" t="n">
        <v>5131.36687876182</v>
      </c>
      <c r="M47" s="959" t="n">
        <v>2817.12812234494</v>
      </c>
      <c r="N47" s="959" t="n">
        <v>20703.3362057336</v>
      </c>
      <c r="O47" s="959" t="n">
        <v>3948.16714045416</v>
      </c>
      <c r="P47" s="959" t="n">
        <v>5242.13154260694</v>
      </c>
      <c r="Q47" s="959" t="n">
        <v>23542.8263140441</v>
      </c>
      <c r="R47" s="959" t="n">
        <v>912.314720812183</v>
      </c>
      <c r="S47" s="959" t="n">
        <v>1399.39521987602</v>
      </c>
      <c r="T47" s="959" t="n">
        <v>2398.69479398664</v>
      </c>
      <c r="U47" s="959" t="n">
        <v>15098.0608367953</v>
      </c>
      <c r="V47" s="959" t="n">
        <v>3122.7826450116</v>
      </c>
      <c r="W47" s="959" t="n">
        <v>19287.3119053039</v>
      </c>
      <c r="X47" s="959" t="n">
        <v>5074.6807493113</v>
      </c>
      <c r="Y47" s="959" t="n">
        <v>2942.69783391618</v>
      </c>
      <c r="Z47" s="959" t="n">
        <v>3385.16383498934</v>
      </c>
      <c r="AA47" s="959" t="n">
        <v>2984.39724014337</v>
      </c>
      <c r="AB47" s="959" t="n">
        <v>2607.56818016331</v>
      </c>
      <c r="AC47" s="959" t="n">
        <v>2791.08293460034</v>
      </c>
      <c r="AD47" s="959" t="n">
        <v>1091.14763648469</v>
      </c>
      <c r="AE47" s="959" t="n">
        <v>3766.70789296155</v>
      </c>
      <c r="AF47" s="959" t="n">
        <v>2338.55430664454</v>
      </c>
      <c r="AG47" s="945"/>
      <c r="AH47" s="945"/>
      <c r="AI47" s="945"/>
      <c r="AJ47" s="945"/>
      <c r="AK47" s="945"/>
      <c r="AL47" s="945"/>
      <c r="AM47" s="945"/>
      <c r="AN47" s="945"/>
      <c r="AO47" s="945"/>
      <c r="AP47" s="945"/>
      <c r="AQ47" s="945"/>
      <c r="AR47" s="945"/>
      <c r="AS47" s="945"/>
      <c r="AT47" s="945"/>
      <c r="AU47" s="945"/>
      <c r="AV47" s="945"/>
      <c r="AW47" s="945"/>
      <c r="AX47" s="945"/>
      <c r="AY47" s="945"/>
      <c r="AZ47" s="945"/>
      <c r="BA47" s="946"/>
      <c r="BB47" s="937" t="s">
        <v>762</v>
      </c>
      <c r="BC47" s="937"/>
      <c r="BD47" s="937"/>
      <c r="BE47" s="937"/>
      <c r="BF47" s="937"/>
      <c r="BG47" s="937"/>
      <c r="BH47" s="937"/>
      <c r="BI47" s="937"/>
      <c r="BJ47" s="937"/>
      <c r="BK47" s="937"/>
      <c r="BL47" s="937"/>
      <c r="BM47" s="937"/>
      <c r="BN47" s="937"/>
      <c r="BO47" s="937"/>
      <c r="BP47" s="937"/>
      <c r="BQ47" s="937"/>
      <c r="BR47" s="937"/>
      <c r="BS47" s="937"/>
      <c r="BT47" s="937"/>
      <c r="BU47" s="937"/>
      <c r="BV47" s="937"/>
      <c r="BW47" s="937"/>
      <c r="BX47" s="937"/>
      <c r="BY47" s="937"/>
      <c r="BZ47" s="937"/>
      <c r="CA47" s="937"/>
      <c r="CB47" s="937"/>
      <c r="CC47" s="937"/>
      <c r="CD47" s="937"/>
      <c r="CE47" s="937"/>
      <c r="CF47" s="937"/>
      <c r="CG47" s="937"/>
      <c r="CH47" s="937"/>
      <c r="CI47" s="937"/>
      <c r="CJ47" s="937"/>
      <c r="CK47" s="937"/>
      <c r="CL47" s="937"/>
      <c r="CM47" s="937"/>
      <c r="CN47" s="937"/>
      <c r="CO47" s="937"/>
      <c r="CP47" s="937"/>
      <c r="CQ47" s="937"/>
      <c r="CR47" s="937"/>
      <c r="CS47" s="937"/>
      <c r="CT47" s="937"/>
      <c r="CU47" s="937"/>
      <c r="CV47" s="937"/>
      <c r="CW47" s="937"/>
      <c r="CX47" s="937"/>
      <c r="CY47" s="937"/>
      <c r="CZ47" s="937"/>
      <c r="DA47" s="937"/>
      <c r="DB47" s="937"/>
      <c r="DC47" s="937"/>
      <c r="DD47" s="937"/>
      <c r="DE47" s="937"/>
      <c r="DF47" s="937"/>
      <c r="DG47" s="937"/>
      <c r="DH47" s="937"/>
      <c r="DI47" s="937"/>
      <c r="DJ47" s="937"/>
      <c r="DK47" s="937"/>
      <c r="DL47" s="937"/>
      <c r="DM47" s="937"/>
      <c r="DN47" s="937"/>
      <c r="DO47" s="937"/>
      <c r="DP47" s="937"/>
      <c r="DQ47" s="937"/>
      <c r="DR47" s="937"/>
      <c r="DS47" s="937"/>
      <c r="DT47" s="937"/>
      <c r="DU47" s="937"/>
      <c r="DV47" s="937"/>
      <c r="DW47" s="937"/>
      <c r="DX47" s="937"/>
      <c r="DY47" s="937"/>
      <c r="DZ47" s="937"/>
      <c r="EA47" s="937"/>
      <c r="EB47" s="937"/>
      <c r="EC47" s="937"/>
      <c r="ED47" s="937"/>
      <c r="EE47" s="937"/>
      <c r="EF47" s="937"/>
      <c r="EG47" s="937"/>
      <c r="EH47" s="937"/>
      <c r="EI47" s="937"/>
      <c r="EJ47" s="937"/>
      <c r="EK47" s="937"/>
      <c r="EL47" s="937"/>
      <c r="EM47" s="937"/>
      <c r="EN47" s="937"/>
      <c r="EO47" s="937"/>
      <c r="EP47" s="937"/>
      <c r="EQ47" s="937"/>
      <c r="ER47" s="937"/>
      <c r="ES47" s="937"/>
      <c r="ET47" s="937"/>
      <c r="EU47" s="937"/>
      <c r="EV47" s="937"/>
      <c r="EW47" s="937"/>
      <c r="EX47" s="937"/>
      <c r="EY47" s="937"/>
      <c r="EZ47" s="937"/>
      <c r="FA47" s="937"/>
      <c r="FB47" s="937"/>
      <c r="FC47" s="937"/>
      <c r="FD47" s="937"/>
      <c r="FE47" s="937"/>
      <c r="FF47" s="937"/>
      <c r="FG47" s="937"/>
      <c r="FH47" s="937"/>
      <c r="FI47" s="937"/>
      <c r="FJ47" s="937"/>
      <c r="FK47" s="937"/>
      <c r="FL47" s="937"/>
      <c r="FM47" s="937"/>
      <c r="FN47" s="937"/>
      <c r="FO47" s="937"/>
      <c r="FP47" s="937"/>
      <c r="FQ47" s="937"/>
      <c r="FR47" s="937"/>
      <c r="FS47" s="937"/>
      <c r="FT47" s="937"/>
      <c r="FU47" s="937"/>
      <c r="FV47" s="937"/>
      <c r="FW47" s="937"/>
      <c r="FX47" s="937"/>
      <c r="FY47" s="937"/>
      <c r="FZ47" s="937"/>
      <c r="GA47" s="937"/>
      <c r="GB47" s="937"/>
      <c r="GC47" s="937"/>
      <c r="GD47" s="937"/>
      <c r="GE47" s="937"/>
      <c r="GF47" s="937"/>
      <c r="GG47" s="937"/>
      <c r="GH47" s="937"/>
      <c r="GI47" s="937"/>
      <c r="GJ47" s="937"/>
      <c r="GK47" s="937"/>
      <c r="GL47" s="937"/>
      <c r="GM47" s="937"/>
      <c r="GN47" s="937"/>
      <c r="GO47" s="937"/>
      <c r="GP47" s="937"/>
      <c r="GQ47" s="937"/>
      <c r="GR47" s="937"/>
      <c r="GS47" s="937"/>
      <c r="GT47" s="937"/>
      <c r="GU47" s="937"/>
      <c r="GV47" s="937"/>
      <c r="GW47" s="937"/>
      <c r="GX47" s="937"/>
      <c r="GY47" s="937"/>
      <c r="GZ47" s="937"/>
      <c r="HA47" s="937"/>
      <c r="HB47" s="937"/>
      <c r="HC47" s="937"/>
      <c r="HD47" s="937"/>
      <c r="HE47" s="937"/>
      <c r="HF47" s="937"/>
      <c r="HG47" s="937"/>
      <c r="HH47" s="937"/>
      <c r="HI47" s="937"/>
      <c r="HJ47" s="937"/>
      <c r="HK47" s="937"/>
      <c r="HL47" s="937"/>
      <c r="HM47" s="937"/>
      <c r="HN47" s="937"/>
      <c r="HO47" s="937"/>
      <c r="HP47" s="937"/>
      <c r="HQ47" s="937"/>
      <c r="HR47" s="937"/>
      <c r="HS47" s="937"/>
      <c r="HT47" s="937"/>
      <c r="HU47" s="937"/>
      <c r="HV47" s="937"/>
      <c r="HW47" s="937"/>
      <c r="HX47" s="937"/>
      <c r="HY47" s="937"/>
      <c r="HZ47" s="937"/>
      <c r="IA47" s="937"/>
      <c r="IB47" s="937"/>
      <c r="IC47" s="937"/>
      <c r="ID47" s="937"/>
      <c r="IE47" s="937"/>
      <c r="IF47" s="937"/>
      <c r="IG47" s="937"/>
      <c r="IH47" s="937"/>
      <c r="II47" s="937"/>
      <c r="IJ47" s="937"/>
      <c r="IK47" s="937"/>
      <c r="IL47" s="937"/>
      <c r="IM47" s="937"/>
      <c r="IN47" s="937"/>
      <c r="IO47" s="937"/>
      <c r="IP47" s="937"/>
      <c r="IQ47" s="937"/>
      <c r="IR47" s="937"/>
      <c r="IS47" s="937"/>
      <c r="IT47" s="937"/>
      <c r="IU47" s="937"/>
      <c r="IV47" s="937"/>
      <c r="IW47" s="937"/>
    </row>
    <row r="48" customFormat="false" ht="12.75" hidden="false" customHeight="false" outlineLevel="0" collapsed="false">
      <c r="A48" s="967"/>
      <c r="B48" s="945"/>
      <c r="C48" s="945"/>
      <c r="D48" s="945"/>
      <c r="E48" s="945"/>
      <c r="F48" s="945"/>
      <c r="G48" s="945"/>
      <c r="H48" s="945"/>
      <c r="I48" s="945"/>
      <c r="J48" s="945"/>
      <c r="K48" s="945"/>
      <c r="L48" s="945"/>
      <c r="M48" s="945"/>
      <c r="N48" s="945"/>
      <c r="O48" s="945"/>
      <c r="P48" s="945"/>
      <c r="Q48" s="945"/>
      <c r="R48" s="945"/>
      <c r="S48" s="945"/>
      <c r="T48" s="945"/>
      <c r="U48" s="945"/>
      <c r="V48" s="945"/>
      <c r="W48" s="945"/>
      <c r="X48" s="945"/>
      <c r="Y48" s="945"/>
      <c r="Z48" s="945"/>
      <c r="AA48" s="945"/>
      <c r="AB48" s="945"/>
      <c r="AC48" s="945"/>
      <c r="AD48" s="945"/>
      <c r="AE48" s="945"/>
      <c r="AF48" s="945"/>
      <c r="AG48" s="945"/>
      <c r="AH48" s="945"/>
      <c r="AI48" s="945"/>
      <c r="AJ48" s="945"/>
      <c r="AK48" s="945"/>
      <c r="AL48" s="945"/>
      <c r="AM48" s="945"/>
      <c r="AN48" s="945"/>
      <c r="AO48" s="945"/>
      <c r="AP48" s="945"/>
      <c r="AQ48" s="945"/>
      <c r="AR48" s="945"/>
      <c r="AS48" s="945"/>
      <c r="AT48" s="945"/>
      <c r="AU48" s="945"/>
      <c r="AV48" s="945"/>
      <c r="AW48" s="945"/>
      <c r="AX48" s="945"/>
      <c r="AY48" s="945"/>
      <c r="AZ48" s="945"/>
      <c r="BA48" s="946"/>
      <c r="BB48" s="968" t="s">
        <v>1298</v>
      </c>
      <c r="BC48" s="937"/>
      <c r="BD48" s="937"/>
      <c r="BE48" s="937"/>
      <c r="BF48" s="937"/>
      <c r="BG48" s="937"/>
      <c r="BH48" s="937"/>
      <c r="BI48" s="937"/>
      <c r="BJ48" s="937"/>
      <c r="BK48" s="937"/>
      <c r="BL48" s="937"/>
      <c r="BM48" s="937"/>
      <c r="BN48" s="937"/>
      <c r="BO48" s="937"/>
      <c r="BP48" s="937"/>
      <c r="BQ48" s="937"/>
      <c r="BR48" s="937"/>
      <c r="BS48" s="937"/>
      <c r="BT48" s="937"/>
      <c r="BU48" s="937"/>
      <c r="BV48" s="937"/>
      <c r="BW48" s="937"/>
      <c r="BX48" s="937"/>
      <c r="BY48" s="937"/>
      <c r="BZ48" s="937"/>
      <c r="CA48" s="937"/>
      <c r="CB48" s="937"/>
      <c r="CC48" s="937"/>
      <c r="CD48" s="937"/>
      <c r="CE48" s="937"/>
      <c r="CF48" s="937"/>
      <c r="CG48" s="937"/>
      <c r="CH48" s="937"/>
      <c r="CI48" s="937"/>
      <c r="CJ48" s="937"/>
      <c r="CK48" s="937"/>
      <c r="CL48" s="937"/>
      <c r="CM48" s="937"/>
      <c r="CN48" s="937"/>
      <c r="CO48" s="937"/>
      <c r="CP48" s="937"/>
      <c r="CQ48" s="937"/>
      <c r="CR48" s="937"/>
      <c r="CS48" s="937"/>
      <c r="CT48" s="937"/>
      <c r="CU48" s="937"/>
      <c r="CV48" s="937"/>
      <c r="CW48" s="937"/>
      <c r="CX48" s="937"/>
      <c r="CY48" s="937"/>
      <c r="CZ48" s="937"/>
      <c r="DA48" s="937"/>
      <c r="DB48" s="937"/>
      <c r="DC48" s="937"/>
      <c r="DD48" s="937"/>
      <c r="DE48" s="937"/>
      <c r="DF48" s="937"/>
      <c r="DG48" s="937"/>
      <c r="DH48" s="937"/>
      <c r="DI48" s="937"/>
      <c r="DJ48" s="937"/>
      <c r="DK48" s="937"/>
      <c r="DL48" s="937"/>
      <c r="DM48" s="937"/>
      <c r="DN48" s="937"/>
      <c r="DO48" s="937"/>
      <c r="DP48" s="937"/>
      <c r="DQ48" s="937"/>
      <c r="DR48" s="937"/>
      <c r="DS48" s="937"/>
      <c r="DT48" s="937"/>
      <c r="DU48" s="937"/>
      <c r="DV48" s="937"/>
      <c r="DW48" s="937"/>
      <c r="DX48" s="937"/>
      <c r="DY48" s="937"/>
      <c r="DZ48" s="937"/>
      <c r="EA48" s="937"/>
      <c r="EB48" s="937"/>
      <c r="EC48" s="937"/>
      <c r="ED48" s="937"/>
      <c r="EE48" s="937"/>
      <c r="EF48" s="937"/>
      <c r="EG48" s="937"/>
      <c r="EH48" s="937"/>
      <c r="EI48" s="937"/>
      <c r="EJ48" s="937"/>
      <c r="EK48" s="937"/>
      <c r="EL48" s="937"/>
      <c r="EM48" s="937"/>
      <c r="EN48" s="937"/>
      <c r="EO48" s="937"/>
      <c r="EP48" s="937"/>
      <c r="EQ48" s="937"/>
      <c r="ER48" s="937"/>
      <c r="ES48" s="937"/>
      <c r="ET48" s="937"/>
      <c r="EU48" s="937"/>
      <c r="EV48" s="937"/>
      <c r="EW48" s="937"/>
      <c r="EX48" s="937"/>
      <c r="EY48" s="937"/>
      <c r="EZ48" s="937"/>
      <c r="FA48" s="937"/>
      <c r="FB48" s="937"/>
      <c r="FC48" s="937"/>
      <c r="FD48" s="937"/>
      <c r="FE48" s="937"/>
      <c r="FF48" s="937"/>
      <c r="FG48" s="937"/>
      <c r="FH48" s="937"/>
      <c r="FI48" s="937"/>
      <c r="FJ48" s="937"/>
      <c r="FK48" s="937"/>
      <c r="FL48" s="937"/>
      <c r="FM48" s="937"/>
      <c r="FN48" s="937"/>
      <c r="FO48" s="937"/>
      <c r="FP48" s="937"/>
      <c r="FQ48" s="937"/>
      <c r="FR48" s="937"/>
      <c r="FS48" s="937"/>
      <c r="FT48" s="937"/>
      <c r="FU48" s="937"/>
      <c r="FV48" s="937"/>
      <c r="FW48" s="937"/>
      <c r="FX48" s="937"/>
      <c r="FY48" s="937"/>
      <c r="FZ48" s="937"/>
      <c r="GA48" s="937"/>
      <c r="GB48" s="937"/>
      <c r="GC48" s="937"/>
      <c r="GD48" s="937"/>
      <c r="GE48" s="937"/>
      <c r="GF48" s="937"/>
      <c r="GG48" s="937"/>
      <c r="GH48" s="937"/>
      <c r="GI48" s="937"/>
      <c r="GJ48" s="937"/>
      <c r="GK48" s="937"/>
      <c r="GL48" s="937"/>
      <c r="GM48" s="937"/>
      <c r="GN48" s="937"/>
      <c r="GO48" s="937"/>
      <c r="GP48" s="937"/>
      <c r="GQ48" s="937"/>
      <c r="GR48" s="937"/>
      <c r="GS48" s="937"/>
      <c r="GT48" s="937"/>
      <c r="GU48" s="937"/>
      <c r="GV48" s="937"/>
      <c r="GW48" s="937"/>
      <c r="GX48" s="937"/>
      <c r="GY48" s="937"/>
      <c r="GZ48" s="937"/>
      <c r="HA48" s="937"/>
      <c r="HB48" s="937"/>
      <c r="HC48" s="937"/>
      <c r="HD48" s="937"/>
      <c r="HE48" s="937"/>
      <c r="HF48" s="937"/>
      <c r="HG48" s="937"/>
      <c r="HH48" s="937"/>
      <c r="HI48" s="937"/>
      <c r="HJ48" s="937"/>
      <c r="HK48" s="937"/>
      <c r="HL48" s="937"/>
      <c r="HM48" s="937"/>
      <c r="HN48" s="937"/>
      <c r="HO48" s="937"/>
      <c r="HP48" s="937"/>
      <c r="HQ48" s="937"/>
      <c r="HR48" s="937"/>
      <c r="HS48" s="937"/>
      <c r="HT48" s="937"/>
      <c r="HU48" s="937"/>
      <c r="HV48" s="937"/>
      <c r="HW48" s="937"/>
      <c r="HX48" s="937"/>
      <c r="HY48" s="937"/>
      <c r="HZ48" s="937"/>
      <c r="IA48" s="937"/>
      <c r="IB48" s="937"/>
      <c r="IC48" s="937"/>
      <c r="ID48" s="937"/>
      <c r="IE48" s="937"/>
      <c r="IF48" s="937"/>
      <c r="IG48" s="937"/>
      <c r="IH48" s="937"/>
      <c r="II48" s="937"/>
      <c r="IJ48" s="937"/>
      <c r="IK48" s="937"/>
      <c r="IL48" s="937"/>
      <c r="IM48" s="937"/>
      <c r="IN48" s="937"/>
      <c r="IO48" s="937"/>
      <c r="IP48" s="937"/>
      <c r="IQ48" s="937"/>
      <c r="IR48" s="937"/>
      <c r="IS48" s="937"/>
      <c r="IT48" s="937"/>
      <c r="IU48" s="937"/>
      <c r="IV48" s="937"/>
      <c r="IW48" s="937"/>
    </row>
    <row r="49" customFormat="false" ht="12.75" hidden="false" customHeight="false" outlineLevel="0" collapsed="false">
      <c r="A49" s="969" t="s">
        <v>1299</v>
      </c>
      <c r="B49" s="970"/>
      <c r="C49" s="970"/>
      <c r="D49" s="970"/>
      <c r="E49" s="971" t="n">
        <f aca="false">E7</f>
        <v>35765</v>
      </c>
      <c r="F49" s="971" t="n">
        <f aca="false">F7</f>
        <v>35796</v>
      </c>
      <c r="G49" s="971" t="n">
        <f aca="false">G7</f>
        <v>35827</v>
      </c>
      <c r="H49" s="971" t="n">
        <f aca="false">H7</f>
        <v>35855</v>
      </c>
      <c r="I49" s="971" t="n">
        <f aca="false">I7</f>
        <v>35886</v>
      </c>
      <c r="J49" s="971" t="n">
        <f aca="false">J7</f>
        <v>35916</v>
      </c>
      <c r="K49" s="971" t="n">
        <f aca="false">K7</f>
        <v>35947</v>
      </c>
      <c r="L49" s="971" t="n">
        <f aca="false">L7</f>
        <v>35977</v>
      </c>
      <c r="M49" s="971" t="n">
        <f aca="false">M7</f>
        <v>36008</v>
      </c>
      <c r="N49" s="971" t="n">
        <f aca="false">N7</f>
        <v>36039</v>
      </c>
      <c r="O49" s="971" t="n">
        <f aca="false">O7</f>
        <v>36069</v>
      </c>
      <c r="P49" s="971" t="n">
        <f aca="false">P7</f>
        <v>36100</v>
      </c>
      <c r="Q49" s="971" t="n">
        <f aca="false">Q7</f>
        <v>36130</v>
      </c>
      <c r="R49" s="971" t="n">
        <f aca="false">R7</f>
        <v>36161</v>
      </c>
      <c r="S49" s="971" t="n">
        <f aca="false">S7</f>
        <v>36192</v>
      </c>
      <c r="T49" s="971" t="n">
        <f aca="false">T7</f>
        <v>36220</v>
      </c>
      <c r="U49" s="971" t="n">
        <f aca="false">U7</f>
        <v>36251</v>
      </c>
      <c r="V49" s="971" t="n">
        <f aca="false">V7</f>
        <v>36281</v>
      </c>
      <c r="W49" s="971" t="n">
        <f aca="false">W7</f>
        <v>36312</v>
      </c>
      <c r="X49" s="971" t="n">
        <f aca="false">X7</f>
        <v>36342</v>
      </c>
      <c r="Y49" s="971" t="n">
        <f aca="false">Y7</f>
        <v>36373</v>
      </c>
      <c r="Z49" s="971" t="n">
        <f aca="false">Z7</f>
        <v>36404</v>
      </c>
      <c r="AA49" s="971" t="n">
        <f aca="false">AA7</f>
        <v>36434</v>
      </c>
      <c r="AB49" s="971" t="n">
        <f aca="false">AB7</f>
        <v>36465</v>
      </c>
      <c r="AC49" s="971" t="n">
        <f aca="false">AC7</f>
        <v>36495</v>
      </c>
      <c r="AD49" s="971" t="n">
        <f aca="false">AD7</f>
        <v>36526</v>
      </c>
      <c r="AE49" s="971" t="n">
        <f aca="false">AE7</f>
        <v>36557</v>
      </c>
      <c r="AF49" s="971" t="n">
        <f aca="false">AF7</f>
        <v>36586</v>
      </c>
      <c r="AG49" s="971" t="n">
        <f aca="false">AG7</f>
        <v>36617</v>
      </c>
      <c r="AH49" s="971" t="n">
        <f aca="false">AH7</f>
        <v>36647</v>
      </c>
      <c r="AI49" s="971" t="n">
        <f aca="false">AI7</f>
        <v>36678</v>
      </c>
      <c r="AJ49" s="971" t="n">
        <f aca="false">AJ7</f>
        <v>36708</v>
      </c>
      <c r="AK49" s="971" t="n">
        <f aca="false">AK7</f>
        <v>36739</v>
      </c>
      <c r="AL49" s="971" t="n">
        <f aca="false">AL7</f>
        <v>36770</v>
      </c>
      <c r="AM49" s="971" t="n">
        <f aca="false">AM7</f>
        <v>36800</v>
      </c>
      <c r="AN49" s="971" t="n">
        <f aca="false">AN7</f>
        <v>36831</v>
      </c>
      <c r="AO49" s="971" t="n">
        <f aca="false">AO7</f>
        <v>36861</v>
      </c>
      <c r="AP49" s="971" t="n">
        <f aca="false">AP7</f>
        <v>36892</v>
      </c>
      <c r="AQ49" s="971" t="n">
        <f aca="false">AQ7</f>
        <v>36923</v>
      </c>
      <c r="AR49" s="971" t="n">
        <f aca="false">AR7</f>
        <v>36951</v>
      </c>
      <c r="AS49" s="971" t="n">
        <f aca="false">AS7</f>
        <v>36982</v>
      </c>
      <c r="AT49" s="971" t="n">
        <f aca="false">AT7</f>
        <v>37012</v>
      </c>
      <c r="AU49" s="971" t="n">
        <f aca="false">AU7</f>
        <v>37043</v>
      </c>
      <c r="AV49" s="971" t="n">
        <f aca="false">AV7</f>
        <v>37073</v>
      </c>
      <c r="AW49" s="971" t="n">
        <f aca="false">AW7</f>
        <v>37104</v>
      </c>
      <c r="AX49" s="971" t="n">
        <f aca="false">AX7</f>
        <v>37135</v>
      </c>
      <c r="AY49" s="971" t="n">
        <f aca="false">AY7</f>
        <v>37165</v>
      </c>
      <c r="AZ49" s="970"/>
      <c r="BA49" s="972"/>
      <c r="BB49" s="973" t="n">
        <v>1</v>
      </c>
      <c r="BC49" s="937"/>
      <c r="BD49" s="937"/>
      <c r="BE49" s="937"/>
      <c r="BF49" s="937"/>
      <c r="BG49" s="937"/>
      <c r="BH49" s="937"/>
      <c r="BI49" s="937"/>
      <c r="BJ49" s="937"/>
      <c r="BK49" s="937"/>
      <c r="BL49" s="937"/>
      <c r="BM49" s="937"/>
      <c r="BN49" s="937"/>
      <c r="BO49" s="937"/>
      <c r="BP49" s="937"/>
      <c r="BQ49" s="937"/>
      <c r="BR49" s="937"/>
      <c r="BS49" s="937"/>
      <c r="BT49" s="937"/>
      <c r="BU49" s="937"/>
      <c r="BV49" s="937"/>
      <c r="BW49" s="937"/>
      <c r="BX49" s="937"/>
      <c r="BY49" s="937"/>
      <c r="BZ49" s="937"/>
      <c r="CA49" s="937"/>
      <c r="CB49" s="937"/>
      <c r="CC49" s="937"/>
      <c r="CD49" s="937"/>
      <c r="CE49" s="937"/>
      <c r="CF49" s="937"/>
      <c r="CG49" s="937"/>
      <c r="CH49" s="937"/>
      <c r="CI49" s="937"/>
      <c r="CJ49" s="937"/>
      <c r="CK49" s="937"/>
      <c r="CL49" s="937"/>
      <c r="CM49" s="937"/>
      <c r="CN49" s="937"/>
      <c r="CO49" s="937"/>
      <c r="CP49" s="937"/>
      <c r="CQ49" s="937"/>
      <c r="CR49" s="937"/>
      <c r="CS49" s="937"/>
      <c r="CT49" s="937"/>
      <c r="CU49" s="937"/>
      <c r="CV49" s="937"/>
      <c r="CW49" s="937"/>
      <c r="CX49" s="937"/>
      <c r="CY49" s="937"/>
      <c r="CZ49" s="937"/>
      <c r="DA49" s="937"/>
      <c r="DB49" s="937"/>
      <c r="DC49" s="937"/>
      <c r="DD49" s="937"/>
      <c r="DE49" s="937"/>
      <c r="DF49" s="937"/>
      <c r="DG49" s="937"/>
      <c r="DH49" s="937"/>
      <c r="DI49" s="937"/>
      <c r="DJ49" s="937"/>
      <c r="DK49" s="937"/>
      <c r="DL49" s="937"/>
      <c r="DM49" s="937"/>
      <c r="DN49" s="937"/>
      <c r="DO49" s="937"/>
      <c r="DP49" s="937"/>
      <c r="DQ49" s="937"/>
      <c r="DR49" s="937"/>
      <c r="DS49" s="937"/>
      <c r="DT49" s="937"/>
      <c r="DU49" s="937"/>
      <c r="DV49" s="937"/>
      <c r="DW49" s="937"/>
      <c r="DX49" s="937"/>
      <c r="DY49" s="937"/>
      <c r="DZ49" s="937"/>
      <c r="EA49" s="937"/>
      <c r="EB49" s="937"/>
      <c r="EC49" s="937"/>
      <c r="ED49" s="937"/>
      <c r="EE49" s="937"/>
      <c r="EF49" s="937"/>
      <c r="EG49" s="937"/>
      <c r="EH49" s="937"/>
      <c r="EI49" s="937"/>
      <c r="EJ49" s="937"/>
      <c r="EK49" s="937"/>
      <c r="EL49" s="937"/>
      <c r="EM49" s="937"/>
      <c r="EN49" s="937"/>
      <c r="EO49" s="937"/>
      <c r="EP49" s="937"/>
      <c r="EQ49" s="937"/>
      <c r="ER49" s="937"/>
      <c r="ES49" s="937"/>
      <c r="ET49" s="937"/>
      <c r="EU49" s="937"/>
      <c r="EV49" s="937"/>
      <c r="EW49" s="937"/>
      <c r="EX49" s="937"/>
      <c r="EY49" s="937"/>
      <c r="EZ49" s="937"/>
      <c r="FA49" s="937"/>
      <c r="FB49" s="937"/>
      <c r="FC49" s="937"/>
      <c r="FD49" s="937"/>
      <c r="FE49" s="937"/>
      <c r="FF49" s="937"/>
      <c r="FG49" s="937"/>
      <c r="FH49" s="937"/>
      <c r="FI49" s="937"/>
      <c r="FJ49" s="937"/>
      <c r="FK49" s="937"/>
      <c r="FL49" s="937"/>
      <c r="FM49" s="937"/>
      <c r="FN49" s="937"/>
      <c r="FO49" s="937"/>
      <c r="FP49" s="937"/>
      <c r="FQ49" s="937"/>
      <c r="FR49" s="937"/>
      <c r="FS49" s="937"/>
      <c r="FT49" s="937"/>
      <c r="FU49" s="937"/>
      <c r="FV49" s="937"/>
      <c r="FW49" s="937"/>
      <c r="FX49" s="937"/>
      <c r="FY49" s="937"/>
      <c r="FZ49" s="937"/>
      <c r="GA49" s="937"/>
      <c r="GB49" s="937"/>
      <c r="GC49" s="937"/>
      <c r="GD49" s="937"/>
      <c r="GE49" s="937"/>
      <c r="GF49" s="937"/>
      <c r="GG49" s="937"/>
      <c r="GH49" s="937"/>
      <c r="GI49" s="937"/>
      <c r="GJ49" s="937"/>
      <c r="GK49" s="937"/>
      <c r="GL49" s="937"/>
      <c r="GM49" s="937"/>
      <c r="GN49" s="937"/>
      <c r="GO49" s="937"/>
      <c r="GP49" s="937"/>
      <c r="GQ49" s="937"/>
      <c r="GR49" s="937"/>
      <c r="GS49" s="937"/>
      <c r="GT49" s="937"/>
      <c r="GU49" s="937"/>
      <c r="GV49" s="937"/>
      <c r="GW49" s="937"/>
      <c r="GX49" s="937"/>
      <c r="GY49" s="937"/>
      <c r="GZ49" s="937"/>
      <c r="HA49" s="937"/>
      <c r="HB49" s="937"/>
      <c r="HC49" s="937"/>
      <c r="HD49" s="937"/>
      <c r="HE49" s="937"/>
      <c r="HF49" s="937"/>
      <c r="HG49" s="937"/>
      <c r="HH49" s="937"/>
      <c r="HI49" s="937"/>
      <c r="HJ49" s="937"/>
      <c r="HK49" s="937"/>
      <c r="HL49" s="937"/>
      <c r="HM49" s="937"/>
      <c r="HN49" s="937"/>
      <c r="HO49" s="937"/>
      <c r="HP49" s="937"/>
      <c r="HQ49" s="937"/>
      <c r="HR49" s="937"/>
      <c r="HS49" s="937"/>
      <c r="HT49" s="937"/>
      <c r="HU49" s="937"/>
      <c r="HV49" s="937"/>
      <c r="HW49" s="937"/>
      <c r="HX49" s="937"/>
      <c r="HY49" s="937"/>
      <c r="HZ49" s="937"/>
      <c r="IA49" s="937"/>
      <c r="IB49" s="937"/>
      <c r="IC49" s="937"/>
      <c r="ID49" s="937"/>
      <c r="IE49" s="937"/>
      <c r="IF49" s="937"/>
      <c r="IG49" s="937"/>
      <c r="IH49" s="937"/>
      <c r="II49" s="937"/>
      <c r="IJ49" s="937"/>
      <c r="IK49" s="937"/>
      <c r="IL49" s="937"/>
      <c r="IM49" s="937"/>
      <c r="IN49" s="937"/>
      <c r="IO49" s="937"/>
      <c r="IP49" s="937"/>
      <c r="IQ49" s="937"/>
      <c r="IR49" s="937"/>
      <c r="IS49" s="937"/>
      <c r="IT49" s="937"/>
      <c r="IU49" s="937"/>
      <c r="IV49" s="937"/>
      <c r="IW49" s="937"/>
    </row>
    <row r="50" customFormat="false" ht="12.75" hidden="false" customHeight="false" outlineLevel="0" collapsed="false">
      <c r="A50" s="974" t="s">
        <v>1300</v>
      </c>
      <c r="B50" s="975"/>
      <c r="C50" s="975"/>
      <c r="D50" s="975"/>
      <c r="E50" s="976" t="n">
        <f aca="false">E$6</f>
        <v>1</v>
      </c>
      <c r="F50" s="976" t="n">
        <f aca="false">F$6</f>
        <v>2</v>
      </c>
      <c r="G50" s="976" t="n">
        <f aca="false">G$6</f>
        <v>3</v>
      </c>
      <c r="H50" s="976" t="n">
        <f aca="false">H$6</f>
        <v>4</v>
      </c>
      <c r="I50" s="976" t="n">
        <f aca="false">I$6</f>
        <v>5</v>
      </c>
      <c r="J50" s="976" t="n">
        <f aca="false">J$6</f>
        <v>6</v>
      </c>
      <c r="K50" s="976" t="n">
        <f aca="false">K$6</f>
        <v>7</v>
      </c>
      <c r="L50" s="976" t="n">
        <f aca="false">L$6</f>
        <v>8</v>
      </c>
      <c r="M50" s="976" t="n">
        <f aca="false">M$6</f>
        <v>9</v>
      </c>
      <c r="N50" s="976" t="n">
        <f aca="false">N$6</f>
        <v>10</v>
      </c>
      <c r="O50" s="976" t="n">
        <f aca="false">O$6</f>
        <v>11</v>
      </c>
      <c r="P50" s="976" t="n">
        <f aca="false">P$6</f>
        <v>12</v>
      </c>
      <c r="Q50" s="976" t="n">
        <f aca="false">Q$6</f>
        <v>13</v>
      </c>
      <c r="R50" s="976" t="n">
        <f aca="false">R$6</f>
        <v>14</v>
      </c>
      <c r="S50" s="976" t="n">
        <f aca="false">S$6</f>
        <v>15</v>
      </c>
      <c r="T50" s="976" t="n">
        <f aca="false">T$6</f>
        <v>16</v>
      </c>
      <c r="U50" s="976" t="n">
        <f aca="false">U$6</f>
        <v>17</v>
      </c>
      <c r="V50" s="976" t="n">
        <f aca="false">V$6</f>
        <v>18</v>
      </c>
      <c r="W50" s="976" t="n">
        <f aca="false">W$6</f>
        <v>19</v>
      </c>
      <c r="X50" s="976" t="n">
        <f aca="false">X$6</f>
        <v>20</v>
      </c>
      <c r="Y50" s="976" t="n">
        <f aca="false">Y$6</f>
        <v>21</v>
      </c>
      <c r="Z50" s="976" t="n">
        <f aca="false">Z$6</f>
        <v>22</v>
      </c>
      <c r="AA50" s="976" t="n">
        <f aca="false">AA$6</f>
        <v>23</v>
      </c>
      <c r="AB50" s="976" t="n">
        <f aca="false">AB$6</f>
        <v>24</v>
      </c>
      <c r="AC50" s="976" t="n">
        <f aca="false">AC$6</f>
        <v>25</v>
      </c>
      <c r="AD50" s="976" t="n">
        <f aca="false">AD$6</f>
        <v>26</v>
      </c>
      <c r="AE50" s="976" t="n">
        <f aca="false">AE$6</f>
        <v>27</v>
      </c>
      <c r="AF50" s="976" t="n">
        <f aca="false">AF$6</f>
        <v>28</v>
      </c>
      <c r="AG50" s="976" t="n">
        <f aca="false">AG$6</f>
        <v>29</v>
      </c>
      <c r="AH50" s="976" t="n">
        <f aca="false">AH$6</f>
        <v>30</v>
      </c>
      <c r="AI50" s="976" t="n">
        <f aca="false">AI$6</f>
        <v>31</v>
      </c>
      <c r="AJ50" s="976" t="n">
        <f aca="false">AJ$6</f>
        <v>32</v>
      </c>
      <c r="AK50" s="976" t="n">
        <f aca="false">AK$6</f>
        <v>33</v>
      </c>
      <c r="AL50" s="976" t="n">
        <f aca="false">AL$6</f>
        <v>34</v>
      </c>
      <c r="AM50" s="976" t="n">
        <f aca="false">AM$6</f>
        <v>35</v>
      </c>
      <c r="AN50" s="976" t="n">
        <f aca="false">AN$6</f>
        <v>36</v>
      </c>
      <c r="AO50" s="976" t="n">
        <f aca="false">AO$6</f>
        <v>37</v>
      </c>
      <c r="AP50" s="976" t="n">
        <f aca="false">AP$6</f>
        <v>38</v>
      </c>
      <c r="AQ50" s="976" t="n">
        <f aca="false">AQ$6</f>
        <v>39</v>
      </c>
      <c r="AR50" s="976" t="n">
        <f aca="false">AR$6</f>
        <v>40</v>
      </c>
      <c r="AS50" s="976" t="n">
        <f aca="false">AS$6</f>
        <v>41</v>
      </c>
      <c r="AT50" s="976" t="n">
        <f aca="false">AT$6</f>
        <v>42</v>
      </c>
      <c r="AU50" s="976" t="n">
        <f aca="false">AU$6</f>
        <v>43</v>
      </c>
      <c r="AV50" s="976" t="n">
        <f aca="false">AV$6</f>
        <v>44</v>
      </c>
      <c r="AW50" s="976" t="n">
        <f aca="false">AW$6</f>
        <v>45</v>
      </c>
      <c r="AX50" s="976" t="n">
        <f aca="false">AX$6</f>
        <v>46</v>
      </c>
      <c r="AY50" s="976" t="n">
        <f aca="false">AY$6</f>
        <v>47</v>
      </c>
      <c r="AZ50" s="975"/>
      <c r="BA50" s="977"/>
      <c r="BB50" s="978" t="n">
        <f aca="false">BB49+1</f>
        <v>2</v>
      </c>
      <c r="BC50" s="937"/>
      <c r="BD50" s="937"/>
      <c r="BE50" s="937"/>
      <c r="BF50" s="937"/>
      <c r="BG50" s="937"/>
      <c r="BH50" s="937"/>
      <c r="BI50" s="937"/>
      <c r="BJ50" s="937"/>
      <c r="BK50" s="937"/>
      <c r="BL50" s="937"/>
      <c r="BM50" s="937"/>
      <c r="BN50" s="937"/>
      <c r="BO50" s="937"/>
      <c r="BP50" s="937"/>
      <c r="BQ50" s="937"/>
      <c r="BR50" s="937"/>
      <c r="BS50" s="937"/>
      <c r="BT50" s="937"/>
      <c r="BU50" s="937"/>
      <c r="BV50" s="937"/>
      <c r="BW50" s="937"/>
      <c r="BX50" s="937"/>
      <c r="BY50" s="937"/>
      <c r="BZ50" s="937"/>
      <c r="CA50" s="937"/>
      <c r="CB50" s="937"/>
      <c r="CC50" s="937"/>
      <c r="CD50" s="937"/>
      <c r="CE50" s="937"/>
      <c r="CF50" s="937"/>
      <c r="CG50" s="937"/>
      <c r="CH50" s="937"/>
      <c r="CI50" s="937"/>
      <c r="CJ50" s="937"/>
      <c r="CK50" s="937"/>
      <c r="CL50" s="937"/>
      <c r="CM50" s="937"/>
      <c r="CN50" s="937"/>
      <c r="CO50" s="937"/>
      <c r="CP50" s="937"/>
      <c r="CQ50" s="937"/>
      <c r="CR50" s="937"/>
      <c r="CS50" s="937"/>
      <c r="CT50" s="937"/>
      <c r="CU50" s="937"/>
      <c r="CV50" s="937"/>
      <c r="CW50" s="937"/>
      <c r="CX50" s="937"/>
      <c r="CY50" s="937"/>
      <c r="CZ50" s="937"/>
      <c r="DA50" s="937"/>
      <c r="DB50" s="937"/>
      <c r="DC50" s="937"/>
      <c r="DD50" s="937"/>
      <c r="DE50" s="937"/>
      <c r="DF50" s="937"/>
      <c r="DG50" s="937"/>
      <c r="DH50" s="937"/>
      <c r="DI50" s="937"/>
      <c r="DJ50" s="937"/>
      <c r="DK50" s="937"/>
      <c r="DL50" s="937"/>
      <c r="DM50" s="937"/>
      <c r="DN50" s="937"/>
      <c r="DO50" s="937"/>
      <c r="DP50" s="937"/>
      <c r="DQ50" s="937"/>
      <c r="DR50" s="937"/>
      <c r="DS50" s="937"/>
      <c r="DT50" s="937"/>
      <c r="DU50" s="937"/>
      <c r="DV50" s="937"/>
      <c r="DW50" s="937"/>
      <c r="DX50" s="937"/>
      <c r="DY50" s="937"/>
      <c r="DZ50" s="937"/>
      <c r="EA50" s="937"/>
      <c r="EB50" s="937"/>
      <c r="EC50" s="937"/>
      <c r="ED50" s="937"/>
      <c r="EE50" s="937"/>
      <c r="EF50" s="937"/>
      <c r="EG50" s="937"/>
      <c r="EH50" s="937"/>
      <c r="EI50" s="937"/>
      <c r="EJ50" s="937"/>
      <c r="EK50" s="937"/>
      <c r="EL50" s="937"/>
      <c r="EM50" s="937"/>
      <c r="EN50" s="937"/>
      <c r="EO50" s="937"/>
      <c r="EP50" s="937"/>
      <c r="EQ50" s="937"/>
      <c r="ER50" s="937"/>
      <c r="ES50" s="937"/>
      <c r="ET50" s="937"/>
      <c r="EU50" s="937"/>
      <c r="EV50" s="937"/>
      <c r="EW50" s="937"/>
      <c r="EX50" s="937"/>
      <c r="EY50" s="937"/>
      <c r="EZ50" s="937"/>
      <c r="FA50" s="937"/>
      <c r="FB50" s="937"/>
      <c r="FC50" s="937"/>
      <c r="FD50" s="937"/>
      <c r="FE50" s="937"/>
      <c r="FF50" s="937"/>
      <c r="FG50" s="937"/>
      <c r="FH50" s="937"/>
      <c r="FI50" s="937"/>
      <c r="FJ50" s="937"/>
      <c r="FK50" s="937"/>
      <c r="FL50" s="937"/>
      <c r="FM50" s="937"/>
      <c r="FN50" s="937"/>
      <c r="FO50" s="937"/>
      <c r="FP50" s="937"/>
      <c r="FQ50" s="937"/>
      <c r="FR50" s="937"/>
      <c r="FS50" s="937"/>
      <c r="FT50" s="937"/>
      <c r="FU50" s="937"/>
      <c r="FV50" s="937"/>
      <c r="FW50" s="937"/>
      <c r="FX50" s="937"/>
      <c r="FY50" s="937"/>
      <c r="FZ50" s="937"/>
      <c r="GA50" s="937"/>
      <c r="GB50" s="937"/>
      <c r="GC50" s="937"/>
      <c r="GD50" s="937"/>
      <c r="GE50" s="937"/>
      <c r="GF50" s="937"/>
      <c r="GG50" s="937"/>
      <c r="GH50" s="937"/>
      <c r="GI50" s="937"/>
      <c r="GJ50" s="937"/>
      <c r="GK50" s="937"/>
      <c r="GL50" s="937"/>
      <c r="GM50" s="937"/>
      <c r="GN50" s="937"/>
      <c r="GO50" s="937"/>
      <c r="GP50" s="937"/>
      <c r="GQ50" s="937"/>
      <c r="GR50" s="937"/>
      <c r="GS50" s="937"/>
      <c r="GT50" s="937"/>
      <c r="GU50" s="937"/>
      <c r="GV50" s="937"/>
      <c r="GW50" s="937"/>
      <c r="GX50" s="937"/>
      <c r="GY50" s="937"/>
      <c r="GZ50" s="937"/>
      <c r="HA50" s="937"/>
      <c r="HB50" s="937"/>
      <c r="HC50" s="937"/>
      <c r="HD50" s="937"/>
      <c r="HE50" s="937"/>
      <c r="HF50" s="937"/>
      <c r="HG50" s="937"/>
      <c r="HH50" s="937"/>
      <c r="HI50" s="937"/>
      <c r="HJ50" s="937"/>
      <c r="HK50" s="937"/>
      <c r="HL50" s="937"/>
      <c r="HM50" s="937"/>
      <c r="HN50" s="937"/>
      <c r="HO50" s="937"/>
      <c r="HP50" s="937"/>
      <c r="HQ50" s="937"/>
      <c r="HR50" s="937"/>
      <c r="HS50" s="937"/>
      <c r="HT50" s="937"/>
      <c r="HU50" s="937"/>
      <c r="HV50" s="937"/>
      <c r="HW50" s="937"/>
      <c r="HX50" s="937"/>
      <c r="HY50" s="937"/>
      <c r="HZ50" s="937"/>
      <c r="IA50" s="937"/>
      <c r="IB50" s="937"/>
      <c r="IC50" s="937"/>
      <c r="ID50" s="937"/>
      <c r="IE50" s="937"/>
      <c r="IF50" s="937"/>
      <c r="IG50" s="937"/>
      <c r="IH50" s="937"/>
      <c r="II50" s="937"/>
      <c r="IJ50" s="937"/>
      <c r="IK50" s="937"/>
      <c r="IL50" s="937"/>
      <c r="IM50" s="937"/>
      <c r="IN50" s="937"/>
      <c r="IO50" s="937"/>
      <c r="IP50" s="937"/>
      <c r="IQ50" s="937"/>
      <c r="IR50" s="937"/>
      <c r="IS50" s="937"/>
      <c r="IT50" s="937"/>
      <c r="IU50" s="937"/>
      <c r="IV50" s="937"/>
      <c r="IW50" s="937"/>
    </row>
    <row r="51" customFormat="false" ht="12.75" hidden="false" customHeight="false" outlineLevel="0" collapsed="false">
      <c r="A51" s="979"/>
      <c r="B51" s="975" t="s">
        <v>1301</v>
      </c>
      <c r="C51" s="975"/>
      <c r="D51" s="975"/>
      <c r="E51" s="980" t="n">
        <v>17597.057995</v>
      </c>
      <c r="F51" s="981" t="n">
        <v>1397.85520366133</v>
      </c>
      <c r="G51" s="981" t="n">
        <v>2273.36332265446</v>
      </c>
      <c r="H51" s="981" t="n">
        <v>9273.51922123894</v>
      </c>
      <c r="I51" s="981" t="n">
        <v>18485.5367355059</v>
      </c>
      <c r="J51" s="981" t="n">
        <v>14354.1129890536</v>
      </c>
      <c r="K51" s="981" t="n">
        <v>4275.99699330596</v>
      </c>
      <c r="L51" s="981" t="n">
        <v>3607.0608979191</v>
      </c>
      <c r="M51" s="981" t="n">
        <v>4841.51714384623</v>
      </c>
      <c r="N51" s="981" t="n">
        <v>23049.6465013406</v>
      </c>
      <c r="O51" s="981" t="n">
        <v>6063.75272426625</v>
      </c>
      <c r="P51" s="981" t="n">
        <v>2696.03789009857</v>
      </c>
      <c r="Q51" s="981" t="n">
        <v>15198.5301865083</v>
      </c>
      <c r="R51" s="981" t="n">
        <v>2695.41913653223</v>
      </c>
      <c r="S51" s="981" t="n">
        <v>6046.60832915476</v>
      </c>
      <c r="T51" s="981" t="n">
        <v>6041.09826136145</v>
      </c>
      <c r="U51" s="981" t="n">
        <v>21394.2601218864</v>
      </c>
      <c r="V51" s="981" t="n">
        <v>2653.54655107543</v>
      </c>
      <c r="W51" s="981" t="n">
        <v>2719.89495661167</v>
      </c>
      <c r="X51" s="981" t="n">
        <v>2714.09417694339</v>
      </c>
      <c r="Y51" s="981" t="n">
        <v>2317.51487692195</v>
      </c>
      <c r="Z51" s="981" t="n">
        <v>21060.8441071008</v>
      </c>
      <c r="AA51" s="981" t="n">
        <v>1759.59452691838</v>
      </c>
      <c r="AB51" s="981" t="n">
        <v>14240.7398850087</v>
      </c>
      <c r="AC51" s="981" t="n">
        <v>1477.46929367967</v>
      </c>
      <c r="AD51" s="981" t="n">
        <v>1487.92030240528</v>
      </c>
      <c r="AE51" s="981" t="n">
        <v>13400.8540353721</v>
      </c>
      <c r="AF51" s="981" t="n">
        <v>14004.4439731133</v>
      </c>
      <c r="AG51" s="981" t="n">
        <v>1338.09227101015</v>
      </c>
      <c r="AH51" s="981" t="n">
        <v>0</v>
      </c>
      <c r="AI51" s="981" t="n">
        <v>0</v>
      </c>
      <c r="AJ51" s="981" t="n">
        <v>0</v>
      </c>
      <c r="AK51" s="981" t="n">
        <v>0</v>
      </c>
      <c r="AL51" s="981" t="n">
        <v>0</v>
      </c>
      <c r="AM51" s="981" t="n">
        <v>0</v>
      </c>
      <c r="AN51" s="982" t="n">
        <v>0</v>
      </c>
      <c r="AO51" s="982" t="n">
        <v>0</v>
      </c>
      <c r="AP51" s="982" t="n">
        <v>0</v>
      </c>
      <c r="AQ51" s="982" t="n">
        <v>0</v>
      </c>
      <c r="AR51" s="982" t="n">
        <v>0</v>
      </c>
      <c r="AS51" s="982" t="n">
        <v>0</v>
      </c>
      <c r="AT51" s="982" t="n">
        <v>0</v>
      </c>
      <c r="AU51" s="982" t="n">
        <v>0</v>
      </c>
      <c r="AV51" s="982" t="n">
        <v>0</v>
      </c>
      <c r="AW51" s="982" t="n">
        <v>0</v>
      </c>
      <c r="AX51" s="982" t="n">
        <v>0</v>
      </c>
      <c r="AY51" s="982" t="n">
        <v>0</v>
      </c>
      <c r="AZ51" s="975"/>
      <c r="BA51" s="983" t="n">
        <f aca="false">SUM(E51:AY51)</f>
        <v>238466.382609495</v>
      </c>
      <c r="BB51" s="978" t="n">
        <f aca="false">BB50+1</f>
        <v>3</v>
      </c>
      <c r="BC51" s="937"/>
      <c r="BD51" s="937"/>
      <c r="BE51" s="937"/>
      <c r="BF51" s="937"/>
      <c r="BG51" s="937"/>
      <c r="BH51" s="937"/>
      <c r="BI51" s="937"/>
      <c r="BJ51" s="937"/>
      <c r="BK51" s="937"/>
      <c r="BL51" s="937"/>
      <c r="BM51" s="937"/>
      <c r="BN51" s="937"/>
      <c r="BO51" s="937"/>
      <c r="BP51" s="937"/>
      <c r="BQ51" s="937"/>
      <c r="BR51" s="937"/>
      <c r="BS51" s="937"/>
      <c r="BT51" s="937"/>
      <c r="BU51" s="937"/>
      <c r="BV51" s="937"/>
      <c r="BW51" s="937"/>
      <c r="BX51" s="937"/>
      <c r="BY51" s="937"/>
      <c r="BZ51" s="937"/>
      <c r="CA51" s="937"/>
      <c r="CB51" s="937"/>
      <c r="CC51" s="937"/>
      <c r="CD51" s="937"/>
      <c r="CE51" s="937"/>
      <c r="CF51" s="937"/>
      <c r="CG51" s="937"/>
      <c r="CH51" s="937"/>
      <c r="CI51" s="937"/>
      <c r="CJ51" s="937"/>
      <c r="CK51" s="937"/>
      <c r="CL51" s="937"/>
      <c r="CM51" s="937"/>
      <c r="CN51" s="937"/>
      <c r="CO51" s="937"/>
      <c r="CP51" s="937"/>
      <c r="CQ51" s="937"/>
      <c r="CR51" s="937"/>
      <c r="CS51" s="937"/>
      <c r="CT51" s="937"/>
      <c r="CU51" s="937"/>
      <c r="CV51" s="937"/>
      <c r="CW51" s="937"/>
      <c r="CX51" s="937"/>
      <c r="CY51" s="937"/>
      <c r="CZ51" s="937"/>
      <c r="DA51" s="937"/>
      <c r="DB51" s="937"/>
      <c r="DC51" s="937"/>
      <c r="DD51" s="937"/>
      <c r="DE51" s="937"/>
      <c r="DF51" s="937"/>
      <c r="DG51" s="937"/>
      <c r="DH51" s="937"/>
      <c r="DI51" s="937"/>
      <c r="DJ51" s="937"/>
      <c r="DK51" s="937"/>
      <c r="DL51" s="937"/>
      <c r="DM51" s="937"/>
      <c r="DN51" s="937"/>
      <c r="DO51" s="937"/>
      <c r="DP51" s="937"/>
      <c r="DQ51" s="937"/>
      <c r="DR51" s="937"/>
      <c r="DS51" s="937"/>
      <c r="DT51" s="937"/>
      <c r="DU51" s="937"/>
      <c r="DV51" s="937"/>
      <c r="DW51" s="937"/>
      <c r="DX51" s="937"/>
      <c r="DY51" s="937"/>
      <c r="DZ51" s="937"/>
      <c r="EA51" s="937"/>
      <c r="EB51" s="937"/>
      <c r="EC51" s="937"/>
      <c r="ED51" s="937"/>
      <c r="EE51" s="937"/>
      <c r="EF51" s="937"/>
      <c r="EG51" s="937"/>
      <c r="EH51" s="937"/>
      <c r="EI51" s="937"/>
      <c r="EJ51" s="937"/>
      <c r="EK51" s="937"/>
      <c r="EL51" s="937"/>
      <c r="EM51" s="937"/>
      <c r="EN51" s="937"/>
      <c r="EO51" s="937"/>
      <c r="EP51" s="937"/>
      <c r="EQ51" s="937"/>
      <c r="ER51" s="937"/>
      <c r="ES51" s="937"/>
      <c r="ET51" s="937"/>
      <c r="EU51" s="937"/>
      <c r="EV51" s="937"/>
      <c r="EW51" s="937"/>
      <c r="EX51" s="937"/>
      <c r="EY51" s="937"/>
      <c r="EZ51" s="937"/>
      <c r="FA51" s="937"/>
      <c r="FB51" s="937"/>
      <c r="FC51" s="937"/>
      <c r="FD51" s="937"/>
      <c r="FE51" s="937"/>
      <c r="FF51" s="937"/>
      <c r="FG51" s="937"/>
      <c r="FH51" s="937"/>
      <c r="FI51" s="937"/>
      <c r="FJ51" s="937"/>
      <c r="FK51" s="937"/>
      <c r="FL51" s="937"/>
      <c r="FM51" s="937"/>
      <c r="FN51" s="937"/>
      <c r="FO51" s="937"/>
      <c r="FP51" s="937"/>
      <c r="FQ51" s="937"/>
      <c r="FR51" s="937"/>
      <c r="FS51" s="937"/>
      <c r="FT51" s="937"/>
      <c r="FU51" s="937"/>
      <c r="FV51" s="937"/>
      <c r="FW51" s="937"/>
      <c r="FX51" s="937"/>
      <c r="FY51" s="937"/>
      <c r="FZ51" s="937"/>
      <c r="GA51" s="937"/>
      <c r="GB51" s="937"/>
      <c r="GC51" s="937"/>
      <c r="GD51" s="937"/>
      <c r="GE51" s="937"/>
      <c r="GF51" s="937"/>
      <c r="GG51" s="937"/>
      <c r="GH51" s="937"/>
      <c r="GI51" s="937"/>
      <c r="GJ51" s="937"/>
      <c r="GK51" s="937"/>
      <c r="GL51" s="937"/>
      <c r="GM51" s="937"/>
      <c r="GN51" s="937"/>
      <c r="GO51" s="937"/>
      <c r="GP51" s="937"/>
      <c r="GQ51" s="937"/>
      <c r="GR51" s="937"/>
      <c r="GS51" s="937"/>
      <c r="GT51" s="937"/>
      <c r="GU51" s="937"/>
      <c r="GV51" s="937"/>
      <c r="GW51" s="937"/>
      <c r="GX51" s="937"/>
      <c r="GY51" s="937"/>
      <c r="GZ51" s="937"/>
      <c r="HA51" s="937"/>
      <c r="HB51" s="937"/>
      <c r="HC51" s="937"/>
      <c r="HD51" s="937"/>
      <c r="HE51" s="937"/>
      <c r="HF51" s="937"/>
      <c r="HG51" s="937"/>
      <c r="HH51" s="937"/>
      <c r="HI51" s="937"/>
      <c r="HJ51" s="937"/>
      <c r="HK51" s="937"/>
      <c r="HL51" s="937"/>
      <c r="HM51" s="937"/>
      <c r="HN51" s="937"/>
      <c r="HO51" s="937"/>
      <c r="HP51" s="937"/>
      <c r="HQ51" s="937"/>
      <c r="HR51" s="937"/>
      <c r="HS51" s="937"/>
      <c r="HT51" s="937"/>
      <c r="HU51" s="937"/>
      <c r="HV51" s="937"/>
      <c r="HW51" s="937"/>
      <c r="HX51" s="937"/>
      <c r="HY51" s="937"/>
      <c r="HZ51" s="937"/>
      <c r="IA51" s="937"/>
      <c r="IB51" s="937"/>
      <c r="IC51" s="937"/>
      <c r="ID51" s="937"/>
      <c r="IE51" s="937"/>
      <c r="IF51" s="937"/>
      <c r="IG51" s="937"/>
      <c r="IH51" s="937"/>
      <c r="II51" s="937"/>
      <c r="IJ51" s="937"/>
      <c r="IK51" s="937"/>
      <c r="IL51" s="937"/>
      <c r="IM51" s="937"/>
      <c r="IN51" s="937"/>
      <c r="IO51" s="937"/>
      <c r="IP51" s="937"/>
      <c r="IQ51" s="937"/>
      <c r="IR51" s="937"/>
      <c r="IS51" s="937"/>
      <c r="IT51" s="937"/>
      <c r="IU51" s="937"/>
      <c r="IV51" s="937"/>
      <c r="IW51" s="937"/>
    </row>
    <row r="52" customFormat="false" ht="12.75" hidden="false" customHeight="false" outlineLevel="0" collapsed="false">
      <c r="A52" s="979"/>
      <c r="B52" s="975" t="s">
        <v>1302</v>
      </c>
      <c r="C52" s="975"/>
      <c r="D52" s="975"/>
      <c r="E52" s="984" t="n">
        <f aca="false">SUM($E51:E51)</f>
        <v>17597.057995</v>
      </c>
      <c r="F52" s="984" t="n">
        <f aca="false">SUM($E51:F51)</f>
        <v>18994.9131986613</v>
      </c>
      <c r="G52" s="984" t="n">
        <f aca="false">SUM($E51:G51)</f>
        <v>21268.2765213158</v>
      </c>
      <c r="H52" s="984" t="n">
        <f aca="false">SUM($E51:H51)</f>
        <v>30541.7957425547</v>
      </c>
      <c r="I52" s="984" t="n">
        <f aca="false">SUM($E51:I51)</f>
        <v>49027.3324780607</v>
      </c>
      <c r="J52" s="984" t="n">
        <f aca="false">SUM($E51:J51)</f>
        <v>63381.4454671143</v>
      </c>
      <c r="K52" s="984" t="n">
        <f aca="false">SUM($E51:K51)</f>
        <v>67657.4424604203</v>
      </c>
      <c r="L52" s="984" t="n">
        <f aca="false">SUM($E51:L51)</f>
        <v>71264.5033583394</v>
      </c>
      <c r="M52" s="984" t="n">
        <f aca="false">SUM($E51:M51)</f>
        <v>76106.0205021856</v>
      </c>
      <c r="N52" s="984" t="n">
        <f aca="false">SUM($E51:N51)</f>
        <v>99155.6670035261</v>
      </c>
      <c r="O52" s="984" t="n">
        <f aca="false">SUM($E51:O51)</f>
        <v>105219.419727792</v>
      </c>
      <c r="P52" s="984" t="n">
        <f aca="false">SUM($E51:P51)</f>
        <v>107915.457617891</v>
      </c>
      <c r="Q52" s="984" t="n">
        <f aca="false">SUM($E51:Q51)</f>
        <v>123113.987804399</v>
      </c>
      <c r="R52" s="984" t="n">
        <f aca="false">SUM($E51:R51)</f>
        <v>125809.406940931</v>
      </c>
      <c r="S52" s="984" t="n">
        <f aca="false">SUM($E51:S51)</f>
        <v>131856.015270086</v>
      </c>
      <c r="T52" s="984" t="n">
        <f aca="false">SUM($E51:T51)</f>
        <v>137897.113531448</v>
      </c>
      <c r="U52" s="984" t="n">
        <f aca="false">SUM($E51:U51)</f>
        <v>159291.373653334</v>
      </c>
      <c r="V52" s="984" t="n">
        <f aca="false">SUM($E51:V51)</f>
        <v>161944.920204409</v>
      </c>
      <c r="W52" s="984" t="n">
        <f aca="false">SUM($E51:W51)</f>
        <v>164664.815161021</v>
      </c>
      <c r="X52" s="984" t="n">
        <f aca="false">SUM($E51:X51)</f>
        <v>167378.909337965</v>
      </c>
      <c r="Y52" s="984" t="n">
        <f aca="false">SUM($E51:Y51)</f>
        <v>169696.424214887</v>
      </c>
      <c r="Z52" s="984" t="n">
        <f aca="false">SUM($E51:Z51)</f>
        <v>190757.268321987</v>
      </c>
      <c r="AA52" s="984" t="n">
        <f aca="false">SUM($E51:AA51)</f>
        <v>192516.862848906</v>
      </c>
      <c r="AB52" s="984" t="n">
        <f aca="false">SUM($E51:AB51)</f>
        <v>206757.602733914</v>
      </c>
      <c r="AC52" s="984" t="n">
        <f aca="false">SUM($E51:AC51)</f>
        <v>208235.072027594</v>
      </c>
      <c r="AD52" s="984" t="n">
        <f aca="false">SUM($E51:AD51)</f>
        <v>209722.992329999</v>
      </c>
      <c r="AE52" s="984" t="n">
        <f aca="false">SUM($E51:AE51)</f>
        <v>223123.846365371</v>
      </c>
      <c r="AF52" s="984" t="n">
        <f aca="false">SUM($E51:AF51)</f>
        <v>237128.290338485</v>
      </c>
      <c r="AG52" s="984" t="n">
        <f aca="false">SUM($E51:AG51)</f>
        <v>238466.382609495</v>
      </c>
      <c r="AH52" s="984" t="n">
        <f aca="false">SUM($E51:AH51)</f>
        <v>238466.382609495</v>
      </c>
      <c r="AI52" s="984" t="n">
        <f aca="false">SUM($E51:AI51)</f>
        <v>238466.382609495</v>
      </c>
      <c r="AJ52" s="984" t="n">
        <f aca="false">SUM($E51:AJ51)</f>
        <v>238466.382609495</v>
      </c>
      <c r="AK52" s="984" t="n">
        <f aca="false">SUM($E51:AK51)</f>
        <v>238466.382609495</v>
      </c>
      <c r="AL52" s="984" t="n">
        <f aca="false">SUM($E51:AL51)</f>
        <v>238466.382609495</v>
      </c>
      <c r="AM52" s="984" t="n">
        <f aca="false">SUM($E51:AM51)</f>
        <v>238466.382609495</v>
      </c>
      <c r="AN52" s="984" t="n">
        <f aca="false">SUM($E51:AN51)</f>
        <v>238466.382609495</v>
      </c>
      <c r="AO52" s="984" t="n">
        <f aca="false">SUM($E51:AO51)</f>
        <v>238466.382609495</v>
      </c>
      <c r="AP52" s="984" t="n">
        <f aca="false">SUM($E51:AP51)</f>
        <v>238466.382609495</v>
      </c>
      <c r="AQ52" s="984" t="n">
        <f aca="false">SUM($E51:AQ51)</f>
        <v>238466.382609495</v>
      </c>
      <c r="AR52" s="984" t="n">
        <f aca="false">SUM($E51:AR51)</f>
        <v>238466.382609495</v>
      </c>
      <c r="AS52" s="984" t="n">
        <f aca="false">SUM($E51:AS51)</f>
        <v>238466.382609495</v>
      </c>
      <c r="AT52" s="984" t="n">
        <f aca="false">SUM($E51:AT51)</f>
        <v>238466.382609495</v>
      </c>
      <c r="AU52" s="984" t="n">
        <f aca="false">SUM($E51:AU51)</f>
        <v>238466.382609495</v>
      </c>
      <c r="AV52" s="984" t="n">
        <f aca="false">SUM($E51:AV51)</f>
        <v>238466.382609495</v>
      </c>
      <c r="AW52" s="984" t="n">
        <f aca="false">SUM($E51:AW51)</f>
        <v>238466.382609495</v>
      </c>
      <c r="AX52" s="984" t="n">
        <f aca="false">SUM($E51:AX51)</f>
        <v>238466.382609495</v>
      </c>
      <c r="AY52" s="984" t="n">
        <f aca="false">SUM($E51:AY51)</f>
        <v>238466.382609495</v>
      </c>
      <c r="AZ52" s="975"/>
      <c r="BA52" s="977"/>
      <c r="BB52" s="978" t="n">
        <f aca="false">BB51+1</f>
        <v>4</v>
      </c>
      <c r="BC52" s="937"/>
      <c r="BD52" s="937"/>
      <c r="BE52" s="937"/>
      <c r="BF52" s="937"/>
      <c r="BG52" s="937"/>
      <c r="BH52" s="937"/>
      <c r="BI52" s="937"/>
      <c r="BJ52" s="937"/>
      <c r="BK52" s="937"/>
      <c r="BL52" s="937"/>
      <c r="BM52" s="937"/>
      <c r="BN52" s="937"/>
      <c r="BO52" s="937"/>
      <c r="BP52" s="937"/>
      <c r="BQ52" s="937"/>
      <c r="BR52" s="937"/>
      <c r="BS52" s="937"/>
      <c r="BT52" s="937"/>
      <c r="BU52" s="937"/>
      <c r="BV52" s="937"/>
      <c r="BW52" s="937"/>
      <c r="BX52" s="937"/>
      <c r="BY52" s="937"/>
      <c r="BZ52" s="937"/>
      <c r="CA52" s="937"/>
      <c r="CB52" s="937"/>
      <c r="CC52" s="937"/>
      <c r="CD52" s="937"/>
      <c r="CE52" s="937"/>
      <c r="CF52" s="937"/>
      <c r="CG52" s="937"/>
      <c r="CH52" s="937"/>
      <c r="CI52" s="937"/>
      <c r="CJ52" s="937"/>
      <c r="CK52" s="937"/>
      <c r="CL52" s="937"/>
      <c r="CM52" s="937"/>
      <c r="CN52" s="937"/>
      <c r="CO52" s="937"/>
      <c r="CP52" s="937"/>
      <c r="CQ52" s="937"/>
      <c r="CR52" s="937"/>
      <c r="CS52" s="937"/>
      <c r="CT52" s="937"/>
      <c r="CU52" s="937"/>
      <c r="CV52" s="937"/>
      <c r="CW52" s="937"/>
      <c r="CX52" s="937"/>
      <c r="CY52" s="937"/>
      <c r="CZ52" s="937"/>
      <c r="DA52" s="937"/>
      <c r="DB52" s="937"/>
      <c r="DC52" s="937"/>
      <c r="DD52" s="937"/>
      <c r="DE52" s="937"/>
      <c r="DF52" s="937"/>
      <c r="DG52" s="937"/>
      <c r="DH52" s="937"/>
      <c r="DI52" s="937"/>
      <c r="DJ52" s="937"/>
      <c r="DK52" s="937"/>
      <c r="DL52" s="937"/>
      <c r="DM52" s="937"/>
      <c r="DN52" s="937"/>
      <c r="DO52" s="937"/>
      <c r="DP52" s="937"/>
      <c r="DQ52" s="937"/>
      <c r="DR52" s="937"/>
      <c r="DS52" s="937"/>
      <c r="DT52" s="937"/>
      <c r="DU52" s="937"/>
      <c r="DV52" s="937"/>
      <c r="DW52" s="937"/>
      <c r="DX52" s="937"/>
      <c r="DY52" s="937"/>
      <c r="DZ52" s="937"/>
      <c r="EA52" s="937"/>
      <c r="EB52" s="937"/>
      <c r="EC52" s="937"/>
      <c r="ED52" s="937"/>
      <c r="EE52" s="937"/>
      <c r="EF52" s="937"/>
      <c r="EG52" s="937"/>
      <c r="EH52" s="937"/>
      <c r="EI52" s="937"/>
      <c r="EJ52" s="937"/>
      <c r="EK52" s="937"/>
      <c r="EL52" s="937"/>
      <c r="EM52" s="937"/>
      <c r="EN52" s="937"/>
      <c r="EO52" s="937"/>
      <c r="EP52" s="937"/>
      <c r="EQ52" s="937"/>
      <c r="ER52" s="937"/>
      <c r="ES52" s="937"/>
      <c r="ET52" s="937"/>
      <c r="EU52" s="937"/>
      <c r="EV52" s="937"/>
      <c r="EW52" s="937"/>
      <c r="EX52" s="937"/>
      <c r="EY52" s="937"/>
      <c r="EZ52" s="937"/>
      <c r="FA52" s="937"/>
      <c r="FB52" s="937"/>
      <c r="FC52" s="937"/>
      <c r="FD52" s="937"/>
      <c r="FE52" s="937"/>
      <c r="FF52" s="937"/>
      <c r="FG52" s="937"/>
      <c r="FH52" s="937"/>
      <c r="FI52" s="937"/>
      <c r="FJ52" s="937"/>
      <c r="FK52" s="937"/>
      <c r="FL52" s="937"/>
      <c r="FM52" s="937"/>
      <c r="FN52" s="937"/>
      <c r="FO52" s="937"/>
      <c r="FP52" s="937"/>
      <c r="FQ52" s="937"/>
      <c r="FR52" s="937"/>
      <c r="FS52" s="937"/>
      <c r="FT52" s="937"/>
      <c r="FU52" s="937"/>
      <c r="FV52" s="937"/>
      <c r="FW52" s="937"/>
      <c r="FX52" s="937"/>
      <c r="FY52" s="937"/>
      <c r="FZ52" s="937"/>
      <c r="GA52" s="937"/>
      <c r="GB52" s="937"/>
      <c r="GC52" s="937"/>
      <c r="GD52" s="937"/>
      <c r="GE52" s="937"/>
      <c r="GF52" s="937"/>
      <c r="GG52" s="937"/>
      <c r="GH52" s="937"/>
      <c r="GI52" s="937"/>
      <c r="GJ52" s="937"/>
      <c r="GK52" s="937"/>
      <c r="GL52" s="937"/>
      <c r="GM52" s="937"/>
      <c r="GN52" s="937"/>
      <c r="GO52" s="937"/>
      <c r="GP52" s="937"/>
      <c r="GQ52" s="937"/>
      <c r="GR52" s="937"/>
      <c r="GS52" s="937"/>
      <c r="GT52" s="937"/>
      <c r="GU52" s="937"/>
      <c r="GV52" s="937"/>
      <c r="GW52" s="937"/>
      <c r="GX52" s="937"/>
      <c r="GY52" s="937"/>
      <c r="GZ52" s="937"/>
      <c r="HA52" s="937"/>
      <c r="HB52" s="937"/>
      <c r="HC52" s="937"/>
      <c r="HD52" s="937"/>
      <c r="HE52" s="937"/>
      <c r="HF52" s="937"/>
      <c r="HG52" s="937"/>
      <c r="HH52" s="937"/>
      <c r="HI52" s="937"/>
      <c r="HJ52" s="937"/>
      <c r="HK52" s="937"/>
      <c r="HL52" s="937"/>
      <c r="HM52" s="937"/>
      <c r="HN52" s="937"/>
      <c r="HO52" s="937"/>
      <c r="HP52" s="937"/>
      <c r="HQ52" s="937"/>
      <c r="HR52" s="937"/>
      <c r="HS52" s="937"/>
      <c r="HT52" s="937"/>
      <c r="HU52" s="937"/>
      <c r="HV52" s="937"/>
      <c r="HW52" s="937"/>
      <c r="HX52" s="937"/>
      <c r="HY52" s="937"/>
      <c r="HZ52" s="937"/>
      <c r="IA52" s="937"/>
      <c r="IB52" s="937"/>
      <c r="IC52" s="937"/>
      <c r="ID52" s="937"/>
      <c r="IE52" s="937"/>
      <c r="IF52" s="937"/>
      <c r="IG52" s="937"/>
      <c r="IH52" s="937"/>
      <c r="II52" s="937"/>
      <c r="IJ52" s="937"/>
      <c r="IK52" s="937"/>
      <c r="IL52" s="937"/>
      <c r="IM52" s="937"/>
      <c r="IN52" s="937"/>
      <c r="IO52" s="937"/>
      <c r="IP52" s="937"/>
      <c r="IQ52" s="937"/>
      <c r="IR52" s="937"/>
      <c r="IS52" s="937"/>
      <c r="IT52" s="937"/>
      <c r="IU52" s="937"/>
      <c r="IV52" s="937"/>
      <c r="IW52" s="937"/>
    </row>
    <row r="53" customFormat="false" ht="12.75" hidden="false" customHeight="false" outlineLevel="0" collapsed="false">
      <c r="A53" s="979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  <c r="AV53" s="975"/>
      <c r="AW53" s="975"/>
      <c r="AX53" s="975"/>
      <c r="AY53" s="975"/>
      <c r="AZ53" s="975"/>
      <c r="BA53" s="977"/>
      <c r="BB53" s="978" t="n">
        <f aca="false">BB52+1</f>
        <v>5</v>
      </c>
      <c r="BC53" s="937"/>
      <c r="BD53" s="937"/>
      <c r="BE53" s="937"/>
      <c r="BF53" s="937"/>
      <c r="BG53" s="937"/>
      <c r="BH53" s="937"/>
      <c r="BI53" s="937"/>
      <c r="BJ53" s="937"/>
      <c r="BK53" s="937"/>
      <c r="BL53" s="937"/>
      <c r="BM53" s="937"/>
      <c r="BN53" s="937"/>
      <c r="BO53" s="937"/>
      <c r="BP53" s="937"/>
      <c r="BQ53" s="937"/>
      <c r="BR53" s="937"/>
      <c r="BS53" s="937"/>
      <c r="BT53" s="937"/>
      <c r="BU53" s="937"/>
      <c r="BV53" s="937"/>
      <c r="BW53" s="937"/>
      <c r="BX53" s="937"/>
      <c r="BY53" s="937"/>
      <c r="BZ53" s="937"/>
      <c r="CA53" s="937"/>
      <c r="CB53" s="937"/>
      <c r="CC53" s="937"/>
      <c r="CD53" s="937"/>
      <c r="CE53" s="937"/>
      <c r="CF53" s="937"/>
      <c r="CG53" s="937"/>
      <c r="CH53" s="937"/>
      <c r="CI53" s="937"/>
      <c r="CJ53" s="937"/>
      <c r="CK53" s="937"/>
      <c r="CL53" s="937"/>
      <c r="CM53" s="937"/>
      <c r="CN53" s="937"/>
      <c r="CO53" s="937"/>
      <c r="CP53" s="937"/>
      <c r="CQ53" s="937"/>
      <c r="CR53" s="937"/>
      <c r="CS53" s="937"/>
      <c r="CT53" s="937"/>
      <c r="CU53" s="937"/>
      <c r="CV53" s="937"/>
      <c r="CW53" s="937"/>
      <c r="CX53" s="937"/>
      <c r="CY53" s="937"/>
      <c r="CZ53" s="937"/>
      <c r="DA53" s="937"/>
      <c r="DB53" s="937"/>
      <c r="DC53" s="937"/>
      <c r="DD53" s="937"/>
      <c r="DE53" s="937"/>
      <c r="DF53" s="937"/>
      <c r="DG53" s="937"/>
      <c r="DH53" s="937"/>
      <c r="DI53" s="937"/>
      <c r="DJ53" s="937"/>
      <c r="DK53" s="937"/>
      <c r="DL53" s="937"/>
      <c r="DM53" s="937"/>
      <c r="DN53" s="937"/>
      <c r="DO53" s="937"/>
      <c r="DP53" s="937"/>
      <c r="DQ53" s="937"/>
      <c r="DR53" s="937"/>
      <c r="DS53" s="937"/>
      <c r="DT53" s="937"/>
      <c r="DU53" s="937"/>
      <c r="DV53" s="937"/>
      <c r="DW53" s="937"/>
      <c r="DX53" s="937"/>
      <c r="DY53" s="937"/>
      <c r="DZ53" s="937"/>
      <c r="EA53" s="937"/>
      <c r="EB53" s="937"/>
      <c r="EC53" s="937"/>
      <c r="ED53" s="937"/>
      <c r="EE53" s="937"/>
      <c r="EF53" s="937"/>
      <c r="EG53" s="937"/>
      <c r="EH53" s="937"/>
      <c r="EI53" s="937"/>
      <c r="EJ53" s="937"/>
      <c r="EK53" s="937"/>
      <c r="EL53" s="937"/>
      <c r="EM53" s="937"/>
      <c r="EN53" s="937"/>
      <c r="EO53" s="937"/>
      <c r="EP53" s="937"/>
      <c r="EQ53" s="937"/>
      <c r="ER53" s="937"/>
      <c r="ES53" s="937"/>
      <c r="ET53" s="937"/>
      <c r="EU53" s="937"/>
      <c r="EV53" s="937"/>
      <c r="EW53" s="937"/>
      <c r="EX53" s="937"/>
      <c r="EY53" s="937"/>
      <c r="EZ53" s="937"/>
      <c r="FA53" s="937"/>
      <c r="FB53" s="937"/>
      <c r="FC53" s="937"/>
      <c r="FD53" s="937"/>
      <c r="FE53" s="937"/>
      <c r="FF53" s="937"/>
      <c r="FG53" s="937"/>
      <c r="FH53" s="937"/>
      <c r="FI53" s="937"/>
      <c r="FJ53" s="937"/>
      <c r="FK53" s="937"/>
      <c r="FL53" s="937"/>
      <c r="FM53" s="937"/>
      <c r="FN53" s="937"/>
      <c r="FO53" s="937"/>
      <c r="FP53" s="937"/>
      <c r="FQ53" s="937"/>
      <c r="FR53" s="937"/>
      <c r="FS53" s="937"/>
      <c r="FT53" s="937"/>
      <c r="FU53" s="937"/>
      <c r="FV53" s="937"/>
      <c r="FW53" s="937"/>
      <c r="FX53" s="937"/>
      <c r="FY53" s="937"/>
      <c r="FZ53" s="937"/>
      <c r="GA53" s="937"/>
      <c r="GB53" s="937"/>
      <c r="GC53" s="937"/>
      <c r="GD53" s="937"/>
      <c r="GE53" s="937"/>
      <c r="GF53" s="937"/>
      <c r="GG53" s="937"/>
      <c r="GH53" s="937"/>
      <c r="GI53" s="937"/>
      <c r="GJ53" s="937"/>
      <c r="GK53" s="937"/>
      <c r="GL53" s="937"/>
      <c r="GM53" s="937"/>
      <c r="GN53" s="937"/>
      <c r="GO53" s="937"/>
      <c r="GP53" s="937"/>
      <c r="GQ53" s="937"/>
      <c r="GR53" s="937"/>
      <c r="GS53" s="937"/>
      <c r="GT53" s="937"/>
      <c r="GU53" s="937"/>
      <c r="GV53" s="937"/>
      <c r="GW53" s="937"/>
      <c r="GX53" s="937"/>
      <c r="GY53" s="937"/>
      <c r="GZ53" s="937"/>
      <c r="HA53" s="937"/>
      <c r="HB53" s="937"/>
      <c r="HC53" s="937"/>
      <c r="HD53" s="937"/>
      <c r="HE53" s="937"/>
      <c r="HF53" s="937"/>
      <c r="HG53" s="937"/>
      <c r="HH53" s="937"/>
      <c r="HI53" s="937"/>
      <c r="HJ53" s="937"/>
      <c r="HK53" s="937"/>
      <c r="HL53" s="937"/>
      <c r="HM53" s="937"/>
      <c r="HN53" s="937"/>
      <c r="HO53" s="937"/>
      <c r="HP53" s="937"/>
      <c r="HQ53" s="937"/>
      <c r="HR53" s="937"/>
      <c r="HS53" s="937"/>
      <c r="HT53" s="937"/>
      <c r="HU53" s="937"/>
      <c r="HV53" s="937"/>
      <c r="HW53" s="937"/>
      <c r="HX53" s="937"/>
      <c r="HY53" s="937"/>
      <c r="HZ53" s="937"/>
      <c r="IA53" s="937"/>
      <c r="IB53" s="937"/>
      <c r="IC53" s="937"/>
      <c r="ID53" s="937"/>
      <c r="IE53" s="937"/>
      <c r="IF53" s="937"/>
      <c r="IG53" s="937"/>
      <c r="IH53" s="937"/>
      <c r="II53" s="937"/>
      <c r="IJ53" s="937"/>
      <c r="IK53" s="937"/>
      <c r="IL53" s="937"/>
      <c r="IM53" s="937"/>
      <c r="IN53" s="937"/>
      <c r="IO53" s="937"/>
      <c r="IP53" s="937"/>
      <c r="IQ53" s="937"/>
      <c r="IR53" s="937"/>
      <c r="IS53" s="937"/>
      <c r="IT53" s="937"/>
      <c r="IU53" s="937"/>
      <c r="IV53" s="937"/>
      <c r="IW53" s="937"/>
    </row>
    <row r="54" customFormat="false" ht="12.75" hidden="false" customHeight="false" outlineLevel="0" collapsed="false">
      <c r="A54" s="979"/>
      <c r="B54" s="975" t="s">
        <v>1303</v>
      </c>
      <c r="C54" s="975"/>
      <c r="D54" s="975"/>
      <c r="E54" s="985" t="n">
        <f aca="false">E51/$BA$51</f>
        <v>0.0737926151369369</v>
      </c>
      <c r="F54" s="985" t="n">
        <f aca="false">F51/$BA$51</f>
        <v>0.00586185435600963</v>
      </c>
      <c r="G54" s="985" t="n">
        <f aca="false">G51/$BA$51</f>
        <v>0.00953326543463885</v>
      </c>
      <c r="H54" s="985" t="n">
        <f aca="false">H51/$BA$51</f>
        <v>0.0388881615922566</v>
      </c>
      <c r="I54" s="985" t="n">
        <f aca="false">I51/$BA$51</f>
        <v>0.077518418039566</v>
      </c>
      <c r="J54" s="985" t="n">
        <f aca="false">J51/$BA$51</f>
        <v>0.0601934445936537</v>
      </c>
      <c r="K54" s="985" t="n">
        <f aca="false">K51/$BA$51</f>
        <v>0.0179312360363523</v>
      </c>
      <c r="L54" s="985" t="n">
        <f aca="false">L51/$BA$51</f>
        <v>0.0151260771369435</v>
      </c>
      <c r="M54" s="985" t="n">
        <f aca="false">M51/$BA$51</f>
        <v>0.0203027239767148</v>
      </c>
      <c r="N54" s="985" t="n">
        <f aca="false">N51/$BA$51</f>
        <v>0.096657844385076</v>
      </c>
      <c r="O54" s="985" t="n">
        <f aca="false">O51/$BA$51</f>
        <v>0.0254281239053979</v>
      </c>
      <c r="P54" s="985" t="n">
        <f aca="false">P51/$BA$51</f>
        <v>0.0113057356789511</v>
      </c>
      <c r="Q54" s="985" t="n">
        <f aca="false">Q51/$BA$51</f>
        <v>0.0637344770369453</v>
      </c>
      <c r="R54" s="985" t="n">
        <f aca="false">R51/$BA$51</f>
        <v>0.0113031409586405</v>
      </c>
      <c r="S54" s="985" t="n">
        <f aca="false">S51/$BA$51</f>
        <v>0.0253562295154051</v>
      </c>
      <c r="T54" s="985" t="n">
        <f aca="false">T51/$BA$51</f>
        <v>0.0253331232488823</v>
      </c>
      <c r="U54" s="985" t="n">
        <f aca="false">U51/$BA$51</f>
        <v>0.0897160425204292</v>
      </c>
      <c r="V54" s="985" t="n">
        <f aca="false">V51/$BA$51</f>
        <v>0.0111275498124228</v>
      </c>
      <c r="W54" s="985" t="n">
        <f aca="false">W51/$BA$51</f>
        <v>0.0114057794094427</v>
      </c>
      <c r="X54" s="985" t="n">
        <f aca="false">X51/$BA$51</f>
        <v>0.0113814540533703</v>
      </c>
      <c r="Y54" s="985" t="n">
        <f aca="false">Y51/$BA$51</f>
        <v>0.00971841335269903</v>
      </c>
      <c r="Z54" s="985" t="n">
        <f aca="false">Z51/$BA$51</f>
        <v>0.0883178747320094</v>
      </c>
      <c r="AA54" s="985" t="n">
        <f aca="false">AA51/$BA$51</f>
        <v>0.00737879489621747</v>
      </c>
      <c r="AB54" s="985" t="n">
        <f aca="false">AB51/$BA$51</f>
        <v>0.0597180186539286</v>
      </c>
      <c r="AC54" s="985" t="n">
        <f aca="false">AC51/$BA$51</f>
        <v>0.00619571311273307</v>
      </c>
      <c r="AD54" s="985" t="n">
        <f aca="false">AD51/$BA$51</f>
        <v>0.00623953903323076</v>
      </c>
      <c r="AE54" s="985" t="n">
        <f aca="false">AE51/$BA$51</f>
        <v>0.05619598825096</v>
      </c>
      <c r="AF54" s="985" t="n">
        <f aca="false">AF51/$BA$51</f>
        <v>0.0587271204429958</v>
      </c>
      <c r="AG54" s="985" t="n">
        <f aca="false">AG51/$BA$51</f>
        <v>0.00561124069719031</v>
      </c>
      <c r="AH54" s="985" t="n">
        <f aca="false">AH51/$BA$51</f>
        <v>0</v>
      </c>
      <c r="AI54" s="985" t="n">
        <f aca="false">AI51/$BA$51</f>
        <v>0</v>
      </c>
      <c r="AJ54" s="985" t="n">
        <f aca="false">AJ51/$BA$51</f>
        <v>0</v>
      </c>
      <c r="AK54" s="985" t="n">
        <f aca="false">AK51/$BA$51</f>
        <v>0</v>
      </c>
      <c r="AL54" s="985" t="n">
        <f aca="false">AL51/$BA$51</f>
        <v>0</v>
      </c>
      <c r="AM54" s="985" t="n">
        <f aca="false">AM51/$BA$51</f>
        <v>0</v>
      </c>
      <c r="AN54" s="985" t="n">
        <f aca="false">AN51/$BA$51</f>
        <v>0</v>
      </c>
      <c r="AO54" s="985" t="n">
        <f aca="false">AO51/$BA$51</f>
        <v>0</v>
      </c>
      <c r="AP54" s="985" t="n">
        <f aca="false">AP51/$BA$51</f>
        <v>0</v>
      </c>
      <c r="AQ54" s="985" t="n">
        <f aca="false">AQ51/$BA$51</f>
        <v>0</v>
      </c>
      <c r="AR54" s="985" t="n">
        <f aca="false">AR51/$BA$51</f>
        <v>0</v>
      </c>
      <c r="AS54" s="985" t="n">
        <f aca="false">AS51/$BA$51</f>
        <v>0</v>
      </c>
      <c r="AT54" s="985" t="n">
        <f aca="false">AT51/$BA$51</f>
        <v>0</v>
      </c>
      <c r="AU54" s="985" t="n">
        <f aca="false">AU51/$BA$51</f>
        <v>0</v>
      </c>
      <c r="AV54" s="985" t="n">
        <f aca="false">AV51/$BA$51</f>
        <v>0</v>
      </c>
      <c r="AW54" s="985" t="n">
        <f aca="false">AW51/$BA$51</f>
        <v>0</v>
      </c>
      <c r="AX54" s="985" t="n">
        <f aca="false">AX51/$BA$51</f>
        <v>0</v>
      </c>
      <c r="AY54" s="985" t="n">
        <f aca="false">AY51/$BA$51</f>
        <v>0</v>
      </c>
      <c r="AZ54" s="975"/>
      <c r="BA54" s="986" t="n">
        <f aca="false">SUM(E54:AY54)</f>
        <v>1</v>
      </c>
      <c r="BB54" s="978" t="n">
        <f aca="false">BB53+1</f>
        <v>6</v>
      </c>
      <c r="BC54" s="937"/>
      <c r="BD54" s="937"/>
      <c r="BE54" s="937"/>
      <c r="BF54" s="937"/>
      <c r="BG54" s="937"/>
      <c r="BH54" s="937"/>
      <c r="BI54" s="937"/>
      <c r="BJ54" s="937"/>
      <c r="BK54" s="937"/>
      <c r="BL54" s="937"/>
      <c r="BM54" s="937"/>
      <c r="BN54" s="937"/>
      <c r="BO54" s="937"/>
      <c r="BP54" s="937"/>
      <c r="BQ54" s="937"/>
      <c r="BR54" s="937"/>
      <c r="BS54" s="937"/>
      <c r="BT54" s="937"/>
      <c r="BU54" s="937"/>
      <c r="BV54" s="937"/>
      <c r="BW54" s="937"/>
      <c r="BX54" s="937"/>
      <c r="BY54" s="937"/>
      <c r="BZ54" s="937"/>
      <c r="CA54" s="937"/>
      <c r="CB54" s="937"/>
      <c r="CC54" s="937"/>
      <c r="CD54" s="937"/>
      <c r="CE54" s="937"/>
      <c r="CF54" s="937"/>
      <c r="CG54" s="937"/>
      <c r="CH54" s="937"/>
      <c r="CI54" s="937"/>
      <c r="CJ54" s="937"/>
      <c r="CK54" s="937"/>
      <c r="CL54" s="937"/>
      <c r="CM54" s="937"/>
      <c r="CN54" s="937"/>
      <c r="CO54" s="937"/>
      <c r="CP54" s="937"/>
      <c r="CQ54" s="937"/>
      <c r="CR54" s="937"/>
      <c r="CS54" s="937"/>
      <c r="CT54" s="937"/>
      <c r="CU54" s="937"/>
      <c r="CV54" s="937"/>
      <c r="CW54" s="937"/>
      <c r="CX54" s="937"/>
      <c r="CY54" s="937"/>
      <c r="CZ54" s="937"/>
      <c r="DA54" s="937"/>
      <c r="DB54" s="937"/>
      <c r="DC54" s="937"/>
      <c r="DD54" s="937"/>
      <c r="DE54" s="937"/>
      <c r="DF54" s="937"/>
      <c r="DG54" s="937"/>
      <c r="DH54" s="937"/>
      <c r="DI54" s="937"/>
      <c r="DJ54" s="937"/>
      <c r="DK54" s="937"/>
      <c r="DL54" s="937"/>
      <c r="DM54" s="937"/>
      <c r="DN54" s="937"/>
      <c r="DO54" s="937"/>
      <c r="DP54" s="937"/>
      <c r="DQ54" s="937"/>
      <c r="DR54" s="937"/>
      <c r="DS54" s="937"/>
      <c r="DT54" s="937"/>
      <c r="DU54" s="937"/>
      <c r="DV54" s="937"/>
      <c r="DW54" s="937"/>
      <c r="DX54" s="937"/>
      <c r="DY54" s="937"/>
      <c r="DZ54" s="937"/>
      <c r="EA54" s="937"/>
      <c r="EB54" s="937"/>
      <c r="EC54" s="937"/>
      <c r="ED54" s="937"/>
      <c r="EE54" s="937"/>
      <c r="EF54" s="937"/>
      <c r="EG54" s="937"/>
      <c r="EH54" s="937"/>
      <c r="EI54" s="937"/>
      <c r="EJ54" s="937"/>
      <c r="EK54" s="937"/>
      <c r="EL54" s="937"/>
      <c r="EM54" s="937"/>
      <c r="EN54" s="937"/>
      <c r="EO54" s="937"/>
      <c r="EP54" s="937"/>
      <c r="EQ54" s="937"/>
      <c r="ER54" s="937"/>
      <c r="ES54" s="937"/>
      <c r="ET54" s="937"/>
      <c r="EU54" s="937"/>
      <c r="EV54" s="937"/>
      <c r="EW54" s="937"/>
      <c r="EX54" s="937"/>
      <c r="EY54" s="937"/>
      <c r="EZ54" s="937"/>
      <c r="FA54" s="937"/>
      <c r="FB54" s="937"/>
      <c r="FC54" s="937"/>
      <c r="FD54" s="937"/>
      <c r="FE54" s="937"/>
      <c r="FF54" s="937"/>
      <c r="FG54" s="937"/>
      <c r="FH54" s="937"/>
      <c r="FI54" s="937"/>
      <c r="FJ54" s="937"/>
      <c r="FK54" s="937"/>
      <c r="FL54" s="937"/>
      <c r="FM54" s="937"/>
      <c r="FN54" s="937"/>
      <c r="FO54" s="937"/>
      <c r="FP54" s="937"/>
      <c r="FQ54" s="937"/>
      <c r="FR54" s="937"/>
      <c r="FS54" s="937"/>
      <c r="FT54" s="937"/>
      <c r="FU54" s="937"/>
      <c r="FV54" s="937"/>
      <c r="FW54" s="937"/>
      <c r="FX54" s="937"/>
      <c r="FY54" s="937"/>
      <c r="FZ54" s="937"/>
      <c r="GA54" s="937"/>
      <c r="GB54" s="937"/>
      <c r="GC54" s="937"/>
      <c r="GD54" s="937"/>
      <c r="GE54" s="937"/>
      <c r="GF54" s="937"/>
      <c r="GG54" s="937"/>
      <c r="GH54" s="937"/>
      <c r="GI54" s="937"/>
      <c r="GJ54" s="937"/>
      <c r="GK54" s="937"/>
      <c r="GL54" s="937"/>
      <c r="GM54" s="937"/>
      <c r="GN54" s="937"/>
      <c r="GO54" s="937"/>
      <c r="GP54" s="937"/>
      <c r="GQ54" s="937"/>
      <c r="GR54" s="937"/>
      <c r="GS54" s="937"/>
      <c r="GT54" s="937"/>
      <c r="GU54" s="937"/>
      <c r="GV54" s="937"/>
      <c r="GW54" s="937"/>
      <c r="GX54" s="937"/>
      <c r="GY54" s="937"/>
      <c r="GZ54" s="937"/>
      <c r="HA54" s="937"/>
      <c r="HB54" s="937"/>
      <c r="HC54" s="937"/>
      <c r="HD54" s="937"/>
      <c r="HE54" s="937"/>
      <c r="HF54" s="937"/>
      <c r="HG54" s="937"/>
      <c r="HH54" s="937"/>
      <c r="HI54" s="937"/>
      <c r="HJ54" s="937"/>
      <c r="HK54" s="937"/>
      <c r="HL54" s="937"/>
      <c r="HM54" s="937"/>
      <c r="HN54" s="937"/>
      <c r="HO54" s="937"/>
      <c r="HP54" s="937"/>
      <c r="HQ54" s="937"/>
      <c r="HR54" s="937"/>
      <c r="HS54" s="937"/>
      <c r="HT54" s="937"/>
      <c r="HU54" s="937"/>
      <c r="HV54" s="937"/>
      <c r="HW54" s="937"/>
      <c r="HX54" s="937"/>
      <c r="HY54" s="937"/>
      <c r="HZ54" s="937"/>
      <c r="IA54" s="937"/>
      <c r="IB54" s="937"/>
      <c r="IC54" s="937"/>
      <c r="ID54" s="937"/>
      <c r="IE54" s="937"/>
      <c r="IF54" s="937"/>
      <c r="IG54" s="937"/>
      <c r="IH54" s="937"/>
      <c r="II54" s="937"/>
      <c r="IJ54" s="937"/>
      <c r="IK54" s="937"/>
      <c r="IL54" s="937"/>
      <c r="IM54" s="937"/>
      <c r="IN54" s="937"/>
      <c r="IO54" s="937"/>
      <c r="IP54" s="937"/>
      <c r="IQ54" s="937"/>
      <c r="IR54" s="937"/>
      <c r="IS54" s="937"/>
      <c r="IT54" s="937"/>
      <c r="IU54" s="937"/>
      <c r="IV54" s="937"/>
      <c r="IW54" s="937"/>
    </row>
    <row r="55" customFormat="false" ht="12.75" hidden="false" customHeight="false" outlineLevel="0" collapsed="false">
      <c r="A55" s="979"/>
      <c r="B55" s="975" t="s">
        <v>1304</v>
      </c>
      <c r="C55" s="975"/>
      <c r="D55" s="975"/>
      <c r="E55" s="985" t="n">
        <f aca="false">SUM($E54:E54)</f>
        <v>0.0737926151369369</v>
      </c>
      <c r="F55" s="985" t="n">
        <f aca="false">SUM($E54:F54)</f>
        <v>0.0796544694929465</v>
      </c>
      <c r="G55" s="985" t="n">
        <f aca="false">SUM($E54:G54)</f>
        <v>0.0891877349275854</v>
      </c>
      <c r="H55" s="985" t="n">
        <f aca="false">SUM($E54:H54)</f>
        <v>0.128075896519842</v>
      </c>
      <c r="I55" s="985" t="n">
        <f aca="false">SUM($E54:I54)</f>
        <v>0.205594314559408</v>
      </c>
      <c r="J55" s="985" t="n">
        <f aca="false">SUM($E54:J54)</f>
        <v>0.265787759153062</v>
      </c>
      <c r="K55" s="985" t="n">
        <f aca="false">SUM($E54:K54)</f>
        <v>0.283718995189414</v>
      </c>
      <c r="L55" s="985" t="n">
        <f aca="false">SUM($E54:L54)</f>
        <v>0.298845072326358</v>
      </c>
      <c r="M55" s="985" t="n">
        <f aca="false">SUM($E54:M54)</f>
        <v>0.319147796303072</v>
      </c>
      <c r="N55" s="985" t="n">
        <f aca="false">SUM($E54:N54)</f>
        <v>0.415805640688148</v>
      </c>
      <c r="O55" s="985" t="n">
        <f aca="false">SUM($E54:O54)</f>
        <v>0.441233764593546</v>
      </c>
      <c r="P55" s="985" t="n">
        <f aca="false">SUM($E54:P54)</f>
        <v>0.452539500272497</v>
      </c>
      <c r="Q55" s="985" t="n">
        <f aca="false">SUM($E54:Q54)</f>
        <v>0.516273977309443</v>
      </c>
      <c r="R55" s="985" t="n">
        <f aca="false">SUM($E54:R54)</f>
        <v>0.527577118268083</v>
      </c>
      <c r="S55" s="985" t="n">
        <f aca="false">SUM($E54:S54)</f>
        <v>0.552933347783488</v>
      </c>
      <c r="T55" s="985" t="n">
        <f aca="false">SUM($E54:T54)</f>
        <v>0.57826647103237</v>
      </c>
      <c r="U55" s="985" t="n">
        <f aca="false">SUM($E54:U54)</f>
        <v>0.6679825135528</v>
      </c>
      <c r="V55" s="985" t="n">
        <f aca="false">SUM($E54:V54)</f>
        <v>0.679110063365222</v>
      </c>
      <c r="W55" s="985" t="n">
        <f aca="false">SUM($E54:W54)</f>
        <v>0.690515842774665</v>
      </c>
      <c r="X55" s="985" t="n">
        <f aca="false">SUM($E54:X54)</f>
        <v>0.701897296828036</v>
      </c>
      <c r="Y55" s="985" t="n">
        <f aca="false">SUM($E54:Y54)</f>
        <v>0.711615710180735</v>
      </c>
      <c r="Z55" s="985" t="n">
        <f aca="false">SUM($E54:Z54)</f>
        <v>0.799933584912744</v>
      </c>
      <c r="AA55" s="985" t="n">
        <f aca="false">SUM($E54:AA54)</f>
        <v>0.807312379808961</v>
      </c>
      <c r="AB55" s="985" t="n">
        <f aca="false">SUM($E54:AB54)</f>
        <v>0.86703039846289</v>
      </c>
      <c r="AC55" s="985" t="n">
        <f aca="false">SUM($E54:AC54)</f>
        <v>0.873226111575623</v>
      </c>
      <c r="AD55" s="985" t="n">
        <f aca="false">SUM($E54:AD54)</f>
        <v>0.879465650608854</v>
      </c>
      <c r="AE55" s="985" t="n">
        <f aca="false">SUM($E54:AE54)</f>
        <v>0.935661638859814</v>
      </c>
      <c r="AF55" s="985" t="n">
        <f aca="false">SUM($E54:AF54)</f>
        <v>0.99438875930281</v>
      </c>
      <c r="AG55" s="985" t="n">
        <f aca="false">SUM($E54:AG54)</f>
        <v>1</v>
      </c>
      <c r="AH55" s="985" t="n">
        <f aca="false">SUM($E54:AH54)</f>
        <v>1</v>
      </c>
      <c r="AI55" s="985" t="n">
        <f aca="false">SUM($E54:AI54)</f>
        <v>1</v>
      </c>
      <c r="AJ55" s="985" t="n">
        <f aca="false">SUM($E54:AJ54)</f>
        <v>1</v>
      </c>
      <c r="AK55" s="985" t="n">
        <f aca="false">SUM($E54:AK54)</f>
        <v>1</v>
      </c>
      <c r="AL55" s="985" t="n">
        <f aca="false">SUM($E54:AL54)</f>
        <v>1</v>
      </c>
      <c r="AM55" s="985" t="n">
        <f aca="false">SUM($E54:AM54)</f>
        <v>1</v>
      </c>
      <c r="AN55" s="985" t="n">
        <f aca="false">SUM($E54:AN54)</f>
        <v>1</v>
      </c>
      <c r="AO55" s="985" t="n">
        <f aca="false">SUM($E54:AO54)</f>
        <v>1</v>
      </c>
      <c r="AP55" s="985" t="n">
        <f aca="false">SUM($E54:AP54)</f>
        <v>1</v>
      </c>
      <c r="AQ55" s="985" t="n">
        <f aca="false">SUM($E54:AQ54)</f>
        <v>1</v>
      </c>
      <c r="AR55" s="985" t="n">
        <f aca="false">SUM($E54:AR54)</f>
        <v>1</v>
      </c>
      <c r="AS55" s="985" t="n">
        <f aca="false">SUM($E54:AS54)</f>
        <v>1</v>
      </c>
      <c r="AT55" s="985" t="n">
        <f aca="false">SUM($E54:AT54)</f>
        <v>1</v>
      </c>
      <c r="AU55" s="985" t="n">
        <f aca="false">SUM($E54:AU54)</f>
        <v>1</v>
      </c>
      <c r="AV55" s="985" t="n">
        <f aca="false">SUM($E54:AV54)</f>
        <v>1</v>
      </c>
      <c r="AW55" s="985" t="n">
        <f aca="false">SUM($E54:AW54)</f>
        <v>1</v>
      </c>
      <c r="AX55" s="985" t="n">
        <f aca="false">SUM($E54:AX54)</f>
        <v>1</v>
      </c>
      <c r="AY55" s="985" t="n">
        <f aca="false">SUM($E54:AY54)</f>
        <v>1</v>
      </c>
      <c r="AZ55" s="975"/>
      <c r="BA55" s="986"/>
      <c r="BB55" s="978" t="n">
        <f aca="false">BB54+1</f>
        <v>7</v>
      </c>
      <c r="BC55" s="937"/>
      <c r="BD55" s="937"/>
      <c r="BE55" s="937"/>
      <c r="BF55" s="937"/>
      <c r="BG55" s="937"/>
      <c r="BH55" s="937"/>
      <c r="BI55" s="937"/>
      <c r="BJ55" s="937"/>
      <c r="BK55" s="937"/>
      <c r="BL55" s="937"/>
      <c r="BM55" s="937"/>
      <c r="BN55" s="937"/>
      <c r="BO55" s="937"/>
      <c r="BP55" s="937"/>
      <c r="BQ55" s="937"/>
      <c r="BR55" s="937"/>
      <c r="BS55" s="937"/>
      <c r="BT55" s="937"/>
      <c r="BU55" s="937"/>
      <c r="BV55" s="937"/>
      <c r="BW55" s="937"/>
      <c r="BX55" s="937"/>
      <c r="BY55" s="937"/>
      <c r="BZ55" s="937"/>
      <c r="CA55" s="937"/>
      <c r="CB55" s="937"/>
      <c r="CC55" s="937"/>
      <c r="CD55" s="937"/>
      <c r="CE55" s="937"/>
      <c r="CF55" s="937"/>
      <c r="CG55" s="937"/>
      <c r="CH55" s="937"/>
      <c r="CI55" s="937"/>
      <c r="CJ55" s="937"/>
      <c r="CK55" s="937"/>
      <c r="CL55" s="937"/>
      <c r="CM55" s="937"/>
      <c r="CN55" s="937"/>
      <c r="CO55" s="937"/>
      <c r="CP55" s="937"/>
      <c r="CQ55" s="937"/>
      <c r="CR55" s="937"/>
      <c r="CS55" s="937"/>
      <c r="CT55" s="937"/>
      <c r="CU55" s="937"/>
      <c r="CV55" s="937"/>
      <c r="CW55" s="937"/>
      <c r="CX55" s="937"/>
      <c r="CY55" s="937"/>
      <c r="CZ55" s="937"/>
      <c r="DA55" s="937"/>
      <c r="DB55" s="937"/>
      <c r="DC55" s="937"/>
      <c r="DD55" s="937"/>
      <c r="DE55" s="937"/>
      <c r="DF55" s="937"/>
      <c r="DG55" s="937"/>
      <c r="DH55" s="937"/>
      <c r="DI55" s="937"/>
      <c r="DJ55" s="937"/>
      <c r="DK55" s="937"/>
      <c r="DL55" s="937"/>
      <c r="DM55" s="937"/>
      <c r="DN55" s="937"/>
      <c r="DO55" s="937"/>
      <c r="DP55" s="937"/>
      <c r="DQ55" s="937"/>
      <c r="DR55" s="937"/>
      <c r="DS55" s="937"/>
      <c r="DT55" s="937"/>
      <c r="DU55" s="937"/>
      <c r="DV55" s="937"/>
      <c r="DW55" s="937"/>
      <c r="DX55" s="937"/>
      <c r="DY55" s="937"/>
      <c r="DZ55" s="937"/>
      <c r="EA55" s="937"/>
      <c r="EB55" s="937"/>
      <c r="EC55" s="937"/>
      <c r="ED55" s="937"/>
      <c r="EE55" s="937"/>
      <c r="EF55" s="937"/>
      <c r="EG55" s="937"/>
      <c r="EH55" s="937"/>
      <c r="EI55" s="937"/>
      <c r="EJ55" s="937"/>
      <c r="EK55" s="937"/>
      <c r="EL55" s="937"/>
      <c r="EM55" s="937"/>
      <c r="EN55" s="937"/>
      <c r="EO55" s="937"/>
      <c r="EP55" s="937"/>
      <c r="EQ55" s="937"/>
      <c r="ER55" s="937"/>
      <c r="ES55" s="937"/>
      <c r="ET55" s="937"/>
      <c r="EU55" s="937"/>
      <c r="EV55" s="937"/>
      <c r="EW55" s="937"/>
      <c r="EX55" s="937"/>
      <c r="EY55" s="937"/>
      <c r="EZ55" s="937"/>
      <c r="FA55" s="937"/>
      <c r="FB55" s="937"/>
      <c r="FC55" s="937"/>
      <c r="FD55" s="937"/>
      <c r="FE55" s="937"/>
      <c r="FF55" s="937"/>
      <c r="FG55" s="937"/>
      <c r="FH55" s="937"/>
      <c r="FI55" s="937"/>
      <c r="FJ55" s="937"/>
      <c r="FK55" s="937"/>
      <c r="FL55" s="937"/>
      <c r="FM55" s="937"/>
      <c r="FN55" s="937"/>
      <c r="FO55" s="937"/>
      <c r="FP55" s="937"/>
      <c r="FQ55" s="937"/>
      <c r="FR55" s="937"/>
      <c r="FS55" s="937"/>
      <c r="FT55" s="937"/>
      <c r="FU55" s="937"/>
      <c r="FV55" s="937"/>
      <c r="FW55" s="937"/>
      <c r="FX55" s="937"/>
      <c r="FY55" s="937"/>
      <c r="FZ55" s="937"/>
      <c r="GA55" s="937"/>
      <c r="GB55" s="937"/>
      <c r="GC55" s="937"/>
      <c r="GD55" s="937"/>
      <c r="GE55" s="937"/>
      <c r="GF55" s="937"/>
      <c r="GG55" s="937"/>
      <c r="GH55" s="937"/>
      <c r="GI55" s="937"/>
      <c r="GJ55" s="937"/>
      <c r="GK55" s="937"/>
      <c r="GL55" s="937"/>
      <c r="GM55" s="937"/>
      <c r="GN55" s="937"/>
      <c r="GO55" s="937"/>
      <c r="GP55" s="937"/>
      <c r="GQ55" s="937"/>
      <c r="GR55" s="937"/>
      <c r="GS55" s="937"/>
      <c r="GT55" s="937"/>
      <c r="GU55" s="937"/>
      <c r="GV55" s="937"/>
      <c r="GW55" s="937"/>
      <c r="GX55" s="937"/>
      <c r="GY55" s="937"/>
      <c r="GZ55" s="937"/>
      <c r="HA55" s="937"/>
      <c r="HB55" s="937"/>
      <c r="HC55" s="937"/>
      <c r="HD55" s="937"/>
      <c r="HE55" s="937"/>
      <c r="HF55" s="937"/>
      <c r="HG55" s="937"/>
      <c r="HH55" s="937"/>
      <c r="HI55" s="937"/>
      <c r="HJ55" s="937"/>
      <c r="HK55" s="937"/>
      <c r="HL55" s="937"/>
      <c r="HM55" s="937"/>
      <c r="HN55" s="937"/>
      <c r="HO55" s="937"/>
      <c r="HP55" s="937"/>
      <c r="HQ55" s="937"/>
      <c r="HR55" s="937"/>
      <c r="HS55" s="937"/>
      <c r="HT55" s="937"/>
      <c r="HU55" s="937"/>
      <c r="HV55" s="937"/>
      <c r="HW55" s="937"/>
      <c r="HX55" s="937"/>
      <c r="HY55" s="937"/>
      <c r="HZ55" s="937"/>
      <c r="IA55" s="937"/>
      <c r="IB55" s="937"/>
      <c r="IC55" s="937"/>
      <c r="ID55" s="937"/>
      <c r="IE55" s="937"/>
      <c r="IF55" s="937"/>
      <c r="IG55" s="937"/>
      <c r="IH55" s="937"/>
      <c r="II55" s="937"/>
      <c r="IJ55" s="937"/>
      <c r="IK55" s="937"/>
      <c r="IL55" s="937"/>
      <c r="IM55" s="937"/>
      <c r="IN55" s="937"/>
      <c r="IO55" s="937"/>
      <c r="IP55" s="937"/>
      <c r="IQ55" s="937"/>
      <c r="IR55" s="937"/>
      <c r="IS55" s="937"/>
      <c r="IT55" s="937"/>
      <c r="IU55" s="937"/>
      <c r="IV55" s="937"/>
      <c r="IW55" s="937"/>
    </row>
    <row r="56" customFormat="false" ht="12.75" hidden="false" customHeight="false" outlineLevel="0" collapsed="false">
      <c r="A56" s="987"/>
      <c r="B56" s="988"/>
      <c r="C56" s="988"/>
      <c r="D56" s="988"/>
      <c r="E56" s="988"/>
      <c r="F56" s="988"/>
      <c r="G56" s="988"/>
      <c r="H56" s="988"/>
      <c r="I56" s="988"/>
      <c r="J56" s="988"/>
      <c r="K56" s="988"/>
      <c r="L56" s="988"/>
      <c r="M56" s="988"/>
      <c r="N56" s="988"/>
      <c r="O56" s="988"/>
      <c r="P56" s="988"/>
      <c r="Q56" s="988"/>
      <c r="R56" s="988"/>
      <c r="S56" s="988"/>
      <c r="T56" s="988"/>
      <c r="U56" s="988"/>
      <c r="V56" s="988"/>
      <c r="W56" s="988"/>
      <c r="X56" s="988"/>
      <c r="Y56" s="988"/>
      <c r="Z56" s="988"/>
      <c r="AA56" s="988"/>
      <c r="AB56" s="988"/>
      <c r="AC56" s="988"/>
      <c r="AD56" s="988"/>
      <c r="AE56" s="988"/>
      <c r="AF56" s="988"/>
      <c r="AG56" s="988"/>
      <c r="AH56" s="988"/>
      <c r="AI56" s="988"/>
      <c r="AJ56" s="988"/>
      <c r="AK56" s="988"/>
      <c r="AL56" s="988"/>
      <c r="AM56" s="988"/>
      <c r="AN56" s="988"/>
      <c r="AO56" s="988"/>
      <c r="AP56" s="988"/>
      <c r="AQ56" s="988"/>
      <c r="AR56" s="988"/>
      <c r="AS56" s="988"/>
      <c r="AT56" s="988"/>
      <c r="AU56" s="988"/>
      <c r="AV56" s="988"/>
      <c r="AW56" s="988"/>
      <c r="AX56" s="988"/>
      <c r="AY56" s="988"/>
      <c r="AZ56" s="988"/>
      <c r="BA56" s="989"/>
      <c r="BB56" s="937"/>
      <c r="BC56" s="937"/>
      <c r="BD56" s="937"/>
      <c r="BE56" s="937"/>
      <c r="BF56" s="937"/>
      <c r="BG56" s="937"/>
      <c r="BH56" s="937"/>
      <c r="BI56" s="937"/>
      <c r="BJ56" s="937"/>
      <c r="BK56" s="937"/>
      <c r="BL56" s="937"/>
      <c r="BM56" s="937"/>
      <c r="BN56" s="937"/>
      <c r="BO56" s="937"/>
      <c r="BP56" s="937"/>
      <c r="BQ56" s="937"/>
      <c r="BR56" s="937"/>
      <c r="BS56" s="937"/>
      <c r="BT56" s="937"/>
      <c r="BU56" s="937"/>
      <c r="BV56" s="937"/>
      <c r="BW56" s="937"/>
      <c r="BX56" s="937"/>
      <c r="BY56" s="937"/>
      <c r="BZ56" s="937"/>
      <c r="CA56" s="937"/>
      <c r="CB56" s="937"/>
      <c r="CC56" s="937"/>
      <c r="CD56" s="937"/>
      <c r="CE56" s="937"/>
      <c r="CF56" s="937"/>
      <c r="CG56" s="937"/>
      <c r="CH56" s="937"/>
      <c r="CI56" s="937"/>
      <c r="CJ56" s="937"/>
      <c r="CK56" s="937"/>
      <c r="CL56" s="937"/>
      <c r="CM56" s="937"/>
      <c r="CN56" s="937"/>
      <c r="CO56" s="937"/>
      <c r="CP56" s="937"/>
      <c r="CQ56" s="937"/>
      <c r="CR56" s="937"/>
      <c r="CS56" s="937"/>
      <c r="CT56" s="937"/>
      <c r="CU56" s="937"/>
      <c r="CV56" s="937"/>
      <c r="CW56" s="937"/>
      <c r="CX56" s="937"/>
      <c r="CY56" s="937"/>
      <c r="CZ56" s="937"/>
      <c r="DA56" s="937"/>
      <c r="DB56" s="937"/>
      <c r="DC56" s="937"/>
      <c r="DD56" s="937"/>
      <c r="DE56" s="937"/>
      <c r="DF56" s="937"/>
      <c r="DG56" s="937"/>
      <c r="DH56" s="937"/>
      <c r="DI56" s="937"/>
      <c r="DJ56" s="937"/>
      <c r="DK56" s="937"/>
      <c r="DL56" s="937"/>
      <c r="DM56" s="937"/>
      <c r="DN56" s="937"/>
      <c r="DO56" s="937"/>
      <c r="DP56" s="937"/>
      <c r="DQ56" s="937"/>
      <c r="DR56" s="937"/>
      <c r="DS56" s="937"/>
      <c r="DT56" s="937"/>
      <c r="DU56" s="937"/>
      <c r="DV56" s="937"/>
      <c r="DW56" s="937"/>
      <c r="DX56" s="937"/>
      <c r="DY56" s="937"/>
      <c r="DZ56" s="937"/>
      <c r="EA56" s="937"/>
      <c r="EB56" s="937"/>
      <c r="EC56" s="937"/>
      <c r="ED56" s="937"/>
      <c r="EE56" s="937"/>
      <c r="EF56" s="937"/>
      <c r="EG56" s="937"/>
      <c r="EH56" s="937"/>
      <c r="EI56" s="937"/>
      <c r="EJ56" s="937"/>
      <c r="EK56" s="937"/>
      <c r="EL56" s="937"/>
      <c r="EM56" s="937"/>
      <c r="EN56" s="937"/>
      <c r="EO56" s="937"/>
      <c r="EP56" s="937"/>
      <c r="EQ56" s="937"/>
      <c r="ER56" s="937"/>
      <c r="ES56" s="937"/>
      <c r="ET56" s="937"/>
      <c r="EU56" s="937"/>
      <c r="EV56" s="937"/>
      <c r="EW56" s="937"/>
      <c r="EX56" s="937"/>
      <c r="EY56" s="937"/>
      <c r="EZ56" s="937"/>
      <c r="FA56" s="937"/>
      <c r="FB56" s="937"/>
      <c r="FC56" s="937"/>
      <c r="FD56" s="937"/>
      <c r="FE56" s="937"/>
      <c r="FF56" s="937"/>
      <c r="FG56" s="937"/>
      <c r="FH56" s="937"/>
      <c r="FI56" s="937"/>
      <c r="FJ56" s="937"/>
      <c r="FK56" s="937"/>
      <c r="FL56" s="937"/>
      <c r="FM56" s="937"/>
      <c r="FN56" s="937"/>
      <c r="FO56" s="937"/>
      <c r="FP56" s="937"/>
      <c r="FQ56" s="937"/>
      <c r="FR56" s="937"/>
      <c r="FS56" s="937"/>
      <c r="FT56" s="937"/>
      <c r="FU56" s="937"/>
      <c r="FV56" s="937"/>
      <c r="FW56" s="937"/>
      <c r="FX56" s="937"/>
      <c r="FY56" s="937"/>
      <c r="FZ56" s="937"/>
      <c r="GA56" s="937"/>
      <c r="GB56" s="937"/>
      <c r="GC56" s="937"/>
      <c r="GD56" s="937"/>
      <c r="GE56" s="937"/>
      <c r="GF56" s="937"/>
      <c r="GG56" s="937"/>
      <c r="GH56" s="937"/>
      <c r="GI56" s="937"/>
      <c r="GJ56" s="937"/>
      <c r="GK56" s="937"/>
      <c r="GL56" s="937"/>
      <c r="GM56" s="937"/>
      <c r="GN56" s="937"/>
      <c r="GO56" s="937"/>
      <c r="GP56" s="937"/>
      <c r="GQ56" s="937"/>
      <c r="GR56" s="937"/>
      <c r="GS56" s="937"/>
      <c r="GT56" s="937"/>
      <c r="GU56" s="937"/>
      <c r="GV56" s="937"/>
      <c r="GW56" s="937"/>
      <c r="GX56" s="937"/>
      <c r="GY56" s="937"/>
      <c r="GZ56" s="937"/>
      <c r="HA56" s="937"/>
      <c r="HB56" s="937"/>
      <c r="HC56" s="937"/>
      <c r="HD56" s="937"/>
      <c r="HE56" s="937"/>
      <c r="HF56" s="937"/>
      <c r="HG56" s="937"/>
      <c r="HH56" s="937"/>
      <c r="HI56" s="937"/>
      <c r="HJ56" s="937"/>
      <c r="HK56" s="937"/>
      <c r="HL56" s="937"/>
      <c r="HM56" s="937"/>
      <c r="HN56" s="937"/>
      <c r="HO56" s="937"/>
      <c r="HP56" s="937"/>
      <c r="HQ56" s="937"/>
      <c r="HR56" s="937"/>
      <c r="HS56" s="937"/>
      <c r="HT56" s="937"/>
      <c r="HU56" s="937"/>
      <c r="HV56" s="937"/>
      <c r="HW56" s="937"/>
      <c r="HX56" s="937"/>
      <c r="HY56" s="937"/>
      <c r="HZ56" s="937"/>
      <c r="IA56" s="937"/>
      <c r="IB56" s="937"/>
      <c r="IC56" s="937"/>
      <c r="ID56" s="937"/>
      <c r="IE56" s="937"/>
      <c r="IF56" s="937"/>
      <c r="IG56" s="937"/>
      <c r="IH56" s="937"/>
      <c r="II56" s="937"/>
      <c r="IJ56" s="937"/>
      <c r="IK56" s="937"/>
      <c r="IL56" s="937"/>
      <c r="IM56" s="937"/>
      <c r="IN56" s="937"/>
      <c r="IO56" s="937"/>
      <c r="IP56" s="937"/>
      <c r="IQ56" s="937"/>
      <c r="IR56" s="937"/>
      <c r="IS56" s="937"/>
      <c r="IT56" s="937"/>
      <c r="IU56" s="937"/>
      <c r="IV56" s="937"/>
      <c r="IW56" s="937"/>
    </row>
    <row r="57" customFormat="false" ht="13.5" hidden="false" customHeight="false" outlineLevel="0" collapsed="false">
      <c r="A57" s="990"/>
      <c r="B57" s="991"/>
      <c r="C57" s="991"/>
      <c r="D57" s="991"/>
      <c r="E57" s="991"/>
      <c r="F57" s="991"/>
      <c r="G57" s="991"/>
      <c r="H57" s="991"/>
      <c r="I57" s="991"/>
      <c r="J57" s="991"/>
      <c r="K57" s="991"/>
      <c r="L57" s="991"/>
      <c r="M57" s="991"/>
      <c r="N57" s="991"/>
      <c r="O57" s="991"/>
      <c r="P57" s="991"/>
      <c r="Q57" s="991"/>
      <c r="R57" s="991"/>
      <c r="S57" s="991"/>
      <c r="T57" s="991"/>
      <c r="U57" s="991"/>
      <c r="V57" s="991"/>
      <c r="W57" s="991"/>
      <c r="X57" s="991"/>
      <c r="Y57" s="991"/>
      <c r="Z57" s="991"/>
      <c r="AA57" s="991"/>
      <c r="AB57" s="991"/>
      <c r="AC57" s="991"/>
      <c r="AD57" s="991"/>
      <c r="AE57" s="991"/>
      <c r="AF57" s="991"/>
      <c r="AG57" s="991"/>
      <c r="AH57" s="991"/>
      <c r="AI57" s="991"/>
      <c r="AJ57" s="991"/>
      <c r="AK57" s="991"/>
      <c r="AL57" s="991"/>
      <c r="AM57" s="991"/>
      <c r="AN57" s="991"/>
      <c r="AO57" s="991"/>
      <c r="AP57" s="991"/>
      <c r="AQ57" s="991"/>
      <c r="AR57" s="991"/>
      <c r="AS57" s="991"/>
      <c r="AT57" s="991"/>
      <c r="AU57" s="991"/>
      <c r="AV57" s="991"/>
      <c r="AW57" s="991"/>
      <c r="AX57" s="991"/>
      <c r="AY57" s="991"/>
      <c r="AZ57" s="991"/>
      <c r="BA57" s="992"/>
    </row>
    <row r="59" customFormat="false" ht="13.5" hidden="false" customHeight="false" outlineLevel="0" collapsed="false"/>
    <row r="60" customFormat="false" ht="12.75" hidden="false" customHeight="false" outlineLevel="0" collapsed="false">
      <c r="A60" s="993"/>
      <c r="B60" s="994"/>
      <c r="C60" s="994"/>
      <c r="D60" s="994"/>
      <c r="E60" s="994"/>
      <c r="F60" s="994"/>
      <c r="G60" s="994"/>
      <c r="H60" s="994"/>
      <c r="I60" s="994"/>
      <c r="J60" s="994"/>
      <c r="K60" s="994"/>
      <c r="L60" s="994"/>
      <c r="M60" s="994"/>
      <c r="N60" s="994"/>
      <c r="O60" s="994"/>
      <c r="P60" s="994"/>
      <c r="Q60" s="994"/>
      <c r="R60" s="994"/>
      <c r="S60" s="994"/>
      <c r="T60" s="994"/>
      <c r="U60" s="994"/>
      <c r="V60" s="994"/>
      <c r="W60" s="994"/>
      <c r="X60" s="994"/>
      <c r="Y60" s="994"/>
      <c r="Z60" s="994"/>
      <c r="AA60" s="994"/>
      <c r="AB60" s="994"/>
      <c r="AC60" s="994"/>
      <c r="AD60" s="994"/>
      <c r="AE60" s="994"/>
      <c r="AF60" s="994"/>
      <c r="AG60" s="994"/>
      <c r="AH60" s="994"/>
      <c r="AI60" s="994"/>
      <c r="AJ60" s="994"/>
      <c r="AK60" s="994"/>
      <c r="AL60" s="994"/>
      <c r="AM60" s="994"/>
      <c r="AN60" s="994"/>
      <c r="AO60" s="994"/>
      <c r="AP60" s="994"/>
      <c r="AQ60" s="994"/>
      <c r="AR60" s="994"/>
      <c r="AS60" s="994"/>
      <c r="AT60" s="994"/>
      <c r="AU60" s="994"/>
      <c r="AV60" s="994"/>
      <c r="AW60" s="994"/>
      <c r="AX60" s="994"/>
      <c r="AY60" s="994"/>
      <c r="AZ60" s="994"/>
      <c r="BA60" s="995" t="s">
        <v>66</v>
      </c>
    </row>
    <row r="61" customFormat="false" ht="18" hidden="false" customHeight="false" outlineLevel="0" collapsed="false">
      <c r="A61" s="996" t="s">
        <v>1305</v>
      </c>
      <c r="B61" s="997"/>
      <c r="C61" s="997"/>
      <c r="D61" s="997"/>
      <c r="E61" s="998" t="n">
        <f aca="false">E7</f>
        <v>35765</v>
      </c>
      <c r="F61" s="998" t="n">
        <f aca="false">F7</f>
        <v>35796</v>
      </c>
      <c r="G61" s="998" t="n">
        <f aca="false">G7</f>
        <v>35827</v>
      </c>
      <c r="H61" s="998" t="n">
        <f aca="false">H7</f>
        <v>35855</v>
      </c>
      <c r="I61" s="998" t="n">
        <f aca="false">I7</f>
        <v>35886</v>
      </c>
      <c r="J61" s="998" t="n">
        <f aca="false">J7</f>
        <v>35916</v>
      </c>
      <c r="K61" s="998" t="n">
        <f aca="false">K7</f>
        <v>35947</v>
      </c>
      <c r="L61" s="998" t="n">
        <f aca="false">L7</f>
        <v>35977</v>
      </c>
      <c r="M61" s="998" t="n">
        <f aca="false">M7</f>
        <v>36008</v>
      </c>
      <c r="N61" s="998" t="n">
        <f aca="false">N7</f>
        <v>36039</v>
      </c>
      <c r="O61" s="998" t="n">
        <f aca="false">O7</f>
        <v>36069</v>
      </c>
      <c r="P61" s="998" t="n">
        <f aca="false">P7</f>
        <v>36100</v>
      </c>
      <c r="Q61" s="998" t="n">
        <f aca="false">Q7</f>
        <v>36130</v>
      </c>
      <c r="R61" s="998" t="n">
        <f aca="false">R7</f>
        <v>36161</v>
      </c>
      <c r="S61" s="998" t="n">
        <f aca="false">S7</f>
        <v>36192</v>
      </c>
      <c r="T61" s="998" t="n">
        <f aca="false">T7</f>
        <v>36220</v>
      </c>
      <c r="U61" s="998" t="n">
        <f aca="false">U7</f>
        <v>36251</v>
      </c>
      <c r="V61" s="998" t="n">
        <f aca="false">V7</f>
        <v>36281</v>
      </c>
      <c r="W61" s="998" t="n">
        <f aca="false">W7</f>
        <v>36312</v>
      </c>
      <c r="X61" s="998" t="n">
        <f aca="false">X7</f>
        <v>36342</v>
      </c>
      <c r="Y61" s="998" t="n">
        <f aca="false">Y7</f>
        <v>36373</v>
      </c>
      <c r="Z61" s="998" t="n">
        <f aca="false">Z7</f>
        <v>36404</v>
      </c>
      <c r="AA61" s="998" t="n">
        <f aca="false">AA7</f>
        <v>36434</v>
      </c>
      <c r="AB61" s="998" t="n">
        <f aca="false">AB7</f>
        <v>36465</v>
      </c>
      <c r="AC61" s="998" t="n">
        <f aca="false">AC7</f>
        <v>36495</v>
      </c>
      <c r="AD61" s="998" t="n">
        <f aca="false">AD7</f>
        <v>36526</v>
      </c>
      <c r="AE61" s="998" t="n">
        <f aca="false">AE7</f>
        <v>36557</v>
      </c>
      <c r="AF61" s="998" t="n">
        <f aca="false">AF7</f>
        <v>36586</v>
      </c>
      <c r="AG61" s="998" t="n">
        <f aca="false">AG7</f>
        <v>36617</v>
      </c>
      <c r="AH61" s="998" t="n">
        <f aca="false">AH7</f>
        <v>36647</v>
      </c>
      <c r="AI61" s="998" t="n">
        <f aca="false">AI7</f>
        <v>36678</v>
      </c>
      <c r="AJ61" s="998" t="n">
        <f aca="false">AJ7</f>
        <v>36708</v>
      </c>
      <c r="AK61" s="998" t="n">
        <f aca="false">AK7</f>
        <v>36739</v>
      </c>
      <c r="AL61" s="998" t="n">
        <f aca="false">AL7</f>
        <v>36770</v>
      </c>
      <c r="AM61" s="998" t="n">
        <f aca="false">AM7</f>
        <v>36800</v>
      </c>
      <c r="AN61" s="998" t="n">
        <f aca="false">AN7</f>
        <v>36831</v>
      </c>
      <c r="AO61" s="998" t="n">
        <f aca="false">AO7</f>
        <v>36861</v>
      </c>
      <c r="AP61" s="998" t="n">
        <f aca="false">AP7</f>
        <v>36892</v>
      </c>
      <c r="AQ61" s="998" t="n">
        <f aca="false">AQ7</f>
        <v>36923</v>
      </c>
      <c r="AR61" s="998" t="n">
        <f aca="false">AR7</f>
        <v>36951</v>
      </c>
      <c r="AS61" s="998" t="n">
        <f aca="false">AS7</f>
        <v>36982</v>
      </c>
      <c r="AT61" s="998" t="n">
        <f aca="false">AT7</f>
        <v>37012</v>
      </c>
      <c r="AU61" s="998" t="n">
        <f aca="false">AU7</f>
        <v>37043</v>
      </c>
      <c r="AV61" s="998" t="n">
        <f aca="false">AV7</f>
        <v>37073</v>
      </c>
      <c r="AW61" s="998" t="n">
        <f aca="false">AW7</f>
        <v>37104</v>
      </c>
      <c r="AX61" s="998" t="n">
        <f aca="false">AX7</f>
        <v>37135</v>
      </c>
      <c r="AY61" s="998" t="n">
        <f aca="false">AY7</f>
        <v>37165</v>
      </c>
      <c r="AZ61" s="998" t="n">
        <f aca="false">AZ7</f>
        <v>0</v>
      </c>
      <c r="BA61" s="999" t="s">
        <v>1306</v>
      </c>
    </row>
    <row r="62" customFormat="false" ht="12.75" hidden="false" customHeight="false" outlineLevel="0" collapsed="false">
      <c r="A62" s="1000" t="s">
        <v>1307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1"/>
      <c r="M62" s="1001"/>
      <c r="N62" s="1001"/>
      <c r="O62" s="1001"/>
      <c r="P62" s="1001"/>
      <c r="Q62" s="1001"/>
      <c r="R62" s="1001"/>
      <c r="S62" s="1001"/>
      <c r="T62" s="1001"/>
      <c r="U62" s="1001"/>
      <c r="V62" s="1001"/>
      <c r="W62" s="1001"/>
      <c r="X62" s="1001"/>
      <c r="Y62" s="1001"/>
      <c r="Z62" s="1001"/>
      <c r="AA62" s="1001"/>
      <c r="AB62" s="1002"/>
      <c r="AC62" s="1002"/>
      <c r="AD62" s="1002"/>
      <c r="AE62" s="1002"/>
      <c r="AF62" s="1002"/>
      <c r="AG62" s="1002"/>
      <c r="AH62" s="1002"/>
      <c r="AI62" s="1002"/>
      <c r="AJ62" s="1002"/>
      <c r="AK62" s="1002"/>
      <c r="AL62" s="1002"/>
      <c r="AM62" s="1002"/>
      <c r="AN62" s="1002"/>
      <c r="AO62" s="1002"/>
      <c r="AP62" s="1002"/>
      <c r="AQ62" s="1002"/>
      <c r="AR62" s="1002"/>
      <c r="AS62" s="1002"/>
      <c r="AT62" s="1002"/>
      <c r="AU62" s="1002"/>
      <c r="AV62" s="1002"/>
      <c r="AW62" s="1002"/>
      <c r="AX62" s="1002"/>
      <c r="AY62" s="1002"/>
      <c r="AZ62" s="1002"/>
      <c r="BA62" s="1003"/>
    </row>
    <row r="63" customFormat="false" ht="12.75" hidden="false" customHeight="false" outlineLevel="0" collapsed="false">
      <c r="A63" s="1004" t="s">
        <v>1308</v>
      </c>
      <c r="B63" s="1005"/>
      <c r="C63" s="1005"/>
      <c r="D63" s="1005"/>
      <c r="E63" s="1006"/>
      <c r="F63" s="1006"/>
      <c r="G63" s="1006"/>
      <c r="H63" s="1006"/>
      <c r="I63" s="1006"/>
      <c r="J63" s="1006"/>
      <c r="K63" s="1006"/>
      <c r="L63" s="1006"/>
      <c r="M63" s="1006"/>
      <c r="N63" s="1006"/>
      <c r="O63" s="1006"/>
      <c r="P63" s="1006"/>
      <c r="Q63" s="1006"/>
      <c r="R63" s="1006"/>
      <c r="S63" s="1006"/>
      <c r="T63" s="1006"/>
      <c r="U63" s="1006"/>
      <c r="V63" s="1006"/>
      <c r="W63" s="1006"/>
      <c r="X63" s="1006"/>
      <c r="Y63" s="1006"/>
      <c r="Z63" s="1006"/>
      <c r="AA63" s="1006"/>
      <c r="AB63" s="1006"/>
      <c r="AC63" s="1006"/>
      <c r="AD63" s="1006"/>
      <c r="AE63" s="1006"/>
      <c r="AF63" s="1006"/>
      <c r="AG63" s="1006"/>
      <c r="AH63" s="1006"/>
      <c r="AI63" s="1006"/>
      <c r="AJ63" s="1006"/>
      <c r="AK63" s="1006"/>
      <c r="AL63" s="1006"/>
      <c r="AM63" s="1006"/>
      <c r="AN63" s="1006"/>
      <c r="AO63" s="1006"/>
      <c r="AP63" s="1006"/>
      <c r="AQ63" s="1006"/>
      <c r="AR63" s="1006"/>
      <c r="AS63" s="1006"/>
      <c r="AT63" s="1006"/>
      <c r="AU63" s="1006"/>
      <c r="AV63" s="1006"/>
      <c r="AW63" s="1006"/>
      <c r="AX63" s="1006"/>
      <c r="AY63" s="1006"/>
      <c r="AZ63" s="1005"/>
      <c r="BA63" s="1007"/>
      <c r="BB63" s="1008"/>
      <c r="BC63" s="1008"/>
      <c r="BD63" s="1008"/>
      <c r="BE63" s="1008"/>
      <c r="BF63" s="1008"/>
      <c r="BG63" s="1008"/>
      <c r="BH63" s="1008"/>
      <c r="BI63" s="1008"/>
      <c r="BJ63" s="1008"/>
      <c r="BK63" s="1008"/>
      <c r="BL63" s="1008"/>
      <c r="BM63" s="1008"/>
      <c r="BN63" s="1008"/>
      <c r="BO63" s="1008"/>
      <c r="BP63" s="1008"/>
      <c r="BQ63" s="1008"/>
      <c r="BR63" s="1008"/>
      <c r="BS63" s="1008"/>
      <c r="BT63" s="1008"/>
      <c r="BU63" s="1008"/>
      <c r="BV63" s="1008"/>
      <c r="BW63" s="1008"/>
      <c r="BX63" s="1008"/>
      <c r="BY63" s="1008"/>
      <c r="BZ63" s="1008"/>
      <c r="CA63" s="1008"/>
      <c r="CB63" s="1008"/>
      <c r="CC63" s="1008"/>
      <c r="CD63" s="1008"/>
      <c r="CE63" s="1008"/>
      <c r="CF63" s="1008"/>
      <c r="CG63" s="1008"/>
      <c r="CH63" s="1008"/>
      <c r="CI63" s="1008"/>
      <c r="CJ63" s="1008"/>
      <c r="CK63" s="1008"/>
      <c r="CL63" s="1008"/>
      <c r="CM63" s="1008"/>
      <c r="CN63" s="1008"/>
      <c r="CO63" s="1008"/>
      <c r="CP63" s="1008"/>
      <c r="CQ63" s="1008"/>
      <c r="CR63" s="1008"/>
      <c r="CS63" s="1008"/>
      <c r="CT63" s="1008"/>
      <c r="CU63" s="1008"/>
      <c r="CV63" s="1008"/>
      <c r="CW63" s="1008"/>
      <c r="CX63" s="1008"/>
      <c r="CY63" s="1008"/>
      <c r="CZ63" s="1008"/>
      <c r="DA63" s="1008"/>
      <c r="DB63" s="1008"/>
      <c r="DC63" s="1008"/>
      <c r="DD63" s="1008"/>
      <c r="DE63" s="1008"/>
      <c r="DF63" s="1008"/>
      <c r="DG63" s="1008"/>
      <c r="DH63" s="1008"/>
      <c r="DI63" s="1008"/>
      <c r="DJ63" s="1008"/>
      <c r="DK63" s="1008"/>
      <c r="DL63" s="1008"/>
      <c r="DM63" s="1008"/>
      <c r="DN63" s="1008"/>
      <c r="DO63" s="1008"/>
      <c r="DP63" s="1008"/>
      <c r="DQ63" s="1008"/>
      <c r="DR63" s="1008"/>
      <c r="DS63" s="1008"/>
      <c r="DT63" s="1008"/>
      <c r="DU63" s="1008"/>
      <c r="DV63" s="1008"/>
      <c r="DW63" s="1008"/>
      <c r="DX63" s="1008"/>
      <c r="DY63" s="1008"/>
      <c r="DZ63" s="1008"/>
      <c r="EA63" s="1008"/>
      <c r="EB63" s="1008"/>
      <c r="EC63" s="1008"/>
      <c r="ED63" s="1008"/>
      <c r="EE63" s="1008"/>
      <c r="EF63" s="1008"/>
      <c r="EG63" s="1008"/>
      <c r="EH63" s="1008"/>
      <c r="EI63" s="1008"/>
      <c r="EJ63" s="1008"/>
      <c r="EK63" s="1008"/>
      <c r="EL63" s="1008"/>
      <c r="EM63" s="1008"/>
      <c r="EN63" s="1008"/>
      <c r="EO63" s="1008"/>
      <c r="EP63" s="1008"/>
      <c r="EQ63" s="1008"/>
      <c r="ER63" s="1008"/>
      <c r="ES63" s="1008"/>
      <c r="ET63" s="1008"/>
      <c r="EU63" s="1008"/>
      <c r="EV63" s="1008"/>
      <c r="EW63" s="1008"/>
      <c r="EX63" s="1008"/>
      <c r="EY63" s="1008"/>
      <c r="EZ63" s="1008"/>
      <c r="FA63" s="1008"/>
      <c r="FB63" s="1008"/>
      <c r="FC63" s="1008"/>
      <c r="FD63" s="1008"/>
      <c r="FE63" s="1008"/>
      <c r="FF63" s="1008"/>
      <c r="FG63" s="1008"/>
      <c r="FH63" s="1008"/>
      <c r="FI63" s="1008"/>
      <c r="FJ63" s="1008"/>
      <c r="FK63" s="1008"/>
      <c r="FL63" s="1008"/>
      <c r="FM63" s="1008"/>
      <c r="FN63" s="1008"/>
      <c r="FO63" s="1008"/>
      <c r="FP63" s="1008"/>
      <c r="FQ63" s="1008"/>
      <c r="FR63" s="1008"/>
      <c r="FS63" s="1008"/>
      <c r="FT63" s="1008"/>
      <c r="FU63" s="1008"/>
      <c r="FV63" s="1008"/>
      <c r="FW63" s="1008"/>
      <c r="FX63" s="1008"/>
      <c r="FY63" s="1008"/>
      <c r="FZ63" s="1008"/>
      <c r="GA63" s="1008"/>
      <c r="GB63" s="1008"/>
      <c r="GC63" s="1008"/>
      <c r="GD63" s="1008"/>
      <c r="GE63" s="1008"/>
      <c r="GF63" s="1008"/>
      <c r="GG63" s="1008"/>
      <c r="GH63" s="1008"/>
      <c r="GI63" s="1008"/>
      <c r="GJ63" s="1008"/>
      <c r="GK63" s="1008"/>
      <c r="GL63" s="1008"/>
      <c r="GM63" s="1008"/>
      <c r="GN63" s="1008"/>
      <c r="GO63" s="1008"/>
      <c r="GP63" s="1008"/>
      <c r="GQ63" s="1008"/>
      <c r="GR63" s="1008"/>
      <c r="GS63" s="1008"/>
      <c r="GT63" s="1008"/>
      <c r="GU63" s="1008"/>
      <c r="GV63" s="1008"/>
      <c r="GW63" s="1008"/>
      <c r="GX63" s="1008"/>
      <c r="GY63" s="1008"/>
      <c r="GZ63" s="1008"/>
      <c r="HA63" s="1008"/>
      <c r="HB63" s="1008"/>
      <c r="HC63" s="1008"/>
      <c r="HD63" s="1008"/>
      <c r="HE63" s="1008"/>
      <c r="HF63" s="1008"/>
      <c r="HG63" s="1008"/>
      <c r="HH63" s="1008"/>
      <c r="HI63" s="1008"/>
      <c r="HJ63" s="1008"/>
      <c r="HK63" s="1008"/>
      <c r="HL63" s="1008"/>
      <c r="HM63" s="1008"/>
      <c r="HN63" s="1008"/>
      <c r="HO63" s="1008"/>
      <c r="HP63" s="1008"/>
      <c r="HQ63" s="1008"/>
      <c r="HR63" s="1008"/>
      <c r="HS63" s="1008"/>
      <c r="HT63" s="1008"/>
      <c r="HU63" s="1008"/>
      <c r="HV63" s="1008"/>
      <c r="HW63" s="1008"/>
      <c r="HX63" s="1008"/>
      <c r="HY63" s="1008"/>
      <c r="HZ63" s="1008"/>
      <c r="IA63" s="1008"/>
      <c r="IB63" s="1008"/>
      <c r="IC63" s="1008"/>
      <c r="ID63" s="1008"/>
      <c r="IE63" s="1008"/>
      <c r="IF63" s="1008"/>
      <c r="IG63" s="1008"/>
      <c r="IH63" s="1008"/>
      <c r="II63" s="1008"/>
      <c r="IJ63" s="1008"/>
      <c r="IK63" s="1008"/>
      <c r="IL63" s="1008"/>
      <c r="IM63" s="1008"/>
      <c r="IN63" s="1008"/>
      <c r="IO63" s="1008"/>
      <c r="IP63" s="1008"/>
      <c r="IQ63" s="1008"/>
      <c r="IR63" s="1008"/>
      <c r="IS63" s="1008"/>
      <c r="IT63" s="1008"/>
      <c r="IU63" s="1008"/>
      <c r="IV63" s="1008"/>
      <c r="IW63" s="1008"/>
    </row>
    <row r="64" customFormat="false" ht="12.75" hidden="false" customHeight="false" outlineLevel="0" collapsed="false">
      <c r="A64" s="1009"/>
      <c r="B64" s="1005" t="s">
        <v>1309</v>
      </c>
      <c r="C64" s="1005"/>
      <c r="D64" s="1005"/>
      <c r="E64" s="1010" t="n">
        <v>7598.20788530466</v>
      </c>
      <c r="F64" s="1010" t="n">
        <v>0</v>
      </c>
      <c r="G64" s="1010" t="n">
        <v>2638.52242744063</v>
      </c>
      <c r="H64" s="1010" t="n">
        <v>9410.72999120493</v>
      </c>
      <c r="I64" s="1010" t="n">
        <v>12938.6643356643</v>
      </c>
      <c r="J64" s="1010" t="n">
        <v>5260.86956521739</v>
      </c>
      <c r="K64" s="1010" t="n">
        <v>18755.4122731201</v>
      </c>
      <c r="L64" s="1010" t="n">
        <v>5760.9630266552</v>
      </c>
      <c r="M64" s="1010" t="n">
        <v>5692.43840271878</v>
      </c>
      <c r="N64" s="1010" t="n">
        <v>21168.1239460371</v>
      </c>
      <c r="O64" s="1010" t="n">
        <v>3569.63835155593</v>
      </c>
      <c r="P64" s="1010" t="n">
        <v>0</v>
      </c>
      <c r="Q64" s="1010" t="n">
        <v>0</v>
      </c>
      <c r="R64" s="1010" t="n">
        <v>0</v>
      </c>
      <c r="S64" s="1010" t="n">
        <v>0</v>
      </c>
      <c r="T64" s="1010" t="n">
        <v>0</v>
      </c>
      <c r="U64" s="1010" t="n">
        <v>0</v>
      </c>
      <c r="V64" s="1010" t="n">
        <v>0</v>
      </c>
      <c r="W64" s="1010" t="n">
        <v>0</v>
      </c>
      <c r="X64" s="1010" t="n">
        <v>0</v>
      </c>
      <c r="Y64" s="1010" t="n">
        <v>0</v>
      </c>
      <c r="Z64" s="1010" t="n">
        <v>0</v>
      </c>
      <c r="AA64" s="1010" t="n">
        <v>0</v>
      </c>
      <c r="AB64" s="1010" t="n">
        <v>0</v>
      </c>
      <c r="AC64" s="1010" t="n">
        <v>0</v>
      </c>
      <c r="AD64" s="1010" t="n">
        <v>0</v>
      </c>
      <c r="AE64" s="1010" t="n">
        <v>0</v>
      </c>
      <c r="AF64" s="1010" t="n">
        <v>0</v>
      </c>
      <c r="AG64" s="1010" t="n">
        <v>0</v>
      </c>
      <c r="AH64" s="1010" t="n">
        <v>0</v>
      </c>
      <c r="AI64" s="1010" t="n">
        <v>0</v>
      </c>
      <c r="AJ64" s="1010" t="n">
        <v>0</v>
      </c>
      <c r="AK64" s="1010" t="n">
        <v>0</v>
      </c>
      <c r="AL64" s="1010" t="n">
        <v>0</v>
      </c>
      <c r="AM64" s="1010" t="n">
        <v>0</v>
      </c>
      <c r="AN64" s="1010" t="n">
        <v>0</v>
      </c>
      <c r="AO64" s="1010" t="n">
        <v>0</v>
      </c>
      <c r="AP64" s="1010" t="n">
        <v>0</v>
      </c>
      <c r="AQ64" s="1010" t="n">
        <v>0</v>
      </c>
      <c r="AR64" s="1010" t="n">
        <v>0</v>
      </c>
      <c r="AS64" s="1010" t="n">
        <v>0</v>
      </c>
      <c r="AT64" s="1010" t="n">
        <v>0</v>
      </c>
      <c r="AU64" s="1010" t="n">
        <v>0</v>
      </c>
      <c r="AV64" s="1010" t="n">
        <v>0</v>
      </c>
      <c r="AW64" s="1010" t="n">
        <v>0</v>
      </c>
      <c r="AX64" s="1010" t="n">
        <v>0</v>
      </c>
      <c r="AY64" s="1010" t="n">
        <v>0</v>
      </c>
      <c r="AZ64" s="1010" t="n">
        <v>0</v>
      </c>
      <c r="BA64" s="1011" t="n">
        <f aca="false">SUM(E64:AZ64)</f>
        <v>92793.5702049191</v>
      </c>
      <c r="BB64" s="1008"/>
      <c r="BC64" s="1008"/>
      <c r="BD64" s="1008"/>
      <c r="BE64" s="1008"/>
      <c r="BF64" s="1008"/>
      <c r="BG64" s="1008"/>
      <c r="BH64" s="1008"/>
      <c r="BI64" s="1008"/>
      <c r="BJ64" s="1008"/>
      <c r="BK64" s="1008"/>
      <c r="BL64" s="1008"/>
      <c r="BM64" s="1008"/>
      <c r="BN64" s="1008"/>
      <c r="BO64" s="1008"/>
      <c r="BP64" s="1008"/>
      <c r="BQ64" s="1008"/>
      <c r="BR64" s="1008"/>
      <c r="BS64" s="1008"/>
      <c r="BT64" s="1008"/>
      <c r="BU64" s="1008"/>
      <c r="BV64" s="1008"/>
      <c r="BW64" s="1008"/>
      <c r="BX64" s="1008"/>
      <c r="BY64" s="1008"/>
      <c r="BZ64" s="1008"/>
      <c r="CA64" s="1008"/>
      <c r="CB64" s="1008"/>
      <c r="CC64" s="1008"/>
      <c r="CD64" s="1008"/>
      <c r="CE64" s="1008"/>
      <c r="CF64" s="1008"/>
      <c r="CG64" s="1008"/>
      <c r="CH64" s="1008"/>
      <c r="CI64" s="1008"/>
      <c r="CJ64" s="1008"/>
      <c r="CK64" s="1008"/>
      <c r="CL64" s="1008"/>
      <c r="CM64" s="1008"/>
      <c r="CN64" s="1008"/>
      <c r="CO64" s="1008"/>
      <c r="CP64" s="1008"/>
      <c r="CQ64" s="1008"/>
      <c r="CR64" s="1008"/>
      <c r="CS64" s="1008"/>
      <c r="CT64" s="1008"/>
      <c r="CU64" s="1008"/>
      <c r="CV64" s="1008"/>
      <c r="CW64" s="1008"/>
      <c r="CX64" s="1008"/>
      <c r="CY64" s="1008"/>
      <c r="CZ64" s="1008"/>
      <c r="DA64" s="1008"/>
      <c r="DB64" s="1008"/>
      <c r="DC64" s="1008"/>
      <c r="DD64" s="1008"/>
      <c r="DE64" s="1008"/>
      <c r="DF64" s="1008"/>
      <c r="DG64" s="1008"/>
      <c r="DH64" s="1008"/>
      <c r="DI64" s="1008"/>
      <c r="DJ64" s="1008"/>
      <c r="DK64" s="1008"/>
      <c r="DL64" s="1008"/>
      <c r="DM64" s="1008"/>
      <c r="DN64" s="1008"/>
      <c r="DO64" s="1008"/>
      <c r="DP64" s="1008"/>
      <c r="DQ64" s="1008"/>
      <c r="DR64" s="1008"/>
      <c r="DS64" s="1008"/>
      <c r="DT64" s="1008"/>
      <c r="DU64" s="1008"/>
      <c r="DV64" s="1008"/>
      <c r="DW64" s="1008"/>
      <c r="DX64" s="1008"/>
      <c r="DY64" s="1008"/>
      <c r="DZ64" s="1008"/>
      <c r="EA64" s="1008"/>
      <c r="EB64" s="1008"/>
      <c r="EC64" s="1008"/>
      <c r="ED64" s="1008"/>
      <c r="EE64" s="1008"/>
      <c r="EF64" s="1008"/>
      <c r="EG64" s="1008"/>
      <c r="EH64" s="1008"/>
      <c r="EI64" s="1008"/>
      <c r="EJ64" s="1008"/>
      <c r="EK64" s="1008"/>
      <c r="EL64" s="1008"/>
      <c r="EM64" s="1008"/>
      <c r="EN64" s="1008"/>
      <c r="EO64" s="1008"/>
      <c r="EP64" s="1008"/>
      <c r="EQ64" s="1008"/>
      <c r="ER64" s="1008"/>
      <c r="ES64" s="1008"/>
      <c r="ET64" s="1008"/>
      <c r="EU64" s="1008"/>
      <c r="EV64" s="1008"/>
      <c r="EW64" s="1008"/>
      <c r="EX64" s="1008"/>
      <c r="EY64" s="1008"/>
      <c r="EZ64" s="1008"/>
      <c r="FA64" s="1008"/>
      <c r="FB64" s="1008"/>
      <c r="FC64" s="1008"/>
      <c r="FD64" s="1008"/>
      <c r="FE64" s="1008"/>
      <c r="FF64" s="1008"/>
      <c r="FG64" s="1008"/>
      <c r="FH64" s="1008"/>
      <c r="FI64" s="1008"/>
      <c r="FJ64" s="1008"/>
      <c r="FK64" s="1008"/>
      <c r="FL64" s="1008"/>
      <c r="FM64" s="1008"/>
      <c r="FN64" s="1008"/>
      <c r="FO64" s="1008"/>
      <c r="FP64" s="1008"/>
      <c r="FQ64" s="1008"/>
      <c r="FR64" s="1008"/>
      <c r="FS64" s="1008"/>
      <c r="FT64" s="1008"/>
      <c r="FU64" s="1008"/>
      <c r="FV64" s="1008"/>
      <c r="FW64" s="1008"/>
      <c r="FX64" s="1008"/>
      <c r="FY64" s="1008"/>
      <c r="FZ64" s="1008"/>
      <c r="GA64" s="1008"/>
      <c r="GB64" s="1008"/>
      <c r="GC64" s="1008"/>
      <c r="GD64" s="1008"/>
      <c r="GE64" s="1008"/>
      <c r="GF64" s="1008"/>
      <c r="GG64" s="1008"/>
      <c r="GH64" s="1008"/>
      <c r="GI64" s="1008"/>
      <c r="GJ64" s="1008"/>
      <c r="GK64" s="1008"/>
      <c r="GL64" s="1008"/>
      <c r="GM64" s="1008"/>
      <c r="GN64" s="1008"/>
      <c r="GO64" s="1008"/>
      <c r="GP64" s="1008"/>
      <c r="GQ64" s="1008"/>
      <c r="GR64" s="1008"/>
      <c r="GS64" s="1008"/>
      <c r="GT64" s="1008"/>
      <c r="GU64" s="1008"/>
      <c r="GV64" s="1008"/>
      <c r="GW64" s="1008"/>
      <c r="GX64" s="1008"/>
      <c r="GY64" s="1008"/>
      <c r="GZ64" s="1008"/>
      <c r="HA64" s="1008"/>
      <c r="HB64" s="1008"/>
      <c r="HC64" s="1008"/>
      <c r="HD64" s="1008"/>
      <c r="HE64" s="1008"/>
      <c r="HF64" s="1008"/>
      <c r="HG64" s="1008"/>
      <c r="HH64" s="1008"/>
      <c r="HI64" s="1008"/>
      <c r="HJ64" s="1008"/>
      <c r="HK64" s="1008"/>
      <c r="HL64" s="1008"/>
      <c r="HM64" s="1008"/>
      <c r="HN64" s="1008"/>
      <c r="HO64" s="1008"/>
      <c r="HP64" s="1008"/>
      <c r="HQ64" s="1008"/>
      <c r="HR64" s="1008"/>
      <c r="HS64" s="1008"/>
      <c r="HT64" s="1008"/>
      <c r="HU64" s="1008"/>
      <c r="HV64" s="1008"/>
      <c r="HW64" s="1008"/>
      <c r="HX64" s="1008"/>
      <c r="HY64" s="1008"/>
      <c r="HZ64" s="1008"/>
      <c r="IA64" s="1008"/>
      <c r="IB64" s="1008"/>
      <c r="IC64" s="1008"/>
      <c r="ID64" s="1008"/>
      <c r="IE64" s="1008"/>
      <c r="IF64" s="1008"/>
      <c r="IG64" s="1008"/>
      <c r="IH64" s="1008"/>
      <c r="II64" s="1008"/>
      <c r="IJ64" s="1008"/>
      <c r="IK64" s="1008"/>
      <c r="IL64" s="1008"/>
      <c r="IM64" s="1008"/>
      <c r="IN64" s="1008"/>
      <c r="IO64" s="1008"/>
      <c r="IP64" s="1008"/>
      <c r="IQ64" s="1008"/>
      <c r="IR64" s="1008"/>
      <c r="IS64" s="1008"/>
      <c r="IT64" s="1008"/>
      <c r="IU64" s="1008"/>
      <c r="IV64" s="1008"/>
      <c r="IW64" s="1008"/>
    </row>
    <row r="65" customFormat="false" ht="12.75" hidden="false" customHeight="false" outlineLevel="0" collapsed="false">
      <c r="A65" s="1012"/>
      <c r="B65" s="1013" t="s">
        <v>1310</v>
      </c>
      <c r="C65" s="1001"/>
      <c r="D65" s="1001"/>
      <c r="E65" s="1010" t="n">
        <v>0</v>
      </c>
      <c r="F65" s="1010" t="n">
        <v>0</v>
      </c>
      <c r="G65" s="1010" t="n">
        <v>0</v>
      </c>
      <c r="H65" s="1010" t="n">
        <v>0</v>
      </c>
      <c r="I65" s="1010" t="n">
        <v>0</v>
      </c>
      <c r="J65" s="1010" t="n">
        <v>0</v>
      </c>
      <c r="K65" s="1010" t="n">
        <v>0</v>
      </c>
      <c r="L65" s="1010" t="n">
        <v>0</v>
      </c>
      <c r="M65" s="1010" t="n">
        <v>0</v>
      </c>
      <c r="N65" s="1010" t="n">
        <v>0</v>
      </c>
      <c r="O65" s="1010" t="n">
        <v>2495.37762825904</v>
      </c>
      <c r="P65" s="1010" t="n">
        <v>9453.00016840687</v>
      </c>
      <c r="Q65" s="1010" t="n">
        <v>14376.499751285</v>
      </c>
      <c r="R65" s="1010" t="n">
        <v>1524.45025380711</v>
      </c>
      <c r="S65" s="1010" t="n">
        <v>0</v>
      </c>
      <c r="T65" s="1010" t="n">
        <v>1919.38975501114</v>
      </c>
      <c r="U65" s="1010" t="n">
        <v>26661.3430267062</v>
      </c>
      <c r="V65" s="1010" t="n">
        <v>0</v>
      </c>
      <c r="W65" s="1010" t="n">
        <v>18268.6489870248</v>
      </c>
      <c r="X65" s="1010" t="n">
        <v>2521.55316804408</v>
      </c>
      <c r="Y65" s="1010" t="n">
        <v>0</v>
      </c>
      <c r="Z65" s="1010" t="n">
        <v>1807.03480206003</v>
      </c>
      <c r="AA65" s="1010" t="n">
        <v>1897.12779825909</v>
      </c>
      <c r="AB65" s="1010" t="n">
        <v>834.194460914339</v>
      </c>
      <c r="AC65" s="1010" t="n">
        <v>1475.73893795416</v>
      </c>
      <c r="AD65" s="1010" t="n">
        <v>1208.91367066134</v>
      </c>
      <c r="AE65" s="1010" t="n">
        <v>2951.91927141893</v>
      </c>
      <c r="AF65" s="1010" t="n">
        <v>0</v>
      </c>
      <c r="AG65" s="1010" t="n">
        <v>0</v>
      </c>
      <c r="AH65" s="1010" t="n">
        <v>0</v>
      </c>
      <c r="AI65" s="1010" t="n">
        <v>0</v>
      </c>
      <c r="AJ65" s="1010" t="n">
        <v>0</v>
      </c>
      <c r="AK65" s="1010" t="n">
        <v>0</v>
      </c>
      <c r="AL65" s="1010" t="n">
        <v>0</v>
      </c>
      <c r="AM65" s="1010" t="n">
        <v>0</v>
      </c>
      <c r="AN65" s="1010" t="n">
        <v>0</v>
      </c>
      <c r="AO65" s="1010" t="n">
        <v>0</v>
      </c>
      <c r="AP65" s="1010" t="n">
        <v>0</v>
      </c>
      <c r="AQ65" s="1010" t="n">
        <v>0</v>
      </c>
      <c r="AR65" s="1010" t="n">
        <v>0</v>
      </c>
      <c r="AS65" s="1010" t="n">
        <v>0</v>
      </c>
      <c r="AT65" s="1010" t="n">
        <v>0</v>
      </c>
      <c r="AU65" s="1010" t="n">
        <v>0</v>
      </c>
      <c r="AV65" s="1010" t="n">
        <v>0</v>
      </c>
      <c r="AW65" s="1010" t="n">
        <v>0</v>
      </c>
      <c r="AX65" s="1010" t="n">
        <v>0</v>
      </c>
      <c r="AY65" s="1010" t="n">
        <v>0</v>
      </c>
      <c r="AZ65" s="1010" t="n">
        <v>0</v>
      </c>
      <c r="BA65" s="1014" t="n">
        <f aca="false">SUM(E65:AY65)</f>
        <v>87395.1916798122</v>
      </c>
    </row>
    <row r="66" customFormat="false" ht="12.75" hidden="false" customHeight="false" outlineLevel="0" collapsed="false">
      <c r="A66" s="1012"/>
      <c r="B66" s="1013" t="s">
        <v>1311</v>
      </c>
      <c r="C66" s="1001"/>
      <c r="D66" s="1001"/>
      <c r="E66" s="1010" t="n">
        <v>0</v>
      </c>
      <c r="F66" s="1010" t="n">
        <v>17.9519145146928</v>
      </c>
      <c r="G66" s="1010" t="n">
        <v>0</v>
      </c>
      <c r="H66" s="1010" t="n">
        <v>1.01143359718558</v>
      </c>
      <c r="I66" s="1010" t="n">
        <v>1.14685314685315</v>
      </c>
      <c r="J66" s="1010" t="n">
        <v>1.62347826086957</v>
      </c>
      <c r="K66" s="1010" t="n">
        <v>4.82886776145203</v>
      </c>
      <c r="L66" s="1010" t="n">
        <v>6.49183147033534</v>
      </c>
      <c r="M66" s="1010" t="n">
        <v>12.2531860662702</v>
      </c>
      <c r="N66" s="1010" t="n">
        <v>27.6053962900506</v>
      </c>
      <c r="O66" s="1010" t="n">
        <v>77.1000841042893</v>
      </c>
      <c r="P66" s="1010" t="n">
        <v>91.4179858538228</v>
      </c>
      <c r="Q66" s="1010" t="n">
        <v>126.954899684961</v>
      </c>
      <c r="R66" s="1010" t="n">
        <v>7.81573604060914</v>
      </c>
      <c r="S66" s="1010" t="n">
        <v>24.4463337853545</v>
      </c>
      <c r="T66" s="1010" t="n">
        <v>153.476057906459</v>
      </c>
      <c r="U66" s="1010" t="n">
        <v>29.9565519287834</v>
      </c>
      <c r="V66" s="1010" t="n">
        <v>159.886049883991</v>
      </c>
      <c r="W66" s="1010" t="n">
        <v>155.82982016845</v>
      </c>
      <c r="X66" s="1010" t="n">
        <v>136.337741046832</v>
      </c>
      <c r="Y66" s="1010" t="n">
        <v>95.4663604572264</v>
      </c>
      <c r="Z66" s="1010" t="n">
        <v>34.3108203714301</v>
      </c>
      <c r="AA66" s="1010" t="n">
        <v>16.903937532002</v>
      </c>
      <c r="AB66" s="1010" t="n">
        <v>28.8186872627035</v>
      </c>
      <c r="AC66" s="1010" t="n">
        <v>26.6461430967021</v>
      </c>
      <c r="AD66" s="1010" t="n">
        <v>5.21415889924545</v>
      </c>
      <c r="AE66" s="1010" t="n">
        <v>0</v>
      </c>
      <c r="AF66" s="1010" t="n">
        <v>0</v>
      </c>
      <c r="AG66" s="1010" t="n">
        <v>0</v>
      </c>
      <c r="AH66" s="1010" t="n">
        <v>0</v>
      </c>
      <c r="AI66" s="1010" t="n">
        <v>0</v>
      </c>
      <c r="AJ66" s="1010" t="n">
        <v>0</v>
      </c>
      <c r="AK66" s="1010" t="n">
        <v>0</v>
      </c>
      <c r="AL66" s="1010" t="n">
        <v>0</v>
      </c>
      <c r="AM66" s="1010" t="n">
        <v>0</v>
      </c>
      <c r="AN66" s="1010" t="n">
        <v>0</v>
      </c>
      <c r="AO66" s="1010" t="n">
        <v>0</v>
      </c>
      <c r="AP66" s="1010" t="n">
        <v>0</v>
      </c>
      <c r="AQ66" s="1010" t="n">
        <v>0</v>
      </c>
      <c r="AR66" s="1010" t="n">
        <v>0</v>
      </c>
      <c r="AS66" s="1010" t="n">
        <v>0</v>
      </c>
      <c r="AT66" s="1010" t="n">
        <v>0</v>
      </c>
      <c r="AU66" s="1010" t="n">
        <v>0</v>
      </c>
      <c r="AV66" s="1010" t="n">
        <v>0</v>
      </c>
      <c r="AW66" s="1010" t="n">
        <v>0</v>
      </c>
      <c r="AX66" s="1010" t="n">
        <v>0</v>
      </c>
      <c r="AY66" s="1010" t="n">
        <v>0</v>
      </c>
      <c r="AZ66" s="1010" t="n">
        <v>0</v>
      </c>
      <c r="BA66" s="1014" t="n">
        <f aca="false">SUM(E66:AY66)</f>
        <v>1243.49432913057</v>
      </c>
    </row>
    <row r="67" customFormat="false" ht="12.75" hidden="false" customHeight="false" outlineLevel="0" collapsed="false">
      <c r="A67" s="1012"/>
      <c r="B67" s="1013" t="s">
        <v>1312</v>
      </c>
      <c r="C67" s="1001"/>
      <c r="D67" s="1001"/>
      <c r="E67" s="1010" t="n">
        <v>0</v>
      </c>
      <c r="F67" s="1010" t="n">
        <v>0</v>
      </c>
      <c r="G67" s="1010" t="n">
        <v>0</v>
      </c>
      <c r="H67" s="1010" t="n">
        <v>0</v>
      </c>
      <c r="I67" s="1010" t="n">
        <v>0</v>
      </c>
      <c r="J67" s="1010" t="n">
        <v>0</v>
      </c>
      <c r="K67" s="1010" t="n">
        <v>0</v>
      </c>
      <c r="L67" s="1010" t="n">
        <v>0</v>
      </c>
      <c r="M67" s="1010" t="n">
        <v>0</v>
      </c>
      <c r="N67" s="1010" t="n">
        <v>0</v>
      </c>
      <c r="O67" s="1010" t="n">
        <v>0</v>
      </c>
      <c r="P67" s="1010" t="n">
        <v>0</v>
      </c>
      <c r="Q67" s="1010" t="n">
        <v>0</v>
      </c>
      <c r="R67" s="1010" t="n">
        <v>0</v>
      </c>
      <c r="S67" s="1010" t="n">
        <v>0</v>
      </c>
      <c r="T67" s="1010" t="n">
        <v>0</v>
      </c>
      <c r="U67" s="1010" t="n">
        <v>0</v>
      </c>
      <c r="V67" s="1010" t="n">
        <v>0</v>
      </c>
      <c r="W67" s="1010" t="n">
        <v>0</v>
      </c>
      <c r="X67" s="1010" t="n">
        <v>0</v>
      </c>
      <c r="Y67" s="1010" t="n">
        <v>0</v>
      </c>
      <c r="Z67" s="1010" t="n">
        <v>0</v>
      </c>
      <c r="AA67" s="1010" t="n">
        <v>0</v>
      </c>
      <c r="AB67" s="1010" t="n">
        <v>0</v>
      </c>
      <c r="AC67" s="1010" t="n">
        <v>0</v>
      </c>
      <c r="AD67" s="1010" t="n">
        <v>0</v>
      </c>
      <c r="AE67" s="1010" t="n">
        <v>0</v>
      </c>
      <c r="AF67" s="1010" t="n">
        <v>0</v>
      </c>
      <c r="AG67" s="1010" t="n">
        <v>0</v>
      </c>
      <c r="AH67" s="1010" t="n">
        <v>0</v>
      </c>
      <c r="AI67" s="1010" t="n">
        <v>0</v>
      </c>
      <c r="AJ67" s="1010" t="n">
        <v>0</v>
      </c>
      <c r="AK67" s="1010" t="n">
        <v>0</v>
      </c>
      <c r="AL67" s="1010" t="n">
        <v>0</v>
      </c>
      <c r="AM67" s="1010" t="n">
        <v>0</v>
      </c>
      <c r="AN67" s="1010" t="n">
        <v>0</v>
      </c>
      <c r="AO67" s="1010" t="n">
        <v>0</v>
      </c>
      <c r="AP67" s="1010" t="n">
        <v>0</v>
      </c>
      <c r="AQ67" s="1010" t="n">
        <v>0</v>
      </c>
      <c r="AR67" s="1010" t="n">
        <v>0</v>
      </c>
      <c r="AS67" s="1010" t="n">
        <v>0</v>
      </c>
      <c r="AT67" s="1010" t="n">
        <v>0</v>
      </c>
      <c r="AU67" s="1010" t="n">
        <v>0</v>
      </c>
      <c r="AV67" s="1010" t="n">
        <v>0</v>
      </c>
      <c r="AW67" s="1010" t="n">
        <v>0</v>
      </c>
      <c r="AX67" s="1010" t="n">
        <v>0</v>
      </c>
      <c r="AY67" s="1010" t="n">
        <v>0</v>
      </c>
      <c r="AZ67" s="1010" t="n">
        <v>0</v>
      </c>
      <c r="BA67" s="1014" t="n">
        <f aca="false">SUM(E67:AY67)</f>
        <v>0</v>
      </c>
    </row>
    <row r="68" customFormat="false" ht="12.75" hidden="false" customHeight="false" outlineLevel="0" collapsed="false">
      <c r="A68" s="1012"/>
      <c r="B68" s="1013" t="s">
        <v>670</v>
      </c>
      <c r="C68" s="1001"/>
      <c r="D68" s="1001"/>
      <c r="E68" s="1010" t="n">
        <v>0</v>
      </c>
      <c r="F68" s="1010" t="n">
        <v>0</v>
      </c>
      <c r="G68" s="1010" t="n">
        <v>0</v>
      </c>
      <c r="H68" s="1010" t="n">
        <v>0</v>
      </c>
      <c r="I68" s="1010" t="n">
        <v>0</v>
      </c>
      <c r="J68" s="1010" t="n">
        <v>0</v>
      </c>
      <c r="K68" s="1010" t="n">
        <v>0</v>
      </c>
      <c r="L68" s="1010" t="n">
        <v>0</v>
      </c>
      <c r="M68" s="1010" t="n">
        <v>0</v>
      </c>
      <c r="N68" s="1010" t="n">
        <v>0</v>
      </c>
      <c r="O68" s="1010" t="n">
        <v>0</v>
      </c>
      <c r="P68" s="1010" t="n">
        <v>0</v>
      </c>
      <c r="Q68" s="1010" t="n">
        <v>0</v>
      </c>
      <c r="R68" s="1010" t="n">
        <v>0</v>
      </c>
      <c r="S68" s="1010" t="n">
        <v>0</v>
      </c>
      <c r="T68" s="1010" t="n">
        <v>0</v>
      </c>
      <c r="U68" s="1010" t="n">
        <v>0</v>
      </c>
      <c r="V68" s="1010" t="n">
        <v>0</v>
      </c>
      <c r="W68" s="1010" t="n">
        <v>0</v>
      </c>
      <c r="X68" s="1010" t="n">
        <v>0</v>
      </c>
      <c r="Y68" s="1010" t="n">
        <v>0</v>
      </c>
      <c r="Z68" s="1010" t="n">
        <v>0</v>
      </c>
      <c r="AA68" s="1010" t="n">
        <v>0</v>
      </c>
      <c r="AB68" s="1010" t="n">
        <v>0</v>
      </c>
      <c r="AC68" s="1010" t="n">
        <v>0</v>
      </c>
      <c r="AD68" s="1010" t="n">
        <v>0</v>
      </c>
      <c r="AE68" s="1010" t="n">
        <v>0</v>
      </c>
      <c r="AF68" s="1010" t="n">
        <v>0</v>
      </c>
      <c r="AG68" s="1010" t="n">
        <v>0</v>
      </c>
      <c r="AH68" s="1010" t="n">
        <v>0</v>
      </c>
      <c r="AI68" s="1010" t="n">
        <v>0</v>
      </c>
      <c r="AJ68" s="1010" t="n">
        <v>0</v>
      </c>
      <c r="AK68" s="1010" t="n">
        <v>0</v>
      </c>
      <c r="AL68" s="1010" t="n">
        <v>0</v>
      </c>
      <c r="AM68" s="1010" t="n">
        <v>0</v>
      </c>
      <c r="AN68" s="1010" t="n">
        <v>0</v>
      </c>
      <c r="AO68" s="1010" t="n">
        <v>0</v>
      </c>
      <c r="AP68" s="1010" t="n">
        <v>0</v>
      </c>
      <c r="AQ68" s="1010" t="n">
        <v>0</v>
      </c>
      <c r="AR68" s="1010" t="n">
        <v>0</v>
      </c>
      <c r="AS68" s="1010" t="n">
        <v>0</v>
      </c>
      <c r="AT68" s="1010" t="n">
        <v>0</v>
      </c>
      <c r="AU68" s="1010" t="n">
        <v>0</v>
      </c>
      <c r="AV68" s="1010" t="n">
        <v>0</v>
      </c>
      <c r="AW68" s="1010" t="n">
        <v>0</v>
      </c>
      <c r="AX68" s="1010" t="n">
        <v>0</v>
      </c>
      <c r="AY68" s="1010" t="n">
        <v>0</v>
      </c>
      <c r="AZ68" s="1010" t="n">
        <v>0</v>
      </c>
      <c r="BA68" s="1014" t="n">
        <f aca="false">SUM(E68:AY68)</f>
        <v>0</v>
      </c>
    </row>
    <row r="69" customFormat="false" ht="12.75" hidden="false" customHeight="false" outlineLevel="0" collapsed="false">
      <c r="A69" s="1012"/>
      <c r="B69" s="1013" t="s">
        <v>1313</v>
      </c>
      <c r="C69" s="1001"/>
      <c r="D69" s="1001"/>
      <c r="E69" s="1015" t="n">
        <v>0</v>
      </c>
      <c r="F69" s="1015" t="n">
        <v>0</v>
      </c>
      <c r="G69" s="1015" t="n">
        <v>0</v>
      </c>
      <c r="H69" s="1015" t="n">
        <v>0</v>
      </c>
      <c r="I69" s="1015" t="n">
        <v>0</v>
      </c>
      <c r="J69" s="1015" t="n">
        <v>0</v>
      </c>
      <c r="K69" s="1015" t="n">
        <v>0</v>
      </c>
      <c r="L69" s="1015" t="n">
        <v>0</v>
      </c>
      <c r="M69" s="1015" t="n">
        <v>0</v>
      </c>
      <c r="N69" s="1015" t="n">
        <v>0</v>
      </c>
      <c r="O69" s="1015" t="n">
        <v>0</v>
      </c>
      <c r="P69" s="1015" t="n">
        <v>0</v>
      </c>
      <c r="Q69" s="1015" t="n">
        <v>0</v>
      </c>
      <c r="R69" s="1015" t="n">
        <v>0</v>
      </c>
      <c r="S69" s="1015" t="n">
        <v>0</v>
      </c>
      <c r="T69" s="1015" t="n">
        <v>0</v>
      </c>
      <c r="U69" s="1015" t="n">
        <v>0</v>
      </c>
      <c r="V69" s="1015" t="n">
        <v>0</v>
      </c>
      <c r="W69" s="1015" t="n">
        <v>763.099334167995</v>
      </c>
      <c r="X69" s="1015" t="n">
        <v>1006.31900826446</v>
      </c>
      <c r="Y69" s="1015" t="n">
        <v>953.323826922073</v>
      </c>
      <c r="Z69" s="1015" t="n">
        <v>950.082822660355</v>
      </c>
      <c r="AA69" s="1015" t="n">
        <v>935.204091141833</v>
      </c>
      <c r="AB69" s="1015" t="n">
        <v>950.892682165705</v>
      </c>
      <c r="AC69" s="1015" t="n">
        <v>1021.45171604248</v>
      </c>
      <c r="AD69" s="1015" t="n">
        <v>1015.33033177985</v>
      </c>
      <c r="AE69" s="1015" t="n">
        <v>1030.56554980886</v>
      </c>
      <c r="AF69" s="1015" t="n">
        <v>1049.2468379786</v>
      </c>
      <c r="AG69" s="1015" t="n">
        <v>0</v>
      </c>
      <c r="AH69" s="1015" t="n">
        <v>0</v>
      </c>
      <c r="AI69" s="1015" t="n">
        <v>0</v>
      </c>
      <c r="AJ69" s="1015" t="n">
        <v>0</v>
      </c>
      <c r="AK69" s="1015" t="n">
        <v>0</v>
      </c>
      <c r="AL69" s="1015" t="n">
        <v>0</v>
      </c>
      <c r="AM69" s="1015" t="n">
        <v>0</v>
      </c>
      <c r="AN69" s="1015" t="n">
        <v>0</v>
      </c>
      <c r="AO69" s="1015" t="n">
        <v>0</v>
      </c>
      <c r="AP69" s="1015" t="n">
        <v>0</v>
      </c>
      <c r="AQ69" s="1015" t="n">
        <v>0</v>
      </c>
      <c r="AR69" s="1015" t="n">
        <v>0</v>
      </c>
      <c r="AS69" s="1015" t="n">
        <v>0</v>
      </c>
      <c r="AT69" s="1015" t="n">
        <v>0</v>
      </c>
      <c r="AU69" s="1015" t="n">
        <v>0</v>
      </c>
      <c r="AV69" s="1015" t="n">
        <v>0</v>
      </c>
      <c r="AW69" s="1015" t="n">
        <v>0</v>
      </c>
      <c r="AX69" s="1015" t="n">
        <v>0</v>
      </c>
      <c r="AY69" s="1015" t="n">
        <v>0</v>
      </c>
      <c r="AZ69" s="1015" t="n">
        <v>1049.2468379786</v>
      </c>
      <c r="BA69" s="1016" t="n">
        <f aca="false">SUM(E69:AY69)</f>
        <v>9675.51620093221</v>
      </c>
    </row>
    <row r="70" customFormat="false" ht="12.75" hidden="false" customHeight="false" outlineLevel="0" collapsed="false">
      <c r="A70" s="1012"/>
      <c r="B70" s="1017" t="s">
        <v>1314</v>
      </c>
      <c r="C70" s="1001"/>
      <c r="D70" s="1001"/>
      <c r="E70" s="1018" t="n">
        <f aca="false">SUM(E64:E68)</f>
        <v>7598.20788530466</v>
      </c>
      <c r="F70" s="1018" t="n">
        <f aca="false">SUM(F64:F68)</f>
        <v>17.9519145146928</v>
      </c>
      <c r="G70" s="1018" t="n">
        <f aca="false">SUM(G64:G68)</f>
        <v>2638.52242744063</v>
      </c>
      <c r="H70" s="1018" t="n">
        <f aca="false">SUM(H64:H68)</f>
        <v>9411.74142480211</v>
      </c>
      <c r="I70" s="1018" t="n">
        <f aca="false">SUM(I64:I68)</f>
        <v>12939.8111888112</v>
      </c>
      <c r="J70" s="1018" t="n">
        <f aca="false">SUM(J64:J68)</f>
        <v>5262.49304347826</v>
      </c>
      <c r="K70" s="1018" t="n">
        <f aca="false">SUM(K64:K68)</f>
        <v>18760.2411408816</v>
      </c>
      <c r="L70" s="1018" t="n">
        <f aca="false">SUM(L64:L68)</f>
        <v>5767.45485812554</v>
      </c>
      <c r="M70" s="1018" t="n">
        <f aca="false">SUM(M64:M68)</f>
        <v>5704.69158878505</v>
      </c>
      <c r="N70" s="1018" t="n">
        <f aca="false">SUM(N64:N68)</f>
        <v>21195.7293423272</v>
      </c>
      <c r="O70" s="1018" t="n">
        <f aca="false">SUM(O64:O68)</f>
        <v>6142.11606391926</v>
      </c>
      <c r="P70" s="1018" t="n">
        <f aca="false">SUM(P64:P68)</f>
        <v>9544.41815426069</v>
      </c>
      <c r="Q70" s="1018" t="n">
        <f aca="false">SUM(Q64:Q68)</f>
        <v>14503.45465097</v>
      </c>
      <c r="R70" s="1018" t="n">
        <f aca="false">SUM(R64:R68)</f>
        <v>1532.26598984772</v>
      </c>
      <c r="S70" s="1018" t="n">
        <f aca="false">SUM(S64:S68)</f>
        <v>24.4463337853545</v>
      </c>
      <c r="T70" s="1018" t="n">
        <f aca="false">SUM(T64:T68)</f>
        <v>2072.86581291759</v>
      </c>
      <c r="U70" s="1018" t="n">
        <f aca="false">SUM(U64:U68)</f>
        <v>26691.299578635</v>
      </c>
      <c r="V70" s="1018" t="n">
        <f aca="false">SUM(V64:V68)</f>
        <v>159.886049883991</v>
      </c>
      <c r="W70" s="1018" t="n">
        <f aca="false">SUM(W64:W68)</f>
        <v>18424.4788071933</v>
      </c>
      <c r="X70" s="1018" t="n">
        <f aca="false">SUM(X64:X68)</f>
        <v>2657.89090909091</v>
      </c>
      <c r="Y70" s="1018" t="n">
        <f aca="false">SUM(Y64:Y68)</f>
        <v>95.4663604572264</v>
      </c>
      <c r="Z70" s="1018" t="n">
        <f aca="false">SUM(Z64:Z68)</f>
        <v>1841.34562243146</v>
      </c>
      <c r="AA70" s="1018" t="n">
        <f aca="false">SUM(AA64:AA68)</f>
        <v>1914.03173579109</v>
      </c>
      <c r="AB70" s="1018" t="n">
        <f aca="false">SUM(AB64:AB68)</f>
        <v>863.013148177043</v>
      </c>
      <c r="AC70" s="1018" t="n">
        <f aca="false">SUM(AC64:AC68)</f>
        <v>1502.38508105087</v>
      </c>
      <c r="AD70" s="1018" t="n">
        <f aca="false">SUM(AD64:AD68)</f>
        <v>1214.12782956059</v>
      </c>
      <c r="AE70" s="1018" t="n">
        <f aca="false">SUM(AE64:AE68)</f>
        <v>2951.91927141893</v>
      </c>
      <c r="AF70" s="1018" t="n">
        <f aca="false">SUM(AF64:AF68)</f>
        <v>0</v>
      </c>
      <c r="AG70" s="1018" t="n">
        <f aca="false">SUM(AG64:AG68)</f>
        <v>0</v>
      </c>
      <c r="AH70" s="1018" t="n">
        <f aca="false">SUM(AH64:AH68)</f>
        <v>0</v>
      </c>
      <c r="AI70" s="1018" t="n">
        <f aca="false">SUM(AI64:AI68)</f>
        <v>0</v>
      </c>
      <c r="AJ70" s="1018" t="n">
        <f aca="false">SUM(AJ64:AJ68)</f>
        <v>0</v>
      </c>
      <c r="AK70" s="1018" t="n">
        <f aca="false">SUM(AK64:AK68)</f>
        <v>0</v>
      </c>
      <c r="AL70" s="1018" t="n">
        <f aca="false">SUM(AL64:AL68)</f>
        <v>0</v>
      </c>
      <c r="AM70" s="1018" t="n">
        <f aca="false">SUM(AM64:AM68)</f>
        <v>0</v>
      </c>
      <c r="AN70" s="1018" t="n">
        <f aca="false">SUM(AN64:AN68)</f>
        <v>0</v>
      </c>
      <c r="AO70" s="1018" t="n">
        <f aca="false">SUM(AO64:AO68)</f>
        <v>0</v>
      </c>
      <c r="AP70" s="1018" t="n">
        <f aca="false">SUM(AP64:AP68)</f>
        <v>0</v>
      </c>
      <c r="AQ70" s="1018" t="n">
        <f aca="false">SUM(AQ64:AQ68)</f>
        <v>0</v>
      </c>
      <c r="AR70" s="1018" t="n">
        <f aca="false">SUM(AR64:AR68)</f>
        <v>0</v>
      </c>
      <c r="AS70" s="1018" t="n">
        <f aca="false">SUM(AS64:AS68)</f>
        <v>0</v>
      </c>
      <c r="AT70" s="1018" t="n">
        <f aca="false">SUM(AT64:AT68)</f>
        <v>0</v>
      </c>
      <c r="AU70" s="1018" t="n">
        <f aca="false">SUM(AU64:AU68)</f>
        <v>0</v>
      </c>
      <c r="AV70" s="1018" t="n">
        <f aca="false">SUM(AV64:AV68)</f>
        <v>0</v>
      </c>
      <c r="AW70" s="1018" t="n">
        <f aca="false">SUM(AW64:AW68)</f>
        <v>0</v>
      </c>
      <c r="AX70" s="1018" t="n">
        <f aca="false">SUM(AX64:AX68)</f>
        <v>0</v>
      </c>
      <c r="AY70" s="1018" t="n">
        <f aca="false">SUM(AY64:AY68)</f>
        <v>0</v>
      </c>
      <c r="AZ70" s="1018" t="n">
        <f aca="false">SUM(AZ64:AZ68)</f>
        <v>0</v>
      </c>
      <c r="BA70" s="1014" t="n">
        <f aca="false">SUM(BA64:BA69)</f>
        <v>191107.772414794</v>
      </c>
    </row>
    <row r="71" customFormat="false" ht="12.75" hidden="false" customHeight="false" outlineLevel="0" collapsed="false">
      <c r="A71" s="1019"/>
      <c r="B71" s="1001"/>
      <c r="C71" s="1001"/>
      <c r="D71" s="1001"/>
      <c r="E71" s="1001"/>
      <c r="F71" s="1001"/>
      <c r="G71" s="1001"/>
      <c r="H71" s="1001"/>
      <c r="I71" s="1001"/>
      <c r="J71" s="1001"/>
      <c r="K71" s="1001"/>
      <c r="L71" s="1001"/>
      <c r="M71" s="1001"/>
      <c r="N71" s="1001"/>
      <c r="O71" s="1001"/>
      <c r="P71" s="1001"/>
      <c r="Q71" s="1001"/>
      <c r="R71" s="1001"/>
      <c r="S71" s="1001"/>
      <c r="T71" s="1001"/>
      <c r="U71" s="1001"/>
      <c r="V71" s="1001"/>
      <c r="W71" s="1001"/>
      <c r="X71" s="1001"/>
      <c r="Y71" s="1001"/>
      <c r="Z71" s="1001"/>
      <c r="AA71" s="1001"/>
      <c r="AB71" s="1001"/>
      <c r="AC71" s="1001"/>
      <c r="AD71" s="1001"/>
      <c r="AE71" s="1001"/>
      <c r="AF71" s="1001"/>
      <c r="AG71" s="1001"/>
      <c r="AH71" s="1001"/>
      <c r="AI71" s="1001"/>
      <c r="AJ71" s="1001"/>
      <c r="AK71" s="1001"/>
      <c r="AL71" s="1001"/>
      <c r="AM71" s="1001"/>
      <c r="AN71" s="1001"/>
      <c r="AO71" s="1001"/>
      <c r="AP71" s="1001"/>
      <c r="AQ71" s="1001"/>
      <c r="AR71" s="1001"/>
      <c r="AS71" s="1001"/>
      <c r="AT71" s="1001"/>
      <c r="AU71" s="1001"/>
      <c r="AV71" s="1001"/>
      <c r="AW71" s="1001"/>
      <c r="AX71" s="1001"/>
      <c r="AY71" s="1001"/>
      <c r="AZ71" s="1001"/>
      <c r="BA71" s="1020"/>
    </row>
    <row r="72" customFormat="false" ht="12.75" hidden="false" customHeight="false" outlineLevel="0" collapsed="false">
      <c r="A72" s="1021" t="s">
        <v>1315</v>
      </c>
      <c r="B72" s="1013"/>
      <c r="C72" s="1001"/>
      <c r="D72" s="1001"/>
      <c r="E72" s="1001"/>
      <c r="F72" s="1001"/>
      <c r="G72" s="1001"/>
      <c r="H72" s="1001"/>
      <c r="I72" s="1001"/>
      <c r="J72" s="1001"/>
      <c r="K72" s="1001"/>
      <c r="L72" s="1001"/>
      <c r="M72" s="1001"/>
      <c r="N72" s="1001"/>
      <c r="O72" s="1001"/>
      <c r="P72" s="1001"/>
      <c r="Q72" s="1001"/>
      <c r="R72" s="1001"/>
      <c r="S72" s="1001"/>
      <c r="T72" s="1001"/>
      <c r="U72" s="1001"/>
      <c r="V72" s="1001"/>
      <c r="W72" s="1001"/>
      <c r="X72" s="1001"/>
      <c r="Y72" s="1001"/>
      <c r="Z72" s="1001"/>
      <c r="AA72" s="1001"/>
      <c r="AB72" s="1001"/>
      <c r="AC72" s="1001"/>
      <c r="AD72" s="1001"/>
      <c r="AE72" s="1001"/>
      <c r="AF72" s="1001"/>
      <c r="AG72" s="1001"/>
      <c r="AH72" s="1001"/>
      <c r="AI72" s="1001"/>
      <c r="AJ72" s="1001"/>
      <c r="AK72" s="1001"/>
      <c r="AL72" s="1001"/>
      <c r="AM72" s="1001"/>
      <c r="AN72" s="1001"/>
      <c r="AO72" s="1001"/>
      <c r="AP72" s="1001"/>
      <c r="AQ72" s="1001"/>
      <c r="AR72" s="1001"/>
      <c r="AS72" s="1001"/>
      <c r="AT72" s="1001"/>
      <c r="AU72" s="1001"/>
      <c r="AV72" s="1001"/>
      <c r="AW72" s="1001"/>
      <c r="AX72" s="1001"/>
      <c r="AY72" s="1001"/>
      <c r="AZ72" s="1001"/>
      <c r="BA72" s="1020"/>
    </row>
    <row r="73" customFormat="false" ht="12.75" hidden="false" customHeight="false" outlineLevel="0" collapsed="false">
      <c r="A73" s="1021"/>
      <c r="B73" s="1013" t="s">
        <v>1316</v>
      </c>
      <c r="C73" s="1001"/>
      <c r="D73" s="1001"/>
      <c r="E73" s="1022" t="n">
        <v>5785.55107526882</v>
      </c>
      <c r="F73" s="1022" t="n">
        <v>0</v>
      </c>
      <c r="G73" s="1022" t="n">
        <v>2859.07264450308</v>
      </c>
      <c r="H73" s="1022" t="n">
        <v>7901.09112312225</v>
      </c>
      <c r="I73" s="1022" t="n">
        <v>7609.22169519668</v>
      </c>
      <c r="J73" s="1022" t="n">
        <v>2560.7458245913</v>
      </c>
      <c r="K73" s="1022" t="n">
        <v>7796.99974935177</v>
      </c>
      <c r="L73" s="1022" t="n">
        <v>3248.08957007739</v>
      </c>
      <c r="M73" s="1022" t="n">
        <v>2817.12812234494</v>
      </c>
      <c r="N73" s="1022" t="n">
        <v>4543.87706576729</v>
      </c>
      <c r="O73" s="1022" t="n">
        <v>2646.75211942809</v>
      </c>
      <c r="P73" s="1022" t="n">
        <v>1635.25567531155</v>
      </c>
      <c r="Q73" s="1022" t="n">
        <v>3815.36320676505</v>
      </c>
      <c r="R73" s="1022" t="n">
        <v>389.632888324873</v>
      </c>
      <c r="S73" s="1022" t="n">
        <v>293.66404494382</v>
      </c>
      <c r="T73" s="1022" t="n">
        <v>1104.17880846325</v>
      </c>
      <c r="U73" s="1022" t="n">
        <v>1561.97769139466</v>
      </c>
      <c r="V73" s="1022" t="n">
        <v>1256.12340487239</v>
      </c>
      <c r="W73" s="1022" t="n">
        <v>923.272951286137</v>
      </c>
      <c r="X73" s="1022" t="n">
        <v>632.660336088154</v>
      </c>
      <c r="Y73" s="1022" t="n">
        <v>582.512036118795</v>
      </c>
      <c r="Z73" s="1022" t="n">
        <v>593.123825625553</v>
      </c>
      <c r="AA73" s="1022" t="n">
        <v>455.176446492576</v>
      </c>
      <c r="AB73" s="1022" t="n">
        <v>1066.54159775316</v>
      </c>
      <c r="AC73" s="1022" t="n">
        <v>724.28259921744</v>
      </c>
      <c r="AD73" s="1022" t="n">
        <v>374.043774966711</v>
      </c>
      <c r="AE73" s="1022" t="n">
        <v>317.249831346976</v>
      </c>
      <c r="AF73" s="1022" t="n">
        <v>554.578492531334</v>
      </c>
      <c r="AG73" s="1022" t="n">
        <v>0</v>
      </c>
      <c r="AH73" s="1022" t="n">
        <v>0</v>
      </c>
      <c r="AI73" s="1022" t="n">
        <v>0</v>
      </c>
      <c r="AJ73" s="1022" t="n">
        <v>0</v>
      </c>
      <c r="AK73" s="1022" t="n">
        <v>0</v>
      </c>
      <c r="AL73" s="1022" t="n">
        <v>0</v>
      </c>
      <c r="AM73" s="1022" t="n">
        <v>0</v>
      </c>
      <c r="AN73" s="1022" t="n">
        <v>0</v>
      </c>
      <c r="AO73" s="1022" t="n">
        <v>0</v>
      </c>
      <c r="AP73" s="1022" t="n">
        <v>0</v>
      </c>
      <c r="AQ73" s="1022" t="n">
        <v>0</v>
      </c>
      <c r="AR73" s="1022" t="n">
        <v>0</v>
      </c>
      <c r="AS73" s="1022" t="n">
        <v>0</v>
      </c>
      <c r="AT73" s="1022" t="n">
        <v>0</v>
      </c>
      <c r="AU73" s="1022" t="n">
        <v>0</v>
      </c>
      <c r="AV73" s="1022" t="n">
        <v>0</v>
      </c>
      <c r="AW73" s="1022" t="n">
        <v>0</v>
      </c>
      <c r="AX73" s="1022" t="n">
        <v>0</v>
      </c>
      <c r="AY73" s="1022" t="n">
        <v>0</v>
      </c>
      <c r="AZ73" s="1022" t="n">
        <v>554.578492531334</v>
      </c>
      <c r="BA73" s="1023" t="n">
        <f aca="false">SUM(E73:AY73)</f>
        <v>64048.166601154</v>
      </c>
    </row>
    <row r="74" customFormat="false" ht="12.75" hidden="false" customHeight="false" outlineLevel="0" collapsed="false">
      <c r="A74" s="1021"/>
      <c r="B74" s="1013" t="s">
        <v>1317</v>
      </c>
      <c r="C74" s="1001"/>
      <c r="D74" s="1001"/>
      <c r="E74" s="1022" t="n">
        <v>0</v>
      </c>
      <c r="F74" s="1022" t="n">
        <v>0</v>
      </c>
      <c r="G74" s="1022" t="n">
        <v>0</v>
      </c>
      <c r="H74" s="1022" t="n">
        <v>0</v>
      </c>
      <c r="I74" s="1022" t="n">
        <v>0</v>
      </c>
      <c r="J74" s="1022" t="n">
        <v>0</v>
      </c>
      <c r="K74" s="1022" t="n">
        <v>11644.8276663786</v>
      </c>
      <c r="L74" s="1022" t="n">
        <v>0</v>
      </c>
      <c r="M74" s="1022" t="n">
        <v>0</v>
      </c>
      <c r="N74" s="1022" t="n">
        <v>11659.4662984823</v>
      </c>
      <c r="O74" s="1022" t="n">
        <v>0</v>
      </c>
      <c r="P74" s="1022" t="n">
        <v>0</v>
      </c>
      <c r="Q74" s="1022" t="n">
        <v>18599.2373238269</v>
      </c>
      <c r="R74" s="1022" t="n">
        <v>61.2944162436548</v>
      </c>
      <c r="S74" s="1022" t="n">
        <v>0</v>
      </c>
      <c r="T74" s="1022" t="n">
        <v>0</v>
      </c>
      <c r="U74" s="1022" t="n">
        <v>10362.3845697329</v>
      </c>
      <c r="V74" s="1022" t="n">
        <v>0</v>
      </c>
      <c r="W74" s="1022" t="n">
        <v>16606.775</v>
      </c>
      <c r="X74" s="1022" t="n">
        <v>0</v>
      </c>
      <c r="Y74" s="1022" t="n">
        <v>0</v>
      </c>
      <c r="Z74" s="1022" t="n">
        <v>0</v>
      </c>
      <c r="AA74" s="1022" t="n">
        <v>0</v>
      </c>
      <c r="AB74" s="1022" t="n">
        <v>0</v>
      </c>
      <c r="AC74" s="1022" t="n">
        <v>0</v>
      </c>
      <c r="AD74" s="1022" t="n">
        <v>0</v>
      </c>
      <c r="AE74" s="1022" t="n">
        <v>0</v>
      </c>
      <c r="AF74" s="1022" t="n">
        <v>0</v>
      </c>
      <c r="AG74" s="1022" t="n">
        <v>0</v>
      </c>
      <c r="AH74" s="1022" t="n">
        <v>0</v>
      </c>
      <c r="AI74" s="1022" t="n">
        <v>0</v>
      </c>
      <c r="AJ74" s="1022" t="n">
        <v>0</v>
      </c>
      <c r="AK74" s="1022" t="n">
        <v>0</v>
      </c>
      <c r="AL74" s="1022" t="n">
        <v>0</v>
      </c>
      <c r="AM74" s="1022" t="n">
        <v>0</v>
      </c>
      <c r="AN74" s="1022" t="n">
        <v>0</v>
      </c>
      <c r="AO74" s="1022" t="n">
        <v>0</v>
      </c>
      <c r="AP74" s="1022" t="n">
        <v>0</v>
      </c>
      <c r="AQ74" s="1022" t="n">
        <v>0</v>
      </c>
      <c r="AR74" s="1022" t="n">
        <v>0</v>
      </c>
      <c r="AS74" s="1022" t="n">
        <v>0</v>
      </c>
      <c r="AT74" s="1022" t="n">
        <v>0</v>
      </c>
      <c r="AU74" s="1022" t="n">
        <v>0</v>
      </c>
      <c r="AV74" s="1022" t="n">
        <v>0</v>
      </c>
      <c r="AW74" s="1022" t="n">
        <v>0</v>
      </c>
      <c r="AX74" s="1022" t="n">
        <v>0</v>
      </c>
      <c r="AY74" s="1022" t="n">
        <v>0</v>
      </c>
      <c r="AZ74" s="1022" t="n">
        <v>0</v>
      </c>
      <c r="BA74" s="1023" t="n">
        <f aca="false">SUM(E74:AY74)</f>
        <v>68933.9852746644</v>
      </c>
    </row>
    <row r="75" customFormat="false" ht="12.75" hidden="false" customHeight="false" outlineLevel="0" collapsed="false">
      <c r="A75" s="1012"/>
      <c r="B75" s="1013" t="s">
        <v>1318</v>
      </c>
      <c r="C75" s="1001"/>
      <c r="D75" s="1001"/>
      <c r="E75" s="1022" t="n">
        <v>0</v>
      </c>
      <c r="F75" s="1022" t="n">
        <v>0</v>
      </c>
      <c r="G75" s="1022" t="n">
        <v>0</v>
      </c>
      <c r="H75" s="1022" t="n">
        <v>0</v>
      </c>
      <c r="I75" s="1022" t="n">
        <v>0</v>
      </c>
      <c r="J75" s="1022" t="n">
        <v>0</v>
      </c>
      <c r="K75" s="1022" t="n">
        <v>0</v>
      </c>
      <c r="L75" s="1022" t="n">
        <v>0</v>
      </c>
      <c r="M75" s="1022" t="n">
        <v>0</v>
      </c>
      <c r="N75" s="1022" t="n">
        <v>0</v>
      </c>
      <c r="O75" s="1022" t="n">
        <v>0</v>
      </c>
      <c r="P75" s="1022" t="n">
        <v>0</v>
      </c>
      <c r="Q75" s="1022" t="n">
        <v>0</v>
      </c>
      <c r="R75" s="1022" t="n">
        <v>0</v>
      </c>
      <c r="S75" s="1022" t="n">
        <v>0</v>
      </c>
      <c r="T75" s="1022" t="n">
        <v>0</v>
      </c>
      <c r="U75" s="1022" t="n">
        <v>0</v>
      </c>
      <c r="V75" s="1022" t="n">
        <v>0</v>
      </c>
      <c r="W75" s="1022" t="n">
        <v>0</v>
      </c>
      <c r="X75" s="1022" t="n">
        <v>0</v>
      </c>
      <c r="Y75" s="1022" t="n">
        <v>0</v>
      </c>
      <c r="Z75" s="1022" t="n">
        <v>177.464245955366</v>
      </c>
      <c r="AA75" s="1022" t="n">
        <v>0</v>
      </c>
      <c r="AB75" s="1022" t="n">
        <v>0</v>
      </c>
      <c r="AC75" s="1022" t="n">
        <v>0</v>
      </c>
      <c r="AD75" s="1022" t="n">
        <v>0</v>
      </c>
      <c r="AE75" s="1022" t="n">
        <v>0</v>
      </c>
      <c r="AF75" s="1022" t="n">
        <v>0</v>
      </c>
      <c r="AG75" s="1022" t="n">
        <v>0</v>
      </c>
      <c r="AH75" s="1022" t="n">
        <v>0</v>
      </c>
      <c r="AI75" s="1022" t="n">
        <v>0</v>
      </c>
      <c r="AJ75" s="1022" t="n">
        <v>0</v>
      </c>
      <c r="AK75" s="1022" t="n">
        <v>0</v>
      </c>
      <c r="AL75" s="1022" t="n">
        <v>0</v>
      </c>
      <c r="AM75" s="1022" t="n">
        <v>0</v>
      </c>
      <c r="AN75" s="1022" t="n">
        <v>0</v>
      </c>
      <c r="AO75" s="1022" t="n">
        <v>0</v>
      </c>
      <c r="AP75" s="1022" t="n">
        <v>0</v>
      </c>
      <c r="AQ75" s="1022" t="n">
        <v>0</v>
      </c>
      <c r="AR75" s="1022" t="n">
        <v>0</v>
      </c>
      <c r="AS75" s="1022" t="n">
        <v>0</v>
      </c>
      <c r="AT75" s="1022" t="n">
        <v>0</v>
      </c>
      <c r="AU75" s="1022" t="n">
        <v>0</v>
      </c>
      <c r="AV75" s="1022" t="n">
        <v>0</v>
      </c>
      <c r="AW75" s="1022" t="n">
        <v>0</v>
      </c>
      <c r="AX75" s="1022" t="n">
        <v>0</v>
      </c>
      <c r="AY75" s="1022" t="n">
        <v>0</v>
      </c>
      <c r="AZ75" s="1022" t="n">
        <v>0</v>
      </c>
      <c r="BA75" s="1023" t="n">
        <f aca="false">SUM(E75:AY75)</f>
        <v>177.464245955366</v>
      </c>
    </row>
    <row r="76" customFormat="false" ht="12.75" hidden="false" customHeight="false" outlineLevel="0" collapsed="false">
      <c r="A76" s="1012"/>
      <c r="B76" s="1013" t="s">
        <v>1319</v>
      </c>
      <c r="C76" s="1001"/>
      <c r="D76" s="1001"/>
      <c r="E76" s="1022" t="n">
        <v>0</v>
      </c>
      <c r="F76" s="1022" t="n">
        <v>0</v>
      </c>
      <c r="G76" s="1022" t="n">
        <v>0</v>
      </c>
      <c r="H76" s="1022" t="n">
        <v>0</v>
      </c>
      <c r="I76" s="1022" t="n">
        <v>0</v>
      </c>
      <c r="J76" s="1022" t="n">
        <v>0</v>
      </c>
      <c r="K76" s="1022" t="n">
        <v>0</v>
      </c>
      <c r="L76" s="1022" t="n">
        <v>0</v>
      </c>
      <c r="M76" s="1022" t="n">
        <v>0</v>
      </c>
      <c r="N76" s="1022" t="n">
        <v>0</v>
      </c>
      <c r="O76" s="1022" t="n">
        <v>0</v>
      </c>
      <c r="P76" s="1022" t="n">
        <v>0</v>
      </c>
      <c r="Q76" s="1022" t="n">
        <v>0</v>
      </c>
      <c r="R76" s="1022" t="n">
        <v>0</v>
      </c>
      <c r="S76" s="1022" t="n">
        <v>0</v>
      </c>
      <c r="T76" s="1022" t="n">
        <v>0</v>
      </c>
      <c r="U76" s="1022" t="n">
        <v>708.605222551929</v>
      </c>
      <c r="V76" s="1022" t="n">
        <v>171.69373549884</v>
      </c>
      <c r="W76" s="1022" t="n">
        <v>1056.93148190303</v>
      </c>
      <c r="X76" s="1022" t="n">
        <v>1996.62788429752</v>
      </c>
      <c r="Y76" s="1022" t="n">
        <v>1423.32852445326</v>
      </c>
      <c r="Z76" s="1022" t="n">
        <v>1288.69384071165</v>
      </c>
      <c r="AA76" s="1022" t="n">
        <v>937.251991807476</v>
      </c>
      <c r="AB76" s="1022" t="n">
        <v>337.350080615801</v>
      </c>
      <c r="AC76" s="1022" t="n">
        <v>177.234656232532</v>
      </c>
      <c r="AD76" s="1022" t="n">
        <v>63.7749667110519</v>
      </c>
      <c r="AE76" s="1022" t="n">
        <v>408.529345626265</v>
      </c>
      <c r="AF76" s="1022" t="n">
        <v>0</v>
      </c>
      <c r="AG76" s="1022" t="n">
        <v>0</v>
      </c>
      <c r="AH76" s="1022" t="n">
        <v>0</v>
      </c>
      <c r="AI76" s="1022" t="n">
        <v>0</v>
      </c>
      <c r="AJ76" s="1022" t="n">
        <v>0</v>
      </c>
      <c r="AK76" s="1022" t="n">
        <v>0</v>
      </c>
      <c r="AL76" s="1022" t="n">
        <v>0</v>
      </c>
      <c r="AM76" s="1022" t="n">
        <v>0</v>
      </c>
      <c r="AN76" s="1022" t="n">
        <v>0</v>
      </c>
      <c r="AO76" s="1022" t="n">
        <v>0</v>
      </c>
      <c r="AP76" s="1022" t="n">
        <v>0</v>
      </c>
      <c r="AQ76" s="1022" t="n">
        <v>0</v>
      </c>
      <c r="AR76" s="1022" t="n">
        <v>0</v>
      </c>
      <c r="AS76" s="1022" t="n">
        <v>0</v>
      </c>
      <c r="AT76" s="1022" t="n">
        <v>0</v>
      </c>
      <c r="AU76" s="1022" t="n">
        <v>0</v>
      </c>
      <c r="AV76" s="1022" t="n">
        <v>0</v>
      </c>
      <c r="AW76" s="1022" t="n">
        <v>0</v>
      </c>
      <c r="AX76" s="1022" t="n">
        <v>0</v>
      </c>
      <c r="AY76" s="1022" t="n">
        <v>0</v>
      </c>
      <c r="AZ76" s="1022" t="n">
        <v>0</v>
      </c>
      <c r="BA76" s="1023" t="n">
        <f aca="false">SUM(E76:AY76)</f>
        <v>8570.02173040935</v>
      </c>
    </row>
    <row r="77" customFormat="false" ht="12.75" hidden="false" customHeight="false" outlineLevel="0" collapsed="false">
      <c r="A77" s="1012"/>
      <c r="B77" s="1013" t="s">
        <v>1320</v>
      </c>
      <c r="C77" s="1001"/>
      <c r="D77" s="1001"/>
      <c r="E77" s="1022" t="n">
        <v>0</v>
      </c>
      <c r="F77" s="1022" t="n">
        <v>0</v>
      </c>
      <c r="G77" s="1022" t="n">
        <v>0</v>
      </c>
      <c r="H77" s="1022" t="n">
        <v>0</v>
      </c>
      <c r="I77" s="1022" t="n">
        <v>0</v>
      </c>
      <c r="J77" s="1022" t="n">
        <v>0</v>
      </c>
      <c r="K77" s="1022" t="n">
        <v>0</v>
      </c>
      <c r="L77" s="1022" t="n">
        <v>0</v>
      </c>
      <c r="M77" s="1022" t="n">
        <v>0</v>
      </c>
      <c r="N77" s="1022" t="n">
        <v>0</v>
      </c>
      <c r="O77" s="1022" t="n">
        <v>0</v>
      </c>
      <c r="P77" s="1022" t="n">
        <v>0</v>
      </c>
      <c r="Q77" s="1022" t="n">
        <v>0</v>
      </c>
      <c r="R77" s="1022" t="n">
        <v>0</v>
      </c>
      <c r="S77" s="1022" t="n">
        <v>0</v>
      </c>
      <c r="T77" s="1022" t="n">
        <v>0</v>
      </c>
      <c r="U77" s="1022" t="n">
        <v>104.765703264095</v>
      </c>
      <c r="V77" s="1022" t="n">
        <v>0</v>
      </c>
      <c r="W77" s="1022" t="n">
        <v>638.973833371273</v>
      </c>
      <c r="X77" s="1022" t="n">
        <v>488.215426997245</v>
      </c>
      <c r="Y77" s="1022" t="n">
        <v>0</v>
      </c>
      <c r="Z77" s="1022" t="n">
        <v>0</v>
      </c>
      <c r="AA77" s="1022" t="n">
        <v>197.61140296979</v>
      </c>
      <c r="AB77" s="1022" t="n">
        <v>0</v>
      </c>
      <c r="AC77" s="1022" t="n">
        <v>0</v>
      </c>
      <c r="AD77" s="1022" t="n">
        <v>0</v>
      </c>
      <c r="AE77" s="1022" t="n">
        <v>0</v>
      </c>
      <c r="AF77" s="1022" t="n">
        <v>0</v>
      </c>
      <c r="AG77" s="1022" t="n">
        <v>0</v>
      </c>
      <c r="AH77" s="1022" t="n">
        <v>0</v>
      </c>
      <c r="AI77" s="1022" t="n">
        <v>0</v>
      </c>
      <c r="AJ77" s="1022" t="n">
        <v>0</v>
      </c>
      <c r="AK77" s="1022" t="n">
        <v>0</v>
      </c>
      <c r="AL77" s="1022" t="n">
        <v>0</v>
      </c>
      <c r="AM77" s="1022" t="n">
        <v>0</v>
      </c>
      <c r="AN77" s="1022" t="n">
        <v>0</v>
      </c>
      <c r="AO77" s="1022" t="n">
        <v>0</v>
      </c>
      <c r="AP77" s="1022" t="n">
        <v>0</v>
      </c>
      <c r="AQ77" s="1022" t="n">
        <v>0</v>
      </c>
      <c r="AR77" s="1022" t="n">
        <v>0</v>
      </c>
      <c r="AS77" s="1022" t="n">
        <v>0</v>
      </c>
      <c r="AT77" s="1022" t="n">
        <v>0</v>
      </c>
      <c r="AU77" s="1022" t="n">
        <v>0</v>
      </c>
      <c r="AV77" s="1022" t="n">
        <v>0</v>
      </c>
      <c r="AW77" s="1022" t="n">
        <v>0</v>
      </c>
      <c r="AX77" s="1022" t="n">
        <v>0</v>
      </c>
      <c r="AY77" s="1022" t="n">
        <v>0</v>
      </c>
      <c r="AZ77" s="1022" t="n">
        <v>0</v>
      </c>
      <c r="BA77" s="1023" t="n">
        <f aca="false">SUM(E77:AY77)</f>
        <v>1429.5663666024</v>
      </c>
    </row>
    <row r="78" customFormat="false" ht="12.75" hidden="false" customHeight="false" outlineLevel="0" collapsed="false">
      <c r="A78" s="1012"/>
      <c r="B78" s="1013" t="s">
        <v>1321</v>
      </c>
      <c r="C78" s="1001"/>
      <c r="D78" s="1001"/>
      <c r="E78" s="1022" t="n">
        <v>0</v>
      </c>
      <c r="F78" s="1022" t="n">
        <v>0</v>
      </c>
      <c r="G78" s="1022" t="n">
        <v>0</v>
      </c>
      <c r="H78" s="1022" t="n">
        <v>0</v>
      </c>
      <c r="I78" s="1022" t="n">
        <v>0</v>
      </c>
      <c r="J78" s="1022" t="n">
        <v>0</v>
      </c>
      <c r="K78" s="1022" t="n">
        <v>0</v>
      </c>
      <c r="L78" s="1022" t="n">
        <v>0</v>
      </c>
      <c r="M78" s="1022" t="n">
        <v>0</v>
      </c>
      <c r="N78" s="1022" t="n">
        <v>252.847529510961</v>
      </c>
      <c r="O78" s="1022" t="n">
        <v>77.0908746846089</v>
      </c>
      <c r="P78" s="1022" t="n">
        <v>103.238118895251</v>
      </c>
      <c r="Q78" s="1022" t="n">
        <v>106.244105455148</v>
      </c>
      <c r="R78" s="1022" t="n">
        <v>23.5559441624365</v>
      </c>
      <c r="S78" s="1022" t="n">
        <v>21.0382264626114</v>
      </c>
      <c r="T78" s="1022" t="n">
        <v>12.6948775055679</v>
      </c>
      <c r="U78" s="1022" t="n">
        <v>9.23240949554896</v>
      </c>
      <c r="V78" s="1022" t="n">
        <v>2.76969257540603</v>
      </c>
      <c r="W78" s="1022" t="n">
        <v>0</v>
      </c>
      <c r="X78" s="1022" t="n">
        <v>27.0596584022039</v>
      </c>
      <c r="Y78" s="1022" t="n">
        <v>23.4922751709379</v>
      </c>
      <c r="Z78" s="1022" t="n">
        <v>25.5214170524892</v>
      </c>
      <c r="AA78" s="1022" t="n">
        <v>19.047619047619</v>
      </c>
      <c r="AB78" s="1022" t="n">
        <v>0</v>
      </c>
      <c r="AC78" s="1022" t="n">
        <v>0</v>
      </c>
      <c r="AD78" s="1022" t="n">
        <v>0</v>
      </c>
      <c r="AE78" s="1022" t="n">
        <v>0</v>
      </c>
      <c r="AF78" s="1022" t="n">
        <v>0</v>
      </c>
      <c r="AG78" s="1022" t="n">
        <v>0</v>
      </c>
      <c r="AH78" s="1022" t="n">
        <v>0</v>
      </c>
      <c r="AI78" s="1022" t="n">
        <v>0</v>
      </c>
      <c r="AJ78" s="1022" t="n">
        <v>0</v>
      </c>
      <c r="AK78" s="1022" t="n">
        <v>0</v>
      </c>
      <c r="AL78" s="1022" t="n">
        <v>0</v>
      </c>
      <c r="AM78" s="1022" t="n">
        <v>0</v>
      </c>
      <c r="AN78" s="1022" t="n">
        <v>0</v>
      </c>
      <c r="AO78" s="1022" t="n">
        <v>0</v>
      </c>
      <c r="AP78" s="1022" t="n">
        <v>0</v>
      </c>
      <c r="AQ78" s="1022" t="n">
        <v>0</v>
      </c>
      <c r="AR78" s="1022" t="n">
        <v>0</v>
      </c>
      <c r="AS78" s="1022" t="n">
        <v>0</v>
      </c>
      <c r="AT78" s="1022" t="n">
        <v>0</v>
      </c>
      <c r="AU78" s="1022" t="n">
        <v>0</v>
      </c>
      <c r="AV78" s="1022" t="n">
        <v>0</v>
      </c>
      <c r="AW78" s="1022" t="n">
        <v>0</v>
      </c>
      <c r="AX78" s="1022" t="n">
        <v>0</v>
      </c>
      <c r="AY78" s="1022" t="n">
        <v>0</v>
      </c>
      <c r="AZ78" s="1022" t="n">
        <v>0</v>
      </c>
      <c r="BA78" s="1023" t="n">
        <f aca="false">SUM(E78:AY78)</f>
        <v>703.83274842079</v>
      </c>
    </row>
    <row r="79" customFormat="false" ht="12.75" hidden="false" customHeight="false" outlineLevel="0" collapsed="false">
      <c r="A79" s="1012"/>
      <c r="B79" s="1013" t="s">
        <v>1322</v>
      </c>
      <c r="C79" s="1001"/>
      <c r="D79" s="1001"/>
      <c r="E79" s="1022" t="n">
        <v>0</v>
      </c>
      <c r="F79" s="1022" t="n">
        <v>0</v>
      </c>
      <c r="G79" s="1022" t="n">
        <v>0</v>
      </c>
      <c r="H79" s="1022" t="n">
        <v>0</v>
      </c>
      <c r="I79" s="1022" t="n">
        <v>60.4922902097902</v>
      </c>
      <c r="J79" s="1022" t="n">
        <v>466.011939130435</v>
      </c>
      <c r="K79" s="1022" t="n">
        <v>0</v>
      </c>
      <c r="L79" s="1022" t="n">
        <v>902.447558039553</v>
      </c>
      <c r="M79" s="1022" t="n">
        <v>0</v>
      </c>
      <c r="N79" s="1022" t="n">
        <v>0</v>
      </c>
      <c r="O79" s="1022" t="n">
        <v>0</v>
      </c>
      <c r="P79" s="1022" t="n">
        <v>0</v>
      </c>
      <c r="Q79" s="1022" t="n">
        <v>0</v>
      </c>
      <c r="R79" s="1022" t="n">
        <v>0</v>
      </c>
      <c r="S79" s="1022" t="n">
        <v>0</v>
      </c>
      <c r="T79" s="1022" t="n">
        <v>0</v>
      </c>
      <c r="U79" s="1022" t="n">
        <v>934.147139465875</v>
      </c>
      <c r="V79" s="1022" t="n">
        <v>0</v>
      </c>
      <c r="W79" s="1022" t="n">
        <v>0</v>
      </c>
      <c r="X79" s="1022" t="n">
        <v>0</v>
      </c>
      <c r="Y79" s="1022" t="n">
        <v>0</v>
      </c>
      <c r="Z79" s="1022" t="n">
        <v>0</v>
      </c>
      <c r="AA79" s="1022" t="n">
        <v>0</v>
      </c>
      <c r="AB79" s="1022" t="n">
        <v>0</v>
      </c>
      <c r="AC79" s="1022" t="n">
        <v>0</v>
      </c>
      <c r="AD79" s="1022" t="n">
        <v>0</v>
      </c>
      <c r="AE79" s="1022" t="n">
        <v>0</v>
      </c>
      <c r="AF79" s="1022" t="n">
        <v>0</v>
      </c>
      <c r="AG79" s="1022" t="n">
        <v>0</v>
      </c>
      <c r="AH79" s="1022" t="n">
        <v>0</v>
      </c>
      <c r="AI79" s="1022" t="n">
        <v>0</v>
      </c>
      <c r="AJ79" s="1022" t="n">
        <v>0</v>
      </c>
      <c r="AK79" s="1022" t="n">
        <v>0</v>
      </c>
      <c r="AL79" s="1022" t="n">
        <v>0</v>
      </c>
      <c r="AM79" s="1022" t="n">
        <v>0</v>
      </c>
      <c r="AN79" s="1022" t="n">
        <v>0</v>
      </c>
      <c r="AO79" s="1022" t="n">
        <v>0</v>
      </c>
      <c r="AP79" s="1022" t="n">
        <v>0</v>
      </c>
      <c r="AQ79" s="1022" t="n">
        <v>0</v>
      </c>
      <c r="AR79" s="1022" t="n">
        <v>0</v>
      </c>
      <c r="AS79" s="1022" t="n">
        <v>0</v>
      </c>
      <c r="AT79" s="1022" t="n">
        <v>0</v>
      </c>
      <c r="AU79" s="1022" t="n">
        <v>0</v>
      </c>
      <c r="AV79" s="1022" t="n">
        <v>0</v>
      </c>
      <c r="AW79" s="1022" t="n">
        <v>0</v>
      </c>
      <c r="AX79" s="1022" t="n">
        <v>0</v>
      </c>
      <c r="AY79" s="1022" t="n">
        <v>0</v>
      </c>
      <c r="AZ79" s="1022" t="n">
        <v>0</v>
      </c>
      <c r="BA79" s="1023" t="n">
        <f aca="false">SUM(E79:AY79)</f>
        <v>2363.09892684565</v>
      </c>
    </row>
    <row r="80" customFormat="false" ht="12.75" hidden="false" customHeight="false" outlineLevel="0" collapsed="false">
      <c r="A80" s="1012"/>
      <c r="B80" s="1013" t="s">
        <v>1323</v>
      </c>
      <c r="C80" s="1001"/>
      <c r="D80" s="1001"/>
      <c r="E80" s="1022" t="n">
        <v>0</v>
      </c>
      <c r="F80" s="1022" t="n">
        <v>0</v>
      </c>
      <c r="G80" s="1022" t="n">
        <v>0</v>
      </c>
      <c r="H80" s="1022" t="n">
        <v>0</v>
      </c>
      <c r="I80" s="1022" t="n">
        <v>0</v>
      </c>
      <c r="J80" s="1022" t="n">
        <v>0</v>
      </c>
      <c r="K80" s="1022" t="n">
        <v>0</v>
      </c>
      <c r="L80" s="1022" t="n">
        <v>0</v>
      </c>
      <c r="M80" s="1022" t="n">
        <v>0</v>
      </c>
      <c r="N80" s="1022" t="n">
        <v>0</v>
      </c>
      <c r="O80" s="1022" t="n">
        <v>859.466778805719</v>
      </c>
      <c r="P80" s="1022" t="n">
        <v>0</v>
      </c>
      <c r="Q80" s="1022" t="n">
        <v>90.9177831205439</v>
      </c>
      <c r="R80" s="1022" t="n">
        <v>0</v>
      </c>
      <c r="S80" s="1022" t="n">
        <v>0</v>
      </c>
      <c r="T80" s="1022" t="n">
        <v>0</v>
      </c>
      <c r="U80" s="1022" t="n">
        <v>0</v>
      </c>
      <c r="V80" s="1022" t="n">
        <v>447.809501160093</v>
      </c>
      <c r="W80" s="1022" t="n">
        <v>61.3586387434555</v>
      </c>
      <c r="X80" s="1022" t="n">
        <v>0</v>
      </c>
      <c r="Y80" s="1022" t="n">
        <v>0</v>
      </c>
      <c r="Z80" s="1022" t="n">
        <v>0</v>
      </c>
      <c r="AA80" s="1022" t="n">
        <v>0</v>
      </c>
      <c r="AB80" s="1022" t="n">
        <v>0</v>
      </c>
      <c r="AC80" s="1022" t="n">
        <v>0</v>
      </c>
      <c r="AD80" s="1022" t="n">
        <v>0</v>
      </c>
      <c r="AE80" s="1022" t="n">
        <v>0</v>
      </c>
      <c r="AF80" s="1022" t="n">
        <v>0</v>
      </c>
      <c r="AG80" s="1022" t="n">
        <v>0</v>
      </c>
      <c r="AH80" s="1022" t="n">
        <v>0</v>
      </c>
      <c r="AI80" s="1022" t="n">
        <v>0</v>
      </c>
      <c r="AJ80" s="1022" t="n">
        <v>0</v>
      </c>
      <c r="AK80" s="1022" t="n">
        <v>0</v>
      </c>
      <c r="AL80" s="1022" t="n">
        <v>0</v>
      </c>
      <c r="AM80" s="1022" t="n">
        <v>0</v>
      </c>
      <c r="AN80" s="1022" t="n">
        <v>0</v>
      </c>
      <c r="AO80" s="1022" t="n">
        <v>0</v>
      </c>
      <c r="AP80" s="1022" t="n">
        <v>0</v>
      </c>
      <c r="AQ80" s="1022" t="n">
        <v>0</v>
      </c>
      <c r="AR80" s="1022" t="n">
        <v>0</v>
      </c>
      <c r="AS80" s="1022" t="n">
        <v>0</v>
      </c>
      <c r="AT80" s="1022" t="n">
        <v>0</v>
      </c>
      <c r="AU80" s="1022" t="n">
        <v>0</v>
      </c>
      <c r="AV80" s="1022" t="n">
        <v>0</v>
      </c>
      <c r="AW80" s="1022" t="n">
        <v>0</v>
      </c>
      <c r="AX80" s="1022" t="n">
        <v>0</v>
      </c>
      <c r="AY80" s="1022" t="n">
        <v>0</v>
      </c>
      <c r="AZ80" s="1022" t="n">
        <v>0</v>
      </c>
      <c r="BA80" s="1023" t="n">
        <f aca="false">SUM(E80:AY80)</f>
        <v>1459.55270182981</v>
      </c>
    </row>
    <row r="81" customFormat="false" ht="12.75" hidden="false" customHeight="false" outlineLevel="0" collapsed="false">
      <c r="A81" s="1012"/>
      <c r="B81" s="1013" t="s">
        <v>1324</v>
      </c>
      <c r="C81" s="1001"/>
      <c r="D81" s="1001"/>
      <c r="E81" s="1022" t="n">
        <v>0</v>
      </c>
      <c r="F81" s="1022" t="n">
        <v>0</v>
      </c>
      <c r="G81" s="1022" t="n">
        <v>0</v>
      </c>
      <c r="H81" s="1022" t="n">
        <v>0</v>
      </c>
      <c r="I81" s="1022" t="n">
        <v>0</v>
      </c>
      <c r="J81" s="1022" t="n">
        <v>0</v>
      </c>
      <c r="K81" s="1022" t="n">
        <v>0</v>
      </c>
      <c r="L81" s="1022" t="n">
        <v>0</v>
      </c>
      <c r="M81" s="1022" t="n">
        <v>0</v>
      </c>
      <c r="N81" s="1022" t="n">
        <v>0</v>
      </c>
      <c r="O81" s="1022" t="n">
        <v>0</v>
      </c>
      <c r="P81" s="1022" t="n">
        <v>0</v>
      </c>
      <c r="Q81" s="1022" t="n">
        <v>0</v>
      </c>
      <c r="R81" s="1022" t="n">
        <v>0</v>
      </c>
      <c r="S81" s="1022" t="n">
        <v>0</v>
      </c>
      <c r="T81" s="1022" t="n">
        <v>0</v>
      </c>
      <c r="U81" s="1022" t="n">
        <v>0</v>
      </c>
      <c r="V81" s="1022" t="n">
        <v>0</v>
      </c>
      <c r="W81" s="1022" t="n">
        <v>0</v>
      </c>
      <c r="X81" s="1022" t="n">
        <v>0</v>
      </c>
      <c r="Y81" s="1022" t="n">
        <v>0</v>
      </c>
      <c r="Z81" s="1022" t="n">
        <v>0</v>
      </c>
      <c r="AA81" s="1022" t="n">
        <v>0</v>
      </c>
      <c r="AB81" s="1022" t="n">
        <v>0</v>
      </c>
      <c r="AC81" s="1022" t="n">
        <v>0</v>
      </c>
      <c r="AD81" s="1022" t="n">
        <v>0</v>
      </c>
      <c r="AE81" s="1022" t="n">
        <v>0</v>
      </c>
      <c r="AF81" s="1022" t="n">
        <v>0</v>
      </c>
      <c r="AG81" s="1022" t="n">
        <v>0</v>
      </c>
      <c r="AH81" s="1022" t="n">
        <v>0</v>
      </c>
      <c r="AI81" s="1022" t="n">
        <v>0</v>
      </c>
      <c r="AJ81" s="1022" t="n">
        <v>0</v>
      </c>
      <c r="AK81" s="1022" t="n">
        <v>0</v>
      </c>
      <c r="AL81" s="1022" t="n">
        <v>0</v>
      </c>
      <c r="AM81" s="1022" t="n">
        <v>0</v>
      </c>
      <c r="AN81" s="1022" t="n">
        <v>0</v>
      </c>
      <c r="AO81" s="1022" t="n">
        <v>0</v>
      </c>
      <c r="AP81" s="1022" t="n">
        <v>0</v>
      </c>
      <c r="AQ81" s="1022" t="n">
        <v>0</v>
      </c>
      <c r="AR81" s="1022" t="n">
        <v>0</v>
      </c>
      <c r="AS81" s="1022" t="n">
        <v>0</v>
      </c>
      <c r="AT81" s="1022" t="n">
        <v>0</v>
      </c>
      <c r="AU81" s="1022" t="n">
        <v>0</v>
      </c>
      <c r="AV81" s="1022" t="n">
        <v>0</v>
      </c>
      <c r="AW81" s="1022" t="n">
        <v>0</v>
      </c>
      <c r="AX81" s="1022" t="n">
        <v>0</v>
      </c>
      <c r="AY81" s="1022" t="n">
        <v>0</v>
      </c>
      <c r="AZ81" s="1022" t="n">
        <v>0</v>
      </c>
      <c r="BA81" s="1023" t="n">
        <f aca="false">SUM(E81:AY81)</f>
        <v>0</v>
      </c>
    </row>
    <row r="82" customFormat="false" ht="12.75" hidden="false" customHeight="false" outlineLevel="0" collapsed="false">
      <c r="A82" s="1012"/>
      <c r="B82" s="1013" t="s">
        <v>1325</v>
      </c>
      <c r="C82" s="1001"/>
      <c r="D82" s="1001"/>
      <c r="E82" s="1022" t="n">
        <v>0</v>
      </c>
      <c r="F82" s="1022" t="n">
        <v>0</v>
      </c>
      <c r="G82" s="1022" t="n">
        <v>0</v>
      </c>
      <c r="H82" s="1022" t="n">
        <v>0</v>
      </c>
      <c r="I82" s="1022" t="n">
        <v>0</v>
      </c>
      <c r="J82" s="1022" t="n">
        <v>0</v>
      </c>
      <c r="K82" s="1022" t="n">
        <v>0</v>
      </c>
      <c r="L82" s="1022" t="n">
        <v>0</v>
      </c>
      <c r="M82" s="1022" t="n">
        <v>0</v>
      </c>
      <c r="N82" s="1022" t="n">
        <v>0</v>
      </c>
      <c r="O82" s="1022" t="n">
        <v>0</v>
      </c>
      <c r="P82" s="1022" t="n">
        <v>0</v>
      </c>
      <c r="Q82" s="1022" t="n">
        <v>0</v>
      </c>
      <c r="R82" s="1022" t="n">
        <v>0</v>
      </c>
      <c r="S82" s="1022" t="n">
        <v>0</v>
      </c>
      <c r="T82" s="1022" t="n">
        <v>0</v>
      </c>
      <c r="U82" s="1022" t="n">
        <v>0</v>
      </c>
      <c r="V82" s="1022" t="n">
        <v>0</v>
      </c>
      <c r="W82" s="1022" t="n">
        <v>0</v>
      </c>
      <c r="X82" s="1022" t="n">
        <v>0</v>
      </c>
      <c r="Y82" s="1022" t="n">
        <v>0</v>
      </c>
      <c r="Z82" s="1022" t="n">
        <v>252.977682983926</v>
      </c>
      <c r="AA82" s="1022" t="n">
        <v>373.585253456221</v>
      </c>
      <c r="AB82" s="1022" t="n">
        <v>0</v>
      </c>
      <c r="AC82" s="1022" t="n">
        <v>0</v>
      </c>
      <c r="AD82" s="1022" t="n">
        <v>0</v>
      </c>
      <c r="AE82" s="1022" t="n">
        <v>0</v>
      </c>
      <c r="AF82" s="1022" t="n">
        <v>0</v>
      </c>
      <c r="AG82" s="1022" t="n">
        <v>0</v>
      </c>
      <c r="AH82" s="1022" t="n">
        <v>0</v>
      </c>
      <c r="AI82" s="1022" t="n">
        <v>0</v>
      </c>
      <c r="AJ82" s="1022" t="n">
        <v>0</v>
      </c>
      <c r="AK82" s="1022" t="n">
        <v>0</v>
      </c>
      <c r="AL82" s="1022" t="n">
        <v>0</v>
      </c>
      <c r="AM82" s="1022" t="n">
        <v>0</v>
      </c>
      <c r="AN82" s="1022" t="n">
        <v>0</v>
      </c>
      <c r="AO82" s="1022" t="n">
        <v>0</v>
      </c>
      <c r="AP82" s="1022" t="n">
        <v>0</v>
      </c>
      <c r="AQ82" s="1022" t="n">
        <v>0</v>
      </c>
      <c r="AR82" s="1022" t="n">
        <v>0</v>
      </c>
      <c r="AS82" s="1022" t="n">
        <v>0</v>
      </c>
      <c r="AT82" s="1022" t="n">
        <v>0</v>
      </c>
      <c r="AU82" s="1022" t="n">
        <v>0</v>
      </c>
      <c r="AV82" s="1022" t="n">
        <v>0</v>
      </c>
      <c r="AW82" s="1022" t="n">
        <v>0</v>
      </c>
      <c r="AX82" s="1022" t="n">
        <v>0</v>
      </c>
      <c r="AY82" s="1022" t="n">
        <v>0</v>
      </c>
      <c r="AZ82" s="1022" t="n">
        <v>0</v>
      </c>
      <c r="BA82" s="1023" t="n">
        <f aca="false">SUM(E82:AY82)</f>
        <v>626.562936440147</v>
      </c>
    </row>
    <row r="83" customFormat="false" ht="12.75" hidden="false" customHeight="false" outlineLevel="0" collapsed="false">
      <c r="A83" s="1012"/>
      <c r="B83" s="1013" t="s">
        <v>1326</v>
      </c>
      <c r="C83" s="1001"/>
      <c r="D83" s="1001"/>
      <c r="E83" s="1022" t="n">
        <v>0</v>
      </c>
      <c r="F83" s="1022" t="n">
        <v>0</v>
      </c>
      <c r="G83" s="1022" t="n">
        <v>0</v>
      </c>
      <c r="H83" s="1022" t="n">
        <v>0</v>
      </c>
      <c r="I83" s="1022" t="n">
        <v>0</v>
      </c>
      <c r="J83" s="1022" t="n">
        <v>0</v>
      </c>
      <c r="K83" s="1022" t="n">
        <v>0</v>
      </c>
      <c r="L83" s="1022" t="n">
        <v>0</v>
      </c>
      <c r="M83" s="1022" t="n">
        <v>0</v>
      </c>
      <c r="N83" s="1022" t="n">
        <v>0</v>
      </c>
      <c r="O83" s="1022" t="n">
        <v>0</v>
      </c>
      <c r="P83" s="1022" t="n">
        <v>0</v>
      </c>
      <c r="Q83" s="1022" t="n">
        <v>0</v>
      </c>
      <c r="R83" s="1022" t="n">
        <v>0</v>
      </c>
      <c r="S83" s="1022" t="n">
        <v>0</v>
      </c>
      <c r="T83" s="1022" t="n">
        <v>0</v>
      </c>
      <c r="U83" s="1022" t="n">
        <v>0</v>
      </c>
      <c r="V83" s="1022" t="n">
        <v>0</v>
      </c>
      <c r="W83" s="1022" t="n">
        <v>0</v>
      </c>
      <c r="X83" s="1022" t="n">
        <v>0</v>
      </c>
      <c r="Y83" s="1022" t="n">
        <v>0</v>
      </c>
      <c r="Z83" s="1022" t="n">
        <v>0</v>
      </c>
      <c r="AA83" s="1022" t="n">
        <v>0</v>
      </c>
      <c r="AB83" s="1022" t="n">
        <v>0</v>
      </c>
      <c r="AC83" s="1022" t="n">
        <v>0</v>
      </c>
      <c r="AD83" s="1022" t="n">
        <v>0</v>
      </c>
      <c r="AE83" s="1022" t="n">
        <v>0</v>
      </c>
      <c r="AF83" s="1022" t="n">
        <v>0</v>
      </c>
      <c r="AG83" s="1022" t="n">
        <v>0</v>
      </c>
      <c r="AH83" s="1022" t="n">
        <v>0</v>
      </c>
      <c r="AI83" s="1022" t="n">
        <v>0</v>
      </c>
      <c r="AJ83" s="1022" t="n">
        <v>0</v>
      </c>
      <c r="AK83" s="1022" t="n">
        <v>0</v>
      </c>
      <c r="AL83" s="1022" t="n">
        <v>0</v>
      </c>
      <c r="AM83" s="1022" t="n">
        <v>0</v>
      </c>
      <c r="AN83" s="1022" t="n">
        <v>0</v>
      </c>
      <c r="AO83" s="1022" t="n">
        <v>0</v>
      </c>
      <c r="AP83" s="1022" t="n">
        <v>0</v>
      </c>
      <c r="AQ83" s="1022" t="n">
        <v>0</v>
      </c>
      <c r="AR83" s="1022" t="n">
        <v>0</v>
      </c>
      <c r="AS83" s="1022" t="n">
        <v>0</v>
      </c>
      <c r="AT83" s="1022" t="n">
        <v>0</v>
      </c>
      <c r="AU83" s="1022" t="n">
        <v>0</v>
      </c>
      <c r="AV83" s="1022" t="n">
        <v>0</v>
      </c>
      <c r="AW83" s="1022" t="n">
        <v>0</v>
      </c>
      <c r="AX83" s="1022" t="n">
        <v>0</v>
      </c>
      <c r="AY83" s="1022" t="n">
        <v>0</v>
      </c>
      <c r="AZ83" s="1022" t="n">
        <v>0</v>
      </c>
      <c r="BA83" s="1023" t="n">
        <f aca="false">SUM(E83:AY83)</f>
        <v>0</v>
      </c>
    </row>
    <row r="84" customFormat="false" ht="12.75" hidden="false" customHeight="false" outlineLevel="0" collapsed="false">
      <c r="A84" s="1012"/>
      <c r="B84" s="1013" t="s">
        <v>1327</v>
      </c>
      <c r="C84" s="1001"/>
      <c r="D84" s="1001"/>
      <c r="E84" s="1022" t="n">
        <v>0</v>
      </c>
      <c r="F84" s="1022" t="n">
        <v>0</v>
      </c>
      <c r="G84" s="1022" t="n">
        <v>0</v>
      </c>
      <c r="H84" s="1022" t="n">
        <v>0</v>
      </c>
      <c r="I84" s="1022" t="n">
        <v>0</v>
      </c>
      <c r="J84" s="1022" t="n">
        <v>0</v>
      </c>
      <c r="K84" s="1022" t="n">
        <v>0</v>
      </c>
      <c r="L84" s="1022" t="n">
        <v>0</v>
      </c>
      <c r="M84" s="1022" t="n">
        <v>0</v>
      </c>
      <c r="N84" s="1022" t="n">
        <v>0</v>
      </c>
      <c r="O84" s="1022" t="n">
        <v>0</v>
      </c>
      <c r="P84" s="1022" t="n">
        <v>0</v>
      </c>
      <c r="Q84" s="1022" t="n">
        <v>0</v>
      </c>
      <c r="R84" s="1022" t="n">
        <v>0</v>
      </c>
      <c r="S84" s="1022" t="n">
        <v>0</v>
      </c>
      <c r="T84" s="1022" t="n">
        <v>0</v>
      </c>
      <c r="U84" s="1022" t="n">
        <v>0</v>
      </c>
      <c r="V84" s="1022" t="n">
        <v>0</v>
      </c>
      <c r="W84" s="1022" t="n">
        <v>0</v>
      </c>
      <c r="X84" s="1022" t="n">
        <v>0</v>
      </c>
      <c r="Y84" s="1022" t="n">
        <v>0</v>
      </c>
      <c r="Z84" s="1022" t="n">
        <v>0</v>
      </c>
      <c r="AA84" s="1022" t="n">
        <v>0</v>
      </c>
      <c r="AB84" s="1022" t="n">
        <v>0</v>
      </c>
      <c r="AC84" s="1022" t="n">
        <v>0</v>
      </c>
      <c r="AD84" s="1022" t="n">
        <v>653.328894806924</v>
      </c>
      <c r="AE84" s="1022" t="n">
        <v>0</v>
      </c>
      <c r="AF84" s="1022" t="n">
        <v>0</v>
      </c>
      <c r="AG84" s="1022" t="n">
        <v>0</v>
      </c>
      <c r="AH84" s="1022" t="n">
        <v>0</v>
      </c>
      <c r="AI84" s="1022" t="n">
        <v>0</v>
      </c>
      <c r="AJ84" s="1022" t="n">
        <v>0</v>
      </c>
      <c r="AK84" s="1022" t="n">
        <v>0</v>
      </c>
      <c r="AL84" s="1022" t="n">
        <v>0</v>
      </c>
      <c r="AM84" s="1022" t="n">
        <v>0</v>
      </c>
      <c r="AN84" s="1022" t="n">
        <v>0</v>
      </c>
      <c r="AO84" s="1022" t="n">
        <v>0</v>
      </c>
      <c r="AP84" s="1022" t="n">
        <v>0</v>
      </c>
      <c r="AQ84" s="1022" t="n">
        <v>0</v>
      </c>
      <c r="AR84" s="1022" t="n">
        <v>0</v>
      </c>
      <c r="AS84" s="1022" t="n">
        <v>0</v>
      </c>
      <c r="AT84" s="1022" t="n">
        <v>0</v>
      </c>
      <c r="AU84" s="1022" t="n">
        <v>0</v>
      </c>
      <c r="AV84" s="1022" t="n">
        <v>0</v>
      </c>
      <c r="AW84" s="1022" t="n">
        <v>0</v>
      </c>
      <c r="AX84" s="1022" t="n">
        <v>0</v>
      </c>
      <c r="AY84" s="1022" t="n">
        <v>0</v>
      </c>
      <c r="AZ84" s="1022" t="n">
        <v>0</v>
      </c>
      <c r="BA84" s="1023" t="n">
        <f aca="false">SUM(E84:AY84)</f>
        <v>653.328894806924</v>
      </c>
    </row>
    <row r="85" customFormat="false" ht="12.75" hidden="false" customHeight="false" outlineLevel="0" collapsed="false">
      <c r="A85" s="1012"/>
      <c r="B85" s="1013" t="s">
        <v>189</v>
      </c>
      <c r="C85" s="1001"/>
      <c r="D85" s="1001"/>
      <c r="E85" s="1022" t="n">
        <v>0</v>
      </c>
      <c r="F85" s="1022" t="n">
        <v>0</v>
      </c>
      <c r="G85" s="1022" t="n">
        <v>0</v>
      </c>
      <c r="H85" s="1022" t="n">
        <v>0</v>
      </c>
      <c r="I85" s="1022" t="n">
        <v>0</v>
      </c>
      <c r="J85" s="1022" t="n">
        <v>0</v>
      </c>
      <c r="K85" s="1022" t="n">
        <v>0</v>
      </c>
      <c r="L85" s="1022" t="n">
        <v>0</v>
      </c>
      <c r="M85" s="1022" t="n">
        <v>0</v>
      </c>
      <c r="N85" s="1022" t="n">
        <v>0</v>
      </c>
      <c r="O85" s="1022" t="n">
        <v>0</v>
      </c>
      <c r="P85" s="1022" t="n">
        <v>0</v>
      </c>
      <c r="Q85" s="1022" t="n">
        <v>0</v>
      </c>
      <c r="R85" s="1022" t="n">
        <v>0</v>
      </c>
      <c r="S85" s="1022" t="n">
        <v>0</v>
      </c>
      <c r="T85" s="1022" t="n">
        <v>0</v>
      </c>
      <c r="U85" s="1022" t="n">
        <v>0</v>
      </c>
      <c r="V85" s="1022" t="n">
        <v>0</v>
      </c>
      <c r="W85" s="1022" t="n">
        <v>0</v>
      </c>
      <c r="X85" s="1022" t="n">
        <v>0</v>
      </c>
      <c r="Y85" s="1022" t="n">
        <v>0</v>
      </c>
      <c r="Z85" s="1022" t="n">
        <v>0</v>
      </c>
      <c r="AA85" s="1022" t="n">
        <v>0</v>
      </c>
      <c r="AB85" s="1022" t="n">
        <v>0</v>
      </c>
      <c r="AC85" s="1022" t="n">
        <v>0</v>
      </c>
      <c r="AD85" s="1022" t="n">
        <v>0</v>
      </c>
      <c r="AE85" s="1022" t="n">
        <v>0</v>
      </c>
      <c r="AF85" s="1022" t="n">
        <v>0</v>
      </c>
      <c r="AG85" s="1022" t="n">
        <v>0</v>
      </c>
      <c r="AH85" s="1022" t="n">
        <v>0</v>
      </c>
      <c r="AI85" s="1022" t="n">
        <v>0</v>
      </c>
      <c r="AJ85" s="1022" t="n">
        <v>0</v>
      </c>
      <c r="AK85" s="1022" t="n">
        <v>0</v>
      </c>
      <c r="AL85" s="1022" t="n">
        <v>0</v>
      </c>
      <c r="AM85" s="1022" t="n">
        <v>0</v>
      </c>
      <c r="AN85" s="1022" t="n">
        <v>0</v>
      </c>
      <c r="AO85" s="1022" t="n">
        <v>0</v>
      </c>
      <c r="AP85" s="1022" t="n">
        <v>0</v>
      </c>
      <c r="AQ85" s="1022" t="n">
        <v>0</v>
      </c>
      <c r="AR85" s="1022" t="n">
        <v>0</v>
      </c>
      <c r="AS85" s="1022" t="n">
        <v>0</v>
      </c>
      <c r="AT85" s="1022" t="n">
        <v>0</v>
      </c>
      <c r="AU85" s="1022" t="n">
        <v>0</v>
      </c>
      <c r="AV85" s="1022" t="n">
        <v>0</v>
      </c>
      <c r="AW85" s="1022" t="n">
        <v>0</v>
      </c>
      <c r="AX85" s="1022" t="n">
        <v>0</v>
      </c>
      <c r="AY85" s="1022" t="n">
        <v>0</v>
      </c>
      <c r="AZ85" s="1022" t="n">
        <v>0</v>
      </c>
      <c r="BA85" s="1023" t="n">
        <f aca="false">SUM(E85:AY85)</f>
        <v>0</v>
      </c>
    </row>
    <row r="86" customFormat="false" ht="12.75" hidden="false" customHeight="false" outlineLevel="0" collapsed="false">
      <c r="A86" s="1012"/>
      <c r="B86" s="1013" t="s">
        <v>1328</v>
      </c>
      <c r="C86" s="1001"/>
      <c r="D86" s="1001"/>
      <c r="E86" s="1024" t="n">
        <v>217.68458781362</v>
      </c>
      <c r="F86" s="1024" t="n">
        <v>598.66518254675</v>
      </c>
      <c r="G86" s="1024" t="n">
        <v>470.542656112577</v>
      </c>
      <c r="H86" s="1024" t="n">
        <v>1352.76253298153</v>
      </c>
      <c r="I86" s="1024" t="n">
        <v>3910.05594405594</v>
      </c>
      <c r="J86" s="1024" t="n">
        <v>1334.50608695652</v>
      </c>
      <c r="K86" s="1024" t="n">
        <v>1134.64477095938</v>
      </c>
      <c r="L86" s="1024" t="n">
        <v>980.829750644884</v>
      </c>
      <c r="M86" s="1024" t="n">
        <v>0</v>
      </c>
      <c r="N86" s="1024" t="n">
        <v>4247.14531197302</v>
      </c>
      <c r="O86" s="1024" t="n">
        <v>364.857367535744</v>
      </c>
      <c r="P86" s="1024" t="n">
        <v>3503.63774840013</v>
      </c>
      <c r="Q86" s="1024" t="n">
        <v>931.063894876472</v>
      </c>
      <c r="R86" s="1024" t="n">
        <v>437.831472081218</v>
      </c>
      <c r="S86" s="1024" t="n">
        <v>1084.69294846959</v>
      </c>
      <c r="T86" s="1024" t="n">
        <v>1281.82110801782</v>
      </c>
      <c r="U86" s="1024" t="n">
        <v>1416.94810089021</v>
      </c>
      <c r="V86" s="1024" t="n">
        <v>1244.38631090487</v>
      </c>
      <c r="W86" s="1024" t="n">
        <v>0</v>
      </c>
      <c r="X86" s="1024" t="n">
        <v>1930.11744352617</v>
      </c>
      <c r="Y86" s="1024" t="n">
        <v>913.364998173182</v>
      </c>
      <c r="Z86" s="1024" t="n">
        <v>1047.38282266035</v>
      </c>
      <c r="AA86" s="1024" t="n">
        <v>1001.72452636969</v>
      </c>
      <c r="AB86" s="1024" t="n">
        <v>1203.67650179435</v>
      </c>
      <c r="AC86" s="1024" t="n">
        <v>1889.56567915036</v>
      </c>
      <c r="AD86" s="1024" t="n">
        <v>0</v>
      </c>
      <c r="AE86" s="1024" t="n">
        <v>3040.92871598831</v>
      </c>
      <c r="AF86" s="1024" t="n">
        <v>1783.9758141132</v>
      </c>
      <c r="AG86" s="1024" t="n">
        <v>0</v>
      </c>
      <c r="AH86" s="1024" t="n">
        <v>0</v>
      </c>
      <c r="AI86" s="1024" t="n">
        <v>0</v>
      </c>
      <c r="AJ86" s="1024" t="n">
        <v>0</v>
      </c>
      <c r="AK86" s="1024" t="n">
        <v>0</v>
      </c>
      <c r="AL86" s="1024" t="n">
        <v>0</v>
      </c>
      <c r="AM86" s="1024" t="n">
        <v>0</v>
      </c>
      <c r="AN86" s="1024" t="n">
        <v>0</v>
      </c>
      <c r="AO86" s="1024" t="n">
        <v>0</v>
      </c>
      <c r="AP86" s="1024" t="n">
        <v>0</v>
      </c>
      <c r="AQ86" s="1024" t="n">
        <v>0</v>
      </c>
      <c r="AR86" s="1024" t="n">
        <v>0</v>
      </c>
      <c r="AS86" s="1024" t="n">
        <v>0</v>
      </c>
      <c r="AT86" s="1024" t="n">
        <v>0</v>
      </c>
      <c r="AU86" s="1024" t="n">
        <v>0</v>
      </c>
      <c r="AV86" s="1024" t="n">
        <v>0</v>
      </c>
      <c r="AW86" s="1024" t="n">
        <v>0</v>
      </c>
      <c r="AX86" s="1024" t="n">
        <v>0</v>
      </c>
      <c r="AY86" s="1024" t="n">
        <v>0</v>
      </c>
      <c r="AZ86" s="1024" t="n">
        <v>1783.9758141132</v>
      </c>
      <c r="BA86" s="1025" t="n">
        <f aca="false">SUM(E86:AY86)</f>
        <v>37322.8122769959</v>
      </c>
    </row>
    <row r="87" customFormat="false" ht="12.75" hidden="false" customHeight="false" outlineLevel="0" collapsed="false">
      <c r="A87" s="1012"/>
      <c r="B87" s="1017" t="s">
        <v>1329</v>
      </c>
      <c r="C87" s="1001"/>
      <c r="D87" s="1001"/>
      <c r="E87" s="1026" t="n">
        <f aca="false">SUM(E73:E86)</f>
        <v>6003.23566308244</v>
      </c>
      <c r="F87" s="1026" t="n">
        <f aca="false">SUM(F73:F86)</f>
        <v>598.66518254675</v>
      </c>
      <c r="G87" s="1026" t="n">
        <f aca="false">SUM(G73:G86)</f>
        <v>3329.61530061566</v>
      </c>
      <c r="H87" s="1026" t="n">
        <f aca="false">SUM(H73:H86)</f>
        <v>9253.85365610378</v>
      </c>
      <c r="I87" s="1026" t="n">
        <f aca="false">SUM(I73:I86)</f>
        <v>11579.7699294624</v>
      </c>
      <c r="J87" s="1026" t="n">
        <f aca="false">SUM(J73:J86)</f>
        <v>4361.26385067826</v>
      </c>
      <c r="K87" s="1026" t="n">
        <f aca="false">SUM(K73:K86)</f>
        <v>20576.4721866897</v>
      </c>
      <c r="L87" s="1026" t="n">
        <f aca="false">SUM(L73:L86)</f>
        <v>5131.36687876182</v>
      </c>
      <c r="M87" s="1026" t="n">
        <f aca="false">SUM(M73:M86)</f>
        <v>2817.12812234494</v>
      </c>
      <c r="N87" s="1026" t="n">
        <f aca="false">SUM(N73:N86)</f>
        <v>20703.3362057336</v>
      </c>
      <c r="O87" s="1026" t="n">
        <f aca="false">SUM(O73:O86)</f>
        <v>3948.16714045416</v>
      </c>
      <c r="P87" s="1026" t="n">
        <f aca="false">SUM(P73:P86)</f>
        <v>5242.13154260694</v>
      </c>
      <c r="Q87" s="1026" t="n">
        <f aca="false">SUM(Q73:Q86)</f>
        <v>23542.8263140441</v>
      </c>
      <c r="R87" s="1026" t="n">
        <f aca="false">SUM(R73:R86)</f>
        <v>912.314720812183</v>
      </c>
      <c r="S87" s="1026" t="n">
        <f aca="false">SUM(S73:S86)</f>
        <v>1399.39521987602</v>
      </c>
      <c r="T87" s="1026" t="n">
        <f aca="false">SUM(T73:T86)</f>
        <v>2398.69479398664</v>
      </c>
      <c r="U87" s="1026" t="n">
        <f aca="false">SUM(U73:U86)</f>
        <v>15098.0608367953</v>
      </c>
      <c r="V87" s="1026" t="n">
        <f aca="false">SUM(V73:V86)</f>
        <v>3122.7826450116</v>
      </c>
      <c r="W87" s="1026" t="n">
        <f aca="false">SUM(W73:W86)</f>
        <v>19287.3119053039</v>
      </c>
      <c r="X87" s="1026" t="n">
        <f aca="false">SUM(X73:X86)</f>
        <v>5074.6807493113</v>
      </c>
      <c r="Y87" s="1026" t="n">
        <f aca="false">SUM(Y73:Y86)</f>
        <v>2942.69783391618</v>
      </c>
      <c r="Z87" s="1026" t="n">
        <f aca="false">SUM(Z73:Z86)</f>
        <v>3385.16383498934</v>
      </c>
      <c r="AA87" s="1026" t="n">
        <f aca="false">SUM(AA73:AA86)</f>
        <v>2984.39724014337</v>
      </c>
      <c r="AB87" s="1026" t="n">
        <f aca="false">SUM(AB73:AB86)</f>
        <v>2607.56818016331</v>
      </c>
      <c r="AC87" s="1026" t="n">
        <f aca="false">SUM(AC73:AC86)</f>
        <v>2791.08293460034</v>
      </c>
      <c r="AD87" s="1026" t="n">
        <f aca="false">SUM(AD73:AD86)</f>
        <v>1091.14763648469</v>
      </c>
      <c r="AE87" s="1026" t="n">
        <f aca="false">SUM(AE73:AE86)</f>
        <v>3766.70789296155</v>
      </c>
      <c r="AF87" s="1026" t="n">
        <f aca="false">SUM(AF73:AF86)</f>
        <v>2338.55430664454</v>
      </c>
      <c r="AG87" s="1026" t="n">
        <f aca="false">SUM(AG73:AG86)</f>
        <v>0</v>
      </c>
      <c r="AH87" s="1026" t="n">
        <f aca="false">SUM(AH73:AH86)</f>
        <v>0</v>
      </c>
      <c r="AI87" s="1026" t="n">
        <f aca="false">SUM(AI73:AI86)</f>
        <v>0</v>
      </c>
      <c r="AJ87" s="1026" t="n">
        <f aca="false">SUM(AJ73:AJ86)</f>
        <v>0</v>
      </c>
      <c r="AK87" s="1026" t="n">
        <f aca="false">SUM(AK73:AK86)</f>
        <v>0</v>
      </c>
      <c r="AL87" s="1026" t="n">
        <f aca="false">SUM(AL73:AL86)</f>
        <v>0</v>
      </c>
      <c r="AM87" s="1026" t="n">
        <f aca="false">SUM(AM73:AM86)</f>
        <v>0</v>
      </c>
      <c r="AN87" s="1026" t="n">
        <f aca="false">SUM(AN73:AN86)</f>
        <v>0</v>
      </c>
      <c r="AO87" s="1026" t="n">
        <f aca="false">SUM(AO73:AO86)</f>
        <v>0</v>
      </c>
      <c r="AP87" s="1026" t="n">
        <f aca="false">SUM(AP73:AP86)</f>
        <v>0</v>
      </c>
      <c r="AQ87" s="1026" t="n">
        <f aca="false">SUM(AQ73:AQ86)</f>
        <v>0</v>
      </c>
      <c r="AR87" s="1026" t="n">
        <f aca="false">SUM(AR73:AR86)</f>
        <v>0</v>
      </c>
      <c r="AS87" s="1026" t="n">
        <f aca="false">SUM(AS73:AS86)</f>
        <v>0</v>
      </c>
      <c r="AT87" s="1026" t="n">
        <f aca="false">SUM(AT73:AT86)</f>
        <v>0</v>
      </c>
      <c r="AU87" s="1026" t="n">
        <f aca="false">SUM(AU73:AU86)</f>
        <v>0</v>
      </c>
      <c r="AV87" s="1026" t="n">
        <f aca="false">SUM(AV73:AV86)</f>
        <v>0</v>
      </c>
      <c r="AW87" s="1026" t="n">
        <f aca="false">SUM(AW73:AW86)</f>
        <v>0</v>
      </c>
      <c r="AX87" s="1026" t="n">
        <f aca="false">SUM(AX73:AX86)</f>
        <v>0</v>
      </c>
      <c r="AY87" s="1026" t="n">
        <f aca="false">SUM(AY73:AY86)</f>
        <v>0</v>
      </c>
      <c r="AZ87" s="1026" t="n">
        <f aca="false">SUM(AZ73:AZ86)</f>
        <v>2338.55430664454</v>
      </c>
      <c r="BA87" s="1023" t="n">
        <f aca="false">SUM(BA73:BA86)</f>
        <v>186288.392704125</v>
      </c>
    </row>
    <row r="88" customFormat="false" ht="13.5" hidden="false" customHeight="false" outlineLevel="0" collapsed="false">
      <c r="A88" s="1027"/>
      <c r="B88" s="1028"/>
      <c r="C88" s="1028"/>
      <c r="D88" s="1028"/>
      <c r="E88" s="1028"/>
      <c r="F88" s="1028"/>
      <c r="G88" s="1028"/>
      <c r="H88" s="1028"/>
      <c r="I88" s="1028"/>
      <c r="J88" s="1028"/>
      <c r="K88" s="1028"/>
      <c r="L88" s="1028"/>
      <c r="M88" s="1028"/>
      <c r="N88" s="1028"/>
      <c r="O88" s="1028"/>
      <c r="P88" s="1028"/>
      <c r="Q88" s="1028"/>
      <c r="R88" s="1028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8"/>
      <c r="AL88" s="1028"/>
      <c r="AM88" s="1028"/>
      <c r="AN88" s="1028"/>
      <c r="AO88" s="1028"/>
      <c r="AP88" s="1028"/>
      <c r="AQ88" s="1028"/>
      <c r="AR88" s="1028"/>
      <c r="AS88" s="1028"/>
      <c r="AT88" s="1028"/>
      <c r="AU88" s="1028"/>
      <c r="AV88" s="1028"/>
      <c r="AW88" s="1028"/>
      <c r="AX88" s="1028"/>
      <c r="AY88" s="1028"/>
      <c r="AZ88" s="1028"/>
      <c r="BA88" s="1029"/>
    </row>
    <row r="90" customFormat="false" ht="12.75" hidden="false" customHeight="false" outlineLevel="0" collapsed="false">
      <c r="A90" s="388"/>
      <c r="AE90" s="1030"/>
    </row>
    <row r="91" customFormat="false" ht="12.75" hidden="false" customHeight="false" outlineLevel="0" collapsed="false">
      <c r="A91" s="388"/>
    </row>
    <row r="92" customFormat="false" ht="12.75" hidden="false" customHeight="false" outlineLevel="0" collapsed="false">
      <c r="A92" s="388"/>
    </row>
    <row r="93" customFormat="false" ht="12.75" hidden="false" customHeight="false" outlineLevel="0" collapsed="false">
      <c r="A93" s="388"/>
    </row>
    <row r="94" customFormat="false" ht="12.75" hidden="false" customHeight="false" outlineLevel="0" collapsed="false">
      <c r="A94" s="388"/>
    </row>
    <row r="95" customFormat="false" ht="12.75" hidden="false" customHeight="false" outlineLevel="0" collapsed="false">
      <c r="A95" s="388"/>
    </row>
    <row r="96" customFormat="false" ht="12.75" hidden="false" customHeight="false" outlineLevel="0" collapsed="false">
      <c r="A96" s="388"/>
    </row>
    <row r="97" customFormat="false" ht="12.75" hidden="false" customHeight="false" outlineLevel="0" collapsed="false">
      <c r="A97" s="388"/>
    </row>
    <row r="98" customFormat="false" ht="12.75" hidden="false" customHeight="false" outlineLevel="0" collapsed="false">
      <c r="A98" s="388"/>
    </row>
    <row r="99" customFormat="false" ht="12.75" hidden="false" customHeight="false" outlineLevel="0" collapsed="false">
      <c r="A99" s="388"/>
    </row>
    <row r="100" customFormat="false" ht="12.75" hidden="false" customHeight="false" outlineLevel="0" collapsed="false">
      <c r="A100" s="388"/>
    </row>
    <row r="101" customFormat="false" ht="12.75" hidden="false" customHeight="false" outlineLevel="0" collapsed="false">
      <c r="A101" s="388"/>
    </row>
    <row r="102" customFormat="false" ht="12.75" hidden="false" customHeight="false" outlineLevel="0" collapsed="false">
      <c r="A102" s="388"/>
    </row>
    <row r="103" customFormat="false" ht="12.75" hidden="false" customHeight="false" outlineLevel="0" collapsed="false">
      <c r="A103" s="388"/>
    </row>
    <row r="104" customFormat="false" ht="12.75" hidden="false" customHeight="false" outlineLevel="0" collapsed="false">
      <c r="A104" s="388"/>
    </row>
    <row r="105" customFormat="false" ht="12.75" hidden="false" customHeight="false" outlineLevel="0" collapsed="false">
      <c r="A105" s="388"/>
    </row>
    <row r="106" customFormat="false" ht="12.75" hidden="false" customHeight="false" outlineLevel="0" collapsed="false">
      <c r="A106" s="388"/>
    </row>
    <row r="107" customFormat="false" ht="12.75" hidden="false" customHeight="false" outlineLevel="0" collapsed="false">
      <c r="A107" s="388"/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10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4" ySplit="13" topLeftCell="AN56" activePane="bottomRight" state="frozen"/>
      <selection pane="topLeft" activeCell="A1" activeCellId="0" sqref="A1"/>
      <selection pane="topRight" activeCell="AN1" activeCellId="0" sqref="AN1"/>
      <selection pane="bottomLeft" activeCell="A56" activeCellId="0" sqref="A56"/>
      <selection pane="bottomRight" activeCell="E77" activeCellId="0" sqref="E77:AZ7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8" width="20.7"/>
    <col collapsed="false" customWidth="true" hidden="false" outlineLevel="0" max="3" min="2" style="38" width="11.7"/>
    <col collapsed="false" customWidth="true" hidden="false" outlineLevel="0" max="4" min="4" style="38" width="1.7"/>
    <col collapsed="false" customWidth="true" hidden="false" outlineLevel="0" max="28" min="5" style="38" width="9.7"/>
    <col collapsed="false" customWidth="true" hidden="false" outlineLevel="0" max="29" min="29" style="38" width="10.56"/>
    <col collapsed="false" customWidth="true" hidden="false" outlineLevel="0" max="30" min="30" style="38" width="9.7"/>
    <col collapsed="false" customWidth="true" hidden="false" outlineLevel="0" max="31" min="31" style="38" width="10.28"/>
    <col collapsed="false" customWidth="true" hidden="false" outlineLevel="0" max="34" min="32" style="38" width="9.7"/>
    <col collapsed="false" customWidth="true" hidden="false" outlineLevel="0" max="35" min="35" style="38" width="10.28"/>
    <col collapsed="false" customWidth="true" hidden="false" outlineLevel="0" max="52" min="36" style="38" width="9.7"/>
    <col collapsed="false" customWidth="true" hidden="false" outlineLevel="0" max="53" min="53" style="38" width="10.71"/>
    <col collapsed="false" customWidth="false" hidden="false" outlineLevel="0" max="257" min="54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1330</v>
      </c>
      <c r="B4" s="632"/>
      <c r="C4" s="632"/>
      <c r="D4" s="632"/>
      <c r="E4" s="632"/>
      <c r="F4" s="632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8"/>
      <c r="AB5" s="388"/>
      <c r="AC5" s="388"/>
      <c r="AF5" s="388"/>
      <c r="AG5" s="388"/>
      <c r="AH5" s="388"/>
      <c r="AI5" s="388"/>
      <c r="AJ5" s="388"/>
      <c r="AK5" s="388"/>
      <c r="AL5" s="388"/>
      <c r="AM5" s="388"/>
      <c r="AN5" s="388"/>
      <c r="AO5" s="388"/>
      <c r="AP5" s="388"/>
      <c r="AQ5" s="388"/>
      <c r="AR5" s="388"/>
      <c r="AS5" s="388"/>
      <c r="AT5" s="388"/>
      <c r="AU5" s="388"/>
      <c r="AV5" s="388"/>
      <c r="AW5" s="388"/>
      <c r="AX5" s="388"/>
      <c r="AY5" s="388"/>
      <c r="AZ5" s="388"/>
      <c r="BA5" s="388"/>
      <c r="BB5" s="0" t="s">
        <v>762</v>
      </c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3.5" hidden="false" customHeight="false" outlineLevel="0" collapsed="false">
      <c r="A6" s="523" t="s">
        <v>1295</v>
      </c>
      <c r="B6" s="28"/>
      <c r="C6" s="28"/>
      <c r="D6" s="28"/>
      <c r="E6" s="1031" t="n">
        <v>1</v>
      </c>
      <c r="F6" s="33" t="n">
        <f aca="false">E6+1</f>
        <v>2</v>
      </c>
      <c r="G6" s="33" t="n">
        <f aca="false">F6+1</f>
        <v>3</v>
      </c>
      <c r="H6" s="33" t="n">
        <f aca="false">G6+1</f>
        <v>4</v>
      </c>
      <c r="I6" s="33" t="n">
        <f aca="false">H6+1</f>
        <v>5</v>
      </c>
      <c r="J6" s="33" t="n">
        <f aca="false">I6+1</f>
        <v>6</v>
      </c>
      <c r="K6" s="33" t="n">
        <f aca="false">J6+1</f>
        <v>7</v>
      </c>
      <c r="L6" s="33" t="n">
        <f aca="false">K6+1</f>
        <v>8</v>
      </c>
      <c r="M6" s="33" t="n">
        <f aca="false">L6+1</f>
        <v>9</v>
      </c>
      <c r="N6" s="33" t="n">
        <f aca="false">M6+1</f>
        <v>10</v>
      </c>
      <c r="O6" s="33" t="n">
        <f aca="false">N6+1</f>
        <v>11</v>
      </c>
      <c r="P6" s="33" t="n">
        <f aca="false">O6+1</f>
        <v>12</v>
      </c>
      <c r="Q6" s="33" t="n">
        <f aca="false">P6+1</f>
        <v>13</v>
      </c>
      <c r="R6" s="33" t="n">
        <f aca="false">Q6+1</f>
        <v>14</v>
      </c>
      <c r="S6" s="33" t="n">
        <f aca="false">R6+1</f>
        <v>15</v>
      </c>
      <c r="T6" s="33" t="n">
        <f aca="false">S6+1</f>
        <v>16</v>
      </c>
      <c r="U6" s="33" t="n">
        <f aca="false">T6+1</f>
        <v>17</v>
      </c>
      <c r="V6" s="33" t="n">
        <f aca="false">U6+1</f>
        <v>18</v>
      </c>
      <c r="W6" s="33" t="n">
        <f aca="false">V6+1</f>
        <v>19</v>
      </c>
      <c r="X6" s="33" t="n">
        <f aca="false">W6+1</f>
        <v>20</v>
      </c>
      <c r="Y6" s="33" t="n">
        <f aca="false">X6+1</f>
        <v>21</v>
      </c>
      <c r="Z6" s="33" t="n">
        <f aca="false">Y6+1</f>
        <v>22</v>
      </c>
      <c r="AA6" s="33" t="n">
        <f aca="false">Z6+1</f>
        <v>23</v>
      </c>
      <c r="AB6" s="33" t="n">
        <f aca="false">AA6+1</f>
        <v>24</v>
      </c>
      <c r="AC6" s="33" t="n">
        <f aca="false">AB6+1</f>
        <v>25</v>
      </c>
      <c r="AD6" s="33" t="n">
        <f aca="false">AC6+1</f>
        <v>26</v>
      </c>
      <c r="AE6" s="33" t="n">
        <f aca="false">AD6+1</f>
        <v>27</v>
      </c>
      <c r="AF6" s="33" t="n">
        <f aca="false">AE6+1</f>
        <v>28</v>
      </c>
      <c r="AG6" s="33" t="n">
        <f aca="false">AF6+1</f>
        <v>29</v>
      </c>
      <c r="AH6" s="33" t="n">
        <f aca="false">AG6+1</f>
        <v>30</v>
      </c>
      <c r="AI6" s="33" t="n">
        <f aca="false">AH6+1</f>
        <v>31</v>
      </c>
      <c r="AJ6" s="33" t="n">
        <f aca="false">AI6+1</f>
        <v>32</v>
      </c>
      <c r="AK6" s="33" t="n">
        <f aca="false">AJ6+1</f>
        <v>33</v>
      </c>
      <c r="AL6" s="33" t="n">
        <f aca="false">AK6+1</f>
        <v>34</v>
      </c>
      <c r="AM6" s="33" t="n">
        <f aca="false">AL6+1</f>
        <v>35</v>
      </c>
      <c r="AN6" s="33" t="n">
        <f aca="false">AM6+1</f>
        <v>36</v>
      </c>
      <c r="AO6" s="33" t="n">
        <f aca="false">AN6+1</f>
        <v>37</v>
      </c>
      <c r="AP6" s="33" t="n">
        <f aca="false">AO6+1</f>
        <v>38</v>
      </c>
      <c r="AQ6" s="33" t="n">
        <f aca="false">AP6+1</f>
        <v>39</v>
      </c>
      <c r="AR6" s="33" t="n">
        <f aca="false">AQ6+1</f>
        <v>40</v>
      </c>
      <c r="AS6" s="33" t="n">
        <f aca="false">AR6+1</f>
        <v>41</v>
      </c>
      <c r="AT6" s="33" t="n">
        <f aca="false">AS6+1</f>
        <v>42</v>
      </c>
      <c r="AU6" s="33" t="n">
        <f aca="false">AT6+1</f>
        <v>43</v>
      </c>
      <c r="AV6" s="33" t="n">
        <f aca="false">AU6+1</f>
        <v>44</v>
      </c>
      <c r="AW6" s="33" t="n">
        <f aca="false">AV6+1</f>
        <v>45</v>
      </c>
      <c r="AX6" s="33" t="n">
        <f aca="false">AW6+1</f>
        <v>46</v>
      </c>
      <c r="AY6" s="33" t="n">
        <f aca="false">AX6+1</f>
        <v>47</v>
      </c>
      <c r="AZ6" s="33" t="n">
        <f aca="false">AY6+1</f>
        <v>48</v>
      </c>
      <c r="BA6" s="539"/>
      <c r="BB6" s="150" t="s">
        <v>1331</v>
      </c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634" t="s">
        <v>1296</v>
      </c>
      <c r="B7" s="1032"/>
      <c r="C7" s="1032"/>
      <c r="D7" s="1032"/>
      <c r="E7" s="1033" t="n">
        <f aca="false">Startconst</f>
        <v>35765</v>
      </c>
      <c r="F7" s="1033" t="n">
        <f aca="false">EDATE(E7,1)</f>
        <v>35796</v>
      </c>
      <c r="G7" s="1033" t="n">
        <f aca="false">EDATE(F7,1)</f>
        <v>35827</v>
      </c>
      <c r="H7" s="1033" t="n">
        <f aca="false">EDATE(G7,1)</f>
        <v>35855</v>
      </c>
      <c r="I7" s="1033" t="n">
        <f aca="false">EDATE(H7,1)</f>
        <v>35886</v>
      </c>
      <c r="J7" s="1033" t="n">
        <f aca="false">EDATE(I7,1)</f>
        <v>35916</v>
      </c>
      <c r="K7" s="1033" t="n">
        <f aca="false">EDATE(J7,1)</f>
        <v>35947</v>
      </c>
      <c r="L7" s="1033" t="n">
        <f aca="false">EDATE(K7,1)</f>
        <v>35977</v>
      </c>
      <c r="M7" s="1033" t="n">
        <f aca="false">EDATE(L7,1)</f>
        <v>36008</v>
      </c>
      <c r="N7" s="1033" t="n">
        <f aca="false">EDATE(M7,1)</f>
        <v>36039</v>
      </c>
      <c r="O7" s="1033" t="n">
        <f aca="false">EDATE(N7,1)</f>
        <v>36069</v>
      </c>
      <c r="P7" s="1033" t="n">
        <f aca="false">EDATE(O7,1)</f>
        <v>36100</v>
      </c>
      <c r="Q7" s="1033" t="n">
        <f aca="false">EDATE(P7,1)</f>
        <v>36130</v>
      </c>
      <c r="R7" s="1033" t="n">
        <f aca="false">EDATE(Q7,1)</f>
        <v>36161</v>
      </c>
      <c r="S7" s="1033" t="n">
        <f aca="false">EDATE(R7,1)</f>
        <v>36192</v>
      </c>
      <c r="T7" s="1033" t="n">
        <f aca="false">EDATE(S7,1)</f>
        <v>36220</v>
      </c>
      <c r="U7" s="1033" t="n">
        <f aca="false">EDATE(T7,1)</f>
        <v>36251</v>
      </c>
      <c r="V7" s="1033" t="n">
        <f aca="false">EDATE(U7,1)</f>
        <v>36281</v>
      </c>
      <c r="W7" s="1033" t="n">
        <f aca="false">EDATE(V7,1)</f>
        <v>36312</v>
      </c>
      <c r="X7" s="1033" t="n">
        <f aca="false">EDATE(W7,1)</f>
        <v>36342</v>
      </c>
      <c r="Y7" s="1033" t="n">
        <f aca="false">EDATE(X7,1)</f>
        <v>36373</v>
      </c>
      <c r="Z7" s="1033" t="n">
        <f aca="false">EDATE(Y7,1)</f>
        <v>36404</v>
      </c>
      <c r="AA7" s="1033" t="n">
        <f aca="false">EDATE(Z7,1)</f>
        <v>36434</v>
      </c>
      <c r="AB7" s="1033" t="n">
        <f aca="false">EDATE(AA7,1)</f>
        <v>36465</v>
      </c>
      <c r="AC7" s="1033" t="n">
        <f aca="false">EDATE(AB7,1)</f>
        <v>36495</v>
      </c>
      <c r="AD7" s="1033" t="n">
        <f aca="false">EDATE(AC7,1)</f>
        <v>36526</v>
      </c>
      <c r="AE7" s="1033" t="n">
        <f aca="false">EDATE(AD7,1)</f>
        <v>36557</v>
      </c>
      <c r="AF7" s="1033" t="n">
        <f aca="false">EDATE(AE7,1)</f>
        <v>36586</v>
      </c>
      <c r="AG7" s="1033" t="n">
        <f aca="false">EDATE(AF7,1)</f>
        <v>36617</v>
      </c>
      <c r="AH7" s="1033" t="n">
        <f aca="false">EDATE(AG7,1)</f>
        <v>36647</v>
      </c>
      <c r="AI7" s="1033" t="n">
        <f aca="false">EDATE(AH7,1)</f>
        <v>36678</v>
      </c>
      <c r="AJ7" s="1033" t="n">
        <f aca="false">EDATE(AI7,1)</f>
        <v>36708</v>
      </c>
      <c r="AK7" s="1033" t="n">
        <f aca="false">EDATE(AJ7,1)</f>
        <v>36739</v>
      </c>
      <c r="AL7" s="1033" t="n">
        <f aca="false">EDATE(AK7,1)</f>
        <v>36770</v>
      </c>
      <c r="AM7" s="1033" t="n">
        <f aca="false">EDATE(AL7,1)</f>
        <v>36800</v>
      </c>
      <c r="AN7" s="1033" t="n">
        <f aca="false">EDATE(AM7,1)</f>
        <v>36831</v>
      </c>
      <c r="AO7" s="1033" t="n">
        <f aca="false">EDATE(AN7,1)</f>
        <v>36861</v>
      </c>
      <c r="AP7" s="1033" t="n">
        <f aca="false">EDATE(AO7,1)</f>
        <v>36892</v>
      </c>
      <c r="AQ7" s="1033" t="n">
        <f aca="false">EDATE(AP7,1)</f>
        <v>36923</v>
      </c>
      <c r="AR7" s="1033" t="n">
        <f aca="false">EDATE(AQ7,1)</f>
        <v>36951</v>
      </c>
      <c r="AS7" s="1033" t="n">
        <f aca="false">EDATE(AR7,1)</f>
        <v>36982</v>
      </c>
      <c r="AT7" s="1033" t="n">
        <f aca="false">EDATE(AS7,1)</f>
        <v>37012</v>
      </c>
      <c r="AU7" s="1033" t="n">
        <f aca="false">EDATE(AT7,1)</f>
        <v>37043</v>
      </c>
      <c r="AV7" s="1033" t="n">
        <f aca="false">EDATE(AU7,1)</f>
        <v>37073</v>
      </c>
      <c r="AW7" s="1033" t="n">
        <f aca="false">EDATE(AV7,1)</f>
        <v>37104</v>
      </c>
      <c r="AX7" s="1033" t="n">
        <f aca="false">EDATE(AW7,1)</f>
        <v>37135</v>
      </c>
      <c r="AY7" s="1033" t="n">
        <f aca="false">EDATE(AX7,1)</f>
        <v>37165</v>
      </c>
      <c r="AZ7" s="1033" t="n">
        <f aca="false">EDATE(AY7,1)</f>
        <v>37196</v>
      </c>
      <c r="BA7" s="1034" t="s">
        <v>766</v>
      </c>
      <c r="BB7" s="78" t="n">
        <v>1</v>
      </c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23"/>
      <c r="BA8" s="555"/>
      <c r="BB8" s="175" t="n">
        <f aca="false">BB7+1</f>
        <v>2</v>
      </c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</row>
    <row r="9" customFormat="false" ht="12.75" hidden="false" customHeight="false" outlineLevel="0" collapsed="false">
      <c r="A9" s="755"/>
      <c r="B9" s="1035" t="s">
        <v>1332</v>
      </c>
      <c r="C9" s="1036" t="s">
        <v>66</v>
      </c>
      <c r="BA9" s="555"/>
      <c r="BB9" s="175" t="n">
        <f aca="false">BB8+1</f>
        <v>3</v>
      </c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594" t="s">
        <v>1333</v>
      </c>
      <c r="B10" s="788" t="n">
        <f aca="false">Est_Cost1-Est_Idc1-Est_Wh1-Est_Commit1</f>
        <v>317802.691678343</v>
      </c>
      <c r="C10" s="1037" t="n">
        <f aca="false">Est_Cost1</f>
        <v>343894.503188736</v>
      </c>
      <c r="BA10" s="555"/>
      <c r="BB10" s="175" t="n">
        <f aca="false">BB9+1</f>
        <v>4</v>
      </c>
    </row>
    <row r="11" customFormat="false" ht="12.75" hidden="false" customHeight="false" outlineLevel="0" collapsed="false">
      <c r="A11" s="594" t="s">
        <v>1334</v>
      </c>
      <c r="B11" s="595"/>
      <c r="C11" s="1038" t="n">
        <f aca="false">Int_BL</f>
        <v>0.06</v>
      </c>
      <c r="BA11" s="555"/>
      <c r="BB11" s="175" t="n">
        <f aca="false">BB10+1</f>
        <v>5</v>
      </c>
    </row>
    <row r="12" customFormat="false" ht="12.75" hidden="false" customHeight="false" outlineLevel="0" collapsed="false">
      <c r="A12" s="594" t="s">
        <v>1335</v>
      </c>
      <c r="B12" s="595"/>
      <c r="C12" s="1038" t="n">
        <f aca="false">Assm!$AB$74</f>
        <v>0.0818452963533789</v>
      </c>
      <c r="BA12" s="555"/>
      <c r="BB12" s="175" t="n">
        <f aca="false">BB11+1</f>
        <v>6</v>
      </c>
    </row>
    <row r="13" customFormat="false" ht="12.75" hidden="false" customHeight="false" outlineLevel="0" collapsed="false">
      <c r="A13" s="601" t="s">
        <v>1336</v>
      </c>
      <c r="B13" s="602"/>
      <c r="C13" s="1039" t="n">
        <f aca="false">Assm!$AB$59</f>
        <v>0.13</v>
      </c>
      <c r="BA13" s="555"/>
      <c r="BB13" s="175" t="n">
        <f aca="false">BB12+1</f>
        <v>7</v>
      </c>
    </row>
    <row r="14" customFormat="false" ht="12.75" hidden="false" customHeight="false" outlineLevel="0" collapsed="false">
      <c r="A14" s="37" t="s">
        <v>49</v>
      </c>
      <c r="BA14" s="555"/>
      <c r="BB14" s="175" t="n">
        <f aca="false">BB13+1</f>
        <v>8</v>
      </c>
    </row>
    <row r="15" customFormat="false" ht="12.75" hidden="false" customHeight="false" outlineLevel="0" collapsed="false">
      <c r="A15" s="130" t="s">
        <v>1337</v>
      </c>
      <c r="BA15" s="555"/>
      <c r="BB15" s="175" t="n">
        <f aca="false">BB14+1</f>
        <v>9</v>
      </c>
    </row>
    <row r="16" customFormat="false" ht="12.75" hidden="false" customHeight="false" outlineLevel="0" collapsed="false">
      <c r="A16" s="37" t="s">
        <v>1338</v>
      </c>
      <c r="E16" s="189" t="n">
        <v>0</v>
      </c>
      <c r="F16" s="217" t="n">
        <f aca="false">E21</f>
        <v>7598.20788530466</v>
      </c>
      <c r="G16" s="217" t="n">
        <f aca="false">F21</f>
        <v>7598.20788530466</v>
      </c>
      <c r="H16" s="217" t="n">
        <f aca="false">G21</f>
        <v>10236.7303127453</v>
      </c>
      <c r="I16" s="217" t="n">
        <f aca="false">H21</f>
        <v>19647.4603039502</v>
      </c>
      <c r="J16" s="217" t="n">
        <f aca="false">I21</f>
        <v>32586.1246396146</v>
      </c>
      <c r="K16" s="217" t="n">
        <f aca="false">J21</f>
        <v>37846.994204832</v>
      </c>
      <c r="L16" s="217" t="n">
        <f aca="false">K21</f>
        <v>56602.4064779521</v>
      </c>
      <c r="M16" s="217" t="n">
        <f aca="false">L21</f>
        <v>62363.3695046073</v>
      </c>
      <c r="N16" s="217" t="n">
        <f aca="false">M21</f>
        <v>68055.8079073261</v>
      </c>
      <c r="O16" s="217" t="n">
        <f aca="false">N21</f>
        <v>89223.9318533632</v>
      </c>
      <c r="P16" s="217" t="n">
        <f aca="false">O21</f>
        <v>95296.2871791436</v>
      </c>
      <c r="Q16" s="217" t="n">
        <f aca="false">P21</f>
        <v>104791.812153777</v>
      </c>
      <c r="R16" s="217" t="n">
        <f aca="false">Q21</f>
        <v>119281.173621676</v>
      </c>
      <c r="S16" s="217" t="n">
        <f aca="false">R21</f>
        <v>120965.916984564</v>
      </c>
      <c r="T16" s="217" t="n">
        <f aca="false">S21</f>
        <v>121131.636671503</v>
      </c>
      <c r="U16" s="217" t="n">
        <f aca="false">T21</f>
        <v>123223.366199126</v>
      </c>
      <c r="V16" s="217" t="n">
        <f aca="false">U21</f>
        <v>150142.123740583</v>
      </c>
      <c r="W16" s="217" t="n">
        <f aca="false">V21</f>
        <v>150479.468173146</v>
      </c>
      <c r="X16" s="217" t="n">
        <f aca="false">W21</f>
        <v>169141.177292298</v>
      </c>
      <c r="Y16" s="217" t="n">
        <f aca="false">X21</f>
        <v>172119.250364292</v>
      </c>
      <c r="Z16" s="217" t="n">
        <f aca="false">Y21</f>
        <v>172585.872012288</v>
      </c>
      <c r="AA16" s="217" t="n">
        <f aca="false">Z21</f>
        <v>174867.588103809</v>
      </c>
      <c r="AB16" s="217" t="n">
        <f aca="false">AA21</f>
        <v>177253.084030292</v>
      </c>
      <c r="AC16" s="217" t="n">
        <f aca="false">AB21</f>
        <v>178586.552673888</v>
      </c>
      <c r="AD16" s="217" t="n">
        <f aca="false">AC21</f>
        <v>178676.173397976</v>
      </c>
      <c r="AE16" s="217" t="n">
        <f aca="false">AD21</f>
        <v>180393.834480569</v>
      </c>
      <c r="AF16" s="217" t="n">
        <f aca="false">AE21</f>
        <v>180819.858915725</v>
      </c>
      <c r="AG16" s="217" t="n">
        <f aca="false">AF21</f>
        <v>179548.437812222</v>
      </c>
      <c r="AH16" s="217" t="n">
        <f aca="false">AG21</f>
        <v>193668.645876142</v>
      </c>
      <c r="AI16" s="217" t="n">
        <f aca="false">AH21</f>
        <v>195335.149281613</v>
      </c>
      <c r="AJ16" s="217" t="n">
        <f aca="false">AI21</f>
        <v>197011.455648293</v>
      </c>
      <c r="AK16" s="217" t="n">
        <f aca="false">AJ21</f>
        <v>202410.603520647</v>
      </c>
      <c r="AL16" s="217" t="n">
        <f aca="false">AK21</f>
        <v>223242.039265914</v>
      </c>
      <c r="AM16" s="217" t="n">
        <f aca="false">AL21</f>
        <v>255043.139761816</v>
      </c>
      <c r="AN16" s="217" t="n">
        <f aca="false">AM21</f>
        <v>257434.294942933</v>
      </c>
      <c r="AO16" s="217" t="n">
        <f aca="false">AN21</f>
        <v>259844.022437094</v>
      </c>
      <c r="AP16" s="217" t="n">
        <f aca="false">AO21</f>
        <v>281403.934687281</v>
      </c>
      <c r="AQ16" s="217" t="n">
        <f aca="false">AP21</f>
        <v>283999.836485974</v>
      </c>
      <c r="AR16" s="217" t="n">
        <f aca="false">AQ21</f>
        <v>286615.900882735</v>
      </c>
      <c r="AS16" s="217" t="n">
        <f aca="false">AR21</f>
        <v>289252.28448224</v>
      </c>
      <c r="AT16" s="217" t="n">
        <f aca="false">AS21</f>
        <v>311040.61329572</v>
      </c>
      <c r="AU16" s="217" t="n">
        <f aca="false">AT21</f>
        <v>313866.705789284</v>
      </c>
      <c r="AV16" s="217" t="n">
        <f aca="false">AU21</f>
        <v>316714.748792333</v>
      </c>
      <c r="AW16" s="217" t="n">
        <f aca="false">AV21</f>
        <v>319584.912796407</v>
      </c>
      <c r="AX16" s="217" t="n">
        <f aca="false">AW21</f>
        <v>343894.503188736</v>
      </c>
      <c r="AY16" s="217" t="n">
        <f aca="false">AX21</f>
        <v>343894.503188736</v>
      </c>
      <c r="AZ16" s="217" t="n">
        <f aca="false">AY21</f>
        <v>343894.503188736</v>
      </c>
      <c r="BA16" s="574" t="n">
        <f aca="false">E16</f>
        <v>0</v>
      </c>
      <c r="BB16" s="175" t="n">
        <f aca="false">BB15+1</f>
        <v>10</v>
      </c>
    </row>
    <row r="17" customFormat="false" ht="12.75" hidden="false" customHeight="false" outlineLevel="0" collapsed="false">
      <c r="A17" s="37" t="s">
        <v>1339</v>
      </c>
      <c r="E17" s="217" t="n">
        <f aca="false">Drawdown!E46</f>
        <v>7598.20788530466</v>
      </c>
      <c r="F17" s="217" t="n">
        <f aca="false">Drawdown!F46</f>
        <v>0</v>
      </c>
      <c r="G17" s="217" t="n">
        <f aca="false">Drawdown!G46</f>
        <v>2638.52242744063</v>
      </c>
      <c r="H17" s="217" t="n">
        <f aca="false">Drawdown!H46</f>
        <v>9410.72999120493</v>
      </c>
      <c r="I17" s="217" t="n">
        <f aca="false">Drawdown!I46</f>
        <v>12938.6643356643</v>
      </c>
      <c r="J17" s="217" t="n">
        <f aca="false">Drawdown!J46</f>
        <v>5260.86956521739</v>
      </c>
      <c r="K17" s="217" t="n">
        <f aca="false">Drawdown!K46</f>
        <v>18755.4122731201</v>
      </c>
      <c r="L17" s="217" t="n">
        <f aca="false">Drawdown!L46</f>
        <v>5760.9630266552</v>
      </c>
      <c r="M17" s="217" t="n">
        <f aca="false">Drawdown!M46</f>
        <v>5692.43840271878</v>
      </c>
      <c r="N17" s="217" t="n">
        <f aca="false">Drawdown!N46</f>
        <v>21168.1239460371</v>
      </c>
      <c r="O17" s="217" t="n">
        <f aca="false">Drawdown!O46</f>
        <v>6065.01597981497</v>
      </c>
      <c r="P17" s="217" t="n">
        <f aca="false">Drawdown!P46</f>
        <v>9453.00016840687</v>
      </c>
      <c r="Q17" s="217" t="n">
        <f aca="false">Drawdown!Q46</f>
        <v>14376.499751285</v>
      </c>
      <c r="R17" s="217" t="n">
        <f aca="false">Drawdown!R46</f>
        <v>1524.45025380711</v>
      </c>
      <c r="S17" s="217" t="n">
        <f aca="false">Drawdown!S46</f>
        <v>0</v>
      </c>
      <c r="T17" s="217" t="n">
        <f aca="false">Drawdown!T46</f>
        <v>1919.38975501114</v>
      </c>
      <c r="U17" s="217" t="n">
        <f aca="false">Drawdown!U46</f>
        <v>26661.3430267062</v>
      </c>
      <c r="V17" s="217" t="n">
        <f aca="false">Drawdown!V46</f>
        <v>0</v>
      </c>
      <c r="W17" s="217" t="n">
        <f aca="false">Drawdown!W46</f>
        <v>18268.6489870248</v>
      </c>
      <c r="X17" s="217" t="n">
        <f aca="false">Drawdown!X46</f>
        <v>2521.55316804408</v>
      </c>
      <c r="Y17" s="217" t="n">
        <f aca="false">Drawdown!Y46</f>
        <v>0</v>
      </c>
      <c r="Z17" s="217" t="n">
        <f aca="false">Drawdown!Z46</f>
        <v>1807.03480206003</v>
      </c>
      <c r="AA17" s="217" t="n">
        <f aca="false">Drawdown!AA46</f>
        <v>1897.12779825909</v>
      </c>
      <c r="AB17" s="217" t="n">
        <f aca="false">Drawdown!AB46</f>
        <v>834.19446091434</v>
      </c>
      <c r="AC17" s="217" t="n">
        <f aca="false">Drawdown!AC46</f>
        <v>-413.826741196199</v>
      </c>
      <c r="AD17" s="217" t="n">
        <f aca="false">Drawdown!AD46</f>
        <v>1208.91367066134</v>
      </c>
      <c r="AE17" s="217" t="n">
        <f aca="false">Drawdown!AE46</f>
        <v>-89.0094445693725</v>
      </c>
      <c r="AF17" s="217" t="n">
        <f aca="false">Drawdown!AF46</f>
        <v>-1783.9758141132</v>
      </c>
      <c r="AG17" s="217" t="n">
        <f aca="false">Drawdown!AG46</f>
        <v>13569.9736261521</v>
      </c>
      <c r="AH17" s="217" t="n">
        <f aca="false">Drawdown!AH46</f>
        <v>1069.97362615215</v>
      </c>
      <c r="AI17" s="217" t="n">
        <f aca="false">Drawdown!AI46</f>
        <v>1069.97362615215</v>
      </c>
      <c r="AJ17" s="217" t="n">
        <f aca="false">Drawdown!AJ46</f>
        <v>4772.06599916007</v>
      </c>
      <c r="AK17" s="217" t="n">
        <f aca="false">Drawdown!AK46</f>
        <v>20127.4313394696</v>
      </c>
      <c r="AL17" s="217" t="n">
        <f aca="false">Drawdown!AL46</f>
        <v>30597.490424818</v>
      </c>
      <c r="AM17" s="217" t="n">
        <f aca="false">Drawdown!AM46</f>
        <v>1069.97362615215</v>
      </c>
      <c r="AN17" s="217" t="n">
        <f aca="false">Drawdown!AN46</f>
        <v>1069.97362615215</v>
      </c>
      <c r="AO17" s="217" t="n">
        <f aca="false">Drawdown!AO46</f>
        <v>20127.4313394696</v>
      </c>
      <c r="AP17" s="217" t="n">
        <f aca="false">Drawdown!AP46</f>
        <v>1069.97362615215</v>
      </c>
      <c r="AQ17" s="217" t="n">
        <f aca="false">Drawdown!AQ46</f>
        <v>1069.97362615215</v>
      </c>
      <c r="AR17" s="217" t="n">
        <f aca="false">Drawdown!AR46</f>
        <v>1069.97362615215</v>
      </c>
      <c r="AS17" s="217" t="n">
        <f aca="false">Drawdown!AS46</f>
        <v>20127.4313394696</v>
      </c>
      <c r="AT17" s="217" t="n">
        <f aca="false">Drawdown!AT46</f>
        <v>1069.97362615215</v>
      </c>
      <c r="AU17" s="217" t="n">
        <f aca="false">Drawdown!AU46</f>
        <v>1069.97362615215</v>
      </c>
      <c r="AV17" s="217" t="n">
        <f aca="false">Drawdown!AV46</f>
        <v>1069.97362615215</v>
      </c>
      <c r="AW17" s="217" t="n">
        <f aca="false">Drawdown!AW46</f>
        <v>24306.8396728029</v>
      </c>
      <c r="AX17" s="217" t="n">
        <f aca="false">Drawdown!AX46</f>
        <v>0</v>
      </c>
      <c r="AY17" s="217" t="n">
        <f aca="false">Drawdown!AY46</f>
        <v>0</v>
      </c>
      <c r="AZ17" s="217" t="n">
        <f aca="false">Drawdown!AZ46</f>
        <v>0</v>
      </c>
      <c r="BA17" s="574" t="n">
        <f aca="false">SUM(E17:AZ17)</f>
        <v>317802.691678343</v>
      </c>
      <c r="BB17" s="175" t="n">
        <f aca="false">BB16+1</f>
        <v>11</v>
      </c>
    </row>
    <row r="18" customFormat="false" ht="12.75" hidden="false" customHeight="false" outlineLevel="0" collapsed="false">
      <c r="A18" s="37" t="s">
        <v>82</v>
      </c>
      <c r="E18" s="217" t="n">
        <f aca="false">E54</f>
        <v>0</v>
      </c>
      <c r="F18" s="217" t="n">
        <f aca="false">F54</f>
        <v>0</v>
      </c>
      <c r="G18" s="217" t="n">
        <f aca="false">G54</f>
        <v>0</v>
      </c>
      <c r="H18" s="217" t="n">
        <f aca="false">H54</f>
        <v>0</v>
      </c>
      <c r="I18" s="217" t="n">
        <f aca="false">I54</f>
        <v>0</v>
      </c>
      <c r="J18" s="217" t="n">
        <f aca="false">J54</f>
        <v>0</v>
      </c>
      <c r="K18" s="217" t="n">
        <f aca="false">K54</f>
        <v>0</v>
      </c>
      <c r="L18" s="217" t="n">
        <f aca="false">L54</f>
        <v>0</v>
      </c>
      <c r="M18" s="217" t="n">
        <f aca="false">M54</f>
        <v>0</v>
      </c>
      <c r="N18" s="217" t="n">
        <f aca="false">N54</f>
        <v>0</v>
      </c>
      <c r="O18" s="217" t="n">
        <f aca="false">O54</f>
        <v>6.2384440706476</v>
      </c>
      <c r="P18" s="217" t="n">
        <f aca="false">P54</f>
        <v>36.1460852921397</v>
      </c>
      <c r="Q18" s="217" t="n">
        <f aca="false">Q54</f>
        <v>95.9324591224997</v>
      </c>
      <c r="R18" s="217" t="n">
        <f aca="false">R54</f>
        <v>136.249142718304</v>
      </c>
      <c r="S18" s="217" t="n">
        <f aca="false">S54</f>
        <v>140.861733898223</v>
      </c>
      <c r="T18" s="217" t="n">
        <f aca="false">T54</f>
        <v>146.488806720446</v>
      </c>
      <c r="U18" s="217" t="n">
        <f aca="false">U54</f>
        <v>218.802337537801</v>
      </c>
      <c r="V18" s="217" t="n">
        <f aca="false">V54</f>
        <v>286.742767678319</v>
      </c>
      <c r="W18" s="217" t="n">
        <f aca="false">W54</f>
        <v>334.101112308694</v>
      </c>
      <c r="X18" s="217" t="n">
        <f aca="false">X54</f>
        <v>388.041918357006</v>
      </c>
      <c r="Y18" s="217" t="n">
        <f aca="false">Y54</f>
        <v>396.628400796863</v>
      </c>
      <c r="Z18" s="217" t="n">
        <f aca="false">Z54</f>
        <v>403.479096041995</v>
      </c>
      <c r="AA18" s="217" t="n">
        <f aca="false">AA54</f>
        <v>415.112908990098</v>
      </c>
      <c r="AB18" s="217" t="n">
        <f aca="false">AB54</f>
        <v>424.38305527915</v>
      </c>
      <c r="AC18" s="217" t="n">
        <f aca="false">AC54</f>
        <v>427.930345491852</v>
      </c>
      <c r="AD18" s="217" t="n">
        <f aca="false">AD54</f>
        <v>432.435300141938</v>
      </c>
      <c r="AE18" s="217" t="n">
        <f aca="false">AE54</f>
        <v>437.778797766826</v>
      </c>
      <c r="AF18" s="217" t="n">
        <f aca="false">AF54</f>
        <v>435.671504018748</v>
      </c>
      <c r="AG18" s="217" t="n">
        <f aca="false">AG54</f>
        <v>467.699272101897</v>
      </c>
      <c r="AH18" s="217" t="n">
        <f aca="false">AH54</f>
        <v>507.050312421493</v>
      </c>
      <c r="AI18" s="217" t="n">
        <f aca="false">AI54</f>
        <v>515.38282944885</v>
      </c>
      <c r="AJ18" s="217" t="n">
        <f aca="false">AJ54</f>
        <v>533.019592214771</v>
      </c>
      <c r="AK18" s="217" t="n">
        <f aca="false">AK54</f>
        <v>598.403744927315</v>
      </c>
      <c r="AL18" s="217" t="n">
        <f aca="false">AL54</f>
        <v>1109.93829328824</v>
      </c>
      <c r="AM18" s="217" t="n">
        <f aca="false">AM54</f>
        <v>1239.68621679476</v>
      </c>
      <c r="AN18" s="217" t="n">
        <f aca="false">AN54</f>
        <v>1257.89606535995</v>
      </c>
      <c r="AO18" s="217" t="n">
        <f aca="false">AO54</f>
        <v>1348.81341107104</v>
      </c>
      <c r="AP18" s="217" t="n">
        <f aca="false">AP54</f>
        <v>1440.43691981956</v>
      </c>
      <c r="AQ18" s="217" t="n">
        <f aca="false">AQ54</f>
        <v>1460.20601678892</v>
      </c>
      <c r="AR18" s="217" t="n">
        <f aca="false">AR54</f>
        <v>1480.12866207685</v>
      </c>
      <c r="AS18" s="217" t="n">
        <f aca="false">AS54</f>
        <v>1572.7721079538</v>
      </c>
      <c r="AT18" s="217" t="n">
        <f aca="false">AT54</f>
        <v>1666.13512364029</v>
      </c>
      <c r="AU18" s="217" t="n">
        <f aca="false">AU54</f>
        <v>1687.65723845134</v>
      </c>
      <c r="AV18" s="217" t="n">
        <f aca="false">AV54</f>
        <v>1709.34651742503</v>
      </c>
      <c r="AW18" s="217" t="n">
        <f aca="false">AW54</f>
        <v>0</v>
      </c>
      <c r="AX18" s="217" t="n">
        <f aca="false">AX54</f>
        <v>0</v>
      </c>
      <c r="AY18" s="217" t="n">
        <f aca="false">AY54</f>
        <v>0</v>
      </c>
      <c r="AZ18" s="217" t="n">
        <f aca="false">AZ54</f>
        <v>0</v>
      </c>
      <c r="BA18" s="574" t="n">
        <f aca="false">SUM(E18:AZ18)</f>
        <v>23757.5965400157</v>
      </c>
      <c r="BB18" s="175" t="n">
        <f aca="false">BB17+1</f>
        <v>12</v>
      </c>
    </row>
    <row r="19" customFormat="false" ht="12.75" hidden="false" customHeight="false" outlineLevel="0" collapsed="false">
      <c r="A19" s="37" t="s">
        <v>1340</v>
      </c>
      <c r="E19" s="217" t="n">
        <f aca="false">E59</f>
        <v>0</v>
      </c>
      <c r="F19" s="217" t="n">
        <f aca="false">F59</f>
        <v>0</v>
      </c>
      <c r="G19" s="217" t="n">
        <f aca="false">G59</f>
        <v>0</v>
      </c>
      <c r="H19" s="217" t="n">
        <f aca="false">H59</f>
        <v>0</v>
      </c>
      <c r="I19" s="217" t="n">
        <f aca="false">I59</f>
        <v>0</v>
      </c>
      <c r="J19" s="217" t="n">
        <f aca="false">J59</f>
        <v>0</v>
      </c>
      <c r="K19" s="217" t="n">
        <f aca="false">K59</f>
        <v>0</v>
      </c>
      <c r="L19" s="217" t="n">
        <f aca="false">L59</f>
        <v>0</v>
      </c>
      <c r="M19" s="217" t="n">
        <f aca="false">M59</f>
        <v>0</v>
      </c>
      <c r="N19" s="217" t="n">
        <f aca="false">N59</f>
        <v>0</v>
      </c>
      <c r="O19" s="217" t="n">
        <f aca="false">O59</f>
        <v>1.10090189482017</v>
      </c>
      <c r="P19" s="217" t="n">
        <f aca="false">P59</f>
        <v>6.37872093390701</v>
      </c>
      <c r="Q19" s="217" t="n">
        <f aca="false">Q59</f>
        <v>16.9292574922058</v>
      </c>
      <c r="R19" s="217" t="n">
        <f aca="false">R59</f>
        <v>24.0439663620536</v>
      </c>
      <c r="S19" s="217" t="n">
        <f aca="false">S59</f>
        <v>24.8579530408629</v>
      </c>
      <c r="T19" s="217" t="n">
        <f aca="false">T59</f>
        <v>25.8509658918435</v>
      </c>
      <c r="U19" s="217" t="n">
        <f aca="false">U59</f>
        <v>38.6121772125532</v>
      </c>
      <c r="V19" s="217" t="n">
        <f aca="false">V59</f>
        <v>50.6016648844092</v>
      </c>
      <c r="W19" s="217" t="n">
        <f aca="false">W59</f>
        <v>58.9590198191813</v>
      </c>
      <c r="X19" s="217" t="n">
        <f aca="false">X59</f>
        <v>68.4779855924128</v>
      </c>
      <c r="Y19" s="217" t="n">
        <f aca="false">Y59</f>
        <v>69.9932471994464</v>
      </c>
      <c r="Z19" s="217" t="n">
        <f aca="false">Z59</f>
        <v>71.2021934191755</v>
      </c>
      <c r="AA19" s="217" t="n">
        <f aca="false">AA59</f>
        <v>73.2552192335468</v>
      </c>
      <c r="AB19" s="217" t="n">
        <f aca="false">AB59</f>
        <v>74.891127402203</v>
      </c>
      <c r="AC19" s="217" t="n">
        <f aca="false">AC59</f>
        <v>75.5171197926798</v>
      </c>
      <c r="AD19" s="217" t="n">
        <f aca="false">AD59</f>
        <v>76.3121117897537</v>
      </c>
      <c r="AE19" s="217" t="n">
        <f aca="false">AE59</f>
        <v>77.2550819588517</v>
      </c>
      <c r="AF19" s="217" t="n">
        <f aca="false">AF59</f>
        <v>76.8832065915438</v>
      </c>
      <c r="AG19" s="217" t="n">
        <f aca="false">AG59</f>
        <v>82.5351656650407</v>
      </c>
      <c r="AH19" s="217" t="n">
        <f aca="false">AH59</f>
        <v>89.4794668979104</v>
      </c>
      <c r="AI19" s="217" t="n">
        <f aca="false">AI59</f>
        <v>90.9499110792089</v>
      </c>
      <c r="AJ19" s="217" t="n">
        <f aca="false">AJ59</f>
        <v>94.0622809790773</v>
      </c>
      <c r="AK19" s="217" t="n">
        <f aca="false">AK59</f>
        <v>105.600660869526</v>
      </c>
      <c r="AL19" s="217" t="n">
        <f aca="false">AL59</f>
        <v>55.2049256340616</v>
      </c>
      <c r="AM19" s="217" t="n">
        <f aca="false">AM59</f>
        <v>61.6581893079652</v>
      </c>
      <c r="AN19" s="217" t="n">
        <f aca="false">AN59</f>
        <v>62.5638913113355</v>
      </c>
      <c r="AO19" s="217" t="n">
        <f aca="false">AO59</f>
        <v>67.08584117033</v>
      </c>
      <c r="AP19" s="217" t="n">
        <f aca="false">AP59</f>
        <v>71.6429134124353</v>
      </c>
      <c r="AQ19" s="217" t="n">
        <f aca="false">AQ59</f>
        <v>72.6261676479594</v>
      </c>
      <c r="AR19" s="217" t="n">
        <f aca="false">AR59</f>
        <v>73.617058905793</v>
      </c>
      <c r="AS19" s="217" t="n">
        <f aca="false">AS59</f>
        <v>78.2248596916986</v>
      </c>
      <c r="AT19" s="217" t="n">
        <f aca="false">AT59</f>
        <v>82.8684496724311</v>
      </c>
      <c r="AU19" s="217" t="n">
        <f aca="false">AU59</f>
        <v>83.9388936374838</v>
      </c>
      <c r="AV19" s="217" t="n">
        <f aca="false">AV59</f>
        <v>85.0176518351599</v>
      </c>
      <c r="AW19" s="217" t="n">
        <f aca="false">AW59</f>
        <v>0</v>
      </c>
      <c r="AX19" s="217" t="n">
        <f aca="false">AX59</f>
        <v>0</v>
      </c>
      <c r="AY19" s="217" t="n">
        <f aca="false">AY59</f>
        <v>0</v>
      </c>
      <c r="AZ19" s="217" t="n">
        <f aca="false">AZ59</f>
        <v>0</v>
      </c>
      <c r="BA19" s="574" t="n">
        <f aca="false">SUM(E19:AZ19)</f>
        <v>2168.19824822887</v>
      </c>
      <c r="BB19" s="175" t="n">
        <f aca="false">BB18+1</f>
        <v>13</v>
      </c>
    </row>
    <row r="20" customFormat="false" ht="12.75" hidden="false" customHeight="false" outlineLevel="0" collapsed="false">
      <c r="A20" s="1009" t="s">
        <v>102</v>
      </c>
      <c r="B20" s="1005"/>
      <c r="C20" s="1005"/>
      <c r="D20" s="1005"/>
      <c r="E20" s="1040" t="n">
        <f aca="false">E106</f>
        <v>0</v>
      </c>
      <c r="F20" s="1040" t="n">
        <f aca="false">F106</f>
        <v>0</v>
      </c>
      <c r="G20" s="1040" t="n">
        <f aca="false">G106</f>
        <v>0</v>
      </c>
      <c r="H20" s="1040" t="n">
        <f aca="false">H106</f>
        <v>0</v>
      </c>
      <c r="I20" s="1040" t="n">
        <f aca="false">I106</f>
        <v>0</v>
      </c>
      <c r="J20" s="1040" t="n">
        <f aca="false">J106</f>
        <v>0</v>
      </c>
      <c r="K20" s="1040" t="n">
        <f aca="false">K106</f>
        <v>0</v>
      </c>
      <c r="L20" s="1040" t="n">
        <f aca="false">L106</f>
        <v>0</v>
      </c>
      <c r="M20" s="1040" t="n">
        <f aca="false">M106</f>
        <v>0</v>
      </c>
      <c r="N20" s="1040" t="n">
        <f aca="false">N106</f>
        <v>0</v>
      </c>
      <c r="O20" s="1040" t="n">
        <f aca="false">O106</f>
        <v>0</v>
      </c>
      <c r="P20" s="1040" t="n">
        <f aca="false">P106</f>
        <v>0</v>
      </c>
      <c r="Q20" s="1040" t="n">
        <f aca="false">Q106</f>
        <v>0</v>
      </c>
      <c r="R20" s="1040" t="n">
        <f aca="false">R106</f>
        <v>0</v>
      </c>
      <c r="S20" s="1040" t="n">
        <f aca="false">S106</f>
        <v>0</v>
      </c>
      <c r="T20" s="1040" t="n">
        <f aca="false">T106</f>
        <v>0</v>
      </c>
      <c r="U20" s="1040" t="n">
        <f aca="false">U106</f>
        <v>0</v>
      </c>
      <c r="V20" s="1040" t="n">
        <f aca="false">V106</f>
        <v>0</v>
      </c>
      <c r="W20" s="1040" t="n">
        <f aca="false">W106</f>
        <v>0</v>
      </c>
      <c r="X20" s="1040" t="n">
        <f aca="false">X106</f>
        <v>0</v>
      </c>
      <c r="Y20" s="1040" t="n">
        <f aca="false">Y106</f>
        <v>0</v>
      </c>
      <c r="Z20" s="1040" t="n">
        <f aca="false">Z106</f>
        <v>0</v>
      </c>
      <c r="AA20" s="1040" t="n">
        <f aca="false">AA106</f>
        <v>0</v>
      </c>
      <c r="AB20" s="1040" t="n">
        <f aca="false">AB106</f>
        <v>0</v>
      </c>
      <c r="AC20" s="1040" t="n">
        <f aca="false">AC106</f>
        <v>0</v>
      </c>
      <c r="AD20" s="1040" t="n">
        <f aca="false">AD106</f>
        <v>0</v>
      </c>
      <c r="AE20" s="1040" t="n">
        <f aca="false">AE106</f>
        <v>0</v>
      </c>
      <c r="AF20" s="1040" t="n">
        <f aca="false">AF106</f>
        <v>0</v>
      </c>
      <c r="AG20" s="1040" t="n">
        <f aca="false">AG106</f>
        <v>0</v>
      </c>
      <c r="AH20" s="1040" t="n">
        <f aca="false">AH106</f>
        <v>0</v>
      </c>
      <c r="AI20" s="1040" t="n">
        <f aca="false">AI106</f>
        <v>0</v>
      </c>
      <c r="AJ20" s="1040" t="n">
        <f aca="false">AJ106</f>
        <v>0</v>
      </c>
      <c r="AK20" s="1040" t="n">
        <f aca="false">AK106</f>
        <v>0</v>
      </c>
      <c r="AL20" s="1040" t="n">
        <f aca="false">AL106</f>
        <v>38.4668521623525</v>
      </c>
      <c r="AM20" s="1040" t="n">
        <f aca="false">AM106</f>
        <v>19.8371488620169</v>
      </c>
      <c r="AN20" s="1040" t="n">
        <f aca="false">AN106</f>
        <v>19.2939113370215</v>
      </c>
      <c r="AO20" s="1040" t="n">
        <f aca="false">AO106</f>
        <v>16.5816584763535</v>
      </c>
      <c r="AP20" s="1040" t="n">
        <f aca="false">AP106</f>
        <v>13.8483393086639</v>
      </c>
      <c r="AQ20" s="1040" t="n">
        <f aca="false">AQ106</f>
        <v>13.2585861720254</v>
      </c>
      <c r="AR20" s="1040" t="n">
        <f aca="false">AR106</f>
        <v>12.6642523707949</v>
      </c>
      <c r="AS20" s="1040" t="n">
        <f aca="false">AS106</f>
        <v>9.90050636461088</v>
      </c>
      <c r="AT20" s="1040" t="n">
        <f aca="false">AT106</f>
        <v>7.11529409960551</v>
      </c>
      <c r="AU20" s="1040" t="n">
        <f aca="false">AU106</f>
        <v>6.47324480739058</v>
      </c>
      <c r="AV20" s="1040" t="n">
        <f aca="false">AV106</f>
        <v>5.82620866173401</v>
      </c>
      <c r="AW20" s="1040" t="n">
        <f aca="false">AW106</f>
        <v>2.75071952630461</v>
      </c>
      <c r="AX20" s="1040" t="n">
        <f aca="false">AX106</f>
        <v>9.85653661358401E-014</v>
      </c>
      <c r="AY20" s="1040" t="n">
        <f aca="false">AY106</f>
        <v>9.85653661358401E-014</v>
      </c>
      <c r="AZ20" s="1040" t="n">
        <f aca="false">AZ106</f>
        <v>9.85653661358401E-014</v>
      </c>
      <c r="BA20" s="1041" t="n">
        <f aca="false">SUM(E20:AZ20)</f>
        <v>166.016722148875</v>
      </c>
      <c r="BB20" s="1042" t="n">
        <f aca="false">BB19+1</f>
        <v>14</v>
      </c>
      <c r="BC20" s="1043"/>
      <c r="BD20" s="1043"/>
      <c r="BE20" s="1043"/>
      <c r="BF20" s="1043"/>
      <c r="BG20" s="1043"/>
      <c r="BH20" s="1043"/>
      <c r="BI20" s="1043"/>
      <c r="BJ20" s="1043"/>
      <c r="BK20" s="1043"/>
      <c r="BL20" s="1043"/>
      <c r="BM20" s="1043"/>
      <c r="BN20" s="1043"/>
      <c r="BO20" s="1043"/>
      <c r="BP20" s="1043"/>
      <c r="BQ20" s="1043"/>
      <c r="BR20" s="1043"/>
      <c r="BS20" s="1043"/>
      <c r="BT20" s="1043"/>
      <c r="BU20" s="1043"/>
      <c r="BV20" s="1043"/>
      <c r="BW20" s="1043"/>
      <c r="BX20" s="1043"/>
      <c r="BY20" s="1043"/>
      <c r="BZ20" s="1043"/>
      <c r="CA20" s="1043"/>
      <c r="CB20" s="1043"/>
      <c r="CC20" s="1043"/>
      <c r="CD20" s="1043"/>
      <c r="CE20" s="1043"/>
      <c r="CF20" s="1043"/>
      <c r="CG20" s="1043"/>
      <c r="CH20" s="1043"/>
      <c r="CI20" s="1043"/>
      <c r="CJ20" s="1043"/>
      <c r="CK20" s="1043"/>
      <c r="CL20" s="1043"/>
      <c r="CM20" s="1043"/>
      <c r="CN20" s="1043"/>
      <c r="CO20" s="1043"/>
      <c r="CP20" s="1043"/>
      <c r="CQ20" s="1043"/>
      <c r="CR20" s="1043"/>
      <c r="CS20" s="1043"/>
      <c r="CT20" s="1043"/>
      <c r="CU20" s="1043"/>
      <c r="CV20" s="1043"/>
      <c r="CW20" s="1043"/>
      <c r="CX20" s="1043"/>
      <c r="CY20" s="1043"/>
      <c r="CZ20" s="1043"/>
      <c r="DA20" s="1043"/>
      <c r="DB20" s="1043"/>
      <c r="DC20" s="1043"/>
      <c r="DD20" s="1043"/>
      <c r="DE20" s="1043"/>
      <c r="DF20" s="1043"/>
      <c r="DG20" s="1043"/>
      <c r="DH20" s="1043"/>
      <c r="DI20" s="1043"/>
      <c r="DJ20" s="1043"/>
      <c r="DK20" s="1043"/>
      <c r="DL20" s="1043"/>
      <c r="DM20" s="1043"/>
      <c r="DN20" s="1043"/>
      <c r="DO20" s="1043"/>
      <c r="DP20" s="1043"/>
      <c r="DQ20" s="1043"/>
      <c r="DR20" s="1043"/>
      <c r="DS20" s="1043"/>
      <c r="DT20" s="1043"/>
      <c r="DU20" s="1043"/>
      <c r="DV20" s="1043"/>
      <c r="DW20" s="1043"/>
      <c r="DX20" s="1043"/>
      <c r="DY20" s="1043"/>
      <c r="DZ20" s="1043"/>
      <c r="EA20" s="1043"/>
      <c r="EB20" s="1043"/>
      <c r="EC20" s="1043"/>
      <c r="ED20" s="1043"/>
      <c r="EE20" s="1043"/>
      <c r="EF20" s="1043"/>
      <c r="EG20" s="1043"/>
      <c r="EH20" s="1043"/>
      <c r="EI20" s="1043"/>
      <c r="EJ20" s="1043"/>
      <c r="EK20" s="1043"/>
      <c r="EL20" s="1043"/>
      <c r="EM20" s="1043"/>
      <c r="EN20" s="1043"/>
      <c r="EO20" s="1043"/>
      <c r="EP20" s="1043"/>
      <c r="EQ20" s="1043"/>
      <c r="ER20" s="1043"/>
      <c r="ES20" s="1043"/>
      <c r="ET20" s="1043"/>
      <c r="EU20" s="1043"/>
      <c r="EV20" s="1043"/>
      <c r="EW20" s="1043"/>
      <c r="EX20" s="1043"/>
      <c r="EY20" s="1043"/>
      <c r="EZ20" s="1043"/>
      <c r="FA20" s="1043"/>
      <c r="FB20" s="1043"/>
      <c r="FC20" s="1043"/>
      <c r="FD20" s="1043"/>
      <c r="FE20" s="1043"/>
      <c r="FF20" s="1043"/>
      <c r="FG20" s="1043"/>
      <c r="FH20" s="1043"/>
      <c r="FI20" s="1043"/>
      <c r="FJ20" s="1043"/>
      <c r="FK20" s="1043"/>
      <c r="FL20" s="1043"/>
      <c r="FM20" s="1043"/>
      <c r="FN20" s="1043"/>
      <c r="FO20" s="1043"/>
      <c r="FP20" s="1043"/>
      <c r="FQ20" s="1043"/>
      <c r="FR20" s="1043"/>
      <c r="FS20" s="1043"/>
      <c r="FT20" s="1043"/>
      <c r="FU20" s="1043"/>
      <c r="FV20" s="1043"/>
      <c r="FW20" s="1043"/>
      <c r="FX20" s="1043"/>
      <c r="FY20" s="1043"/>
      <c r="FZ20" s="1043"/>
      <c r="GA20" s="1043"/>
      <c r="GB20" s="1043"/>
      <c r="GC20" s="1043"/>
      <c r="GD20" s="1043"/>
      <c r="GE20" s="1043"/>
      <c r="GF20" s="1043"/>
      <c r="GG20" s="1043"/>
      <c r="GH20" s="1043"/>
      <c r="GI20" s="1043"/>
      <c r="GJ20" s="1043"/>
      <c r="GK20" s="1043"/>
      <c r="GL20" s="1043"/>
      <c r="GM20" s="1043"/>
      <c r="GN20" s="1043"/>
      <c r="GO20" s="1043"/>
      <c r="GP20" s="1043"/>
      <c r="GQ20" s="1043"/>
      <c r="GR20" s="1043"/>
      <c r="GS20" s="1043"/>
      <c r="GT20" s="1043"/>
      <c r="GU20" s="1043"/>
      <c r="GV20" s="1043"/>
      <c r="GW20" s="1043"/>
      <c r="GX20" s="1043"/>
      <c r="GY20" s="1043"/>
      <c r="GZ20" s="1043"/>
      <c r="HA20" s="1043"/>
      <c r="HB20" s="1043"/>
      <c r="HC20" s="1043"/>
      <c r="HD20" s="1043"/>
      <c r="HE20" s="1043"/>
      <c r="HF20" s="1043"/>
      <c r="HG20" s="1043"/>
      <c r="HH20" s="1043"/>
      <c r="HI20" s="1043"/>
      <c r="HJ20" s="1043"/>
      <c r="HK20" s="1043"/>
      <c r="HL20" s="1043"/>
      <c r="HM20" s="1043"/>
      <c r="HN20" s="1043"/>
      <c r="HO20" s="1043"/>
      <c r="HP20" s="1043"/>
      <c r="HQ20" s="1043"/>
      <c r="HR20" s="1043"/>
      <c r="HS20" s="1043"/>
      <c r="HT20" s="1043"/>
      <c r="HU20" s="1043"/>
      <c r="HV20" s="1043"/>
      <c r="HW20" s="1043"/>
      <c r="HX20" s="1043"/>
      <c r="HY20" s="1043"/>
      <c r="HZ20" s="1043"/>
      <c r="IA20" s="1043"/>
      <c r="IB20" s="1043"/>
      <c r="IC20" s="1043"/>
      <c r="ID20" s="1043"/>
      <c r="IE20" s="1043"/>
      <c r="IF20" s="1043"/>
      <c r="IG20" s="1043"/>
      <c r="IH20" s="1043"/>
      <c r="II20" s="1043"/>
      <c r="IJ20" s="1043"/>
      <c r="IK20" s="1043"/>
      <c r="IL20" s="1043"/>
      <c r="IM20" s="1043"/>
      <c r="IN20" s="1043"/>
      <c r="IO20" s="1043"/>
      <c r="IP20" s="1043"/>
      <c r="IQ20" s="1043"/>
      <c r="IR20" s="1043"/>
      <c r="IS20" s="1043"/>
      <c r="IT20" s="1043"/>
      <c r="IU20" s="1043"/>
      <c r="IV20" s="1043"/>
      <c r="IW20" s="1043"/>
    </row>
    <row r="21" customFormat="false" ht="12.75" hidden="false" customHeight="false" outlineLevel="0" collapsed="false">
      <c r="A21" s="37" t="s">
        <v>1341</v>
      </c>
      <c r="E21" s="217" t="n">
        <f aca="false">SUM(E16:E20)</f>
        <v>7598.20788530466</v>
      </c>
      <c r="F21" s="217" t="n">
        <f aca="false">SUM(F16:F20)</f>
        <v>7598.20788530466</v>
      </c>
      <c r="G21" s="217" t="n">
        <f aca="false">SUM(G16:G20)</f>
        <v>10236.7303127453</v>
      </c>
      <c r="H21" s="217" t="n">
        <f aca="false">SUM(H16:H20)</f>
        <v>19647.4603039502</v>
      </c>
      <c r="I21" s="217" t="n">
        <f aca="false">SUM(I16:I20)</f>
        <v>32586.1246396146</v>
      </c>
      <c r="J21" s="217" t="n">
        <f aca="false">SUM(J16:J20)</f>
        <v>37846.994204832</v>
      </c>
      <c r="K21" s="217" t="n">
        <f aca="false">SUM(K16:K20)</f>
        <v>56602.4064779521</v>
      </c>
      <c r="L21" s="217" t="n">
        <f aca="false">SUM(L16:L20)</f>
        <v>62363.3695046073</v>
      </c>
      <c r="M21" s="217" t="n">
        <f aca="false">SUM(M16:M20)</f>
        <v>68055.8079073261</v>
      </c>
      <c r="N21" s="217" t="n">
        <f aca="false">SUM(N16:N20)</f>
        <v>89223.9318533632</v>
      </c>
      <c r="O21" s="217" t="n">
        <f aca="false">SUM(O16:O20)</f>
        <v>95296.2871791436</v>
      </c>
      <c r="P21" s="217" t="n">
        <f aca="false">SUM(P16:P20)</f>
        <v>104791.812153777</v>
      </c>
      <c r="Q21" s="217" t="n">
        <f aca="false">SUM(Q16:Q20)</f>
        <v>119281.173621676</v>
      </c>
      <c r="R21" s="217" t="n">
        <f aca="false">SUM(R16:R20)</f>
        <v>120965.916984564</v>
      </c>
      <c r="S21" s="217" t="n">
        <f aca="false">SUM(S16:S20)</f>
        <v>121131.636671503</v>
      </c>
      <c r="T21" s="217" t="n">
        <f aca="false">SUM(T16:T20)</f>
        <v>123223.366199126</v>
      </c>
      <c r="U21" s="217" t="n">
        <f aca="false">SUM(U16:U20)</f>
        <v>150142.123740583</v>
      </c>
      <c r="V21" s="217" t="n">
        <f aca="false">SUM(V16:V20)</f>
        <v>150479.468173146</v>
      </c>
      <c r="W21" s="217" t="n">
        <f aca="false">SUM(W16:W20)</f>
        <v>169141.177292298</v>
      </c>
      <c r="X21" s="217" t="n">
        <f aca="false">SUM(X16:X20)</f>
        <v>172119.250364292</v>
      </c>
      <c r="Y21" s="217" t="n">
        <f aca="false">SUM(Y16:Y20)</f>
        <v>172585.872012288</v>
      </c>
      <c r="Z21" s="217" t="n">
        <f aca="false">SUM(Z16:Z20)</f>
        <v>174867.588103809</v>
      </c>
      <c r="AA21" s="217" t="n">
        <f aca="false">SUM(AA16:AA20)</f>
        <v>177253.084030292</v>
      </c>
      <c r="AB21" s="217" t="n">
        <f aca="false">SUM(AB16:AB20)</f>
        <v>178586.552673888</v>
      </c>
      <c r="AC21" s="217" t="n">
        <f aca="false">SUM(AC16:AC20)</f>
        <v>178676.173397976</v>
      </c>
      <c r="AD21" s="217" t="n">
        <f aca="false">SUM(AD16:AD20)</f>
        <v>180393.834480569</v>
      </c>
      <c r="AE21" s="217" t="n">
        <f aca="false">SUM(AE16:AE20)</f>
        <v>180819.858915725</v>
      </c>
      <c r="AF21" s="217" t="n">
        <f aca="false">SUM(AF16:AF20)</f>
        <v>179548.437812222</v>
      </c>
      <c r="AG21" s="217" t="n">
        <f aca="false">SUM(AG16:AG20)</f>
        <v>193668.645876142</v>
      </c>
      <c r="AH21" s="217" t="n">
        <f aca="false">SUM(AH16:AH20)</f>
        <v>195335.149281613</v>
      </c>
      <c r="AI21" s="217" t="n">
        <f aca="false">SUM(AI16:AI20)</f>
        <v>197011.455648293</v>
      </c>
      <c r="AJ21" s="217" t="n">
        <f aca="false">SUM(AJ16:AJ20)</f>
        <v>202410.603520647</v>
      </c>
      <c r="AK21" s="217" t="n">
        <f aca="false">SUM(AK16:AK20)</f>
        <v>223242.039265914</v>
      </c>
      <c r="AL21" s="217" t="n">
        <f aca="false">SUM(AL16:AL20)</f>
        <v>255043.139761816</v>
      </c>
      <c r="AM21" s="217" t="n">
        <f aca="false">SUM(AM16:AM20)</f>
        <v>257434.294942933</v>
      </c>
      <c r="AN21" s="217" t="n">
        <f aca="false">SUM(AN16:AN20)</f>
        <v>259844.022437094</v>
      </c>
      <c r="AO21" s="217" t="n">
        <f aca="false">SUM(AO16:AO20)</f>
        <v>281403.934687281</v>
      </c>
      <c r="AP21" s="217" t="n">
        <f aca="false">SUM(AP16:AP20)</f>
        <v>283999.836485974</v>
      </c>
      <c r="AQ21" s="217" t="n">
        <f aca="false">SUM(AQ16:AQ20)</f>
        <v>286615.900882735</v>
      </c>
      <c r="AR21" s="217" t="n">
        <f aca="false">SUM(AR16:AR20)</f>
        <v>289252.28448224</v>
      </c>
      <c r="AS21" s="217" t="n">
        <f aca="false">SUM(AS16:AS20)</f>
        <v>311040.61329572</v>
      </c>
      <c r="AT21" s="217" t="n">
        <f aca="false">SUM(AT16:AT20)</f>
        <v>313866.705789284</v>
      </c>
      <c r="AU21" s="217" t="n">
        <f aca="false">SUM(AU16:AU20)</f>
        <v>316714.748792333</v>
      </c>
      <c r="AV21" s="217" t="n">
        <f aca="false">SUM(AV16:AV20)</f>
        <v>319584.912796407</v>
      </c>
      <c r="AW21" s="217" t="n">
        <f aca="false">SUM(AW16:AW20)</f>
        <v>343894.503188736</v>
      </c>
      <c r="AX21" s="217" t="n">
        <f aca="false">SUM(AX16:AX20)</f>
        <v>343894.503188736</v>
      </c>
      <c r="AY21" s="217" t="n">
        <f aca="false">SUM(AY16:AY20)</f>
        <v>343894.503188736</v>
      </c>
      <c r="AZ21" s="217" t="n">
        <f aca="false">SUM(AZ16:AZ20)</f>
        <v>343894.503188736</v>
      </c>
      <c r="BA21" s="574" t="n">
        <f aca="false">SUM(BA16:BA20)</f>
        <v>343894.503188736</v>
      </c>
      <c r="BB21" s="175" t="n">
        <f aca="false">BB20+1</f>
        <v>15</v>
      </c>
      <c r="BC21" s="201"/>
      <c r="BF21" s="201"/>
    </row>
    <row r="22" customFormat="false" ht="12.75" hidden="false" customHeight="false" outlineLevel="0" collapsed="false">
      <c r="A22" s="37" t="s">
        <v>1342</v>
      </c>
      <c r="E22" s="293" t="n">
        <f aca="false">SUM($E17:E17)/$B10</f>
        <v>0.0239085699531929</v>
      </c>
      <c r="F22" s="293" t="n">
        <f aca="false">SUM($E17:F17)/$B10</f>
        <v>0.0239085699531929</v>
      </c>
      <c r="G22" s="293" t="n">
        <f aca="false">SUM($E17:G17)/$B10</f>
        <v>0.0322109616463104</v>
      </c>
      <c r="H22" s="293" t="n">
        <f aca="false">SUM($E17:H17)/$B10</f>
        <v>0.0618228253517625</v>
      </c>
      <c r="I22" s="293" t="n">
        <f aca="false">SUM($E17:I17)/$B10</f>
        <v>0.102535710026635</v>
      </c>
      <c r="J22" s="293" t="n">
        <f aca="false">SUM($E17:J17)/$B10</f>
        <v>0.119089596142055</v>
      </c>
      <c r="K22" s="293" t="n">
        <f aca="false">SUM($E17:K17)/$B10</f>
        <v>0.178105497404789</v>
      </c>
      <c r="L22" s="293" t="n">
        <f aca="false">SUM($E17:L17)/$B10</f>
        <v>0.196232980832419</v>
      </c>
      <c r="M22" s="293" t="n">
        <f aca="false">SUM($E17:M17)/$B10</f>
        <v>0.21414484423627</v>
      </c>
      <c r="N22" s="293" t="n">
        <f aca="false">SUM($E17:N17)/$B10</f>
        <v>0.280752599615076</v>
      </c>
      <c r="O22" s="293" t="n">
        <f aca="false">SUM($E17:O17)/$B10</f>
        <v>0.299836818026774</v>
      </c>
      <c r="P22" s="293" t="n">
        <f aca="false">SUM($E17:P17)/$B10</f>
        <v>0.329581689344524</v>
      </c>
      <c r="Q22" s="293" t="n">
        <f aca="false">SUM($E17:Q17)/$B10</f>
        <v>0.374818876214659</v>
      </c>
      <c r="R22" s="293" t="n">
        <f aca="false">SUM($E17:R17)/$B10</f>
        <v>0.379615721218571</v>
      </c>
      <c r="S22" s="293" t="n">
        <f aca="false">SUM($E17:S17)/$B10</f>
        <v>0.379615721218571</v>
      </c>
      <c r="T22" s="293" t="n">
        <f aca="false">SUM($E17:T17)/$B10</f>
        <v>0.385655285404999</v>
      </c>
      <c r="U22" s="293" t="n">
        <f aca="false">SUM($E17:U17)/$B10</f>
        <v>0.469548039383594</v>
      </c>
      <c r="V22" s="293" t="n">
        <f aca="false">SUM($E17:V17)/$B10</f>
        <v>0.469548039383594</v>
      </c>
      <c r="W22" s="293" t="n">
        <f aca="false">SUM($E17:W17)/$B10</f>
        <v>0.527032288149853</v>
      </c>
      <c r="X22" s="293" t="n">
        <f aca="false">SUM($E17:X17)/$B10</f>
        <v>0.534966623616704</v>
      </c>
      <c r="Y22" s="293" t="n">
        <f aca="false">SUM($E17:Y17)/$B10</f>
        <v>0.534966623616704</v>
      </c>
      <c r="Z22" s="293" t="n">
        <f aca="false">SUM($E17:Z17)/$B10</f>
        <v>0.540652650983297</v>
      </c>
      <c r="AA22" s="293" t="n">
        <f aca="false">SUM($E17:AA17)/$B10</f>
        <v>0.546622165552983</v>
      </c>
      <c r="AB22" s="293" t="n">
        <f aca="false">SUM($E17:AB17)/$B10</f>
        <v>0.549247047225661</v>
      </c>
      <c r="AC22" s="293" t="n">
        <f aca="false">SUM($E17:AC17)/$B10</f>
        <v>0.547944897331931</v>
      </c>
      <c r="AD22" s="293" t="n">
        <f aca="false">SUM($E17:AD17)/$B10</f>
        <v>0.551748872887572</v>
      </c>
      <c r="AE22" s="293" t="n">
        <f aca="false">SUM($E17:AE17)/$B10</f>
        <v>0.551468795195028</v>
      </c>
      <c r="AF22" s="293" t="n">
        <f aca="false">SUM($E17:AF17)/$B10</f>
        <v>0.545855325388678</v>
      </c>
      <c r="AG22" s="293" t="n">
        <f aca="false">SUM($E17:AG17)/$B10</f>
        <v>0.588554691950012</v>
      </c>
      <c r="AH22" s="293" t="n">
        <f aca="false">SUM($E17:AH17)/$B10</f>
        <v>0.591921477865202</v>
      </c>
      <c r="AI22" s="293" t="n">
        <f aca="false">SUM($E17:AI17)/$B10</f>
        <v>0.595288263780392</v>
      </c>
      <c r="AJ22" s="293" t="n">
        <f aca="false">SUM($E17:AJ17)/$B10</f>
        <v>0.610304077441247</v>
      </c>
      <c r="AK22" s="293" t="n">
        <f aca="false">SUM($E17:AK17)/$B10</f>
        <v>0.67363718275</v>
      </c>
      <c r="AL22" s="293" t="n">
        <f aca="false">SUM($E17:AL17)/$B10</f>
        <v>0.769915443526301</v>
      </c>
      <c r="AM22" s="293" t="n">
        <f aca="false">SUM($E17:AM17)/$B10</f>
        <v>0.773282229441491</v>
      </c>
      <c r="AN22" s="293" t="n">
        <f aca="false">SUM($E17:AN17)/$B10</f>
        <v>0.776649015356681</v>
      </c>
      <c r="AO22" s="293" t="n">
        <f aca="false">SUM($E17:AO17)/$B10</f>
        <v>0.839982120665434</v>
      </c>
      <c r="AP22" s="293" t="n">
        <f aca="false">SUM($E17:AP17)/$B10</f>
        <v>0.843348906580624</v>
      </c>
      <c r="AQ22" s="293" t="n">
        <f aca="false">SUM($E17:AQ17)/$B10</f>
        <v>0.846715692495814</v>
      </c>
      <c r="AR22" s="293" t="n">
        <f aca="false">SUM($E17:AR17)/$B10</f>
        <v>0.850082478411004</v>
      </c>
      <c r="AS22" s="293" t="n">
        <f aca="false">SUM($E17:AS17)/$B10</f>
        <v>0.913415583719757</v>
      </c>
      <c r="AT22" s="293" t="n">
        <f aca="false">SUM($E17:AT17)/$B10</f>
        <v>0.916782369634947</v>
      </c>
      <c r="AU22" s="293" t="n">
        <f aca="false">SUM($E17:AU17)/$B10</f>
        <v>0.920149155550137</v>
      </c>
      <c r="AV22" s="293" t="n">
        <f aca="false">SUM($E17:AV17)/$B10</f>
        <v>0.923515941465327</v>
      </c>
      <c r="AW22" s="293" t="n">
        <f aca="false">SUM($E17:AW17)/$B10</f>
        <v>1</v>
      </c>
      <c r="AX22" s="293" t="n">
        <f aca="false">SUM($E17:AX17)/$B10</f>
        <v>1</v>
      </c>
      <c r="AY22" s="293" t="n">
        <f aca="false">SUM($E17:AY17)/$B10</f>
        <v>1</v>
      </c>
      <c r="AZ22" s="293" t="n">
        <f aca="false">SUM($E17:AZ17)/$B10</f>
        <v>1</v>
      </c>
      <c r="BA22" s="555"/>
      <c r="BB22" s="175" t="n">
        <f aca="false">BB21+1</f>
        <v>16</v>
      </c>
    </row>
    <row r="23" customFormat="false" ht="12.75" hidden="false" customHeight="false" outlineLevel="0" collapsed="false">
      <c r="A23" s="37" t="s">
        <v>1343</v>
      </c>
      <c r="E23" s="293" t="n">
        <f aca="false">E21/$C10</f>
        <v>0.0220945895175725</v>
      </c>
      <c r="F23" s="293" t="n">
        <f aca="false">F21/$C10</f>
        <v>0.0220945895175725</v>
      </c>
      <c r="G23" s="293" t="n">
        <f aca="false">G21/$C10</f>
        <v>0.0297670658234603</v>
      </c>
      <c r="H23" s="293" t="n">
        <f aca="false">H21/$C10</f>
        <v>0.0571322313144601</v>
      </c>
      <c r="I23" s="293" t="n">
        <f aca="false">I21/$C10</f>
        <v>0.0947561660260986</v>
      </c>
      <c r="J23" s="293" t="n">
        <f aca="false">J21/$C10</f>
        <v>0.11005408302226</v>
      </c>
      <c r="K23" s="293" t="n">
        <f aca="false">K21/$C10</f>
        <v>0.164592355949602</v>
      </c>
      <c r="L23" s="293" t="n">
        <f aca="false">L21/$C10</f>
        <v>0.181344478979302</v>
      </c>
      <c r="M23" s="293" t="n">
        <f aca="false">M21/$C10</f>
        <v>0.197897341412217</v>
      </c>
      <c r="N23" s="293" t="n">
        <f aca="false">N21/$C10</f>
        <v>0.259451462660906</v>
      </c>
      <c r="O23" s="293" t="n">
        <f aca="false">O21/$C10</f>
        <v>0.277109073554581</v>
      </c>
      <c r="P23" s="293" t="n">
        <f aca="false">P21/$C10</f>
        <v>0.304720811708539</v>
      </c>
      <c r="Q23" s="293" t="n">
        <f aca="false">Q21/$C10</f>
        <v>0.346853969794953</v>
      </c>
      <c r="R23" s="293" t="n">
        <f aca="false">R21/$C10</f>
        <v>0.351752981984057</v>
      </c>
      <c r="S23" s="293" t="n">
        <f aca="false">S21/$C10</f>
        <v>0.35223487304484</v>
      </c>
      <c r="T23" s="293" t="n">
        <f aca="false">T21/$C10</f>
        <v>0.358317347490427</v>
      </c>
      <c r="U23" s="293" t="n">
        <f aca="false">U21/$C10</f>
        <v>0.436593555140897</v>
      </c>
      <c r="V23" s="293" t="n">
        <f aca="false">V21/$C10</f>
        <v>0.43757450839672</v>
      </c>
      <c r="W23" s="293" t="n">
        <f aca="false">W21/$C10</f>
        <v>0.491840304872423</v>
      </c>
      <c r="X23" s="293" t="n">
        <f aca="false">X21/$C10</f>
        <v>0.500500149808528</v>
      </c>
      <c r="Y23" s="293" t="n">
        <f aca="false">Y21/$C10</f>
        <v>0.501857024209455</v>
      </c>
      <c r="Z23" s="293" t="n">
        <f aca="false">Z21/$C10</f>
        <v>0.508491954603411</v>
      </c>
      <c r="AA23" s="293" t="n">
        <f aca="false">AA21/$C10</f>
        <v>0.515428663112455</v>
      </c>
      <c r="AB23" s="293" t="n">
        <f aca="false">AB21/$C10</f>
        <v>0.519306214603482</v>
      </c>
      <c r="AC23" s="293" t="n">
        <f aca="false">AC21/$C10</f>
        <v>0.519566819885792</v>
      </c>
      <c r="AD23" s="293" t="n">
        <f aca="false">AD21/$C10</f>
        <v>0.524561552475776</v>
      </c>
      <c r="AE23" s="293" t="n">
        <f aca="false">AE21/$C10</f>
        <v>0.525800375519488</v>
      </c>
      <c r="AF23" s="293" t="n">
        <f aca="false">AF21/$C10</f>
        <v>0.522103250117036</v>
      </c>
      <c r="AG23" s="293" t="n">
        <f aca="false">AG21/$C10</f>
        <v>0.563162958640989</v>
      </c>
      <c r="AH23" s="293" t="n">
        <f aca="false">AH21/$C10</f>
        <v>0.568008931432118</v>
      </c>
      <c r="AI23" s="293" t="n">
        <f aca="false">AI21/$C10</f>
        <v>0.572883409945548</v>
      </c>
      <c r="AJ23" s="293" t="n">
        <f aca="false">AJ21/$C10</f>
        <v>0.588583422078021</v>
      </c>
      <c r="AK23" s="293" t="n">
        <f aca="false">AK21/$C10</f>
        <v>0.649158498306656</v>
      </c>
      <c r="AL23" s="293" t="n">
        <f aca="false">AL21/$C10</f>
        <v>0.741631917337869</v>
      </c>
      <c r="AM23" s="293" t="n">
        <f aca="false">AM21/$C10</f>
        <v>0.74858508221531</v>
      </c>
      <c r="AN23" s="293" t="n">
        <f aca="false">AN21/$C10</f>
        <v>0.755592252937192</v>
      </c>
      <c r="AO23" s="293" t="n">
        <f aca="false">AO21/$C10</f>
        <v>0.818285643061997</v>
      </c>
      <c r="AP23" s="293" t="n">
        <f aca="false">AP21/$C10</f>
        <v>0.825834184183249</v>
      </c>
      <c r="AQ23" s="293" t="n">
        <f aca="false">AQ21/$C10</f>
        <v>0.833441355488704</v>
      </c>
      <c r="AR23" s="293" t="n">
        <f aca="false">AR21/$C10</f>
        <v>0.84110761236417</v>
      </c>
      <c r="AS23" s="293" t="n">
        <f aca="false">AS21/$C10</f>
        <v>0.904465207822803</v>
      </c>
      <c r="AT23" s="293" t="n">
        <f aca="false">AT21/$C10</f>
        <v>0.912683113219254</v>
      </c>
      <c r="AU23" s="293" t="n">
        <f aca="false">AU21/$C10</f>
        <v>0.920964847811229</v>
      </c>
      <c r="AV23" s="293" t="n">
        <f aca="false">AV21/$C10</f>
        <v>0.929310907365717</v>
      </c>
      <c r="AW23" s="293" t="n">
        <f aca="false">AW21/$C10</f>
        <v>1</v>
      </c>
      <c r="AX23" s="293" t="n">
        <f aca="false">AX21/$C10</f>
        <v>1</v>
      </c>
      <c r="AY23" s="293" t="n">
        <f aca="false">AY21/$C10</f>
        <v>1</v>
      </c>
      <c r="AZ23" s="293" t="n">
        <f aca="false">AZ21/$C10</f>
        <v>1</v>
      </c>
      <c r="BA23" s="555"/>
      <c r="BB23" s="175" t="n">
        <f aca="false">BB22+1</f>
        <v>17</v>
      </c>
    </row>
    <row r="24" customFormat="false" ht="12.75" hidden="false" customHeight="false" outlineLevel="0" collapsed="false">
      <c r="A24" s="37"/>
      <c r="BA24" s="555"/>
      <c r="BB24" s="175" t="n">
        <f aca="false">BB23+1</f>
        <v>18</v>
      </c>
    </row>
    <row r="25" customFormat="false" ht="12.75" hidden="false" customHeight="false" outlineLevel="0" collapsed="false">
      <c r="A25" s="130" t="s">
        <v>1344</v>
      </c>
      <c r="P25" s="656"/>
      <c r="Q25" s="556"/>
      <c r="BA25" s="555"/>
      <c r="BB25" s="175" t="n">
        <f aca="false">BB24+1</f>
        <v>19</v>
      </c>
    </row>
    <row r="26" customFormat="false" ht="12.75" hidden="false" customHeight="false" outlineLevel="0" collapsed="false">
      <c r="A26" s="37" t="s">
        <v>1063</v>
      </c>
      <c r="E26" s="189" t="n">
        <v>0</v>
      </c>
      <c r="F26" s="217" t="n">
        <f aca="false">E31</f>
        <v>0</v>
      </c>
      <c r="G26" s="217" t="n">
        <f aca="false">F31</f>
        <v>0</v>
      </c>
      <c r="H26" s="217" t="n">
        <f aca="false">G31</f>
        <v>0</v>
      </c>
      <c r="I26" s="217" t="n">
        <f aca="false">H31</f>
        <v>0</v>
      </c>
      <c r="J26" s="217" t="n">
        <f aca="false">I31</f>
        <v>0</v>
      </c>
      <c r="K26" s="217" t="n">
        <f aca="false">J31</f>
        <v>0</v>
      </c>
      <c r="L26" s="217" t="n">
        <f aca="false">K31</f>
        <v>0</v>
      </c>
      <c r="M26" s="217" t="n">
        <f aca="false">L31</f>
        <v>0</v>
      </c>
      <c r="N26" s="217" t="n">
        <f aca="false">M31</f>
        <v>0</v>
      </c>
      <c r="O26" s="217" t="n">
        <f aca="false">N31</f>
        <v>0</v>
      </c>
      <c r="P26" s="217" t="n">
        <f aca="false">O31</f>
        <v>2502.71697422451</v>
      </c>
      <c r="Q26" s="217" t="n">
        <f aca="false">P31</f>
        <v>11998.2419488574</v>
      </c>
      <c r="R26" s="217" t="n">
        <f aca="false">Q31</f>
        <v>26487.6034167572</v>
      </c>
      <c r="S26" s="217" t="n">
        <f aca="false">R31</f>
        <v>28172.3467796446</v>
      </c>
      <c r="T26" s="217" t="n">
        <f aca="false">S31</f>
        <v>28338.0664665837</v>
      </c>
      <c r="U26" s="217" t="n">
        <f aca="false">T31</f>
        <v>30429.7959942071</v>
      </c>
      <c r="V26" s="217" t="n">
        <f aca="false">U31</f>
        <v>57348.5535356637</v>
      </c>
      <c r="W26" s="217" t="n">
        <f aca="false">V31</f>
        <v>57685.8979682265</v>
      </c>
      <c r="X26" s="217" t="n">
        <f aca="false">W31</f>
        <v>76347.6070873792</v>
      </c>
      <c r="Y26" s="217" t="n">
        <f aca="false">X31</f>
        <v>79325.6801593726</v>
      </c>
      <c r="Z26" s="217" t="n">
        <f aca="false">Y31</f>
        <v>79792.301807369</v>
      </c>
      <c r="AA26" s="217" t="n">
        <f aca="false">Z31</f>
        <v>82074.0178988902</v>
      </c>
      <c r="AB26" s="217" t="n">
        <f aca="false">AA31</f>
        <v>84459.5138253729</v>
      </c>
      <c r="AC26" s="217" t="n">
        <f aca="false">AB31</f>
        <v>85792.9824689686</v>
      </c>
      <c r="AD26" s="217" t="n">
        <f aca="false">AC31</f>
        <v>85882.6031930569</v>
      </c>
      <c r="AE26" s="217" t="n">
        <f aca="false">AD31</f>
        <v>87600.2642756499</v>
      </c>
      <c r="AF26" s="217" t="n">
        <f aca="false">AE31</f>
        <v>88026.2887108062</v>
      </c>
      <c r="AG26" s="217" t="n">
        <f aca="false">AF31</f>
        <v>86754.8676073033</v>
      </c>
      <c r="AH26" s="217" t="n">
        <f aca="false">AG31</f>
        <v>100875.075671222</v>
      </c>
      <c r="AI26" s="217" t="n">
        <f aca="false">AH31</f>
        <v>102541.579076694</v>
      </c>
      <c r="AJ26" s="217" t="n">
        <f aca="false">AI31</f>
        <v>104217.885443374</v>
      </c>
      <c r="AK26" s="217" t="n">
        <f aca="false">AJ31</f>
        <v>109617.033315728</v>
      </c>
      <c r="AL26" s="217" t="n">
        <f aca="false">AK31</f>
        <v>130448.469060995</v>
      </c>
      <c r="AM26" s="217" t="n">
        <f aca="false">AL31</f>
        <v>0</v>
      </c>
      <c r="AN26" s="217" t="n">
        <f aca="false">AM31</f>
        <v>0</v>
      </c>
      <c r="AO26" s="217" t="n">
        <f aca="false">AN31</f>
        <v>0</v>
      </c>
      <c r="AP26" s="217" t="n">
        <f aca="false">AO31</f>
        <v>0</v>
      </c>
      <c r="AQ26" s="217" t="n">
        <f aca="false">AP31</f>
        <v>0</v>
      </c>
      <c r="AR26" s="217" t="n">
        <f aca="false">AQ31</f>
        <v>0</v>
      </c>
      <c r="AS26" s="217" t="n">
        <f aca="false">AR31</f>
        <v>0</v>
      </c>
      <c r="AT26" s="217" t="n">
        <f aca="false">AS31</f>
        <v>0</v>
      </c>
      <c r="AU26" s="217" t="n">
        <f aca="false">AT31</f>
        <v>0</v>
      </c>
      <c r="AV26" s="217" t="n">
        <f aca="false">AU31</f>
        <v>0</v>
      </c>
      <c r="AW26" s="217" t="n">
        <f aca="false">AV31</f>
        <v>0</v>
      </c>
      <c r="AX26" s="217" t="n">
        <f aca="false">AW31</f>
        <v>0</v>
      </c>
      <c r="AY26" s="217" t="n">
        <f aca="false">AX31</f>
        <v>0</v>
      </c>
      <c r="AZ26" s="217" t="n">
        <f aca="false">AY31</f>
        <v>0</v>
      </c>
      <c r="BA26" s="574" t="n">
        <f aca="false">E26</f>
        <v>0</v>
      </c>
      <c r="BB26" s="175" t="n">
        <f aca="false">BB25+1</f>
        <v>20</v>
      </c>
    </row>
    <row r="27" customFormat="false" ht="12.75" hidden="false" customHeight="false" outlineLevel="0" collapsed="false">
      <c r="A27" s="37" t="s">
        <v>1345</v>
      </c>
      <c r="D27" s="38" t="n">
        <v>0</v>
      </c>
      <c r="E27" s="217" t="n">
        <f aca="false">IF(E$7=Fin_Close,-E26,0)</f>
        <v>0</v>
      </c>
      <c r="F27" s="217" t="n">
        <f aca="false">IF(F$7=Fin_Close,-F26,0)</f>
        <v>0</v>
      </c>
      <c r="G27" s="217" t="n">
        <f aca="false">IF(G$7=Fin_Close,-G26,0)</f>
        <v>0</v>
      </c>
      <c r="H27" s="217" t="n">
        <f aca="false">IF(H$7=Fin_Close,-H26,0)</f>
        <v>0</v>
      </c>
      <c r="I27" s="217" t="n">
        <f aca="false">IF(I$7=Fin_Close,-I26,0)</f>
        <v>0</v>
      </c>
      <c r="J27" s="217" t="n">
        <f aca="false">IF(J$7=Fin_Close,-J26,0)</f>
        <v>0</v>
      </c>
      <c r="K27" s="217" t="n">
        <f aca="false">IF(K$7=Fin_Close,-K26,0)</f>
        <v>0</v>
      </c>
      <c r="L27" s="217" t="n">
        <f aca="false">IF(L$7=Fin_Close,-L26,0)</f>
        <v>0</v>
      </c>
      <c r="M27" s="217" t="n">
        <f aca="false">IF(M$7=Fin_Close,-M26,0)</f>
        <v>0</v>
      </c>
      <c r="N27" s="217" t="n">
        <f aca="false">IF(N$7=Fin_Close,-N26,0)</f>
        <v>0</v>
      </c>
      <c r="O27" s="217" t="n">
        <f aca="false">IF(O$7=Fin_Close,-O26,0)</f>
        <v>0</v>
      </c>
      <c r="P27" s="217" t="n">
        <f aca="false">IF(P$7=Fin_Close,-P26,0)</f>
        <v>0</v>
      </c>
      <c r="Q27" s="217" t="n">
        <f aca="false">IF(Q$7=Fin_Close,-Q26,0)</f>
        <v>0</v>
      </c>
      <c r="R27" s="217" t="n">
        <f aca="false">IF(R$7=Fin_Close,-R26,0)</f>
        <v>0</v>
      </c>
      <c r="S27" s="217" t="n">
        <f aca="false">IF(S$7=Fin_Close,-S26,0)</f>
        <v>0</v>
      </c>
      <c r="T27" s="217" t="n">
        <f aca="false">IF(T$7=Fin_Close,-T26,0)</f>
        <v>0</v>
      </c>
      <c r="U27" s="217" t="n">
        <f aca="false">IF(U$7=Fin_Close,-U26,0)</f>
        <v>0</v>
      </c>
      <c r="V27" s="217" t="n">
        <f aca="false">IF(V$7=Fin_Close,-V26,0)</f>
        <v>0</v>
      </c>
      <c r="W27" s="217" t="n">
        <f aca="false">IF(W$7=Fin_Close,-W26,0)</f>
        <v>0</v>
      </c>
      <c r="X27" s="217" t="n">
        <f aca="false">IF(X$7=Fin_Close,-X26,0)</f>
        <v>0</v>
      </c>
      <c r="Y27" s="217" t="n">
        <f aca="false">IF(Y$7=Fin_Close,-Y26,0)</f>
        <v>0</v>
      </c>
      <c r="Z27" s="217" t="n">
        <f aca="false">IF(Z$7=Fin_Close,-Z26,0)</f>
        <v>0</v>
      </c>
      <c r="AA27" s="217" t="n">
        <f aca="false">IF(AA$7=Fin_Close,-AA26,0)</f>
        <v>0</v>
      </c>
      <c r="AB27" s="217" t="n">
        <f aca="false">IF(AB$7=Fin_Close,-AB26,0)</f>
        <v>0</v>
      </c>
      <c r="AC27" s="217" t="n">
        <f aca="false">IF(AC$7=Fin_Close,-AC26,0)</f>
        <v>0</v>
      </c>
      <c r="AD27" s="217" t="n">
        <f aca="false">IF(AD$7=Fin_Close,-AD26,0)</f>
        <v>0</v>
      </c>
      <c r="AE27" s="217" t="n">
        <f aca="false">IF(AE$7=Fin_Close,-AE26,0)</f>
        <v>0</v>
      </c>
      <c r="AF27" s="217" t="n">
        <f aca="false">IF(AF$7=Fin_Close,-AF26,0)</f>
        <v>0</v>
      </c>
      <c r="AG27" s="217" t="n">
        <f aca="false">IF(AG$7=Fin_Close,-AG26,0)</f>
        <v>0</v>
      </c>
      <c r="AH27" s="217" t="n">
        <f aca="false">IF(AH$7=Fin_Close,-AH26,0)</f>
        <v>0</v>
      </c>
      <c r="AI27" s="217" t="n">
        <f aca="false">IF(AI$7=Fin_Close,-AI26,0)</f>
        <v>0</v>
      </c>
      <c r="AJ27" s="217" t="n">
        <f aca="false">IF(AJ$7=Fin_Close,-AJ26,0)</f>
        <v>0</v>
      </c>
      <c r="AK27" s="217" t="n">
        <f aca="false">IF(AK$7=Fin_Close,-AK26,0)</f>
        <v>0</v>
      </c>
      <c r="AL27" s="217" t="n">
        <f aca="false">IF(AL$7=Fin_Close,-AL26,0)</f>
        <v>-130448.469060995</v>
      </c>
      <c r="AM27" s="217" t="n">
        <f aca="false">IF(AM$7=Fin_Close,-AM26,0)</f>
        <v>0</v>
      </c>
      <c r="AN27" s="217" t="n">
        <f aca="false">IF(AN$7=Fin_Close,-AN26,0)</f>
        <v>0</v>
      </c>
      <c r="AO27" s="217" t="n">
        <f aca="false">IF(AO$7=Fin_Close,-AO26,0)</f>
        <v>0</v>
      </c>
      <c r="AP27" s="217" t="n">
        <f aca="false">IF(AP$7=Fin_Close,-AP26,0)</f>
        <v>0</v>
      </c>
      <c r="AQ27" s="217" t="n">
        <f aca="false">IF(AQ$7=Fin_Close,-AQ26,0)</f>
        <v>0</v>
      </c>
      <c r="AR27" s="217" t="n">
        <f aca="false">IF(AR$7=Fin_Close,-AR26,0)</f>
        <v>0</v>
      </c>
      <c r="AS27" s="217" t="n">
        <f aca="false">IF(AS$7=Fin_Close,-AS26,0)</f>
        <v>0</v>
      </c>
      <c r="AT27" s="217" t="n">
        <f aca="false">IF(AT$7=Fin_Close,-AT26,0)</f>
        <v>0</v>
      </c>
      <c r="AU27" s="217" t="n">
        <f aca="false">IF(AU$7=Fin_Close,-AU26,0)</f>
        <v>0</v>
      </c>
      <c r="AV27" s="217" t="n">
        <f aca="false">IF(AV$7=Fin_Close,-AV26,0)</f>
        <v>0</v>
      </c>
      <c r="AW27" s="217" t="n">
        <f aca="false">IF(AW$7=Fin_Close,-AW26,0)</f>
        <v>0</v>
      </c>
      <c r="AX27" s="217" t="n">
        <f aca="false">IF(AX$7=Fin_Close,-AX26,0)</f>
        <v>0</v>
      </c>
      <c r="AY27" s="217" t="n">
        <f aca="false">IF(AY$7=Fin_Close,-AY26,0)</f>
        <v>0</v>
      </c>
      <c r="AZ27" s="217" t="n">
        <f aca="false">IF(AZ$7=Fin_Close,-AZ26,0)</f>
        <v>0</v>
      </c>
      <c r="BA27" s="574" t="n">
        <f aca="false">SUM(E27:AZ27)</f>
        <v>-130448.469060995</v>
      </c>
      <c r="BB27" s="175" t="n">
        <f aca="false">BB26+1</f>
        <v>21</v>
      </c>
    </row>
    <row r="28" customFormat="false" ht="12.75" hidden="false" customHeight="false" outlineLevel="0" collapsed="false">
      <c r="A28" s="37" t="s">
        <v>1339</v>
      </c>
      <c r="E28" s="217" t="n">
        <f aca="false">IF(E$7&lt;Fin_Close,E17-E81,0)</f>
        <v>0</v>
      </c>
      <c r="F28" s="217" t="n">
        <f aca="false">IF(F$7&lt;Fin_Close,F17-F81,0)</f>
        <v>0</v>
      </c>
      <c r="G28" s="217" t="n">
        <f aca="false">IF(G$7&lt;Fin_Close,G17-G81,0)</f>
        <v>0</v>
      </c>
      <c r="H28" s="217" t="n">
        <f aca="false">IF(H$7&lt;Fin_Close,H17-H81,0)</f>
        <v>0</v>
      </c>
      <c r="I28" s="217" t="n">
        <f aca="false">IF(I$7&lt;Fin_Close,I17-I81,0)</f>
        <v>0</v>
      </c>
      <c r="J28" s="217" t="n">
        <f aca="false">IF(J$7&lt;Fin_Close,J17-J81,0)</f>
        <v>0</v>
      </c>
      <c r="K28" s="217" t="n">
        <f aca="false">IF(K$7&lt;Fin_Close,K17-K81,0)</f>
        <v>0</v>
      </c>
      <c r="L28" s="217" t="n">
        <f aca="false">IF(L$7&lt;Fin_Close,L17-L81,0)</f>
        <v>0</v>
      </c>
      <c r="M28" s="217" t="n">
        <f aca="false">IF(M$7&lt;Fin_Close,M17-M81,0)</f>
        <v>0</v>
      </c>
      <c r="N28" s="217" t="n">
        <f aca="false">IF(N$7&lt;Fin_Close,N17-N81,0)</f>
        <v>0</v>
      </c>
      <c r="O28" s="217" t="n">
        <f aca="false">IF(O$7&lt;Fin_Close,O17-O81,0)</f>
        <v>2495.37762825904</v>
      </c>
      <c r="P28" s="217" t="n">
        <f aca="false">IF(P$7&lt;Fin_Close,P17-P81,0)</f>
        <v>9453.00016840687</v>
      </c>
      <c r="Q28" s="217" t="n">
        <f aca="false">IF(Q$7&lt;Fin_Close,Q17-Q81,0)</f>
        <v>14376.499751285</v>
      </c>
      <c r="R28" s="217" t="n">
        <f aca="false">IF(R$7&lt;Fin_Close,R17-R81,0)</f>
        <v>1524.45025380711</v>
      </c>
      <c r="S28" s="217" t="n">
        <f aca="false">IF(S$7&lt;Fin_Close,S17-S81,0)</f>
        <v>0</v>
      </c>
      <c r="T28" s="217" t="n">
        <f aca="false">IF(T$7&lt;Fin_Close,T17-T81,0)</f>
        <v>1919.38975501114</v>
      </c>
      <c r="U28" s="217" t="n">
        <f aca="false">IF(U$7&lt;Fin_Close,U17-U81,0)</f>
        <v>26661.3430267062</v>
      </c>
      <c r="V28" s="217" t="n">
        <f aca="false">IF(V$7&lt;Fin_Close,V17-V81,0)</f>
        <v>0</v>
      </c>
      <c r="W28" s="217" t="n">
        <f aca="false">IF(W$7&lt;Fin_Close,W17-W81,0)</f>
        <v>18268.6489870248</v>
      </c>
      <c r="X28" s="217" t="n">
        <f aca="false">IF(X$7&lt;Fin_Close,X17-X81,0)</f>
        <v>2521.55316804408</v>
      </c>
      <c r="Y28" s="217" t="n">
        <f aca="false">IF(Y$7&lt;Fin_Close,Y17-Y81,0)</f>
        <v>0</v>
      </c>
      <c r="Z28" s="217" t="n">
        <f aca="false">IF(Z$7&lt;Fin_Close,Z17-Z81,0)</f>
        <v>1807.03480206003</v>
      </c>
      <c r="AA28" s="217" t="n">
        <f aca="false">IF(AA$7&lt;Fin_Close,AA17-AA81,0)</f>
        <v>1897.12779825909</v>
      </c>
      <c r="AB28" s="217" t="n">
        <f aca="false">IF(AB$7&lt;Fin_Close,AB17-AB81,0)</f>
        <v>834.19446091434</v>
      </c>
      <c r="AC28" s="217" t="n">
        <f aca="false">IF(AC$7&lt;Fin_Close,AC17-AC81,0)</f>
        <v>-413.826741196199</v>
      </c>
      <c r="AD28" s="217" t="n">
        <f aca="false">IF(AD$7&lt;Fin_Close,AD17-AD81,0)</f>
        <v>1208.91367066134</v>
      </c>
      <c r="AE28" s="217" t="n">
        <f aca="false">IF(AE$7&lt;Fin_Close,AE17-AE81,0)</f>
        <v>-89.0094445693725</v>
      </c>
      <c r="AF28" s="217" t="n">
        <f aca="false">IF(AF$7&lt;Fin_Close,AF17-AF81,0)</f>
        <v>-1783.9758141132</v>
      </c>
      <c r="AG28" s="217" t="n">
        <f aca="false">IF(AG$7&lt;Fin_Close,AG17-AG81,0)</f>
        <v>13569.9736261521</v>
      </c>
      <c r="AH28" s="217" t="n">
        <f aca="false">IF(AH$7&lt;Fin_Close,AH17-AH81,0)</f>
        <v>1069.97362615215</v>
      </c>
      <c r="AI28" s="217" t="n">
        <f aca="false">IF(AI$7&lt;Fin_Close,AI17-AI81,0)</f>
        <v>1069.97362615215</v>
      </c>
      <c r="AJ28" s="217" t="n">
        <f aca="false">IF(AJ$7&lt;Fin_Close,AJ17-AJ81,0)</f>
        <v>4772.06599916007</v>
      </c>
      <c r="AK28" s="217" t="n">
        <f aca="false">IF(AK$7&lt;Fin_Close,AK17-AK81,0)</f>
        <v>20127.4313394696</v>
      </c>
      <c r="AL28" s="217" t="n">
        <f aca="false">IF(AL$7&lt;Fin_Close,AL17-AL81,0)</f>
        <v>0</v>
      </c>
      <c r="AM28" s="217" t="n">
        <f aca="false">IF(AM$7&lt;Fin_Close,AM17-AM81,0)</f>
        <v>0</v>
      </c>
      <c r="AN28" s="217" t="n">
        <f aca="false">IF(AN$7&lt;Fin_Close,AN17-AN81,0)</f>
        <v>0</v>
      </c>
      <c r="AO28" s="217" t="n">
        <f aca="false">IF(AO$7&lt;Fin_Close,AO17-AO81,0)</f>
        <v>0</v>
      </c>
      <c r="AP28" s="217" t="n">
        <f aca="false">IF(AP$7&lt;Fin_Close,AP17-AP81,0)</f>
        <v>0</v>
      </c>
      <c r="AQ28" s="217" t="n">
        <f aca="false">IF(AQ$7&lt;Fin_Close,AQ17-AQ81,0)</f>
        <v>0</v>
      </c>
      <c r="AR28" s="217" t="n">
        <f aca="false">IF(AR$7&lt;Fin_Close,AR17-AR81,0)</f>
        <v>0</v>
      </c>
      <c r="AS28" s="217" t="n">
        <f aca="false">IF(AS$7&lt;Fin_Close,AS17-AS81,0)</f>
        <v>0</v>
      </c>
      <c r="AT28" s="217" t="n">
        <f aca="false">IF(AT$7&lt;Fin_Close,AT17-AT81,0)</f>
        <v>0</v>
      </c>
      <c r="AU28" s="217" t="n">
        <f aca="false">IF(AU$7&lt;Fin_Close,AU17-AU81,0)</f>
        <v>0</v>
      </c>
      <c r="AV28" s="217" t="n">
        <f aca="false">IF(AV$7&lt;Fin_Close,AV17-AV81,0)</f>
        <v>0</v>
      </c>
      <c r="AW28" s="217" t="n">
        <f aca="false">IF(AW$7&lt;Fin_Close,AW17-AW81,0)</f>
        <v>0</v>
      </c>
      <c r="AX28" s="217" t="n">
        <f aca="false">IF(AX$7&lt;Fin_Close,AX17-AX81,0)</f>
        <v>0</v>
      </c>
      <c r="AY28" s="217" t="n">
        <f aca="false">IF(AY$7&lt;Fin_Close,AY17-AY81,0)</f>
        <v>0</v>
      </c>
      <c r="AZ28" s="217" t="n">
        <f aca="false">IF(AZ$7&lt;Fin_Close,AZ17-AZ81,0)</f>
        <v>0</v>
      </c>
      <c r="BA28" s="574" t="n">
        <f aca="false">SUM(E28:AZ28)</f>
        <v>121290.139687646</v>
      </c>
      <c r="BB28" s="175" t="n">
        <f aca="false">BB27+1</f>
        <v>22</v>
      </c>
    </row>
    <row r="29" customFormat="false" ht="12.75" hidden="false" customHeight="false" outlineLevel="0" collapsed="false">
      <c r="A29" s="37" t="s">
        <v>82</v>
      </c>
      <c r="E29" s="217" t="n">
        <f aca="false">E51</f>
        <v>0</v>
      </c>
      <c r="F29" s="217" t="n">
        <f aca="false">F51</f>
        <v>0</v>
      </c>
      <c r="G29" s="217" t="n">
        <f aca="false">G51</f>
        <v>0</v>
      </c>
      <c r="H29" s="217" t="n">
        <f aca="false">H51</f>
        <v>0</v>
      </c>
      <c r="I29" s="217" t="n">
        <f aca="false">I51</f>
        <v>0</v>
      </c>
      <c r="J29" s="217" t="n">
        <f aca="false">J51</f>
        <v>0</v>
      </c>
      <c r="K29" s="217" t="n">
        <f aca="false">K51</f>
        <v>0</v>
      </c>
      <c r="L29" s="217" t="n">
        <f aca="false">L51</f>
        <v>0</v>
      </c>
      <c r="M29" s="217" t="n">
        <f aca="false">M51</f>
        <v>0</v>
      </c>
      <c r="N29" s="217" t="n">
        <f aca="false">N51</f>
        <v>0</v>
      </c>
      <c r="O29" s="217" t="n">
        <f aca="false">O51</f>
        <v>6.2384440706476</v>
      </c>
      <c r="P29" s="217" t="n">
        <f aca="false">P51</f>
        <v>36.1460852921397</v>
      </c>
      <c r="Q29" s="217" t="n">
        <f aca="false">Q51</f>
        <v>95.9324591224997</v>
      </c>
      <c r="R29" s="217" t="n">
        <f aca="false">R51</f>
        <v>136.249142718304</v>
      </c>
      <c r="S29" s="217" t="n">
        <f aca="false">S51</f>
        <v>140.861733898223</v>
      </c>
      <c r="T29" s="217" t="n">
        <f aca="false">T51</f>
        <v>146.488806720446</v>
      </c>
      <c r="U29" s="217" t="n">
        <f aca="false">U51</f>
        <v>218.802337537801</v>
      </c>
      <c r="V29" s="217" t="n">
        <f aca="false">V51</f>
        <v>286.742767678319</v>
      </c>
      <c r="W29" s="217" t="n">
        <f aca="false">W51</f>
        <v>334.101112308694</v>
      </c>
      <c r="X29" s="217" t="n">
        <f aca="false">X51</f>
        <v>388.041918357006</v>
      </c>
      <c r="Y29" s="217" t="n">
        <f aca="false">Y51</f>
        <v>396.628400796863</v>
      </c>
      <c r="Z29" s="217" t="n">
        <f aca="false">Z51</f>
        <v>403.479096041995</v>
      </c>
      <c r="AA29" s="217" t="n">
        <f aca="false">AA51</f>
        <v>415.112908990098</v>
      </c>
      <c r="AB29" s="217" t="n">
        <f aca="false">AB51</f>
        <v>424.38305527915</v>
      </c>
      <c r="AC29" s="217" t="n">
        <f aca="false">AC51</f>
        <v>427.930345491852</v>
      </c>
      <c r="AD29" s="217" t="n">
        <f aca="false">AD51</f>
        <v>432.435300141938</v>
      </c>
      <c r="AE29" s="217" t="n">
        <f aca="false">AE51</f>
        <v>437.778797766826</v>
      </c>
      <c r="AF29" s="217" t="n">
        <f aca="false">AF51</f>
        <v>435.671504018748</v>
      </c>
      <c r="AG29" s="217" t="n">
        <f aca="false">AG51</f>
        <v>467.699272101897</v>
      </c>
      <c r="AH29" s="217" t="n">
        <f aca="false">AH51</f>
        <v>507.050312421493</v>
      </c>
      <c r="AI29" s="217" t="n">
        <f aca="false">AI51</f>
        <v>515.38282944885</v>
      </c>
      <c r="AJ29" s="217" t="n">
        <f aca="false">AJ51</f>
        <v>533.019592214771</v>
      </c>
      <c r="AK29" s="217" t="n">
        <f aca="false">AK51</f>
        <v>598.403744927315</v>
      </c>
      <c r="AL29" s="217" t="n">
        <f aca="false">AL51</f>
        <v>0</v>
      </c>
      <c r="AM29" s="217" t="n">
        <f aca="false">AM51</f>
        <v>0</v>
      </c>
      <c r="AN29" s="217" t="n">
        <f aca="false">AN51</f>
        <v>0</v>
      </c>
      <c r="AO29" s="217" t="n">
        <f aca="false">AO51</f>
        <v>0</v>
      </c>
      <c r="AP29" s="217" t="n">
        <f aca="false">AP51</f>
        <v>0</v>
      </c>
      <c r="AQ29" s="217" t="n">
        <f aca="false">AQ51</f>
        <v>0</v>
      </c>
      <c r="AR29" s="217" t="n">
        <f aca="false">AR51</f>
        <v>0</v>
      </c>
      <c r="AS29" s="217" t="n">
        <f aca="false">AS51</f>
        <v>0</v>
      </c>
      <c r="AT29" s="217" t="n">
        <f aca="false">AT51</f>
        <v>0</v>
      </c>
      <c r="AU29" s="217" t="n">
        <f aca="false">AU51</f>
        <v>0</v>
      </c>
      <c r="AV29" s="217" t="n">
        <f aca="false">AV51</f>
        <v>0</v>
      </c>
      <c r="AW29" s="217" t="n">
        <f aca="false">AW51</f>
        <v>0</v>
      </c>
      <c r="AX29" s="217" t="n">
        <f aca="false">AX51</f>
        <v>0</v>
      </c>
      <c r="AY29" s="217" t="n">
        <f aca="false">AY51</f>
        <v>0</v>
      </c>
      <c r="AZ29" s="217" t="n">
        <f aca="false">AZ51</f>
        <v>0</v>
      </c>
      <c r="BA29" s="574" t="n">
        <f aca="false">SUM(E29:AZ29)</f>
        <v>7784.57996734588</v>
      </c>
      <c r="BB29" s="175" t="n">
        <f aca="false">BB28+1</f>
        <v>23</v>
      </c>
    </row>
    <row r="30" customFormat="false" ht="12.75" hidden="false" customHeight="false" outlineLevel="0" collapsed="false">
      <c r="A30" s="37" t="s">
        <v>1340</v>
      </c>
      <c r="E30" s="220" t="n">
        <f aca="false">E57</f>
        <v>0</v>
      </c>
      <c r="F30" s="220" t="n">
        <f aca="false">F57</f>
        <v>0</v>
      </c>
      <c r="G30" s="220" t="n">
        <f aca="false">G57</f>
        <v>0</v>
      </c>
      <c r="H30" s="220" t="n">
        <f aca="false">H57</f>
        <v>0</v>
      </c>
      <c r="I30" s="220" t="n">
        <f aca="false">I57</f>
        <v>0</v>
      </c>
      <c r="J30" s="220" t="n">
        <f aca="false">J57</f>
        <v>0</v>
      </c>
      <c r="K30" s="220" t="n">
        <f aca="false">K57</f>
        <v>0</v>
      </c>
      <c r="L30" s="220" t="n">
        <f aca="false">L57</f>
        <v>0</v>
      </c>
      <c r="M30" s="220" t="n">
        <f aca="false">M57</f>
        <v>0</v>
      </c>
      <c r="N30" s="220" t="n">
        <f aca="false">N57</f>
        <v>0</v>
      </c>
      <c r="O30" s="220" t="n">
        <f aca="false">O57</f>
        <v>1.10090189482017</v>
      </c>
      <c r="P30" s="220" t="n">
        <f aca="false">P57</f>
        <v>6.37872093390701</v>
      </c>
      <c r="Q30" s="220" t="n">
        <f aca="false">Q57</f>
        <v>16.9292574922058</v>
      </c>
      <c r="R30" s="220" t="n">
        <f aca="false">R57</f>
        <v>24.0439663620536</v>
      </c>
      <c r="S30" s="220" t="n">
        <f aca="false">S57</f>
        <v>24.8579530408629</v>
      </c>
      <c r="T30" s="220" t="n">
        <f aca="false">T57</f>
        <v>25.8509658918435</v>
      </c>
      <c r="U30" s="220" t="n">
        <f aca="false">U57</f>
        <v>38.6121772125532</v>
      </c>
      <c r="V30" s="220" t="n">
        <f aca="false">V57</f>
        <v>50.6016648844092</v>
      </c>
      <c r="W30" s="220" t="n">
        <f aca="false">W57</f>
        <v>58.9590198191813</v>
      </c>
      <c r="X30" s="220" t="n">
        <f aca="false">X57</f>
        <v>68.4779855924128</v>
      </c>
      <c r="Y30" s="220" t="n">
        <f aca="false">Y57</f>
        <v>69.9932471994464</v>
      </c>
      <c r="Z30" s="220" t="n">
        <f aca="false">Z57</f>
        <v>71.2021934191755</v>
      </c>
      <c r="AA30" s="220" t="n">
        <f aca="false">AA57</f>
        <v>73.2552192335468</v>
      </c>
      <c r="AB30" s="220" t="n">
        <f aca="false">AB57</f>
        <v>74.891127402203</v>
      </c>
      <c r="AC30" s="220" t="n">
        <f aca="false">AC57</f>
        <v>75.5171197926798</v>
      </c>
      <c r="AD30" s="220" t="n">
        <f aca="false">AD57</f>
        <v>76.3121117897537</v>
      </c>
      <c r="AE30" s="220" t="n">
        <f aca="false">AE57</f>
        <v>77.2550819588517</v>
      </c>
      <c r="AF30" s="220" t="n">
        <f aca="false">AF57</f>
        <v>76.8832065915438</v>
      </c>
      <c r="AG30" s="220" t="n">
        <f aca="false">AG57</f>
        <v>82.5351656650407</v>
      </c>
      <c r="AH30" s="220" t="n">
        <f aca="false">AH57</f>
        <v>89.4794668979104</v>
      </c>
      <c r="AI30" s="220" t="n">
        <f aca="false">AI57</f>
        <v>90.9499110792089</v>
      </c>
      <c r="AJ30" s="220" t="n">
        <f aca="false">AJ57</f>
        <v>94.0622809790773</v>
      </c>
      <c r="AK30" s="220" t="n">
        <f aca="false">AK57</f>
        <v>105.600660869526</v>
      </c>
      <c r="AL30" s="220" t="n">
        <f aca="false">AL57</f>
        <v>0</v>
      </c>
      <c r="AM30" s="220" t="n">
        <f aca="false">AM57</f>
        <v>0</v>
      </c>
      <c r="AN30" s="220" t="n">
        <f aca="false">AN57</f>
        <v>0</v>
      </c>
      <c r="AO30" s="220" t="n">
        <f aca="false">AO57</f>
        <v>0</v>
      </c>
      <c r="AP30" s="220" t="n">
        <f aca="false">AP57</f>
        <v>0</v>
      </c>
      <c r="AQ30" s="220" t="n">
        <f aca="false">AQ57</f>
        <v>0</v>
      </c>
      <c r="AR30" s="220" t="n">
        <f aca="false">AR57</f>
        <v>0</v>
      </c>
      <c r="AS30" s="220" t="n">
        <f aca="false">AS57</f>
        <v>0</v>
      </c>
      <c r="AT30" s="220" t="n">
        <f aca="false">AT57</f>
        <v>0</v>
      </c>
      <c r="AU30" s="220" t="n">
        <f aca="false">AU57</f>
        <v>0</v>
      </c>
      <c r="AV30" s="220" t="n">
        <f aca="false">AV57</f>
        <v>0</v>
      </c>
      <c r="AW30" s="220" t="n">
        <f aca="false">AW57</f>
        <v>0</v>
      </c>
      <c r="AX30" s="220" t="n">
        <f aca="false">AX57</f>
        <v>0</v>
      </c>
      <c r="AY30" s="220" t="n">
        <f aca="false">AY57</f>
        <v>0</v>
      </c>
      <c r="AZ30" s="220" t="n">
        <f aca="false">AZ57</f>
        <v>0</v>
      </c>
      <c r="BA30" s="576" t="n">
        <f aca="false">SUM(A30:AZ30)</f>
        <v>1373.74940600221</v>
      </c>
      <c r="BB30" s="175" t="n">
        <f aca="false">BB29+1</f>
        <v>24</v>
      </c>
    </row>
    <row r="31" customFormat="false" ht="12.75" hidden="false" customHeight="false" outlineLevel="0" collapsed="false">
      <c r="A31" s="37" t="s">
        <v>1067</v>
      </c>
      <c r="E31" s="217" t="n">
        <f aca="false">SUM(E26:E30)</f>
        <v>0</v>
      </c>
      <c r="F31" s="217" t="n">
        <f aca="false">SUM(F26:F30)</f>
        <v>0</v>
      </c>
      <c r="G31" s="217" t="n">
        <f aca="false">SUM(G26:G30)</f>
        <v>0</v>
      </c>
      <c r="H31" s="217" t="n">
        <f aca="false">SUM(H26:H30)</f>
        <v>0</v>
      </c>
      <c r="I31" s="217" t="n">
        <f aca="false">SUM(I26:I30)</f>
        <v>0</v>
      </c>
      <c r="J31" s="217" t="n">
        <f aca="false">SUM(J26:J30)</f>
        <v>0</v>
      </c>
      <c r="K31" s="217" t="n">
        <f aca="false">SUM(K26:K30)</f>
        <v>0</v>
      </c>
      <c r="L31" s="217" t="n">
        <f aca="false">SUM(L26:L30)</f>
        <v>0</v>
      </c>
      <c r="M31" s="217" t="n">
        <f aca="false">SUM(M26:M30)</f>
        <v>0</v>
      </c>
      <c r="N31" s="217" t="n">
        <f aca="false">SUM(N26:N30)</f>
        <v>0</v>
      </c>
      <c r="O31" s="217" t="n">
        <f aca="false">SUM(O26:O30)</f>
        <v>2502.71697422451</v>
      </c>
      <c r="P31" s="217" t="n">
        <f aca="false">SUM(P26:P30)</f>
        <v>11998.2419488574</v>
      </c>
      <c r="Q31" s="217" t="n">
        <f aca="false">SUM(Q26:Q30)</f>
        <v>26487.6034167572</v>
      </c>
      <c r="R31" s="217" t="n">
        <f aca="false">SUM(R26:R30)</f>
        <v>28172.3467796446</v>
      </c>
      <c r="S31" s="217" t="n">
        <f aca="false">SUM(S26:S30)</f>
        <v>28338.0664665837</v>
      </c>
      <c r="T31" s="217" t="n">
        <f aca="false">SUM(T26:T30)</f>
        <v>30429.7959942071</v>
      </c>
      <c r="U31" s="217" t="n">
        <f aca="false">SUM(U26:U30)</f>
        <v>57348.5535356637</v>
      </c>
      <c r="V31" s="217" t="n">
        <f aca="false">SUM(V26:V30)</f>
        <v>57685.8979682265</v>
      </c>
      <c r="W31" s="217" t="n">
        <f aca="false">SUM(W26:W30)</f>
        <v>76347.6070873792</v>
      </c>
      <c r="X31" s="217" t="n">
        <f aca="false">SUM(X26:X30)</f>
        <v>79325.6801593726</v>
      </c>
      <c r="Y31" s="217" t="n">
        <f aca="false">SUM(Y26:Y30)</f>
        <v>79792.301807369</v>
      </c>
      <c r="Z31" s="217" t="n">
        <f aca="false">SUM(Z26:Z30)</f>
        <v>82074.0178988902</v>
      </c>
      <c r="AA31" s="217" t="n">
        <f aca="false">SUM(AA26:AA30)</f>
        <v>84459.5138253729</v>
      </c>
      <c r="AB31" s="217" t="n">
        <f aca="false">SUM(AB26:AB30)</f>
        <v>85792.9824689686</v>
      </c>
      <c r="AC31" s="217" t="n">
        <f aca="false">SUM(AC26:AC30)</f>
        <v>85882.6031930569</v>
      </c>
      <c r="AD31" s="217" t="n">
        <f aca="false">SUM(AD26:AD30)</f>
        <v>87600.2642756499</v>
      </c>
      <c r="AE31" s="217" t="n">
        <f aca="false">SUM(AE26:AE30)</f>
        <v>88026.2887108062</v>
      </c>
      <c r="AF31" s="217" t="n">
        <f aca="false">SUM(AF26:AF30)</f>
        <v>86754.8676073033</v>
      </c>
      <c r="AG31" s="217" t="n">
        <f aca="false">SUM(AG26:AG30)</f>
        <v>100875.075671222</v>
      </c>
      <c r="AH31" s="217" t="n">
        <f aca="false">SUM(AH26:AH30)</f>
        <v>102541.579076694</v>
      </c>
      <c r="AI31" s="217" t="n">
        <f aca="false">SUM(AI26:AI30)</f>
        <v>104217.885443374</v>
      </c>
      <c r="AJ31" s="217" t="n">
        <f aca="false">SUM(AJ26:AJ30)</f>
        <v>109617.033315728</v>
      </c>
      <c r="AK31" s="217" t="n">
        <f aca="false">SUM(AK26:AK30)</f>
        <v>130448.469060995</v>
      </c>
      <c r="AL31" s="217" t="n">
        <f aca="false">SUM(AL26:AL30)</f>
        <v>0</v>
      </c>
      <c r="AM31" s="217" t="n">
        <f aca="false">SUM(AM26:AM30)</f>
        <v>0</v>
      </c>
      <c r="AN31" s="217" t="n">
        <f aca="false">SUM(AN26:AN30)</f>
        <v>0</v>
      </c>
      <c r="AO31" s="217" t="n">
        <f aca="false">SUM(AO26:AO30)</f>
        <v>0</v>
      </c>
      <c r="AP31" s="217" t="n">
        <f aca="false">SUM(AP26:AP30)</f>
        <v>0</v>
      </c>
      <c r="AQ31" s="217" t="n">
        <f aca="false">SUM(AQ26:AQ30)</f>
        <v>0</v>
      </c>
      <c r="AR31" s="217" t="n">
        <f aca="false">SUM(AR26:AR30)</f>
        <v>0</v>
      </c>
      <c r="AS31" s="217" t="n">
        <f aca="false">SUM(AS26:AS30)</f>
        <v>0</v>
      </c>
      <c r="AT31" s="217" t="n">
        <f aca="false">SUM(AT26:AT30)</f>
        <v>0</v>
      </c>
      <c r="AU31" s="217" t="n">
        <f aca="false">SUM(AU26:AU30)</f>
        <v>0</v>
      </c>
      <c r="AV31" s="217" t="n">
        <f aca="false">SUM(AV26:AV30)</f>
        <v>0</v>
      </c>
      <c r="AW31" s="217" t="n">
        <f aca="false">SUM(AW26:AW30)</f>
        <v>0</v>
      </c>
      <c r="AX31" s="217" t="n">
        <f aca="false">SUM(AX26:AX30)</f>
        <v>0</v>
      </c>
      <c r="AY31" s="217" t="n">
        <f aca="false">SUM(AY26:AY30)</f>
        <v>0</v>
      </c>
      <c r="AZ31" s="217" t="n">
        <f aca="false">SUM(AZ26:AZ30)</f>
        <v>0</v>
      </c>
      <c r="BA31" s="574" t="n">
        <f aca="false">SUM(BA26:BA30)</f>
        <v>-3.54702933691442E-011</v>
      </c>
      <c r="BB31" s="175" t="n">
        <f aca="false">BB30+1</f>
        <v>25</v>
      </c>
    </row>
    <row r="32" customFormat="false" ht="12.75" hidden="false" customHeight="false" outlineLevel="0" collapsed="false">
      <c r="A32" s="37"/>
      <c r="E32" s="217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6"/>
      <c r="Q32" s="556"/>
      <c r="R32" s="556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6"/>
      <c r="AY32" s="556"/>
      <c r="AZ32" s="556"/>
      <c r="BA32" s="555"/>
      <c r="BB32" s="175" t="n">
        <f aca="false">BB31+1</f>
        <v>26</v>
      </c>
    </row>
    <row r="33" customFormat="false" ht="12.75" hidden="false" customHeight="false" outlineLevel="0" collapsed="false">
      <c r="A33" s="130" t="s">
        <v>305</v>
      </c>
      <c r="P33" s="656"/>
      <c r="Q33" s="556"/>
      <c r="BA33" s="555"/>
      <c r="BB33" s="175" t="n">
        <f aca="false">BB32+1</f>
        <v>27</v>
      </c>
    </row>
    <row r="34" customFormat="false" ht="12.75" hidden="false" customHeight="false" outlineLevel="0" collapsed="false">
      <c r="A34" s="37" t="s">
        <v>1063</v>
      </c>
      <c r="E34" s="189" t="n">
        <v>0</v>
      </c>
      <c r="F34" s="217" t="n">
        <f aca="false">E40</f>
        <v>0</v>
      </c>
      <c r="G34" s="217" t="n">
        <f aca="false">F40</f>
        <v>0</v>
      </c>
      <c r="H34" s="217" t="n">
        <f aca="false">G40</f>
        <v>0</v>
      </c>
      <c r="I34" s="217" t="n">
        <f aca="false">H40</f>
        <v>0</v>
      </c>
      <c r="J34" s="217" t="n">
        <f aca="false">I40</f>
        <v>0</v>
      </c>
      <c r="K34" s="217" t="n">
        <f aca="false">J40</f>
        <v>0</v>
      </c>
      <c r="L34" s="217" t="n">
        <f aca="false">K40</f>
        <v>0</v>
      </c>
      <c r="M34" s="217" t="n">
        <f aca="false">L40</f>
        <v>0</v>
      </c>
      <c r="N34" s="217" t="n">
        <f aca="false">M40</f>
        <v>0</v>
      </c>
      <c r="O34" s="217" t="n">
        <f aca="false">N40</f>
        <v>0</v>
      </c>
      <c r="P34" s="217" t="n">
        <f aca="false">O40</f>
        <v>0</v>
      </c>
      <c r="Q34" s="217" t="n">
        <f aca="false">P40</f>
        <v>0</v>
      </c>
      <c r="R34" s="217" t="n">
        <f aca="false">Q40</f>
        <v>0</v>
      </c>
      <c r="S34" s="217" t="n">
        <f aca="false">R40</f>
        <v>0</v>
      </c>
      <c r="T34" s="217" t="n">
        <f aca="false">S40</f>
        <v>0</v>
      </c>
      <c r="U34" s="217" t="n">
        <f aca="false">T40</f>
        <v>0</v>
      </c>
      <c r="V34" s="217" t="n">
        <f aca="false">U40</f>
        <v>0</v>
      </c>
      <c r="W34" s="217" t="n">
        <f aca="false">V40</f>
        <v>0</v>
      </c>
      <c r="X34" s="217" t="n">
        <f aca="false">W40</f>
        <v>0</v>
      </c>
      <c r="Y34" s="217" t="n">
        <f aca="false">X40</f>
        <v>0</v>
      </c>
      <c r="Z34" s="217" t="n">
        <f aca="false">Y40</f>
        <v>0</v>
      </c>
      <c r="AA34" s="217" t="n">
        <f aca="false">Z40</f>
        <v>0</v>
      </c>
      <c r="AB34" s="217" t="n">
        <f aca="false">AA40</f>
        <v>0</v>
      </c>
      <c r="AC34" s="217" t="n">
        <f aca="false">AB40</f>
        <v>0</v>
      </c>
      <c r="AD34" s="217" t="n">
        <f aca="false">AC40</f>
        <v>0</v>
      </c>
      <c r="AE34" s="217" t="n">
        <f aca="false">AD40</f>
        <v>0</v>
      </c>
      <c r="AF34" s="217" t="n">
        <f aca="false">AE40</f>
        <v>0</v>
      </c>
      <c r="AG34" s="217" t="n">
        <f aca="false">AF40</f>
        <v>0</v>
      </c>
      <c r="AH34" s="217" t="n">
        <f aca="false">AG40</f>
        <v>0</v>
      </c>
      <c r="AI34" s="217" t="n">
        <f aca="false">AH40</f>
        <v>0</v>
      </c>
      <c r="AJ34" s="217" t="n">
        <f aca="false">AI40</f>
        <v>0</v>
      </c>
      <c r="AK34" s="217" t="n">
        <f aca="false">AJ40</f>
        <v>0</v>
      </c>
      <c r="AL34" s="217" t="n">
        <f aca="false">AK40</f>
        <v>0</v>
      </c>
      <c r="AM34" s="217" t="n">
        <f aca="false">AL40</f>
        <v>130103.588812527</v>
      </c>
      <c r="AN34" s="217" t="n">
        <f aca="false">AM40</f>
        <v>132020.992176496</v>
      </c>
      <c r="AO34" s="217" t="n">
        <f aca="false">AN40</f>
        <v>133953.28818139</v>
      </c>
      <c r="AP34" s="217" t="n">
        <f aca="false">AO40</f>
        <v>151241.604975653</v>
      </c>
      <c r="AQ34" s="217" t="n">
        <f aca="false">AP40</f>
        <v>153323.189174226</v>
      </c>
      <c r="AR34" s="217" t="n">
        <f aca="false">AQ40</f>
        <v>155420.941220736</v>
      </c>
      <c r="AS34" s="217" t="n">
        <f aca="false">AR40</f>
        <v>157534.986692282</v>
      </c>
      <c r="AT34" s="217" t="n">
        <f aca="false">AS40</f>
        <v>175006.464617325</v>
      </c>
      <c r="AU34" s="217" t="n">
        <f aca="false">AT40</f>
        <v>177272.632575324</v>
      </c>
      <c r="AV34" s="217" t="n">
        <f aca="false">AU40</f>
        <v>179556.402059588</v>
      </c>
      <c r="AW34" s="217" t="n">
        <f aca="false">AV40</f>
        <v>181857.909782723</v>
      </c>
      <c r="AX34" s="217" t="n">
        <f aca="false">AW40</f>
        <v>201351.119911058</v>
      </c>
      <c r="AY34" s="217" t="n">
        <f aca="false">AX40</f>
        <v>201351.119911058</v>
      </c>
      <c r="AZ34" s="217" t="n">
        <f aca="false">AY40</f>
        <v>201351.119911058</v>
      </c>
      <c r="BA34" s="574" t="n">
        <f aca="false">E34</f>
        <v>0</v>
      </c>
      <c r="BB34" s="175" t="n">
        <f aca="false">BB33+1</f>
        <v>28</v>
      </c>
    </row>
    <row r="35" customFormat="false" ht="12.75" hidden="false" customHeight="false" outlineLevel="0" collapsed="false">
      <c r="A35" s="37" t="s">
        <v>1346</v>
      </c>
      <c r="E35" s="575" t="n">
        <f aca="false">IF(E$7=Fin_Close,-E27*Debtperc/SUM(Debtperc,Subdebtperc,SudamPerc),0)</f>
        <v>0</v>
      </c>
      <c r="F35" s="575" t="n">
        <f aca="false">IF(F$7=Fin_Close,-F27*Debtperc/SUM(Debtperc,Subdebtperc,SudamPerc),0)</f>
        <v>0</v>
      </c>
      <c r="G35" s="575" t="n">
        <f aca="false">IF(G$7=Fin_Close,-G27*Debtperc/SUM(Debtperc,Subdebtperc,SudamPerc),0)</f>
        <v>0</v>
      </c>
      <c r="H35" s="575" t="n">
        <f aca="false">IF(H$7=Fin_Close,-H27*Debtperc/SUM(Debtperc,Subdebtperc,SudamPerc),0)</f>
        <v>0</v>
      </c>
      <c r="I35" s="575" t="n">
        <f aca="false">IF(I$7=Fin_Close,-I27*Debtperc/SUM(Debtperc,Subdebtperc,SudamPerc),0)</f>
        <v>0</v>
      </c>
      <c r="J35" s="575" t="n">
        <f aca="false">IF(J$7=Fin_Close,-J27*Debtperc/SUM(Debtperc,Subdebtperc,SudamPerc),0)</f>
        <v>0</v>
      </c>
      <c r="K35" s="575" t="n">
        <f aca="false">IF(K$7=Fin_Close,-K27*Debtperc/SUM(Debtperc,Subdebtperc,SudamPerc),0)</f>
        <v>0</v>
      </c>
      <c r="L35" s="575" t="n">
        <f aca="false">IF(L$7=Fin_Close,-L27*Debtperc/SUM(Debtperc,Subdebtperc,SudamPerc),0)</f>
        <v>0</v>
      </c>
      <c r="M35" s="575" t="n">
        <f aca="false">IF(M$7=Fin_Close,-M27*Debtperc/SUM(Debtperc,Subdebtperc,SudamPerc),0)</f>
        <v>0</v>
      </c>
      <c r="N35" s="575" t="n">
        <f aca="false">IF(N$7=Fin_Close,-N27*Debtperc/SUM(Debtperc,Subdebtperc,SudamPerc),0)</f>
        <v>0</v>
      </c>
      <c r="O35" s="575" t="n">
        <f aca="false">IF(O$7=Fin_Close,-O27*Debtperc/SUM(Debtperc,Subdebtperc,SudamPerc),0)</f>
        <v>0</v>
      </c>
      <c r="P35" s="575" t="n">
        <f aca="false">IF(P$7=Fin_Close,-P27*Debtperc/SUM(Debtperc,Subdebtperc,SudamPerc),0)</f>
        <v>0</v>
      </c>
      <c r="Q35" s="575" t="n">
        <f aca="false">IF(Q$7=Fin_Close,-Q27*Debtperc/SUM(Debtperc,Subdebtperc,SudamPerc),0)</f>
        <v>0</v>
      </c>
      <c r="R35" s="575" t="n">
        <f aca="false">IF(R$7=Fin_Close,-R27*Debtperc/SUM(Debtperc,Subdebtperc,SudamPerc),0)</f>
        <v>0</v>
      </c>
      <c r="S35" s="575" t="n">
        <f aca="false">IF(S$7=Fin_Close,-S27*Debtperc/SUM(Debtperc,Subdebtperc,SudamPerc),0)</f>
        <v>0</v>
      </c>
      <c r="T35" s="575" t="n">
        <f aca="false">IF(T$7=Fin_Close,-T27*Debtperc/SUM(Debtperc,Subdebtperc,SudamPerc),0)</f>
        <v>0</v>
      </c>
      <c r="U35" s="575" t="n">
        <f aca="false">IF(U$7=Fin_Close,-U27*Debtperc/SUM(Debtperc,Subdebtperc,SudamPerc),0)</f>
        <v>0</v>
      </c>
      <c r="V35" s="575" t="n">
        <f aca="false">IF(V$7=Fin_Close,-V27*Debtperc/SUM(Debtperc,Subdebtperc,SudamPerc),0)</f>
        <v>0</v>
      </c>
      <c r="W35" s="575" t="n">
        <f aca="false">IF(W$7=Fin_Close,-W27*Debtperc/SUM(Debtperc,Subdebtperc,SudamPerc),0)</f>
        <v>0</v>
      </c>
      <c r="X35" s="575" t="n">
        <f aca="false">IF(X$7=Fin_Close,-X27*Debtperc/SUM(Debtperc,Subdebtperc,SudamPerc),0)</f>
        <v>0</v>
      </c>
      <c r="Y35" s="575" t="n">
        <f aca="false">IF(Y$7=Fin_Close,-Y27*Debtperc/SUM(Debtperc,Subdebtperc,SudamPerc),0)</f>
        <v>0</v>
      </c>
      <c r="Z35" s="575" t="n">
        <f aca="false">IF(Z$7=Fin_Close,-Z27*Debtperc/SUM(Debtperc,Subdebtperc,SudamPerc),0)</f>
        <v>0</v>
      </c>
      <c r="AA35" s="575" t="n">
        <f aca="false">IF(AA$7=Fin_Close,-AA27*Debtperc/SUM(Debtperc,Subdebtperc,SudamPerc),0)</f>
        <v>0</v>
      </c>
      <c r="AB35" s="575" t="n">
        <f aca="false">IF(AB$7=Fin_Close,-AB27*Debtperc/SUM(Debtperc,Subdebtperc,SudamPerc),0)</f>
        <v>0</v>
      </c>
      <c r="AC35" s="575" t="n">
        <f aca="false">IF(AC$7=Fin_Close,-AC27*Debtperc/SUM(Debtperc,Subdebtperc,SudamPerc),0)</f>
        <v>0</v>
      </c>
      <c r="AD35" s="575" t="n">
        <f aca="false">IF(AD$7=Fin_Close,-AD27*Debtperc/SUM(Debtperc,Subdebtperc,SudamPerc),0)</f>
        <v>0</v>
      </c>
      <c r="AE35" s="575" t="n">
        <f aca="false">IF(AE$7=Fin_Close,-AE27*Debtperc/SUM(Debtperc,Subdebtperc,SudamPerc),0)</f>
        <v>0</v>
      </c>
      <c r="AF35" s="575" t="n">
        <f aca="false">IF(AF$7=Fin_Close,-AF27*Debtperc/SUM(Debtperc,Subdebtperc,SudamPerc),0)</f>
        <v>0</v>
      </c>
      <c r="AG35" s="575" t="n">
        <f aca="false">IF(AG$7=Fin_Close,-AG27*Debtperc/SUM(Debtperc,Subdebtperc,SudamPerc),0)</f>
        <v>0</v>
      </c>
      <c r="AH35" s="575" t="n">
        <f aca="false">IF(AH$7=Fin_Close,-AH27*Debtperc/SUM(Debtperc,Subdebtperc,SudamPerc),0)</f>
        <v>0</v>
      </c>
      <c r="AI35" s="575" t="n">
        <f aca="false">IF(AI$7=Fin_Close,-AI27*Debtperc/SUM(Debtperc,Subdebtperc,SudamPerc),0)</f>
        <v>0</v>
      </c>
      <c r="AJ35" s="575" t="n">
        <f aca="false">IF(AJ$7=Fin_Close,-AJ27*Debtperc/SUM(Debtperc,Subdebtperc,SudamPerc),0)</f>
        <v>0</v>
      </c>
      <c r="AK35" s="575" t="n">
        <f aca="false">IF(AK$7=Fin_Close,-AK27*Debtperc/SUM(Debtperc,Subdebtperc,SudamPerc),0)</f>
        <v>0</v>
      </c>
      <c r="AL35" s="575" t="n">
        <f aca="false">IF(AL$7=Fin_Close,-AL27*Debtperc/SUM(Debtperc,Subdebtperc,SudamPerc),0)</f>
        <v>104603.137168778</v>
      </c>
      <c r="AM35" s="575" t="n">
        <f aca="false">IF(AM$7=Fin_Close,-AM27*Debtperc/SUM(Debtperc,Subdebtperc,SudamPerc),0)</f>
        <v>0</v>
      </c>
      <c r="AN35" s="575" t="n">
        <f aca="false">IF(AN$7=Fin_Close,-AN27*Debtperc/SUM(Debtperc,Subdebtperc,SudamPerc),0)</f>
        <v>0</v>
      </c>
      <c r="AO35" s="575" t="n">
        <f aca="false">IF(AO$7=Fin_Close,-AO27*Debtperc/SUM(Debtperc,Subdebtperc,SudamPerc),0)</f>
        <v>0</v>
      </c>
      <c r="AP35" s="575" t="n">
        <f aca="false">IF(AP$7=Fin_Close,-AP27*Debtperc/SUM(Debtperc,Subdebtperc,SudamPerc),0)</f>
        <v>0</v>
      </c>
      <c r="AQ35" s="575" t="n">
        <f aca="false">IF(AQ$7=Fin_Close,-AQ27*Debtperc/SUM(Debtperc,Subdebtperc,SudamPerc),0)</f>
        <v>0</v>
      </c>
      <c r="AR35" s="575" t="n">
        <f aca="false">IF(AR$7=Fin_Close,-AR27*Debtperc/SUM(Debtperc,Subdebtperc,SudamPerc),0)</f>
        <v>0</v>
      </c>
      <c r="AS35" s="575" t="n">
        <f aca="false">IF(AS$7=Fin_Close,-AS27*Debtperc/SUM(Debtperc,Subdebtperc,SudamPerc),0)</f>
        <v>0</v>
      </c>
      <c r="AT35" s="575" t="n">
        <f aca="false">IF(AT$7=Fin_Close,-AT27*Debtperc/SUM(Debtperc,Subdebtperc,SudamPerc),0)</f>
        <v>0</v>
      </c>
      <c r="AU35" s="575" t="n">
        <f aca="false">IF(AU$7=Fin_Close,-AU27*Debtperc/SUM(Debtperc,Subdebtperc,SudamPerc),0)</f>
        <v>0</v>
      </c>
      <c r="AV35" s="575" t="n">
        <f aca="false">IF(AV$7=Fin_Close,-AV27*Debtperc/SUM(Debtperc,Subdebtperc,SudamPerc),0)</f>
        <v>0</v>
      </c>
      <c r="AW35" s="575" t="n">
        <f aca="false">IF(AW$7=Fin_Close,-AW27*Debtperc/SUM(Debtperc,Subdebtperc,SudamPerc),0)</f>
        <v>0</v>
      </c>
      <c r="AX35" s="575" t="n">
        <f aca="false">IF(AX$7=Fin_Close,-AX27*Debtperc/SUM(Debtperc,Subdebtperc,SudamPerc),0)</f>
        <v>0</v>
      </c>
      <c r="AY35" s="575" t="n">
        <f aca="false">IF(AY$7=Fin_Close,-AY27*Debtperc/SUM(Debtperc,Subdebtperc,SudamPerc),0)</f>
        <v>0</v>
      </c>
      <c r="AZ35" s="575" t="n">
        <f aca="false">IF(AZ$7=Fin_Close,-AZ27*Debtperc/SUM(Debtperc,Subdebtperc,SudamPerc),0)</f>
        <v>0</v>
      </c>
      <c r="BA35" s="753" t="n">
        <f aca="false">SUM(E35:AZ35)</f>
        <v>104603.137168778</v>
      </c>
      <c r="BB35" s="1044" t="n">
        <f aca="false">BB34+1</f>
        <v>29</v>
      </c>
    </row>
    <row r="36" customFormat="false" ht="12.75" hidden="false" customHeight="false" outlineLevel="0" collapsed="false">
      <c r="A36" s="37" t="s">
        <v>1339</v>
      </c>
      <c r="E36" s="575" t="n">
        <f aca="false">IF(E$7&lt;Fin_Close,0,E17*Debtperc/SUM(Debtperc,Subdebtperc,SudamPerc))</f>
        <v>0</v>
      </c>
      <c r="F36" s="575" t="n">
        <f aca="false">IF(F$7&lt;Fin_Close,0,F17*Debtperc/SUM(Debtperc,Subdebtperc,SudamPerc))</f>
        <v>0</v>
      </c>
      <c r="G36" s="575" t="n">
        <f aca="false">IF(G$7&lt;Fin_Close,0,G17*Debtperc/SUM(Debtperc,Subdebtperc,SudamPerc))</f>
        <v>0</v>
      </c>
      <c r="H36" s="575" t="n">
        <f aca="false">IF(H$7&lt;Fin_Close,0,H17*Debtperc/SUM(Debtperc,Subdebtperc,SudamPerc))</f>
        <v>0</v>
      </c>
      <c r="I36" s="575" t="n">
        <f aca="false">IF(I$7&lt;Fin_Close,0,I17*Debtperc/SUM(Debtperc,Subdebtperc,SudamPerc))</f>
        <v>0</v>
      </c>
      <c r="J36" s="575" t="n">
        <f aca="false">IF(J$7&lt;Fin_Close,0,J17*Debtperc/SUM(Debtperc,Subdebtperc,SudamPerc))</f>
        <v>0</v>
      </c>
      <c r="K36" s="575" t="n">
        <f aca="false">IF(K$7&lt;Fin_Close,0,K17*Debtperc/SUM(Debtperc,Subdebtperc,SudamPerc))</f>
        <v>0</v>
      </c>
      <c r="L36" s="575" t="n">
        <f aca="false">IF(L$7&lt;Fin_Close,0,L17*Debtperc/SUM(Debtperc,Subdebtperc,SudamPerc))</f>
        <v>0</v>
      </c>
      <c r="M36" s="575" t="n">
        <f aca="false">IF(M$7&lt;Fin_Close,0,M17*Debtperc/SUM(Debtperc,Subdebtperc,SudamPerc))</f>
        <v>0</v>
      </c>
      <c r="N36" s="575" t="n">
        <f aca="false">IF(N$7&lt;Fin_Close,0,N17*Debtperc/SUM(Debtperc,Subdebtperc,SudamPerc))</f>
        <v>0</v>
      </c>
      <c r="O36" s="575" t="n">
        <f aca="false">IF(O$7&lt;Fin_Close,0,O17*Debtperc/SUM(Debtperc,Subdebtperc,SudamPerc))</f>
        <v>0</v>
      </c>
      <c r="P36" s="575" t="n">
        <f aca="false">IF(P$7&lt;Fin_Close,0,P17*Debtperc/SUM(Debtperc,Subdebtperc,SudamPerc))</f>
        <v>0</v>
      </c>
      <c r="Q36" s="575" t="n">
        <f aca="false">IF(Q$7&lt;Fin_Close,0,Q17*Debtperc/SUM(Debtperc,Subdebtperc,SudamPerc))</f>
        <v>0</v>
      </c>
      <c r="R36" s="575" t="n">
        <f aca="false">IF(R$7&lt;Fin_Close,0,R17*Debtperc/SUM(Debtperc,Subdebtperc,SudamPerc))</f>
        <v>0</v>
      </c>
      <c r="S36" s="575" t="n">
        <f aca="false">IF(S$7&lt;Fin_Close,0,S17*Debtperc/SUM(Debtperc,Subdebtperc,SudamPerc))</f>
        <v>0</v>
      </c>
      <c r="T36" s="575" t="n">
        <f aca="false">IF(T$7&lt;Fin_Close,0,T17*Debtperc/SUM(Debtperc,Subdebtperc,SudamPerc))</f>
        <v>0</v>
      </c>
      <c r="U36" s="575" t="n">
        <f aca="false">IF(U$7&lt;Fin_Close,0,U17*Debtperc/SUM(Debtperc,Subdebtperc,SudamPerc))</f>
        <v>0</v>
      </c>
      <c r="V36" s="575" t="n">
        <f aca="false">IF(V$7&lt;Fin_Close,0,V17*Debtperc/SUM(Debtperc,Subdebtperc,SudamPerc))</f>
        <v>0</v>
      </c>
      <c r="W36" s="575" t="n">
        <f aca="false">IF(W$7&lt;Fin_Close,0,W17*Debtperc/SUM(Debtperc,Subdebtperc,SudamPerc))</f>
        <v>0</v>
      </c>
      <c r="X36" s="575" t="n">
        <f aca="false">IF(X$7&lt;Fin_Close,0,X17*Debtperc/SUM(Debtperc,Subdebtperc,SudamPerc))</f>
        <v>0</v>
      </c>
      <c r="Y36" s="575" t="n">
        <f aca="false">IF(Y$7&lt;Fin_Close,0,Y17*Debtperc/SUM(Debtperc,Subdebtperc,SudamPerc))</f>
        <v>0</v>
      </c>
      <c r="Z36" s="575" t="n">
        <f aca="false">IF(Z$7&lt;Fin_Close,0,Z17*Debtperc/SUM(Debtperc,Subdebtperc,SudamPerc))</f>
        <v>0</v>
      </c>
      <c r="AA36" s="575" t="n">
        <f aca="false">IF(AA$7&lt;Fin_Close,0,AA17*Debtperc/SUM(Debtperc,Subdebtperc,SudamPerc))</f>
        <v>0</v>
      </c>
      <c r="AB36" s="575" t="n">
        <f aca="false">IF(AB$7&lt;Fin_Close,0,AB17*Debtperc/SUM(Debtperc,Subdebtperc,SudamPerc))</f>
        <v>0</v>
      </c>
      <c r="AC36" s="575" t="n">
        <f aca="false">IF(AC$7&lt;Fin_Close,0,AC17*Debtperc/SUM(Debtperc,Subdebtperc,SudamPerc))</f>
        <v>0</v>
      </c>
      <c r="AD36" s="575" t="n">
        <f aca="false">IF(AD$7&lt;Fin_Close,0,AD17*Debtperc/SUM(Debtperc,Subdebtperc,SudamPerc))</f>
        <v>0</v>
      </c>
      <c r="AE36" s="575" t="n">
        <f aca="false">IF(AE$7&lt;Fin_Close,0,AE17*Debtperc/SUM(Debtperc,Subdebtperc,SudamPerc))</f>
        <v>0</v>
      </c>
      <c r="AF36" s="575" t="n">
        <f aca="false">IF(AF$7&lt;Fin_Close,0,AF17*Debtperc/SUM(Debtperc,Subdebtperc,SudamPerc))</f>
        <v>0</v>
      </c>
      <c r="AG36" s="575" t="n">
        <f aca="false">IF(AG$7&lt;Fin_Close,0,AG17*Debtperc/SUM(Debtperc,Subdebtperc,SudamPerc))</f>
        <v>0</v>
      </c>
      <c r="AH36" s="575" t="n">
        <f aca="false">IF(AH$7&lt;Fin_Close,0,AH17*Debtperc/SUM(Debtperc,Subdebtperc,SudamPerc))</f>
        <v>0</v>
      </c>
      <c r="AI36" s="575" t="n">
        <f aca="false">IF(AI$7&lt;Fin_Close,0,AI17*Debtperc/SUM(Debtperc,Subdebtperc,SudamPerc))</f>
        <v>0</v>
      </c>
      <c r="AJ36" s="575" t="n">
        <f aca="false">IF(AJ$7&lt;Fin_Close,0,AJ17*Debtperc/SUM(Debtperc,Subdebtperc,SudamPerc))</f>
        <v>0</v>
      </c>
      <c r="AK36" s="575" t="n">
        <f aca="false">IF(AK$7&lt;Fin_Close,0,AK17*Debtperc/SUM(Debtperc,Subdebtperc,SudamPerc))</f>
        <v>0</v>
      </c>
      <c r="AL36" s="575" t="n">
        <f aca="false">IF(AL$7&lt;Fin_Close,0,AL17*Debtperc/SUM(Debtperc,Subdebtperc,SudamPerc))</f>
        <v>24535.3089305409</v>
      </c>
      <c r="AM36" s="575" t="n">
        <f aca="false">IF(AM$7&lt;Fin_Close,0,AM17*Debtperc/SUM(Debtperc,Subdebtperc,SudamPerc))</f>
        <v>857.983223482948</v>
      </c>
      <c r="AN36" s="575" t="n">
        <f aca="false">IF(AN$7&lt;Fin_Close,0,AN17*Debtperc/SUM(Debtperc,Subdebtperc,SudamPerc))</f>
        <v>857.983223482948</v>
      </c>
      <c r="AO36" s="575" t="n">
        <f aca="false">IF(AO$7&lt;Fin_Close,0,AO17*Debtperc/SUM(Debtperc,Subdebtperc,SudamPerc))</f>
        <v>16139.6486782322</v>
      </c>
      <c r="AP36" s="575" t="n">
        <f aca="false">IF(AP$7&lt;Fin_Close,0,AP17*Debtperc/SUM(Debtperc,Subdebtperc,SudamPerc))</f>
        <v>857.983223482948</v>
      </c>
      <c r="AQ36" s="575" t="n">
        <f aca="false">IF(AQ$7&lt;Fin_Close,0,AQ17*Debtperc/SUM(Debtperc,Subdebtperc,SudamPerc))</f>
        <v>857.983223482948</v>
      </c>
      <c r="AR36" s="575" t="n">
        <f aca="false">IF(AR$7&lt;Fin_Close,0,AR17*Debtperc/SUM(Debtperc,Subdebtperc,SudamPerc))</f>
        <v>857.983223482948</v>
      </c>
      <c r="AS36" s="575" t="n">
        <f aca="false">IF(AS$7&lt;Fin_Close,0,AS17*Debtperc/SUM(Debtperc,Subdebtperc,SudamPerc))</f>
        <v>16139.6486782322</v>
      </c>
      <c r="AT36" s="575" t="n">
        <f aca="false">IF(AT$7&lt;Fin_Close,0,AT17*Debtperc/SUM(Debtperc,Subdebtperc,SudamPerc))</f>
        <v>857.983223482948</v>
      </c>
      <c r="AU36" s="575" t="n">
        <f aca="false">IF(AU$7&lt;Fin_Close,0,AU17*Debtperc/SUM(Debtperc,Subdebtperc,SudamPerc))</f>
        <v>857.983223482948</v>
      </c>
      <c r="AV36" s="575" t="n">
        <f aca="false">IF(AV$7&lt;Fin_Close,0,AV17*Debtperc/SUM(Debtperc,Subdebtperc,SudamPerc))</f>
        <v>857.983223482948</v>
      </c>
      <c r="AW36" s="575" t="n">
        <f aca="false">IF(AW$7&lt;Fin_Close,0,AW17*Debtperc/SUM(Debtperc,Subdebtperc,SudamPerc))</f>
        <v>19491.0043999431</v>
      </c>
      <c r="AX36" s="575" t="n">
        <f aca="false">IF(AX$7&lt;Fin_Close,0,AX17*Debtperc/SUM(Debtperc,Subdebtperc,SudamPerc))</f>
        <v>0</v>
      </c>
      <c r="AY36" s="575" t="n">
        <f aca="false">IF(AY$7&lt;Fin_Close,0,AY17*Debtperc/SUM(Debtperc,Subdebtperc,SudamPerc))</f>
        <v>0</v>
      </c>
      <c r="AZ36" s="575" t="n">
        <f aca="false">IF(AZ$7&lt;Fin_Close,0,AZ17*Debtperc/SUM(Debtperc,Subdebtperc,SudamPerc))</f>
        <v>0</v>
      </c>
      <c r="BA36" s="753" t="n">
        <f aca="false">SUM(E36:AZ36)</f>
        <v>83169.476474812</v>
      </c>
      <c r="BB36" s="1044" t="n">
        <f aca="false">BB35+1</f>
        <v>30</v>
      </c>
    </row>
    <row r="37" customFormat="false" ht="12.75" hidden="false" customHeight="false" outlineLevel="0" collapsed="false">
      <c r="A37" s="37" t="s">
        <v>82</v>
      </c>
      <c r="E37" s="575" t="n">
        <f aca="false">IF(E$7&lt;Fin_Close,0,E18*Debtperc/SUM(Debtperc,Subdebtperc,SudamPerc))</f>
        <v>0</v>
      </c>
      <c r="F37" s="575" t="n">
        <f aca="false">IF(F$7&lt;Fin_Close,0,F18*Debtperc/SUM(Debtperc,Subdebtperc,SudamPerc))</f>
        <v>0</v>
      </c>
      <c r="G37" s="575" t="n">
        <f aca="false">IF(G$7&lt;Fin_Close,0,G18*Debtperc/SUM(Debtperc,Subdebtperc,SudamPerc))</f>
        <v>0</v>
      </c>
      <c r="H37" s="575" t="n">
        <f aca="false">IF(H$7&lt;Fin_Close,0,H18*Debtperc/SUM(Debtperc,Subdebtperc,SudamPerc))</f>
        <v>0</v>
      </c>
      <c r="I37" s="575" t="n">
        <f aca="false">IF(I$7&lt;Fin_Close,0,I18*Debtperc/SUM(Debtperc,Subdebtperc,SudamPerc))</f>
        <v>0</v>
      </c>
      <c r="J37" s="575" t="n">
        <f aca="false">IF(J$7&lt;Fin_Close,0,J18*Debtperc/SUM(Debtperc,Subdebtperc,SudamPerc))</f>
        <v>0</v>
      </c>
      <c r="K37" s="575" t="n">
        <f aca="false">IF(K$7&lt;Fin_Close,0,K18*Debtperc/SUM(Debtperc,Subdebtperc,SudamPerc))</f>
        <v>0</v>
      </c>
      <c r="L37" s="575" t="n">
        <f aca="false">IF(L$7&lt;Fin_Close,0,L18*Debtperc/SUM(Debtperc,Subdebtperc,SudamPerc))</f>
        <v>0</v>
      </c>
      <c r="M37" s="575" t="n">
        <f aca="false">IF(M$7&lt;Fin_Close,0,M18*Debtperc/SUM(Debtperc,Subdebtperc,SudamPerc))</f>
        <v>0</v>
      </c>
      <c r="N37" s="575" t="n">
        <f aca="false">IF(N$7&lt;Fin_Close,0,N18*Debtperc/SUM(Debtperc,Subdebtperc,SudamPerc))</f>
        <v>0</v>
      </c>
      <c r="O37" s="575" t="n">
        <f aca="false">IF(O$7&lt;Fin_Close,0,O18*Debtperc/SUM(Debtperc,Subdebtperc,SudamPerc))</f>
        <v>0</v>
      </c>
      <c r="P37" s="575" t="n">
        <f aca="false">IF(P$7&lt;Fin_Close,0,P18*Debtperc/SUM(Debtperc,Subdebtperc,SudamPerc))</f>
        <v>0</v>
      </c>
      <c r="Q37" s="575" t="n">
        <f aca="false">IF(Q$7&lt;Fin_Close,0,Q18*Debtperc/SUM(Debtperc,Subdebtperc,SudamPerc))</f>
        <v>0</v>
      </c>
      <c r="R37" s="575" t="n">
        <f aca="false">IF(R$7&lt;Fin_Close,0,R18*Debtperc/SUM(Debtperc,Subdebtperc,SudamPerc))</f>
        <v>0</v>
      </c>
      <c r="S37" s="575" t="n">
        <f aca="false">IF(S$7&lt;Fin_Close,0,S18*Debtperc/SUM(Debtperc,Subdebtperc,SudamPerc))</f>
        <v>0</v>
      </c>
      <c r="T37" s="575" t="n">
        <f aca="false">IF(T$7&lt;Fin_Close,0,T18*Debtperc/SUM(Debtperc,Subdebtperc,SudamPerc))</f>
        <v>0</v>
      </c>
      <c r="U37" s="575" t="n">
        <f aca="false">IF(U$7&lt;Fin_Close,0,U18*Debtperc/SUM(Debtperc,Subdebtperc,SudamPerc))</f>
        <v>0</v>
      </c>
      <c r="V37" s="575" t="n">
        <f aca="false">IF(V$7&lt;Fin_Close,0,V18*Debtperc/SUM(Debtperc,Subdebtperc,SudamPerc))</f>
        <v>0</v>
      </c>
      <c r="W37" s="575" t="n">
        <f aca="false">IF(W$7&lt;Fin_Close,0,W18*Debtperc/SUM(Debtperc,Subdebtperc,SudamPerc))</f>
        <v>0</v>
      </c>
      <c r="X37" s="575" t="n">
        <f aca="false">IF(X$7&lt;Fin_Close,0,X18*Debtperc/SUM(Debtperc,Subdebtperc,SudamPerc))</f>
        <v>0</v>
      </c>
      <c r="Y37" s="575" t="n">
        <f aca="false">IF(Y$7&lt;Fin_Close,0,Y18*Debtperc/SUM(Debtperc,Subdebtperc,SudamPerc))</f>
        <v>0</v>
      </c>
      <c r="Z37" s="575" t="n">
        <f aca="false">IF(Z$7&lt;Fin_Close,0,Z18*Debtperc/SUM(Debtperc,Subdebtperc,SudamPerc))</f>
        <v>0</v>
      </c>
      <c r="AA37" s="575" t="n">
        <f aca="false">IF(AA$7&lt;Fin_Close,0,AA18*Debtperc/SUM(Debtperc,Subdebtperc,SudamPerc))</f>
        <v>0</v>
      </c>
      <c r="AB37" s="575" t="n">
        <f aca="false">IF(AB$7&lt;Fin_Close,0,AB18*Debtperc/SUM(Debtperc,Subdebtperc,SudamPerc))</f>
        <v>0</v>
      </c>
      <c r="AC37" s="575" t="n">
        <f aca="false">IF(AC$7&lt;Fin_Close,0,AC18*Debtperc/SUM(Debtperc,Subdebtperc,SudamPerc))</f>
        <v>0</v>
      </c>
      <c r="AD37" s="575" t="n">
        <f aca="false">IF(AD$7&lt;Fin_Close,0,AD18*Debtperc/SUM(Debtperc,Subdebtperc,SudamPerc))</f>
        <v>0</v>
      </c>
      <c r="AE37" s="575" t="n">
        <f aca="false">IF(AE$7&lt;Fin_Close,0,AE18*Debtperc/SUM(Debtperc,Subdebtperc,SudamPerc))</f>
        <v>0</v>
      </c>
      <c r="AF37" s="575" t="n">
        <f aca="false">IF(AF$7&lt;Fin_Close,0,AF18*Debtperc/SUM(Debtperc,Subdebtperc,SudamPerc))</f>
        <v>0</v>
      </c>
      <c r="AG37" s="575" t="n">
        <f aca="false">IF(AG$7&lt;Fin_Close,0,AG18*Debtperc/SUM(Debtperc,Subdebtperc,SudamPerc))</f>
        <v>0</v>
      </c>
      <c r="AH37" s="575" t="n">
        <f aca="false">IF(AH$7&lt;Fin_Close,0,AH18*Debtperc/SUM(Debtperc,Subdebtperc,SudamPerc))</f>
        <v>0</v>
      </c>
      <c r="AI37" s="575" t="n">
        <f aca="false">IF(AI$7&lt;Fin_Close,0,AI18*Debtperc/SUM(Debtperc,Subdebtperc,SudamPerc))</f>
        <v>0</v>
      </c>
      <c r="AJ37" s="575" t="n">
        <f aca="false">IF(AJ$7&lt;Fin_Close,0,AJ18*Debtperc/SUM(Debtperc,Subdebtperc,SudamPerc))</f>
        <v>0</v>
      </c>
      <c r="AK37" s="575" t="n">
        <f aca="false">IF(AK$7&lt;Fin_Close,0,AK18*Debtperc/SUM(Debtperc,Subdebtperc,SudamPerc))</f>
        <v>0</v>
      </c>
      <c r="AL37" s="575" t="n">
        <f aca="false">IF(AL$7&lt;Fin_Close,0,AL18*Debtperc/SUM(Debtperc,Subdebtperc,SudamPerc))</f>
        <v>890.029820797834</v>
      </c>
      <c r="AM37" s="575" t="n">
        <f aca="false">IF(AM$7&lt;Fin_Close,0,AM18*Debtperc/SUM(Debtperc,Subdebtperc,SudamPerc))</f>
        <v>994.071209229698</v>
      </c>
      <c r="AN37" s="575" t="n">
        <f aca="false">IF(AN$7&lt;Fin_Close,0,AN18*Debtperc/SUM(Debtperc,Subdebtperc,SudamPerc))</f>
        <v>1008.67319958649</v>
      </c>
      <c r="AO37" s="575" t="n">
        <f aca="false">IF(AO$7&lt;Fin_Close,0,AO18*Debtperc/SUM(Debtperc,Subdebtperc,SudamPerc))</f>
        <v>1081.57738660299</v>
      </c>
      <c r="AP37" s="575" t="n">
        <f aca="false">IF(AP$7&lt;Fin_Close,0,AP18*Debtperc/SUM(Debtperc,Subdebtperc,SudamPerc))</f>
        <v>1155.04782686568</v>
      </c>
      <c r="AQ37" s="575" t="n">
        <f aca="false">IF(AQ$7&lt;Fin_Close,0,AQ18*Debtperc/SUM(Debtperc,Subdebtperc,SudamPerc))</f>
        <v>1170.90013679982</v>
      </c>
      <c r="AR37" s="575" t="n">
        <f aca="false">IF(AR$7&lt;Fin_Close,0,AR18*Debtperc/SUM(Debtperc,Subdebtperc,SudamPerc))</f>
        <v>1186.87557302241</v>
      </c>
      <c r="AS37" s="575" t="n">
        <f aca="false">IF(AS$7&lt;Fin_Close,0,AS18*Debtperc/SUM(Debtperc,Subdebtperc,SudamPerc))</f>
        <v>1261.16387357981</v>
      </c>
      <c r="AT37" s="575" t="n">
        <f aca="false">IF(AT$7&lt;Fin_Close,0,AT18*Debtperc/SUM(Debtperc,Subdebtperc,SudamPerc))</f>
        <v>1336.02917791526</v>
      </c>
      <c r="AU37" s="575" t="n">
        <f aca="false">IF(AU$7&lt;Fin_Close,0,AU18*Debtperc/SUM(Debtperc,Subdebtperc,SudamPerc))</f>
        <v>1353.28718595435</v>
      </c>
      <c r="AV37" s="575" t="n">
        <f aca="false">IF(AV$7&lt;Fin_Close,0,AV18*Debtperc/SUM(Debtperc,Subdebtperc,SudamPerc))</f>
        <v>1370.67923846296</v>
      </c>
      <c r="AW37" s="575" t="n">
        <f aca="false">IF(AW$7&lt;Fin_Close,0,AW18*Debtperc/SUM(Debtperc,Subdebtperc,SudamPerc))</f>
        <v>0</v>
      </c>
      <c r="AX37" s="575" t="n">
        <f aca="false">IF(AX$7&lt;Fin_Close,0,AX18*Debtperc/SUM(Debtperc,Subdebtperc,SudamPerc))</f>
        <v>0</v>
      </c>
      <c r="AY37" s="575" t="n">
        <f aca="false">IF(AY$7&lt;Fin_Close,0,AY18*Debtperc/SUM(Debtperc,Subdebtperc,SudamPerc))</f>
        <v>0</v>
      </c>
      <c r="AZ37" s="575" t="n">
        <f aca="false">IF(AZ$7&lt;Fin_Close,0,AZ18*Debtperc/SUM(Debtperc,Subdebtperc,SudamPerc))</f>
        <v>0</v>
      </c>
      <c r="BA37" s="753" t="n">
        <f aca="false">SUM(E37:AZ37)</f>
        <v>12808.3346288173</v>
      </c>
      <c r="BB37" s="1044" t="n">
        <f aca="false">BB36+1</f>
        <v>31</v>
      </c>
    </row>
    <row r="38" customFormat="false" ht="12.75" hidden="false" customHeight="false" outlineLevel="0" collapsed="false">
      <c r="A38" s="37" t="s">
        <v>1340</v>
      </c>
      <c r="E38" s="575" t="n">
        <f aca="false">IF(E$7&lt;Fin_Close,0,E19*Debtperc/SUM(Debtperc,Subdebtperc,SudamPerc))</f>
        <v>0</v>
      </c>
      <c r="F38" s="575" t="n">
        <f aca="false">IF(F$7&lt;Fin_Close,0,F19*Debtperc/SUM(Debtperc,Subdebtperc,SudamPerc))</f>
        <v>0</v>
      </c>
      <c r="G38" s="575" t="n">
        <f aca="false">IF(G$7&lt;Fin_Close,0,G19*Debtperc/SUM(Debtperc,Subdebtperc,SudamPerc))</f>
        <v>0</v>
      </c>
      <c r="H38" s="575" t="n">
        <f aca="false">IF(H$7&lt;Fin_Close,0,H19*Debtperc/SUM(Debtperc,Subdebtperc,SudamPerc))</f>
        <v>0</v>
      </c>
      <c r="I38" s="575" t="n">
        <f aca="false">IF(I$7&lt;Fin_Close,0,I19*Debtperc/SUM(Debtperc,Subdebtperc,SudamPerc))</f>
        <v>0</v>
      </c>
      <c r="J38" s="575" t="n">
        <f aca="false">IF(J$7&lt;Fin_Close,0,J19*Debtperc/SUM(Debtperc,Subdebtperc,SudamPerc))</f>
        <v>0</v>
      </c>
      <c r="K38" s="575" t="n">
        <f aca="false">IF(K$7&lt;Fin_Close,0,K19*Debtperc/SUM(Debtperc,Subdebtperc,SudamPerc))</f>
        <v>0</v>
      </c>
      <c r="L38" s="575" t="n">
        <f aca="false">IF(L$7&lt;Fin_Close,0,L19*Debtperc/SUM(Debtperc,Subdebtperc,SudamPerc))</f>
        <v>0</v>
      </c>
      <c r="M38" s="575" t="n">
        <f aca="false">IF(M$7&lt;Fin_Close,0,M19*Debtperc/SUM(Debtperc,Subdebtperc,SudamPerc))</f>
        <v>0</v>
      </c>
      <c r="N38" s="575" t="n">
        <f aca="false">IF(N$7&lt;Fin_Close,0,N19*Debtperc/SUM(Debtperc,Subdebtperc,SudamPerc))</f>
        <v>0</v>
      </c>
      <c r="O38" s="575" t="n">
        <f aca="false">IF(O$7&lt;Fin_Close,0,O19*Debtperc/SUM(Debtperc,Subdebtperc,SudamPerc))</f>
        <v>0</v>
      </c>
      <c r="P38" s="575" t="n">
        <f aca="false">IF(P$7&lt;Fin_Close,0,P19*Debtperc/SUM(Debtperc,Subdebtperc,SudamPerc))</f>
        <v>0</v>
      </c>
      <c r="Q38" s="575" t="n">
        <f aca="false">IF(Q$7&lt;Fin_Close,0,Q19*Debtperc/SUM(Debtperc,Subdebtperc,SudamPerc))</f>
        <v>0</v>
      </c>
      <c r="R38" s="575" t="n">
        <f aca="false">IF(R$7&lt;Fin_Close,0,R19*Debtperc/SUM(Debtperc,Subdebtperc,SudamPerc))</f>
        <v>0</v>
      </c>
      <c r="S38" s="575" t="n">
        <f aca="false">IF(S$7&lt;Fin_Close,0,S19*Debtperc/SUM(Debtperc,Subdebtperc,SudamPerc))</f>
        <v>0</v>
      </c>
      <c r="T38" s="575" t="n">
        <f aca="false">IF(T$7&lt;Fin_Close,0,T19*Debtperc/SUM(Debtperc,Subdebtperc,SudamPerc))</f>
        <v>0</v>
      </c>
      <c r="U38" s="575" t="n">
        <f aca="false">IF(U$7&lt;Fin_Close,0,U19*Debtperc/SUM(Debtperc,Subdebtperc,SudamPerc))</f>
        <v>0</v>
      </c>
      <c r="V38" s="575" t="n">
        <f aca="false">IF(V$7&lt;Fin_Close,0,V19*Debtperc/SUM(Debtperc,Subdebtperc,SudamPerc))</f>
        <v>0</v>
      </c>
      <c r="W38" s="575" t="n">
        <f aca="false">IF(W$7&lt;Fin_Close,0,W19*Debtperc/SUM(Debtperc,Subdebtperc,SudamPerc))</f>
        <v>0</v>
      </c>
      <c r="X38" s="575" t="n">
        <f aca="false">IF(X$7&lt;Fin_Close,0,X19*Debtperc/SUM(Debtperc,Subdebtperc,SudamPerc))</f>
        <v>0</v>
      </c>
      <c r="Y38" s="575" t="n">
        <f aca="false">IF(Y$7&lt;Fin_Close,0,Y19*Debtperc/SUM(Debtperc,Subdebtperc,SudamPerc))</f>
        <v>0</v>
      </c>
      <c r="Z38" s="575" t="n">
        <f aca="false">IF(Z$7&lt;Fin_Close,0,Z19*Debtperc/SUM(Debtperc,Subdebtperc,SudamPerc))</f>
        <v>0</v>
      </c>
      <c r="AA38" s="575" t="n">
        <f aca="false">IF(AA$7&lt;Fin_Close,0,AA19*Debtperc/SUM(Debtperc,Subdebtperc,SudamPerc))</f>
        <v>0</v>
      </c>
      <c r="AB38" s="575" t="n">
        <f aca="false">IF(AB$7&lt;Fin_Close,0,AB19*Debtperc/SUM(Debtperc,Subdebtperc,SudamPerc))</f>
        <v>0</v>
      </c>
      <c r="AC38" s="575" t="n">
        <f aca="false">IF(AC$7&lt;Fin_Close,0,AC19*Debtperc/SUM(Debtperc,Subdebtperc,SudamPerc))</f>
        <v>0</v>
      </c>
      <c r="AD38" s="575" t="n">
        <f aca="false">IF(AD$7&lt;Fin_Close,0,AD19*Debtperc/SUM(Debtperc,Subdebtperc,SudamPerc))</f>
        <v>0</v>
      </c>
      <c r="AE38" s="575" t="n">
        <f aca="false">IF(AE$7&lt;Fin_Close,0,AE19*Debtperc/SUM(Debtperc,Subdebtperc,SudamPerc))</f>
        <v>0</v>
      </c>
      <c r="AF38" s="575" t="n">
        <f aca="false">IF(AF$7&lt;Fin_Close,0,AF19*Debtperc/SUM(Debtperc,Subdebtperc,SudamPerc))</f>
        <v>0</v>
      </c>
      <c r="AG38" s="575" t="n">
        <f aca="false">IF(AG$7&lt;Fin_Close,0,AG19*Debtperc/SUM(Debtperc,Subdebtperc,SudamPerc))</f>
        <v>0</v>
      </c>
      <c r="AH38" s="575" t="n">
        <f aca="false">IF(AH$7&lt;Fin_Close,0,AH19*Debtperc/SUM(Debtperc,Subdebtperc,SudamPerc))</f>
        <v>0</v>
      </c>
      <c r="AI38" s="575" t="n">
        <f aca="false">IF(AI$7&lt;Fin_Close,0,AI19*Debtperc/SUM(Debtperc,Subdebtperc,SudamPerc))</f>
        <v>0</v>
      </c>
      <c r="AJ38" s="575" t="n">
        <f aca="false">IF(AJ$7&lt;Fin_Close,0,AJ19*Debtperc/SUM(Debtperc,Subdebtperc,SudamPerc))</f>
        <v>0</v>
      </c>
      <c r="AK38" s="575" t="n">
        <f aca="false">IF(AK$7&lt;Fin_Close,0,AK19*Debtperc/SUM(Debtperc,Subdebtperc,SudamPerc))</f>
        <v>0</v>
      </c>
      <c r="AL38" s="575" t="n">
        <f aca="false">IF(AL$7&lt;Fin_Close,0,AL19*Debtperc/SUM(Debtperc,Subdebtperc,SudamPerc))</f>
        <v>44.2673528486705</v>
      </c>
      <c r="AM38" s="575" t="n">
        <f aca="false">IF(AM$7&lt;Fin_Close,0,AM19*Debtperc/SUM(Debtperc,Subdebtperc,SudamPerc))</f>
        <v>49.4420523305939</v>
      </c>
      <c r="AN38" s="575" t="n">
        <f aca="false">IF(AN$7&lt;Fin_Close,0,AN19*Debtperc/SUM(Debtperc,Subdebtperc,SudamPerc))</f>
        <v>50.1683105348836</v>
      </c>
      <c r="AO38" s="575" t="n">
        <f aca="false">IF(AO$7&lt;Fin_Close,0,AO19*Debtperc/SUM(Debtperc,Subdebtperc,SudamPerc))</f>
        <v>53.7943411412648</v>
      </c>
      <c r="AP38" s="575" t="n">
        <f aca="false">IF(AP$7&lt;Fin_Close,0,AP19*Debtperc/SUM(Debtperc,Subdebtperc,SudamPerc))</f>
        <v>57.4485354469572</v>
      </c>
      <c r="AQ38" s="575" t="n">
        <f aca="false">IF(AQ$7&lt;Fin_Close,0,AQ19*Debtperc/SUM(Debtperc,Subdebtperc,SudamPerc))</f>
        <v>58.2369807112877</v>
      </c>
      <c r="AR38" s="575" t="n">
        <f aca="false">IF(AR$7&lt;Fin_Close,0,AR19*Debtperc/SUM(Debtperc,Subdebtperc,SudamPerc))</f>
        <v>59.0315498994784</v>
      </c>
      <c r="AS38" s="575" t="n">
        <f aca="false">IF(AS$7&lt;Fin_Close,0,AS19*Debtperc/SUM(Debtperc,Subdebtperc,SudamPerc))</f>
        <v>62.7264220671933</v>
      </c>
      <c r="AT38" s="575" t="n">
        <f aca="false">IF(AT$7&lt;Fin_Close,0,AT19*Debtperc/SUM(Debtperc,Subdebtperc,SudamPerc))</f>
        <v>66.4499926326938</v>
      </c>
      <c r="AU38" s="575" t="n">
        <f aca="false">IF(AU$7&lt;Fin_Close,0,AU19*Debtperc/SUM(Debtperc,Subdebtperc,SudamPerc))</f>
        <v>67.3083530083571</v>
      </c>
      <c r="AV38" s="575" t="n">
        <f aca="false">IF(AV$7&lt;Fin_Close,0,AV19*Debtperc/SUM(Debtperc,Subdebtperc,SudamPerc))</f>
        <v>68.1733803447124</v>
      </c>
      <c r="AW38" s="575" t="n">
        <f aca="false">IF(AW$7&lt;Fin_Close,0,AW19*Debtperc/SUM(Debtperc,Subdebtperc,SudamPerc))</f>
        <v>0</v>
      </c>
      <c r="AX38" s="575" t="n">
        <f aca="false">IF(AX$7&lt;Fin_Close,0,AX19*Debtperc/SUM(Debtperc,Subdebtperc,SudamPerc))</f>
        <v>0</v>
      </c>
      <c r="AY38" s="575" t="n">
        <f aca="false">IF(AY$7&lt;Fin_Close,0,AY19*Debtperc/SUM(Debtperc,Subdebtperc,SudamPerc))</f>
        <v>0</v>
      </c>
      <c r="AZ38" s="575" t="n">
        <f aca="false">IF(AZ$7&lt;Fin_Close,0,AZ19*Debtperc/SUM(Debtperc,Subdebtperc,SudamPerc))</f>
        <v>0</v>
      </c>
      <c r="BA38" s="753" t="n">
        <f aca="false">SUM(E38:AZ38)</f>
        <v>637.047270966093</v>
      </c>
      <c r="BB38" s="1044" t="n">
        <f aca="false">BB37+1</f>
        <v>32</v>
      </c>
    </row>
    <row r="39" customFormat="false" ht="12.75" hidden="false" customHeight="false" outlineLevel="0" collapsed="false">
      <c r="A39" s="37" t="s">
        <v>102</v>
      </c>
      <c r="E39" s="1045" t="n">
        <f aca="false">IF(E$7&lt;Fin_Close,0,E20*Debtperc/SUM(Debtperc,Subdebtperc,SudamPerc))</f>
        <v>0</v>
      </c>
      <c r="F39" s="1045" t="n">
        <f aca="false">IF(F$7&lt;Fin_Close,0,F20*Debtperc/SUM(Debtperc,Subdebtperc,SudamPerc))</f>
        <v>0</v>
      </c>
      <c r="G39" s="1045" t="n">
        <f aca="false">IF(G$7&lt;Fin_Close,0,G20*Debtperc/SUM(Debtperc,Subdebtperc,SudamPerc))</f>
        <v>0</v>
      </c>
      <c r="H39" s="1045" t="n">
        <f aca="false">IF(H$7&lt;Fin_Close,0,H20*Debtperc/SUM(Debtperc,Subdebtperc,SudamPerc))</f>
        <v>0</v>
      </c>
      <c r="I39" s="1045" t="n">
        <f aca="false">IF(I$7&lt;Fin_Close,0,I20*Debtperc/SUM(Debtperc,Subdebtperc,SudamPerc))</f>
        <v>0</v>
      </c>
      <c r="J39" s="1045" t="n">
        <f aca="false">IF(J$7&lt;Fin_Close,0,J20*Debtperc/SUM(Debtperc,Subdebtperc,SudamPerc))</f>
        <v>0</v>
      </c>
      <c r="K39" s="1045" t="n">
        <f aca="false">IF(K$7&lt;Fin_Close,0,K20*Debtperc/SUM(Debtperc,Subdebtperc,SudamPerc))</f>
        <v>0</v>
      </c>
      <c r="L39" s="1045" t="n">
        <f aca="false">IF(L$7&lt;Fin_Close,0,L20*Debtperc/SUM(Debtperc,Subdebtperc,SudamPerc))</f>
        <v>0</v>
      </c>
      <c r="M39" s="1045" t="n">
        <f aca="false">IF(M$7&lt;Fin_Close,0,M20*Debtperc/SUM(Debtperc,Subdebtperc,SudamPerc))</f>
        <v>0</v>
      </c>
      <c r="N39" s="1045" t="n">
        <f aca="false">IF(N$7&lt;Fin_Close,0,N20*Debtperc/SUM(Debtperc,Subdebtperc,SudamPerc))</f>
        <v>0</v>
      </c>
      <c r="O39" s="1045" t="n">
        <f aca="false">IF(O$7&lt;Fin_Close,0,O20*Debtperc/SUM(Debtperc,Subdebtperc,SudamPerc))</f>
        <v>0</v>
      </c>
      <c r="P39" s="1045" t="n">
        <f aca="false">IF(P$7&lt;Fin_Close,0,P20*Debtperc/SUM(Debtperc,Subdebtperc,SudamPerc))</f>
        <v>0</v>
      </c>
      <c r="Q39" s="1045" t="n">
        <f aca="false">IF(Q$7&lt;Fin_Close,0,Q20*Debtperc/SUM(Debtperc,Subdebtperc,SudamPerc))</f>
        <v>0</v>
      </c>
      <c r="R39" s="1045" t="n">
        <f aca="false">IF(R$7&lt;Fin_Close,0,R20*Debtperc/SUM(Debtperc,Subdebtperc,SudamPerc))</f>
        <v>0</v>
      </c>
      <c r="S39" s="1045" t="n">
        <f aca="false">IF(S$7&lt;Fin_Close,0,S20*Debtperc/SUM(Debtperc,Subdebtperc,SudamPerc))</f>
        <v>0</v>
      </c>
      <c r="T39" s="1045" t="n">
        <f aca="false">IF(T$7&lt;Fin_Close,0,T20*Debtperc/SUM(Debtperc,Subdebtperc,SudamPerc))</f>
        <v>0</v>
      </c>
      <c r="U39" s="1045" t="n">
        <f aca="false">IF(U$7&lt;Fin_Close,0,U20*Debtperc/SUM(Debtperc,Subdebtperc,SudamPerc))</f>
        <v>0</v>
      </c>
      <c r="V39" s="1045" t="n">
        <f aca="false">IF(V$7&lt;Fin_Close,0,V20*Debtperc/SUM(Debtperc,Subdebtperc,SudamPerc))</f>
        <v>0</v>
      </c>
      <c r="W39" s="1045" t="n">
        <f aca="false">IF(W$7&lt;Fin_Close,0,W20*Debtperc/SUM(Debtperc,Subdebtperc,SudamPerc))</f>
        <v>0</v>
      </c>
      <c r="X39" s="1045" t="n">
        <f aca="false">IF(X$7&lt;Fin_Close,0,X20*Debtperc/SUM(Debtperc,Subdebtperc,SudamPerc))</f>
        <v>0</v>
      </c>
      <c r="Y39" s="1045" t="n">
        <f aca="false">IF(Y$7&lt;Fin_Close,0,Y20*Debtperc/SUM(Debtperc,Subdebtperc,SudamPerc))</f>
        <v>0</v>
      </c>
      <c r="Z39" s="1045" t="n">
        <f aca="false">IF(Z$7&lt;Fin_Close,0,Z20*Debtperc/SUM(Debtperc,Subdebtperc,SudamPerc))</f>
        <v>0</v>
      </c>
      <c r="AA39" s="1045" t="n">
        <f aca="false">IF(AA$7&lt;Fin_Close,0,AA20*Debtperc/SUM(Debtperc,Subdebtperc,SudamPerc))</f>
        <v>0</v>
      </c>
      <c r="AB39" s="1045" t="n">
        <f aca="false">IF(AB$7&lt;Fin_Close,0,AB20*Debtperc/SUM(Debtperc,Subdebtperc,SudamPerc))</f>
        <v>0</v>
      </c>
      <c r="AC39" s="1045" t="n">
        <f aca="false">IF(AC$7&lt;Fin_Close,0,AC20*Debtperc/SUM(Debtperc,Subdebtperc,SudamPerc))</f>
        <v>0</v>
      </c>
      <c r="AD39" s="1045" t="n">
        <f aca="false">IF(AD$7&lt;Fin_Close,0,AD20*Debtperc/SUM(Debtperc,Subdebtperc,SudamPerc))</f>
        <v>0</v>
      </c>
      <c r="AE39" s="1045" t="n">
        <f aca="false">IF(AE$7&lt;Fin_Close,0,AE20*Debtperc/SUM(Debtperc,Subdebtperc,SudamPerc))</f>
        <v>0</v>
      </c>
      <c r="AF39" s="1045" t="n">
        <f aca="false">IF(AF$7&lt;Fin_Close,0,AF20*Debtperc/SUM(Debtperc,Subdebtperc,SudamPerc))</f>
        <v>0</v>
      </c>
      <c r="AG39" s="1045" t="n">
        <f aca="false">IF(AG$7&lt;Fin_Close,0,AG20*Debtperc/SUM(Debtperc,Subdebtperc,SudamPerc))</f>
        <v>0</v>
      </c>
      <c r="AH39" s="1045" t="n">
        <f aca="false">IF(AH$7&lt;Fin_Close,0,AH20*Debtperc/SUM(Debtperc,Subdebtperc,SudamPerc))</f>
        <v>0</v>
      </c>
      <c r="AI39" s="1045" t="n">
        <f aca="false">IF(AI$7&lt;Fin_Close,0,AI20*Debtperc/SUM(Debtperc,Subdebtperc,SudamPerc))</f>
        <v>0</v>
      </c>
      <c r="AJ39" s="1045" t="n">
        <f aca="false">IF(AJ$7&lt;Fin_Close,0,AJ20*Debtperc/SUM(Debtperc,Subdebtperc,SudamPerc))</f>
        <v>0</v>
      </c>
      <c r="AK39" s="1045" t="n">
        <f aca="false">IF(AK$7&lt;Fin_Close,0,AK20*Debtperc/SUM(Debtperc,Subdebtperc,SudamPerc))</f>
        <v>0</v>
      </c>
      <c r="AL39" s="1045" t="n">
        <f aca="false">IF(AL$7&lt;Fin_Close,0,AL20*Debtperc/SUM(Debtperc,Subdebtperc,SudamPerc))</f>
        <v>30.8455395617425</v>
      </c>
      <c r="AM39" s="1045" t="n">
        <f aca="false">IF(AM$7&lt;Fin_Close,0,AM20*Debtperc/SUM(Debtperc,Subdebtperc,SudamPerc))</f>
        <v>15.9068789261205</v>
      </c>
      <c r="AN39" s="1045" t="n">
        <f aca="false">IF(AN$7&lt;Fin_Close,0,AN20*Debtperc/SUM(Debtperc,Subdebtperc,SudamPerc))</f>
        <v>15.4712712892401</v>
      </c>
      <c r="AO39" s="1045" t="n">
        <f aca="false">IF(AO$7&lt;Fin_Close,0,AO20*Debtperc/SUM(Debtperc,Subdebtperc,SudamPerc))</f>
        <v>13.2963882870624</v>
      </c>
      <c r="AP39" s="1045" t="n">
        <f aca="false">IF(AP$7&lt;Fin_Close,0,AP20*Debtperc/SUM(Debtperc,Subdebtperc,SudamPerc))</f>
        <v>11.1046127769168</v>
      </c>
      <c r="AQ39" s="1045" t="n">
        <f aca="false">IF(AQ$7&lt;Fin_Close,0,AQ20*Debtperc/SUM(Debtperc,Subdebtperc,SudamPerc))</f>
        <v>10.631705515593</v>
      </c>
      <c r="AR39" s="1045" t="n">
        <f aca="false">IF(AR$7&lt;Fin_Close,0,AR20*Debtperc/SUM(Debtperc,Subdebtperc,SudamPerc))</f>
        <v>10.1551251418894</v>
      </c>
      <c r="AS39" s="1045" t="n">
        <f aca="false">IF(AS$7&lt;Fin_Close,0,AS20*Debtperc/SUM(Debtperc,Subdebtperc,SudamPerc))</f>
        <v>7.93895116403027</v>
      </c>
      <c r="AT39" s="1045" t="n">
        <f aca="false">IF(AT$7&lt;Fin_Close,0,AT20*Debtperc/SUM(Debtperc,Subdebtperc,SudamPerc))</f>
        <v>5.70556396755582</v>
      </c>
      <c r="AU39" s="1045" t="n">
        <f aca="false">IF(AU$7&lt;Fin_Close,0,AU20*Debtperc/SUM(Debtperc,Subdebtperc,SudamPerc))</f>
        <v>5.19072181826794</v>
      </c>
      <c r="AV39" s="1045" t="n">
        <f aca="false">IF(AV$7&lt;Fin_Close,0,AV20*Debtperc/SUM(Debtperc,Subdebtperc,SudamPerc))</f>
        <v>4.67188084462934</v>
      </c>
      <c r="AW39" s="1045" t="n">
        <f aca="false">IF(AW$7&lt;Fin_Close,0,AW20*Debtperc/SUM(Debtperc,Subdebtperc,SudamPerc))</f>
        <v>2.20572839216947</v>
      </c>
      <c r="AX39" s="1045" t="n">
        <f aca="false">IF(AX$7&lt;Fin_Close,0,AX20*Debtperc/SUM(Debtperc,Subdebtperc,SudamPerc))</f>
        <v>7.90369299710008E-014</v>
      </c>
      <c r="AY39" s="1045" t="n">
        <f aca="false">IF(AY$7&lt;Fin_Close,0,AY20*Debtperc/SUM(Debtperc,Subdebtperc,SudamPerc))</f>
        <v>7.90369299710008E-014</v>
      </c>
      <c r="AZ39" s="1045" t="n">
        <f aca="false">IF(AZ$7&lt;Fin_Close,0,AZ20*Debtperc/SUM(Debtperc,Subdebtperc,SudamPerc))</f>
        <v>7.90369299710008E-014</v>
      </c>
      <c r="BA39" s="1046" t="n">
        <f aca="false">SUM(E39:AZ39)</f>
        <v>133.124367685218</v>
      </c>
      <c r="BB39" s="1044" t="n">
        <f aca="false">BB38+1</f>
        <v>33</v>
      </c>
    </row>
    <row r="40" customFormat="false" ht="12.75" hidden="false" customHeight="false" outlineLevel="0" collapsed="false">
      <c r="A40" s="37" t="s">
        <v>1067</v>
      </c>
      <c r="E40" s="217" t="n">
        <f aca="false">SUM(E34:E39)</f>
        <v>0</v>
      </c>
      <c r="F40" s="217" t="n">
        <f aca="false">SUM(F34:F39)</f>
        <v>0</v>
      </c>
      <c r="G40" s="217" t="n">
        <f aca="false">SUM(G34:G39)</f>
        <v>0</v>
      </c>
      <c r="H40" s="217" t="n">
        <f aca="false">SUM(H34:H39)</f>
        <v>0</v>
      </c>
      <c r="I40" s="217" t="n">
        <f aca="false">SUM(I34:I39)</f>
        <v>0</v>
      </c>
      <c r="J40" s="217" t="n">
        <f aca="false">SUM(J34:J39)</f>
        <v>0</v>
      </c>
      <c r="K40" s="217" t="n">
        <f aca="false">SUM(K34:K39)</f>
        <v>0</v>
      </c>
      <c r="L40" s="217" t="n">
        <f aca="false">SUM(L34:L39)</f>
        <v>0</v>
      </c>
      <c r="M40" s="217" t="n">
        <f aca="false">SUM(M34:M39)</f>
        <v>0</v>
      </c>
      <c r="N40" s="217" t="n">
        <f aca="false">SUM(N34:N39)</f>
        <v>0</v>
      </c>
      <c r="O40" s="217" t="n">
        <f aca="false">SUM(O34:O39)</f>
        <v>0</v>
      </c>
      <c r="P40" s="217" t="n">
        <f aca="false">SUM(P34:P39)</f>
        <v>0</v>
      </c>
      <c r="Q40" s="217" t="n">
        <f aca="false">SUM(Q34:Q39)</f>
        <v>0</v>
      </c>
      <c r="R40" s="217" t="n">
        <f aca="false">SUM(R34:R39)</f>
        <v>0</v>
      </c>
      <c r="S40" s="217" t="n">
        <f aca="false">SUM(S34:S39)</f>
        <v>0</v>
      </c>
      <c r="T40" s="217" t="n">
        <f aca="false">SUM(T34:T39)</f>
        <v>0</v>
      </c>
      <c r="U40" s="217" t="n">
        <f aca="false">SUM(U34:U39)</f>
        <v>0</v>
      </c>
      <c r="V40" s="217" t="n">
        <f aca="false">SUM(V34:V39)</f>
        <v>0</v>
      </c>
      <c r="W40" s="217" t="n">
        <f aca="false">SUM(W34:W39)</f>
        <v>0</v>
      </c>
      <c r="X40" s="217" t="n">
        <f aca="false">SUM(X34:X39)</f>
        <v>0</v>
      </c>
      <c r="Y40" s="217" t="n">
        <f aca="false">SUM(Y34:Y39)</f>
        <v>0</v>
      </c>
      <c r="Z40" s="217" t="n">
        <f aca="false">SUM(Z34:Z39)</f>
        <v>0</v>
      </c>
      <c r="AA40" s="217" t="n">
        <f aca="false">SUM(AA34:AA39)</f>
        <v>0</v>
      </c>
      <c r="AB40" s="217" t="n">
        <f aca="false">SUM(AB34:AB39)</f>
        <v>0</v>
      </c>
      <c r="AC40" s="217" t="n">
        <f aca="false">SUM(AC34:AC39)</f>
        <v>0</v>
      </c>
      <c r="AD40" s="217" t="n">
        <f aca="false">SUM(AD34:AD39)</f>
        <v>0</v>
      </c>
      <c r="AE40" s="217" t="n">
        <f aca="false">SUM(AE34:AE39)</f>
        <v>0</v>
      </c>
      <c r="AF40" s="217" t="n">
        <f aca="false">SUM(AF34:AF39)</f>
        <v>0</v>
      </c>
      <c r="AG40" s="217" t="n">
        <f aca="false">SUM(AG34:AG39)</f>
        <v>0</v>
      </c>
      <c r="AH40" s="217" t="n">
        <f aca="false">SUM(AH34:AH39)</f>
        <v>0</v>
      </c>
      <c r="AI40" s="217" t="n">
        <f aca="false">SUM(AI34:AI39)</f>
        <v>0</v>
      </c>
      <c r="AJ40" s="217" t="n">
        <f aca="false">SUM(AJ34:AJ39)</f>
        <v>0</v>
      </c>
      <c r="AK40" s="217" t="n">
        <f aca="false">SUM(AK34:AK39)</f>
        <v>0</v>
      </c>
      <c r="AL40" s="217" t="n">
        <f aca="false">SUM(AL34:AL39)</f>
        <v>130103.588812527</v>
      </c>
      <c r="AM40" s="217" t="n">
        <f aca="false">SUM(AM34:AM39)</f>
        <v>132020.992176496</v>
      </c>
      <c r="AN40" s="217" t="n">
        <f aca="false">SUM(AN34:AN39)</f>
        <v>133953.28818139</v>
      </c>
      <c r="AO40" s="217" t="n">
        <f aca="false">SUM(AO34:AO39)</f>
        <v>151241.604975653</v>
      </c>
      <c r="AP40" s="217" t="n">
        <f aca="false">SUM(AP34:AP39)</f>
        <v>153323.189174226</v>
      </c>
      <c r="AQ40" s="217" t="n">
        <f aca="false">SUM(AQ34:AQ39)</f>
        <v>155420.941220736</v>
      </c>
      <c r="AR40" s="217" t="n">
        <f aca="false">SUM(AR34:AR39)</f>
        <v>157534.986692282</v>
      </c>
      <c r="AS40" s="217" t="n">
        <f aca="false">SUM(AS34:AS39)</f>
        <v>175006.464617325</v>
      </c>
      <c r="AT40" s="217" t="n">
        <f aca="false">SUM(AT34:AT39)</f>
        <v>177272.632575324</v>
      </c>
      <c r="AU40" s="217" t="n">
        <f aca="false">SUM(AU34:AU39)</f>
        <v>179556.402059588</v>
      </c>
      <c r="AV40" s="217" t="n">
        <f aca="false">SUM(AV34:AV39)</f>
        <v>181857.909782723</v>
      </c>
      <c r="AW40" s="217" t="n">
        <f aca="false">SUM(AW34:AW39)</f>
        <v>201351.119911058</v>
      </c>
      <c r="AX40" s="217" t="n">
        <f aca="false">SUM(AX34:AX39)</f>
        <v>201351.119911058</v>
      </c>
      <c r="AY40" s="217" t="n">
        <f aca="false">SUM(AY34:AY39)</f>
        <v>201351.119911058</v>
      </c>
      <c r="AZ40" s="217" t="n">
        <f aca="false">SUM(AZ34:AZ39)</f>
        <v>201351.119911058</v>
      </c>
      <c r="BA40" s="574" t="n">
        <f aca="false">SUM(BA34:BA39)</f>
        <v>201351.119911058</v>
      </c>
      <c r="BB40" s="175" t="n">
        <f aca="false">BB39+1</f>
        <v>34</v>
      </c>
    </row>
    <row r="41" customFormat="false" ht="12.75" hidden="false" customHeight="false" outlineLevel="0" collapsed="false">
      <c r="A41" s="37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56"/>
      <c r="Q41" s="556"/>
      <c r="R41" s="556"/>
      <c r="S41" s="556"/>
      <c r="T41" s="556"/>
      <c r="U41" s="556"/>
      <c r="V41" s="556"/>
      <c r="W41" s="556"/>
      <c r="X41" s="556"/>
      <c r="Y41" s="556"/>
      <c r="Z41" s="556"/>
      <c r="AA41" s="556"/>
      <c r="AB41" s="556"/>
      <c r="AC41" s="556"/>
      <c r="AD41" s="556"/>
      <c r="AE41" s="556"/>
      <c r="AF41" s="556"/>
      <c r="AG41" s="556"/>
      <c r="AH41" s="556"/>
      <c r="AI41" s="556"/>
      <c r="AJ41" s="556"/>
      <c r="AK41" s="556"/>
      <c r="AL41" s="556"/>
      <c r="AM41" s="556"/>
      <c r="AN41" s="556"/>
      <c r="AO41" s="556"/>
      <c r="AP41" s="556"/>
      <c r="AQ41" s="556"/>
      <c r="AR41" s="556"/>
      <c r="AS41" s="556"/>
      <c r="AT41" s="556"/>
      <c r="AU41" s="556"/>
      <c r="AV41" s="556"/>
      <c r="AW41" s="556"/>
      <c r="AX41" s="556"/>
      <c r="AY41" s="556"/>
      <c r="AZ41" s="556"/>
      <c r="BA41" s="555"/>
      <c r="BB41" s="175" t="n">
        <f aca="false">BB40+1</f>
        <v>35</v>
      </c>
    </row>
    <row r="42" customFormat="false" ht="12.75" hidden="false" customHeight="false" outlineLevel="0" collapsed="false">
      <c r="A42" s="130" t="s">
        <v>949</v>
      </c>
      <c r="P42" s="656"/>
      <c r="Q42" s="556"/>
      <c r="BA42" s="555"/>
      <c r="BB42" s="175" t="n">
        <f aca="false">BB41+1</f>
        <v>36</v>
      </c>
    </row>
    <row r="43" customFormat="false" ht="12.75" hidden="false" customHeight="false" outlineLevel="0" collapsed="false">
      <c r="A43" s="37" t="s">
        <v>1063</v>
      </c>
      <c r="E43" s="189" t="n">
        <v>0</v>
      </c>
      <c r="F43" s="217" t="n">
        <f aca="false">E49</f>
        <v>0</v>
      </c>
      <c r="G43" s="217" t="n">
        <f aca="false">F49</f>
        <v>0</v>
      </c>
      <c r="H43" s="217" t="n">
        <f aca="false">G49</f>
        <v>0</v>
      </c>
      <c r="I43" s="217" t="n">
        <f aca="false">H49</f>
        <v>0</v>
      </c>
      <c r="J43" s="217" t="n">
        <f aca="false">I49</f>
        <v>0</v>
      </c>
      <c r="K43" s="217" t="n">
        <f aca="false">J49</f>
        <v>0</v>
      </c>
      <c r="L43" s="217" t="n">
        <f aca="false">K49</f>
        <v>0</v>
      </c>
      <c r="M43" s="217" t="n">
        <f aca="false">L49</f>
        <v>0</v>
      </c>
      <c r="N43" s="217" t="n">
        <f aca="false">M49</f>
        <v>0</v>
      </c>
      <c r="O43" s="217" t="n">
        <f aca="false">N49</f>
        <v>0</v>
      </c>
      <c r="P43" s="217" t="n">
        <f aca="false">O49</f>
        <v>0</v>
      </c>
      <c r="Q43" s="217" t="n">
        <f aca="false">P49</f>
        <v>0</v>
      </c>
      <c r="R43" s="217" t="n">
        <f aca="false">Q49</f>
        <v>0</v>
      </c>
      <c r="S43" s="217" t="n">
        <f aca="false">R49</f>
        <v>0</v>
      </c>
      <c r="T43" s="217" t="n">
        <f aca="false">S49</f>
        <v>0</v>
      </c>
      <c r="U43" s="217" t="n">
        <f aca="false">T49</f>
        <v>0</v>
      </c>
      <c r="V43" s="217" t="n">
        <f aca="false">U49</f>
        <v>0</v>
      </c>
      <c r="W43" s="217" t="n">
        <f aca="false">V49</f>
        <v>0</v>
      </c>
      <c r="X43" s="217" t="n">
        <f aca="false">W49</f>
        <v>0</v>
      </c>
      <c r="Y43" s="217" t="n">
        <f aca="false">X49</f>
        <v>0</v>
      </c>
      <c r="Z43" s="217" t="n">
        <f aca="false">Y49</f>
        <v>0</v>
      </c>
      <c r="AA43" s="217" t="n">
        <f aca="false">Z49</f>
        <v>0</v>
      </c>
      <c r="AB43" s="217" t="n">
        <f aca="false">AA49</f>
        <v>0</v>
      </c>
      <c r="AC43" s="217" t="n">
        <f aca="false">AB49</f>
        <v>0</v>
      </c>
      <c r="AD43" s="217" t="n">
        <f aca="false">AC49</f>
        <v>0</v>
      </c>
      <c r="AE43" s="217" t="n">
        <f aca="false">AD49</f>
        <v>0</v>
      </c>
      <c r="AF43" s="217" t="n">
        <f aca="false">AE49</f>
        <v>0</v>
      </c>
      <c r="AG43" s="217" t="n">
        <f aca="false">AF49</f>
        <v>0</v>
      </c>
      <c r="AH43" s="217" t="n">
        <f aca="false">AG49</f>
        <v>0</v>
      </c>
      <c r="AI43" s="217" t="n">
        <f aca="false">AH49</f>
        <v>0</v>
      </c>
      <c r="AJ43" s="217" t="n">
        <f aca="false">AI49</f>
        <v>0</v>
      </c>
      <c r="AK43" s="217" t="n">
        <f aca="false">AJ49</f>
        <v>0</v>
      </c>
      <c r="AL43" s="217" t="n">
        <f aca="false">AK49</f>
        <v>0</v>
      </c>
      <c r="AM43" s="217" t="n">
        <f aca="false">AL49</f>
        <v>32145.9807443703</v>
      </c>
      <c r="AN43" s="217" t="n">
        <f aca="false">AM49</f>
        <v>32619.7325615178</v>
      </c>
      <c r="AO43" s="217" t="n">
        <f aca="false">AN49</f>
        <v>33097.1640507847</v>
      </c>
      <c r="AP43" s="217" t="n">
        <f aca="false">AO49</f>
        <v>37368.7595067085</v>
      </c>
      <c r="AQ43" s="217" t="n">
        <f aca="false">AP49</f>
        <v>37883.0771068288</v>
      </c>
      <c r="AR43" s="217" t="n">
        <f aca="false">AQ49</f>
        <v>38401.3894570802</v>
      </c>
      <c r="AS43" s="217" t="n">
        <f aca="false">AR49</f>
        <v>38923.727585039</v>
      </c>
      <c r="AT43" s="217" t="n">
        <f aca="false">AS49</f>
        <v>43240.5784734755</v>
      </c>
      <c r="AU43" s="217" t="n">
        <f aca="false">AT49</f>
        <v>43800.5030090415</v>
      </c>
      <c r="AV43" s="217" t="n">
        <f aca="false">AU49</f>
        <v>44364.776527826</v>
      </c>
      <c r="AW43" s="217" t="n">
        <f aca="false">AV49</f>
        <v>44933.4328087648</v>
      </c>
      <c r="AX43" s="217" t="n">
        <f aca="false">AW49</f>
        <v>49749.8130727587</v>
      </c>
      <c r="AY43" s="217" t="n">
        <f aca="false">AX49</f>
        <v>49749.8130727587</v>
      </c>
      <c r="AZ43" s="217" t="n">
        <f aca="false">AY49</f>
        <v>49749.8130727587</v>
      </c>
      <c r="BA43" s="574" t="n">
        <f aca="false">E43</f>
        <v>0</v>
      </c>
      <c r="BB43" s="175" t="n">
        <f aca="false">BB42+1</f>
        <v>37</v>
      </c>
    </row>
    <row r="44" customFormat="false" ht="12.75" hidden="false" customHeight="false" outlineLevel="0" collapsed="false">
      <c r="A44" s="37" t="s">
        <v>1347</v>
      </c>
      <c r="E44" s="575" t="n">
        <f aca="false">(IF(E$7=Fin_Close,-E27*(SUM(Subdebtperc,SudamPerc))/SUM(Debtperc,Subdebtperc,SudamPerc),0)-E67)</f>
        <v>0</v>
      </c>
      <c r="F44" s="575" t="n">
        <f aca="false">(IF(F$7=Fin_Close,-F27*(SUM(Subdebtperc,SudamPerc))/SUM(Debtperc,Subdebtperc,SudamPerc),0)-F67)</f>
        <v>0</v>
      </c>
      <c r="G44" s="575" t="n">
        <f aca="false">(IF(G$7=Fin_Close,-G27*(SUM(Subdebtperc,SudamPerc))/SUM(Debtperc,Subdebtperc,SudamPerc),0)-G67)</f>
        <v>0</v>
      </c>
      <c r="H44" s="575" t="n">
        <f aca="false">(IF(H$7=Fin_Close,-H27*(SUM(Subdebtperc,SudamPerc))/SUM(Debtperc,Subdebtperc,SudamPerc),0)-H67)</f>
        <v>0</v>
      </c>
      <c r="I44" s="575" t="n">
        <f aca="false">(IF(I$7=Fin_Close,-I27*(SUM(Subdebtperc,SudamPerc))/SUM(Debtperc,Subdebtperc,SudamPerc),0)-I67)</f>
        <v>0</v>
      </c>
      <c r="J44" s="575" t="n">
        <f aca="false">(IF(J$7=Fin_Close,-J27*(SUM(Subdebtperc,SudamPerc))/SUM(Debtperc,Subdebtperc,SudamPerc),0)-J67)</f>
        <v>0</v>
      </c>
      <c r="K44" s="575" t="n">
        <f aca="false">(IF(K$7=Fin_Close,-K27*(SUM(Subdebtperc,SudamPerc))/SUM(Debtperc,Subdebtperc,SudamPerc),0)-K67)</f>
        <v>0</v>
      </c>
      <c r="L44" s="575" t="n">
        <f aca="false">(IF(L$7=Fin_Close,-L27*(SUM(Subdebtperc,SudamPerc))/SUM(Debtperc,Subdebtperc,SudamPerc),0)-L67)</f>
        <v>0</v>
      </c>
      <c r="M44" s="575" t="n">
        <f aca="false">(IF(M$7=Fin_Close,-M27*(SUM(Subdebtperc,SudamPerc))/SUM(Debtperc,Subdebtperc,SudamPerc),0)-M67)</f>
        <v>0</v>
      </c>
      <c r="N44" s="575" t="n">
        <f aca="false">(IF(N$7=Fin_Close,-N27*(SUM(Subdebtperc,SudamPerc))/SUM(Debtperc,Subdebtperc,SudamPerc),0)-N67)</f>
        <v>0</v>
      </c>
      <c r="O44" s="575" t="n">
        <f aca="false">(IF(O$7=Fin_Close,-O27*(SUM(Subdebtperc,SudamPerc))/SUM(Debtperc,Subdebtperc,SudamPerc),0)-O67)</f>
        <v>0</v>
      </c>
      <c r="P44" s="575" t="n">
        <f aca="false">(IF(P$7=Fin_Close,-P27*(SUM(Subdebtperc,SudamPerc))/SUM(Debtperc,Subdebtperc,SudamPerc),0)-P67)</f>
        <v>0</v>
      </c>
      <c r="Q44" s="575" t="n">
        <f aca="false">(IF(Q$7=Fin_Close,-Q27*(SUM(Subdebtperc,SudamPerc))/SUM(Debtperc,Subdebtperc,SudamPerc),0)-Q67)</f>
        <v>0</v>
      </c>
      <c r="R44" s="575" t="n">
        <f aca="false">(IF(R$7=Fin_Close,-R27*(SUM(Subdebtperc,SudamPerc))/SUM(Debtperc,Subdebtperc,SudamPerc),0)-R67)</f>
        <v>0</v>
      </c>
      <c r="S44" s="575" t="n">
        <f aca="false">(IF(S$7=Fin_Close,-S27*(SUM(Subdebtperc,SudamPerc))/SUM(Debtperc,Subdebtperc,SudamPerc),0)-S67)</f>
        <v>0</v>
      </c>
      <c r="T44" s="575" t="n">
        <f aca="false">(IF(T$7=Fin_Close,-T27*(SUM(Subdebtperc,SudamPerc))/SUM(Debtperc,Subdebtperc,SudamPerc),0)-T67)</f>
        <v>0</v>
      </c>
      <c r="U44" s="575" t="n">
        <f aca="false">(IF(U$7=Fin_Close,-U27*(SUM(Subdebtperc,SudamPerc))/SUM(Debtperc,Subdebtperc,SudamPerc),0)-U67)</f>
        <v>0</v>
      </c>
      <c r="V44" s="575" t="n">
        <f aca="false">(IF(V$7=Fin_Close,-V27*(SUM(Subdebtperc,SudamPerc))/SUM(Debtperc,Subdebtperc,SudamPerc),0)-V67)</f>
        <v>0</v>
      </c>
      <c r="W44" s="575" t="n">
        <f aca="false">(IF(W$7=Fin_Close,-W27*(SUM(Subdebtperc,SudamPerc))/SUM(Debtperc,Subdebtperc,SudamPerc),0)-W67)</f>
        <v>0</v>
      </c>
      <c r="X44" s="575" t="n">
        <f aca="false">(IF(X$7=Fin_Close,-X27*(SUM(Subdebtperc,SudamPerc))/SUM(Debtperc,Subdebtperc,SudamPerc),0)-X67)</f>
        <v>0</v>
      </c>
      <c r="Y44" s="575" t="n">
        <f aca="false">(IF(Y$7=Fin_Close,-Y27*(SUM(Subdebtperc,SudamPerc))/SUM(Debtperc,Subdebtperc,SudamPerc),0)-Y67)</f>
        <v>0</v>
      </c>
      <c r="Z44" s="575" t="n">
        <f aca="false">(IF(Z$7=Fin_Close,-Z27*(SUM(Subdebtperc,SudamPerc))/SUM(Debtperc,Subdebtperc,SudamPerc),0)-Z67)</f>
        <v>0</v>
      </c>
      <c r="AA44" s="575" t="n">
        <f aca="false">(IF(AA$7=Fin_Close,-AA27*(SUM(Subdebtperc,SudamPerc))/SUM(Debtperc,Subdebtperc,SudamPerc),0)-AA67)</f>
        <v>0</v>
      </c>
      <c r="AB44" s="575" t="n">
        <f aca="false">(IF(AB$7=Fin_Close,-AB27*(SUM(Subdebtperc,SudamPerc))/SUM(Debtperc,Subdebtperc,SudamPerc),0)-AB67)</f>
        <v>0</v>
      </c>
      <c r="AC44" s="575" t="n">
        <f aca="false">(IF(AC$7=Fin_Close,-AC27*(SUM(Subdebtperc,SudamPerc))/SUM(Debtperc,Subdebtperc,SudamPerc),0)-AC67)</f>
        <v>0</v>
      </c>
      <c r="AD44" s="575" t="n">
        <f aca="false">(IF(AD$7=Fin_Close,-AD27*(SUM(Subdebtperc,SudamPerc))/SUM(Debtperc,Subdebtperc,SudamPerc),0)-AD67)</f>
        <v>0</v>
      </c>
      <c r="AE44" s="575" t="n">
        <f aca="false">(IF(AE$7=Fin_Close,-AE27*(SUM(Subdebtperc,SudamPerc))/SUM(Debtperc,Subdebtperc,SudamPerc),0)-AE67)</f>
        <v>0</v>
      </c>
      <c r="AF44" s="575" t="n">
        <f aca="false">(IF(AF$7=Fin_Close,-AF27*(SUM(Subdebtperc,SudamPerc))/SUM(Debtperc,Subdebtperc,SudamPerc),0)-AF67)</f>
        <v>0</v>
      </c>
      <c r="AG44" s="575" t="n">
        <f aca="false">(IF(AG$7=Fin_Close,-AG27*(SUM(Subdebtperc,SudamPerc))/SUM(Debtperc,Subdebtperc,SudamPerc),0)-AG67)</f>
        <v>0</v>
      </c>
      <c r="AH44" s="575" t="n">
        <f aca="false">(IF(AH$7=Fin_Close,-AH27*(SUM(Subdebtperc,SudamPerc))/SUM(Debtperc,Subdebtperc,SudamPerc),0)-AH67)</f>
        <v>0</v>
      </c>
      <c r="AI44" s="575" t="n">
        <f aca="false">(IF(AI$7=Fin_Close,-AI27*(SUM(Subdebtperc,SudamPerc))/SUM(Debtperc,Subdebtperc,SudamPerc),0)-AI67)</f>
        <v>0</v>
      </c>
      <c r="AJ44" s="575" t="n">
        <f aca="false">(IF(AJ$7=Fin_Close,-AJ27*(SUM(Subdebtperc,SudamPerc))/SUM(Debtperc,Subdebtperc,SudamPerc),0)-AJ67)</f>
        <v>0</v>
      </c>
      <c r="AK44" s="575" t="n">
        <f aca="false">(IF(AK$7=Fin_Close,-AK27*(SUM(Subdebtperc,SudamPerc))/SUM(Debtperc,Subdebtperc,SudamPerc),0)-AK67)</f>
        <v>0</v>
      </c>
      <c r="AL44" s="575" t="n">
        <f aca="false">(IF(AL$7=Fin_Close,-AL27*(SUM(Subdebtperc,SudamPerc))/SUM(Debtperc,Subdebtperc,SudamPerc),0)-AL67)</f>
        <v>25845.3318922167</v>
      </c>
      <c r="AM44" s="575" t="n">
        <f aca="false">(IF(AM$7=Fin_Close,-AM27*(SUM(Subdebtperc,SudamPerc))/SUM(Debtperc,Subdebtperc,SudamPerc),0)-AM67)</f>
        <v>0</v>
      </c>
      <c r="AN44" s="575" t="n">
        <f aca="false">(IF(AN$7=Fin_Close,-AN27*(SUM(Subdebtperc,SudamPerc))/SUM(Debtperc,Subdebtperc,SudamPerc),0)-AN67)</f>
        <v>0</v>
      </c>
      <c r="AO44" s="575" t="n">
        <f aca="false">(IF(AO$7=Fin_Close,-AO27*(SUM(Subdebtperc,SudamPerc))/SUM(Debtperc,Subdebtperc,SudamPerc),0)-AO67)</f>
        <v>0</v>
      </c>
      <c r="AP44" s="575" t="n">
        <f aca="false">(IF(AP$7=Fin_Close,-AP27*(SUM(Subdebtperc,SudamPerc))/SUM(Debtperc,Subdebtperc,SudamPerc),0)-AP67)</f>
        <v>0</v>
      </c>
      <c r="AQ44" s="575" t="n">
        <f aca="false">(IF(AQ$7=Fin_Close,-AQ27*(SUM(Subdebtperc,SudamPerc))/SUM(Debtperc,Subdebtperc,SudamPerc),0)-AQ67)</f>
        <v>0</v>
      </c>
      <c r="AR44" s="575" t="n">
        <f aca="false">(IF(AR$7=Fin_Close,-AR27*(SUM(Subdebtperc,SudamPerc))/SUM(Debtperc,Subdebtperc,SudamPerc),0)-AR67)</f>
        <v>0</v>
      </c>
      <c r="AS44" s="575" t="n">
        <f aca="false">(IF(AS$7=Fin_Close,-AS27*(SUM(Subdebtperc,SudamPerc))/SUM(Debtperc,Subdebtperc,SudamPerc),0)-AS67)</f>
        <v>0</v>
      </c>
      <c r="AT44" s="575" t="n">
        <f aca="false">(IF(AT$7=Fin_Close,-AT27*(SUM(Subdebtperc,SudamPerc))/SUM(Debtperc,Subdebtperc,SudamPerc),0)-AT67)</f>
        <v>0</v>
      </c>
      <c r="AU44" s="575" t="n">
        <f aca="false">(IF(AU$7=Fin_Close,-AU27*(SUM(Subdebtperc,SudamPerc))/SUM(Debtperc,Subdebtperc,SudamPerc),0)-AU67)</f>
        <v>0</v>
      </c>
      <c r="AV44" s="575" t="n">
        <f aca="false">(IF(AV$7=Fin_Close,-AV27*(SUM(Subdebtperc,SudamPerc))/SUM(Debtperc,Subdebtperc,SudamPerc),0)-AV67)</f>
        <v>0</v>
      </c>
      <c r="AW44" s="575" t="n">
        <f aca="false">(IF(AW$7=Fin_Close,-AW27*(SUM(Subdebtperc,SudamPerc))/SUM(Debtperc,Subdebtperc,SudamPerc),0)-AW67)</f>
        <v>0</v>
      </c>
      <c r="AX44" s="575" t="n">
        <f aca="false">(IF(AX$7=Fin_Close,-AX27*(SUM(Subdebtperc,SudamPerc))/SUM(Debtperc,Subdebtperc,SudamPerc),0)-AX67)</f>
        <v>0</v>
      </c>
      <c r="AY44" s="575" t="n">
        <f aca="false">(IF(AY$7=Fin_Close,-AY27*(SUM(Subdebtperc,SudamPerc))/SUM(Debtperc,Subdebtperc,SudamPerc),0)-AY67)</f>
        <v>0</v>
      </c>
      <c r="AZ44" s="575" t="n">
        <f aca="false">(IF(AZ$7=Fin_Close,-AZ27*(SUM(Subdebtperc,SudamPerc))/SUM(Debtperc,Subdebtperc,SudamPerc),0)-AZ67)</f>
        <v>0</v>
      </c>
      <c r="BA44" s="753" t="n">
        <f aca="false">SUM(E44:AZ44)</f>
        <v>25845.3318922167</v>
      </c>
      <c r="BB44" s="1044" t="n">
        <f aca="false">BB43+1</f>
        <v>38</v>
      </c>
    </row>
    <row r="45" customFormat="false" ht="12.75" hidden="false" customHeight="false" outlineLevel="0" collapsed="false">
      <c r="A45" s="37" t="s">
        <v>1339</v>
      </c>
      <c r="E45" s="575" t="n">
        <f aca="false">IF(E$7&lt;Fin_Close,0,E17*(SUM(Subdebtperc,SudamPerc))/SUM(Debtperc,Subdebtperc,SudamPerc))-(E68*0)</f>
        <v>0</v>
      </c>
      <c r="F45" s="575" t="n">
        <f aca="false">IF(F$7&lt;Fin_Close,0,F17*(SUM(Subdebtperc,SudamPerc))/SUM(Debtperc,Subdebtperc,SudamPerc))-(F68*0)</f>
        <v>0</v>
      </c>
      <c r="G45" s="575" t="n">
        <f aca="false">IF(G$7&lt;Fin_Close,0,G17*(SUM(Subdebtperc,SudamPerc))/SUM(Debtperc,Subdebtperc,SudamPerc))-(G68*0)</f>
        <v>0</v>
      </c>
      <c r="H45" s="575" t="n">
        <f aca="false">IF(H$7&lt;Fin_Close,0,H17*(SUM(Subdebtperc,SudamPerc))/SUM(Debtperc,Subdebtperc,SudamPerc))-(H68*0)</f>
        <v>0</v>
      </c>
      <c r="I45" s="575" t="n">
        <f aca="false">IF(I$7&lt;Fin_Close,0,I17*(SUM(Subdebtperc,SudamPerc))/SUM(Debtperc,Subdebtperc,SudamPerc))-(I68*0)</f>
        <v>0</v>
      </c>
      <c r="J45" s="575" t="n">
        <f aca="false">IF(J$7&lt;Fin_Close,0,J17*(SUM(Subdebtperc,SudamPerc))/SUM(Debtperc,Subdebtperc,SudamPerc))-(J68*0)</f>
        <v>0</v>
      </c>
      <c r="K45" s="575" t="n">
        <f aca="false">IF(K$7&lt;Fin_Close,0,K17*(SUM(Subdebtperc,SudamPerc))/SUM(Debtperc,Subdebtperc,SudamPerc))-(K68*0)</f>
        <v>0</v>
      </c>
      <c r="L45" s="575" t="n">
        <f aca="false">IF(L$7&lt;Fin_Close,0,L17*(SUM(Subdebtperc,SudamPerc))/SUM(Debtperc,Subdebtperc,SudamPerc))-(L68*0)</f>
        <v>0</v>
      </c>
      <c r="M45" s="575" t="n">
        <f aca="false">IF(M$7&lt;Fin_Close,0,M17*(SUM(Subdebtperc,SudamPerc))/SUM(Debtperc,Subdebtperc,SudamPerc))-(M68*0)</f>
        <v>0</v>
      </c>
      <c r="N45" s="575" t="n">
        <f aca="false">IF(N$7&lt;Fin_Close,0,N17*(SUM(Subdebtperc,SudamPerc))/SUM(Debtperc,Subdebtperc,SudamPerc))-(N68*0)</f>
        <v>0</v>
      </c>
      <c r="O45" s="575" t="n">
        <f aca="false">IF(O$7&lt;Fin_Close,0,O17*(SUM(Subdebtperc,SudamPerc))/SUM(Debtperc,Subdebtperc,SudamPerc))-(O68*0)</f>
        <v>0</v>
      </c>
      <c r="P45" s="575" t="n">
        <f aca="false">IF(P$7&lt;Fin_Close,0,P17*(SUM(Subdebtperc,SudamPerc))/SUM(Debtperc,Subdebtperc,SudamPerc))-(P68*0)</f>
        <v>0</v>
      </c>
      <c r="Q45" s="575" t="n">
        <f aca="false">IF(Q$7&lt;Fin_Close,0,Q17*(SUM(Subdebtperc,SudamPerc))/SUM(Debtperc,Subdebtperc,SudamPerc))-(Q68*0)</f>
        <v>0</v>
      </c>
      <c r="R45" s="575" t="n">
        <f aca="false">IF(R$7&lt;Fin_Close,0,R17*(SUM(Subdebtperc,SudamPerc))/SUM(Debtperc,Subdebtperc,SudamPerc))-(R68*0)</f>
        <v>0</v>
      </c>
      <c r="S45" s="575" t="n">
        <f aca="false">IF(S$7&lt;Fin_Close,0,S17*(SUM(Subdebtperc,SudamPerc))/SUM(Debtperc,Subdebtperc,SudamPerc))-(S68*0)</f>
        <v>0</v>
      </c>
      <c r="T45" s="575" t="n">
        <f aca="false">IF(T$7&lt;Fin_Close,0,T17*(SUM(Subdebtperc,SudamPerc))/SUM(Debtperc,Subdebtperc,SudamPerc))-(T68*0)</f>
        <v>0</v>
      </c>
      <c r="U45" s="575" t="n">
        <f aca="false">IF(U$7&lt;Fin_Close,0,U17*(SUM(Subdebtperc,SudamPerc))/SUM(Debtperc,Subdebtperc,SudamPerc))-(U68*0)</f>
        <v>0</v>
      </c>
      <c r="V45" s="575" t="n">
        <f aca="false">IF(V$7&lt;Fin_Close,0,V17*(SUM(Subdebtperc,SudamPerc))/SUM(Debtperc,Subdebtperc,SudamPerc))-(V68*0)</f>
        <v>0</v>
      </c>
      <c r="W45" s="575" t="n">
        <f aca="false">IF(W$7&lt;Fin_Close,0,W17*(SUM(Subdebtperc,SudamPerc))/SUM(Debtperc,Subdebtperc,SudamPerc))-(W68*0)</f>
        <v>0</v>
      </c>
      <c r="X45" s="575" t="n">
        <f aca="false">IF(X$7&lt;Fin_Close,0,X17*(SUM(Subdebtperc,SudamPerc))/SUM(Debtperc,Subdebtperc,SudamPerc))-(X68*0)</f>
        <v>0</v>
      </c>
      <c r="Y45" s="575" t="n">
        <f aca="false">IF(Y$7&lt;Fin_Close,0,Y17*(SUM(Subdebtperc,SudamPerc))/SUM(Debtperc,Subdebtperc,SudamPerc))-(Y68*0)</f>
        <v>0</v>
      </c>
      <c r="Z45" s="575" t="n">
        <f aca="false">IF(Z$7&lt;Fin_Close,0,Z17*(SUM(Subdebtperc,SudamPerc))/SUM(Debtperc,Subdebtperc,SudamPerc))-(Z68*0)</f>
        <v>0</v>
      </c>
      <c r="AA45" s="575" t="n">
        <f aca="false">IF(AA$7&lt;Fin_Close,0,AA17*(SUM(Subdebtperc,SudamPerc))/SUM(Debtperc,Subdebtperc,SudamPerc))-(AA68*0)</f>
        <v>0</v>
      </c>
      <c r="AB45" s="575" t="n">
        <f aca="false">IF(AB$7&lt;Fin_Close,0,AB17*(SUM(Subdebtperc,SudamPerc))/SUM(Debtperc,Subdebtperc,SudamPerc))-(AB68*0)</f>
        <v>0</v>
      </c>
      <c r="AC45" s="575" t="n">
        <f aca="false">IF(AC$7&lt;Fin_Close,0,AC17*(SUM(Subdebtperc,SudamPerc))/SUM(Debtperc,Subdebtperc,SudamPerc))-(AC68*0)</f>
        <v>0</v>
      </c>
      <c r="AD45" s="575" t="n">
        <f aca="false">IF(AD$7&lt;Fin_Close,0,AD17*(SUM(Subdebtperc,SudamPerc))/SUM(Debtperc,Subdebtperc,SudamPerc))-(AD68*0)</f>
        <v>0</v>
      </c>
      <c r="AE45" s="575" t="n">
        <f aca="false">IF(AE$7&lt;Fin_Close,0,AE17*(SUM(Subdebtperc,SudamPerc))/SUM(Debtperc,Subdebtperc,SudamPerc))-(AE68*0)</f>
        <v>0</v>
      </c>
      <c r="AF45" s="575" t="n">
        <f aca="false">IF(AF$7&lt;Fin_Close,0,AF17*(SUM(Subdebtperc,SudamPerc))/SUM(Debtperc,Subdebtperc,SudamPerc))-(AF68*0)</f>
        <v>0</v>
      </c>
      <c r="AG45" s="575" t="n">
        <f aca="false">IF(AG$7&lt;Fin_Close,0,AG17*(SUM(Subdebtperc,SudamPerc))/SUM(Debtperc,Subdebtperc,SudamPerc))-(AG68*0)</f>
        <v>0</v>
      </c>
      <c r="AH45" s="575" t="n">
        <f aca="false">IF(AH$7&lt;Fin_Close,0,AH17*(SUM(Subdebtperc,SudamPerc))/SUM(Debtperc,Subdebtperc,SudamPerc))-(AH68*0)</f>
        <v>0</v>
      </c>
      <c r="AI45" s="575" t="n">
        <f aca="false">IF(AI$7&lt;Fin_Close,0,AI17*(SUM(Subdebtperc,SudamPerc))/SUM(Debtperc,Subdebtperc,SudamPerc))-(AI68*0)</f>
        <v>0</v>
      </c>
      <c r="AJ45" s="575" t="n">
        <f aca="false">IF(AJ$7&lt;Fin_Close,0,AJ17*(SUM(Subdebtperc,SudamPerc))/SUM(Debtperc,Subdebtperc,SudamPerc))-(AJ68*0)</f>
        <v>0</v>
      </c>
      <c r="AK45" s="575" t="n">
        <f aca="false">IF(AK$7&lt;Fin_Close,0,AK17*(SUM(Subdebtperc,SudamPerc))/SUM(Debtperc,Subdebtperc,SudamPerc))-(AK68*0)</f>
        <v>0</v>
      </c>
      <c r="AL45" s="575" t="n">
        <f aca="false">IF(AL$7&lt;Fin_Close,0,AL17*(SUM(Subdebtperc,SudamPerc))/SUM(Debtperc,Subdebtperc,SudamPerc))-(AL68*0)</f>
        <v>6062.18149427714</v>
      </c>
      <c r="AM45" s="575" t="n">
        <f aca="false">IF(AM$7&lt;Fin_Close,0,AM17*(SUM(Subdebtperc,SudamPerc))/SUM(Debtperc,Subdebtperc,SudamPerc))-(AM68*0)</f>
        <v>211.9904026692</v>
      </c>
      <c r="AN45" s="575" t="n">
        <f aca="false">IF(AN$7&lt;Fin_Close,0,AN17*(SUM(Subdebtperc,SudamPerc))/SUM(Debtperc,Subdebtperc,SudamPerc))-(AN68*0)</f>
        <v>211.9904026692</v>
      </c>
      <c r="AO45" s="575" t="n">
        <f aca="false">IF(AO$7&lt;Fin_Close,0,AO17*(SUM(Subdebtperc,SudamPerc))/SUM(Debtperc,Subdebtperc,SudamPerc))-(AO68*0)</f>
        <v>3987.78266123738</v>
      </c>
      <c r="AP45" s="575" t="n">
        <f aca="false">IF(AP$7&lt;Fin_Close,0,AP17*(SUM(Subdebtperc,SudamPerc))/SUM(Debtperc,Subdebtperc,SudamPerc))-(AP68*0)</f>
        <v>211.9904026692</v>
      </c>
      <c r="AQ45" s="575" t="n">
        <f aca="false">IF(AQ$7&lt;Fin_Close,0,AQ17*(SUM(Subdebtperc,SudamPerc))/SUM(Debtperc,Subdebtperc,SudamPerc))-(AQ68*0)</f>
        <v>211.9904026692</v>
      </c>
      <c r="AR45" s="575" t="n">
        <f aca="false">IF(AR$7&lt;Fin_Close,0,AR17*(SUM(Subdebtperc,SudamPerc))/SUM(Debtperc,Subdebtperc,SudamPerc))-(AR68*0)</f>
        <v>211.9904026692</v>
      </c>
      <c r="AS45" s="575" t="n">
        <f aca="false">IF(AS$7&lt;Fin_Close,0,AS17*(SUM(Subdebtperc,SudamPerc))/SUM(Debtperc,Subdebtperc,SudamPerc))-(AS68*0)</f>
        <v>3987.78266123738</v>
      </c>
      <c r="AT45" s="575" t="n">
        <f aca="false">IF(AT$7&lt;Fin_Close,0,AT17*(SUM(Subdebtperc,SudamPerc))/SUM(Debtperc,Subdebtperc,SudamPerc))-(AT68*0)</f>
        <v>211.9904026692</v>
      </c>
      <c r="AU45" s="575" t="n">
        <f aca="false">IF(AU$7&lt;Fin_Close,0,AU17*(SUM(Subdebtperc,SudamPerc))/SUM(Debtperc,Subdebtperc,SudamPerc))-(AU68*0)</f>
        <v>211.9904026692</v>
      </c>
      <c r="AV45" s="575" t="n">
        <f aca="false">IF(AV$7&lt;Fin_Close,0,AV17*(SUM(Subdebtperc,SudamPerc))/SUM(Debtperc,Subdebtperc,SudamPerc))-(AV68*0)</f>
        <v>211.9904026692</v>
      </c>
      <c r="AW45" s="575" t="n">
        <f aca="false">IF(AW$7&lt;Fin_Close,0,AW17*(SUM(Subdebtperc,SudamPerc))/SUM(Debtperc,Subdebtperc,SudamPerc))-(AW68*0)</f>
        <v>4815.83527285975</v>
      </c>
      <c r="AX45" s="575" t="n">
        <f aca="false">IF(AX$7&lt;Fin_Close,0,AX17*(SUM(Subdebtperc,SudamPerc))/SUM(Debtperc,Subdebtperc,SudamPerc))-(AX68*0)</f>
        <v>0</v>
      </c>
      <c r="AY45" s="575" t="n">
        <f aca="false">IF(AY$7&lt;Fin_Close,0,AY17*(SUM(Subdebtperc,SudamPerc))/SUM(Debtperc,Subdebtperc,SudamPerc))-(AY68*0)</f>
        <v>0</v>
      </c>
      <c r="AZ45" s="575" t="n">
        <f aca="false">IF(AZ$7&lt;Fin_Close,0,AZ17*(SUM(Subdebtperc,SudamPerc))/SUM(Debtperc,Subdebtperc,SudamPerc))-(AZ68*0)</f>
        <v>0</v>
      </c>
      <c r="BA45" s="753" t="n">
        <f aca="false">SUM(E45:AZ45)</f>
        <v>20549.5053109652</v>
      </c>
      <c r="BB45" s="1044" t="n">
        <f aca="false">BB44+1</f>
        <v>39</v>
      </c>
    </row>
    <row r="46" customFormat="false" ht="12.75" hidden="false" customHeight="false" outlineLevel="0" collapsed="false">
      <c r="A46" s="37" t="s">
        <v>82</v>
      </c>
      <c r="E46" s="575" t="n">
        <f aca="false">IF(E$7&lt;Fin_Close,0,E18*(SUM(Subdebtperc,SudamPerc))/SUM(Debtperc,Subdebtperc,SudamPerc))-(E69*0)</f>
        <v>0</v>
      </c>
      <c r="F46" s="575" t="n">
        <f aca="false">IF(F$7&lt;Fin_Close,0,F18*(SUM(Subdebtperc,SudamPerc))/SUM(Debtperc,Subdebtperc,SudamPerc))-(F69*0)</f>
        <v>0</v>
      </c>
      <c r="G46" s="575" t="n">
        <f aca="false">IF(G$7&lt;Fin_Close,0,G18*(SUM(Subdebtperc,SudamPerc))/SUM(Debtperc,Subdebtperc,SudamPerc))-(G69*0)</f>
        <v>0</v>
      </c>
      <c r="H46" s="575" t="n">
        <f aca="false">IF(H$7&lt;Fin_Close,0,H18*(SUM(Subdebtperc,SudamPerc))/SUM(Debtperc,Subdebtperc,SudamPerc))-(H69*0)</f>
        <v>0</v>
      </c>
      <c r="I46" s="575" t="n">
        <f aca="false">IF(I$7&lt;Fin_Close,0,I18*(SUM(Subdebtperc,SudamPerc))/SUM(Debtperc,Subdebtperc,SudamPerc))-(I69*0)</f>
        <v>0</v>
      </c>
      <c r="J46" s="575" t="n">
        <f aca="false">IF(J$7&lt;Fin_Close,0,J18*(SUM(Subdebtperc,SudamPerc))/SUM(Debtperc,Subdebtperc,SudamPerc))-(J69*0)</f>
        <v>0</v>
      </c>
      <c r="K46" s="575" t="n">
        <f aca="false">IF(K$7&lt;Fin_Close,0,K18*(SUM(Subdebtperc,SudamPerc))/SUM(Debtperc,Subdebtperc,SudamPerc))-(K69*0)</f>
        <v>0</v>
      </c>
      <c r="L46" s="575" t="n">
        <f aca="false">IF(L$7&lt;Fin_Close,0,L18*(SUM(Subdebtperc,SudamPerc))/SUM(Debtperc,Subdebtperc,SudamPerc))-(L69*0)</f>
        <v>0</v>
      </c>
      <c r="M46" s="575" t="n">
        <f aca="false">IF(M$7&lt;Fin_Close,0,M18*(SUM(Subdebtperc,SudamPerc))/SUM(Debtperc,Subdebtperc,SudamPerc))-(M69*0)</f>
        <v>0</v>
      </c>
      <c r="N46" s="575" t="n">
        <f aca="false">IF(N$7&lt;Fin_Close,0,N18*(SUM(Subdebtperc,SudamPerc))/SUM(Debtperc,Subdebtperc,SudamPerc))-(N69*0)</f>
        <v>0</v>
      </c>
      <c r="O46" s="575" t="n">
        <f aca="false">IF(O$7&lt;Fin_Close,0,O18*(SUM(Subdebtperc,SudamPerc))/SUM(Debtperc,Subdebtperc,SudamPerc))-(O69*0)</f>
        <v>0</v>
      </c>
      <c r="P46" s="575" t="n">
        <f aca="false">IF(P$7&lt;Fin_Close,0,P18*(SUM(Subdebtperc,SudamPerc))/SUM(Debtperc,Subdebtperc,SudamPerc))-(P69*0)</f>
        <v>0</v>
      </c>
      <c r="Q46" s="575" t="n">
        <f aca="false">IF(Q$7&lt;Fin_Close,0,Q18*(SUM(Subdebtperc,SudamPerc))/SUM(Debtperc,Subdebtperc,SudamPerc))-(Q69*0)</f>
        <v>0</v>
      </c>
      <c r="R46" s="575" t="n">
        <f aca="false">IF(R$7&lt;Fin_Close,0,R18*(SUM(Subdebtperc,SudamPerc))/SUM(Debtperc,Subdebtperc,SudamPerc))-(R69*0)</f>
        <v>0</v>
      </c>
      <c r="S46" s="575" t="n">
        <f aca="false">IF(S$7&lt;Fin_Close,0,S18*(SUM(Subdebtperc,SudamPerc))/SUM(Debtperc,Subdebtperc,SudamPerc))-(S69*0)</f>
        <v>0</v>
      </c>
      <c r="T46" s="575" t="n">
        <f aca="false">IF(T$7&lt;Fin_Close,0,T18*(SUM(Subdebtperc,SudamPerc))/SUM(Debtperc,Subdebtperc,SudamPerc))-(T69*0)</f>
        <v>0</v>
      </c>
      <c r="U46" s="575" t="n">
        <f aca="false">IF(U$7&lt;Fin_Close,0,U18*(SUM(Subdebtperc,SudamPerc))/SUM(Debtperc,Subdebtperc,SudamPerc))-(U69*0)</f>
        <v>0</v>
      </c>
      <c r="V46" s="575" t="n">
        <f aca="false">IF(V$7&lt;Fin_Close,0,V18*(SUM(Subdebtperc,SudamPerc))/SUM(Debtperc,Subdebtperc,SudamPerc))-(V69*0)</f>
        <v>0</v>
      </c>
      <c r="W46" s="575" t="n">
        <f aca="false">IF(W$7&lt;Fin_Close,0,W18*(SUM(Subdebtperc,SudamPerc))/SUM(Debtperc,Subdebtperc,SudamPerc))-(W69*0)</f>
        <v>0</v>
      </c>
      <c r="X46" s="575" t="n">
        <f aca="false">IF(X$7&lt;Fin_Close,0,X18*(SUM(Subdebtperc,SudamPerc))/SUM(Debtperc,Subdebtperc,SudamPerc))-(X69*0)</f>
        <v>0</v>
      </c>
      <c r="Y46" s="575" t="n">
        <f aca="false">IF(Y$7&lt;Fin_Close,0,Y18*(SUM(Subdebtperc,SudamPerc))/SUM(Debtperc,Subdebtperc,SudamPerc))-(Y69*0)</f>
        <v>0</v>
      </c>
      <c r="Z46" s="575" t="n">
        <f aca="false">IF(Z$7&lt;Fin_Close,0,Z18*(SUM(Subdebtperc,SudamPerc))/SUM(Debtperc,Subdebtperc,SudamPerc))-(Z69*0)</f>
        <v>0</v>
      </c>
      <c r="AA46" s="575" t="n">
        <f aca="false">IF(AA$7&lt;Fin_Close,0,AA18*(SUM(Subdebtperc,SudamPerc))/SUM(Debtperc,Subdebtperc,SudamPerc))-(AA69*0)</f>
        <v>0</v>
      </c>
      <c r="AB46" s="575" t="n">
        <f aca="false">IF(AB$7&lt;Fin_Close,0,AB18*(SUM(Subdebtperc,SudamPerc))/SUM(Debtperc,Subdebtperc,SudamPerc))-(AB69*0)</f>
        <v>0</v>
      </c>
      <c r="AC46" s="575" t="n">
        <f aca="false">IF(AC$7&lt;Fin_Close,0,AC18*(SUM(Subdebtperc,SudamPerc))/SUM(Debtperc,Subdebtperc,SudamPerc))-(AC69*0)</f>
        <v>0</v>
      </c>
      <c r="AD46" s="575" t="n">
        <f aca="false">IF(AD$7&lt;Fin_Close,0,AD18*(SUM(Subdebtperc,SudamPerc))/SUM(Debtperc,Subdebtperc,SudamPerc))-(AD69*0)</f>
        <v>0</v>
      </c>
      <c r="AE46" s="575" t="n">
        <f aca="false">IF(AE$7&lt;Fin_Close,0,AE18*(SUM(Subdebtperc,SudamPerc))/SUM(Debtperc,Subdebtperc,SudamPerc))-(AE69*0)</f>
        <v>0</v>
      </c>
      <c r="AF46" s="575" t="n">
        <f aca="false">IF(AF$7&lt;Fin_Close,0,AF18*(SUM(Subdebtperc,SudamPerc))/SUM(Debtperc,Subdebtperc,SudamPerc))-(AF69*0)</f>
        <v>0</v>
      </c>
      <c r="AG46" s="575" t="n">
        <f aca="false">IF(AG$7&lt;Fin_Close,0,AG18*(SUM(Subdebtperc,SudamPerc))/SUM(Debtperc,Subdebtperc,SudamPerc))-(AG69*0)</f>
        <v>0</v>
      </c>
      <c r="AH46" s="575" t="n">
        <f aca="false">IF(AH$7&lt;Fin_Close,0,AH18*(SUM(Subdebtperc,SudamPerc))/SUM(Debtperc,Subdebtperc,SudamPerc))-(AH69*0)</f>
        <v>0</v>
      </c>
      <c r="AI46" s="575" t="n">
        <f aca="false">IF(AI$7&lt;Fin_Close,0,AI18*(SUM(Subdebtperc,SudamPerc))/SUM(Debtperc,Subdebtperc,SudamPerc))-(AI69*0)</f>
        <v>0</v>
      </c>
      <c r="AJ46" s="575" t="n">
        <f aca="false">IF(AJ$7&lt;Fin_Close,0,AJ18*(SUM(Subdebtperc,SudamPerc))/SUM(Debtperc,Subdebtperc,SudamPerc))-(AJ69*0)</f>
        <v>0</v>
      </c>
      <c r="AK46" s="575" t="n">
        <f aca="false">IF(AK$7&lt;Fin_Close,0,AK18*(SUM(Subdebtperc,SudamPerc))/SUM(Debtperc,Subdebtperc,SudamPerc))-(AK69*0)</f>
        <v>0</v>
      </c>
      <c r="AL46" s="575" t="n">
        <f aca="false">IF(AL$7&lt;Fin_Close,0,AL18*(SUM(Subdebtperc,SudamPerc))/SUM(Debtperc,Subdebtperc,SudamPerc))-(AL69*0)</f>
        <v>219.908472490405</v>
      </c>
      <c r="AM46" s="575" t="n">
        <f aca="false">IF(AM$7&lt;Fin_Close,0,AM18*(SUM(Subdebtperc,SudamPerc))/SUM(Debtperc,Subdebtperc,SudamPerc))-(AM69*0)</f>
        <v>245.615007565064</v>
      </c>
      <c r="AN46" s="575" t="n">
        <f aca="false">IF(AN$7&lt;Fin_Close,0,AN18*(SUM(Subdebtperc,SudamPerc))/SUM(Debtperc,Subdebtperc,SudamPerc))-(AN69*0)</f>
        <v>249.222865773458</v>
      </c>
      <c r="AO46" s="575" t="n">
        <f aca="false">IF(AO$7&lt;Fin_Close,0,AO18*(SUM(Subdebtperc,SudamPerc))/SUM(Debtperc,Subdebtperc,SudamPerc))-(AO69*0)</f>
        <v>267.236024468054</v>
      </c>
      <c r="AP46" s="575" t="n">
        <f aca="false">IF(AP$7&lt;Fin_Close,0,AP18*(SUM(Subdebtperc,SudamPerc))/SUM(Debtperc,Subdebtperc,SudamPerc))-(AP69*0)</f>
        <v>285.389092953875</v>
      </c>
      <c r="AQ46" s="575" t="n">
        <f aca="false">IF(AQ$7&lt;Fin_Close,0,AQ18*(SUM(Subdebtperc,SudamPerc))/SUM(Debtperc,Subdebtperc,SudamPerc))-(AQ69*0)</f>
        <v>289.305879989096</v>
      </c>
      <c r="AR46" s="575" t="n">
        <f aca="false">IF(AR$7&lt;Fin_Close,0,AR18*(SUM(Subdebtperc,SudamPerc))/SUM(Debtperc,Subdebtperc,SudamPerc))-(AR69*0)</f>
        <v>293.253089054438</v>
      </c>
      <c r="AS46" s="575" t="n">
        <f aca="false">IF(AS$7&lt;Fin_Close,0,AS18*(SUM(Subdebtperc,SudamPerc))/SUM(Debtperc,Subdebtperc,SudamPerc))-(AS69*0)</f>
        <v>311.608234373996</v>
      </c>
      <c r="AT46" s="575" t="n">
        <f aca="false">IF(AT$7&lt;Fin_Close,0,AT18*(SUM(Subdebtperc,SudamPerc))/SUM(Debtperc,Subdebtperc,SudamPerc))-(AT69*0)</f>
        <v>330.105945725038</v>
      </c>
      <c r="AU46" s="575" t="n">
        <f aca="false">IF(AU$7&lt;Fin_Close,0,AU18*(SUM(Subdebtperc,SudamPerc))/SUM(Debtperc,Subdebtperc,SudamPerc))-(AU69*0)</f>
        <v>334.37005249699</v>
      </c>
      <c r="AV46" s="575" t="n">
        <f aca="false">IF(AV$7&lt;Fin_Close,0,AV18*(SUM(Subdebtperc,SudamPerc))/SUM(Debtperc,Subdebtperc,SudamPerc))-(AV69*0)</f>
        <v>338.66727896207</v>
      </c>
      <c r="AW46" s="575" t="n">
        <f aca="false">IF(AW$7&lt;Fin_Close,0,AW18*(SUM(Subdebtperc,SudamPerc))/SUM(Debtperc,Subdebtperc,SudamPerc))-(AW69*0)</f>
        <v>0</v>
      </c>
      <c r="AX46" s="575" t="n">
        <f aca="false">IF(AX$7&lt;Fin_Close,0,AX18*(SUM(Subdebtperc,SudamPerc))/SUM(Debtperc,Subdebtperc,SudamPerc))-(AX69*0)</f>
        <v>0</v>
      </c>
      <c r="AY46" s="575" t="n">
        <f aca="false">IF(AY$7&lt;Fin_Close,0,AY18*(SUM(Subdebtperc,SudamPerc))/SUM(Debtperc,Subdebtperc,SudamPerc))-(AY69*0)</f>
        <v>0</v>
      </c>
      <c r="AZ46" s="575" t="n">
        <f aca="false">IF(AZ$7&lt;Fin_Close,0,AZ18*(SUM(Subdebtperc,SudamPerc))/SUM(Debtperc,Subdebtperc,SudamPerc))-(AZ69*0)</f>
        <v>0</v>
      </c>
      <c r="BA46" s="753" t="n">
        <f aca="false">SUM(E46:AZ46)</f>
        <v>3164.68194385248</v>
      </c>
      <c r="BB46" s="1044" t="n">
        <f aca="false">BB45+1</f>
        <v>40</v>
      </c>
    </row>
    <row r="47" customFormat="false" ht="12.75" hidden="false" customHeight="false" outlineLevel="0" collapsed="false">
      <c r="A47" s="37" t="s">
        <v>1340</v>
      </c>
      <c r="E47" s="575" t="n">
        <f aca="false">IF(E$7&lt;Fin_Close,0,E19*(SUM(Subdebtperc,SudamPerc))/SUM(Debtperc,Subdebtperc,SudamPerc))-(E70*0)</f>
        <v>0</v>
      </c>
      <c r="F47" s="575" t="n">
        <f aca="false">IF(F$7&lt;Fin_Close,0,F19*(SUM(Subdebtperc,SudamPerc))/SUM(Debtperc,Subdebtperc,SudamPerc))-(F70*0)</f>
        <v>0</v>
      </c>
      <c r="G47" s="575" t="n">
        <f aca="false">IF(G$7&lt;Fin_Close,0,G19*(SUM(Subdebtperc,SudamPerc))/SUM(Debtperc,Subdebtperc,SudamPerc))-(G70*0)</f>
        <v>0</v>
      </c>
      <c r="H47" s="575" t="n">
        <f aca="false">IF(H$7&lt;Fin_Close,0,H19*(SUM(Subdebtperc,SudamPerc))/SUM(Debtperc,Subdebtperc,SudamPerc))-(H70*0)</f>
        <v>0</v>
      </c>
      <c r="I47" s="575" t="n">
        <f aca="false">IF(I$7&lt;Fin_Close,0,I19*(SUM(Subdebtperc,SudamPerc))/SUM(Debtperc,Subdebtperc,SudamPerc))-(I70*0)</f>
        <v>0</v>
      </c>
      <c r="J47" s="575" t="n">
        <f aca="false">IF(J$7&lt;Fin_Close,0,J19*(SUM(Subdebtperc,SudamPerc))/SUM(Debtperc,Subdebtperc,SudamPerc))-(J70*0)</f>
        <v>0</v>
      </c>
      <c r="K47" s="575" t="n">
        <f aca="false">IF(K$7&lt;Fin_Close,0,K19*(SUM(Subdebtperc,SudamPerc))/SUM(Debtperc,Subdebtperc,SudamPerc))-(K70*0)</f>
        <v>0</v>
      </c>
      <c r="L47" s="575" t="n">
        <f aca="false">IF(L$7&lt;Fin_Close,0,L19*(SUM(Subdebtperc,SudamPerc))/SUM(Debtperc,Subdebtperc,SudamPerc))-(L70*0)</f>
        <v>0</v>
      </c>
      <c r="M47" s="575" t="n">
        <f aca="false">IF(M$7&lt;Fin_Close,0,M19*(SUM(Subdebtperc,SudamPerc))/SUM(Debtperc,Subdebtperc,SudamPerc))-(M70*0)</f>
        <v>0</v>
      </c>
      <c r="N47" s="575" t="n">
        <f aca="false">IF(N$7&lt;Fin_Close,0,N19*(SUM(Subdebtperc,SudamPerc))/SUM(Debtperc,Subdebtperc,SudamPerc))-(N70*0)</f>
        <v>0</v>
      </c>
      <c r="O47" s="575" t="n">
        <f aca="false">IF(O$7&lt;Fin_Close,0,O19*(SUM(Subdebtperc,SudamPerc))/SUM(Debtperc,Subdebtperc,SudamPerc))-(O70*0)</f>
        <v>0</v>
      </c>
      <c r="P47" s="575" t="n">
        <f aca="false">IF(P$7&lt;Fin_Close,0,P19*(SUM(Subdebtperc,SudamPerc))/SUM(Debtperc,Subdebtperc,SudamPerc))-(P70*0)</f>
        <v>0</v>
      </c>
      <c r="Q47" s="575" t="n">
        <f aca="false">IF(Q$7&lt;Fin_Close,0,Q19*(SUM(Subdebtperc,SudamPerc))/SUM(Debtperc,Subdebtperc,SudamPerc))-(Q70*0)</f>
        <v>0</v>
      </c>
      <c r="R47" s="575" t="n">
        <f aca="false">IF(R$7&lt;Fin_Close,0,R19*(SUM(Subdebtperc,SudamPerc))/SUM(Debtperc,Subdebtperc,SudamPerc))-(R70*0)</f>
        <v>0</v>
      </c>
      <c r="S47" s="575" t="n">
        <f aca="false">IF(S$7&lt;Fin_Close,0,S19*(SUM(Subdebtperc,SudamPerc))/SUM(Debtperc,Subdebtperc,SudamPerc))-(S70*0)</f>
        <v>0</v>
      </c>
      <c r="T47" s="575" t="n">
        <f aca="false">IF(T$7&lt;Fin_Close,0,T19*(SUM(Subdebtperc,SudamPerc))/SUM(Debtperc,Subdebtperc,SudamPerc))-(T70*0)</f>
        <v>0</v>
      </c>
      <c r="U47" s="575" t="n">
        <f aca="false">IF(U$7&lt;Fin_Close,0,U19*(SUM(Subdebtperc,SudamPerc))/SUM(Debtperc,Subdebtperc,SudamPerc))-(U70*0)</f>
        <v>0</v>
      </c>
      <c r="V47" s="575" t="n">
        <f aca="false">IF(V$7&lt;Fin_Close,0,V19*(SUM(Subdebtperc,SudamPerc))/SUM(Debtperc,Subdebtperc,SudamPerc))-(V70*0)</f>
        <v>0</v>
      </c>
      <c r="W47" s="575" t="n">
        <f aca="false">IF(W$7&lt;Fin_Close,0,W19*(SUM(Subdebtperc,SudamPerc))/SUM(Debtperc,Subdebtperc,SudamPerc))-(W70*0)</f>
        <v>0</v>
      </c>
      <c r="X47" s="575" t="n">
        <f aca="false">IF(X$7&lt;Fin_Close,0,X19*(SUM(Subdebtperc,SudamPerc))/SUM(Debtperc,Subdebtperc,SudamPerc))-(X70*0)</f>
        <v>0</v>
      </c>
      <c r="Y47" s="575" t="n">
        <f aca="false">IF(Y$7&lt;Fin_Close,0,Y19*(SUM(Subdebtperc,SudamPerc))/SUM(Debtperc,Subdebtperc,SudamPerc))-(Y70*0)</f>
        <v>0</v>
      </c>
      <c r="Z47" s="575" t="n">
        <f aca="false">IF(Z$7&lt;Fin_Close,0,Z19*(SUM(Subdebtperc,SudamPerc))/SUM(Debtperc,Subdebtperc,SudamPerc))-(Z70*0)</f>
        <v>0</v>
      </c>
      <c r="AA47" s="575" t="n">
        <f aca="false">IF(AA$7&lt;Fin_Close,0,AA19*(SUM(Subdebtperc,SudamPerc))/SUM(Debtperc,Subdebtperc,SudamPerc))-(AA70*0)</f>
        <v>0</v>
      </c>
      <c r="AB47" s="575" t="n">
        <f aca="false">IF(AB$7&lt;Fin_Close,0,AB19*(SUM(Subdebtperc,SudamPerc))/SUM(Debtperc,Subdebtperc,SudamPerc))-(AB70*0)</f>
        <v>0</v>
      </c>
      <c r="AC47" s="575" t="n">
        <f aca="false">IF(AC$7&lt;Fin_Close,0,AC19*(SUM(Subdebtperc,SudamPerc))/SUM(Debtperc,Subdebtperc,SudamPerc))-(AC70*0)</f>
        <v>0</v>
      </c>
      <c r="AD47" s="575" t="n">
        <f aca="false">IF(AD$7&lt;Fin_Close,0,AD19*(SUM(Subdebtperc,SudamPerc))/SUM(Debtperc,Subdebtperc,SudamPerc))-(AD70*0)</f>
        <v>0</v>
      </c>
      <c r="AE47" s="575" t="n">
        <f aca="false">IF(AE$7&lt;Fin_Close,0,AE19*(SUM(Subdebtperc,SudamPerc))/SUM(Debtperc,Subdebtperc,SudamPerc))-(AE70*0)</f>
        <v>0</v>
      </c>
      <c r="AF47" s="575" t="n">
        <f aca="false">IF(AF$7&lt;Fin_Close,0,AF19*(SUM(Subdebtperc,SudamPerc))/SUM(Debtperc,Subdebtperc,SudamPerc))-(AF70*0)</f>
        <v>0</v>
      </c>
      <c r="AG47" s="575" t="n">
        <f aca="false">IF(AG$7&lt;Fin_Close,0,AG19*(SUM(Subdebtperc,SudamPerc))/SUM(Debtperc,Subdebtperc,SudamPerc))-(AG70*0)</f>
        <v>0</v>
      </c>
      <c r="AH47" s="575" t="n">
        <f aca="false">IF(AH$7&lt;Fin_Close,0,AH19*(SUM(Subdebtperc,SudamPerc))/SUM(Debtperc,Subdebtperc,SudamPerc))-(AH70*0)</f>
        <v>0</v>
      </c>
      <c r="AI47" s="575" t="n">
        <f aca="false">IF(AI$7&lt;Fin_Close,0,AI19*(SUM(Subdebtperc,SudamPerc))/SUM(Debtperc,Subdebtperc,SudamPerc))-(AI70*0)</f>
        <v>0</v>
      </c>
      <c r="AJ47" s="575" t="n">
        <f aca="false">IF(AJ$7&lt;Fin_Close,0,AJ19*(SUM(Subdebtperc,SudamPerc))/SUM(Debtperc,Subdebtperc,SudamPerc))-(AJ70*0)</f>
        <v>0</v>
      </c>
      <c r="AK47" s="575" t="n">
        <f aca="false">IF(AK$7&lt;Fin_Close,0,AK19*(SUM(Subdebtperc,SudamPerc))/SUM(Debtperc,Subdebtperc,SudamPerc))-(AK70*0)</f>
        <v>0</v>
      </c>
      <c r="AL47" s="575" t="n">
        <f aca="false">IF(AL$7&lt;Fin_Close,0,AL19*(SUM(Subdebtperc,SudamPerc))/SUM(Debtperc,Subdebtperc,SudamPerc))-(AL70*0)</f>
        <v>10.9375727853911</v>
      </c>
      <c r="AM47" s="575" t="n">
        <f aca="false">IF(AM$7&lt;Fin_Close,0,AM19*(SUM(Subdebtperc,SudamPerc))/SUM(Debtperc,Subdebtperc,SudamPerc))-(AM70*0)</f>
        <v>12.2161369773713</v>
      </c>
      <c r="AN47" s="575" t="n">
        <f aca="false">IF(AN$7&lt;Fin_Close,0,AN19*(SUM(Subdebtperc,SudamPerc))/SUM(Debtperc,Subdebtperc,SudamPerc))-(AN70*0)</f>
        <v>12.3955807764519</v>
      </c>
      <c r="AO47" s="575" t="n">
        <f aca="false">IF(AO$7&lt;Fin_Close,0,AO19*(SUM(Subdebtperc,SudamPerc))/SUM(Debtperc,Subdebtperc,SudamPerc))-(AO70*0)</f>
        <v>13.2915000290652</v>
      </c>
      <c r="AP47" s="575" t="n">
        <f aca="false">IF(AP$7&lt;Fin_Close,0,AP19*(SUM(Subdebtperc,SudamPerc))/SUM(Debtperc,Subdebtperc,SudamPerc))-(AP70*0)</f>
        <v>14.1943779654781</v>
      </c>
      <c r="AQ47" s="575" t="n">
        <f aca="false">IF(AQ$7&lt;Fin_Close,0,AQ19*(SUM(Subdebtperc,SudamPerc))/SUM(Debtperc,Subdebtperc,SudamPerc))-(AQ70*0)</f>
        <v>14.3891869366717</v>
      </c>
      <c r="AR47" s="575" t="n">
        <f aca="false">IF(AR$7&lt;Fin_Close,0,AR19*(SUM(Subdebtperc,SudamPerc))/SUM(Debtperc,Subdebtperc,SudamPerc))-(AR70*0)</f>
        <v>14.5855090063146</v>
      </c>
      <c r="AS47" s="575" t="n">
        <f aca="false">IF(AS$7&lt;Fin_Close,0,AS19*(SUM(Subdebtperc,SudamPerc))/SUM(Debtperc,Subdebtperc,SudamPerc))-(AS70*0)</f>
        <v>15.4984376245053</v>
      </c>
      <c r="AT47" s="575" t="n">
        <f aca="false">IF(AT$7&lt;Fin_Close,0,AT19*(SUM(Subdebtperc,SudamPerc))/SUM(Debtperc,Subdebtperc,SudamPerc))-(AT70*0)</f>
        <v>16.4184570397373</v>
      </c>
      <c r="AU47" s="575" t="n">
        <f aca="false">IF(AU$7&lt;Fin_Close,0,AU19*(SUM(Subdebtperc,SudamPerc))/SUM(Debtperc,Subdebtperc,SudamPerc))-(AU70*0)</f>
        <v>16.6305406291267</v>
      </c>
      <c r="AV47" s="575" t="n">
        <f aca="false">IF(AV$7&lt;Fin_Close,0,AV19*(SUM(Subdebtperc,SudamPerc))/SUM(Debtperc,Subdebtperc,SudamPerc))-(AV70*0)</f>
        <v>16.8442714904475</v>
      </c>
      <c r="AW47" s="575" t="n">
        <f aca="false">IF(AW$7&lt;Fin_Close,0,AW19*(SUM(Subdebtperc,SudamPerc))/SUM(Debtperc,Subdebtperc,SudamPerc))-(AW70*0)</f>
        <v>0</v>
      </c>
      <c r="AX47" s="575" t="n">
        <f aca="false">IF(AX$7&lt;Fin_Close,0,AX19*(SUM(Subdebtperc,SudamPerc))/SUM(Debtperc,Subdebtperc,SudamPerc))-(AX70*0)</f>
        <v>0</v>
      </c>
      <c r="AY47" s="575" t="n">
        <f aca="false">IF(AY$7&lt;Fin_Close,0,AY19*(SUM(Subdebtperc,SudamPerc))/SUM(Debtperc,Subdebtperc,SudamPerc))-(AY70*0)</f>
        <v>0</v>
      </c>
      <c r="AZ47" s="575" t="n">
        <f aca="false">IF(AZ$7&lt;Fin_Close,0,AZ19*(SUM(Subdebtperc,SudamPerc))/SUM(Debtperc,Subdebtperc,SudamPerc))-(AZ70*0)</f>
        <v>0</v>
      </c>
      <c r="BA47" s="753" t="n">
        <f aca="false">SUM(E47:AZ47)</f>
        <v>157.401571260561</v>
      </c>
      <c r="BB47" s="1044" t="n">
        <f aca="false">BB46+1</f>
        <v>41</v>
      </c>
    </row>
    <row r="48" customFormat="false" ht="12.75" hidden="false" customHeight="false" outlineLevel="0" collapsed="false">
      <c r="A48" s="37" t="s">
        <v>102</v>
      </c>
      <c r="E48" s="1045" t="n">
        <f aca="false">IF(E$7&lt;Fin_Close,0,E20*(SUM(Subdebtperc,SudamPerc))/SUM(Debtperc,Subdebtperc,SudamPerc))-(E71*0)</f>
        <v>0</v>
      </c>
      <c r="F48" s="1045" t="n">
        <f aca="false">IF(F$7&lt;Fin_Close,0,F20*(SUM(Subdebtperc,SudamPerc))/SUM(Debtperc,Subdebtperc,SudamPerc))-(F71*0)</f>
        <v>0</v>
      </c>
      <c r="G48" s="1045" t="n">
        <f aca="false">IF(G$7&lt;Fin_Close,0,G20*(SUM(Subdebtperc,SudamPerc))/SUM(Debtperc,Subdebtperc,SudamPerc))-(G71*0)</f>
        <v>0</v>
      </c>
      <c r="H48" s="1045" t="n">
        <f aca="false">IF(H$7&lt;Fin_Close,0,H20*(SUM(Subdebtperc,SudamPerc))/SUM(Debtperc,Subdebtperc,SudamPerc))-(H71*0)</f>
        <v>0</v>
      </c>
      <c r="I48" s="1045" t="n">
        <f aca="false">IF(I$7&lt;Fin_Close,0,I20*(SUM(Subdebtperc,SudamPerc))/SUM(Debtperc,Subdebtperc,SudamPerc))-(I71*0)</f>
        <v>0</v>
      </c>
      <c r="J48" s="1045" t="n">
        <f aca="false">IF(J$7&lt;Fin_Close,0,J20*(SUM(Subdebtperc,SudamPerc))/SUM(Debtperc,Subdebtperc,SudamPerc))-(J71*0)</f>
        <v>0</v>
      </c>
      <c r="K48" s="1045" t="n">
        <f aca="false">IF(K$7&lt;Fin_Close,0,K20*(SUM(Subdebtperc,SudamPerc))/SUM(Debtperc,Subdebtperc,SudamPerc))-(K71*0)</f>
        <v>0</v>
      </c>
      <c r="L48" s="1045" t="n">
        <f aca="false">IF(L$7&lt;Fin_Close,0,L20*(SUM(Subdebtperc,SudamPerc))/SUM(Debtperc,Subdebtperc,SudamPerc))-(L71*0)</f>
        <v>0</v>
      </c>
      <c r="M48" s="1045" t="n">
        <f aca="false">IF(M$7&lt;Fin_Close,0,M20*(SUM(Subdebtperc,SudamPerc))/SUM(Debtperc,Subdebtperc,SudamPerc))-(M71*0)</f>
        <v>0</v>
      </c>
      <c r="N48" s="1045" t="n">
        <f aca="false">IF(N$7&lt;Fin_Close,0,N20*(SUM(Subdebtperc,SudamPerc))/SUM(Debtperc,Subdebtperc,SudamPerc))-(N71*0)</f>
        <v>0</v>
      </c>
      <c r="O48" s="1045" t="n">
        <f aca="false">IF(O$7&lt;Fin_Close,0,O20*(SUM(Subdebtperc,SudamPerc))/SUM(Debtperc,Subdebtperc,SudamPerc))-(O71*0)</f>
        <v>0</v>
      </c>
      <c r="P48" s="1045" t="n">
        <f aca="false">IF(P$7&lt;Fin_Close,0,P20*(SUM(Subdebtperc,SudamPerc))/SUM(Debtperc,Subdebtperc,SudamPerc))-(P71*0)</f>
        <v>0</v>
      </c>
      <c r="Q48" s="1045" t="n">
        <f aca="false">IF(Q$7&lt;Fin_Close,0,Q20*(SUM(Subdebtperc,SudamPerc))/SUM(Debtperc,Subdebtperc,SudamPerc))-(Q71*0)</f>
        <v>0</v>
      </c>
      <c r="R48" s="1045" t="n">
        <f aca="false">IF(R$7&lt;Fin_Close,0,R20*(SUM(Subdebtperc,SudamPerc))/SUM(Debtperc,Subdebtperc,SudamPerc))-(R71*0)</f>
        <v>0</v>
      </c>
      <c r="S48" s="1045" t="n">
        <f aca="false">IF(S$7&lt;Fin_Close,0,S20*(SUM(Subdebtperc,SudamPerc))/SUM(Debtperc,Subdebtperc,SudamPerc))-(S71*0)</f>
        <v>0</v>
      </c>
      <c r="T48" s="1045" t="n">
        <f aca="false">IF(T$7&lt;Fin_Close,0,T20*(SUM(Subdebtperc,SudamPerc))/SUM(Debtperc,Subdebtperc,SudamPerc))-(T71*0)</f>
        <v>0</v>
      </c>
      <c r="U48" s="1045" t="n">
        <f aca="false">IF(U$7&lt;Fin_Close,0,U20*(SUM(Subdebtperc,SudamPerc))/SUM(Debtperc,Subdebtperc,SudamPerc))-(U71*0)</f>
        <v>0</v>
      </c>
      <c r="V48" s="1045" t="n">
        <f aca="false">IF(V$7&lt;Fin_Close,0,V20*(SUM(Subdebtperc,SudamPerc))/SUM(Debtperc,Subdebtperc,SudamPerc))-(V71*0)</f>
        <v>0</v>
      </c>
      <c r="W48" s="1045" t="n">
        <f aca="false">IF(W$7&lt;Fin_Close,0,W20*(SUM(Subdebtperc,SudamPerc))/SUM(Debtperc,Subdebtperc,SudamPerc))-(W71*0)</f>
        <v>0</v>
      </c>
      <c r="X48" s="1045" t="n">
        <f aca="false">IF(X$7&lt;Fin_Close,0,X20*(SUM(Subdebtperc,SudamPerc))/SUM(Debtperc,Subdebtperc,SudamPerc))-(X71*0)</f>
        <v>0</v>
      </c>
      <c r="Y48" s="1045" t="n">
        <f aca="false">IF(Y$7&lt;Fin_Close,0,Y20*(SUM(Subdebtperc,SudamPerc))/SUM(Debtperc,Subdebtperc,SudamPerc))-(Y71*0)</f>
        <v>0</v>
      </c>
      <c r="Z48" s="1045" t="n">
        <f aca="false">IF(Z$7&lt;Fin_Close,0,Z20*(SUM(Subdebtperc,SudamPerc))/SUM(Debtperc,Subdebtperc,SudamPerc))-(Z71*0)</f>
        <v>0</v>
      </c>
      <c r="AA48" s="1045" t="n">
        <f aca="false">IF(AA$7&lt;Fin_Close,0,AA20*(SUM(Subdebtperc,SudamPerc))/SUM(Debtperc,Subdebtperc,SudamPerc))-(AA71*0)</f>
        <v>0</v>
      </c>
      <c r="AB48" s="1045" t="n">
        <f aca="false">IF(AB$7&lt;Fin_Close,0,AB20*(SUM(Subdebtperc,SudamPerc))/SUM(Debtperc,Subdebtperc,SudamPerc))-(AB71*0)</f>
        <v>0</v>
      </c>
      <c r="AC48" s="1045" t="n">
        <f aca="false">IF(AC$7&lt;Fin_Close,0,AC20*(SUM(Subdebtperc,SudamPerc))/SUM(Debtperc,Subdebtperc,SudamPerc))-(AC71*0)</f>
        <v>0</v>
      </c>
      <c r="AD48" s="1045" t="n">
        <f aca="false">IF(AD$7&lt;Fin_Close,0,AD20*(SUM(Subdebtperc,SudamPerc))/SUM(Debtperc,Subdebtperc,SudamPerc))-(AD71*0)</f>
        <v>0</v>
      </c>
      <c r="AE48" s="1045" t="n">
        <f aca="false">IF(AE$7&lt;Fin_Close,0,AE20*(SUM(Subdebtperc,SudamPerc))/SUM(Debtperc,Subdebtperc,SudamPerc))-(AE71*0)</f>
        <v>0</v>
      </c>
      <c r="AF48" s="1045" t="n">
        <f aca="false">IF(AF$7&lt;Fin_Close,0,AF20*(SUM(Subdebtperc,SudamPerc))/SUM(Debtperc,Subdebtperc,SudamPerc))-(AF71*0)</f>
        <v>0</v>
      </c>
      <c r="AG48" s="1045" t="n">
        <f aca="false">IF(AG$7&lt;Fin_Close,0,AG20*(SUM(Subdebtperc,SudamPerc))/SUM(Debtperc,Subdebtperc,SudamPerc))-(AG71*0)</f>
        <v>0</v>
      </c>
      <c r="AH48" s="1045" t="n">
        <f aca="false">IF(AH$7&lt;Fin_Close,0,AH20*(SUM(Subdebtperc,SudamPerc))/SUM(Debtperc,Subdebtperc,SudamPerc))-(AH71*0)</f>
        <v>0</v>
      </c>
      <c r="AI48" s="1045" t="n">
        <f aca="false">IF(AI$7&lt;Fin_Close,0,AI20*(SUM(Subdebtperc,SudamPerc))/SUM(Debtperc,Subdebtperc,SudamPerc))-(AI71*0)</f>
        <v>0</v>
      </c>
      <c r="AJ48" s="1045" t="n">
        <f aca="false">IF(AJ$7&lt;Fin_Close,0,AJ20*(SUM(Subdebtperc,SudamPerc))/SUM(Debtperc,Subdebtperc,SudamPerc))-(AJ71*0)</f>
        <v>0</v>
      </c>
      <c r="AK48" s="1045" t="n">
        <f aca="false">IF(AK$7&lt;Fin_Close,0,AK20*(SUM(Subdebtperc,SudamPerc))/SUM(Debtperc,Subdebtperc,SudamPerc))-(AK71*0)</f>
        <v>0</v>
      </c>
      <c r="AL48" s="1045" t="n">
        <f aca="false">IF(AL$7&lt;Fin_Close,0,AL20*(SUM(Subdebtperc,SudamPerc))/SUM(Debtperc,Subdebtperc,SudamPerc))-(AL71*0)</f>
        <v>7.62131260060995</v>
      </c>
      <c r="AM48" s="1045" t="n">
        <f aca="false">IF(AM$7&lt;Fin_Close,0,AM20*(SUM(Subdebtperc,SudamPerc))/SUM(Debtperc,Subdebtperc,SudamPerc))-(AM71*0)</f>
        <v>3.93026993589639</v>
      </c>
      <c r="AN48" s="1045" t="n">
        <f aca="false">IF(AN$7&lt;Fin_Close,0,AN20*(SUM(Subdebtperc,SudamPerc))/SUM(Debtperc,Subdebtperc,SudamPerc))-(AN71*0)</f>
        <v>3.82264004778134</v>
      </c>
      <c r="AO48" s="1045" t="n">
        <f aca="false">IF(AO$7&lt;Fin_Close,0,AO20*(SUM(Subdebtperc,SudamPerc))/SUM(Debtperc,Subdebtperc,SudamPerc))-(AO71*0)</f>
        <v>3.28527018929108</v>
      </c>
      <c r="AP48" s="1045" t="n">
        <f aca="false">IF(AP$7&lt;Fin_Close,0,AP20*(SUM(Subdebtperc,SudamPerc))/SUM(Debtperc,Subdebtperc,SudamPerc))-(AP71*0)</f>
        <v>2.74372653174717</v>
      </c>
      <c r="AQ48" s="1045" t="n">
        <f aca="false">IF(AQ$7&lt;Fin_Close,0,AQ20*(SUM(Subdebtperc,SudamPerc))/SUM(Debtperc,Subdebtperc,SudamPerc))-(AQ71*0)</f>
        <v>2.62688065643244</v>
      </c>
      <c r="AR48" s="1045" t="n">
        <f aca="false">IF(AR$7&lt;Fin_Close,0,AR20*(SUM(Subdebtperc,SudamPerc))/SUM(Debtperc,Subdebtperc,SudamPerc))-(AR71*0)</f>
        <v>2.50912722890558</v>
      </c>
      <c r="AS48" s="1045" t="n">
        <f aca="false">IF(AS$7&lt;Fin_Close,0,AS20*(SUM(Subdebtperc,SudamPerc))/SUM(Debtperc,Subdebtperc,SudamPerc))-(AS71*0)</f>
        <v>1.96155520058061</v>
      </c>
      <c r="AT48" s="1045" t="n">
        <f aca="false">IF(AT$7&lt;Fin_Close,0,AT20*(SUM(Subdebtperc,SudamPerc))/SUM(Debtperc,Subdebtperc,SudamPerc))-(AT71*0)</f>
        <v>1.40973013204969</v>
      </c>
      <c r="AU48" s="1045" t="n">
        <f aca="false">IF(AU$7&lt;Fin_Close,0,AU20*(SUM(Subdebtperc,SudamPerc))/SUM(Debtperc,Subdebtperc,SudamPerc))-(AU71*0)</f>
        <v>1.28252298912263</v>
      </c>
      <c r="AV48" s="1045" t="n">
        <f aca="false">IF(AV$7&lt;Fin_Close,0,AV20*(SUM(Subdebtperc,SudamPerc))/SUM(Debtperc,Subdebtperc,SudamPerc))-(AV71*0)</f>
        <v>1.15432781710466</v>
      </c>
      <c r="AW48" s="1045" t="n">
        <f aca="false">IF(AW$7&lt;Fin_Close,0,AW20*(SUM(Subdebtperc,SudamPerc))/SUM(Debtperc,Subdebtperc,SudamPerc))-(AW71*0)</f>
        <v>0.544991134135137</v>
      </c>
      <c r="AX48" s="1045" t="n">
        <f aca="false">IF(AX$7&lt;Fin_Close,0,AX20*(SUM(Subdebtperc,SudamPerc))/SUM(Debtperc,Subdebtperc,SudamPerc))-(AX71*0)</f>
        <v>1.95284361648393E-014</v>
      </c>
      <c r="AY48" s="1045" t="n">
        <f aca="false">IF(AY$7&lt;Fin_Close,0,AY20*(SUM(Subdebtperc,SudamPerc))/SUM(Debtperc,Subdebtperc,SudamPerc))-(AY71*0)</f>
        <v>1.95284361648393E-014</v>
      </c>
      <c r="AZ48" s="1045" t="n">
        <f aca="false">IF(AZ$7&lt;Fin_Close,0,AZ20*(SUM(Subdebtperc,SudamPerc))/SUM(Debtperc,Subdebtperc,SudamPerc))-(AZ71*0)</f>
        <v>1.95284361648393E-014</v>
      </c>
      <c r="BA48" s="1046" t="n">
        <f aca="false">SUM(E48:AZ48)</f>
        <v>32.8923544636567</v>
      </c>
      <c r="BB48" s="1044" t="n">
        <f aca="false">BB47+1</f>
        <v>42</v>
      </c>
    </row>
    <row r="49" customFormat="false" ht="12.75" hidden="false" customHeight="false" outlineLevel="0" collapsed="false">
      <c r="A49" s="37" t="s">
        <v>1067</v>
      </c>
      <c r="E49" s="217" t="n">
        <f aca="false">SUM(E43:E48)</f>
        <v>0</v>
      </c>
      <c r="F49" s="217" t="n">
        <f aca="false">SUM(F43:F48)</f>
        <v>0</v>
      </c>
      <c r="G49" s="217" t="n">
        <f aca="false">SUM(G43:G48)</f>
        <v>0</v>
      </c>
      <c r="H49" s="217" t="n">
        <f aca="false">SUM(H43:H48)</f>
        <v>0</v>
      </c>
      <c r="I49" s="217" t="n">
        <f aca="false">SUM(I43:I48)</f>
        <v>0</v>
      </c>
      <c r="J49" s="217" t="n">
        <f aca="false">SUM(J43:J48)</f>
        <v>0</v>
      </c>
      <c r="K49" s="217" t="n">
        <f aca="false">SUM(K43:K48)</f>
        <v>0</v>
      </c>
      <c r="L49" s="217" t="n">
        <f aca="false">SUM(L43:L48)</f>
        <v>0</v>
      </c>
      <c r="M49" s="217" t="n">
        <f aca="false">SUM(M43:M48)</f>
        <v>0</v>
      </c>
      <c r="N49" s="217" t="n">
        <f aca="false">SUM(N43:N48)</f>
        <v>0</v>
      </c>
      <c r="O49" s="217" t="n">
        <f aca="false">SUM(O43:O48)</f>
        <v>0</v>
      </c>
      <c r="P49" s="217" t="n">
        <f aca="false">SUM(P43:P48)</f>
        <v>0</v>
      </c>
      <c r="Q49" s="217" t="n">
        <f aca="false">SUM(Q43:Q48)</f>
        <v>0</v>
      </c>
      <c r="R49" s="217" t="n">
        <f aca="false">SUM(R43:R48)</f>
        <v>0</v>
      </c>
      <c r="S49" s="217" t="n">
        <f aca="false">SUM(S43:S48)</f>
        <v>0</v>
      </c>
      <c r="T49" s="217" t="n">
        <f aca="false">SUM(T43:T48)</f>
        <v>0</v>
      </c>
      <c r="U49" s="217" t="n">
        <f aca="false">SUM(U43:U48)</f>
        <v>0</v>
      </c>
      <c r="V49" s="217" t="n">
        <f aca="false">SUM(V43:V48)</f>
        <v>0</v>
      </c>
      <c r="W49" s="217" t="n">
        <f aca="false">SUM(W43:W48)</f>
        <v>0</v>
      </c>
      <c r="X49" s="217" t="n">
        <f aca="false">SUM(X43:X48)</f>
        <v>0</v>
      </c>
      <c r="Y49" s="217" t="n">
        <f aca="false">SUM(Y43:Y48)</f>
        <v>0</v>
      </c>
      <c r="Z49" s="217" t="n">
        <f aca="false">SUM(Z43:Z48)</f>
        <v>0</v>
      </c>
      <c r="AA49" s="217" t="n">
        <f aca="false">SUM(AA43:AA48)</f>
        <v>0</v>
      </c>
      <c r="AB49" s="217" t="n">
        <f aca="false">SUM(AB43:AB48)</f>
        <v>0</v>
      </c>
      <c r="AC49" s="217" t="n">
        <f aca="false">SUM(AC43:AC48)</f>
        <v>0</v>
      </c>
      <c r="AD49" s="217" t="n">
        <f aca="false">SUM(AD43:AD48)</f>
        <v>0</v>
      </c>
      <c r="AE49" s="217" t="n">
        <f aca="false">SUM(AE43:AE48)</f>
        <v>0</v>
      </c>
      <c r="AF49" s="217" t="n">
        <f aca="false">SUM(AF43:AF48)</f>
        <v>0</v>
      </c>
      <c r="AG49" s="217" t="n">
        <f aca="false">SUM(AG43:AG48)</f>
        <v>0</v>
      </c>
      <c r="AH49" s="217" t="n">
        <f aca="false">SUM(AH43:AH48)</f>
        <v>0</v>
      </c>
      <c r="AI49" s="217" t="n">
        <f aca="false">SUM(AI43:AI48)</f>
        <v>0</v>
      </c>
      <c r="AJ49" s="217" t="n">
        <f aca="false">SUM(AJ43:AJ48)</f>
        <v>0</v>
      </c>
      <c r="AK49" s="217" t="n">
        <f aca="false">SUM(AK43:AK48)</f>
        <v>0</v>
      </c>
      <c r="AL49" s="217" t="n">
        <f aca="false">SUM(AL43:AL48)</f>
        <v>32145.9807443703</v>
      </c>
      <c r="AM49" s="217" t="n">
        <f aca="false">SUM(AM43:AM48)</f>
        <v>32619.7325615178</v>
      </c>
      <c r="AN49" s="217" t="n">
        <f aca="false">SUM(AN43:AN48)</f>
        <v>33097.1640507847</v>
      </c>
      <c r="AO49" s="217" t="n">
        <f aca="false">SUM(AO43:AO48)</f>
        <v>37368.7595067085</v>
      </c>
      <c r="AP49" s="217" t="n">
        <f aca="false">SUM(AP43:AP48)</f>
        <v>37883.0771068288</v>
      </c>
      <c r="AQ49" s="217" t="n">
        <f aca="false">SUM(AQ43:AQ48)</f>
        <v>38401.3894570802</v>
      </c>
      <c r="AR49" s="217" t="n">
        <f aca="false">SUM(AR43:AR48)</f>
        <v>38923.727585039</v>
      </c>
      <c r="AS49" s="217" t="n">
        <f aca="false">SUM(AS43:AS48)</f>
        <v>43240.5784734755</v>
      </c>
      <c r="AT49" s="217" t="n">
        <f aca="false">SUM(AT43:AT48)</f>
        <v>43800.5030090415</v>
      </c>
      <c r="AU49" s="217" t="n">
        <f aca="false">SUM(AU43:AU48)</f>
        <v>44364.776527826</v>
      </c>
      <c r="AV49" s="217" t="n">
        <f aca="false">SUM(AV43:AV48)</f>
        <v>44933.4328087648</v>
      </c>
      <c r="AW49" s="217" t="n">
        <f aca="false">SUM(AW43:AW48)</f>
        <v>49749.8130727587</v>
      </c>
      <c r="AX49" s="217" t="n">
        <f aca="false">SUM(AX43:AX48)</f>
        <v>49749.8130727587</v>
      </c>
      <c r="AY49" s="217" t="n">
        <f aca="false">SUM(AY43:AY48)</f>
        <v>49749.8130727587</v>
      </c>
      <c r="AZ49" s="217" t="n">
        <f aca="false">SUM(AZ43:AZ48)</f>
        <v>49749.8130727587</v>
      </c>
      <c r="BA49" s="574" t="n">
        <f aca="false">SUM(BA43:BA48)</f>
        <v>49749.8130727587</v>
      </c>
      <c r="BB49" s="175" t="n">
        <f aca="false">BB48+1</f>
        <v>43</v>
      </c>
    </row>
    <row r="50" customFormat="false" ht="12.75" hidden="false" customHeight="false" outlineLevel="0" collapsed="false">
      <c r="A50" s="37"/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6"/>
      <c r="Q50" s="556"/>
      <c r="R50" s="556"/>
      <c r="S50" s="556"/>
      <c r="T50" s="556"/>
      <c r="U50" s="556"/>
      <c r="V50" s="556"/>
      <c r="W50" s="556"/>
      <c r="X50" s="556"/>
      <c r="Y50" s="556"/>
      <c r="Z50" s="556"/>
      <c r="AA50" s="556"/>
      <c r="AB50" s="556"/>
      <c r="AC50" s="556"/>
      <c r="AD50" s="556"/>
      <c r="AE50" s="556"/>
      <c r="AF50" s="556"/>
      <c r="AG50" s="556"/>
      <c r="AH50" s="556"/>
      <c r="AI50" s="556"/>
      <c r="AJ50" s="556"/>
      <c r="AK50" s="556"/>
      <c r="AL50" s="556"/>
      <c r="AM50" s="556"/>
      <c r="AN50" s="556"/>
      <c r="AO50" s="556"/>
      <c r="AP50" s="556"/>
      <c r="AQ50" s="556"/>
      <c r="AR50" s="556"/>
      <c r="AS50" s="556"/>
      <c r="AT50" s="556"/>
      <c r="AU50" s="556"/>
      <c r="AV50" s="556"/>
      <c r="AW50" s="556"/>
      <c r="AX50" s="556"/>
      <c r="AY50" s="556"/>
      <c r="AZ50" s="556"/>
      <c r="BA50" s="555"/>
      <c r="BB50" s="175" t="n">
        <f aca="false">BB49+1</f>
        <v>44</v>
      </c>
    </row>
    <row r="51" customFormat="false" ht="12.75" hidden="false" customHeight="false" outlineLevel="0" collapsed="false">
      <c r="A51" s="166" t="s">
        <v>1348</v>
      </c>
      <c r="B51" s="131"/>
      <c r="C51" s="131"/>
      <c r="D51" s="131"/>
      <c r="E51" s="754" t="n">
        <f aca="false">IF(E$7&gt;=Startops3,0,SUM(E26:E27,E28/2)*$C11/12)</f>
        <v>0</v>
      </c>
      <c r="F51" s="754" t="n">
        <f aca="false">IF(F$7&gt;=Startops3,0,SUM(F26:F27,F28/2)*$C11/12)</f>
        <v>0</v>
      </c>
      <c r="G51" s="754" t="n">
        <f aca="false">IF(G$7&gt;=Startops3,0,SUM(G26:G27,G28/2)*$C11/12)</f>
        <v>0</v>
      </c>
      <c r="H51" s="754" t="n">
        <f aca="false">IF(H$7&gt;=Startops3,0,SUM(H26:H27,H28/2)*$C11/12)</f>
        <v>0</v>
      </c>
      <c r="I51" s="754" t="n">
        <f aca="false">IF(I$7&gt;=Startops3,0,SUM(I26:I27,I28/2)*$C11/12)</f>
        <v>0</v>
      </c>
      <c r="J51" s="754" t="n">
        <f aca="false">IF(J$7&gt;=Startops3,0,SUM(J26:J27,J28/2)*$C11/12)</f>
        <v>0</v>
      </c>
      <c r="K51" s="754" t="n">
        <f aca="false">IF(K$7&gt;=Startops3,0,SUM(K26:K27,K28/2)*$C11/12)</f>
        <v>0</v>
      </c>
      <c r="L51" s="754" t="n">
        <f aca="false">IF(L$7&gt;=Startops3,0,SUM(L26:L27,L28/2)*$C11/12)</f>
        <v>0</v>
      </c>
      <c r="M51" s="754" t="n">
        <f aca="false">IF(M$7&gt;=Startops3,0,SUM(M26:M27,M28/2)*$C11/12)</f>
        <v>0</v>
      </c>
      <c r="N51" s="754" t="n">
        <f aca="false">IF(N$7&gt;=Startops3,0,SUM(N26:N27,N28/2)*$C11/12)</f>
        <v>0</v>
      </c>
      <c r="O51" s="754" t="n">
        <f aca="false">IF(O$7&gt;=Startops3,0,SUM(O26:O27,O28/2)*$C11/12)</f>
        <v>6.2384440706476</v>
      </c>
      <c r="P51" s="754" t="n">
        <f aca="false">IF(P$7&gt;=Startops3,0,SUM(P26:P27,P28/2)*$C11/12)</f>
        <v>36.1460852921397</v>
      </c>
      <c r="Q51" s="754" t="n">
        <f aca="false">IF(Q$7&gt;=Startops3,0,SUM(Q26:Q27,Q28/2)*$C11/12)</f>
        <v>95.9324591224997</v>
      </c>
      <c r="R51" s="754" t="n">
        <f aca="false">IF(R$7&gt;=Startops3,0,SUM(R26:R27,R28/2)*$C11/12)</f>
        <v>136.249142718304</v>
      </c>
      <c r="S51" s="754" t="n">
        <f aca="false">IF(S$7&gt;=Startops3,0,SUM(S26:S27,S28/2)*$C11/12)</f>
        <v>140.861733898223</v>
      </c>
      <c r="T51" s="754" t="n">
        <f aca="false">IF(T$7&gt;=Startops3,0,SUM(T26:T27,T28/2)*$C11/12)</f>
        <v>146.488806720446</v>
      </c>
      <c r="U51" s="754" t="n">
        <f aca="false">IF(U$7&gt;=Startops3,0,SUM(U26:U27,U28/2)*$C11/12)</f>
        <v>218.802337537801</v>
      </c>
      <c r="V51" s="754" t="n">
        <f aca="false">IF(V$7&gt;=Startops3,0,SUM(V26:V27,V28/2)*$C11/12)</f>
        <v>286.742767678319</v>
      </c>
      <c r="W51" s="754" t="n">
        <f aca="false">IF(W$7&gt;=Startops3,0,SUM(W26:W27,W28/2)*$C11/12)</f>
        <v>334.101112308694</v>
      </c>
      <c r="X51" s="754" t="n">
        <f aca="false">IF(X$7&gt;=Startops3,0,SUM(X26:X27,X28/2)*$C11/12)</f>
        <v>388.041918357006</v>
      </c>
      <c r="Y51" s="754" t="n">
        <f aca="false">IF(Y$7&gt;=Startops3,0,SUM(Y26:Y27,Y28/2)*$C11/12)</f>
        <v>396.628400796863</v>
      </c>
      <c r="Z51" s="754" t="n">
        <f aca="false">IF(Z$7&gt;=Startops3,0,SUM(Z26:Z27,Z28/2)*$C11/12)</f>
        <v>403.479096041995</v>
      </c>
      <c r="AA51" s="754" t="n">
        <f aca="false">IF(AA$7&gt;=Startops3,0,SUM(AA26:AA27,AA28/2)*$C11/12)</f>
        <v>415.112908990098</v>
      </c>
      <c r="AB51" s="754" t="n">
        <f aca="false">IF(AB$7&gt;=Startops3,0,SUM(AB26:AB27,AB28/2)*$C11/12)</f>
        <v>424.38305527915</v>
      </c>
      <c r="AC51" s="754" t="n">
        <f aca="false">IF(AC$7&gt;=Startops3,0,SUM(AC26:AC27,AC28/2)*$C11/12)</f>
        <v>427.930345491852</v>
      </c>
      <c r="AD51" s="754" t="n">
        <f aca="false">IF(AD$7&gt;=Startops3,0,SUM(AD26:AD27,AD28/2)*$C11/12)</f>
        <v>432.435300141938</v>
      </c>
      <c r="AE51" s="754" t="n">
        <f aca="false">IF(AE$7&gt;=Startops3,0,SUM(AE26:AE27,AE28/2)*$C11/12)</f>
        <v>437.778797766826</v>
      </c>
      <c r="AF51" s="754" t="n">
        <f aca="false">IF(AF$7&gt;=Startops3,0,SUM(AF26:AF27,AF28/2)*$C11/12)</f>
        <v>435.671504018748</v>
      </c>
      <c r="AG51" s="754" t="n">
        <f aca="false">IF(AG$7&gt;=Startops3,0,SUM(AG26:AG27,AG28/2)*$C11/12)</f>
        <v>467.699272101897</v>
      </c>
      <c r="AH51" s="754" t="n">
        <f aca="false">IF(AH$7&gt;=Startops3,0,SUM(AH26:AH27,AH28/2)*$C11/12)</f>
        <v>507.050312421493</v>
      </c>
      <c r="AI51" s="754" t="n">
        <f aca="false">IF(AI$7&gt;=Startops3,0,SUM(AI26:AI27,AI28/2)*$C11/12)</f>
        <v>515.38282944885</v>
      </c>
      <c r="AJ51" s="754" t="n">
        <f aca="false">IF(AJ$7&gt;=Startops3,0,SUM(AJ26:AJ27,AJ28/2)*$C11/12)</f>
        <v>533.019592214771</v>
      </c>
      <c r="AK51" s="754" t="n">
        <f aca="false">IF(AK$7&gt;=Startops3,0,SUM(AK26:AK27,AK28/2)*$C11/12)</f>
        <v>598.403744927315</v>
      </c>
      <c r="AL51" s="754" t="n">
        <f aca="false">IF(AL$7&gt;=Startops3,0,SUM(AL26:AL27,AL28/2)*$C11/12)</f>
        <v>0</v>
      </c>
      <c r="AM51" s="754" t="n">
        <f aca="false">IF(AM$7&gt;=Startops3,0,SUM(AM26:AM27,AM28/2)*$C11/12)</f>
        <v>0</v>
      </c>
      <c r="AN51" s="754" t="n">
        <f aca="false">IF(AN$7&gt;=Startops3,0,SUM(AN26:AN27,AN28/2)*$C11/12)</f>
        <v>0</v>
      </c>
      <c r="AO51" s="754" t="n">
        <f aca="false">IF(AO$7&gt;=Startops3,0,SUM(AO26:AO27,AO28/2)*$C11/12)</f>
        <v>0</v>
      </c>
      <c r="AP51" s="754" t="n">
        <f aca="false">IF(AP$7&gt;=Startops3,0,SUM(AP26:AP27,AP28/2)*$C11/12)</f>
        <v>0</v>
      </c>
      <c r="AQ51" s="754" t="n">
        <f aca="false">IF(AQ$7&gt;=Startops3,0,SUM(AQ26:AQ27,AQ28/2)*$C11/12)</f>
        <v>0</v>
      </c>
      <c r="AR51" s="754" t="n">
        <f aca="false">IF(AR$7&gt;=Startops3,0,SUM(AR26:AR27,AR28/2)*$C11/12)</f>
        <v>0</v>
      </c>
      <c r="AS51" s="754" t="n">
        <f aca="false">IF(AS$7&gt;=Startops3,0,SUM(AS26:AS27,AS28/2)*$C11/12)</f>
        <v>0</v>
      </c>
      <c r="AT51" s="754" t="n">
        <f aca="false">IF(AT$7&gt;=Startops3,0,SUM(AT26:AT27,AT28/2)*$C11/12)</f>
        <v>0</v>
      </c>
      <c r="AU51" s="754" t="n">
        <f aca="false">IF(AU$7&gt;=Startops3,0,SUM(AU26:AU27,AU28/2)*$C11/12)</f>
        <v>0</v>
      </c>
      <c r="AV51" s="754" t="n">
        <f aca="false">IF(AV$7&gt;=Startops3,0,SUM(AV26:AV27,AV28/2)*$C11/12)</f>
        <v>0</v>
      </c>
      <c r="AW51" s="754" t="n">
        <f aca="false">IF(AW$7&gt;=Startops3,0,SUM(AW26:AW27,AW28/2)*$C11/12)</f>
        <v>0</v>
      </c>
      <c r="AX51" s="754" t="n">
        <f aca="false">IF(AX$7&gt;=Startops3,0,SUM(AX26:AX27,AX28/2)*$C11/12)</f>
        <v>0</v>
      </c>
      <c r="AY51" s="754" t="n">
        <f aca="false">IF(AY$7&gt;=Startops3,0,SUM(AY26:AY27,AY28/2)*$C11/12)</f>
        <v>0</v>
      </c>
      <c r="AZ51" s="754" t="n">
        <f aca="false">IF(AZ$7&gt;=Startops3,0,SUM(AZ26:AZ27,AZ28/2)*$C11/12)</f>
        <v>0</v>
      </c>
      <c r="BA51" s="1047" t="n">
        <f aca="false">SUM(E51:AZ51)</f>
        <v>7784.57996734588</v>
      </c>
      <c r="BB51" s="175" t="n">
        <f aca="false">BB50+1</f>
        <v>45</v>
      </c>
      <c r="BC51" s="415"/>
      <c r="BD51" s="415"/>
      <c r="BE51" s="415"/>
      <c r="BF51" s="415"/>
      <c r="BG51" s="415"/>
      <c r="BH51" s="415"/>
      <c r="BI51" s="415"/>
      <c r="BJ51" s="415"/>
      <c r="BK51" s="415"/>
      <c r="BL51" s="415"/>
      <c r="BM51" s="415"/>
      <c r="BN51" s="415"/>
      <c r="BO51" s="415"/>
      <c r="BP51" s="415"/>
      <c r="BQ51" s="415"/>
      <c r="BR51" s="415"/>
      <c r="BS51" s="415"/>
      <c r="BT51" s="415"/>
      <c r="BU51" s="415"/>
      <c r="BV51" s="415"/>
      <c r="BW51" s="415"/>
      <c r="BX51" s="415"/>
      <c r="BY51" s="415"/>
      <c r="BZ51" s="415"/>
      <c r="CA51" s="415"/>
      <c r="CB51" s="415"/>
      <c r="CC51" s="415"/>
      <c r="CD51" s="415"/>
      <c r="CE51" s="415"/>
      <c r="CF51" s="415"/>
      <c r="CG51" s="415"/>
      <c r="CH51" s="415"/>
      <c r="CI51" s="415"/>
      <c r="CJ51" s="415"/>
      <c r="CK51" s="415"/>
      <c r="CL51" s="415"/>
      <c r="CM51" s="415"/>
      <c r="CN51" s="415"/>
      <c r="CO51" s="415"/>
      <c r="CP51" s="415"/>
      <c r="CQ51" s="415"/>
      <c r="CR51" s="415"/>
      <c r="CS51" s="415"/>
      <c r="CT51" s="415"/>
      <c r="CU51" s="415"/>
      <c r="CV51" s="415"/>
      <c r="CW51" s="415"/>
      <c r="CX51" s="415"/>
      <c r="CY51" s="415"/>
      <c r="CZ51" s="415"/>
      <c r="DA51" s="415"/>
      <c r="DB51" s="415"/>
      <c r="DC51" s="415"/>
      <c r="DD51" s="415"/>
      <c r="DE51" s="415"/>
      <c r="DF51" s="415"/>
      <c r="DG51" s="415"/>
      <c r="DH51" s="415"/>
      <c r="DI51" s="415"/>
      <c r="DJ51" s="415"/>
      <c r="DK51" s="415"/>
      <c r="DL51" s="415"/>
      <c r="DM51" s="415"/>
      <c r="DN51" s="415"/>
      <c r="DO51" s="415"/>
      <c r="DP51" s="415"/>
      <c r="DQ51" s="415"/>
      <c r="DR51" s="415"/>
      <c r="DS51" s="415"/>
      <c r="DT51" s="415"/>
      <c r="DU51" s="415"/>
      <c r="DV51" s="415"/>
      <c r="DW51" s="415"/>
      <c r="DX51" s="415"/>
      <c r="DY51" s="415"/>
      <c r="DZ51" s="415"/>
      <c r="EA51" s="415"/>
      <c r="EB51" s="415"/>
      <c r="EC51" s="415"/>
      <c r="ED51" s="415"/>
      <c r="EE51" s="415"/>
      <c r="EF51" s="415"/>
      <c r="EG51" s="415"/>
      <c r="EH51" s="415"/>
      <c r="EI51" s="415"/>
      <c r="EJ51" s="415"/>
      <c r="EK51" s="415"/>
      <c r="EL51" s="415"/>
      <c r="EM51" s="415"/>
      <c r="EN51" s="415"/>
      <c r="EO51" s="415"/>
      <c r="EP51" s="415"/>
      <c r="EQ51" s="415"/>
      <c r="ER51" s="415"/>
      <c r="ES51" s="415"/>
      <c r="ET51" s="415"/>
      <c r="EU51" s="415"/>
      <c r="EV51" s="415"/>
      <c r="EW51" s="415"/>
      <c r="EX51" s="415"/>
      <c r="EY51" s="415"/>
      <c r="EZ51" s="415"/>
      <c r="FA51" s="415"/>
      <c r="FB51" s="415"/>
      <c r="FC51" s="415"/>
      <c r="FD51" s="415"/>
      <c r="FE51" s="415"/>
      <c r="FF51" s="415"/>
      <c r="FG51" s="415"/>
      <c r="FH51" s="415"/>
      <c r="FI51" s="415"/>
      <c r="FJ51" s="415"/>
      <c r="FK51" s="415"/>
      <c r="FL51" s="415"/>
      <c r="FM51" s="415"/>
      <c r="FN51" s="415"/>
      <c r="FO51" s="415"/>
      <c r="FP51" s="415"/>
      <c r="FQ51" s="415"/>
      <c r="FR51" s="415"/>
      <c r="FS51" s="415"/>
      <c r="FT51" s="415"/>
      <c r="FU51" s="415"/>
      <c r="FV51" s="415"/>
      <c r="FW51" s="415"/>
      <c r="FX51" s="415"/>
      <c r="FY51" s="415"/>
      <c r="FZ51" s="415"/>
      <c r="GA51" s="415"/>
      <c r="GB51" s="415"/>
      <c r="GC51" s="415"/>
      <c r="GD51" s="415"/>
      <c r="GE51" s="415"/>
      <c r="GF51" s="415"/>
      <c r="GG51" s="415"/>
      <c r="GH51" s="415"/>
      <c r="GI51" s="415"/>
      <c r="GJ51" s="415"/>
      <c r="GK51" s="415"/>
      <c r="GL51" s="415"/>
      <c r="GM51" s="415"/>
      <c r="GN51" s="415"/>
      <c r="GO51" s="415"/>
      <c r="GP51" s="415"/>
      <c r="GQ51" s="415"/>
      <c r="GR51" s="415"/>
      <c r="GS51" s="415"/>
      <c r="GT51" s="415"/>
      <c r="GU51" s="415"/>
      <c r="GV51" s="415"/>
      <c r="GW51" s="415"/>
      <c r="GX51" s="415"/>
      <c r="GY51" s="415"/>
      <c r="GZ51" s="415"/>
      <c r="HA51" s="415"/>
      <c r="HB51" s="415"/>
      <c r="HC51" s="415"/>
      <c r="HD51" s="415"/>
      <c r="HE51" s="415"/>
      <c r="HF51" s="415"/>
      <c r="HG51" s="415"/>
      <c r="HH51" s="415"/>
      <c r="HI51" s="415"/>
      <c r="HJ51" s="415"/>
      <c r="HK51" s="415"/>
      <c r="HL51" s="415"/>
      <c r="HM51" s="415"/>
      <c r="HN51" s="415"/>
      <c r="HO51" s="415"/>
      <c r="HP51" s="415"/>
      <c r="HQ51" s="415"/>
      <c r="HR51" s="415"/>
      <c r="HS51" s="415"/>
      <c r="HT51" s="415"/>
      <c r="HU51" s="415"/>
      <c r="HV51" s="415"/>
      <c r="HW51" s="415"/>
      <c r="HX51" s="415"/>
      <c r="HY51" s="415"/>
      <c r="HZ51" s="415"/>
      <c r="IA51" s="415"/>
      <c r="IB51" s="415"/>
      <c r="IC51" s="415"/>
      <c r="ID51" s="415"/>
      <c r="IE51" s="415"/>
      <c r="IF51" s="415"/>
      <c r="IG51" s="415"/>
      <c r="IH51" s="415"/>
      <c r="II51" s="415"/>
      <c r="IJ51" s="415"/>
      <c r="IK51" s="415"/>
      <c r="IL51" s="415"/>
      <c r="IM51" s="415"/>
      <c r="IN51" s="415"/>
      <c r="IO51" s="415"/>
      <c r="IP51" s="415"/>
      <c r="IQ51" s="415"/>
      <c r="IR51" s="415"/>
      <c r="IS51" s="415"/>
      <c r="IT51" s="415"/>
      <c r="IU51" s="415"/>
      <c r="IV51" s="415"/>
      <c r="IW51" s="415"/>
    </row>
    <row r="52" customFormat="false" ht="12.75" hidden="false" customHeight="false" outlineLevel="0" collapsed="false">
      <c r="A52" s="166" t="s">
        <v>1349</v>
      </c>
      <c r="B52" s="131"/>
      <c r="C52" s="131"/>
      <c r="D52" s="131"/>
      <c r="E52" s="754" t="n">
        <f aca="false">IF(E$7&gt;=Startops3,0,SUM(E34:E35,E36/2)*$C12/12)</f>
        <v>0</v>
      </c>
      <c r="F52" s="754" t="n">
        <f aca="false">IF(F$7&gt;=Startops3,0,SUM(F34:F35,F36/2)*$C12/12)</f>
        <v>0</v>
      </c>
      <c r="G52" s="754" t="n">
        <f aca="false">IF(G$7&gt;=Startops3,0,SUM(G34:G35,G36/2)*$C12/12)</f>
        <v>0</v>
      </c>
      <c r="H52" s="754" t="n">
        <f aca="false">IF(H$7&gt;=Startops3,0,SUM(H34:H35,H36/2)*$C12/12)</f>
        <v>0</v>
      </c>
      <c r="I52" s="754" t="n">
        <f aca="false">IF(I$7&gt;=Startops3,0,SUM(I34:I35,I36/2)*$C12/12)</f>
        <v>0</v>
      </c>
      <c r="J52" s="754" t="n">
        <f aca="false">IF(J$7&gt;=Startops3,0,SUM(J34:J35,J36/2)*$C12/12)</f>
        <v>0</v>
      </c>
      <c r="K52" s="754" t="n">
        <f aca="false">IF(K$7&gt;=Startops3,0,SUM(K34:K35,K36/2)*$C12/12)</f>
        <v>0</v>
      </c>
      <c r="L52" s="754" t="n">
        <f aca="false">IF(L$7&gt;=Startops3,0,SUM(L34:L35,L36/2)*$C12/12)</f>
        <v>0</v>
      </c>
      <c r="M52" s="754" t="n">
        <f aca="false">IF(M$7&gt;=Startops3,0,SUM(M34:M35,M36/2)*$C12/12)</f>
        <v>0</v>
      </c>
      <c r="N52" s="754" t="n">
        <f aca="false">IF(N$7&gt;=Startops3,0,SUM(N34:N35,N36/2)*$C12/12)</f>
        <v>0</v>
      </c>
      <c r="O52" s="754" t="n">
        <f aca="false">IF(O$7&gt;=Startops3,0,SUM(O34:O35,O36/2)*$C12/12)</f>
        <v>0</v>
      </c>
      <c r="P52" s="754" t="n">
        <f aca="false">IF(P$7&gt;=Startops3,0,SUM(P34:P35,P36/2)*$C12/12)</f>
        <v>0</v>
      </c>
      <c r="Q52" s="754" t="n">
        <f aca="false">IF(Q$7&gt;=Startops3,0,SUM(Q34:Q35,Q36/2)*$C12/12)</f>
        <v>0</v>
      </c>
      <c r="R52" s="754" t="n">
        <f aca="false">IF(R$7&gt;=Startops3,0,SUM(R34:R35,R36/2)*$C12/12)</f>
        <v>0</v>
      </c>
      <c r="S52" s="754" t="n">
        <f aca="false">IF(S$7&gt;=Startops3,0,SUM(S34:S35,S36/2)*$C12/12)</f>
        <v>0</v>
      </c>
      <c r="T52" s="754" t="n">
        <f aca="false">IF(T$7&gt;=Startops3,0,SUM(T34:T35,T36/2)*$C12/12)</f>
        <v>0</v>
      </c>
      <c r="U52" s="754" t="n">
        <f aca="false">IF(U$7&gt;=Startops3,0,SUM(U34:U35,U36/2)*$C12/12)</f>
        <v>0</v>
      </c>
      <c r="V52" s="754" t="n">
        <f aca="false">IF(V$7&gt;=Startops3,0,SUM(V34:V35,V36/2)*$C12/12)</f>
        <v>0</v>
      </c>
      <c r="W52" s="754" t="n">
        <f aca="false">IF(W$7&gt;=Startops3,0,SUM(W34:W35,W36/2)*$C12/12)</f>
        <v>0</v>
      </c>
      <c r="X52" s="754" t="n">
        <f aca="false">IF(X$7&gt;=Startops3,0,SUM(X34:X35,X36/2)*$C12/12)</f>
        <v>0</v>
      </c>
      <c r="Y52" s="754" t="n">
        <f aca="false">IF(Y$7&gt;=Startops3,0,SUM(Y34:Y35,Y36/2)*$C12/12)</f>
        <v>0</v>
      </c>
      <c r="Z52" s="754" t="n">
        <f aca="false">IF(Z$7&gt;=Startops3,0,SUM(Z34:Z35,Z36/2)*$C12/12)</f>
        <v>0</v>
      </c>
      <c r="AA52" s="754" t="n">
        <f aca="false">IF(AA$7&gt;=Startops3,0,SUM(AA34:AA35,AA36/2)*$C12/12)</f>
        <v>0</v>
      </c>
      <c r="AB52" s="754" t="n">
        <f aca="false">IF(AB$7&gt;=Startops3,0,SUM(AB34:AB35,AB36/2)*$C12/12)</f>
        <v>0</v>
      </c>
      <c r="AC52" s="754" t="n">
        <f aca="false">IF(AC$7&gt;=Startops3,0,SUM(AC34:AC35,AC36/2)*$C12/12)</f>
        <v>0</v>
      </c>
      <c r="AD52" s="754" t="n">
        <f aca="false">IF(AD$7&gt;=Startops3,0,SUM(AD34:AD35,AD36/2)*$C12/12)</f>
        <v>0</v>
      </c>
      <c r="AE52" s="754" t="n">
        <f aca="false">IF(AE$7&gt;=Startops3,0,SUM(AE34:AE35,AE36/2)*$C12/12)</f>
        <v>0</v>
      </c>
      <c r="AF52" s="754" t="n">
        <f aca="false">IF(AF$7&gt;=Startops3,0,SUM(AF34:AF35,AF36/2)*$C12/12)</f>
        <v>0</v>
      </c>
      <c r="AG52" s="754" t="n">
        <f aca="false">IF(AG$7&gt;=Startops3,0,SUM(AG34:AG35,AG36/2)*$C12/12)</f>
        <v>0</v>
      </c>
      <c r="AH52" s="754" t="n">
        <f aca="false">IF(AH$7&gt;=Startops3,0,SUM(AH34:AH35,AH36/2)*$C12/12)</f>
        <v>0</v>
      </c>
      <c r="AI52" s="754" t="n">
        <f aca="false">IF(AI$7&gt;=Startops3,0,SUM(AI34:AI35,AI36/2)*$C12/12)</f>
        <v>0</v>
      </c>
      <c r="AJ52" s="754" t="n">
        <f aca="false">IF(AJ$7&gt;=Startops3,0,SUM(AJ34:AJ35,AJ36/2)*$C12/12)</f>
        <v>0</v>
      </c>
      <c r="AK52" s="754" t="n">
        <f aca="false">IF(AK$7&gt;=Startops3,0,SUM(AK34:AK35,AK36/2)*$C12/12)</f>
        <v>0</v>
      </c>
      <c r="AL52" s="754" t="n">
        <f aca="false">IF(AL$7&gt;=Startops3,0,SUM(AL34:AL35,AL36/2)*$C12/12)</f>
        <v>797.11038136189</v>
      </c>
      <c r="AM52" s="754" t="n">
        <f aca="false">IF(AM$7&gt;=Startops3,0,SUM(AM34:AM35,AM36/2)*$C12/12)</f>
        <v>890.289810716293</v>
      </c>
      <c r="AN52" s="754" t="n">
        <f aca="false">IF(AN$7&gt;=Startops3,0,SUM(AN34:AN35,AN36/2)*$C12/12)</f>
        <v>903.367347929046</v>
      </c>
      <c r="AO52" s="754" t="n">
        <f aca="false">IF(AO$7&gt;=Startops3,0,SUM(AO34:AO35,AO36/2)*$C12/12)</f>
        <v>968.660311105841</v>
      </c>
      <c r="AP52" s="754" t="n">
        <f aca="false">IF(AP$7&gt;=Startops3,0,SUM(AP34:AP35,AP36/2)*$C12/12)</f>
        <v>1034.46041048243</v>
      </c>
      <c r="AQ52" s="754" t="n">
        <f aca="false">IF(AQ$7&gt;=Startops3,0,SUM(AQ34:AQ35,AQ36/2)*$C12/12)</f>
        <v>1048.65773345048</v>
      </c>
      <c r="AR52" s="754" t="n">
        <f aca="false">IF(AR$7&gt;=Startops3,0,SUM(AR34:AR35,AR36/2)*$C12/12)</f>
        <v>1062.96532827736</v>
      </c>
      <c r="AS52" s="754" t="n">
        <f aca="false">IF(AS$7&gt;=Startops3,0,SUM(AS34:AS35,AS36/2)*$C12/12)</f>
        <v>1129.49790303418</v>
      </c>
      <c r="AT52" s="754" t="n">
        <f aca="false">IF(AT$7&gt;=Startops3,0,SUM(AT34:AT35,AT36/2)*$C12/12)</f>
        <v>1196.54724216318</v>
      </c>
      <c r="AU52" s="754" t="n">
        <f aca="false">IF(AU$7&gt;=Startops3,0,SUM(AU34:AU35,AU36/2)*$C12/12)</f>
        <v>1212.00350783893</v>
      </c>
      <c r="AV52" s="754" t="n">
        <f aca="false">IF(AV$7&gt;=Startops3,0,SUM(AV34:AV35,AV36/2)*$C12/12)</f>
        <v>1227.57982369246</v>
      </c>
      <c r="AW52" s="754" t="n">
        <f aca="false">IF(AW$7&gt;=Startops3,0,SUM(AW34:AW35,AW36/2)*$C12/12)</f>
        <v>0</v>
      </c>
      <c r="AX52" s="754" t="n">
        <f aca="false">IF(AX$7&gt;=Startops3,0,SUM(AX34:AX35,AX36/2)*$C12/12)</f>
        <v>0</v>
      </c>
      <c r="AY52" s="754" t="n">
        <f aca="false">IF(AY$7&gt;=Startops3,0,SUM(AY34:AY35,AY36/2)*$C12/12)</f>
        <v>0</v>
      </c>
      <c r="AZ52" s="754" t="n">
        <f aca="false">IF(AZ$7&gt;=Startops3,0,SUM(AZ34:AZ35,AZ36/2)*$C12/12)</f>
        <v>0</v>
      </c>
      <c r="BA52" s="1047" t="n">
        <f aca="false">SUM(E52:AZ52)</f>
        <v>11471.1398000521</v>
      </c>
      <c r="BB52" s="175" t="n">
        <f aca="false">BB51+1</f>
        <v>46</v>
      </c>
      <c r="BC52" s="415"/>
      <c r="BD52" s="415"/>
      <c r="BE52" s="415"/>
      <c r="BF52" s="415"/>
      <c r="BG52" s="415"/>
      <c r="BH52" s="415"/>
      <c r="BI52" s="415"/>
      <c r="BJ52" s="415"/>
      <c r="BK52" s="415"/>
      <c r="BL52" s="415"/>
      <c r="BM52" s="415"/>
      <c r="BN52" s="415"/>
      <c r="BO52" s="415"/>
      <c r="BP52" s="415"/>
      <c r="BQ52" s="415"/>
      <c r="BR52" s="415"/>
      <c r="BS52" s="415"/>
      <c r="BT52" s="415"/>
      <c r="BU52" s="415"/>
      <c r="BV52" s="415"/>
      <c r="BW52" s="415"/>
      <c r="BX52" s="415"/>
      <c r="BY52" s="415"/>
      <c r="BZ52" s="415"/>
      <c r="CA52" s="415"/>
      <c r="CB52" s="415"/>
      <c r="CC52" s="415"/>
      <c r="CD52" s="415"/>
      <c r="CE52" s="415"/>
      <c r="CF52" s="415"/>
      <c r="CG52" s="415"/>
      <c r="CH52" s="415"/>
      <c r="CI52" s="415"/>
      <c r="CJ52" s="415"/>
      <c r="CK52" s="415"/>
      <c r="CL52" s="415"/>
      <c r="CM52" s="415"/>
      <c r="CN52" s="415"/>
      <c r="CO52" s="415"/>
      <c r="CP52" s="415"/>
      <c r="CQ52" s="415"/>
      <c r="CR52" s="415"/>
      <c r="CS52" s="415"/>
      <c r="CT52" s="415"/>
      <c r="CU52" s="415"/>
      <c r="CV52" s="415"/>
      <c r="CW52" s="415"/>
      <c r="CX52" s="415"/>
      <c r="CY52" s="415"/>
      <c r="CZ52" s="415"/>
      <c r="DA52" s="415"/>
      <c r="DB52" s="415"/>
      <c r="DC52" s="415"/>
      <c r="DD52" s="415"/>
      <c r="DE52" s="415"/>
      <c r="DF52" s="415"/>
      <c r="DG52" s="415"/>
      <c r="DH52" s="415"/>
      <c r="DI52" s="415"/>
      <c r="DJ52" s="415"/>
      <c r="DK52" s="415"/>
      <c r="DL52" s="415"/>
      <c r="DM52" s="415"/>
      <c r="DN52" s="415"/>
      <c r="DO52" s="415"/>
      <c r="DP52" s="415"/>
      <c r="DQ52" s="415"/>
      <c r="DR52" s="415"/>
      <c r="DS52" s="415"/>
      <c r="DT52" s="415"/>
      <c r="DU52" s="415"/>
      <c r="DV52" s="415"/>
      <c r="DW52" s="415"/>
      <c r="DX52" s="415"/>
      <c r="DY52" s="415"/>
      <c r="DZ52" s="415"/>
      <c r="EA52" s="415"/>
      <c r="EB52" s="415"/>
      <c r="EC52" s="415"/>
      <c r="ED52" s="415"/>
      <c r="EE52" s="415"/>
      <c r="EF52" s="415"/>
      <c r="EG52" s="415"/>
      <c r="EH52" s="415"/>
      <c r="EI52" s="415"/>
      <c r="EJ52" s="415"/>
      <c r="EK52" s="415"/>
      <c r="EL52" s="415"/>
      <c r="EM52" s="415"/>
      <c r="EN52" s="415"/>
      <c r="EO52" s="415"/>
      <c r="EP52" s="415"/>
      <c r="EQ52" s="415"/>
      <c r="ER52" s="415"/>
      <c r="ES52" s="415"/>
      <c r="ET52" s="415"/>
      <c r="EU52" s="415"/>
      <c r="EV52" s="415"/>
      <c r="EW52" s="415"/>
      <c r="EX52" s="415"/>
      <c r="EY52" s="415"/>
      <c r="EZ52" s="415"/>
      <c r="FA52" s="415"/>
      <c r="FB52" s="415"/>
      <c r="FC52" s="415"/>
      <c r="FD52" s="415"/>
      <c r="FE52" s="415"/>
      <c r="FF52" s="415"/>
      <c r="FG52" s="415"/>
      <c r="FH52" s="415"/>
      <c r="FI52" s="415"/>
      <c r="FJ52" s="415"/>
      <c r="FK52" s="415"/>
      <c r="FL52" s="415"/>
      <c r="FM52" s="415"/>
      <c r="FN52" s="415"/>
      <c r="FO52" s="415"/>
      <c r="FP52" s="415"/>
      <c r="FQ52" s="415"/>
      <c r="FR52" s="415"/>
      <c r="FS52" s="415"/>
      <c r="FT52" s="415"/>
      <c r="FU52" s="415"/>
      <c r="FV52" s="415"/>
      <c r="FW52" s="415"/>
      <c r="FX52" s="415"/>
      <c r="FY52" s="415"/>
      <c r="FZ52" s="415"/>
      <c r="GA52" s="415"/>
      <c r="GB52" s="415"/>
      <c r="GC52" s="415"/>
      <c r="GD52" s="415"/>
      <c r="GE52" s="415"/>
      <c r="GF52" s="415"/>
      <c r="GG52" s="415"/>
      <c r="GH52" s="415"/>
      <c r="GI52" s="415"/>
      <c r="GJ52" s="415"/>
      <c r="GK52" s="415"/>
      <c r="GL52" s="415"/>
      <c r="GM52" s="415"/>
      <c r="GN52" s="415"/>
      <c r="GO52" s="415"/>
      <c r="GP52" s="415"/>
      <c r="GQ52" s="415"/>
      <c r="GR52" s="415"/>
      <c r="GS52" s="415"/>
      <c r="GT52" s="415"/>
      <c r="GU52" s="415"/>
      <c r="GV52" s="415"/>
      <c r="GW52" s="415"/>
      <c r="GX52" s="415"/>
      <c r="GY52" s="415"/>
      <c r="GZ52" s="415"/>
      <c r="HA52" s="415"/>
      <c r="HB52" s="415"/>
      <c r="HC52" s="415"/>
      <c r="HD52" s="415"/>
      <c r="HE52" s="415"/>
      <c r="HF52" s="415"/>
      <c r="HG52" s="415"/>
      <c r="HH52" s="415"/>
      <c r="HI52" s="415"/>
      <c r="HJ52" s="415"/>
      <c r="HK52" s="415"/>
      <c r="HL52" s="415"/>
      <c r="HM52" s="415"/>
      <c r="HN52" s="415"/>
      <c r="HO52" s="415"/>
      <c r="HP52" s="415"/>
      <c r="HQ52" s="415"/>
      <c r="HR52" s="415"/>
      <c r="HS52" s="415"/>
      <c r="HT52" s="415"/>
      <c r="HU52" s="415"/>
      <c r="HV52" s="415"/>
      <c r="HW52" s="415"/>
      <c r="HX52" s="415"/>
      <c r="HY52" s="415"/>
      <c r="HZ52" s="415"/>
      <c r="IA52" s="415"/>
      <c r="IB52" s="415"/>
      <c r="IC52" s="415"/>
      <c r="ID52" s="415"/>
      <c r="IE52" s="415"/>
      <c r="IF52" s="415"/>
      <c r="IG52" s="415"/>
      <c r="IH52" s="415"/>
      <c r="II52" s="415"/>
      <c r="IJ52" s="415"/>
      <c r="IK52" s="415"/>
      <c r="IL52" s="415"/>
      <c r="IM52" s="415"/>
      <c r="IN52" s="415"/>
      <c r="IO52" s="415"/>
      <c r="IP52" s="415"/>
      <c r="IQ52" s="415"/>
      <c r="IR52" s="415"/>
      <c r="IS52" s="415"/>
      <c r="IT52" s="415"/>
      <c r="IU52" s="415"/>
      <c r="IV52" s="415"/>
      <c r="IW52" s="415"/>
    </row>
    <row r="53" customFormat="false" ht="12.75" hidden="false" customHeight="false" outlineLevel="0" collapsed="false">
      <c r="A53" s="166" t="s">
        <v>1350</v>
      </c>
      <c r="B53" s="131"/>
      <c r="C53" s="131"/>
      <c r="D53" s="131"/>
      <c r="E53" s="1048" t="n">
        <f aca="false">IF(E$7&gt;=Startops3,0,SUM(E43:E44,E45/2)*$C13/12)</f>
        <v>0</v>
      </c>
      <c r="F53" s="1048" t="n">
        <f aca="false">IF(F$7&gt;=Startops3,0,SUM(F43:F44,F45/2)*$C13/12)</f>
        <v>0</v>
      </c>
      <c r="G53" s="1048" t="n">
        <f aca="false">IF(G$7&gt;=Startops3,0,SUM(G43:G44,G45/2)*$C13/12)</f>
        <v>0</v>
      </c>
      <c r="H53" s="1048" t="n">
        <f aca="false">IF(H$7&gt;=Startops3,0,SUM(H43:H44,H45/2)*$C13/12)</f>
        <v>0</v>
      </c>
      <c r="I53" s="1048" t="n">
        <f aca="false">IF(I$7&gt;=Startops3,0,SUM(I43:I44,I45/2)*$C13/12)</f>
        <v>0</v>
      </c>
      <c r="J53" s="1048" t="n">
        <f aca="false">IF(J$7&gt;=Startops3,0,SUM(J43:J44,J45/2)*$C13/12)</f>
        <v>0</v>
      </c>
      <c r="K53" s="1048" t="n">
        <f aca="false">IF(K$7&gt;=Startops3,0,SUM(K43:K44,K45/2)*$C13/12)</f>
        <v>0</v>
      </c>
      <c r="L53" s="1048" t="n">
        <f aca="false">IF(L$7&gt;=Startops3,0,SUM(L43:L44,L45/2)*$C13/12)</f>
        <v>0</v>
      </c>
      <c r="M53" s="1048" t="n">
        <f aca="false">IF(M$7&gt;=Startops3,0,SUM(M43:M44,M45/2)*$C13/12)</f>
        <v>0</v>
      </c>
      <c r="N53" s="1048" t="n">
        <f aca="false">IF(N$7&gt;=Startops3,0,SUM(N43:N44,N45/2)*$C13/12)</f>
        <v>0</v>
      </c>
      <c r="O53" s="1048" t="n">
        <f aca="false">IF(O$7&gt;=Startops3,0,SUM(O43:O44,O45/2)*$C13/12)</f>
        <v>0</v>
      </c>
      <c r="P53" s="1048" t="n">
        <f aca="false">IF(P$7&gt;=Startops3,0,SUM(P43:P44,P45/2)*$C13/12)</f>
        <v>0</v>
      </c>
      <c r="Q53" s="1048" t="n">
        <f aca="false">IF(Q$7&gt;=Startops3,0,SUM(Q43:Q44,Q45/2)*$C13/12)</f>
        <v>0</v>
      </c>
      <c r="R53" s="1048" t="n">
        <f aca="false">IF(R$7&gt;=Startops3,0,SUM(R43:R44,R45/2)*$C13/12)</f>
        <v>0</v>
      </c>
      <c r="S53" s="1048" t="n">
        <f aca="false">IF(S$7&gt;=Startops3,0,SUM(S43:S44,S45/2)*$C13/12)</f>
        <v>0</v>
      </c>
      <c r="T53" s="1048" t="n">
        <f aca="false">IF(T$7&gt;=Startops3,0,SUM(T43:T44,T45/2)*$C13/12)</f>
        <v>0</v>
      </c>
      <c r="U53" s="1048" t="n">
        <f aca="false">IF(U$7&gt;=Startops3,0,SUM(U43:U44,U45/2)*$C13/12)</f>
        <v>0</v>
      </c>
      <c r="V53" s="1048" t="n">
        <f aca="false">IF(V$7&gt;=Startops3,0,SUM(V43:V44,V45/2)*$C13/12)</f>
        <v>0</v>
      </c>
      <c r="W53" s="1048" t="n">
        <f aca="false">IF(W$7&gt;=Startops3,0,SUM(W43:W44,W45/2)*$C13/12)</f>
        <v>0</v>
      </c>
      <c r="X53" s="1048" t="n">
        <f aca="false">IF(X$7&gt;=Startops3,0,SUM(X43:X44,X45/2)*$C13/12)</f>
        <v>0</v>
      </c>
      <c r="Y53" s="1048" t="n">
        <f aca="false">IF(Y$7&gt;=Startops3,0,SUM(Y43:Y44,Y45/2)*$C13/12)</f>
        <v>0</v>
      </c>
      <c r="Z53" s="1048" t="n">
        <f aca="false">IF(Z$7&gt;=Startops3,0,SUM(Z43:Z44,Z45/2)*$C13/12)</f>
        <v>0</v>
      </c>
      <c r="AA53" s="1048" t="n">
        <f aca="false">IF(AA$7&gt;=Startops3,0,SUM(AA43:AA44,AA45/2)*$C13/12)</f>
        <v>0</v>
      </c>
      <c r="AB53" s="1048" t="n">
        <f aca="false">IF(AB$7&gt;=Startops3,0,SUM(AB43:AB44,AB45/2)*$C13/12)</f>
        <v>0</v>
      </c>
      <c r="AC53" s="1048" t="n">
        <f aca="false">IF(AC$7&gt;=Startops3,0,SUM(AC43:AC44,AC45/2)*$C13/12)</f>
        <v>0</v>
      </c>
      <c r="AD53" s="1048" t="n">
        <f aca="false">IF(AD$7&gt;=Startops3,0,SUM(AD43:AD44,AD45/2)*$C13/12)</f>
        <v>0</v>
      </c>
      <c r="AE53" s="1048" t="n">
        <f aca="false">IF(AE$7&gt;=Startops3,0,SUM(AE43:AE44,AE45/2)*$C13/12)</f>
        <v>0</v>
      </c>
      <c r="AF53" s="1048" t="n">
        <f aca="false">IF(AF$7&gt;=Startops3,0,SUM(AF43:AF44,AF45/2)*$C13/12)</f>
        <v>0</v>
      </c>
      <c r="AG53" s="1048" t="n">
        <f aca="false">IF(AG$7&gt;=Startops3,0,SUM(AG43:AG44,AG45/2)*$C13/12)</f>
        <v>0</v>
      </c>
      <c r="AH53" s="1048" t="n">
        <f aca="false">IF(AH$7&gt;=Startops3,0,SUM(AH43:AH44,AH45/2)*$C13/12)</f>
        <v>0</v>
      </c>
      <c r="AI53" s="1048" t="n">
        <f aca="false">IF(AI$7&gt;=Startops3,0,SUM(AI43:AI44,AI45/2)*$C13/12)</f>
        <v>0</v>
      </c>
      <c r="AJ53" s="1048" t="n">
        <f aca="false">IF(AJ$7&gt;=Startops3,0,SUM(AJ43:AJ44,AJ45/2)*$C13/12)</f>
        <v>0</v>
      </c>
      <c r="AK53" s="1048" t="n">
        <f aca="false">IF(AK$7&gt;=Startops3,0,SUM(AK43:AK44,AK45/2)*$C13/12)</f>
        <v>0</v>
      </c>
      <c r="AL53" s="1048" t="n">
        <f aca="false">IF(AL$7&gt;=Startops3,0,SUM(AL43:AL44,AL45/2)*$C13/12)</f>
        <v>312.827911926349</v>
      </c>
      <c r="AM53" s="1048" t="n">
        <f aca="false">IF(AM$7&gt;=Startops3,0,SUM(AM43:AM44,AM45/2)*$C13/12)</f>
        <v>349.396406078469</v>
      </c>
      <c r="AN53" s="1048" t="n">
        <f aca="false">IF(AN$7&gt;=Startops3,0,SUM(AN43:AN44,AN45/2)*$C13/12)</f>
        <v>354.528717430901</v>
      </c>
      <c r="AO53" s="1048" t="n">
        <f aca="false">IF(AO$7&gt;=Startops3,0,SUM(AO43:AO44,AO45/2)*$C13/12)</f>
        <v>380.153099965203</v>
      </c>
      <c r="AP53" s="1048" t="n">
        <f aca="false">IF(AP$7&gt;=Startops3,0,SUM(AP43:AP44,AP45/2)*$C13/12)</f>
        <v>405.976509337133</v>
      </c>
      <c r="AQ53" s="1048" t="n">
        <f aca="false">IF(AQ$7&gt;=Startops3,0,SUM(AQ43:AQ44,AQ45/2)*$C13/12)</f>
        <v>411.548283338437</v>
      </c>
      <c r="AR53" s="1048" t="n">
        <f aca="false">IF(AR$7&gt;=Startops3,0,SUM(AR43:AR44,AR45/2)*$C13/12)</f>
        <v>417.163333799494</v>
      </c>
      <c r="AS53" s="1048" t="n">
        <f aca="false">IF(AS$7&gt;=Startops3,0,SUM(AS43:AS44,AS45/2)*$C13/12)</f>
        <v>443.274204919625</v>
      </c>
      <c r="AT53" s="1048" t="n">
        <f aca="false">IF(AT$7&gt;=Startops3,0,SUM(AT43:AT44,AT45/2)*$C13/12)</f>
        <v>469.587881477109</v>
      </c>
      <c r="AU53" s="1048" t="n">
        <f aca="false">IF(AU$7&gt;=Startops3,0,SUM(AU43:AU44,AU45/2)*$C13/12)</f>
        <v>475.653730612408</v>
      </c>
      <c r="AV53" s="1048" t="n">
        <f aca="false">IF(AV$7&gt;=Startops3,0,SUM(AV43:AV44,AV45/2)*$C13/12)</f>
        <v>481.766693732573</v>
      </c>
      <c r="AW53" s="1048" t="n">
        <f aca="false">IF(AW$7&gt;=Startops3,0,SUM(AW43:AW44,AW45/2)*$C13/12)</f>
        <v>0</v>
      </c>
      <c r="AX53" s="1048" t="n">
        <f aca="false">IF(AX$7&gt;=Startops3,0,SUM(AX43:AX44,AX45/2)*$C13/12)</f>
        <v>0</v>
      </c>
      <c r="AY53" s="1048" t="n">
        <f aca="false">IF(AY$7&gt;=Startops3,0,SUM(AY43:AY44,AY45/2)*$C13/12)</f>
        <v>0</v>
      </c>
      <c r="AZ53" s="1048" t="n">
        <f aca="false">IF(AZ$7&gt;=Startops3,0,SUM(AZ43:AZ44,AZ45/2)*$C13/12)</f>
        <v>0</v>
      </c>
      <c r="BA53" s="1049" t="n">
        <f aca="false">SUM(E53:AZ53)</f>
        <v>4501.8767726177</v>
      </c>
      <c r="BB53" s="175" t="n">
        <f aca="false">BB52+1</f>
        <v>47</v>
      </c>
      <c r="BC53" s="415"/>
      <c r="BD53" s="415"/>
      <c r="BE53" s="415"/>
      <c r="BF53" s="415"/>
      <c r="BG53" s="415"/>
      <c r="BH53" s="415"/>
      <c r="BI53" s="415"/>
      <c r="BJ53" s="415"/>
      <c r="BK53" s="415"/>
      <c r="BL53" s="415"/>
      <c r="BM53" s="415"/>
      <c r="BN53" s="415"/>
      <c r="BO53" s="415"/>
      <c r="BP53" s="415"/>
      <c r="BQ53" s="415"/>
      <c r="BR53" s="415"/>
      <c r="BS53" s="415"/>
      <c r="BT53" s="415"/>
      <c r="BU53" s="415"/>
      <c r="BV53" s="415"/>
      <c r="BW53" s="415"/>
      <c r="BX53" s="415"/>
      <c r="BY53" s="415"/>
      <c r="BZ53" s="415"/>
      <c r="CA53" s="415"/>
      <c r="CB53" s="415"/>
      <c r="CC53" s="415"/>
      <c r="CD53" s="415"/>
      <c r="CE53" s="415"/>
      <c r="CF53" s="415"/>
      <c r="CG53" s="415"/>
      <c r="CH53" s="415"/>
      <c r="CI53" s="415"/>
      <c r="CJ53" s="415"/>
      <c r="CK53" s="415"/>
      <c r="CL53" s="415"/>
      <c r="CM53" s="415"/>
      <c r="CN53" s="415"/>
      <c r="CO53" s="415"/>
      <c r="CP53" s="415"/>
      <c r="CQ53" s="415"/>
      <c r="CR53" s="415"/>
      <c r="CS53" s="415"/>
      <c r="CT53" s="415"/>
      <c r="CU53" s="415"/>
      <c r="CV53" s="415"/>
      <c r="CW53" s="415"/>
      <c r="CX53" s="415"/>
      <c r="CY53" s="415"/>
      <c r="CZ53" s="415"/>
      <c r="DA53" s="415"/>
      <c r="DB53" s="415"/>
      <c r="DC53" s="415"/>
      <c r="DD53" s="415"/>
      <c r="DE53" s="415"/>
      <c r="DF53" s="415"/>
      <c r="DG53" s="415"/>
      <c r="DH53" s="415"/>
      <c r="DI53" s="415"/>
      <c r="DJ53" s="415"/>
      <c r="DK53" s="415"/>
      <c r="DL53" s="415"/>
      <c r="DM53" s="415"/>
      <c r="DN53" s="415"/>
      <c r="DO53" s="415"/>
      <c r="DP53" s="415"/>
      <c r="DQ53" s="415"/>
      <c r="DR53" s="415"/>
      <c r="DS53" s="415"/>
      <c r="DT53" s="415"/>
      <c r="DU53" s="415"/>
      <c r="DV53" s="415"/>
      <c r="DW53" s="415"/>
      <c r="DX53" s="415"/>
      <c r="DY53" s="415"/>
      <c r="DZ53" s="415"/>
      <c r="EA53" s="415"/>
      <c r="EB53" s="415"/>
      <c r="EC53" s="415"/>
      <c r="ED53" s="415"/>
      <c r="EE53" s="415"/>
      <c r="EF53" s="415"/>
      <c r="EG53" s="415"/>
      <c r="EH53" s="415"/>
      <c r="EI53" s="415"/>
      <c r="EJ53" s="415"/>
      <c r="EK53" s="415"/>
      <c r="EL53" s="415"/>
      <c r="EM53" s="415"/>
      <c r="EN53" s="415"/>
      <c r="EO53" s="415"/>
      <c r="EP53" s="415"/>
      <c r="EQ53" s="415"/>
      <c r="ER53" s="415"/>
      <c r="ES53" s="415"/>
      <c r="ET53" s="415"/>
      <c r="EU53" s="415"/>
      <c r="EV53" s="415"/>
      <c r="EW53" s="415"/>
      <c r="EX53" s="415"/>
      <c r="EY53" s="415"/>
      <c r="EZ53" s="415"/>
      <c r="FA53" s="415"/>
      <c r="FB53" s="415"/>
      <c r="FC53" s="415"/>
      <c r="FD53" s="415"/>
      <c r="FE53" s="415"/>
      <c r="FF53" s="415"/>
      <c r="FG53" s="415"/>
      <c r="FH53" s="415"/>
      <c r="FI53" s="415"/>
      <c r="FJ53" s="415"/>
      <c r="FK53" s="415"/>
      <c r="FL53" s="415"/>
      <c r="FM53" s="415"/>
      <c r="FN53" s="415"/>
      <c r="FO53" s="415"/>
      <c r="FP53" s="415"/>
      <c r="FQ53" s="415"/>
      <c r="FR53" s="415"/>
      <c r="FS53" s="415"/>
      <c r="FT53" s="415"/>
      <c r="FU53" s="415"/>
      <c r="FV53" s="415"/>
      <c r="FW53" s="415"/>
      <c r="FX53" s="415"/>
      <c r="FY53" s="415"/>
      <c r="FZ53" s="415"/>
      <c r="GA53" s="415"/>
      <c r="GB53" s="415"/>
      <c r="GC53" s="415"/>
      <c r="GD53" s="415"/>
      <c r="GE53" s="415"/>
      <c r="GF53" s="415"/>
      <c r="GG53" s="415"/>
      <c r="GH53" s="415"/>
      <c r="GI53" s="415"/>
      <c r="GJ53" s="415"/>
      <c r="GK53" s="415"/>
      <c r="GL53" s="415"/>
      <c r="GM53" s="415"/>
      <c r="GN53" s="415"/>
      <c r="GO53" s="415"/>
      <c r="GP53" s="415"/>
      <c r="GQ53" s="415"/>
      <c r="GR53" s="415"/>
      <c r="GS53" s="415"/>
      <c r="GT53" s="415"/>
      <c r="GU53" s="415"/>
      <c r="GV53" s="415"/>
      <c r="GW53" s="415"/>
      <c r="GX53" s="415"/>
      <c r="GY53" s="415"/>
      <c r="GZ53" s="415"/>
      <c r="HA53" s="415"/>
      <c r="HB53" s="415"/>
      <c r="HC53" s="415"/>
      <c r="HD53" s="415"/>
      <c r="HE53" s="415"/>
      <c r="HF53" s="415"/>
      <c r="HG53" s="415"/>
      <c r="HH53" s="415"/>
      <c r="HI53" s="415"/>
      <c r="HJ53" s="415"/>
      <c r="HK53" s="415"/>
      <c r="HL53" s="415"/>
      <c r="HM53" s="415"/>
      <c r="HN53" s="415"/>
      <c r="HO53" s="415"/>
      <c r="HP53" s="415"/>
      <c r="HQ53" s="415"/>
      <c r="HR53" s="415"/>
      <c r="HS53" s="415"/>
      <c r="HT53" s="415"/>
      <c r="HU53" s="415"/>
      <c r="HV53" s="415"/>
      <c r="HW53" s="415"/>
      <c r="HX53" s="415"/>
      <c r="HY53" s="415"/>
      <c r="HZ53" s="415"/>
      <c r="IA53" s="415"/>
      <c r="IB53" s="415"/>
      <c r="IC53" s="415"/>
      <c r="ID53" s="415"/>
      <c r="IE53" s="415"/>
      <c r="IF53" s="415"/>
      <c r="IG53" s="415"/>
      <c r="IH53" s="415"/>
      <c r="II53" s="415"/>
      <c r="IJ53" s="415"/>
      <c r="IK53" s="415"/>
      <c r="IL53" s="415"/>
      <c r="IM53" s="415"/>
      <c r="IN53" s="415"/>
      <c r="IO53" s="415"/>
      <c r="IP53" s="415"/>
      <c r="IQ53" s="415"/>
      <c r="IR53" s="415"/>
      <c r="IS53" s="415"/>
      <c r="IT53" s="415"/>
      <c r="IU53" s="415"/>
      <c r="IV53" s="415"/>
      <c r="IW53" s="415"/>
    </row>
    <row r="54" customFormat="false" ht="12.75" hidden="false" customHeight="false" outlineLevel="0" collapsed="false">
      <c r="A54" s="55" t="s">
        <v>1351</v>
      </c>
      <c r="B54" s="62"/>
      <c r="C54" s="62"/>
      <c r="D54" s="62"/>
      <c r="E54" s="577" t="n">
        <f aca="false">SUM(E51:E53)</f>
        <v>0</v>
      </c>
      <c r="F54" s="577" t="n">
        <f aca="false">SUM(F51:F53)</f>
        <v>0</v>
      </c>
      <c r="G54" s="577" t="n">
        <f aca="false">SUM(G51:G53)</f>
        <v>0</v>
      </c>
      <c r="H54" s="577" t="n">
        <f aca="false">SUM(H51:H53)</f>
        <v>0</v>
      </c>
      <c r="I54" s="577" t="n">
        <f aca="false">SUM(I51:I53)</f>
        <v>0</v>
      </c>
      <c r="J54" s="577" t="n">
        <f aca="false">SUM(J51:J53)</f>
        <v>0</v>
      </c>
      <c r="K54" s="577" t="n">
        <f aca="false">SUM(K51:K53)</f>
        <v>0</v>
      </c>
      <c r="L54" s="577" t="n">
        <f aca="false">SUM(L51:L53)</f>
        <v>0</v>
      </c>
      <c r="M54" s="577" t="n">
        <f aca="false">SUM(M51:M53)</f>
        <v>0</v>
      </c>
      <c r="N54" s="577" t="n">
        <f aca="false">SUM(N51:N53)</f>
        <v>0</v>
      </c>
      <c r="O54" s="577" t="n">
        <f aca="false">SUM(O51:O53)</f>
        <v>6.2384440706476</v>
      </c>
      <c r="P54" s="577" t="n">
        <f aca="false">SUM(P51:P53)</f>
        <v>36.1460852921397</v>
      </c>
      <c r="Q54" s="577" t="n">
        <f aca="false">SUM(Q51:Q53)</f>
        <v>95.9324591224997</v>
      </c>
      <c r="R54" s="577" t="n">
        <f aca="false">SUM(R51:R53)</f>
        <v>136.249142718304</v>
      </c>
      <c r="S54" s="577" t="n">
        <f aca="false">SUM(S51:S53)</f>
        <v>140.861733898223</v>
      </c>
      <c r="T54" s="577" t="n">
        <f aca="false">SUM(T51:T53)</f>
        <v>146.488806720446</v>
      </c>
      <c r="U54" s="577" t="n">
        <f aca="false">SUM(U51:U53)</f>
        <v>218.802337537801</v>
      </c>
      <c r="V54" s="577" t="n">
        <f aca="false">SUM(V51:V53)</f>
        <v>286.742767678319</v>
      </c>
      <c r="W54" s="577" t="n">
        <f aca="false">SUM(W51:W53)</f>
        <v>334.101112308694</v>
      </c>
      <c r="X54" s="577" t="n">
        <f aca="false">SUM(X51:X53)</f>
        <v>388.041918357006</v>
      </c>
      <c r="Y54" s="577" t="n">
        <f aca="false">SUM(Y51:Y53)</f>
        <v>396.628400796863</v>
      </c>
      <c r="Z54" s="577" t="n">
        <f aca="false">SUM(Z51:Z53)</f>
        <v>403.479096041995</v>
      </c>
      <c r="AA54" s="577" t="n">
        <f aca="false">SUM(AA51:AA53)</f>
        <v>415.112908990098</v>
      </c>
      <c r="AB54" s="577" t="n">
        <f aca="false">SUM(AB51:AB53)</f>
        <v>424.38305527915</v>
      </c>
      <c r="AC54" s="577" t="n">
        <f aca="false">SUM(AC51:AC53)</f>
        <v>427.930345491852</v>
      </c>
      <c r="AD54" s="577" t="n">
        <f aca="false">SUM(AD51:AD53)</f>
        <v>432.435300141938</v>
      </c>
      <c r="AE54" s="577" t="n">
        <f aca="false">SUM(AE51:AE53)</f>
        <v>437.778797766826</v>
      </c>
      <c r="AF54" s="577" t="n">
        <f aca="false">SUM(AF51:AF53)</f>
        <v>435.671504018748</v>
      </c>
      <c r="AG54" s="577" t="n">
        <f aca="false">SUM(AG51:AG53)</f>
        <v>467.699272101897</v>
      </c>
      <c r="AH54" s="577" t="n">
        <f aca="false">SUM(AH51:AH53)</f>
        <v>507.050312421493</v>
      </c>
      <c r="AI54" s="577" t="n">
        <f aca="false">SUM(AI51:AI53)</f>
        <v>515.38282944885</v>
      </c>
      <c r="AJ54" s="577" t="n">
        <f aca="false">SUM(AJ51:AJ53)</f>
        <v>533.019592214771</v>
      </c>
      <c r="AK54" s="577" t="n">
        <f aca="false">SUM(AK51:AK53)</f>
        <v>598.403744927315</v>
      </c>
      <c r="AL54" s="577" t="n">
        <f aca="false">SUM(AL51:AL53)</f>
        <v>1109.93829328824</v>
      </c>
      <c r="AM54" s="577" t="n">
        <f aca="false">SUM(AM51:AM53)</f>
        <v>1239.68621679476</v>
      </c>
      <c r="AN54" s="577" t="n">
        <f aca="false">SUM(AN51:AN53)</f>
        <v>1257.89606535995</v>
      </c>
      <c r="AO54" s="577" t="n">
        <f aca="false">SUM(AO51:AO53)</f>
        <v>1348.81341107104</v>
      </c>
      <c r="AP54" s="577" t="n">
        <f aca="false">SUM(AP51:AP53)</f>
        <v>1440.43691981956</v>
      </c>
      <c r="AQ54" s="577" t="n">
        <f aca="false">SUM(AQ51:AQ53)</f>
        <v>1460.20601678892</v>
      </c>
      <c r="AR54" s="577" t="n">
        <f aca="false">SUM(AR51:AR53)</f>
        <v>1480.12866207685</v>
      </c>
      <c r="AS54" s="577" t="n">
        <f aca="false">SUM(AS51:AS53)</f>
        <v>1572.7721079538</v>
      </c>
      <c r="AT54" s="577" t="n">
        <f aca="false">SUM(AT51:AT53)</f>
        <v>1666.13512364029</v>
      </c>
      <c r="AU54" s="577" t="n">
        <f aca="false">SUM(AU51:AU53)</f>
        <v>1687.65723845134</v>
      </c>
      <c r="AV54" s="577" t="n">
        <f aca="false">SUM(AV51:AV53)</f>
        <v>1709.34651742503</v>
      </c>
      <c r="AW54" s="577" t="n">
        <f aca="false">SUM(AW51:AW53)</f>
        <v>0</v>
      </c>
      <c r="AX54" s="577" t="n">
        <f aca="false">SUM(AX51:AX53)</f>
        <v>0</v>
      </c>
      <c r="AY54" s="577" t="n">
        <f aca="false">SUM(AY51:AY53)</f>
        <v>0</v>
      </c>
      <c r="AZ54" s="577" t="n">
        <f aca="false">SUM(AZ51:AZ53)</f>
        <v>0</v>
      </c>
      <c r="BA54" s="579" t="n">
        <f aca="false">SUM(E54:AZ54)</f>
        <v>23757.5965400157</v>
      </c>
      <c r="BB54" s="175" t="n">
        <f aca="false">BB53+1</f>
        <v>48</v>
      </c>
    </row>
    <row r="55" customFormat="false" ht="12.75" hidden="false" customHeight="false" outlineLevel="0" collapsed="false">
      <c r="A55" s="166" t="s">
        <v>1352</v>
      </c>
      <c r="B55" s="131"/>
      <c r="C55" s="131"/>
      <c r="D55" s="131"/>
      <c r="E55" s="754" t="n">
        <f aca="false">SUM($E54:E54)</f>
        <v>0</v>
      </c>
      <c r="F55" s="754" t="n">
        <f aca="false">SUM($E54:F54)</f>
        <v>0</v>
      </c>
      <c r="G55" s="754" t="n">
        <f aca="false">SUM($E54:G54)</f>
        <v>0</v>
      </c>
      <c r="H55" s="754" t="n">
        <f aca="false">SUM($E54:H54)</f>
        <v>0</v>
      </c>
      <c r="I55" s="754" t="n">
        <f aca="false">SUM($E54:I54)</f>
        <v>0</v>
      </c>
      <c r="J55" s="754" t="n">
        <f aca="false">SUM($E54:J54)</f>
        <v>0</v>
      </c>
      <c r="K55" s="754" t="n">
        <f aca="false">SUM($E54:K54)</f>
        <v>0</v>
      </c>
      <c r="L55" s="754" t="n">
        <f aca="false">SUM($E54:L54)</f>
        <v>0</v>
      </c>
      <c r="M55" s="754" t="n">
        <f aca="false">SUM($E54:M54)</f>
        <v>0</v>
      </c>
      <c r="N55" s="754" t="n">
        <f aca="false">SUM($E54:N54)</f>
        <v>0</v>
      </c>
      <c r="O55" s="754" t="n">
        <f aca="false">SUM($E54:O54)</f>
        <v>6.2384440706476</v>
      </c>
      <c r="P55" s="754" t="n">
        <f aca="false">SUM($E54:P54)</f>
        <v>42.3845293627873</v>
      </c>
      <c r="Q55" s="754" t="n">
        <f aca="false">SUM($E54:Q54)</f>
        <v>138.316988485287</v>
      </c>
      <c r="R55" s="754" t="n">
        <f aca="false">SUM($E54:R54)</f>
        <v>274.566131203591</v>
      </c>
      <c r="S55" s="754" t="n">
        <f aca="false">SUM($E54:S54)</f>
        <v>415.427865101814</v>
      </c>
      <c r="T55" s="754" t="n">
        <f aca="false">SUM($E54:T54)</f>
        <v>561.91667182226</v>
      </c>
      <c r="U55" s="754" t="n">
        <f aca="false">SUM($E54:U54)</f>
        <v>780.719009360061</v>
      </c>
      <c r="V55" s="754" t="n">
        <f aca="false">SUM($E54:V54)</f>
        <v>1067.46177703838</v>
      </c>
      <c r="W55" s="754" t="n">
        <f aca="false">SUM($E54:W54)</f>
        <v>1401.56288934707</v>
      </c>
      <c r="X55" s="754" t="n">
        <f aca="false">SUM($E54:X54)</f>
        <v>1789.60480770408</v>
      </c>
      <c r="Y55" s="754" t="n">
        <f aca="false">SUM($E54:Y54)</f>
        <v>2186.23320850094</v>
      </c>
      <c r="Z55" s="754" t="n">
        <f aca="false">SUM($E54:Z54)</f>
        <v>2589.71230454294</v>
      </c>
      <c r="AA55" s="754" t="n">
        <f aca="false">SUM($E54:AA54)</f>
        <v>3004.82521353304</v>
      </c>
      <c r="AB55" s="754" t="n">
        <f aca="false">SUM($E54:AB54)</f>
        <v>3429.20826881219</v>
      </c>
      <c r="AC55" s="754" t="n">
        <f aca="false">SUM($E54:AC54)</f>
        <v>3857.13861430404</v>
      </c>
      <c r="AD55" s="754" t="n">
        <f aca="false">SUM($E54:AD54)</f>
        <v>4289.57391444598</v>
      </c>
      <c r="AE55" s="754" t="n">
        <f aca="false">SUM($E54:AE54)</f>
        <v>4727.3527122128</v>
      </c>
      <c r="AF55" s="754" t="n">
        <f aca="false">SUM($E54:AF54)</f>
        <v>5163.02421623155</v>
      </c>
      <c r="AG55" s="754" t="n">
        <f aca="false">SUM($E54:AG54)</f>
        <v>5630.72348833345</v>
      </c>
      <c r="AH55" s="754" t="n">
        <f aca="false">SUM($E54:AH54)</f>
        <v>6137.77380075494</v>
      </c>
      <c r="AI55" s="754" t="n">
        <f aca="false">SUM($E54:AI54)</f>
        <v>6653.15663020379</v>
      </c>
      <c r="AJ55" s="754" t="n">
        <f aca="false">SUM($E54:AJ54)</f>
        <v>7186.17622241856</v>
      </c>
      <c r="AK55" s="754" t="n">
        <f aca="false">SUM($E54:AK54)</f>
        <v>7784.57996734588</v>
      </c>
      <c r="AL55" s="754" t="n">
        <f aca="false">SUM($E54:AL54)</f>
        <v>8894.51826063412</v>
      </c>
      <c r="AM55" s="754" t="n">
        <f aca="false">SUM($E54:AM54)</f>
        <v>10134.2044774289</v>
      </c>
      <c r="AN55" s="754" t="n">
        <f aca="false">SUM($E54:AN54)</f>
        <v>11392.1005427888</v>
      </c>
      <c r="AO55" s="754" t="n">
        <f aca="false">SUM($E54:AO54)</f>
        <v>12740.9139538599</v>
      </c>
      <c r="AP55" s="754" t="n">
        <f aca="false">SUM($E54:AP54)</f>
        <v>14181.3508736794</v>
      </c>
      <c r="AQ55" s="754" t="n">
        <f aca="false">SUM($E54:AQ54)</f>
        <v>15641.5568904683</v>
      </c>
      <c r="AR55" s="754" t="n">
        <f aca="false">SUM($E54:AR54)</f>
        <v>17121.6855525452</v>
      </c>
      <c r="AS55" s="754" t="n">
        <f aca="false">SUM($E54:AS54)</f>
        <v>18694.457660499</v>
      </c>
      <c r="AT55" s="754" t="n">
        <f aca="false">SUM($E54:AT54)</f>
        <v>20360.5927841393</v>
      </c>
      <c r="AU55" s="754" t="n">
        <f aca="false">SUM($E54:AU54)</f>
        <v>22048.2500225906</v>
      </c>
      <c r="AV55" s="754" t="n">
        <f aca="false">SUM($E54:AV54)</f>
        <v>23757.5965400157</v>
      </c>
      <c r="AW55" s="754" t="n">
        <f aca="false">SUM($E54:AW54)</f>
        <v>23757.5965400157</v>
      </c>
      <c r="AX55" s="754" t="n">
        <f aca="false">SUM($E54:AX54)</f>
        <v>23757.5965400157</v>
      </c>
      <c r="AY55" s="754" t="n">
        <f aca="false">SUM($E54:AY54)</f>
        <v>23757.5965400157</v>
      </c>
      <c r="AZ55" s="754" t="n">
        <f aca="false">SUM($E54:AZ54)</f>
        <v>23757.5965400157</v>
      </c>
      <c r="BA55" s="1047"/>
      <c r="BB55" s="175" t="n">
        <f aca="false">BB54+1</f>
        <v>49</v>
      </c>
    </row>
    <row r="56" customFormat="false" ht="12.75" hidden="false" customHeight="false" outlineLevel="0" collapsed="false">
      <c r="A56" s="37"/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6"/>
      <c r="Q56" s="556"/>
      <c r="R56" s="556"/>
      <c r="S56" s="556"/>
      <c r="T56" s="556"/>
      <c r="U56" s="556"/>
      <c r="V56" s="556"/>
      <c r="W56" s="556"/>
      <c r="X56" s="556"/>
      <c r="Y56" s="556"/>
      <c r="Z56" s="556"/>
      <c r="AA56" s="556"/>
      <c r="AB56" s="556"/>
      <c r="AC56" s="556"/>
      <c r="AD56" s="556"/>
      <c r="AE56" s="556"/>
      <c r="AF56" s="556"/>
      <c r="AG56" s="556"/>
      <c r="AH56" s="556"/>
      <c r="AI56" s="556"/>
      <c r="AJ56" s="556"/>
      <c r="AK56" s="556"/>
      <c r="AL56" s="556"/>
      <c r="AM56" s="556"/>
      <c r="AN56" s="556"/>
      <c r="AO56" s="556"/>
      <c r="AP56" s="556"/>
      <c r="AQ56" s="556"/>
      <c r="AR56" s="556"/>
      <c r="AS56" s="556"/>
      <c r="AT56" s="556"/>
      <c r="AU56" s="556"/>
      <c r="AV56" s="556"/>
      <c r="AW56" s="556"/>
      <c r="AX56" s="556"/>
      <c r="AY56" s="556"/>
      <c r="AZ56" s="556"/>
      <c r="BA56" s="555"/>
      <c r="BB56" s="175" t="n">
        <f aca="false">BB55+1</f>
        <v>50</v>
      </c>
    </row>
    <row r="57" customFormat="false" ht="12.75" hidden="false" customHeight="false" outlineLevel="0" collapsed="false">
      <c r="A57" s="166" t="s">
        <v>1353</v>
      </c>
      <c r="B57" s="131"/>
      <c r="C57" s="1050" t="n">
        <f aca="false">(Wh_Int/(1-Wh_Int))</f>
        <v>0.176470588235294</v>
      </c>
      <c r="D57" s="131"/>
      <c r="E57" s="754" t="n">
        <f aca="false">E51*$C57</f>
        <v>0</v>
      </c>
      <c r="F57" s="754" t="n">
        <f aca="false">F51*$C57</f>
        <v>0</v>
      </c>
      <c r="G57" s="754" t="n">
        <f aca="false">G51*$C57</f>
        <v>0</v>
      </c>
      <c r="H57" s="754" t="n">
        <f aca="false">H51*$C57</f>
        <v>0</v>
      </c>
      <c r="I57" s="754" t="n">
        <f aca="false">I51*$C57</f>
        <v>0</v>
      </c>
      <c r="J57" s="754" t="n">
        <f aca="false">J51*$C57</f>
        <v>0</v>
      </c>
      <c r="K57" s="754" t="n">
        <f aca="false">K51*$C57</f>
        <v>0</v>
      </c>
      <c r="L57" s="754" t="n">
        <f aca="false">L51*$C57</f>
        <v>0</v>
      </c>
      <c r="M57" s="754" t="n">
        <f aca="false">M51*$C57</f>
        <v>0</v>
      </c>
      <c r="N57" s="754" t="n">
        <f aca="false">N51*$C57</f>
        <v>0</v>
      </c>
      <c r="O57" s="754" t="n">
        <f aca="false">O51*$C57</f>
        <v>1.10090189482017</v>
      </c>
      <c r="P57" s="754" t="n">
        <f aca="false">P51*$C57</f>
        <v>6.37872093390701</v>
      </c>
      <c r="Q57" s="754" t="n">
        <f aca="false">Q51*$C57</f>
        <v>16.9292574922058</v>
      </c>
      <c r="R57" s="754" t="n">
        <f aca="false">R51*$C57</f>
        <v>24.0439663620536</v>
      </c>
      <c r="S57" s="754" t="n">
        <f aca="false">S51*$C57</f>
        <v>24.8579530408629</v>
      </c>
      <c r="T57" s="754" t="n">
        <f aca="false">T51*$C57</f>
        <v>25.8509658918435</v>
      </c>
      <c r="U57" s="754" t="n">
        <f aca="false">U51*$C57</f>
        <v>38.6121772125532</v>
      </c>
      <c r="V57" s="754" t="n">
        <f aca="false">V51*$C57</f>
        <v>50.6016648844092</v>
      </c>
      <c r="W57" s="754" t="n">
        <f aca="false">W51*$C57</f>
        <v>58.9590198191813</v>
      </c>
      <c r="X57" s="754" t="n">
        <f aca="false">X51*$C57</f>
        <v>68.4779855924128</v>
      </c>
      <c r="Y57" s="754" t="n">
        <f aca="false">Y51*$C57</f>
        <v>69.9932471994464</v>
      </c>
      <c r="Z57" s="754" t="n">
        <f aca="false">Z51*$C57</f>
        <v>71.2021934191755</v>
      </c>
      <c r="AA57" s="754" t="n">
        <f aca="false">AA51*$C57</f>
        <v>73.2552192335468</v>
      </c>
      <c r="AB57" s="754" t="n">
        <f aca="false">AB51*$C57</f>
        <v>74.891127402203</v>
      </c>
      <c r="AC57" s="754" t="n">
        <f aca="false">AC51*$C57</f>
        <v>75.5171197926798</v>
      </c>
      <c r="AD57" s="754" t="n">
        <f aca="false">AD51*$C57</f>
        <v>76.3121117897537</v>
      </c>
      <c r="AE57" s="754" t="n">
        <f aca="false">AE51*$C57</f>
        <v>77.2550819588517</v>
      </c>
      <c r="AF57" s="754" t="n">
        <f aca="false">AF51*$C57</f>
        <v>76.8832065915438</v>
      </c>
      <c r="AG57" s="754" t="n">
        <f aca="false">AG51*$C57</f>
        <v>82.5351656650407</v>
      </c>
      <c r="AH57" s="754" t="n">
        <f aca="false">AH51*$C57</f>
        <v>89.4794668979104</v>
      </c>
      <c r="AI57" s="754" t="n">
        <f aca="false">AI51*$C57</f>
        <v>90.9499110792089</v>
      </c>
      <c r="AJ57" s="754" t="n">
        <f aca="false">AJ51*$C57</f>
        <v>94.0622809790773</v>
      </c>
      <c r="AK57" s="754" t="n">
        <f aca="false">AK51*$C57</f>
        <v>105.600660869526</v>
      </c>
      <c r="AL57" s="754" t="n">
        <f aca="false">AL51*$C57</f>
        <v>0</v>
      </c>
      <c r="AM57" s="754" t="n">
        <f aca="false">AM51*$C57</f>
        <v>0</v>
      </c>
      <c r="AN57" s="754" t="n">
        <f aca="false">AN51*$C57</f>
        <v>0</v>
      </c>
      <c r="AO57" s="754" t="n">
        <f aca="false">AO51*$C57</f>
        <v>0</v>
      </c>
      <c r="AP57" s="754" t="n">
        <f aca="false">AP51*$C57</f>
        <v>0</v>
      </c>
      <c r="AQ57" s="754" t="n">
        <f aca="false">AQ51*$C57</f>
        <v>0</v>
      </c>
      <c r="AR57" s="754" t="n">
        <f aca="false">AR51*$C57</f>
        <v>0</v>
      </c>
      <c r="AS57" s="754" t="n">
        <f aca="false">AS51*$C57</f>
        <v>0</v>
      </c>
      <c r="AT57" s="754" t="n">
        <f aca="false">AT51*$C57</f>
        <v>0</v>
      </c>
      <c r="AU57" s="754" t="n">
        <f aca="false">AU51*$C57</f>
        <v>0</v>
      </c>
      <c r="AV57" s="754" t="n">
        <f aca="false">AV51*$C57</f>
        <v>0</v>
      </c>
      <c r="AW57" s="754" t="n">
        <f aca="false">AW51*$C57</f>
        <v>0</v>
      </c>
      <c r="AX57" s="754" t="n">
        <f aca="false">AX51*$C57</f>
        <v>0</v>
      </c>
      <c r="AY57" s="754" t="n">
        <f aca="false">AY51*$C57</f>
        <v>0</v>
      </c>
      <c r="AZ57" s="754" t="n">
        <f aca="false">AZ51*$C57</f>
        <v>0</v>
      </c>
      <c r="BA57" s="1047" t="n">
        <f aca="false">SUM(E57:AZ57)</f>
        <v>1373.74940600221</v>
      </c>
      <c r="BB57" s="175" t="n">
        <f aca="false">BB56+1</f>
        <v>51</v>
      </c>
      <c r="BC57" s="415"/>
      <c r="BD57" s="415"/>
      <c r="BE57" s="415"/>
      <c r="BF57" s="415"/>
      <c r="BG57" s="415"/>
      <c r="BH57" s="415"/>
      <c r="BI57" s="415"/>
      <c r="BJ57" s="415"/>
      <c r="BK57" s="415"/>
      <c r="BL57" s="415"/>
      <c r="BM57" s="415"/>
      <c r="BN57" s="415"/>
      <c r="BO57" s="415"/>
      <c r="BP57" s="415"/>
      <c r="BQ57" s="415"/>
      <c r="BR57" s="415"/>
      <c r="BS57" s="415"/>
      <c r="BT57" s="415"/>
      <c r="BU57" s="415"/>
      <c r="BV57" s="415"/>
      <c r="BW57" s="415"/>
      <c r="BX57" s="415"/>
      <c r="BY57" s="415"/>
      <c r="BZ57" s="415"/>
      <c r="CA57" s="415"/>
      <c r="CB57" s="415"/>
      <c r="CC57" s="415"/>
      <c r="CD57" s="415"/>
      <c r="CE57" s="415"/>
      <c r="CF57" s="415"/>
      <c r="CG57" s="415"/>
      <c r="CH57" s="415"/>
      <c r="CI57" s="415"/>
      <c r="CJ57" s="415"/>
      <c r="CK57" s="415"/>
      <c r="CL57" s="415"/>
      <c r="CM57" s="415"/>
      <c r="CN57" s="415"/>
      <c r="CO57" s="415"/>
      <c r="CP57" s="415"/>
      <c r="CQ57" s="415"/>
      <c r="CR57" s="415"/>
      <c r="CS57" s="415"/>
      <c r="CT57" s="415"/>
      <c r="CU57" s="415"/>
      <c r="CV57" s="415"/>
      <c r="CW57" s="415"/>
      <c r="CX57" s="415"/>
      <c r="CY57" s="415"/>
      <c r="CZ57" s="415"/>
      <c r="DA57" s="415"/>
      <c r="DB57" s="415"/>
      <c r="DC57" s="415"/>
      <c r="DD57" s="415"/>
      <c r="DE57" s="415"/>
      <c r="DF57" s="415"/>
      <c r="DG57" s="415"/>
      <c r="DH57" s="415"/>
      <c r="DI57" s="415"/>
      <c r="DJ57" s="415"/>
      <c r="DK57" s="415"/>
      <c r="DL57" s="415"/>
      <c r="DM57" s="415"/>
      <c r="DN57" s="415"/>
      <c r="DO57" s="415"/>
      <c r="DP57" s="415"/>
      <c r="DQ57" s="415"/>
      <c r="DR57" s="415"/>
      <c r="DS57" s="415"/>
      <c r="DT57" s="415"/>
      <c r="DU57" s="415"/>
      <c r="DV57" s="415"/>
      <c r="DW57" s="415"/>
      <c r="DX57" s="415"/>
      <c r="DY57" s="415"/>
      <c r="DZ57" s="415"/>
      <c r="EA57" s="415"/>
      <c r="EB57" s="415"/>
      <c r="EC57" s="415"/>
      <c r="ED57" s="415"/>
      <c r="EE57" s="415"/>
      <c r="EF57" s="415"/>
      <c r="EG57" s="415"/>
      <c r="EH57" s="415"/>
      <c r="EI57" s="415"/>
      <c r="EJ57" s="415"/>
      <c r="EK57" s="415"/>
      <c r="EL57" s="415"/>
      <c r="EM57" s="415"/>
      <c r="EN57" s="415"/>
      <c r="EO57" s="415"/>
      <c r="EP57" s="415"/>
      <c r="EQ57" s="415"/>
      <c r="ER57" s="415"/>
      <c r="ES57" s="415"/>
      <c r="ET57" s="415"/>
      <c r="EU57" s="415"/>
      <c r="EV57" s="415"/>
      <c r="EW57" s="415"/>
      <c r="EX57" s="415"/>
      <c r="EY57" s="415"/>
      <c r="EZ57" s="415"/>
      <c r="FA57" s="415"/>
      <c r="FB57" s="415"/>
      <c r="FC57" s="415"/>
      <c r="FD57" s="415"/>
      <c r="FE57" s="415"/>
      <c r="FF57" s="415"/>
      <c r="FG57" s="415"/>
      <c r="FH57" s="415"/>
      <c r="FI57" s="415"/>
      <c r="FJ57" s="415"/>
      <c r="FK57" s="415"/>
      <c r="FL57" s="415"/>
      <c r="FM57" s="415"/>
      <c r="FN57" s="415"/>
      <c r="FO57" s="415"/>
      <c r="FP57" s="415"/>
      <c r="FQ57" s="415"/>
      <c r="FR57" s="415"/>
      <c r="FS57" s="415"/>
      <c r="FT57" s="415"/>
      <c r="FU57" s="415"/>
      <c r="FV57" s="415"/>
      <c r="FW57" s="415"/>
      <c r="FX57" s="415"/>
      <c r="FY57" s="415"/>
      <c r="FZ57" s="415"/>
      <c r="GA57" s="415"/>
      <c r="GB57" s="415"/>
      <c r="GC57" s="415"/>
      <c r="GD57" s="415"/>
      <c r="GE57" s="415"/>
      <c r="GF57" s="415"/>
      <c r="GG57" s="415"/>
      <c r="GH57" s="415"/>
      <c r="GI57" s="415"/>
      <c r="GJ57" s="415"/>
      <c r="GK57" s="415"/>
      <c r="GL57" s="415"/>
      <c r="GM57" s="415"/>
      <c r="GN57" s="415"/>
      <c r="GO57" s="415"/>
      <c r="GP57" s="415"/>
      <c r="GQ57" s="415"/>
      <c r="GR57" s="415"/>
      <c r="GS57" s="415"/>
      <c r="GT57" s="415"/>
      <c r="GU57" s="415"/>
      <c r="GV57" s="415"/>
      <c r="GW57" s="415"/>
      <c r="GX57" s="415"/>
      <c r="GY57" s="415"/>
      <c r="GZ57" s="415"/>
      <c r="HA57" s="415"/>
      <c r="HB57" s="415"/>
      <c r="HC57" s="415"/>
      <c r="HD57" s="415"/>
      <c r="HE57" s="415"/>
      <c r="HF57" s="415"/>
      <c r="HG57" s="415"/>
      <c r="HH57" s="415"/>
      <c r="HI57" s="415"/>
      <c r="HJ57" s="415"/>
      <c r="HK57" s="415"/>
      <c r="HL57" s="415"/>
      <c r="HM57" s="415"/>
      <c r="HN57" s="415"/>
      <c r="HO57" s="415"/>
      <c r="HP57" s="415"/>
      <c r="HQ57" s="415"/>
      <c r="HR57" s="415"/>
      <c r="HS57" s="415"/>
      <c r="HT57" s="415"/>
      <c r="HU57" s="415"/>
      <c r="HV57" s="415"/>
      <c r="HW57" s="415"/>
      <c r="HX57" s="415"/>
      <c r="HY57" s="415"/>
      <c r="HZ57" s="415"/>
      <c r="IA57" s="415"/>
      <c r="IB57" s="415"/>
      <c r="IC57" s="415"/>
      <c r="ID57" s="415"/>
      <c r="IE57" s="415"/>
      <c r="IF57" s="415"/>
      <c r="IG57" s="415"/>
      <c r="IH57" s="415"/>
      <c r="II57" s="415"/>
      <c r="IJ57" s="415"/>
      <c r="IK57" s="415"/>
      <c r="IL57" s="415"/>
      <c r="IM57" s="415"/>
      <c r="IN57" s="415"/>
      <c r="IO57" s="415"/>
      <c r="IP57" s="415"/>
      <c r="IQ57" s="415"/>
      <c r="IR57" s="415"/>
      <c r="IS57" s="415"/>
      <c r="IT57" s="415"/>
      <c r="IU57" s="415"/>
      <c r="IV57" s="415"/>
      <c r="IW57" s="415"/>
    </row>
    <row r="58" customFormat="false" ht="12.75" hidden="false" customHeight="false" outlineLevel="0" collapsed="false">
      <c r="A58" s="166" t="s">
        <v>1354</v>
      </c>
      <c r="B58" s="131"/>
      <c r="C58" s="1050" t="n">
        <f aca="false">(Wh_Int/(1-Wh_Int))</f>
        <v>0.176470588235294</v>
      </c>
      <c r="D58" s="131"/>
      <c r="E58" s="1048" t="n">
        <f aca="false">E53*$C58</f>
        <v>0</v>
      </c>
      <c r="F58" s="1048" t="n">
        <f aca="false">F53*$C58</f>
        <v>0</v>
      </c>
      <c r="G58" s="1048" t="n">
        <f aca="false">G53*$C58</f>
        <v>0</v>
      </c>
      <c r="H58" s="1048" t="n">
        <f aca="false">H53*$C58</f>
        <v>0</v>
      </c>
      <c r="I58" s="1048" t="n">
        <f aca="false">I53*$C58</f>
        <v>0</v>
      </c>
      <c r="J58" s="1048" t="n">
        <f aca="false">J53*$C58</f>
        <v>0</v>
      </c>
      <c r="K58" s="1048" t="n">
        <f aca="false">K53*$C58</f>
        <v>0</v>
      </c>
      <c r="L58" s="1048" t="n">
        <f aca="false">L53*$C58</f>
        <v>0</v>
      </c>
      <c r="M58" s="1048" t="n">
        <f aca="false">M53*$C58</f>
        <v>0</v>
      </c>
      <c r="N58" s="1048" t="n">
        <f aca="false">N53*$C58</f>
        <v>0</v>
      </c>
      <c r="O58" s="1048" t="n">
        <f aca="false">O53*$C58</f>
        <v>0</v>
      </c>
      <c r="P58" s="1048" t="n">
        <f aca="false">P53*$C58</f>
        <v>0</v>
      </c>
      <c r="Q58" s="1048" t="n">
        <f aca="false">Q53*$C58</f>
        <v>0</v>
      </c>
      <c r="R58" s="1048" t="n">
        <f aca="false">R53*$C58</f>
        <v>0</v>
      </c>
      <c r="S58" s="1048" t="n">
        <f aca="false">S53*$C58</f>
        <v>0</v>
      </c>
      <c r="T58" s="1048" t="n">
        <f aca="false">T53*$C58</f>
        <v>0</v>
      </c>
      <c r="U58" s="1048" t="n">
        <f aca="false">U53*$C58</f>
        <v>0</v>
      </c>
      <c r="V58" s="1048" t="n">
        <f aca="false">V53*$C58</f>
        <v>0</v>
      </c>
      <c r="W58" s="1048" t="n">
        <f aca="false">W53*$C58</f>
        <v>0</v>
      </c>
      <c r="X58" s="1048" t="n">
        <f aca="false">X53*$C58</f>
        <v>0</v>
      </c>
      <c r="Y58" s="1048" t="n">
        <f aca="false">Y53*$C58</f>
        <v>0</v>
      </c>
      <c r="Z58" s="1048" t="n">
        <f aca="false">Z53*$C58</f>
        <v>0</v>
      </c>
      <c r="AA58" s="1048" t="n">
        <f aca="false">AA53*$C58</f>
        <v>0</v>
      </c>
      <c r="AB58" s="1048" t="n">
        <f aca="false">AB53*$C58</f>
        <v>0</v>
      </c>
      <c r="AC58" s="1048" t="n">
        <f aca="false">AC53*$C58</f>
        <v>0</v>
      </c>
      <c r="AD58" s="1048" t="n">
        <f aca="false">AD53*$C58</f>
        <v>0</v>
      </c>
      <c r="AE58" s="1048" t="n">
        <f aca="false">AE53*$C58</f>
        <v>0</v>
      </c>
      <c r="AF58" s="1048" t="n">
        <f aca="false">AF53*$C58</f>
        <v>0</v>
      </c>
      <c r="AG58" s="1048" t="n">
        <f aca="false">AG53*$C58</f>
        <v>0</v>
      </c>
      <c r="AH58" s="1048" t="n">
        <f aca="false">AH53*$C58</f>
        <v>0</v>
      </c>
      <c r="AI58" s="1048" t="n">
        <f aca="false">AI53*$C58</f>
        <v>0</v>
      </c>
      <c r="AJ58" s="1048" t="n">
        <f aca="false">AJ53*$C58</f>
        <v>0</v>
      </c>
      <c r="AK58" s="1048" t="n">
        <f aca="false">AK53*$C58</f>
        <v>0</v>
      </c>
      <c r="AL58" s="1048" t="n">
        <f aca="false">AL53*$C58</f>
        <v>55.2049256340616</v>
      </c>
      <c r="AM58" s="1048" t="n">
        <f aca="false">AM53*$C58</f>
        <v>61.6581893079652</v>
      </c>
      <c r="AN58" s="1048" t="n">
        <f aca="false">AN53*$C58</f>
        <v>62.5638913113355</v>
      </c>
      <c r="AO58" s="1048" t="n">
        <f aca="false">AO53*$C58</f>
        <v>67.08584117033</v>
      </c>
      <c r="AP58" s="1048" t="n">
        <f aca="false">AP53*$C58</f>
        <v>71.6429134124353</v>
      </c>
      <c r="AQ58" s="1048" t="n">
        <f aca="false">AQ53*$C58</f>
        <v>72.6261676479594</v>
      </c>
      <c r="AR58" s="1048" t="n">
        <f aca="false">AR53*$C58</f>
        <v>73.617058905793</v>
      </c>
      <c r="AS58" s="1048" t="n">
        <f aca="false">AS53*$C58</f>
        <v>78.2248596916986</v>
      </c>
      <c r="AT58" s="1048" t="n">
        <f aca="false">AT53*$C58</f>
        <v>82.8684496724311</v>
      </c>
      <c r="AU58" s="1048" t="n">
        <f aca="false">AU53*$C58</f>
        <v>83.9388936374838</v>
      </c>
      <c r="AV58" s="1048" t="n">
        <f aca="false">AV53*$C58</f>
        <v>85.0176518351599</v>
      </c>
      <c r="AW58" s="1048" t="n">
        <f aca="false">AW53*$C58</f>
        <v>0</v>
      </c>
      <c r="AX58" s="1048" t="n">
        <f aca="false">AX53*$C58</f>
        <v>0</v>
      </c>
      <c r="AY58" s="1048" t="n">
        <f aca="false">AY53*$C58</f>
        <v>0</v>
      </c>
      <c r="AZ58" s="1048" t="n">
        <f aca="false">AZ53*$C58</f>
        <v>0</v>
      </c>
      <c r="BA58" s="1049" t="n">
        <f aca="false">SUM(E58:AZ58)</f>
        <v>794.448842226653</v>
      </c>
      <c r="BB58" s="175" t="n">
        <f aca="false">BB57+1</f>
        <v>52</v>
      </c>
      <c r="BC58" s="415"/>
      <c r="BD58" s="415"/>
      <c r="BE58" s="415"/>
      <c r="BF58" s="415"/>
      <c r="BG58" s="415"/>
      <c r="BH58" s="415"/>
      <c r="BI58" s="415"/>
      <c r="BJ58" s="415"/>
      <c r="BK58" s="415"/>
      <c r="BL58" s="415"/>
      <c r="BM58" s="415"/>
      <c r="BN58" s="415"/>
      <c r="BO58" s="415"/>
      <c r="BP58" s="415"/>
      <c r="BQ58" s="415"/>
      <c r="BR58" s="415"/>
      <c r="BS58" s="415"/>
      <c r="BT58" s="415"/>
      <c r="BU58" s="415"/>
      <c r="BV58" s="415"/>
      <c r="BW58" s="415"/>
      <c r="BX58" s="415"/>
      <c r="BY58" s="415"/>
      <c r="BZ58" s="415"/>
      <c r="CA58" s="415"/>
      <c r="CB58" s="415"/>
      <c r="CC58" s="415"/>
      <c r="CD58" s="415"/>
      <c r="CE58" s="415"/>
      <c r="CF58" s="415"/>
      <c r="CG58" s="415"/>
      <c r="CH58" s="415"/>
      <c r="CI58" s="415"/>
      <c r="CJ58" s="415"/>
      <c r="CK58" s="415"/>
      <c r="CL58" s="415"/>
      <c r="CM58" s="415"/>
      <c r="CN58" s="415"/>
      <c r="CO58" s="415"/>
      <c r="CP58" s="415"/>
      <c r="CQ58" s="415"/>
      <c r="CR58" s="415"/>
      <c r="CS58" s="415"/>
      <c r="CT58" s="415"/>
      <c r="CU58" s="415"/>
      <c r="CV58" s="415"/>
      <c r="CW58" s="415"/>
      <c r="CX58" s="415"/>
      <c r="CY58" s="415"/>
      <c r="CZ58" s="415"/>
      <c r="DA58" s="415"/>
      <c r="DB58" s="415"/>
      <c r="DC58" s="415"/>
      <c r="DD58" s="415"/>
      <c r="DE58" s="415"/>
      <c r="DF58" s="415"/>
      <c r="DG58" s="415"/>
      <c r="DH58" s="415"/>
      <c r="DI58" s="415"/>
      <c r="DJ58" s="415"/>
      <c r="DK58" s="415"/>
      <c r="DL58" s="415"/>
      <c r="DM58" s="415"/>
      <c r="DN58" s="415"/>
      <c r="DO58" s="415"/>
      <c r="DP58" s="415"/>
      <c r="DQ58" s="415"/>
      <c r="DR58" s="415"/>
      <c r="DS58" s="415"/>
      <c r="DT58" s="415"/>
      <c r="DU58" s="415"/>
      <c r="DV58" s="415"/>
      <c r="DW58" s="415"/>
      <c r="DX58" s="415"/>
      <c r="DY58" s="415"/>
      <c r="DZ58" s="415"/>
      <c r="EA58" s="415"/>
      <c r="EB58" s="415"/>
      <c r="EC58" s="415"/>
      <c r="ED58" s="415"/>
      <c r="EE58" s="415"/>
      <c r="EF58" s="415"/>
      <c r="EG58" s="415"/>
      <c r="EH58" s="415"/>
      <c r="EI58" s="415"/>
      <c r="EJ58" s="415"/>
      <c r="EK58" s="415"/>
      <c r="EL58" s="415"/>
      <c r="EM58" s="415"/>
      <c r="EN58" s="415"/>
      <c r="EO58" s="415"/>
      <c r="EP58" s="415"/>
      <c r="EQ58" s="415"/>
      <c r="ER58" s="415"/>
      <c r="ES58" s="415"/>
      <c r="ET58" s="415"/>
      <c r="EU58" s="415"/>
      <c r="EV58" s="415"/>
      <c r="EW58" s="415"/>
      <c r="EX58" s="415"/>
      <c r="EY58" s="415"/>
      <c r="EZ58" s="415"/>
      <c r="FA58" s="415"/>
      <c r="FB58" s="415"/>
      <c r="FC58" s="415"/>
      <c r="FD58" s="415"/>
      <c r="FE58" s="415"/>
      <c r="FF58" s="415"/>
      <c r="FG58" s="415"/>
      <c r="FH58" s="415"/>
      <c r="FI58" s="415"/>
      <c r="FJ58" s="415"/>
      <c r="FK58" s="415"/>
      <c r="FL58" s="415"/>
      <c r="FM58" s="415"/>
      <c r="FN58" s="415"/>
      <c r="FO58" s="415"/>
      <c r="FP58" s="415"/>
      <c r="FQ58" s="415"/>
      <c r="FR58" s="415"/>
      <c r="FS58" s="415"/>
      <c r="FT58" s="415"/>
      <c r="FU58" s="415"/>
      <c r="FV58" s="415"/>
      <c r="FW58" s="415"/>
      <c r="FX58" s="415"/>
      <c r="FY58" s="415"/>
      <c r="FZ58" s="415"/>
      <c r="GA58" s="415"/>
      <c r="GB58" s="415"/>
      <c r="GC58" s="415"/>
      <c r="GD58" s="415"/>
      <c r="GE58" s="415"/>
      <c r="GF58" s="415"/>
      <c r="GG58" s="415"/>
      <c r="GH58" s="415"/>
      <c r="GI58" s="415"/>
      <c r="GJ58" s="415"/>
      <c r="GK58" s="415"/>
      <c r="GL58" s="415"/>
      <c r="GM58" s="415"/>
      <c r="GN58" s="415"/>
      <c r="GO58" s="415"/>
      <c r="GP58" s="415"/>
      <c r="GQ58" s="415"/>
      <c r="GR58" s="415"/>
      <c r="GS58" s="415"/>
      <c r="GT58" s="415"/>
      <c r="GU58" s="415"/>
      <c r="GV58" s="415"/>
      <c r="GW58" s="415"/>
      <c r="GX58" s="415"/>
      <c r="GY58" s="415"/>
      <c r="GZ58" s="415"/>
      <c r="HA58" s="415"/>
      <c r="HB58" s="415"/>
      <c r="HC58" s="415"/>
      <c r="HD58" s="415"/>
      <c r="HE58" s="415"/>
      <c r="HF58" s="415"/>
      <c r="HG58" s="415"/>
      <c r="HH58" s="415"/>
      <c r="HI58" s="415"/>
      <c r="HJ58" s="415"/>
      <c r="HK58" s="415"/>
      <c r="HL58" s="415"/>
      <c r="HM58" s="415"/>
      <c r="HN58" s="415"/>
      <c r="HO58" s="415"/>
      <c r="HP58" s="415"/>
      <c r="HQ58" s="415"/>
      <c r="HR58" s="415"/>
      <c r="HS58" s="415"/>
      <c r="HT58" s="415"/>
      <c r="HU58" s="415"/>
      <c r="HV58" s="415"/>
      <c r="HW58" s="415"/>
      <c r="HX58" s="415"/>
      <c r="HY58" s="415"/>
      <c r="HZ58" s="415"/>
      <c r="IA58" s="415"/>
      <c r="IB58" s="415"/>
      <c r="IC58" s="415"/>
      <c r="ID58" s="415"/>
      <c r="IE58" s="415"/>
      <c r="IF58" s="415"/>
      <c r="IG58" s="415"/>
      <c r="IH58" s="415"/>
      <c r="II58" s="415"/>
      <c r="IJ58" s="415"/>
      <c r="IK58" s="415"/>
      <c r="IL58" s="415"/>
      <c r="IM58" s="415"/>
      <c r="IN58" s="415"/>
      <c r="IO58" s="415"/>
      <c r="IP58" s="415"/>
      <c r="IQ58" s="415"/>
      <c r="IR58" s="415"/>
      <c r="IS58" s="415"/>
      <c r="IT58" s="415"/>
      <c r="IU58" s="415"/>
      <c r="IV58" s="415"/>
      <c r="IW58" s="415"/>
    </row>
    <row r="59" customFormat="false" ht="12.75" hidden="false" customHeight="false" outlineLevel="0" collapsed="false">
      <c r="A59" s="55" t="s">
        <v>1340</v>
      </c>
      <c r="C59" s="131"/>
      <c r="D59" s="62"/>
      <c r="E59" s="577" t="n">
        <f aca="false">SUM(E57:E58)</f>
        <v>0</v>
      </c>
      <c r="F59" s="577" t="n">
        <f aca="false">SUM(F57:F58)</f>
        <v>0</v>
      </c>
      <c r="G59" s="577" t="n">
        <f aca="false">SUM(G57:G58)</f>
        <v>0</v>
      </c>
      <c r="H59" s="577" t="n">
        <f aca="false">SUM(H57:H58)</f>
        <v>0</v>
      </c>
      <c r="I59" s="577" t="n">
        <f aca="false">SUM(I57:I58)</f>
        <v>0</v>
      </c>
      <c r="J59" s="577" t="n">
        <f aca="false">SUM(J57:J58)</f>
        <v>0</v>
      </c>
      <c r="K59" s="577" t="n">
        <f aca="false">SUM(K57:K58)</f>
        <v>0</v>
      </c>
      <c r="L59" s="577" t="n">
        <f aca="false">SUM(L57:L58)</f>
        <v>0</v>
      </c>
      <c r="M59" s="577" t="n">
        <f aca="false">SUM(M57:M58)</f>
        <v>0</v>
      </c>
      <c r="N59" s="577" t="n">
        <f aca="false">SUM(N57:N58)</f>
        <v>0</v>
      </c>
      <c r="O59" s="577" t="n">
        <f aca="false">SUM(O57:O58)</f>
        <v>1.10090189482017</v>
      </c>
      <c r="P59" s="577" t="n">
        <f aca="false">SUM(P57:P58)</f>
        <v>6.37872093390701</v>
      </c>
      <c r="Q59" s="577" t="n">
        <f aca="false">SUM(Q57:Q58)</f>
        <v>16.9292574922058</v>
      </c>
      <c r="R59" s="577" t="n">
        <f aca="false">SUM(R57:R58)</f>
        <v>24.0439663620536</v>
      </c>
      <c r="S59" s="577" t="n">
        <f aca="false">SUM(S57:S58)</f>
        <v>24.8579530408629</v>
      </c>
      <c r="T59" s="577" t="n">
        <f aca="false">SUM(T57:T58)</f>
        <v>25.8509658918435</v>
      </c>
      <c r="U59" s="577" t="n">
        <f aca="false">SUM(U57:U58)</f>
        <v>38.6121772125532</v>
      </c>
      <c r="V59" s="577" t="n">
        <f aca="false">SUM(V57:V58)</f>
        <v>50.6016648844092</v>
      </c>
      <c r="W59" s="577" t="n">
        <f aca="false">SUM(W57:W58)</f>
        <v>58.9590198191813</v>
      </c>
      <c r="X59" s="577" t="n">
        <f aca="false">SUM(X57:X58)</f>
        <v>68.4779855924128</v>
      </c>
      <c r="Y59" s="577" t="n">
        <f aca="false">SUM(Y57:Y58)</f>
        <v>69.9932471994464</v>
      </c>
      <c r="Z59" s="577" t="n">
        <f aca="false">SUM(Z57:Z58)</f>
        <v>71.2021934191755</v>
      </c>
      <c r="AA59" s="577" t="n">
        <f aca="false">SUM(AA57:AA58)</f>
        <v>73.2552192335468</v>
      </c>
      <c r="AB59" s="577" t="n">
        <f aca="false">SUM(AB57:AB58)</f>
        <v>74.891127402203</v>
      </c>
      <c r="AC59" s="577" t="n">
        <f aca="false">SUM(AC57:AC58)</f>
        <v>75.5171197926798</v>
      </c>
      <c r="AD59" s="577" t="n">
        <f aca="false">SUM(AD57:AD58)</f>
        <v>76.3121117897537</v>
      </c>
      <c r="AE59" s="577" t="n">
        <f aca="false">SUM(AE57:AE58)</f>
        <v>77.2550819588517</v>
      </c>
      <c r="AF59" s="577" t="n">
        <f aca="false">SUM(AF57:AF58)</f>
        <v>76.8832065915438</v>
      </c>
      <c r="AG59" s="577" t="n">
        <f aca="false">SUM(AG57:AG58)</f>
        <v>82.5351656650407</v>
      </c>
      <c r="AH59" s="577" t="n">
        <f aca="false">SUM(AH57:AH58)</f>
        <v>89.4794668979104</v>
      </c>
      <c r="AI59" s="577" t="n">
        <f aca="false">SUM(AI57:AI58)</f>
        <v>90.9499110792089</v>
      </c>
      <c r="AJ59" s="577" t="n">
        <f aca="false">SUM(AJ57:AJ58)</f>
        <v>94.0622809790773</v>
      </c>
      <c r="AK59" s="577" t="n">
        <f aca="false">SUM(AK57:AK58)</f>
        <v>105.600660869526</v>
      </c>
      <c r="AL59" s="577" t="n">
        <f aca="false">SUM(AL57:AL58)</f>
        <v>55.2049256340616</v>
      </c>
      <c r="AM59" s="577" t="n">
        <f aca="false">SUM(AM57:AM58)</f>
        <v>61.6581893079652</v>
      </c>
      <c r="AN59" s="577" t="n">
        <f aca="false">SUM(AN57:AN58)</f>
        <v>62.5638913113355</v>
      </c>
      <c r="AO59" s="577" t="n">
        <f aca="false">SUM(AO57:AO58)</f>
        <v>67.08584117033</v>
      </c>
      <c r="AP59" s="577" t="n">
        <f aca="false">SUM(AP57:AP58)</f>
        <v>71.6429134124353</v>
      </c>
      <c r="AQ59" s="577" t="n">
        <f aca="false">SUM(AQ57:AQ58)</f>
        <v>72.6261676479594</v>
      </c>
      <c r="AR59" s="577" t="n">
        <f aca="false">SUM(AR57:AR58)</f>
        <v>73.617058905793</v>
      </c>
      <c r="AS59" s="577" t="n">
        <f aca="false">SUM(AS57:AS58)</f>
        <v>78.2248596916986</v>
      </c>
      <c r="AT59" s="577" t="n">
        <f aca="false">SUM(AT57:AT58)</f>
        <v>82.8684496724311</v>
      </c>
      <c r="AU59" s="577" t="n">
        <f aca="false">SUM(AU57:AU58)</f>
        <v>83.9388936374838</v>
      </c>
      <c r="AV59" s="577" t="n">
        <f aca="false">SUM(AV57:AV58)</f>
        <v>85.0176518351599</v>
      </c>
      <c r="AW59" s="577" t="n">
        <f aca="false">SUM(AW57:AW58)</f>
        <v>0</v>
      </c>
      <c r="AX59" s="577" t="n">
        <f aca="false">SUM(AX57:AX58)</f>
        <v>0</v>
      </c>
      <c r="AY59" s="577" t="n">
        <f aca="false">SUM(AY57:AY58)</f>
        <v>0</v>
      </c>
      <c r="AZ59" s="577" t="n">
        <f aca="false">SUM(AZ57:AZ58)</f>
        <v>0</v>
      </c>
      <c r="BA59" s="579" t="n">
        <f aca="false">SUM(E59:AZ59)</f>
        <v>2168.19824822887</v>
      </c>
      <c r="BB59" s="175" t="n">
        <f aca="false">BB58+1</f>
        <v>53</v>
      </c>
    </row>
    <row r="60" customFormat="false" ht="12.75" hidden="false" customHeight="false" outlineLevel="0" collapsed="false">
      <c r="A60" s="166" t="s">
        <v>1355</v>
      </c>
      <c r="B60" s="131"/>
      <c r="C60" s="131"/>
      <c r="D60" s="131"/>
      <c r="E60" s="754" t="n">
        <f aca="false">SUM($E59:E59)</f>
        <v>0</v>
      </c>
      <c r="F60" s="754" t="n">
        <f aca="false">SUM($E59:F59)</f>
        <v>0</v>
      </c>
      <c r="G60" s="754" t="n">
        <f aca="false">SUM($E59:G59)</f>
        <v>0</v>
      </c>
      <c r="H60" s="754" t="n">
        <f aca="false">SUM($E59:H59)</f>
        <v>0</v>
      </c>
      <c r="I60" s="754" t="n">
        <f aca="false">SUM($E59:I59)</f>
        <v>0</v>
      </c>
      <c r="J60" s="754" t="n">
        <f aca="false">SUM($E59:J59)</f>
        <v>0</v>
      </c>
      <c r="K60" s="754" t="n">
        <f aca="false">SUM($E59:K59)</f>
        <v>0</v>
      </c>
      <c r="L60" s="754" t="n">
        <f aca="false">SUM($E59:L59)</f>
        <v>0</v>
      </c>
      <c r="M60" s="754" t="n">
        <f aca="false">SUM($E59:M59)</f>
        <v>0</v>
      </c>
      <c r="N60" s="754" t="n">
        <f aca="false">SUM($E59:N59)</f>
        <v>0</v>
      </c>
      <c r="O60" s="754" t="n">
        <f aca="false">SUM($E59:O59)</f>
        <v>1.10090189482017</v>
      </c>
      <c r="P60" s="754" t="n">
        <f aca="false">SUM($E59:P59)</f>
        <v>7.47962282872718</v>
      </c>
      <c r="Q60" s="754" t="n">
        <f aca="false">SUM($E59:Q59)</f>
        <v>24.408880320933</v>
      </c>
      <c r="R60" s="754" t="n">
        <f aca="false">SUM($E59:R59)</f>
        <v>48.4528466829866</v>
      </c>
      <c r="S60" s="754" t="n">
        <f aca="false">SUM($E59:S59)</f>
        <v>73.3107997238495</v>
      </c>
      <c r="T60" s="754" t="n">
        <f aca="false">SUM($E59:T59)</f>
        <v>99.161765615693</v>
      </c>
      <c r="U60" s="754" t="n">
        <f aca="false">SUM($E59:U59)</f>
        <v>137.773942828246</v>
      </c>
      <c r="V60" s="754" t="n">
        <f aca="false">SUM($E59:V59)</f>
        <v>188.375607712655</v>
      </c>
      <c r="W60" s="754" t="n">
        <f aca="false">SUM($E59:W59)</f>
        <v>247.334627531837</v>
      </c>
      <c r="X60" s="754" t="n">
        <f aca="false">SUM($E59:X59)</f>
        <v>315.812613124249</v>
      </c>
      <c r="Y60" s="754" t="n">
        <f aca="false">SUM($E59:Y59)</f>
        <v>385.805860323696</v>
      </c>
      <c r="Z60" s="754" t="n">
        <f aca="false">SUM($E59:Z59)</f>
        <v>457.008053742871</v>
      </c>
      <c r="AA60" s="754" t="n">
        <f aca="false">SUM($E59:AA59)</f>
        <v>530.263272976418</v>
      </c>
      <c r="AB60" s="754" t="n">
        <f aca="false">SUM($E59:AB59)</f>
        <v>605.154400378621</v>
      </c>
      <c r="AC60" s="754" t="n">
        <f aca="false">SUM($E59:AC59)</f>
        <v>680.671520171301</v>
      </c>
      <c r="AD60" s="754" t="n">
        <f aca="false">SUM($E59:AD59)</f>
        <v>756.983631961055</v>
      </c>
      <c r="AE60" s="754" t="n">
        <f aca="false">SUM($E59:AE59)</f>
        <v>834.238713919907</v>
      </c>
      <c r="AF60" s="754" t="n">
        <f aca="false">SUM($E59:AF59)</f>
        <v>911.12192051145</v>
      </c>
      <c r="AG60" s="754" t="n">
        <f aca="false">SUM($E59:AG59)</f>
        <v>993.657086176491</v>
      </c>
      <c r="AH60" s="754" t="n">
        <f aca="false">SUM($E59:AH59)</f>
        <v>1083.1365530744</v>
      </c>
      <c r="AI60" s="754" t="n">
        <f aca="false">SUM($E59:AI59)</f>
        <v>1174.08646415361</v>
      </c>
      <c r="AJ60" s="754" t="n">
        <f aca="false">SUM($E59:AJ59)</f>
        <v>1268.14874513269</v>
      </c>
      <c r="AK60" s="754" t="n">
        <f aca="false">SUM($E59:AK59)</f>
        <v>1373.74940600221</v>
      </c>
      <c r="AL60" s="754" t="n">
        <f aca="false">SUM($E59:AL59)</f>
        <v>1428.95433163628</v>
      </c>
      <c r="AM60" s="754" t="n">
        <f aca="false">SUM($E59:AM59)</f>
        <v>1490.61252094424</v>
      </c>
      <c r="AN60" s="754" t="n">
        <f aca="false">SUM($E59:AN59)</f>
        <v>1553.17641225558</v>
      </c>
      <c r="AO60" s="754" t="n">
        <f aca="false">SUM($E59:AO59)</f>
        <v>1620.26225342591</v>
      </c>
      <c r="AP60" s="754" t="n">
        <f aca="false">SUM($E59:AP59)</f>
        <v>1691.90516683834</v>
      </c>
      <c r="AQ60" s="754" t="n">
        <f aca="false">SUM($E59:AQ59)</f>
        <v>1764.5313344863</v>
      </c>
      <c r="AR60" s="754" t="n">
        <f aca="false">SUM($E59:AR59)</f>
        <v>1838.14839339209</v>
      </c>
      <c r="AS60" s="754" t="n">
        <f aca="false">SUM($E59:AS59)</f>
        <v>1916.37325308379</v>
      </c>
      <c r="AT60" s="754" t="n">
        <f aca="false">SUM($E59:AT59)</f>
        <v>1999.24170275622</v>
      </c>
      <c r="AU60" s="754" t="n">
        <f aca="false">SUM($E59:AU59)</f>
        <v>2083.18059639371</v>
      </c>
      <c r="AV60" s="754" t="n">
        <f aca="false">SUM($E59:AV59)</f>
        <v>2168.19824822887</v>
      </c>
      <c r="AW60" s="754" t="n">
        <f aca="false">SUM($E59:AW59)</f>
        <v>2168.19824822887</v>
      </c>
      <c r="AX60" s="754" t="n">
        <f aca="false">SUM($E59:AX59)</f>
        <v>2168.19824822887</v>
      </c>
      <c r="AY60" s="754" t="n">
        <f aca="false">SUM($E59:AY59)</f>
        <v>2168.19824822887</v>
      </c>
      <c r="AZ60" s="754" t="n">
        <f aca="false">SUM($E59:AZ59)</f>
        <v>2168.19824822887</v>
      </c>
      <c r="BA60" s="1047"/>
      <c r="BB60" s="175" t="n">
        <f aca="false">BB59+1</f>
        <v>54</v>
      </c>
    </row>
    <row r="61" customFormat="false" ht="12.75" hidden="false" customHeight="false" outlineLevel="0" collapsed="false">
      <c r="A61" s="37"/>
      <c r="E61" s="556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56"/>
      <c r="Q61" s="556"/>
      <c r="R61" s="556"/>
      <c r="S61" s="556"/>
      <c r="T61" s="556"/>
      <c r="U61" s="556"/>
      <c r="V61" s="556"/>
      <c r="W61" s="556"/>
      <c r="X61" s="556"/>
      <c r="Y61" s="556"/>
      <c r="Z61" s="556"/>
      <c r="AA61" s="556"/>
      <c r="AB61" s="556"/>
      <c r="AC61" s="556"/>
      <c r="AD61" s="556"/>
      <c r="AE61" s="556"/>
      <c r="AF61" s="556"/>
      <c r="AG61" s="556"/>
      <c r="AH61" s="556"/>
      <c r="AI61" s="556"/>
      <c r="AJ61" s="556"/>
      <c r="AK61" s="556"/>
      <c r="AL61" s="556"/>
      <c r="AM61" s="556"/>
      <c r="AN61" s="556"/>
      <c r="AO61" s="556"/>
      <c r="AP61" s="556"/>
      <c r="AQ61" s="556"/>
      <c r="AR61" s="556"/>
      <c r="AS61" s="556"/>
      <c r="AT61" s="556"/>
      <c r="AU61" s="556"/>
      <c r="AV61" s="556"/>
      <c r="AW61" s="556"/>
      <c r="AX61" s="556"/>
      <c r="AY61" s="556"/>
      <c r="AZ61" s="556"/>
      <c r="BA61" s="555"/>
      <c r="BB61" s="175" t="n">
        <f aca="false">BB60+1</f>
        <v>55</v>
      </c>
    </row>
    <row r="62" customFormat="false" ht="12.75" hidden="false" customHeight="false" outlineLevel="0" collapsed="false">
      <c r="A62" s="166" t="s">
        <v>1356</v>
      </c>
      <c r="B62" s="131"/>
      <c r="C62" s="131"/>
      <c r="D62" s="131"/>
      <c r="E62" s="754" t="n">
        <f aca="false">IF(E$7&lt;Startops1,0,IF(E$7&lt;Startops2,E54*Assm!$S$5,IF(E$7&lt;Startops3,E54*SUM(Assm!$S$5:$T$5),0)))</f>
        <v>0</v>
      </c>
      <c r="F62" s="754" t="n">
        <f aca="false">IF(F$7&lt;Startops1,0,IF(F$7&lt;Startops2,F54*Assm!$S$5,IF(F$7&lt;Startops3,F54*SUM(Assm!$S$5:$T$5),0)))</f>
        <v>0</v>
      </c>
      <c r="G62" s="754" t="n">
        <f aca="false">IF(G$7&lt;Startops1,0,IF(G$7&lt;Startops2,G54*Assm!$S$5,IF(G$7&lt;Startops3,G54*SUM(Assm!$S$5:$T$5),0)))</f>
        <v>0</v>
      </c>
      <c r="H62" s="754" t="n">
        <f aca="false">IF(H$7&lt;Startops1,0,IF(H$7&lt;Startops2,H54*Assm!$S$5,IF(H$7&lt;Startops3,H54*SUM(Assm!$S$5:$T$5),0)))</f>
        <v>0</v>
      </c>
      <c r="I62" s="754" t="n">
        <f aca="false">IF(I$7&lt;Startops1,0,IF(I$7&lt;Startops2,I54*Assm!$S$5,IF(I$7&lt;Startops3,I54*SUM(Assm!$S$5:$T$5),0)))</f>
        <v>0</v>
      </c>
      <c r="J62" s="754" t="n">
        <f aca="false">IF(J$7&lt;Startops1,0,IF(J$7&lt;Startops2,J54*Assm!$S$5,IF(J$7&lt;Startops3,J54*SUM(Assm!$S$5:$T$5),0)))</f>
        <v>0</v>
      </c>
      <c r="K62" s="754" t="n">
        <f aca="false">IF(K$7&lt;Startops1,0,IF(K$7&lt;Startops2,K54*Assm!$S$5,IF(K$7&lt;Startops3,K54*SUM(Assm!$S$5:$T$5),0)))</f>
        <v>0</v>
      </c>
      <c r="L62" s="754" t="n">
        <f aca="false">IF(L$7&lt;Startops1,0,IF(L$7&lt;Startops2,L54*Assm!$S$5,IF(L$7&lt;Startops3,L54*SUM(Assm!$S$5:$T$5),0)))</f>
        <v>0</v>
      </c>
      <c r="M62" s="754" t="n">
        <f aca="false">IF(M$7&lt;Startops1,0,IF(M$7&lt;Startops2,M54*Assm!$S$5,IF(M$7&lt;Startops3,M54*SUM(Assm!$S$5:$T$5),0)))</f>
        <v>0</v>
      </c>
      <c r="N62" s="754" t="n">
        <f aca="false">IF(N$7&lt;Startops1,0,IF(N$7&lt;Startops2,N54*Assm!$S$5,IF(N$7&lt;Startops3,N54*SUM(Assm!$S$5:$T$5),0)))</f>
        <v>0</v>
      </c>
      <c r="O62" s="754" t="n">
        <f aca="false">IF(O$7&lt;Startops1,0,IF(O$7&lt;Startops2,O54*Assm!$S$5,IF(O$7&lt;Startops3,O54*SUM(Assm!$S$5:$T$5),0)))</f>
        <v>0</v>
      </c>
      <c r="P62" s="754" t="n">
        <f aca="false">IF(P$7&lt;Startops1,0,IF(P$7&lt;Startops2,P54*Assm!$S$5,IF(P$7&lt;Startops3,P54*SUM(Assm!$S$5:$T$5),0)))</f>
        <v>0</v>
      </c>
      <c r="Q62" s="754" t="n">
        <f aca="false">IF(Q$7&lt;Startops1,0,IF(Q$7&lt;Startops2,Q54*Assm!$S$5,IF(Q$7&lt;Startops3,Q54*SUM(Assm!$S$5:$T$5),0)))</f>
        <v>0</v>
      </c>
      <c r="R62" s="754" t="n">
        <f aca="false">IF(R$7&lt;Startops1,0,IF(R$7&lt;Startops2,R54*Assm!$S$5,IF(R$7&lt;Startops3,R54*SUM(Assm!$S$5:$T$5),0)))</f>
        <v>0</v>
      </c>
      <c r="S62" s="754" t="n">
        <f aca="false">IF(S$7&lt;Startops1,0,IF(S$7&lt;Startops2,S54*Assm!$S$5,IF(S$7&lt;Startops3,S54*SUM(Assm!$S$5:$T$5),0)))</f>
        <v>0</v>
      </c>
      <c r="T62" s="754" t="n">
        <f aca="false">IF(T$7&lt;Startops1,0,IF(T$7&lt;Startops2,T54*Assm!$S$5,IF(T$7&lt;Startops3,T54*SUM(Assm!$S$5:$T$5),0)))</f>
        <v>0</v>
      </c>
      <c r="U62" s="754" t="n">
        <f aca="false">IF(U$7&lt;Startops1,0,IF(U$7&lt;Startops2,U54*Assm!$S$5,IF(U$7&lt;Startops3,U54*SUM(Assm!$S$5:$T$5),0)))</f>
        <v>65.6407012613404</v>
      </c>
      <c r="V62" s="754" t="n">
        <f aca="false">IF(V$7&lt;Startops1,0,IF(V$7&lt;Startops2,V54*Assm!$S$5,IF(V$7&lt;Startops3,V54*SUM(Assm!$S$5:$T$5),0)))</f>
        <v>86.0228303034956</v>
      </c>
      <c r="W62" s="754" t="n">
        <f aca="false">IF(W$7&lt;Startops1,0,IF(W$7&lt;Startops2,W54*Assm!$S$5,IF(W$7&lt;Startops3,W54*SUM(Assm!$S$5:$T$5),0)))</f>
        <v>100.230333692608</v>
      </c>
      <c r="X62" s="754" t="n">
        <f aca="false">IF(X$7&lt;Startops1,0,IF(X$7&lt;Startops2,X54*Assm!$S$5,IF(X$7&lt;Startops3,X54*SUM(Assm!$S$5:$T$5),0)))</f>
        <v>116.412575507102</v>
      </c>
      <c r="Y62" s="754" t="n">
        <f aca="false">IF(Y$7&lt;Startops1,0,IF(Y$7&lt;Startops2,Y54*Assm!$S$5,IF(Y$7&lt;Startops3,Y54*SUM(Assm!$S$5:$T$5),0)))</f>
        <v>118.988520239059</v>
      </c>
      <c r="Z62" s="754" t="n">
        <f aca="false">IF(Z$7&lt;Startops1,0,IF(Z$7&lt;Startops2,Z54*Assm!$S$5,IF(Z$7&lt;Startops3,Z54*SUM(Assm!$S$5:$T$5),0)))</f>
        <v>121.043728812598</v>
      </c>
      <c r="AA62" s="754" t="n">
        <f aca="false">IF(AA$7&lt;Startops1,0,IF(AA$7&lt;Startops2,AA54*Assm!$S$5,IF(AA$7&lt;Startops3,AA54*SUM(Assm!$S$5:$T$5),0)))</f>
        <v>124.53387269703</v>
      </c>
      <c r="AB62" s="754" t="n">
        <f aca="false">IF(AB$7&lt;Startops1,0,IF(AB$7&lt;Startops2,AB54*Assm!$S$5,IF(AB$7&lt;Startops3,AB54*SUM(Assm!$S$5:$T$5),0)))</f>
        <v>127.314916583745</v>
      </c>
      <c r="AC62" s="754" t="n">
        <f aca="false">IF(AC$7&lt;Startops1,0,IF(AC$7&lt;Startops2,AC54*Assm!$S$5,IF(AC$7&lt;Startops3,AC54*SUM(Assm!$S$5:$T$5),0)))</f>
        <v>128.379103647556</v>
      </c>
      <c r="AD62" s="754" t="n">
        <f aca="false">IF(AD$7&lt;Startops1,0,IF(AD$7&lt;Startops2,AD54*Assm!$S$5,IF(AD$7&lt;Startops3,AD54*SUM(Assm!$S$5:$T$5),0)))</f>
        <v>129.730590042581</v>
      </c>
      <c r="AE62" s="754" t="n">
        <f aca="false">IF(AE$7&lt;Startops1,0,IF(AE$7&lt;Startops2,AE54*Assm!$S$5,IF(AE$7&lt;Startops3,AE54*SUM(Assm!$S$5:$T$5),0)))</f>
        <v>131.333639330048</v>
      </c>
      <c r="AF62" s="754" t="n">
        <f aca="false">IF(AF$7&lt;Startops1,0,IF(AF$7&lt;Startops2,AF54*Assm!$S$5,IF(AF$7&lt;Startops3,AF54*SUM(Assm!$S$5:$T$5),0)))</f>
        <v>130.701451205624</v>
      </c>
      <c r="AG62" s="754" t="n">
        <f aca="false">IF(AG$7&lt;Startops1,0,IF(AG$7&lt;Startops2,AG54*Assm!$S$5,IF(AG$7&lt;Startops3,AG54*SUM(Assm!$S$5:$T$5),0)))</f>
        <v>140.309781630569</v>
      </c>
      <c r="AH62" s="754" t="n">
        <f aca="false">IF(AH$7&lt;Startops1,0,IF(AH$7&lt;Startops2,AH54*Assm!$S$5,IF(AH$7&lt;Startops3,AH54*SUM(Assm!$S$5:$T$5),0)))</f>
        <v>152.115093726448</v>
      </c>
      <c r="AI62" s="754" t="n">
        <f aca="false">IF(AI$7&lt;Startops1,0,IF(AI$7&lt;Startops2,AI54*Assm!$S$5,IF(AI$7&lt;Startops3,AI54*SUM(Assm!$S$5:$T$5),0)))</f>
        <v>154.614848834655</v>
      </c>
      <c r="AJ62" s="754" t="n">
        <f aca="false">IF(AJ$7&lt;Startops1,0,IF(AJ$7&lt;Startops2,AJ54*Assm!$S$5,IF(AJ$7&lt;Startops3,AJ54*SUM(Assm!$S$5:$T$5),0)))</f>
        <v>159.905877664431</v>
      </c>
      <c r="AK62" s="754" t="n">
        <f aca="false">IF(AK$7&lt;Startops1,0,IF(AK$7&lt;Startops2,AK54*Assm!$S$5,IF(AK$7&lt;Startops3,AK54*SUM(Assm!$S$5:$T$5),0)))</f>
        <v>179.521123478194</v>
      </c>
      <c r="AL62" s="754" t="n">
        <f aca="false">IF(AL$7&lt;Startops1,0,IF(AL$7&lt;Startops2,AL54*Assm!$S$5,IF(AL$7&lt;Startops3,AL54*SUM(Assm!$S$5:$T$5),0)))</f>
        <v>332.981487986472</v>
      </c>
      <c r="AM62" s="754" t="n">
        <f aca="false">IF(AM$7&lt;Startops1,0,IF(AM$7&lt;Startops2,AM54*Assm!$S$5,IF(AM$7&lt;Startops3,AM54*SUM(Assm!$S$5:$T$5),0)))</f>
        <v>371.905865038429</v>
      </c>
      <c r="AN62" s="754" t="n">
        <f aca="false">IF(AN$7&lt;Startops1,0,IF(AN$7&lt;Startops2,AN54*Assm!$S$5,IF(AN$7&lt;Startops3,AN54*SUM(Assm!$S$5:$T$5),0)))</f>
        <v>377.368819607984</v>
      </c>
      <c r="AO62" s="754" t="n">
        <f aca="false">IF(AO$7&lt;Startops1,0,IF(AO$7&lt;Startops2,AO54*Assm!$S$5,IF(AO$7&lt;Startops3,AO54*SUM(Assm!$S$5:$T$5),0)))</f>
        <v>404.644023321313</v>
      </c>
      <c r="AP62" s="754" t="n">
        <f aca="false">IF(AP$7&lt;Startops1,0,IF(AP$7&lt;Startops2,AP54*Assm!$S$5,IF(AP$7&lt;Startops3,AP54*SUM(Assm!$S$5:$T$5),0)))</f>
        <v>432.131075945868</v>
      </c>
      <c r="AQ62" s="754" t="n">
        <f aca="false">IF(AQ$7&lt;Startops1,0,IF(AQ$7&lt;Startops2,AQ54*Assm!$S$5,IF(AQ$7&lt;Startops3,AQ54*SUM(Assm!$S$5:$T$5),0)))</f>
        <v>438.061805036676</v>
      </c>
      <c r="AR62" s="754" t="n">
        <f aca="false">IF(AR$7&lt;Startops1,0,IF(AR$7&lt;Startops2,AR54*Assm!$S$5,IF(AR$7&lt;Startops3,AR54*SUM(Assm!$S$5:$T$5),0)))</f>
        <v>888.07719724611</v>
      </c>
      <c r="AS62" s="754" t="n">
        <f aca="false">IF(AS$7&lt;Startops1,0,IF(AS$7&lt;Startops2,AS54*Assm!$S$5,IF(AS$7&lt;Startops3,AS54*SUM(Assm!$S$5:$T$5),0)))</f>
        <v>943.663264772281</v>
      </c>
      <c r="AT62" s="754" t="n">
        <f aca="false">IF(AT$7&lt;Startops1,0,IF(AT$7&lt;Startops2,AT54*Assm!$S$5,IF(AT$7&lt;Startops3,AT54*SUM(Assm!$S$5:$T$5),0)))</f>
        <v>999.681074184177</v>
      </c>
      <c r="AU62" s="754" t="n">
        <f aca="false">IF(AU$7&lt;Startops1,0,IF(AU$7&lt;Startops2,AU54*Assm!$S$5,IF(AU$7&lt;Startops3,AU54*SUM(Assm!$S$5:$T$5),0)))</f>
        <v>1012.5943430708</v>
      </c>
      <c r="AV62" s="754" t="n">
        <f aca="false">IF(AV$7&lt;Startops1,0,IF(AV$7&lt;Startops2,AV54*Assm!$S$5,IF(AV$7&lt;Startops3,AV54*SUM(Assm!$S$5:$T$5),0)))</f>
        <v>1025.60791045502</v>
      </c>
      <c r="AW62" s="754" t="n">
        <f aca="false">IF(AW$7&lt;Startops1,0,IF(AW$7&lt;Startops2,AW54*Assm!$S$5,IF(AW$7&lt;Startops3,AW54*SUM(Assm!$S$5:$T$5),0)))</f>
        <v>0</v>
      </c>
      <c r="AX62" s="754" t="n">
        <f aca="false">IF(AX$7&lt;Startops1,0,IF(AX$7&lt;Startops2,AX54*Assm!$S$5,IF(AX$7&lt;Startops3,AX54*SUM(Assm!$S$5:$T$5),0)))</f>
        <v>0</v>
      </c>
      <c r="AY62" s="754" t="n">
        <f aca="false">IF(AY$7&lt;Startops1,0,IF(AY$7&lt;Startops2,AY54*Assm!$S$5,IF(AY$7&lt;Startops3,AY54*SUM(Assm!$S$5:$T$5),0)))</f>
        <v>0</v>
      </c>
      <c r="AZ62" s="754" t="n">
        <f aca="false">IF(AZ$7&lt;Startops1,0,IF(AZ$7&lt;Startops2,AZ54*Assm!$S$5,IF(AZ$7&lt;Startops3,AZ54*SUM(Assm!$S$5:$T$5),0)))</f>
        <v>0</v>
      </c>
      <c r="BA62" s="1047" t="n">
        <f aca="false">SUM(E62:AZ62)</f>
        <v>9393.51585532221</v>
      </c>
      <c r="BB62" s="175" t="n">
        <f aca="false">BB61+1</f>
        <v>56</v>
      </c>
    </row>
    <row r="63" customFormat="false" ht="12.75" hidden="false" customHeight="false" outlineLevel="0" collapsed="false">
      <c r="A63" s="166" t="s">
        <v>1357</v>
      </c>
      <c r="B63" s="131"/>
      <c r="C63" s="131"/>
      <c r="D63" s="131"/>
      <c r="E63" s="754" t="n">
        <f aca="false">SUM($E62:E62)</f>
        <v>0</v>
      </c>
      <c r="F63" s="754" t="n">
        <f aca="false">SUM($E62:F62)</f>
        <v>0</v>
      </c>
      <c r="G63" s="754" t="n">
        <f aca="false">SUM($E62:G62)</f>
        <v>0</v>
      </c>
      <c r="H63" s="754" t="n">
        <f aca="false">SUM($E62:H62)</f>
        <v>0</v>
      </c>
      <c r="I63" s="754" t="n">
        <f aca="false">SUM($E62:I62)</f>
        <v>0</v>
      </c>
      <c r="J63" s="754" t="n">
        <f aca="false">SUM($E62:J62)</f>
        <v>0</v>
      </c>
      <c r="K63" s="754" t="n">
        <f aca="false">SUM($E62:K62)</f>
        <v>0</v>
      </c>
      <c r="L63" s="754" t="n">
        <f aca="false">SUM($E62:L62)</f>
        <v>0</v>
      </c>
      <c r="M63" s="754" t="n">
        <f aca="false">SUM($E62:M62)</f>
        <v>0</v>
      </c>
      <c r="N63" s="754" t="n">
        <f aca="false">SUM($E62:N62)</f>
        <v>0</v>
      </c>
      <c r="O63" s="754" t="n">
        <f aca="false">SUM($E62:O62)</f>
        <v>0</v>
      </c>
      <c r="P63" s="754" t="n">
        <f aca="false">SUM($E62:P62)</f>
        <v>0</v>
      </c>
      <c r="Q63" s="754" t="n">
        <f aca="false">SUM($E62:Q62)</f>
        <v>0</v>
      </c>
      <c r="R63" s="754" t="n">
        <f aca="false">SUM($E62:R62)</f>
        <v>0</v>
      </c>
      <c r="S63" s="754" t="n">
        <f aca="false">SUM($E62:S62)</f>
        <v>0</v>
      </c>
      <c r="T63" s="754" t="n">
        <f aca="false">SUM($E62:T62)</f>
        <v>0</v>
      </c>
      <c r="U63" s="754" t="n">
        <f aca="false">SUM($E62:U62)</f>
        <v>65.6407012613404</v>
      </c>
      <c r="V63" s="754" t="n">
        <f aca="false">SUM($E62:V62)</f>
        <v>151.663531564836</v>
      </c>
      <c r="W63" s="754" t="n">
        <f aca="false">SUM($E62:W62)</f>
        <v>251.893865257444</v>
      </c>
      <c r="X63" s="754" t="n">
        <f aca="false">SUM($E62:X62)</f>
        <v>368.306440764546</v>
      </c>
      <c r="Y63" s="754" t="n">
        <f aca="false">SUM($E62:Y62)</f>
        <v>487.294961003605</v>
      </c>
      <c r="Z63" s="754" t="n">
        <f aca="false">SUM($E62:Z62)</f>
        <v>608.338689816203</v>
      </c>
      <c r="AA63" s="754" t="n">
        <f aca="false">SUM($E62:AA62)</f>
        <v>732.872562513233</v>
      </c>
      <c r="AB63" s="754" t="n">
        <f aca="false">SUM($E62:AB62)</f>
        <v>860.187479096978</v>
      </c>
      <c r="AC63" s="754" t="n">
        <f aca="false">SUM($E62:AC62)</f>
        <v>988.566582744534</v>
      </c>
      <c r="AD63" s="754" t="n">
        <f aca="false">SUM($E62:AD62)</f>
        <v>1118.29717278712</v>
      </c>
      <c r="AE63" s="754" t="n">
        <f aca="false">SUM($E62:AE62)</f>
        <v>1249.63081211716</v>
      </c>
      <c r="AF63" s="754" t="n">
        <f aca="false">SUM($E62:AF62)</f>
        <v>1380.33226332279</v>
      </c>
      <c r="AG63" s="754" t="n">
        <f aca="false">SUM($E62:AG62)</f>
        <v>1520.64204495336</v>
      </c>
      <c r="AH63" s="754" t="n">
        <f aca="false">SUM($E62:AH62)</f>
        <v>1672.7571386798</v>
      </c>
      <c r="AI63" s="754" t="n">
        <f aca="false">SUM($E62:AI62)</f>
        <v>1827.37198751446</v>
      </c>
      <c r="AJ63" s="754" t="n">
        <f aca="false">SUM($E62:AJ62)</f>
        <v>1987.27786517889</v>
      </c>
      <c r="AK63" s="754" t="n">
        <f aca="false">SUM($E62:AK62)</f>
        <v>2166.79898865709</v>
      </c>
      <c r="AL63" s="754" t="n">
        <f aca="false">SUM($E62:AL62)</f>
        <v>2499.78047664356</v>
      </c>
      <c r="AM63" s="754" t="n">
        <f aca="false">SUM($E62:AM62)</f>
        <v>2871.68634168199</v>
      </c>
      <c r="AN63" s="754" t="n">
        <f aca="false">SUM($E62:AN62)</f>
        <v>3249.05516128997</v>
      </c>
      <c r="AO63" s="754" t="n">
        <f aca="false">SUM($E62:AO62)</f>
        <v>3653.69918461128</v>
      </c>
      <c r="AP63" s="754" t="n">
        <f aca="false">SUM($E62:AP62)</f>
        <v>4085.83026055715</v>
      </c>
      <c r="AQ63" s="754" t="n">
        <f aca="false">SUM($E62:AQ62)</f>
        <v>4523.89206559383</v>
      </c>
      <c r="AR63" s="754" t="n">
        <f aca="false">SUM($E62:AR62)</f>
        <v>5411.96926283994</v>
      </c>
      <c r="AS63" s="754" t="n">
        <f aca="false">SUM($E62:AS62)</f>
        <v>6355.63252761222</v>
      </c>
      <c r="AT63" s="754" t="n">
        <f aca="false">SUM($E62:AT62)</f>
        <v>7355.31360179639</v>
      </c>
      <c r="AU63" s="754" t="n">
        <f aca="false">SUM($E62:AU62)</f>
        <v>8367.9079448672</v>
      </c>
      <c r="AV63" s="754" t="n">
        <f aca="false">SUM($E62:AV62)</f>
        <v>9393.51585532221</v>
      </c>
      <c r="AW63" s="754" t="n">
        <f aca="false">SUM($E62:AW62)</f>
        <v>9393.51585532221</v>
      </c>
      <c r="AX63" s="754" t="n">
        <f aca="false">SUM($E62:AX62)</f>
        <v>9393.51585532221</v>
      </c>
      <c r="AY63" s="754" t="n">
        <f aca="false">SUM($E62:AY62)</f>
        <v>9393.51585532221</v>
      </c>
      <c r="AZ63" s="754" t="n">
        <f aca="false">SUM($E62:AZ62)</f>
        <v>9393.51585532221</v>
      </c>
      <c r="BA63" s="1047"/>
      <c r="BB63" s="175" t="n">
        <f aca="false">BB62+1</f>
        <v>57</v>
      </c>
    </row>
    <row r="64" customFormat="false" ht="12.75" hidden="false" customHeight="false" outlineLevel="0" collapsed="false">
      <c r="A64" s="37"/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6"/>
      <c r="Q64" s="556"/>
      <c r="R64" s="556"/>
      <c r="S64" s="556"/>
      <c r="T64" s="556"/>
      <c r="U64" s="556"/>
      <c r="V64" s="556"/>
      <c r="W64" s="556"/>
      <c r="X64" s="556"/>
      <c r="Y64" s="556"/>
      <c r="Z64" s="556"/>
      <c r="AA64" s="556"/>
      <c r="AB64" s="556"/>
      <c r="AC64" s="556"/>
      <c r="AD64" s="556"/>
      <c r="AE64" s="556"/>
      <c r="AF64" s="556"/>
      <c r="AG64" s="556"/>
      <c r="AH64" s="556"/>
      <c r="AI64" s="556"/>
      <c r="AJ64" s="556"/>
      <c r="AK64" s="556"/>
      <c r="AL64" s="556"/>
      <c r="AM64" s="556"/>
      <c r="AN64" s="556"/>
      <c r="AO64" s="556"/>
      <c r="AP64" s="556"/>
      <c r="AQ64" s="556"/>
      <c r="AR64" s="556"/>
      <c r="AS64" s="556"/>
      <c r="AT64" s="556"/>
      <c r="AU64" s="556"/>
      <c r="AV64" s="556"/>
      <c r="AW64" s="556"/>
      <c r="AX64" s="556"/>
      <c r="AY64" s="556"/>
      <c r="AZ64" s="556"/>
      <c r="BA64" s="555"/>
      <c r="BB64" s="175" t="n">
        <f aca="false">BB63+1</f>
        <v>58</v>
      </c>
    </row>
    <row r="65" customFormat="false" ht="12.75" hidden="false" customHeight="false" outlineLevel="0" collapsed="false">
      <c r="A65" s="130" t="s">
        <v>1358</v>
      </c>
      <c r="E65" s="556"/>
      <c r="F65" s="556"/>
      <c r="G65" s="556"/>
      <c r="H65" s="556"/>
      <c r="I65" s="556"/>
      <c r="J65" s="556"/>
      <c r="K65" s="556"/>
      <c r="L65" s="556"/>
      <c r="M65" s="556"/>
      <c r="N65" s="556"/>
      <c r="O65" s="556"/>
      <c r="P65" s="556"/>
      <c r="Q65" s="556"/>
      <c r="R65" s="556"/>
      <c r="S65" s="556"/>
      <c r="T65" s="556"/>
      <c r="U65" s="556"/>
      <c r="V65" s="556"/>
      <c r="W65" s="556"/>
      <c r="X65" s="556"/>
      <c r="Y65" s="556"/>
      <c r="Z65" s="556"/>
      <c r="AA65" s="556"/>
      <c r="AB65" s="556"/>
      <c r="AC65" s="556"/>
      <c r="AD65" s="556"/>
      <c r="AE65" s="556"/>
      <c r="AF65" s="556"/>
      <c r="AG65" s="556"/>
      <c r="AH65" s="556"/>
      <c r="AI65" s="556"/>
      <c r="AJ65" s="556"/>
      <c r="AK65" s="556"/>
      <c r="AL65" s="556"/>
      <c r="AM65" s="556"/>
      <c r="AN65" s="556"/>
      <c r="AO65" s="556"/>
      <c r="AP65" s="556"/>
      <c r="AQ65" s="556"/>
      <c r="AR65" s="556"/>
      <c r="AS65" s="556"/>
      <c r="AT65" s="556"/>
      <c r="AU65" s="556"/>
      <c r="AV65" s="556"/>
      <c r="AW65" s="556"/>
      <c r="AX65" s="556"/>
      <c r="AY65" s="556"/>
      <c r="AZ65" s="556"/>
      <c r="BA65" s="555"/>
      <c r="BB65" s="175" t="n">
        <f aca="false">BB64+1</f>
        <v>59</v>
      </c>
    </row>
    <row r="66" customFormat="false" ht="12.75" hidden="false" customHeight="false" outlineLevel="0" collapsed="false">
      <c r="A66" s="37" t="s">
        <v>1063</v>
      </c>
      <c r="E66" s="189" t="n">
        <v>0</v>
      </c>
      <c r="F66" s="217" t="n">
        <f aca="false">E72</f>
        <v>0</v>
      </c>
      <c r="G66" s="217" t="n">
        <f aca="false">F72</f>
        <v>0</v>
      </c>
      <c r="H66" s="217" t="n">
        <f aca="false">G72</f>
        <v>0</v>
      </c>
      <c r="I66" s="217" t="n">
        <f aca="false">H72</f>
        <v>0</v>
      </c>
      <c r="J66" s="217" t="n">
        <f aca="false">I72</f>
        <v>0</v>
      </c>
      <c r="K66" s="217" t="n">
        <f aca="false">J72</f>
        <v>0</v>
      </c>
      <c r="L66" s="217" t="n">
        <f aca="false">K72</f>
        <v>0</v>
      </c>
      <c r="M66" s="217" t="n">
        <f aca="false">L72</f>
        <v>0</v>
      </c>
      <c r="N66" s="217" t="n">
        <f aca="false">M72</f>
        <v>0</v>
      </c>
      <c r="O66" s="217" t="n">
        <f aca="false">N72</f>
        <v>0</v>
      </c>
      <c r="P66" s="217" t="n">
        <f aca="false">O72</f>
        <v>0</v>
      </c>
      <c r="Q66" s="217" t="n">
        <f aca="false">P72</f>
        <v>0</v>
      </c>
      <c r="R66" s="217" t="n">
        <f aca="false">Q72</f>
        <v>0</v>
      </c>
      <c r="S66" s="217" t="n">
        <f aca="false">R72</f>
        <v>0</v>
      </c>
      <c r="T66" s="217" t="n">
        <f aca="false">S72</f>
        <v>0</v>
      </c>
      <c r="U66" s="217" t="n">
        <f aca="false">T72</f>
        <v>0</v>
      </c>
      <c r="V66" s="217" t="n">
        <f aca="false">U72</f>
        <v>0</v>
      </c>
      <c r="W66" s="217" t="n">
        <f aca="false">V72</f>
        <v>0</v>
      </c>
      <c r="X66" s="217" t="n">
        <f aca="false">W72</f>
        <v>0</v>
      </c>
      <c r="Y66" s="217" t="n">
        <f aca="false">X72</f>
        <v>0</v>
      </c>
      <c r="Z66" s="217" t="n">
        <f aca="false">Y72</f>
        <v>0</v>
      </c>
      <c r="AA66" s="217" t="n">
        <f aca="false">Z72</f>
        <v>0</v>
      </c>
      <c r="AB66" s="217" t="n">
        <f aca="false">AA72</f>
        <v>0</v>
      </c>
      <c r="AC66" s="217" t="n">
        <f aca="false">AB72</f>
        <v>0</v>
      </c>
      <c r="AD66" s="217" t="n">
        <f aca="false">AC72</f>
        <v>0</v>
      </c>
      <c r="AE66" s="217" t="n">
        <f aca="false">AD72</f>
        <v>0</v>
      </c>
      <c r="AF66" s="217" t="n">
        <f aca="false">AE72</f>
        <v>0</v>
      </c>
      <c r="AG66" s="217" t="n">
        <f aca="false">AF72</f>
        <v>0</v>
      </c>
      <c r="AH66" s="217" t="n">
        <f aca="false">AG72</f>
        <v>0</v>
      </c>
      <c r="AI66" s="217" t="n">
        <f aca="false">AH72</f>
        <v>0</v>
      </c>
      <c r="AJ66" s="217" t="n">
        <f aca="false">AI72</f>
        <v>0</v>
      </c>
      <c r="AK66" s="217" t="n">
        <f aca="false">AJ72</f>
        <v>0</v>
      </c>
      <c r="AL66" s="217" t="n">
        <f aca="false">AK72</f>
        <v>0</v>
      </c>
      <c r="AM66" s="217" t="n">
        <f aca="false">AL72</f>
        <v>0</v>
      </c>
      <c r="AN66" s="217" t="n">
        <f aca="false">AM72</f>
        <v>0</v>
      </c>
      <c r="AO66" s="217" t="n">
        <f aca="false">AN72</f>
        <v>0</v>
      </c>
      <c r="AP66" s="217" t="n">
        <f aca="false">AO72</f>
        <v>0</v>
      </c>
      <c r="AQ66" s="217" t="n">
        <f aca="false">AP72</f>
        <v>0</v>
      </c>
      <c r="AR66" s="217" t="n">
        <f aca="false">AQ72</f>
        <v>0</v>
      </c>
      <c r="AS66" s="217" t="n">
        <f aca="false">AR72</f>
        <v>0</v>
      </c>
      <c r="AT66" s="217" t="n">
        <f aca="false">AS72</f>
        <v>0</v>
      </c>
      <c r="AU66" s="217" t="n">
        <f aca="false">AT72</f>
        <v>0</v>
      </c>
      <c r="AV66" s="217" t="n">
        <f aca="false">AU72</f>
        <v>0</v>
      </c>
      <c r="AW66" s="217" t="n">
        <f aca="false">AV72</f>
        <v>0</v>
      </c>
      <c r="AX66" s="217" t="n">
        <f aca="false">AW72</f>
        <v>0</v>
      </c>
      <c r="AY66" s="217" t="n">
        <f aca="false">AX72</f>
        <v>0</v>
      </c>
      <c r="AZ66" s="217" t="n">
        <f aca="false">AY72</f>
        <v>0</v>
      </c>
      <c r="BA66" s="574" t="n">
        <f aca="false">E66</f>
        <v>0</v>
      </c>
      <c r="BB66" s="175" t="n">
        <f aca="false">BB65+1</f>
        <v>60</v>
      </c>
    </row>
    <row r="67" customFormat="false" ht="12.75" hidden="false" customHeight="false" outlineLevel="0" collapsed="false">
      <c r="A67" s="37" t="s">
        <v>1359</v>
      </c>
      <c r="E67" s="217" t="n">
        <f aca="false">IF(E$7=Assm!$AB$92,E43,0)*Assm!$AB$91</f>
        <v>0</v>
      </c>
      <c r="F67" s="217" t="n">
        <f aca="false">IF(F$7=Assm!$AB$92,F43,0)*Assm!$AB$91</f>
        <v>0</v>
      </c>
      <c r="G67" s="217" t="n">
        <f aca="false">IF(G$7=Assm!$AB$92,G43,0)*Assm!$AB$91</f>
        <v>0</v>
      </c>
      <c r="H67" s="217" t="n">
        <f aca="false">IF(H$7=Assm!$AB$92,H43,0)*Assm!$AB$91</f>
        <v>0</v>
      </c>
      <c r="I67" s="217" t="n">
        <f aca="false">IF(I$7=Assm!$AB$92,I43,0)*Assm!$AB$91</f>
        <v>0</v>
      </c>
      <c r="J67" s="217" t="n">
        <f aca="false">IF(J$7=Assm!$AB$92,J43,0)*Assm!$AB$91</f>
        <v>0</v>
      </c>
      <c r="K67" s="217" t="n">
        <f aca="false">IF(K$7=Assm!$AB$92,K43,0)*Assm!$AB$91</f>
        <v>0</v>
      </c>
      <c r="L67" s="217" t="n">
        <f aca="false">IF(L$7=Assm!$AB$92,L43,0)*Assm!$AB$91</f>
        <v>0</v>
      </c>
      <c r="M67" s="217" t="n">
        <f aca="false">IF(M$7=Assm!$AB$92,M43,0)*Assm!$AB$91</f>
        <v>0</v>
      </c>
      <c r="N67" s="217" t="n">
        <f aca="false">IF(N$7=Assm!$AB$92,N43,0)*Assm!$AB$91</f>
        <v>0</v>
      </c>
      <c r="O67" s="217" t="n">
        <f aca="false">IF(O$7=Assm!$AB$92,O43,0)*Assm!$AB$91</f>
        <v>0</v>
      </c>
      <c r="P67" s="217" t="n">
        <f aca="false">IF(P$7=Assm!$AB$92,P43,0)*Assm!$AB$91</f>
        <v>0</v>
      </c>
      <c r="Q67" s="217" t="n">
        <f aca="false">IF(Q$7=Assm!$AB$92,Q43,0)*Assm!$AB$91</f>
        <v>0</v>
      </c>
      <c r="R67" s="217" t="n">
        <f aca="false">IF(R$7=Assm!$AB$92,R43,0)*Assm!$AB$91</f>
        <v>0</v>
      </c>
      <c r="S67" s="217" t="n">
        <f aca="false">IF(S$7=Assm!$AB$92,S43,0)*Assm!$AB$91</f>
        <v>0</v>
      </c>
      <c r="T67" s="217" t="n">
        <f aca="false">IF(T$7=Assm!$AB$92,T43,0)*Assm!$AB$91</f>
        <v>0</v>
      </c>
      <c r="U67" s="217" t="n">
        <f aca="false">IF(U$7=Assm!$AB$92,U43,0)*Assm!$AB$91</f>
        <v>0</v>
      </c>
      <c r="V67" s="217" t="n">
        <f aca="false">IF(V$7=Assm!$AB$92,V43,0)*Assm!$AB$91</f>
        <v>0</v>
      </c>
      <c r="W67" s="217" t="n">
        <f aca="false">IF(W$7=Assm!$AB$92,W43,0)*Assm!$AB$91</f>
        <v>0</v>
      </c>
      <c r="X67" s="217" t="n">
        <f aca="false">IF(X$7=Assm!$AB$92,X43,0)*Assm!$AB$91</f>
        <v>0</v>
      </c>
      <c r="Y67" s="217" t="n">
        <f aca="false">IF(Y$7=Assm!$AB$92,Y43,0)*Assm!$AB$91</f>
        <v>0</v>
      </c>
      <c r="Z67" s="217" t="n">
        <f aca="false">IF(Z$7=Assm!$AB$92,Z43,0)*Assm!$AB$91</f>
        <v>0</v>
      </c>
      <c r="AA67" s="217" t="n">
        <f aca="false">IF(AA$7=Assm!$AB$92,AA43,0)*Assm!$AB$91</f>
        <v>0</v>
      </c>
      <c r="AB67" s="217" t="n">
        <f aca="false">IF(AB$7=Assm!$AB$92,AB43,0)*Assm!$AB$91</f>
        <v>0</v>
      </c>
      <c r="AC67" s="217" t="n">
        <f aca="false">IF(AC$7=Assm!$AB$92,AC43,0)*Assm!$AB$91</f>
        <v>0</v>
      </c>
      <c r="AD67" s="217" t="n">
        <f aca="false">IF(AD$7=Assm!$AB$92,AD43,0)*Assm!$AB$91</f>
        <v>0</v>
      </c>
      <c r="AE67" s="217" t="n">
        <f aca="false">IF(AE$7=Assm!$AB$92,AE43,0)*Assm!$AB$91</f>
        <v>0</v>
      </c>
      <c r="AF67" s="217" t="n">
        <f aca="false">IF(AF$7=Assm!$AB$92,AF43,0)*Assm!$AB$91</f>
        <v>0</v>
      </c>
      <c r="AG67" s="217" t="n">
        <f aca="false">IF(AG$7=Assm!$AB$92,AG43,0)*Assm!$AB$91</f>
        <v>0</v>
      </c>
      <c r="AH67" s="217" t="n">
        <f aca="false">IF(AH$7=Assm!$AB$92,AH43,0)*Assm!$AB$91</f>
        <v>0</v>
      </c>
      <c r="AI67" s="217" t="n">
        <f aca="false">IF(AI$7=Assm!$AB$92,Assm!$AB$95,0)*Assm!$AB$91</f>
        <v>0</v>
      </c>
      <c r="AJ67" s="217" t="n">
        <f aca="false">IF(AJ$7=Assm!$AB$92,AJ43,0)*Assm!$AB$91</f>
        <v>0</v>
      </c>
      <c r="AK67" s="217" t="n">
        <f aca="false">IF(AK$7=Assm!$AB$92,AK43,0)*Assm!$AB$91</f>
        <v>0</v>
      </c>
      <c r="AL67" s="217" t="n">
        <f aca="false">IF(AL$7=Assm!$AB$92,AL43,0)*Assm!$AB$91</f>
        <v>0</v>
      </c>
      <c r="AM67" s="217" t="n">
        <f aca="false">IF(AM$7=Assm!$AB$92,AM43,0)*Assm!$AB$91</f>
        <v>0</v>
      </c>
      <c r="AN67" s="217" t="n">
        <f aca="false">IF(AN$7=Assm!$AB$92,AN43,0)*Assm!$AB$91</f>
        <v>0</v>
      </c>
      <c r="AO67" s="217" t="n">
        <f aca="false">IF(AO$7=Assm!$AB$92,AO43,0)*Assm!$AB$91</f>
        <v>0</v>
      </c>
      <c r="AP67" s="217" t="n">
        <f aca="false">IF(AP$7=Assm!$AB$92,AP43,0)*Assm!$AB$91</f>
        <v>0</v>
      </c>
      <c r="AQ67" s="217" t="n">
        <f aca="false">IF(AQ$7=Assm!$AB$92,AQ43,0)*Assm!$AB$91</f>
        <v>0</v>
      </c>
      <c r="AR67" s="217" t="n">
        <f aca="false">IF(AR$7=Assm!$AB$92,AR43,0)*Assm!$AB$91</f>
        <v>0</v>
      </c>
      <c r="AS67" s="217" t="n">
        <f aca="false">IF(AS$7=Assm!$AB$92,AS43,0)*Assm!$AB$91</f>
        <v>0</v>
      </c>
      <c r="AT67" s="217" t="n">
        <f aca="false">IF(AT$7=Assm!$AB$92,AT43,0)*Assm!$AB$91</f>
        <v>0</v>
      </c>
      <c r="AU67" s="217" t="n">
        <f aca="false">IF(AU$7=Assm!$AB$92,AU43,0)*Assm!$AB$91</f>
        <v>0</v>
      </c>
      <c r="AV67" s="217" t="n">
        <f aca="false">IF(AV$7=Assm!$AB$92,AV43,0)*Assm!$AB$91</f>
        <v>0</v>
      </c>
      <c r="AW67" s="217" t="n">
        <f aca="false">IF(AW$7=Assm!$AB$92,AW43,0)*Assm!$AB$91</f>
        <v>0</v>
      </c>
      <c r="AX67" s="217" t="n">
        <f aca="false">IF(AX$7=Assm!$AB$92,AX43,0)*Assm!$AB$91</f>
        <v>0</v>
      </c>
      <c r="AY67" s="217" t="n">
        <f aca="false">IF(AY$7=Assm!$AB$92,AY43,0)*Assm!$AB$91</f>
        <v>0</v>
      </c>
      <c r="AZ67" s="217" t="n">
        <f aca="false">IF(AZ$7=Assm!$AB$92,AZ43,0)*Assm!$AB$91</f>
        <v>0</v>
      </c>
      <c r="BA67" s="574" t="n">
        <f aca="false">SUM(E67:AZ67)</f>
        <v>0</v>
      </c>
      <c r="BB67" s="175" t="n">
        <f aca="false">BB66+1</f>
        <v>61</v>
      </c>
    </row>
    <row r="68" customFormat="false" ht="12.75" hidden="false" customHeight="false" outlineLevel="0" collapsed="false">
      <c r="A68" s="37" t="s">
        <v>1339</v>
      </c>
      <c r="E68" s="575" t="n">
        <f aca="false">IF(E$7&lt;Assm!$AB$92,0,E17*Subdebtperc/SUM(Debtperc,Subdebtperc))*Assm!$AB$91*0</f>
        <v>0</v>
      </c>
      <c r="F68" s="575" t="n">
        <f aca="false">IF(F$7&lt;Assm!$AB$92,0,F17*Subdebtperc/SUM(Debtperc,Subdebtperc))*Assm!$AB$91*0</f>
        <v>0</v>
      </c>
      <c r="G68" s="575" t="n">
        <f aca="false">IF(G$7&lt;Assm!$AB$92,0,G17*Subdebtperc/SUM(Debtperc,Subdebtperc))*Assm!$AB$91*0</f>
        <v>0</v>
      </c>
      <c r="H68" s="575" t="n">
        <f aca="false">IF(H$7&lt;Assm!$AB$92,0,H17*Subdebtperc/SUM(Debtperc,Subdebtperc))*Assm!$AB$91*0</f>
        <v>0</v>
      </c>
      <c r="I68" s="575" t="n">
        <f aca="false">IF(I$7&lt;Assm!$AB$92,0,I17*Subdebtperc/SUM(Debtperc,Subdebtperc))*Assm!$AB$91*0</f>
        <v>0</v>
      </c>
      <c r="J68" s="575" t="n">
        <f aca="false">IF(J$7&lt;Assm!$AB$92,0,J17*Subdebtperc/SUM(Debtperc,Subdebtperc))*Assm!$AB$91*0</f>
        <v>0</v>
      </c>
      <c r="K68" s="575" t="n">
        <f aca="false">IF(K$7&lt;Assm!$AB$92,0,K17*Subdebtperc/SUM(Debtperc,Subdebtperc))*Assm!$AB$91*0</f>
        <v>0</v>
      </c>
      <c r="L68" s="575" t="n">
        <f aca="false">IF(L$7&lt;Assm!$AB$92,0,L17*Subdebtperc/SUM(Debtperc,Subdebtperc))*Assm!$AB$91*0</f>
        <v>0</v>
      </c>
      <c r="M68" s="575" t="n">
        <f aca="false">IF(M$7&lt;Assm!$AB$92,0,M17*Subdebtperc/SUM(Debtperc,Subdebtperc))*Assm!$AB$91*0</f>
        <v>0</v>
      </c>
      <c r="N68" s="575" t="n">
        <f aca="false">IF(N$7&lt;Assm!$AB$92,0,N17*Subdebtperc/SUM(Debtperc,Subdebtperc))*Assm!$AB$91*0</f>
        <v>0</v>
      </c>
      <c r="O68" s="575" t="n">
        <f aca="false">IF(O$7&lt;Assm!$AB$92,0,O17*Subdebtperc/SUM(Debtperc,Subdebtperc))*Assm!$AB$91*0</f>
        <v>0</v>
      </c>
      <c r="P68" s="575" t="n">
        <f aca="false">IF(P$7&lt;Assm!$AB$92,0,P17*Subdebtperc/SUM(Debtperc,Subdebtperc))*Assm!$AB$91*0</f>
        <v>0</v>
      </c>
      <c r="Q68" s="575" t="n">
        <f aca="false">IF(Q$7&lt;Assm!$AB$92,0,Q17*Subdebtperc/SUM(Debtperc,Subdebtperc))*Assm!$AB$91*0</f>
        <v>0</v>
      </c>
      <c r="R68" s="575" t="n">
        <f aca="false">IF(R$7&lt;Assm!$AB$92,0,R17*Subdebtperc/SUM(Debtperc,Subdebtperc))*Assm!$AB$91*0</f>
        <v>0</v>
      </c>
      <c r="S68" s="575" t="n">
        <f aca="false">IF(S$7&lt;Assm!$AB$92,0,S17*Subdebtperc/SUM(Debtperc,Subdebtperc))*Assm!$AB$91*0</f>
        <v>0</v>
      </c>
      <c r="T68" s="575" t="n">
        <f aca="false">IF(T$7&lt;Assm!$AB$92,0,T17*Subdebtperc/SUM(Debtperc,Subdebtperc))*Assm!$AB$91*0</f>
        <v>0</v>
      </c>
      <c r="U68" s="575" t="n">
        <f aca="false">IF(U$7&lt;Assm!$AB$92,0,U17*Subdebtperc/SUM(Debtperc,Subdebtperc))*Assm!$AB$91*0</f>
        <v>0</v>
      </c>
      <c r="V68" s="575" t="n">
        <f aca="false">IF(V$7&lt;Assm!$AB$92,0,V17*Subdebtperc/SUM(Debtperc,Subdebtperc))*Assm!$AB$91*0</f>
        <v>0</v>
      </c>
      <c r="W68" s="575" t="n">
        <f aca="false">IF(W$7&lt;Assm!$AB$92,0,W17*Subdebtperc/SUM(Debtperc,Subdebtperc))*Assm!$AB$91*0</f>
        <v>0</v>
      </c>
      <c r="X68" s="575" t="n">
        <f aca="false">IF(X$7&lt;Assm!$AB$92,0,X17*Subdebtperc/SUM(Debtperc,Subdebtperc))*Assm!$AB$91*0</f>
        <v>0</v>
      </c>
      <c r="Y68" s="575" t="n">
        <f aca="false">IF(Y$7&lt;Assm!$AB$92,0,Y17*Subdebtperc/SUM(Debtperc,Subdebtperc))*Assm!$AB$91*0</f>
        <v>0</v>
      </c>
      <c r="Z68" s="575" t="n">
        <f aca="false">IF(Z$7&lt;Assm!$AB$92,0,Z17*Subdebtperc/SUM(Debtperc,Subdebtperc))*Assm!$AB$91*0</f>
        <v>0</v>
      </c>
      <c r="AA68" s="575" t="n">
        <f aca="false">IF(AA$7&lt;Assm!$AB$92,0,AA17*Subdebtperc/SUM(Debtperc,Subdebtperc))*Assm!$AB$91*0</f>
        <v>0</v>
      </c>
      <c r="AB68" s="575" t="n">
        <f aca="false">IF(AB$7&lt;Assm!$AB$92,0,AB17*Subdebtperc/SUM(Debtperc,Subdebtperc))*Assm!$AB$91*0</f>
        <v>0</v>
      </c>
      <c r="AC68" s="575" t="n">
        <f aca="false">IF(AC$7&lt;Assm!$AB$92,0,AC17*Subdebtperc/SUM(Debtperc,Subdebtperc))*Assm!$AB$91*0</f>
        <v>0</v>
      </c>
      <c r="AD68" s="575" t="n">
        <f aca="false">IF(AD$7&lt;Assm!$AB$92,0,AD17*Subdebtperc/SUM(Debtperc,Subdebtperc))*Assm!$AB$91*0</f>
        <v>0</v>
      </c>
      <c r="AE68" s="575" t="n">
        <f aca="false">IF(AE$7&lt;Assm!$AB$92,0,AE17*Subdebtperc/SUM(Debtperc,Subdebtperc))*Assm!$AB$91*0</f>
        <v>0</v>
      </c>
      <c r="AF68" s="575" t="n">
        <f aca="false">IF(AF$7&lt;Assm!$AB$92,0,AF17*Subdebtperc/SUM(Debtperc,Subdebtperc))*Assm!$AB$91*0</f>
        <v>0</v>
      </c>
      <c r="AG68" s="575" t="n">
        <f aca="false">IF(AG$7&lt;Assm!$AB$92,0,AG17*Subdebtperc/SUM(Debtperc,Subdebtperc))*Assm!$AB$91*0</f>
        <v>0</v>
      </c>
      <c r="AH68" s="575" t="n">
        <f aca="false">IF(AH$7&lt;Assm!$AB$92,0,AH17*Subdebtperc/SUM(Debtperc,Subdebtperc))*Assm!$AB$91*0</f>
        <v>0</v>
      </c>
      <c r="AI68" s="575" t="n">
        <f aca="false">IF(AI$7&lt;Assm!$AB$92,0,AI17*Subdebtperc/SUM(Debtperc,Subdebtperc))*Assm!$AB$91*0</f>
        <v>0</v>
      </c>
      <c r="AJ68" s="575" t="n">
        <f aca="false">IF(AJ$7&lt;Assm!$AB$92,0,AJ17*Subdebtperc/SUM(Debtperc,Subdebtperc))*Assm!$AB$91*0</f>
        <v>0</v>
      </c>
      <c r="AK68" s="575" t="n">
        <f aca="false">IF(AK$7&lt;Assm!$AB$92,0,AK17*Subdebtperc/SUM(Debtperc,Subdebtperc))*Assm!$AB$91*0</f>
        <v>0</v>
      </c>
      <c r="AL68" s="575" t="n">
        <f aca="false">IF(AL$7&lt;Assm!$AB$92,0,AL17*Subdebtperc/SUM(Debtperc,Subdebtperc))*Assm!$AB$91*0</f>
        <v>0</v>
      </c>
      <c r="AM68" s="575" t="n">
        <f aca="false">IF(AM$7&lt;Assm!$AB$92,0,AM17*Subdebtperc/SUM(Debtperc,Subdebtperc))*Assm!$AB$91*0</f>
        <v>0</v>
      </c>
      <c r="AN68" s="575" t="n">
        <f aca="false">IF(AN$7&lt;Assm!$AB$92,0,AN17*Subdebtperc/SUM(Debtperc,Subdebtperc))*Assm!$AB$91*0</f>
        <v>0</v>
      </c>
      <c r="AO68" s="575" t="n">
        <f aca="false">IF(AO$7&lt;Assm!$AB$92,0,AO17*Subdebtperc/SUM(Debtperc,Subdebtperc))*Assm!$AB$91*0</f>
        <v>0</v>
      </c>
      <c r="AP68" s="575" t="n">
        <f aca="false">IF(AP$7&lt;Assm!$AB$92,0,AP17*Subdebtperc/SUM(Debtperc,Subdebtperc))*Assm!$AB$91*0</f>
        <v>0</v>
      </c>
      <c r="AQ68" s="575" t="n">
        <f aca="false">IF(AQ$7&lt;Assm!$AB$92,0,AQ17*Subdebtperc/SUM(Debtperc,Subdebtperc))*Assm!$AB$91*0</f>
        <v>0</v>
      </c>
      <c r="AR68" s="575" t="n">
        <f aca="false">IF(AR$7&lt;Assm!$AB$92,0,AR17*Subdebtperc/SUM(Debtperc,Subdebtperc))*Assm!$AB$91*0</f>
        <v>0</v>
      </c>
      <c r="AS68" s="575" t="n">
        <f aca="false">IF(AS$7&lt;Assm!$AB$92,0,AS17*Subdebtperc/SUM(Debtperc,Subdebtperc))*Assm!$AB$91*0</f>
        <v>0</v>
      </c>
      <c r="AT68" s="575" t="n">
        <f aca="false">IF(AT$7&lt;Assm!$AB$92,0,AT17*Subdebtperc/SUM(Debtperc,Subdebtperc))*Assm!$AB$91*0</f>
        <v>0</v>
      </c>
      <c r="AU68" s="575" t="n">
        <f aca="false">IF(AU$7&lt;Assm!$AB$92,0,AU17*Subdebtperc/SUM(Debtperc,Subdebtperc))*Assm!$AB$91*0</f>
        <v>0</v>
      </c>
      <c r="AV68" s="575" t="n">
        <f aca="false">IF(AV$7&lt;Assm!$AB$92,0,AV17*Subdebtperc/SUM(Debtperc,Subdebtperc))*Assm!$AB$91*0</f>
        <v>0</v>
      </c>
      <c r="AW68" s="575" t="n">
        <f aca="false">IF(AW$7&lt;Assm!$AB$92,0,AW17*Subdebtperc/SUM(Debtperc,Subdebtperc))*Assm!$AB$91*0</f>
        <v>0</v>
      </c>
      <c r="AX68" s="575" t="n">
        <f aca="false">IF(AX$7&lt;Assm!$AB$92,0,AX17*Subdebtperc/SUM(Debtperc,Subdebtperc))*Assm!$AB$91*0</f>
        <v>0</v>
      </c>
      <c r="AY68" s="575" t="n">
        <f aca="false">IF(AY$7&lt;Assm!$AB$92,0,AY17*Subdebtperc/SUM(Debtperc,Subdebtperc))*Assm!$AB$91*0</f>
        <v>0</v>
      </c>
      <c r="AZ68" s="575" t="n">
        <f aca="false">IF(AZ$7&lt;Assm!$AB$92,0,AZ17*Subdebtperc/SUM(Debtperc,Subdebtperc))*Assm!$AB$91*0</f>
        <v>0</v>
      </c>
      <c r="BA68" s="753" t="n">
        <f aca="false">SUM(E68:AZ68)</f>
        <v>0</v>
      </c>
      <c r="BB68" s="1044" t="n">
        <f aca="false">BB67+1</f>
        <v>62</v>
      </c>
    </row>
    <row r="69" customFormat="false" ht="12.75" hidden="false" customHeight="false" outlineLevel="0" collapsed="false">
      <c r="A69" s="37" t="s">
        <v>82</v>
      </c>
      <c r="E69" s="575" t="n">
        <f aca="false">IF(E$7&lt;Assm!$AB$92,0,E18*Subdebtperc/SUM(Debtperc,Subdebtperc))*Assm!$AB$91*0</f>
        <v>0</v>
      </c>
      <c r="F69" s="575" t="n">
        <f aca="false">IF(F$7&lt;Assm!$AB$92,0,F18*Subdebtperc/SUM(Debtperc,Subdebtperc))*Assm!$AB$91*0</f>
        <v>0</v>
      </c>
      <c r="G69" s="575" t="n">
        <f aca="false">IF(G$7&lt;Assm!$AB$92,0,G18*Subdebtperc/SUM(Debtperc,Subdebtperc))*Assm!$AB$91*0</f>
        <v>0</v>
      </c>
      <c r="H69" s="575" t="n">
        <f aca="false">IF(H$7&lt;Assm!$AB$92,0,H18*Subdebtperc/SUM(Debtperc,Subdebtperc))*Assm!$AB$91*0</f>
        <v>0</v>
      </c>
      <c r="I69" s="575" t="n">
        <f aca="false">IF(I$7&lt;Assm!$AB$92,0,I18*Subdebtperc/SUM(Debtperc,Subdebtperc))*Assm!$AB$91*0</f>
        <v>0</v>
      </c>
      <c r="J69" s="575" t="n">
        <f aca="false">IF(J$7&lt;Assm!$AB$92,0,J18*Subdebtperc/SUM(Debtperc,Subdebtperc))*Assm!$AB$91*0</f>
        <v>0</v>
      </c>
      <c r="K69" s="575" t="n">
        <f aca="false">IF(K$7&lt;Assm!$AB$92,0,K18*Subdebtperc/SUM(Debtperc,Subdebtperc))*Assm!$AB$91*0</f>
        <v>0</v>
      </c>
      <c r="L69" s="575" t="n">
        <f aca="false">IF(L$7&lt;Assm!$AB$92,0,L18*Subdebtperc/SUM(Debtperc,Subdebtperc))*Assm!$AB$91*0</f>
        <v>0</v>
      </c>
      <c r="M69" s="575" t="n">
        <f aca="false">IF(M$7&lt;Assm!$AB$92,0,M18*Subdebtperc/SUM(Debtperc,Subdebtperc))*Assm!$AB$91*0</f>
        <v>0</v>
      </c>
      <c r="N69" s="575" t="n">
        <f aca="false">IF(N$7&lt;Assm!$AB$92,0,N18*Subdebtperc/SUM(Debtperc,Subdebtperc))*Assm!$AB$91*0</f>
        <v>0</v>
      </c>
      <c r="O69" s="575" t="n">
        <f aca="false">IF(O$7&lt;Assm!$AB$92,0,O18*Subdebtperc/SUM(Debtperc,Subdebtperc))*Assm!$AB$91*0</f>
        <v>0</v>
      </c>
      <c r="P69" s="575" t="n">
        <f aca="false">IF(P$7&lt;Assm!$AB$92,0,P18*Subdebtperc/SUM(Debtperc,Subdebtperc))*Assm!$AB$91*0</f>
        <v>0</v>
      </c>
      <c r="Q69" s="575" t="n">
        <f aca="false">IF(Q$7&lt;Assm!$AB$92,0,Q18*Subdebtperc/SUM(Debtperc,Subdebtperc))*Assm!$AB$91*0</f>
        <v>0</v>
      </c>
      <c r="R69" s="575" t="n">
        <f aca="false">IF(R$7&lt;Assm!$AB$92,0,R18*Subdebtperc/SUM(Debtperc,Subdebtperc))*Assm!$AB$91*0</f>
        <v>0</v>
      </c>
      <c r="S69" s="575" t="n">
        <f aca="false">IF(S$7&lt;Assm!$AB$92,0,S18*Subdebtperc/SUM(Debtperc,Subdebtperc))*Assm!$AB$91*0</f>
        <v>0</v>
      </c>
      <c r="T69" s="575" t="n">
        <f aca="false">IF(T$7&lt;Assm!$AB$92,0,T18*Subdebtperc/SUM(Debtperc,Subdebtperc))*Assm!$AB$91*0</f>
        <v>0</v>
      </c>
      <c r="U69" s="575" t="n">
        <f aca="false">IF(U$7&lt;Assm!$AB$92,0,U18*Subdebtperc/SUM(Debtperc,Subdebtperc))*Assm!$AB$91*0</f>
        <v>0</v>
      </c>
      <c r="V69" s="575" t="n">
        <f aca="false">IF(V$7&lt;Assm!$AB$92,0,V18*Subdebtperc/SUM(Debtperc,Subdebtperc))*Assm!$AB$91*0</f>
        <v>0</v>
      </c>
      <c r="W69" s="575" t="n">
        <f aca="false">IF(W$7&lt;Assm!$AB$92,0,W18*Subdebtperc/SUM(Debtperc,Subdebtperc))*Assm!$AB$91*0</f>
        <v>0</v>
      </c>
      <c r="X69" s="575" t="n">
        <f aca="false">IF(X$7&lt;Assm!$AB$92,0,X18*Subdebtperc/SUM(Debtperc,Subdebtperc))*Assm!$AB$91*0</f>
        <v>0</v>
      </c>
      <c r="Y69" s="575" t="n">
        <f aca="false">IF(Y$7&lt;Assm!$AB$92,0,Y18*Subdebtperc/SUM(Debtperc,Subdebtperc))*Assm!$AB$91*0</f>
        <v>0</v>
      </c>
      <c r="Z69" s="575" t="n">
        <f aca="false">IF(Z$7&lt;Assm!$AB$92,0,Z18*Subdebtperc/SUM(Debtperc,Subdebtperc))*Assm!$AB$91*0</f>
        <v>0</v>
      </c>
      <c r="AA69" s="575" t="n">
        <f aca="false">IF(AA$7&lt;Assm!$AB$92,0,AA18*Subdebtperc/SUM(Debtperc,Subdebtperc))*Assm!$AB$91*0</f>
        <v>0</v>
      </c>
      <c r="AB69" s="575" t="n">
        <f aca="false">IF(AB$7&lt;Assm!$AB$92,0,AB18*Subdebtperc/SUM(Debtperc,Subdebtperc))*Assm!$AB$91*0</f>
        <v>0</v>
      </c>
      <c r="AC69" s="575" t="n">
        <f aca="false">IF(AC$7&lt;Assm!$AB$92,0,AC18*Subdebtperc/SUM(Debtperc,Subdebtperc))*Assm!$AB$91*0</f>
        <v>0</v>
      </c>
      <c r="AD69" s="575" t="n">
        <f aca="false">IF(AD$7&lt;Assm!$AB$92,0,AD18*Subdebtperc/SUM(Debtperc,Subdebtperc))*Assm!$AB$91*0</f>
        <v>0</v>
      </c>
      <c r="AE69" s="575" t="n">
        <f aca="false">IF(AE$7&lt;Assm!$AB$92,0,AE18*Subdebtperc/SUM(Debtperc,Subdebtperc))*Assm!$AB$91*0</f>
        <v>0</v>
      </c>
      <c r="AF69" s="575" t="n">
        <f aca="false">IF(AF$7&lt;Assm!$AB$92,0,AF18*Subdebtperc/SUM(Debtperc,Subdebtperc))*Assm!$AB$91*0</f>
        <v>0</v>
      </c>
      <c r="AG69" s="575" t="n">
        <f aca="false">IF(AG$7&lt;Assm!$AB$92,0,AG18*Subdebtperc/SUM(Debtperc,Subdebtperc))*Assm!$AB$91*0</f>
        <v>0</v>
      </c>
      <c r="AH69" s="575" t="n">
        <f aca="false">IF(AH$7&lt;Assm!$AB$92,0,AH18*Subdebtperc/SUM(Debtperc,Subdebtperc))*Assm!$AB$91*0</f>
        <v>0</v>
      </c>
      <c r="AI69" s="575" t="n">
        <f aca="false">IF(AI$7&lt;Assm!$AB$92,0,AI18*Subdebtperc/SUM(Debtperc,Subdebtperc))*Assm!$AB$91*0</f>
        <v>0</v>
      </c>
      <c r="AJ69" s="575" t="n">
        <f aca="false">IF(AJ$7&lt;Assm!$AB$92,0,AJ18*Subdebtperc/SUM(Debtperc,Subdebtperc))*Assm!$AB$91*0</f>
        <v>0</v>
      </c>
      <c r="AK69" s="575" t="n">
        <f aca="false">IF(AK$7&lt;Assm!$AB$92,0,AK18*Subdebtperc/SUM(Debtperc,Subdebtperc))*Assm!$AB$91*0</f>
        <v>0</v>
      </c>
      <c r="AL69" s="575" t="n">
        <f aca="false">IF(AL$7&lt;Assm!$AB$92,0,AL18*Subdebtperc/SUM(Debtperc,Subdebtperc))*Assm!$AB$91*0</f>
        <v>0</v>
      </c>
      <c r="AM69" s="575" t="n">
        <f aca="false">IF(AM$7&lt;Assm!$AB$92,0,AM18*Subdebtperc/SUM(Debtperc,Subdebtperc))*Assm!$AB$91*0</f>
        <v>0</v>
      </c>
      <c r="AN69" s="575" t="n">
        <f aca="false">IF(AN$7&lt;Assm!$AB$92,0,AN18*Subdebtperc/SUM(Debtperc,Subdebtperc))*Assm!$AB$91*0</f>
        <v>0</v>
      </c>
      <c r="AO69" s="575" t="n">
        <f aca="false">IF(AO$7&lt;Assm!$AB$92,0,AO18*Subdebtperc/SUM(Debtperc,Subdebtperc))*Assm!$AB$91*0</f>
        <v>0</v>
      </c>
      <c r="AP69" s="575" t="n">
        <f aca="false">IF(AP$7&lt;Assm!$AB$92,0,AP18*Subdebtperc/SUM(Debtperc,Subdebtperc))*Assm!$AB$91*0</f>
        <v>0</v>
      </c>
      <c r="AQ69" s="575" t="n">
        <f aca="false">IF(AQ$7&lt;Assm!$AB$92,0,AQ18*Subdebtperc/SUM(Debtperc,Subdebtperc))*Assm!$AB$91*0</f>
        <v>0</v>
      </c>
      <c r="AR69" s="575" t="n">
        <f aca="false">IF(AR$7&lt;Assm!$AB$92,0,AR18*Subdebtperc/SUM(Debtperc,Subdebtperc))*Assm!$AB$91*0</f>
        <v>0</v>
      </c>
      <c r="AS69" s="575" t="n">
        <f aca="false">IF(AS$7&lt;Assm!$AB$92,0,AS18*Subdebtperc/SUM(Debtperc,Subdebtperc))*Assm!$AB$91*0</f>
        <v>0</v>
      </c>
      <c r="AT69" s="575" t="n">
        <f aca="false">IF(AT$7&lt;Assm!$AB$92,0,AT18*Subdebtperc/SUM(Debtperc,Subdebtperc))*Assm!$AB$91*0</f>
        <v>0</v>
      </c>
      <c r="AU69" s="575" t="n">
        <f aca="false">IF(AU$7&lt;Assm!$AB$92,0,AU18*Subdebtperc/SUM(Debtperc,Subdebtperc))*Assm!$AB$91*0</f>
        <v>0</v>
      </c>
      <c r="AV69" s="575" t="n">
        <f aca="false">IF(AV$7&lt;Assm!$AB$92,0,AV18*Subdebtperc/SUM(Debtperc,Subdebtperc))*Assm!$AB$91*0</f>
        <v>0</v>
      </c>
      <c r="AW69" s="575" t="n">
        <f aca="false">IF(AW$7&lt;Assm!$AB$92,0,AW18*Subdebtperc/SUM(Debtperc,Subdebtperc))*Assm!$AB$91*0</f>
        <v>0</v>
      </c>
      <c r="AX69" s="575" t="n">
        <f aca="false">IF(AX$7&lt;Assm!$AB$92,0,AX18*Subdebtperc/SUM(Debtperc,Subdebtperc))*Assm!$AB$91*0</f>
        <v>0</v>
      </c>
      <c r="AY69" s="575" t="n">
        <f aca="false">IF(AY$7&lt;Assm!$AB$92,0,AY18*Subdebtperc/SUM(Debtperc,Subdebtperc))*Assm!$AB$91*0</f>
        <v>0</v>
      </c>
      <c r="AZ69" s="575" t="n">
        <f aca="false">IF(AZ$7&lt;Assm!$AB$92,0,AZ18*Subdebtperc/SUM(Debtperc,Subdebtperc))*Assm!$AB$91*0</f>
        <v>0</v>
      </c>
      <c r="BA69" s="753" t="n">
        <f aca="false">SUM(E69:AZ69)</f>
        <v>0</v>
      </c>
      <c r="BB69" s="1044" t="n">
        <f aca="false">BB68+1</f>
        <v>63</v>
      </c>
    </row>
    <row r="70" customFormat="false" ht="12.75" hidden="false" customHeight="false" outlineLevel="0" collapsed="false">
      <c r="A70" s="37" t="s">
        <v>1340</v>
      </c>
      <c r="E70" s="575" t="n">
        <f aca="false">IF(E$7&lt;Assm!$AB$92,0,E19*Subdebtperc/SUM(Debtperc,Subdebtperc))*Assm!$AB$91*0</f>
        <v>0</v>
      </c>
      <c r="F70" s="575" t="n">
        <f aca="false">IF(F$7&lt;Assm!$AB$92,0,F19*Subdebtperc/SUM(Debtperc,Subdebtperc))*Assm!$AB$91*0</f>
        <v>0</v>
      </c>
      <c r="G70" s="575" t="n">
        <f aca="false">IF(G$7&lt;Assm!$AB$92,0,G19*Subdebtperc/SUM(Debtperc,Subdebtperc))*Assm!$AB$91*0</f>
        <v>0</v>
      </c>
      <c r="H70" s="575" t="n">
        <f aca="false">IF(H$7&lt;Assm!$AB$92,0,H19*Subdebtperc/SUM(Debtperc,Subdebtperc))*Assm!$AB$91*0</f>
        <v>0</v>
      </c>
      <c r="I70" s="575" t="n">
        <f aca="false">IF(I$7&lt;Assm!$AB$92,0,I19*Subdebtperc/SUM(Debtperc,Subdebtperc))*Assm!$AB$91*0</f>
        <v>0</v>
      </c>
      <c r="J70" s="575" t="n">
        <f aca="false">IF(J$7&lt;Assm!$AB$92,0,J19*Subdebtperc/SUM(Debtperc,Subdebtperc))*Assm!$AB$91*0</f>
        <v>0</v>
      </c>
      <c r="K70" s="575" t="n">
        <f aca="false">IF(K$7&lt;Assm!$AB$92,0,K19*Subdebtperc/SUM(Debtperc,Subdebtperc))*Assm!$AB$91*0</f>
        <v>0</v>
      </c>
      <c r="L70" s="575" t="n">
        <f aca="false">IF(L$7&lt;Assm!$AB$92,0,L19*Subdebtperc/SUM(Debtperc,Subdebtperc))*Assm!$AB$91*0</f>
        <v>0</v>
      </c>
      <c r="M70" s="575" t="n">
        <f aca="false">IF(M$7&lt;Assm!$AB$92,0,M19*Subdebtperc/SUM(Debtperc,Subdebtperc))*Assm!$AB$91*0</f>
        <v>0</v>
      </c>
      <c r="N70" s="575" t="n">
        <f aca="false">IF(N$7&lt;Assm!$AB$92,0,N19*Subdebtperc/SUM(Debtperc,Subdebtperc))*Assm!$AB$91*0</f>
        <v>0</v>
      </c>
      <c r="O70" s="575" t="n">
        <f aca="false">IF(O$7&lt;Assm!$AB$92,0,O19*Subdebtperc/SUM(Debtperc,Subdebtperc))*Assm!$AB$91*0</f>
        <v>0</v>
      </c>
      <c r="P70" s="575" t="n">
        <f aca="false">IF(P$7&lt;Assm!$AB$92,0,P19*Subdebtperc/SUM(Debtperc,Subdebtperc))*Assm!$AB$91*0</f>
        <v>0</v>
      </c>
      <c r="Q70" s="575" t="n">
        <f aca="false">IF(Q$7&lt;Assm!$AB$92,0,Q19*Subdebtperc/SUM(Debtperc,Subdebtperc))*Assm!$AB$91*0</f>
        <v>0</v>
      </c>
      <c r="R70" s="575" t="n">
        <f aca="false">IF(R$7&lt;Assm!$AB$92,0,R19*Subdebtperc/SUM(Debtperc,Subdebtperc))*Assm!$AB$91*0</f>
        <v>0</v>
      </c>
      <c r="S70" s="575" t="n">
        <f aca="false">IF(S$7&lt;Assm!$AB$92,0,S19*Subdebtperc/SUM(Debtperc,Subdebtperc))*Assm!$AB$91*0</f>
        <v>0</v>
      </c>
      <c r="T70" s="575" t="n">
        <f aca="false">IF(T$7&lt;Assm!$AB$92,0,T19*Subdebtperc/SUM(Debtperc,Subdebtperc))*Assm!$AB$91*0</f>
        <v>0</v>
      </c>
      <c r="U70" s="575" t="n">
        <f aca="false">IF(U$7&lt;Assm!$AB$92,0,U19*Subdebtperc/SUM(Debtperc,Subdebtperc))*Assm!$AB$91*0</f>
        <v>0</v>
      </c>
      <c r="V70" s="575" t="n">
        <f aca="false">IF(V$7&lt;Assm!$AB$92,0,V19*Subdebtperc/SUM(Debtperc,Subdebtperc))*Assm!$AB$91*0</f>
        <v>0</v>
      </c>
      <c r="W70" s="575" t="n">
        <f aca="false">IF(W$7&lt;Assm!$AB$92,0,W19*Subdebtperc/SUM(Debtperc,Subdebtperc))*Assm!$AB$91*0</f>
        <v>0</v>
      </c>
      <c r="X70" s="575" t="n">
        <f aca="false">IF(X$7&lt;Assm!$AB$92,0,X19*Subdebtperc/SUM(Debtperc,Subdebtperc))*Assm!$AB$91*0</f>
        <v>0</v>
      </c>
      <c r="Y70" s="575" t="n">
        <f aca="false">IF(Y$7&lt;Assm!$AB$92,0,Y19*Subdebtperc/SUM(Debtperc,Subdebtperc))*Assm!$AB$91*0</f>
        <v>0</v>
      </c>
      <c r="Z70" s="575" t="n">
        <f aca="false">IF(Z$7&lt;Assm!$AB$92,0,Z19*Subdebtperc/SUM(Debtperc,Subdebtperc))*Assm!$AB$91*0</f>
        <v>0</v>
      </c>
      <c r="AA70" s="575" t="n">
        <f aca="false">IF(AA$7&lt;Assm!$AB$92,0,AA19*Subdebtperc/SUM(Debtperc,Subdebtperc))*Assm!$AB$91*0</f>
        <v>0</v>
      </c>
      <c r="AB70" s="575" t="n">
        <f aca="false">IF(AB$7&lt;Assm!$AB$92,0,AB19*Subdebtperc/SUM(Debtperc,Subdebtperc))*Assm!$AB$91*0</f>
        <v>0</v>
      </c>
      <c r="AC70" s="575" t="n">
        <f aca="false">IF(AC$7&lt;Assm!$AB$92,0,AC19*Subdebtperc/SUM(Debtperc,Subdebtperc))*Assm!$AB$91*0</f>
        <v>0</v>
      </c>
      <c r="AD70" s="575" t="n">
        <f aca="false">IF(AD$7&lt;Assm!$AB$92,0,AD19*Subdebtperc/SUM(Debtperc,Subdebtperc))*Assm!$AB$91*0</f>
        <v>0</v>
      </c>
      <c r="AE70" s="575" t="n">
        <f aca="false">IF(AE$7&lt;Assm!$AB$92,0,AE19*Subdebtperc/SUM(Debtperc,Subdebtperc))*Assm!$AB$91*0</f>
        <v>0</v>
      </c>
      <c r="AF70" s="575" t="n">
        <f aca="false">IF(AF$7&lt;Assm!$AB$92,0,AF19*Subdebtperc/SUM(Debtperc,Subdebtperc))*Assm!$AB$91*0</f>
        <v>0</v>
      </c>
      <c r="AG70" s="575" t="n">
        <f aca="false">IF(AG$7&lt;Assm!$AB$92,0,AG19*Subdebtperc/SUM(Debtperc,Subdebtperc))*Assm!$AB$91*0</f>
        <v>0</v>
      </c>
      <c r="AH70" s="575" t="n">
        <f aca="false">IF(AH$7&lt;Assm!$AB$92,0,AH19*Subdebtperc/SUM(Debtperc,Subdebtperc))*Assm!$AB$91*0</f>
        <v>0</v>
      </c>
      <c r="AI70" s="575" t="n">
        <f aca="false">IF(AI$7&lt;Assm!$AB$92,0,AI19*Subdebtperc/SUM(Debtperc,Subdebtperc))*Assm!$AB$91*0</f>
        <v>0</v>
      </c>
      <c r="AJ70" s="575" t="n">
        <f aca="false">IF(AJ$7&lt;Assm!$AB$92,0,AJ19*Subdebtperc/SUM(Debtperc,Subdebtperc))*Assm!$AB$91*0</f>
        <v>0</v>
      </c>
      <c r="AK70" s="575" t="n">
        <f aca="false">IF(AK$7&lt;Assm!$AB$92,0,AK19*Subdebtperc/SUM(Debtperc,Subdebtperc))*Assm!$AB$91*0</f>
        <v>0</v>
      </c>
      <c r="AL70" s="575" t="n">
        <f aca="false">IF(AL$7&lt;Assm!$AB$92,0,AL19*Subdebtperc/SUM(Debtperc,Subdebtperc))*Assm!$AB$91*0</f>
        <v>0</v>
      </c>
      <c r="AM70" s="575" t="n">
        <f aca="false">IF(AM$7&lt;Assm!$AB$92,0,AM19*Subdebtperc/SUM(Debtperc,Subdebtperc))*Assm!$AB$91*0</f>
        <v>0</v>
      </c>
      <c r="AN70" s="575" t="n">
        <f aca="false">IF(AN$7&lt;Assm!$AB$92,0,AN19*Subdebtperc/SUM(Debtperc,Subdebtperc))*Assm!$AB$91*0</f>
        <v>0</v>
      </c>
      <c r="AO70" s="575" t="n">
        <f aca="false">IF(AO$7&lt;Assm!$AB$92,0,AO19*Subdebtperc/SUM(Debtperc,Subdebtperc))*Assm!$AB$91*0</f>
        <v>0</v>
      </c>
      <c r="AP70" s="575" t="n">
        <f aca="false">IF(AP$7&lt;Assm!$AB$92,0,AP19*Subdebtperc/SUM(Debtperc,Subdebtperc))*Assm!$AB$91*0</f>
        <v>0</v>
      </c>
      <c r="AQ70" s="575" t="n">
        <f aca="false">IF(AQ$7&lt;Assm!$AB$92,0,AQ19*Subdebtperc/SUM(Debtperc,Subdebtperc))*Assm!$AB$91*0</f>
        <v>0</v>
      </c>
      <c r="AR70" s="575" t="n">
        <f aca="false">IF(AR$7&lt;Assm!$AB$92,0,AR19*Subdebtperc/SUM(Debtperc,Subdebtperc))*Assm!$AB$91*0</f>
        <v>0</v>
      </c>
      <c r="AS70" s="575" t="n">
        <f aca="false">IF(AS$7&lt;Assm!$AB$92,0,AS19*Subdebtperc/SUM(Debtperc,Subdebtperc))*Assm!$AB$91*0</f>
        <v>0</v>
      </c>
      <c r="AT70" s="575" t="n">
        <f aca="false">IF(AT$7&lt;Assm!$AB$92,0,AT19*Subdebtperc/SUM(Debtperc,Subdebtperc))*Assm!$AB$91*0</f>
        <v>0</v>
      </c>
      <c r="AU70" s="575" t="n">
        <f aca="false">IF(AU$7&lt;Assm!$AB$92,0,AU19*Subdebtperc/SUM(Debtperc,Subdebtperc))*Assm!$AB$91*0</f>
        <v>0</v>
      </c>
      <c r="AV70" s="575" t="n">
        <f aca="false">IF(AV$7&lt;Assm!$AB$92,0,AV19*Subdebtperc/SUM(Debtperc,Subdebtperc))*Assm!$AB$91*0</f>
        <v>0</v>
      </c>
      <c r="AW70" s="575" t="n">
        <f aca="false">IF(AW$7&lt;Assm!$AB$92,0,AW19*Subdebtperc/SUM(Debtperc,Subdebtperc))*Assm!$AB$91*0</f>
        <v>0</v>
      </c>
      <c r="AX70" s="575" t="n">
        <f aca="false">IF(AX$7&lt;Assm!$AB$92,0,AX19*Subdebtperc/SUM(Debtperc,Subdebtperc))*Assm!$AB$91*0</f>
        <v>0</v>
      </c>
      <c r="AY70" s="575" t="n">
        <f aca="false">IF(AY$7&lt;Assm!$AB$92,0,AY19*Subdebtperc/SUM(Debtperc,Subdebtperc))*Assm!$AB$91*0</f>
        <v>0</v>
      </c>
      <c r="AZ70" s="575" t="n">
        <f aca="false">IF(AZ$7&lt;Assm!$AB$92,0,AZ19*Subdebtperc/SUM(Debtperc,Subdebtperc))*Assm!$AB$91*0</f>
        <v>0</v>
      </c>
      <c r="BA70" s="753" t="n">
        <f aca="false">SUM(E70:AZ70)</f>
        <v>0</v>
      </c>
      <c r="BB70" s="1044" t="n">
        <f aca="false">BB69+1</f>
        <v>64</v>
      </c>
    </row>
    <row r="71" customFormat="false" ht="12.75" hidden="false" customHeight="false" outlineLevel="0" collapsed="false">
      <c r="A71" s="37" t="s">
        <v>102</v>
      </c>
      <c r="E71" s="1045" t="n">
        <f aca="false">IF(E$7&lt;Assm!$AB$92,0,E20*Subdebtperc/SUM(Debtperc,Subdebtperc))*Assm!$AB$91*0</f>
        <v>0</v>
      </c>
      <c r="F71" s="1045" t="n">
        <f aca="false">IF(F$7&lt;Assm!$AB$92,0,F20*Subdebtperc/SUM(Debtperc,Subdebtperc))*Assm!$AB$91*0</f>
        <v>0</v>
      </c>
      <c r="G71" s="1045" t="n">
        <f aca="false">IF(G$7&lt;Assm!$AB$92,0,G20*Subdebtperc/SUM(Debtperc,Subdebtperc))*Assm!$AB$91*0</f>
        <v>0</v>
      </c>
      <c r="H71" s="1045" t="n">
        <f aca="false">IF(H$7&lt;Assm!$AB$92,0,H20*Subdebtperc/SUM(Debtperc,Subdebtperc))*Assm!$AB$91*0</f>
        <v>0</v>
      </c>
      <c r="I71" s="1045" t="n">
        <f aca="false">IF(I$7&lt;Assm!$AB$92,0,I20*Subdebtperc/SUM(Debtperc,Subdebtperc))*Assm!$AB$91*0</f>
        <v>0</v>
      </c>
      <c r="J71" s="1045" t="n">
        <f aca="false">IF(J$7&lt;Assm!$AB$92,0,J20*Subdebtperc/SUM(Debtperc,Subdebtperc))*Assm!$AB$91*0</f>
        <v>0</v>
      </c>
      <c r="K71" s="1045" t="n">
        <f aca="false">IF(K$7&lt;Assm!$AB$92,0,K20*Subdebtperc/SUM(Debtperc,Subdebtperc))*Assm!$AB$91*0</f>
        <v>0</v>
      </c>
      <c r="L71" s="1045" t="n">
        <f aca="false">IF(L$7&lt;Assm!$AB$92,0,L20*Subdebtperc/SUM(Debtperc,Subdebtperc))*Assm!$AB$91*0</f>
        <v>0</v>
      </c>
      <c r="M71" s="1045" t="n">
        <f aca="false">IF(M$7&lt;Assm!$AB$92,0,M20*Subdebtperc/SUM(Debtperc,Subdebtperc))*Assm!$AB$91*0</f>
        <v>0</v>
      </c>
      <c r="N71" s="1045" t="n">
        <f aca="false">IF(N$7&lt;Assm!$AB$92,0,N20*Subdebtperc/SUM(Debtperc,Subdebtperc))*Assm!$AB$91*0</f>
        <v>0</v>
      </c>
      <c r="O71" s="1045" t="n">
        <f aca="false">IF(O$7&lt;Assm!$AB$92,0,O20*Subdebtperc/SUM(Debtperc,Subdebtperc))*Assm!$AB$91*0</f>
        <v>0</v>
      </c>
      <c r="P71" s="1045" t="n">
        <f aca="false">IF(P$7&lt;Assm!$AB$92,0,P20*Subdebtperc/SUM(Debtperc,Subdebtperc))*Assm!$AB$91*0</f>
        <v>0</v>
      </c>
      <c r="Q71" s="1045" t="n">
        <f aca="false">IF(Q$7&lt;Assm!$AB$92,0,Q20*Subdebtperc/SUM(Debtperc,Subdebtperc))*Assm!$AB$91*0</f>
        <v>0</v>
      </c>
      <c r="R71" s="1045" t="n">
        <f aca="false">IF(R$7&lt;Assm!$AB$92,0,R20*Subdebtperc/SUM(Debtperc,Subdebtperc))*Assm!$AB$91*0</f>
        <v>0</v>
      </c>
      <c r="S71" s="1045" t="n">
        <f aca="false">IF(S$7&lt;Assm!$AB$92,0,S20*Subdebtperc/SUM(Debtperc,Subdebtperc))*Assm!$AB$91*0</f>
        <v>0</v>
      </c>
      <c r="T71" s="1045" t="n">
        <f aca="false">IF(T$7&lt;Assm!$AB$92,0,T20*Subdebtperc/SUM(Debtperc,Subdebtperc))*Assm!$AB$91*0</f>
        <v>0</v>
      </c>
      <c r="U71" s="1045" t="n">
        <f aca="false">IF(U$7&lt;Assm!$AB$92,0,U20*Subdebtperc/SUM(Debtperc,Subdebtperc))*Assm!$AB$91*0</f>
        <v>0</v>
      </c>
      <c r="V71" s="1045" t="n">
        <f aca="false">IF(V$7&lt;Assm!$AB$92,0,V20*Subdebtperc/SUM(Debtperc,Subdebtperc))*Assm!$AB$91*0</f>
        <v>0</v>
      </c>
      <c r="W71" s="1045" t="n">
        <f aca="false">IF(W$7&lt;Assm!$AB$92,0,W20*Subdebtperc/SUM(Debtperc,Subdebtperc))*Assm!$AB$91*0</f>
        <v>0</v>
      </c>
      <c r="X71" s="1045" t="n">
        <f aca="false">IF(X$7&lt;Assm!$AB$92,0,X20*Subdebtperc/SUM(Debtperc,Subdebtperc))*Assm!$AB$91*0</f>
        <v>0</v>
      </c>
      <c r="Y71" s="1045" t="n">
        <f aca="false">IF(Y$7&lt;Assm!$AB$92,0,Y20*Subdebtperc/SUM(Debtperc,Subdebtperc))*Assm!$AB$91*0</f>
        <v>0</v>
      </c>
      <c r="Z71" s="1045" t="n">
        <f aca="false">IF(Z$7&lt;Assm!$AB$92,0,Z20*Subdebtperc/SUM(Debtperc,Subdebtperc))*Assm!$AB$91*0</f>
        <v>0</v>
      </c>
      <c r="AA71" s="1045" t="n">
        <f aca="false">IF(AA$7&lt;Assm!$AB$92,0,AA20*Subdebtperc/SUM(Debtperc,Subdebtperc))*Assm!$AB$91*0</f>
        <v>0</v>
      </c>
      <c r="AB71" s="1045" t="n">
        <f aca="false">IF(AB$7&lt;Assm!$AB$92,0,AB20*Subdebtperc/SUM(Debtperc,Subdebtperc))*Assm!$AB$91*0</f>
        <v>0</v>
      </c>
      <c r="AC71" s="1045" t="n">
        <f aca="false">IF(AC$7&lt;Assm!$AB$92,0,AC20*Subdebtperc/SUM(Debtperc,Subdebtperc))*Assm!$AB$91*0</f>
        <v>0</v>
      </c>
      <c r="AD71" s="1045" t="n">
        <f aca="false">IF(AD$7&lt;Assm!$AB$92,0,AD20*Subdebtperc/SUM(Debtperc,Subdebtperc))*Assm!$AB$91*0</f>
        <v>0</v>
      </c>
      <c r="AE71" s="1045" t="n">
        <f aca="false">IF(AE$7&lt;Assm!$AB$92,0,AE20*Subdebtperc/SUM(Debtperc,Subdebtperc))*Assm!$AB$91*0</f>
        <v>0</v>
      </c>
      <c r="AF71" s="1045" t="n">
        <f aca="false">IF(AF$7&lt;Assm!$AB$92,0,AF20*Subdebtperc/SUM(Debtperc,Subdebtperc))*Assm!$AB$91*0</f>
        <v>0</v>
      </c>
      <c r="AG71" s="1045" t="n">
        <f aca="false">IF(AG$7&lt;Assm!$AB$92,0,AG20*Subdebtperc/SUM(Debtperc,Subdebtperc))*Assm!$AB$91*0</f>
        <v>0</v>
      </c>
      <c r="AH71" s="1045" t="n">
        <f aca="false">IF(AH$7&lt;Assm!$AB$92,0,AH20*Subdebtperc/SUM(Debtperc,Subdebtperc))*Assm!$AB$91*0</f>
        <v>0</v>
      </c>
      <c r="AI71" s="1045" t="n">
        <f aca="false">IF(AI$7&lt;Assm!$AB$92,0,AI20*Subdebtperc/SUM(Debtperc,Subdebtperc))*Assm!$AB$91*0</f>
        <v>0</v>
      </c>
      <c r="AJ71" s="1045" t="n">
        <f aca="false">IF(AJ$7&lt;Assm!$AB$92,0,AJ20*Subdebtperc/SUM(Debtperc,Subdebtperc))*Assm!$AB$91*0</f>
        <v>0</v>
      </c>
      <c r="AK71" s="1045" t="n">
        <f aca="false">IF(AK$7&lt;Assm!$AB$92,0,AK20*Subdebtperc/SUM(Debtperc,Subdebtperc))*Assm!$AB$91*0</f>
        <v>0</v>
      </c>
      <c r="AL71" s="1045" t="n">
        <f aca="false">IF(AL$7&lt;Assm!$AB$92,0,AL20*Subdebtperc/SUM(Debtperc,Subdebtperc))*Assm!$AB$91*0</f>
        <v>0</v>
      </c>
      <c r="AM71" s="1045" t="n">
        <f aca="false">IF(AM$7&lt;Assm!$AB$92,0,AM20*Subdebtperc/SUM(Debtperc,Subdebtperc))*Assm!$AB$91*0</f>
        <v>0</v>
      </c>
      <c r="AN71" s="1045" t="n">
        <f aca="false">IF(AN$7&lt;Assm!$AB$92,0,AN20*Subdebtperc/SUM(Debtperc,Subdebtperc))*Assm!$AB$91*0</f>
        <v>0</v>
      </c>
      <c r="AO71" s="1045" t="n">
        <f aca="false">IF(AO$7&lt;Assm!$AB$92,0,AO20*Subdebtperc/SUM(Debtperc,Subdebtperc))*Assm!$AB$91*0</f>
        <v>0</v>
      </c>
      <c r="AP71" s="1045" t="n">
        <f aca="false">IF(AP$7&lt;Assm!$AB$92,0,AP20*Subdebtperc/SUM(Debtperc,Subdebtperc))*Assm!$AB$91*0</f>
        <v>0</v>
      </c>
      <c r="AQ71" s="1045" t="n">
        <f aca="false">IF(AQ$7&lt;Assm!$AB$92,0,AQ20*Subdebtperc/SUM(Debtperc,Subdebtperc))*Assm!$AB$91*0</f>
        <v>0</v>
      </c>
      <c r="AR71" s="1045" t="n">
        <f aca="false">IF(AR$7&lt;Assm!$AB$92,0,AR20*Subdebtperc/SUM(Debtperc,Subdebtperc))*Assm!$AB$91*0</f>
        <v>0</v>
      </c>
      <c r="AS71" s="1045" t="n">
        <f aca="false">IF(AS$7&lt;Assm!$AB$92,0,AS20*Subdebtperc/SUM(Debtperc,Subdebtperc))*Assm!$AB$91*0</f>
        <v>0</v>
      </c>
      <c r="AT71" s="1045" t="n">
        <f aca="false">IF(AT$7&lt;Assm!$AB$92,0,AT20*Subdebtperc/SUM(Debtperc,Subdebtperc))*Assm!$AB$91*0</f>
        <v>0</v>
      </c>
      <c r="AU71" s="1045" t="n">
        <f aca="false">IF(AU$7&lt;Assm!$AB$92,0,AU20*Subdebtperc/SUM(Debtperc,Subdebtperc))*Assm!$AB$91*0</f>
        <v>0</v>
      </c>
      <c r="AV71" s="1045" t="n">
        <f aca="false">IF(AV$7&lt;Assm!$AB$92,0,AV20*Subdebtperc/SUM(Debtperc,Subdebtperc))*Assm!$AB$91*0</f>
        <v>0</v>
      </c>
      <c r="AW71" s="1045" t="n">
        <f aca="false">IF(AW$7&lt;Assm!$AB$92,0,AW20*Subdebtperc/SUM(Debtperc,Subdebtperc))*Assm!$AB$91*0</f>
        <v>0</v>
      </c>
      <c r="AX71" s="1045" t="n">
        <f aca="false">IF(AX$7&lt;Assm!$AB$92,0,AX20*Subdebtperc/SUM(Debtperc,Subdebtperc))*Assm!$AB$91*0</f>
        <v>0</v>
      </c>
      <c r="AY71" s="1045" t="n">
        <f aca="false">IF(AY$7&lt;Assm!$AB$92,0,AY20*Subdebtperc/SUM(Debtperc,Subdebtperc))*Assm!$AB$91*0</f>
        <v>0</v>
      </c>
      <c r="AZ71" s="1045" t="n">
        <f aca="false">IF(AZ$7&lt;Assm!$AB$92,0,AZ20*Subdebtperc/SUM(Debtperc,Subdebtperc))*Assm!$AB$91*0</f>
        <v>0</v>
      </c>
      <c r="BA71" s="753" t="n">
        <f aca="false">SUM(E71:AZ71)</f>
        <v>0</v>
      </c>
      <c r="BB71" s="1044" t="n">
        <f aca="false">BB70+1</f>
        <v>65</v>
      </c>
    </row>
    <row r="72" customFormat="false" ht="12.75" hidden="false" customHeight="false" outlineLevel="0" collapsed="false">
      <c r="A72" s="37" t="s">
        <v>1067</v>
      </c>
      <c r="E72" s="217" t="n">
        <f aca="false">SUM(E66:E71)</f>
        <v>0</v>
      </c>
      <c r="F72" s="217" t="n">
        <f aca="false">SUM(F66:F71)</f>
        <v>0</v>
      </c>
      <c r="G72" s="217" t="n">
        <f aca="false">SUM(G66:G71)</f>
        <v>0</v>
      </c>
      <c r="H72" s="217" t="n">
        <f aca="false">SUM(H66:H71)</f>
        <v>0</v>
      </c>
      <c r="I72" s="217" t="n">
        <f aca="false">SUM(I66:I71)</f>
        <v>0</v>
      </c>
      <c r="J72" s="217" t="n">
        <f aca="false">SUM(J66:J71)</f>
        <v>0</v>
      </c>
      <c r="K72" s="217" t="n">
        <f aca="false">SUM(K66:K71)</f>
        <v>0</v>
      </c>
      <c r="L72" s="217" t="n">
        <f aca="false">SUM(L66:L71)</f>
        <v>0</v>
      </c>
      <c r="M72" s="217" t="n">
        <f aca="false">SUM(M66:M71)</f>
        <v>0</v>
      </c>
      <c r="N72" s="217" t="n">
        <f aca="false">SUM(N66:N71)</f>
        <v>0</v>
      </c>
      <c r="O72" s="217" t="n">
        <f aca="false">SUM(O66:O71)</f>
        <v>0</v>
      </c>
      <c r="P72" s="217" t="n">
        <f aca="false">SUM(P66:P71)</f>
        <v>0</v>
      </c>
      <c r="Q72" s="217" t="n">
        <f aca="false">SUM(Q66:Q71)</f>
        <v>0</v>
      </c>
      <c r="R72" s="217" t="n">
        <f aca="false">SUM(R66:R71)</f>
        <v>0</v>
      </c>
      <c r="S72" s="217" t="n">
        <f aca="false">SUM(S66:S71)</f>
        <v>0</v>
      </c>
      <c r="T72" s="217" t="n">
        <f aca="false">SUM(T66:T71)</f>
        <v>0</v>
      </c>
      <c r="U72" s="217" t="n">
        <f aca="false">SUM(U66:U71)</f>
        <v>0</v>
      </c>
      <c r="V72" s="217" t="n">
        <f aca="false">SUM(V66:V71)</f>
        <v>0</v>
      </c>
      <c r="W72" s="217" t="n">
        <f aca="false">SUM(W66:W71)</f>
        <v>0</v>
      </c>
      <c r="X72" s="217" t="n">
        <f aca="false">SUM(X66:X71)</f>
        <v>0</v>
      </c>
      <c r="Y72" s="217" t="n">
        <f aca="false">SUM(Y66:Y71)</f>
        <v>0</v>
      </c>
      <c r="Z72" s="217" t="n">
        <f aca="false">SUM(Z66:Z71)</f>
        <v>0</v>
      </c>
      <c r="AA72" s="217" t="n">
        <f aca="false">SUM(AA66:AA71)</f>
        <v>0</v>
      </c>
      <c r="AB72" s="217" t="n">
        <f aca="false">SUM(AB66:AB71)</f>
        <v>0</v>
      </c>
      <c r="AC72" s="217" t="n">
        <f aca="false">SUM(AC66:AC71)</f>
        <v>0</v>
      </c>
      <c r="AD72" s="217" t="n">
        <f aca="false">SUM(AD66:AD71)</f>
        <v>0</v>
      </c>
      <c r="AE72" s="217" t="n">
        <f aca="false">SUM(AE66:AE71)</f>
        <v>0</v>
      </c>
      <c r="AF72" s="217" t="n">
        <f aca="false">SUM(AF66:AF71)</f>
        <v>0</v>
      </c>
      <c r="AG72" s="217" t="n">
        <f aca="false">SUM(AG66:AG71)</f>
        <v>0</v>
      </c>
      <c r="AH72" s="217" t="n">
        <f aca="false">SUM(AH66:AH71)</f>
        <v>0</v>
      </c>
      <c r="AI72" s="217" t="n">
        <f aca="false">SUM(AI66:AI71)</f>
        <v>0</v>
      </c>
      <c r="AJ72" s="217" t="n">
        <f aca="false">SUM(AJ66:AJ71)</f>
        <v>0</v>
      </c>
      <c r="AK72" s="217" t="n">
        <f aca="false">SUM(AK66:AK71)</f>
        <v>0</v>
      </c>
      <c r="AL72" s="217" t="n">
        <f aca="false">SUM(AL66:AL71)</f>
        <v>0</v>
      </c>
      <c r="AM72" s="217" t="n">
        <f aca="false">SUM(AM66:AM71)</f>
        <v>0</v>
      </c>
      <c r="AN72" s="217" t="n">
        <f aca="false">SUM(AN66:AN71)</f>
        <v>0</v>
      </c>
      <c r="AO72" s="217" t="n">
        <f aca="false">SUM(AO66:AO71)</f>
        <v>0</v>
      </c>
      <c r="AP72" s="217" t="n">
        <f aca="false">SUM(AP66:AP71)</f>
        <v>0</v>
      </c>
      <c r="AQ72" s="217" t="n">
        <f aca="false">SUM(AQ66:AQ71)</f>
        <v>0</v>
      </c>
      <c r="AR72" s="217" t="n">
        <f aca="false">SUM(AR66:AR71)</f>
        <v>0</v>
      </c>
      <c r="AS72" s="217" t="n">
        <f aca="false">SUM(AS66:AS71)</f>
        <v>0</v>
      </c>
      <c r="AT72" s="217" t="n">
        <f aca="false">SUM(AT66:AT71)</f>
        <v>0</v>
      </c>
      <c r="AU72" s="217" t="n">
        <f aca="false">SUM(AU66:AU71)</f>
        <v>0</v>
      </c>
      <c r="AV72" s="217" t="n">
        <f aca="false">SUM(AV66:AV71)</f>
        <v>0</v>
      </c>
      <c r="AW72" s="217" t="n">
        <f aca="false">SUM(AW66:AW71)</f>
        <v>0</v>
      </c>
      <c r="AX72" s="217" t="n">
        <f aca="false">SUM(AX66:AX71)</f>
        <v>0</v>
      </c>
      <c r="AY72" s="217" t="n">
        <f aca="false">SUM(AY66:AY71)</f>
        <v>0</v>
      </c>
      <c r="AZ72" s="217" t="n">
        <f aca="false">SUM(AZ66:AZ71)</f>
        <v>0</v>
      </c>
      <c r="BA72" s="574" t="n">
        <f aca="false">SUM(BA66:BA71)</f>
        <v>0</v>
      </c>
      <c r="BB72" s="175" t="n">
        <f aca="false">BB71+1</f>
        <v>66</v>
      </c>
    </row>
    <row r="73" customFormat="false" ht="12.75" hidden="false" customHeight="false" outlineLevel="0" collapsed="false">
      <c r="A73" s="3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7"/>
      <c r="AH73" s="217"/>
      <c r="AI73" s="217"/>
      <c r="AJ73" s="217"/>
      <c r="AK73" s="217"/>
      <c r="AL73" s="217"/>
      <c r="AM73" s="217"/>
      <c r="AN73" s="217"/>
      <c r="AO73" s="217"/>
      <c r="AP73" s="217"/>
      <c r="AQ73" s="217"/>
      <c r="AR73" s="217"/>
      <c r="AS73" s="217"/>
      <c r="AT73" s="217"/>
      <c r="AU73" s="217"/>
      <c r="AV73" s="217"/>
      <c r="AW73" s="217"/>
      <c r="AX73" s="217"/>
      <c r="AY73" s="217"/>
      <c r="AZ73" s="217"/>
      <c r="BA73" s="574"/>
      <c r="BB73" s="175" t="n">
        <f aca="false">BB72+1</f>
        <v>67</v>
      </c>
    </row>
    <row r="74" customFormat="false" ht="12.75" hidden="false" customHeight="false" outlineLevel="0" collapsed="false">
      <c r="A74" s="37" t="s">
        <v>1360</v>
      </c>
      <c r="E74" s="260" t="n">
        <f aca="false">[1]IDC!D72</f>
        <v>1</v>
      </c>
      <c r="F74" s="1051" t="n">
        <f aca="false">[1]IDC!E72</f>
        <v>1</v>
      </c>
      <c r="G74" s="1051" t="n">
        <f aca="false">[1]IDC!F72</f>
        <v>1</v>
      </c>
      <c r="H74" s="1051" t="n">
        <f aca="false">[1]IDC!G72</f>
        <v>1</v>
      </c>
      <c r="I74" s="1051" t="n">
        <f aca="false">[1]IDC!H72</f>
        <v>1</v>
      </c>
      <c r="J74" s="1051" t="n">
        <f aca="false">[1]IDC!I72</f>
        <v>1</v>
      </c>
      <c r="K74" s="1051" t="n">
        <f aca="false">[1]IDC!J72</f>
        <v>1</v>
      </c>
      <c r="L74" s="1051" t="n">
        <f aca="false">[1]IDC!K72</f>
        <v>1</v>
      </c>
      <c r="M74" s="1051" t="n">
        <f aca="false">[1]IDC!L72</f>
        <v>1</v>
      </c>
      <c r="N74" s="1051" t="n">
        <f aca="false">[1]IDC!M72</f>
        <v>1</v>
      </c>
      <c r="O74" s="1051" t="n">
        <f aca="false">[1]IDC!N72</f>
        <v>1</v>
      </c>
      <c r="P74" s="1051" t="n">
        <f aca="false">[1]IDC!O72</f>
        <v>1</v>
      </c>
      <c r="Q74" s="1051" t="n">
        <f aca="false">[1]IDC!P72</f>
        <v>1</v>
      </c>
      <c r="R74" s="1051" t="n">
        <f aca="false">[1]IDC!Q72</f>
        <v>1</v>
      </c>
      <c r="S74" s="1051" t="n">
        <f aca="false">[1]IDC!R72</f>
        <v>1</v>
      </c>
      <c r="T74" s="1051" t="n">
        <f aca="false">[1]IDC!S72</f>
        <v>1</v>
      </c>
      <c r="U74" s="1051" t="n">
        <f aca="false">[1]IDC!T72</f>
        <v>1</v>
      </c>
      <c r="V74" s="1051" t="n">
        <f aca="false">[1]IDC!U72</f>
        <v>1</v>
      </c>
      <c r="W74" s="1051" t="n">
        <f aca="false">[1]IDC!V72</f>
        <v>1</v>
      </c>
      <c r="X74" s="1051" t="n">
        <f aca="false">[1]IDC!W72</f>
        <v>1</v>
      </c>
      <c r="Y74" s="1051" t="n">
        <f aca="false">[1]IDC!X72</f>
        <v>1</v>
      </c>
      <c r="Z74" s="1051" t="n">
        <f aca="false">[1]IDC!Y72</f>
        <v>1</v>
      </c>
      <c r="AA74" s="1051" t="n">
        <f aca="false">[1]IDC!Z72</f>
        <v>1</v>
      </c>
      <c r="AB74" s="1051" t="n">
        <f aca="false">[1]IDC!AA72</f>
        <v>1</v>
      </c>
      <c r="AC74" s="1051" t="n">
        <f aca="false">[1]IDC!AB72</f>
        <v>1</v>
      </c>
      <c r="AD74" s="1051" t="n">
        <f aca="false">[1]IDC!AC72</f>
        <v>0.999999999999999</v>
      </c>
      <c r="AE74" s="1051" t="n">
        <f aca="false">[1]IDC!AD72</f>
        <v>1</v>
      </c>
      <c r="AF74" s="1051" t="n">
        <f aca="false">[1]IDC!AE72</f>
        <v>1</v>
      </c>
      <c r="AG74" s="1051" t="n">
        <f aca="false">[1]IDC!AF72</f>
        <v>1</v>
      </c>
      <c r="AH74" s="1051" t="n">
        <f aca="false">[1]IDC!AG72</f>
        <v>1</v>
      </c>
      <c r="AI74" s="1051" t="n">
        <f aca="false">[1]IDC!AH72</f>
        <v>1</v>
      </c>
      <c r="AJ74" s="1051" t="n">
        <f aca="false">[1]IDC!AI72</f>
        <v>1</v>
      </c>
      <c r="AK74" s="1051" t="n">
        <f aca="false">[1]IDC!AJ72</f>
        <v>1</v>
      </c>
      <c r="AL74" s="1051" t="n">
        <f aca="false">[1]IDC!AK72</f>
        <v>0.466169687524045</v>
      </c>
      <c r="AM74" s="1051" t="n">
        <f aca="false">[1]IDC!AL72</f>
        <v>0.457956326181153</v>
      </c>
      <c r="AN74" s="1051" t="n">
        <f aca="false">[1]IDC!AM72</f>
        <v>0.450071371279134</v>
      </c>
      <c r="AO74" s="1051"/>
      <c r="AP74" s="1051"/>
      <c r="AQ74" s="1051"/>
      <c r="AR74" s="1051"/>
      <c r="AS74" s="1051"/>
      <c r="AT74" s="1051"/>
      <c r="AU74" s="1051"/>
      <c r="AV74" s="1051"/>
      <c r="AW74" s="1051"/>
      <c r="AX74" s="1051"/>
      <c r="AY74" s="1051"/>
      <c r="AZ74" s="1051"/>
      <c r="BA74" s="574"/>
      <c r="BB74" s="175" t="n">
        <f aca="false">BB73+1</f>
        <v>68</v>
      </c>
    </row>
    <row r="75" customFormat="false" ht="12.75" hidden="false" customHeight="false" outlineLevel="0" collapsed="false">
      <c r="A75" s="37"/>
      <c r="E75" s="217"/>
      <c r="F75" s="556"/>
      <c r="G75" s="556"/>
      <c r="H75" s="556"/>
      <c r="I75" s="556"/>
      <c r="J75" s="556"/>
      <c r="K75" s="556"/>
      <c r="L75" s="556"/>
      <c r="M75" s="556"/>
      <c r="N75" s="556"/>
      <c r="O75" s="556"/>
      <c r="P75" s="556"/>
      <c r="Q75" s="556"/>
      <c r="R75" s="556"/>
      <c r="S75" s="556"/>
      <c r="T75" s="556"/>
      <c r="U75" s="556"/>
      <c r="V75" s="556"/>
      <c r="W75" s="556"/>
      <c r="X75" s="556"/>
      <c r="Y75" s="556"/>
      <c r="Z75" s="556"/>
      <c r="AA75" s="556"/>
      <c r="AB75" s="556"/>
      <c r="AC75" s="556"/>
      <c r="AD75" s="556"/>
      <c r="AE75" s="556"/>
      <c r="AF75" s="556"/>
      <c r="AG75" s="556"/>
      <c r="AH75" s="556"/>
      <c r="AI75" s="556"/>
      <c r="AJ75" s="556"/>
      <c r="AK75" s="556"/>
      <c r="AL75" s="556"/>
      <c r="AM75" s="556"/>
      <c r="AN75" s="556"/>
      <c r="AO75" s="556"/>
      <c r="AP75" s="556"/>
      <c r="AQ75" s="556"/>
      <c r="AR75" s="556"/>
      <c r="AS75" s="556"/>
      <c r="AT75" s="556"/>
      <c r="AU75" s="556"/>
      <c r="AV75" s="556"/>
      <c r="AW75" s="556"/>
      <c r="AX75" s="556"/>
      <c r="AY75" s="556"/>
      <c r="AZ75" s="556"/>
      <c r="BA75" s="555"/>
      <c r="BB75" s="175" t="n">
        <f aca="false">BB74+1</f>
        <v>69</v>
      </c>
    </row>
    <row r="76" customFormat="false" ht="12.75" hidden="false" customHeight="false" outlineLevel="0" collapsed="false">
      <c r="A76" s="130" t="s">
        <v>1361</v>
      </c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6"/>
      <c r="Q76" s="556"/>
      <c r="R76" s="556"/>
      <c r="S76" s="556"/>
      <c r="T76" s="556"/>
      <c r="U76" s="556"/>
      <c r="V76" s="556"/>
      <c r="W76" s="556"/>
      <c r="X76" s="556"/>
      <c r="Y76" s="556"/>
      <c r="Z76" s="556"/>
      <c r="AA76" s="556"/>
      <c r="AB76" s="556"/>
      <c r="AC76" s="556"/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6"/>
      <c r="AP76" s="556"/>
      <c r="AQ76" s="556"/>
      <c r="AR76" s="556"/>
      <c r="AS76" s="556"/>
      <c r="AT76" s="556"/>
      <c r="AU76" s="556"/>
      <c r="AV76" s="556"/>
      <c r="AW76" s="556"/>
      <c r="AX76" s="556"/>
      <c r="AY76" s="556"/>
      <c r="AZ76" s="556"/>
      <c r="BA76" s="555"/>
      <c r="BB76" s="175" t="n">
        <f aca="false">BB75+1</f>
        <v>70</v>
      </c>
    </row>
    <row r="77" customFormat="false" ht="12.75" hidden="false" customHeight="false" outlineLevel="0" collapsed="false">
      <c r="A77" s="594" t="s">
        <v>1362</v>
      </c>
      <c r="B77" s="595"/>
      <c r="C77" s="595"/>
      <c r="D77" s="595"/>
      <c r="E77" s="788" t="n">
        <v>7598.20788530466</v>
      </c>
      <c r="F77" s="788" t="n">
        <v>0</v>
      </c>
      <c r="G77" s="788" t="n">
        <v>2638.52242744063</v>
      </c>
      <c r="H77" s="788" t="n">
        <v>9410.72999120493</v>
      </c>
      <c r="I77" s="788" t="n">
        <v>12938.6643356643</v>
      </c>
      <c r="J77" s="788" t="n">
        <v>5260.86956521739</v>
      </c>
      <c r="K77" s="788" t="n">
        <v>18755.4122731201</v>
      </c>
      <c r="L77" s="788" t="n">
        <v>5760.9630266552</v>
      </c>
      <c r="M77" s="788" t="n">
        <v>5692.43840271878</v>
      </c>
      <c r="N77" s="788" t="n">
        <v>21168.1239460371</v>
      </c>
      <c r="O77" s="788" t="n">
        <v>3569.63835155593</v>
      </c>
      <c r="P77" s="788" t="n">
        <v>0</v>
      </c>
      <c r="Q77" s="788" t="n">
        <v>0</v>
      </c>
      <c r="R77" s="788" t="n">
        <v>0</v>
      </c>
      <c r="S77" s="788" t="n">
        <v>0</v>
      </c>
      <c r="T77" s="788" t="n">
        <v>0</v>
      </c>
      <c r="U77" s="788" t="n">
        <v>0</v>
      </c>
      <c r="V77" s="788" t="n">
        <v>0</v>
      </c>
      <c r="W77" s="788" t="n">
        <v>0</v>
      </c>
      <c r="X77" s="788" t="n">
        <v>0</v>
      </c>
      <c r="Y77" s="788" t="n">
        <v>0</v>
      </c>
      <c r="Z77" s="788" t="n">
        <v>0</v>
      </c>
      <c r="AA77" s="788" t="n">
        <v>0</v>
      </c>
      <c r="AB77" s="788" t="n">
        <v>0</v>
      </c>
      <c r="AC77" s="1052" t="n">
        <v>0</v>
      </c>
      <c r="AD77" s="1052" t="n">
        <v>0</v>
      </c>
      <c r="AE77" s="1052" t="n">
        <v>0</v>
      </c>
      <c r="AF77" s="1052" t="n">
        <v>0</v>
      </c>
      <c r="AG77" s="1052" t="n">
        <v>0</v>
      </c>
      <c r="AH77" s="1052" t="n">
        <v>0</v>
      </c>
      <c r="AI77" s="1052" t="n">
        <v>0</v>
      </c>
      <c r="AJ77" s="1052" t="n">
        <v>0</v>
      </c>
      <c r="AK77" s="1052" t="n">
        <v>0</v>
      </c>
      <c r="AL77" s="1052" t="n">
        <v>0</v>
      </c>
      <c r="AM77" s="1052" t="n">
        <v>0</v>
      </c>
      <c r="AN77" s="1052" t="n">
        <v>0</v>
      </c>
      <c r="AO77" s="1052" t="n">
        <v>0</v>
      </c>
      <c r="AP77" s="1052" t="n">
        <v>0</v>
      </c>
      <c r="AQ77" s="1052" t="n">
        <v>0</v>
      </c>
      <c r="AR77" s="1052" t="n">
        <v>0</v>
      </c>
      <c r="AS77" s="1052" t="n">
        <v>0</v>
      </c>
      <c r="AT77" s="1052" t="n">
        <v>0</v>
      </c>
      <c r="AU77" s="1052" t="n">
        <v>0</v>
      </c>
      <c r="AV77" s="1052" t="n">
        <v>0</v>
      </c>
      <c r="AW77" s="1052" t="n">
        <v>0</v>
      </c>
      <c r="AX77" s="1052" t="n">
        <v>0</v>
      </c>
      <c r="AY77" s="1052" t="n">
        <v>0</v>
      </c>
      <c r="AZ77" s="1052" t="n">
        <v>0</v>
      </c>
      <c r="BA77" s="574" t="n">
        <f aca="false">SUM(E77:AZ77)</f>
        <v>92793.5702049191</v>
      </c>
      <c r="BB77" s="175" t="n">
        <f aca="false">BB76+1</f>
        <v>71</v>
      </c>
    </row>
    <row r="78" customFormat="false" ht="12.75" hidden="false" customHeight="false" outlineLevel="0" collapsed="false">
      <c r="A78" s="594" t="s">
        <v>1363</v>
      </c>
      <c r="B78" s="595"/>
      <c r="C78" s="595"/>
      <c r="D78" s="595"/>
      <c r="E78" s="788" t="n">
        <f aca="false">SUM($E$77:E77)</f>
        <v>7598.20788530466</v>
      </c>
      <c r="F78" s="788" t="n">
        <f aca="false">SUM($E$77:F77)</f>
        <v>7598.20788530466</v>
      </c>
      <c r="G78" s="788" t="n">
        <f aca="false">SUM($E$77:G77)</f>
        <v>10236.7303127453</v>
      </c>
      <c r="H78" s="788" t="n">
        <f aca="false">SUM($E$77:H77)</f>
        <v>19647.4603039502</v>
      </c>
      <c r="I78" s="788" t="n">
        <f aca="false">SUM($E$77:I77)</f>
        <v>32586.1246396146</v>
      </c>
      <c r="J78" s="788" t="n">
        <f aca="false">SUM($E$77:J77)</f>
        <v>37846.994204832</v>
      </c>
      <c r="K78" s="788" t="n">
        <f aca="false">SUM($E$77:K77)</f>
        <v>56602.4064779521</v>
      </c>
      <c r="L78" s="788" t="n">
        <f aca="false">SUM($E$77:L77)</f>
        <v>62363.3695046073</v>
      </c>
      <c r="M78" s="788" t="n">
        <f aca="false">SUM($E$77:M77)</f>
        <v>68055.8079073261</v>
      </c>
      <c r="N78" s="788" t="n">
        <f aca="false">SUM($E$77:N77)</f>
        <v>89223.9318533632</v>
      </c>
      <c r="O78" s="788" t="n">
        <f aca="false">SUM($E$77:O77)</f>
        <v>92793.5702049191</v>
      </c>
      <c r="P78" s="788" t="n">
        <f aca="false">SUM($E$77:P77)</f>
        <v>92793.5702049191</v>
      </c>
      <c r="Q78" s="788" t="n">
        <f aca="false">SUM($E$77:Q77)</f>
        <v>92793.5702049191</v>
      </c>
      <c r="R78" s="788" t="n">
        <f aca="false">SUM($E$77:R77)</f>
        <v>92793.5702049191</v>
      </c>
      <c r="S78" s="788" t="n">
        <f aca="false">SUM($E$77:S77)</f>
        <v>92793.5702049191</v>
      </c>
      <c r="T78" s="788" t="n">
        <f aca="false">SUM($E$77:T77)</f>
        <v>92793.5702049191</v>
      </c>
      <c r="U78" s="788" t="n">
        <f aca="false">SUM($E$77:U77)</f>
        <v>92793.5702049191</v>
      </c>
      <c r="V78" s="788" t="n">
        <f aca="false">SUM($E$77:V77)</f>
        <v>92793.5702049191</v>
      </c>
      <c r="W78" s="788" t="n">
        <f aca="false">SUM($E$77:W77)</f>
        <v>92793.5702049191</v>
      </c>
      <c r="X78" s="788" t="n">
        <f aca="false">SUM($E$77:X77)</f>
        <v>92793.5702049191</v>
      </c>
      <c r="Y78" s="788" t="n">
        <f aca="false">SUM($E$77:Y77)</f>
        <v>92793.5702049191</v>
      </c>
      <c r="Z78" s="788" t="n">
        <f aca="false">SUM($E$77:Z77)</f>
        <v>92793.5702049191</v>
      </c>
      <c r="AA78" s="788" t="n">
        <f aca="false">SUM($E$77:AA77)</f>
        <v>92793.5702049191</v>
      </c>
      <c r="AB78" s="788" t="n">
        <f aca="false">SUM($E$77:AB77)</f>
        <v>92793.5702049191</v>
      </c>
      <c r="AC78" s="788" t="n">
        <f aca="false">SUM($E$77:AC77)</f>
        <v>92793.5702049191</v>
      </c>
      <c r="AD78" s="788" t="n">
        <f aca="false">SUM($E$77:AD77)</f>
        <v>92793.5702049191</v>
      </c>
      <c r="AE78" s="788" t="n">
        <f aca="false">SUM($E$77:AE77)</f>
        <v>92793.5702049191</v>
      </c>
      <c r="AF78" s="788" t="n">
        <f aca="false">SUM($E$77:AF77)</f>
        <v>92793.5702049191</v>
      </c>
      <c r="AG78" s="788" t="n">
        <f aca="false">SUM($E$77:AG77)</f>
        <v>92793.5702049191</v>
      </c>
      <c r="AH78" s="788" t="n">
        <f aca="false">SUM($E$77:AH77)</f>
        <v>92793.5702049191</v>
      </c>
      <c r="AI78" s="788" t="n">
        <f aca="false">SUM($E$77:AI77)</f>
        <v>92793.5702049191</v>
      </c>
      <c r="AJ78" s="788" t="n">
        <f aca="false">SUM($E$77:AJ77)</f>
        <v>92793.5702049191</v>
      </c>
      <c r="AK78" s="788" t="n">
        <f aca="false">SUM($E$77:AK77)</f>
        <v>92793.5702049191</v>
      </c>
      <c r="AL78" s="788" t="n">
        <f aca="false">SUM($E$77:AL77)</f>
        <v>92793.5702049191</v>
      </c>
      <c r="AM78" s="788" t="n">
        <f aca="false">SUM($E$77:AM77)</f>
        <v>92793.5702049191</v>
      </c>
      <c r="AN78" s="788" t="n">
        <f aca="false">SUM($E$77:AN77)</f>
        <v>92793.5702049191</v>
      </c>
      <c r="AO78" s="788" t="n">
        <f aca="false">SUM($E$77:AO77)</f>
        <v>92793.5702049191</v>
      </c>
      <c r="AP78" s="788" t="n">
        <f aca="false">SUM($E$77:AP77)</f>
        <v>92793.5702049191</v>
      </c>
      <c r="AQ78" s="788" t="n">
        <f aca="false">SUM($E$77:AQ77)</f>
        <v>92793.5702049191</v>
      </c>
      <c r="AR78" s="788" t="n">
        <f aca="false">SUM($E$77:AR77)</f>
        <v>92793.5702049191</v>
      </c>
      <c r="AS78" s="788" t="n">
        <f aca="false">SUM($E$77:AS77)</f>
        <v>92793.5702049191</v>
      </c>
      <c r="AT78" s="788" t="n">
        <f aca="false">SUM($E$77:AT77)</f>
        <v>92793.5702049191</v>
      </c>
      <c r="AU78" s="788" t="n">
        <f aca="false">SUM($E$77:AU77)</f>
        <v>92793.5702049191</v>
      </c>
      <c r="AV78" s="788" t="n">
        <f aca="false">SUM($E$77:AV77)</f>
        <v>92793.5702049191</v>
      </c>
      <c r="AW78" s="788" t="n">
        <f aca="false">SUM($E$77:AW77)</f>
        <v>92793.5702049191</v>
      </c>
      <c r="AX78" s="788" t="n">
        <f aca="false">SUM($E$77:AX77)</f>
        <v>92793.5702049191</v>
      </c>
      <c r="AY78" s="788" t="n">
        <f aca="false">SUM($E$77:AY77)</f>
        <v>92793.5702049191</v>
      </c>
      <c r="AZ78" s="788" t="n">
        <f aca="false">SUM($E$77:AZ77)</f>
        <v>92793.5702049191</v>
      </c>
      <c r="BA78" s="629"/>
      <c r="BB78" s="175" t="n">
        <f aca="false">BB77+1</f>
        <v>72</v>
      </c>
      <c r="BC78" s="1053"/>
      <c r="BD78" s="1053"/>
      <c r="BE78" s="1053"/>
      <c r="BF78" s="1053"/>
      <c r="BG78" s="1053"/>
      <c r="BH78" s="1053"/>
      <c r="BI78" s="1053"/>
      <c r="BJ78" s="1053"/>
      <c r="BK78" s="1053"/>
      <c r="BL78" s="1053"/>
      <c r="BM78" s="1053"/>
      <c r="BN78" s="1053"/>
      <c r="BO78" s="1053"/>
      <c r="BP78" s="1053"/>
      <c r="BQ78" s="1053"/>
      <c r="BR78" s="1053"/>
      <c r="BS78" s="1053"/>
      <c r="BT78" s="1053"/>
      <c r="BU78" s="1053"/>
      <c r="BV78" s="1053"/>
      <c r="BW78" s="1053"/>
      <c r="BX78" s="1053"/>
      <c r="BY78" s="1053"/>
      <c r="BZ78" s="1053"/>
      <c r="CA78" s="1053"/>
      <c r="CB78" s="1053"/>
      <c r="CC78" s="1053"/>
      <c r="CD78" s="1053"/>
      <c r="CE78" s="1053"/>
      <c r="CF78" s="1053"/>
      <c r="CG78" s="1053"/>
      <c r="CH78" s="1053"/>
      <c r="CI78" s="1053"/>
      <c r="CJ78" s="1053"/>
      <c r="CK78" s="1053"/>
      <c r="CL78" s="1053"/>
      <c r="CM78" s="1053"/>
      <c r="CN78" s="1053"/>
      <c r="CO78" s="1053"/>
      <c r="CP78" s="1053"/>
      <c r="CQ78" s="1053"/>
      <c r="CR78" s="1053"/>
      <c r="CS78" s="1053"/>
      <c r="CT78" s="1053"/>
      <c r="CU78" s="1053"/>
      <c r="CV78" s="1053"/>
      <c r="CW78" s="1053"/>
      <c r="CX78" s="1053"/>
      <c r="CY78" s="1053"/>
      <c r="CZ78" s="1053"/>
      <c r="DA78" s="1053"/>
      <c r="DB78" s="1053"/>
      <c r="DC78" s="1053"/>
      <c r="DD78" s="1053"/>
      <c r="DE78" s="1053"/>
      <c r="DF78" s="1053"/>
      <c r="DG78" s="1053"/>
      <c r="DH78" s="1053"/>
      <c r="DI78" s="1053"/>
      <c r="DJ78" s="1053"/>
      <c r="DK78" s="1053"/>
      <c r="DL78" s="1053"/>
      <c r="DM78" s="1053"/>
      <c r="DN78" s="1053"/>
      <c r="DO78" s="1053"/>
      <c r="DP78" s="1053"/>
      <c r="DQ78" s="1053"/>
      <c r="DR78" s="1053"/>
      <c r="DS78" s="1053"/>
      <c r="DT78" s="1053"/>
      <c r="DU78" s="1053"/>
      <c r="DV78" s="1053"/>
      <c r="DW78" s="1053"/>
      <c r="DX78" s="1053"/>
      <c r="DY78" s="1053"/>
      <c r="DZ78" s="1053"/>
      <c r="EA78" s="1053"/>
      <c r="EB78" s="1053"/>
      <c r="EC78" s="1053"/>
      <c r="ED78" s="1053"/>
      <c r="EE78" s="1053"/>
      <c r="EF78" s="1053"/>
      <c r="EG78" s="1053"/>
      <c r="EH78" s="1053"/>
      <c r="EI78" s="1053"/>
      <c r="EJ78" s="1053"/>
      <c r="EK78" s="1053"/>
      <c r="EL78" s="1053"/>
      <c r="EM78" s="1053"/>
      <c r="EN78" s="1053"/>
      <c r="EO78" s="1053"/>
      <c r="EP78" s="1053"/>
      <c r="EQ78" s="1053"/>
      <c r="ER78" s="1053"/>
      <c r="ES78" s="1053"/>
      <c r="ET78" s="1053"/>
      <c r="EU78" s="1053"/>
      <c r="EV78" s="1053"/>
      <c r="EW78" s="1053"/>
      <c r="EX78" s="1053"/>
      <c r="EY78" s="1053"/>
      <c r="EZ78" s="1053"/>
      <c r="FA78" s="1053"/>
      <c r="FB78" s="1053"/>
      <c r="FC78" s="1053"/>
      <c r="FD78" s="1053"/>
      <c r="FE78" s="1053"/>
      <c r="FF78" s="1053"/>
      <c r="FG78" s="1053"/>
      <c r="FH78" s="1053"/>
      <c r="FI78" s="1053"/>
      <c r="FJ78" s="1053"/>
      <c r="FK78" s="1053"/>
      <c r="FL78" s="1053"/>
      <c r="FM78" s="1053"/>
      <c r="FN78" s="1053"/>
      <c r="FO78" s="1053"/>
      <c r="FP78" s="1053"/>
      <c r="FQ78" s="1053"/>
      <c r="FR78" s="1053"/>
      <c r="FS78" s="1053"/>
      <c r="FT78" s="1053"/>
      <c r="FU78" s="1053"/>
      <c r="FV78" s="1053"/>
      <c r="FW78" s="1053"/>
      <c r="FX78" s="1053"/>
      <c r="FY78" s="1053"/>
      <c r="FZ78" s="1053"/>
      <c r="GA78" s="1053"/>
      <c r="GB78" s="1053"/>
      <c r="GC78" s="1053"/>
      <c r="GD78" s="1053"/>
      <c r="GE78" s="1053"/>
      <c r="GF78" s="1053"/>
      <c r="GG78" s="1053"/>
      <c r="GH78" s="1053"/>
      <c r="GI78" s="1053"/>
      <c r="GJ78" s="1053"/>
      <c r="GK78" s="1053"/>
      <c r="GL78" s="1053"/>
      <c r="GM78" s="1053"/>
      <c r="GN78" s="1053"/>
      <c r="GO78" s="1053"/>
      <c r="GP78" s="1053"/>
      <c r="GQ78" s="1053"/>
      <c r="GR78" s="1053"/>
      <c r="GS78" s="1053"/>
      <c r="GT78" s="1053"/>
      <c r="GU78" s="1053"/>
      <c r="GV78" s="1053"/>
      <c r="GW78" s="1053"/>
      <c r="GX78" s="1053"/>
      <c r="GY78" s="1053"/>
      <c r="GZ78" s="1053"/>
      <c r="HA78" s="1053"/>
      <c r="HB78" s="1053"/>
      <c r="HC78" s="1053"/>
      <c r="HD78" s="1053"/>
      <c r="HE78" s="1053"/>
      <c r="HF78" s="1053"/>
      <c r="HG78" s="1053"/>
      <c r="HH78" s="1053"/>
      <c r="HI78" s="1053"/>
      <c r="HJ78" s="1053"/>
      <c r="HK78" s="1053"/>
      <c r="HL78" s="1053"/>
      <c r="HM78" s="1053"/>
      <c r="HN78" s="1053"/>
      <c r="HO78" s="1053"/>
      <c r="HP78" s="1053"/>
      <c r="HQ78" s="1053"/>
      <c r="HR78" s="1053"/>
      <c r="HS78" s="1053"/>
      <c r="HT78" s="1053"/>
      <c r="HU78" s="1053"/>
      <c r="HV78" s="1053"/>
      <c r="HW78" s="1053"/>
      <c r="HX78" s="1053"/>
      <c r="HY78" s="1053"/>
      <c r="HZ78" s="1053"/>
      <c r="IA78" s="1053"/>
      <c r="IB78" s="1053"/>
      <c r="IC78" s="1053"/>
      <c r="ID78" s="1053"/>
      <c r="IE78" s="1053"/>
      <c r="IF78" s="1053"/>
      <c r="IG78" s="1053"/>
      <c r="IH78" s="1053"/>
      <c r="II78" s="1053"/>
      <c r="IJ78" s="1053"/>
      <c r="IK78" s="1053"/>
      <c r="IL78" s="1053"/>
      <c r="IM78" s="1053"/>
      <c r="IN78" s="1053"/>
      <c r="IO78" s="1053"/>
      <c r="IP78" s="1053"/>
      <c r="IQ78" s="1053"/>
      <c r="IR78" s="1053"/>
      <c r="IS78" s="1053"/>
      <c r="IT78" s="1053"/>
      <c r="IU78" s="1053"/>
      <c r="IV78" s="1053"/>
      <c r="IW78" s="1053"/>
    </row>
    <row r="79" customFormat="false" ht="12.75" hidden="false" customHeight="false" outlineLevel="0" collapsed="false">
      <c r="A79" s="130"/>
      <c r="E79" s="556"/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556"/>
      <c r="Q79" s="556"/>
      <c r="R79" s="556"/>
      <c r="S79" s="556"/>
      <c r="T79" s="556"/>
      <c r="U79" s="556"/>
      <c r="V79" s="556"/>
      <c r="W79" s="556"/>
      <c r="X79" s="556"/>
      <c r="Y79" s="556"/>
      <c r="Z79" s="556"/>
      <c r="AA79" s="556"/>
      <c r="AB79" s="556"/>
      <c r="AC79" s="556"/>
      <c r="AD79" s="556"/>
      <c r="AE79" s="556"/>
      <c r="AF79" s="556"/>
      <c r="AG79" s="556"/>
      <c r="AH79" s="556"/>
      <c r="AI79" s="556"/>
      <c r="AJ79" s="556"/>
      <c r="AK79" s="556"/>
      <c r="AL79" s="556"/>
      <c r="AM79" s="556"/>
      <c r="AN79" s="556"/>
      <c r="AO79" s="556"/>
      <c r="AP79" s="556"/>
      <c r="AQ79" s="556"/>
      <c r="AR79" s="556"/>
      <c r="AS79" s="556"/>
      <c r="AT79" s="556"/>
      <c r="AU79" s="556"/>
      <c r="AV79" s="556"/>
      <c r="AW79" s="556"/>
      <c r="AX79" s="556"/>
      <c r="AY79" s="556"/>
      <c r="AZ79" s="556"/>
      <c r="BA79" s="555"/>
      <c r="BB79" s="175" t="n">
        <f aca="false">BB78+1</f>
        <v>73</v>
      </c>
    </row>
    <row r="80" customFormat="false" ht="12.75" hidden="false" customHeight="false" outlineLevel="0" collapsed="false">
      <c r="A80" s="37" t="s">
        <v>1063</v>
      </c>
      <c r="E80" s="189" t="n">
        <v>0</v>
      </c>
      <c r="F80" s="217" t="n">
        <f aca="false">E84</f>
        <v>7598.20788530466</v>
      </c>
      <c r="G80" s="217" t="n">
        <f aca="false">F84</f>
        <v>7598.20788530466</v>
      </c>
      <c r="H80" s="217" t="n">
        <f aca="false">G84</f>
        <v>10236.7303127453</v>
      </c>
      <c r="I80" s="217" t="n">
        <f aca="false">H84</f>
        <v>19647.4603039502</v>
      </c>
      <c r="J80" s="217" t="n">
        <f aca="false">I84</f>
        <v>32586.1246396146</v>
      </c>
      <c r="K80" s="217" t="n">
        <f aca="false">J84</f>
        <v>37846.994204832</v>
      </c>
      <c r="L80" s="217" t="n">
        <f aca="false">K84</f>
        <v>56602.4064779521</v>
      </c>
      <c r="M80" s="217" t="n">
        <f aca="false">L84</f>
        <v>62363.3695046073</v>
      </c>
      <c r="N80" s="217" t="n">
        <f aca="false">M84</f>
        <v>68055.8079073261</v>
      </c>
      <c r="O80" s="217" t="n">
        <f aca="false">N84</f>
        <v>89223.9318533632</v>
      </c>
      <c r="P80" s="217" t="n">
        <f aca="false">O84</f>
        <v>92793.5702049191</v>
      </c>
      <c r="Q80" s="217" t="n">
        <f aca="false">P84</f>
        <v>92793.5702049191</v>
      </c>
      <c r="R80" s="217" t="n">
        <f aca="false">Q84</f>
        <v>92793.5702049191</v>
      </c>
      <c r="S80" s="217" t="n">
        <f aca="false">R84</f>
        <v>92793.5702049191</v>
      </c>
      <c r="T80" s="217" t="n">
        <f aca="false">S84</f>
        <v>92793.5702049191</v>
      </c>
      <c r="U80" s="217" t="n">
        <f aca="false">T84</f>
        <v>92793.5702049191</v>
      </c>
      <c r="V80" s="217" t="n">
        <f aca="false">U84</f>
        <v>92793.5702049191</v>
      </c>
      <c r="W80" s="217" t="n">
        <f aca="false">V84</f>
        <v>92793.5702049191</v>
      </c>
      <c r="X80" s="217" t="n">
        <f aca="false">W84</f>
        <v>92793.5702049191</v>
      </c>
      <c r="Y80" s="217" t="n">
        <f aca="false">X84</f>
        <v>92793.5702049191</v>
      </c>
      <c r="Z80" s="217" t="n">
        <f aca="false">Y84</f>
        <v>92793.5702049191</v>
      </c>
      <c r="AA80" s="217" t="n">
        <f aca="false">Z84</f>
        <v>92793.5702049191</v>
      </c>
      <c r="AB80" s="217" t="n">
        <f aca="false">AA84</f>
        <v>92793.5702049191</v>
      </c>
      <c r="AC80" s="217" t="n">
        <f aca="false">AB84</f>
        <v>92793.5702049191</v>
      </c>
      <c r="AD80" s="217" t="n">
        <f aca="false">AC84</f>
        <v>92793.5702049191</v>
      </c>
      <c r="AE80" s="217" t="n">
        <f aca="false">AD84</f>
        <v>92793.5702049191</v>
      </c>
      <c r="AF80" s="217" t="n">
        <f aca="false">AE84</f>
        <v>92793.5702049191</v>
      </c>
      <c r="AG80" s="217" t="n">
        <f aca="false">AF84</f>
        <v>92793.5702049191</v>
      </c>
      <c r="AH80" s="217" t="n">
        <f aca="false">AG84</f>
        <v>92793.5702049191</v>
      </c>
      <c r="AI80" s="217" t="n">
        <f aca="false">AH84</f>
        <v>92793.5702049191</v>
      </c>
      <c r="AJ80" s="217" t="n">
        <f aca="false">AI84</f>
        <v>92793.5702049191</v>
      </c>
      <c r="AK80" s="217" t="n">
        <f aca="false">AJ84</f>
        <v>92793.5702049191</v>
      </c>
      <c r="AL80" s="217" t="n">
        <f aca="false">AK84</f>
        <v>92793.5702049191</v>
      </c>
      <c r="AM80" s="217" t="n">
        <f aca="false">AL84</f>
        <v>92793.5702049191</v>
      </c>
      <c r="AN80" s="217" t="n">
        <f aca="false">AM84</f>
        <v>92793.5702049191</v>
      </c>
      <c r="AO80" s="217" t="n">
        <f aca="false">AN84</f>
        <v>92793.5702049191</v>
      </c>
      <c r="AP80" s="217" t="n">
        <f aca="false">AO84</f>
        <v>92793.5702049191</v>
      </c>
      <c r="AQ80" s="217" t="n">
        <f aca="false">AP84</f>
        <v>92793.5702049191</v>
      </c>
      <c r="AR80" s="217" t="n">
        <f aca="false">AQ84</f>
        <v>92793.5702049191</v>
      </c>
      <c r="AS80" s="217" t="n">
        <f aca="false">AR84</f>
        <v>92793.5702049191</v>
      </c>
      <c r="AT80" s="217" t="n">
        <f aca="false">AS84</f>
        <v>92793.5702049191</v>
      </c>
      <c r="AU80" s="217" t="n">
        <f aca="false">AT84</f>
        <v>92793.5702049191</v>
      </c>
      <c r="AV80" s="217" t="n">
        <f aca="false">AU84</f>
        <v>92793.5702049191</v>
      </c>
      <c r="AW80" s="217" t="n">
        <f aca="false">AV84</f>
        <v>92793.5702049191</v>
      </c>
      <c r="AX80" s="217" t="n">
        <f aca="false">AW84</f>
        <v>92793.5702049191</v>
      </c>
      <c r="AY80" s="217" t="n">
        <f aca="false">AX84</f>
        <v>92793.5702049191</v>
      </c>
      <c r="AZ80" s="217" t="n">
        <f aca="false">AY84</f>
        <v>92793.5702049191</v>
      </c>
      <c r="BA80" s="574" t="n">
        <f aca="false">E80</f>
        <v>0</v>
      </c>
      <c r="BB80" s="175" t="n">
        <f aca="false">BB79+1</f>
        <v>74</v>
      </c>
    </row>
    <row r="81" customFormat="false" ht="12.75" hidden="false" customHeight="false" outlineLevel="0" collapsed="false">
      <c r="A81" s="37" t="s">
        <v>1339</v>
      </c>
      <c r="E81" s="217" t="n">
        <f aca="false">IF(E80&gt;=Est_Cost1*Equityperc,0,IF(SUM(E80,E17)&gt;Est_Cost1*Equityperc,Est_Cost1*Equityperc-E80,E17))*0+E77</f>
        <v>7598.20788530466</v>
      </c>
      <c r="F81" s="217" t="n">
        <f aca="false">IF(F80&gt;=Est_Cost1*Equityperc,0,IF(SUM(F80,F17)&gt;Est_Cost1*Equityperc,Est_Cost1*Equityperc-F80,F17))*0+F77</f>
        <v>0</v>
      </c>
      <c r="G81" s="217" t="n">
        <f aca="false">IF(G80&gt;=Est_Cost1*Equityperc,0,IF(SUM(G80,G17)&gt;Est_Cost1*Equityperc,Est_Cost1*Equityperc-G80,G17))*0+G77</f>
        <v>2638.52242744063</v>
      </c>
      <c r="H81" s="217" t="n">
        <f aca="false">IF(H80&gt;=Est_Cost1*Equityperc,0,IF(SUM(H80,H17)&gt;Est_Cost1*Equityperc,Est_Cost1*Equityperc-H80,H17))*0+H77</f>
        <v>9410.72999120493</v>
      </c>
      <c r="I81" s="217" t="n">
        <f aca="false">IF(I80&gt;=Est_Cost1*Equityperc,0,IF(SUM(I80,I17)&gt;Est_Cost1*Equityperc,Est_Cost1*Equityperc-I80,I17))*0+I77</f>
        <v>12938.6643356643</v>
      </c>
      <c r="J81" s="217" t="n">
        <f aca="false">IF(J80&gt;=Est_Cost1*Equityperc,0,IF(SUM(J80,J17)&gt;Est_Cost1*Equityperc,Est_Cost1*Equityperc-J80,J17))*0+J77</f>
        <v>5260.86956521739</v>
      </c>
      <c r="K81" s="217" t="n">
        <f aca="false">IF(K80&gt;=Est_Cost1*Equityperc,0,IF(SUM(K80,K17)&gt;Est_Cost1*Equityperc,Est_Cost1*Equityperc-K80,K17))*0+K77</f>
        <v>18755.4122731201</v>
      </c>
      <c r="L81" s="217" t="n">
        <f aca="false">IF(L80&gt;=Est_Cost1*Equityperc,0,IF(SUM(L80,L17)&gt;Est_Cost1*Equityperc,Est_Cost1*Equityperc-L80,L17))*0+L77</f>
        <v>5760.9630266552</v>
      </c>
      <c r="M81" s="217" t="n">
        <f aca="false">IF(M80&gt;=Est_Cost1*Equityperc,0,IF(SUM(M80,M17)&gt;Est_Cost1*Equityperc,Est_Cost1*Equityperc-M80,M17))*0+M77</f>
        <v>5692.43840271878</v>
      </c>
      <c r="N81" s="217" t="n">
        <f aca="false">IF(N80&gt;=Est_Cost1*Equityperc,0,IF(SUM(N80,N17)&gt;Est_Cost1*Equityperc,Est_Cost1*Equityperc-N80,N17))*0+N77</f>
        <v>21168.1239460371</v>
      </c>
      <c r="O81" s="217" t="n">
        <f aca="false">IF(O80&gt;=Est_Cost1*Equityperc,0,IF(SUM(O80,O17)&gt;Est_Cost1*Equityperc,Est_Cost1*Equityperc-O80,O17))*0+O77</f>
        <v>3569.63835155593</v>
      </c>
      <c r="P81" s="217" t="n">
        <f aca="false">IF(P80&gt;=Est_Cost1*Equityperc,0,IF(SUM(P80,P17)&gt;Est_Cost1*Equityperc,Est_Cost1*Equityperc-P80,P17))*0+P77</f>
        <v>0</v>
      </c>
      <c r="Q81" s="217" t="n">
        <f aca="false">IF(Q80&gt;=Est_Cost1*Equityperc,0,IF(SUM(Q80,Q17)&gt;Est_Cost1*Equityperc,Est_Cost1*Equityperc-Q80,Q17))*0+Q77</f>
        <v>0</v>
      </c>
      <c r="R81" s="217" t="n">
        <f aca="false">IF(R80&gt;=Est_Cost1*Equityperc,0,IF(SUM(R80,R17)&gt;Est_Cost1*Equityperc,Est_Cost1*Equityperc-R80,R17))*0+R77</f>
        <v>0</v>
      </c>
      <c r="S81" s="217" t="n">
        <f aca="false">IF(S80&gt;=Est_Cost1*Equityperc,0,IF(SUM(S80,S17)&gt;Est_Cost1*Equityperc,Est_Cost1*Equityperc-S80,S17))*0+S77</f>
        <v>0</v>
      </c>
      <c r="T81" s="217" t="n">
        <f aca="false">IF(T80&gt;=Est_Cost1*Equityperc,0,IF(SUM(T80,T17)&gt;Est_Cost1*Equityperc,Est_Cost1*Equityperc-T80,T17))*0+T77</f>
        <v>0</v>
      </c>
      <c r="U81" s="217" t="n">
        <f aca="false">IF(U80&gt;=Est_Cost1*Equityperc,0,IF(SUM(U80,U17)&gt;Est_Cost1*Equityperc,Est_Cost1*Equityperc-U80,U17))*0+U77</f>
        <v>0</v>
      </c>
      <c r="V81" s="217" t="n">
        <f aca="false">IF(V80&gt;=Est_Cost1*Equityperc,0,IF(SUM(V80,V17)&gt;Est_Cost1*Equityperc,Est_Cost1*Equityperc-V80,V17))*0+V77</f>
        <v>0</v>
      </c>
      <c r="W81" s="217" t="n">
        <f aca="false">IF(W80&gt;=Est_Cost1*Equityperc,0,IF(SUM(W80,W17)&gt;Est_Cost1*Equityperc,Est_Cost1*Equityperc-W80,W17))*0+W77</f>
        <v>0</v>
      </c>
      <c r="X81" s="217" t="n">
        <f aca="false">IF(X80&gt;=Est_Cost1*Equityperc,0,IF(SUM(X80,X17)&gt;Est_Cost1*Equityperc,Est_Cost1*Equityperc-X80,X17))*0+X77</f>
        <v>0</v>
      </c>
      <c r="Y81" s="217" t="n">
        <f aca="false">IF(Y80&gt;=Est_Cost1*Equityperc,0,IF(SUM(Y80,Y17)&gt;Est_Cost1*Equityperc,Est_Cost1*Equityperc-Y80,Y17))*0+Y77</f>
        <v>0</v>
      </c>
      <c r="Z81" s="217" t="n">
        <f aca="false">IF(Z80&gt;=Est_Cost1*Equityperc,0,IF(SUM(Z80,Z17)&gt;Est_Cost1*Equityperc,Est_Cost1*Equityperc-Z80,Z17))*0+Z77</f>
        <v>0</v>
      </c>
      <c r="AA81" s="217" t="n">
        <f aca="false">IF(AA80&gt;=Est_Cost1*Equityperc,0,IF(SUM(AA80,AA17)&gt;Est_Cost1*Equityperc,Est_Cost1*Equityperc-AA80,AA17))*0+AA77</f>
        <v>0</v>
      </c>
      <c r="AB81" s="217" t="n">
        <f aca="false">IF(AB80&gt;=Est_Cost1*Equityperc,0,IF(SUM(AB80,AB17)&gt;Est_Cost1*Equityperc,Est_Cost1*Equityperc-AB80,AB17))*0+AB77</f>
        <v>0</v>
      </c>
      <c r="AC81" s="217" t="n">
        <f aca="false">IF(AC80&gt;=Est_Cost1*Equityperc,0,IF(SUM(AC80,AC17)&gt;Est_Cost1*Equityperc,Est_Cost1*Equityperc-AC80,AC17))*0+AC77</f>
        <v>0</v>
      </c>
      <c r="AD81" s="217" t="n">
        <f aca="false">IF(AD80&gt;=Est_Cost1*Equityperc,0,IF(SUM(AD80,AD17)&gt;Est_Cost1*Equityperc,Est_Cost1*Equityperc-AD80,AD17))*0+AD77</f>
        <v>0</v>
      </c>
      <c r="AE81" s="217" t="n">
        <f aca="false">IF(AE80&gt;=Est_Cost1*Equityperc,0,IF(SUM(AE80,AE17)&gt;Est_Cost1*Equityperc,Est_Cost1*Equityperc-AE80,AE17))*0+AE77</f>
        <v>0</v>
      </c>
      <c r="AF81" s="217" t="n">
        <f aca="false">IF(AF80&gt;=Est_Cost1*Equityperc,0,IF(SUM(AF80,AF17)&gt;Est_Cost1*Equityperc,Est_Cost1*Equityperc-AF80,AF17))*0+AF77</f>
        <v>0</v>
      </c>
      <c r="AG81" s="217" t="n">
        <f aca="false">IF(AG80&gt;=Est_Cost1*Equityperc,0,IF(SUM(AG80,AG17)&gt;Est_Cost1*Equityperc,Est_Cost1*Equityperc-AG80,AG17))*0+AG77</f>
        <v>0</v>
      </c>
      <c r="AH81" s="217" t="n">
        <f aca="false">IF(AH80&gt;=Est_Cost1*Equityperc,0,IF(SUM(AH80,AH17)&gt;Est_Cost1*Equityperc,Est_Cost1*Equityperc-AH80,AH17))*0+AH77</f>
        <v>0</v>
      </c>
      <c r="AI81" s="217" t="n">
        <f aca="false">IF(AI80&gt;=Est_Cost1*Equityperc,0,IF(SUM(AI80,AI17)&gt;Est_Cost1*Equityperc,Est_Cost1*Equityperc-AI80,AI17))*0+AI77</f>
        <v>0</v>
      </c>
      <c r="AJ81" s="217" t="n">
        <f aca="false">IF(AJ80&gt;=Est_Cost1*Equityperc,0,IF(SUM(AJ80,AJ17)&gt;Est_Cost1*Equityperc,Est_Cost1*Equityperc-AJ80,AJ17))*0+AJ77</f>
        <v>0</v>
      </c>
      <c r="AK81" s="217" t="n">
        <f aca="false">IF(AK80&gt;=Est_Cost1*Equityperc,0,IF(SUM(AK80,AK17)&gt;Est_Cost1*Equityperc,Est_Cost1*Equityperc-AK80,AK17))*0+AK77</f>
        <v>0</v>
      </c>
      <c r="AL81" s="217" t="n">
        <f aca="false">IF(AL80&gt;=Est_Cost1*Equityperc,0,IF(SUM(AL80,AL17)&gt;Est_Cost1*Equityperc,Est_Cost1*Equityperc-AL80,AL17))*0+AL77</f>
        <v>0</v>
      </c>
      <c r="AM81" s="217" t="n">
        <f aca="false">IF(AM80&gt;=Est_Cost1*Equityperc,0,IF(SUM(AM80,AM17)&gt;Est_Cost1*Equityperc,Est_Cost1*Equityperc-AM80,AM17))*0+AM77</f>
        <v>0</v>
      </c>
      <c r="AN81" s="217" t="n">
        <f aca="false">IF(AN80&gt;=Est_Cost1*Equityperc,0,IF(SUM(AN80,AN17)&gt;Est_Cost1*Equityperc,Est_Cost1*Equityperc-AN80,AN17))*0+AN77</f>
        <v>0</v>
      </c>
      <c r="AO81" s="217" t="n">
        <f aca="false">IF(AO80&gt;=Est_Cost1*Equityperc,0,IF(SUM(AO80,AO17)&gt;Est_Cost1*Equityperc,Est_Cost1*Equityperc-AO80,AO17))*0+AO77</f>
        <v>0</v>
      </c>
      <c r="AP81" s="217" t="n">
        <f aca="false">IF(AP80&gt;=Est_Cost1*Equityperc,0,IF(SUM(AP80,AP17)&gt;Est_Cost1*Equityperc,Est_Cost1*Equityperc-AP80,AP17))*0+AP77</f>
        <v>0</v>
      </c>
      <c r="AQ81" s="217" t="n">
        <f aca="false">IF(AQ80&gt;=Est_Cost1*Equityperc,0,IF(SUM(AQ80,AQ17)&gt;Est_Cost1*Equityperc,Est_Cost1*Equityperc-AQ80,AQ17))*0+AQ77</f>
        <v>0</v>
      </c>
      <c r="AR81" s="217" t="n">
        <f aca="false">IF(AR80&gt;=Est_Cost1*Equityperc,0,IF(SUM(AR80,AR17)&gt;Est_Cost1*Equityperc,Est_Cost1*Equityperc-AR80,AR17))*0+AR77</f>
        <v>0</v>
      </c>
      <c r="AS81" s="217" t="n">
        <f aca="false">IF(AS80&gt;=Est_Cost1*Equityperc,0,IF(SUM(AS80,AS17)&gt;Est_Cost1*Equityperc,Est_Cost1*Equityperc-AS80,AS17))*0+AS77</f>
        <v>0</v>
      </c>
      <c r="AT81" s="217" t="n">
        <f aca="false">IF(AT80&gt;=Est_Cost1*Equityperc,0,IF(SUM(AT80,AT17)&gt;Est_Cost1*Equityperc,Est_Cost1*Equityperc-AT80,AT17))*0+AT77</f>
        <v>0</v>
      </c>
      <c r="AU81" s="217" t="n">
        <f aca="false">IF(AU80&gt;=Est_Cost1*Equityperc,0,IF(SUM(AU80,AU17)&gt;Est_Cost1*Equityperc,Est_Cost1*Equityperc-AU80,AU17))*0+AU77</f>
        <v>0</v>
      </c>
      <c r="AV81" s="217" t="n">
        <f aca="false">IF(AV80&gt;=Est_Cost1*Equityperc,0,IF(SUM(AV80,AV17)&gt;Est_Cost1*Equityperc,Est_Cost1*Equityperc-AV80,AV17))*0+AV77</f>
        <v>0</v>
      </c>
      <c r="AW81" s="217" t="n">
        <f aca="false">IF(AW80&gt;=Est_Cost1*Equityperc,0,IF(SUM(AW80,AW17)&gt;Est_Cost1*Equityperc,Est_Cost1*Equityperc-AW80,AW17))*0+AW77</f>
        <v>0</v>
      </c>
      <c r="AX81" s="217" t="n">
        <f aca="false">IF(AX80&gt;=Est_Cost1*Equityperc,0,IF(SUM(AX80,AX17)&gt;Est_Cost1*Equityperc,Est_Cost1*Equityperc-AX80,AX17))*0+AX77</f>
        <v>0</v>
      </c>
      <c r="AY81" s="217" t="n">
        <f aca="false">IF(AY80&gt;=Est_Cost1*Equityperc,0,IF(SUM(AY80,AY17)&gt;Est_Cost1*Equityperc,Est_Cost1*Equityperc-AY80,AY17))*0+AY77</f>
        <v>0</v>
      </c>
      <c r="AZ81" s="217" t="n">
        <f aca="false">IF(AZ80&gt;=Est_Cost1*Equityperc,0,IF(SUM(AZ80,AZ17)&gt;Est_Cost1*Equityperc,Est_Cost1*Equityperc-AZ80,AZ17))*0+AZ77</f>
        <v>0</v>
      </c>
      <c r="BA81" s="574" t="n">
        <f aca="false">SUM(E81:AZ81)</f>
        <v>92793.5702049191</v>
      </c>
      <c r="BB81" s="175" t="n">
        <f aca="false">BB80+1</f>
        <v>75</v>
      </c>
    </row>
    <row r="82" customFormat="false" ht="12.75" hidden="false" customHeight="false" outlineLevel="0" collapsed="false">
      <c r="A82" s="37" t="s">
        <v>82</v>
      </c>
      <c r="E82" s="189" t="n">
        <v>0</v>
      </c>
      <c r="F82" s="189" t="n">
        <v>0</v>
      </c>
      <c r="G82" s="189" t="n">
        <v>0</v>
      </c>
      <c r="H82" s="189" t="n">
        <v>0</v>
      </c>
      <c r="I82" s="189" t="n">
        <v>0</v>
      </c>
      <c r="J82" s="189" t="n">
        <v>0</v>
      </c>
      <c r="K82" s="189" t="n">
        <v>0</v>
      </c>
      <c r="L82" s="189" t="n">
        <v>0</v>
      </c>
      <c r="M82" s="189" t="n">
        <v>0</v>
      </c>
      <c r="N82" s="189" t="n">
        <v>0</v>
      </c>
      <c r="O82" s="189" t="n">
        <v>0</v>
      </c>
      <c r="P82" s="189" t="n">
        <v>0</v>
      </c>
      <c r="Q82" s="189" t="n">
        <v>0</v>
      </c>
      <c r="R82" s="189" t="n">
        <v>0</v>
      </c>
      <c r="S82" s="189" t="n">
        <v>0</v>
      </c>
      <c r="T82" s="189" t="n">
        <v>0</v>
      </c>
      <c r="U82" s="189" t="n">
        <v>0</v>
      </c>
      <c r="V82" s="189" t="n">
        <v>0</v>
      </c>
      <c r="W82" s="189" t="n">
        <v>0</v>
      </c>
      <c r="X82" s="189" t="n">
        <v>0</v>
      </c>
      <c r="Y82" s="189" t="n">
        <v>0</v>
      </c>
      <c r="Z82" s="189" t="n">
        <v>0</v>
      </c>
      <c r="AA82" s="189" t="n">
        <v>0</v>
      </c>
      <c r="AB82" s="189" t="n">
        <v>0</v>
      </c>
      <c r="AC82" s="189" t="n">
        <v>0</v>
      </c>
      <c r="AD82" s="189" t="n">
        <v>0</v>
      </c>
      <c r="AE82" s="189" t="n">
        <v>0</v>
      </c>
      <c r="AF82" s="189" t="n">
        <v>0</v>
      </c>
      <c r="AG82" s="189" t="n">
        <v>0</v>
      </c>
      <c r="AH82" s="189" t="n">
        <v>0</v>
      </c>
      <c r="AI82" s="189" t="n">
        <v>0</v>
      </c>
      <c r="AJ82" s="189" t="n">
        <v>0</v>
      </c>
      <c r="AK82" s="189" t="n">
        <v>0</v>
      </c>
      <c r="AL82" s="189" t="n">
        <v>0</v>
      </c>
      <c r="AM82" s="189" t="n">
        <v>0</v>
      </c>
      <c r="AN82" s="189" t="n">
        <v>0</v>
      </c>
      <c r="AO82" s="189" t="n">
        <v>0</v>
      </c>
      <c r="AP82" s="189" t="n">
        <v>0</v>
      </c>
      <c r="AQ82" s="189" t="n">
        <v>0</v>
      </c>
      <c r="AR82" s="189" t="n">
        <v>0</v>
      </c>
      <c r="AS82" s="189" t="n">
        <v>0</v>
      </c>
      <c r="AT82" s="189" t="n">
        <v>0</v>
      </c>
      <c r="AU82" s="189" t="n">
        <v>0</v>
      </c>
      <c r="AV82" s="189" t="n">
        <v>0</v>
      </c>
      <c r="AW82" s="189" t="n">
        <v>0</v>
      </c>
      <c r="AX82" s="189" t="n">
        <v>0</v>
      </c>
      <c r="AY82" s="189" t="n">
        <v>0</v>
      </c>
      <c r="AZ82" s="189" t="n">
        <v>0</v>
      </c>
      <c r="BA82" s="574" t="n">
        <f aca="false">SUM(E82:AZ82)</f>
        <v>0</v>
      </c>
      <c r="BB82" s="175" t="n">
        <f aca="false">BB81+1</f>
        <v>76</v>
      </c>
    </row>
    <row r="83" customFormat="false" ht="12.75" hidden="false" customHeight="false" outlineLevel="0" collapsed="false">
      <c r="A83" s="37" t="s">
        <v>1340</v>
      </c>
      <c r="E83" s="1054" t="n">
        <v>0</v>
      </c>
      <c r="F83" s="1054" t="n">
        <v>0</v>
      </c>
      <c r="G83" s="1054" t="n">
        <v>0</v>
      </c>
      <c r="H83" s="1054" t="n">
        <v>0</v>
      </c>
      <c r="I83" s="1054" t="n">
        <v>0</v>
      </c>
      <c r="J83" s="1054" t="n">
        <v>0</v>
      </c>
      <c r="K83" s="1054" t="n">
        <v>0</v>
      </c>
      <c r="L83" s="1054" t="n">
        <v>0</v>
      </c>
      <c r="M83" s="1054" t="n">
        <v>0</v>
      </c>
      <c r="N83" s="1054" t="n">
        <v>0</v>
      </c>
      <c r="O83" s="1054" t="n">
        <v>0</v>
      </c>
      <c r="P83" s="1054" t="n">
        <v>0</v>
      </c>
      <c r="Q83" s="1054" t="n">
        <v>0</v>
      </c>
      <c r="R83" s="1054" t="n">
        <v>0</v>
      </c>
      <c r="S83" s="1054" t="n">
        <v>0</v>
      </c>
      <c r="T83" s="1054" t="n">
        <v>0</v>
      </c>
      <c r="U83" s="1054" t="n">
        <v>0</v>
      </c>
      <c r="V83" s="1054" t="n">
        <v>0</v>
      </c>
      <c r="W83" s="1054" t="n">
        <v>0</v>
      </c>
      <c r="X83" s="1054" t="n">
        <v>0</v>
      </c>
      <c r="Y83" s="1054" t="n">
        <v>0</v>
      </c>
      <c r="Z83" s="1054" t="n">
        <v>0</v>
      </c>
      <c r="AA83" s="1054" t="n">
        <v>0</v>
      </c>
      <c r="AB83" s="1054" t="n">
        <v>0</v>
      </c>
      <c r="AC83" s="1054" t="n">
        <v>0</v>
      </c>
      <c r="AD83" s="1054" t="n">
        <v>0</v>
      </c>
      <c r="AE83" s="1054" t="n">
        <v>0</v>
      </c>
      <c r="AF83" s="1054" t="n">
        <v>0</v>
      </c>
      <c r="AG83" s="1054" t="n">
        <v>0</v>
      </c>
      <c r="AH83" s="1054" t="n">
        <v>0</v>
      </c>
      <c r="AI83" s="1054" t="n">
        <v>0</v>
      </c>
      <c r="AJ83" s="1054" t="n">
        <v>0</v>
      </c>
      <c r="AK83" s="1054" t="n">
        <v>0</v>
      </c>
      <c r="AL83" s="1054" t="n">
        <v>0</v>
      </c>
      <c r="AM83" s="1054" t="n">
        <v>0</v>
      </c>
      <c r="AN83" s="1054" t="n">
        <v>0</v>
      </c>
      <c r="AO83" s="1054" t="n">
        <v>0</v>
      </c>
      <c r="AP83" s="1054" t="n">
        <v>0</v>
      </c>
      <c r="AQ83" s="1054" t="n">
        <v>0</v>
      </c>
      <c r="AR83" s="1054" t="n">
        <v>0</v>
      </c>
      <c r="AS83" s="1054" t="n">
        <v>0</v>
      </c>
      <c r="AT83" s="1054" t="n">
        <v>0</v>
      </c>
      <c r="AU83" s="1054" t="n">
        <v>0</v>
      </c>
      <c r="AV83" s="1054" t="n">
        <v>0</v>
      </c>
      <c r="AW83" s="1054" t="n">
        <v>0</v>
      </c>
      <c r="AX83" s="1054" t="n">
        <v>0</v>
      </c>
      <c r="AY83" s="1054" t="n">
        <v>0</v>
      </c>
      <c r="AZ83" s="1054" t="n">
        <v>0</v>
      </c>
      <c r="BA83" s="576" t="n">
        <f aca="false">SUM(E83:AZ83)</f>
        <v>0</v>
      </c>
      <c r="BB83" s="175" t="n">
        <f aca="false">BB82+1</f>
        <v>77</v>
      </c>
    </row>
    <row r="84" customFormat="false" ht="12.75" hidden="false" customHeight="false" outlineLevel="0" collapsed="false">
      <c r="A84" s="37" t="s">
        <v>1067</v>
      </c>
      <c r="E84" s="217" t="n">
        <f aca="false">SUM(E80:E83)</f>
        <v>7598.20788530466</v>
      </c>
      <c r="F84" s="217" t="n">
        <f aca="false">SUM(F80:F83)</f>
        <v>7598.20788530466</v>
      </c>
      <c r="G84" s="217" t="n">
        <f aca="false">SUM(G80:G83)</f>
        <v>10236.7303127453</v>
      </c>
      <c r="H84" s="217" t="n">
        <f aca="false">SUM(H80:H83)</f>
        <v>19647.4603039502</v>
      </c>
      <c r="I84" s="217" t="n">
        <f aca="false">SUM(I80:I83)</f>
        <v>32586.1246396146</v>
      </c>
      <c r="J84" s="217" t="n">
        <f aca="false">SUM(J80:J83)</f>
        <v>37846.994204832</v>
      </c>
      <c r="K84" s="217" t="n">
        <f aca="false">SUM(K80:K83)</f>
        <v>56602.4064779521</v>
      </c>
      <c r="L84" s="217" t="n">
        <f aca="false">SUM(L80:L83)</f>
        <v>62363.3695046073</v>
      </c>
      <c r="M84" s="217" t="n">
        <f aca="false">SUM(M80:M83)</f>
        <v>68055.8079073261</v>
      </c>
      <c r="N84" s="217" t="n">
        <f aca="false">SUM(N80:N83)</f>
        <v>89223.9318533632</v>
      </c>
      <c r="O84" s="217" t="n">
        <f aca="false">SUM(O80:O83)</f>
        <v>92793.5702049191</v>
      </c>
      <c r="P84" s="217" t="n">
        <f aca="false">SUM(P80:P83)</f>
        <v>92793.5702049191</v>
      </c>
      <c r="Q84" s="217" t="n">
        <f aca="false">SUM(Q80:Q83)</f>
        <v>92793.5702049191</v>
      </c>
      <c r="R84" s="217" t="n">
        <f aca="false">SUM(R80:R83)</f>
        <v>92793.5702049191</v>
      </c>
      <c r="S84" s="217" t="n">
        <f aca="false">SUM(S80:S83)</f>
        <v>92793.5702049191</v>
      </c>
      <c r="T84" s="217" t="n">
        <f aca="false">SUM(T80:T83)</f>
        <v>92793.5702049191</v>
      </c>
      <c r="U84" s="217" t="n">
        <f aca="false">SUM(U80:U83)</f>
        <v>92793.5702049191</v>
      </c>
      <c r="V84" s="217" t="n">
        <f aca="false">SUM(V80:V83)</f>
        <v>92793.5702049191</v>
      </c>
      <c r="W84" s="217" t="n">
        <f aca="false">SUM(W80:W83)</f>
        <v>92793.5702049191</v>
      </c>
      <c r="X84" s="217" t="n">
        <f aca="false">SUM(X80:X83)</f>
        <v>92793.5702049191</v>
      </c>
      <c r="Y84" s="217" t="n">
        <f aca="false">SUM(Y80:Y83)</f>
        <v>92793.5702049191</v>
      </c>
      <c r="Z84" s="217" t="n">
        <f aca="false">SUM(Z80:Z83)</f>
        <v>92793.5702049191</v>
      </c>
      <c r="AA84" s="217" t="n">
        <f aca="false">SUM(AA80:AA83)</f>
        <v>92793.5702049191</v>
      </c>
      <c r="AB84" s="217" t="n">
        <f aca="false">SUM(AB80:AB83)</f>
        <v>92793.5702049191</v>
      </c>
      <c r="AC84" s="217" t="n">
        <f aca="false">SUM(AC80:AC83)</f>
        <v>92793.5702049191</v>
      </c>
      <c r="AD84" s="217" t="n">
        <f aca="false">SUM(AD80:AD83)</f>
        <v>92793.5702049191</v>
      </c>
      <c r="AE84" s="217" t="n">
        <f aca="false">SUM(AE80:AE83)</f>
        <v>92793.5702049191</v>
      </c>
      <c r="AF84" s="217" t="n">
        <f aca="false">SUM(AF80:AF83)</f>
        <v>92793.5702049191</v>
      </c>
      <c r="AG84" s="217" t="n">
        <f aca="false">SUM(AG80:AG83)</f>
        <v>92793.5702049191</v>
      </c>
      <c r="AH84" s="217" t="n">
        <f aca="false">SUM(AH80:AH83)</f>
        <v>92793.5702049191</v>
      </c>
      <c r="AI84" s="217" t="n">
        <f aca="false">SUM(AI80:AI83)</f>
        <v>92793.5702049191</v>
      </c>
      <c r="AJ84" s="217" t="n">
        <f aca="false">SUM(AJ80:AJ83)</f>
        <v>92793.5702049191</v>
      </c>
      <c r="AK84" s="217" t="n">
        <f aca="false">SUM(AK80:AK83)</f>
        <v>92793.5702049191</v>
      </c>
      <c r="AL84" s="217" t="n">
        <f aca="false">SUM(AL80:AL83)</f>
        <v>92793.5702049191</v>
      </c>
      <c r="AM84" s="217" t="n">
        <f aca="false">SUM(AM80:AM83)</f>
        <v>92793.5702049191</v>
      </c>
      <c r="AN84" s="217" t="n">
        <f aca="false">SUM(AN80:AN83)</f>
        <v>92793.5702049191</v>
      </c>
      <c r="AO84" s="217" t="n">
        <f aca="false">SUM(AO80:AO83)</f>
        <v>92793.5702049191</v>
      </c>
      <c r="AP84" s="217" t="n">
        <f aca="false">SUM(AP80:AP83)</f>
        <v>92793.5702049191</v>
      </c>
      <c r="AQ84" s="217" t="n">
        <f aca="false">SUM(AQ80:AQ83)</f>
        <v>92793.5702049191</v>
      </c>
      <c r="AR84" s="217" t="n">
        <f aca="false">SUM(AR80:AR83)</f>
        <v>92793.5702049191</v>
      </c>
      <c r="AS84" s="217" t="n">
        <f aca="false">SUM(AS80:AS83)</f>
        <v>92793.5702049191</v>
      </c>
      <c r="AT84" s="217" t="n">
        <f aca="false">SUM(AT80:AT83)</f>
        <v>92793.5702049191</v>
      </c>
      <c r="AU84" s="217" t="n">
        <f aca="false">SUM(AU80:AU83)</f>
        <v>92793.5702049191</v>
      </c>
      <c r="AV84" s="217" t="n">
        <f aca="false">SUM(AV80:AV83)</f>
        <v>92793.5702049191</v>
      </c>
      <c r="AW84" s="217" t="n">
        <f aca="false">SUM(AW80:AW83)</f>
        <v>92793.5702049191</v>
      </c>
      <c r="AX84" s="217" t="n">
        <f aca="false">SUM(AX80:AX83)</f>
        <v>92793.5702049191</v>
      </c>
      <c r="AY84" s="217" t="n">
        <f aca="false">SUM(AY80:AY83)</f>
        <v>92793.5702049191</v>
      </c>
      <c r="AZ84" s="217" t="n">
        <f aca="false">SUM(AZ80:AZ83)</f>
        <v>92793.5702049191</v>
      </c>
      <c r="BA84" s="574" t="n">
        <f aca="false">SUM(BA80:BA83)</f>
        <v>92793.5702049191</v>
      </c>
      <c r="BB84" s="175" t="n">
        <f aca="false">BB83+1</f>
        <v>78</v>
      </c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</row>
    <row r="85" customFormat="false" ht="12.75" hidden="false" customHeight="false" outlineLevel="0" collapsed="false">
      <c r="A85" s="37"/>
      <c r="BA85" s="555"/>
      <c r="BB85" s="175" t="n">
        <f aca="false">BB84+1</f>
        <v>79</v>
      </c>
    </row>
    <row r="86" customFormat="false" ht="12.75" hidden="false" customHeight="false" outlineLevel="0" collapsed="false">
      <c r="A86" s="1055" t="s">
        <v>1364</v>
      </c>
      <c r="B86" s="1056"/>
      <c r="C86" s="1057" t="n">
        <f aca="false">BA54</f>
        <v>23757.5965400157</v>
      </c>
      <c r="BA86" s="555"/>
      <c r="BB86" s="175" t="n">
        <f aca="false">BB85+1</f>
        <v>80</v>
      </c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  <c r="IV86" s="38"/>
      <c r="IW86" s="38"/>
    </row>
    <row r="87" customFormat="false" ht="12.75" hidden="false" customHeight="false" outlineLevel="0" collapsed="false">
      <c r="A87" s="1058" t="s">
        <v>1365</v>
      </c>
      <c r="B87" s="1059"/>
      <c r="C87" s="1060" t="n">
        <f aca="false">BA59</f>
        <v>2168.19824822887</v>
      </c>
      <c r="BA87" s="555"/>
      <c r="BB87" s="175" t="n">
        <f aca="false">BB86+1</f>
        <v>81</v>
      </c>
    </row>
    <row r="88" customFormat="false" ht="12.75" hidden="false" customHeight="false" outlineLevel="0" collapsed="false">
      <c r="A88" s="37"/>
      <c r="BA88" s="555"/>
      <c r="BB88" s="175" t="n">
        <f aca="false">BB87+1</f>
        <v>82</v>
      </c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</row>
    <row r="89" customFormat="false" ht="12.75" hidden="false" customHeight="false" outlineLevel="0" collapsed="false">
      <c r="A89" s="37" t="s">
        <v>1366</v>
      </c>
      <c r="E89" s="217" t="n">
        <f aca="false">SUM($E28:E28)</f>
        <v>0</v>
      </c>
      <c r="F89" s="217" t="n">
        <f aca="false">SUM($E28:F28)</f>
        <v>0</v>
      </c>
      <c r="G89" s="217" t="n">
        <f aca="false">SUM($E28:G28)</f>
        <v>0</v>
      </c>
      <c r="H89" s="217" t="n">
        <f aca="false">SUM($E28:H28)</f>
        <v>0</v>
      </c>
      <c r="I89" s="217" t="n">
        <f aca="false">SUM($E28:I28)</f>
        <v>0</v>
      </c>
      <c r="J89" s="217" t="n">
        <f aca="false">SUM($E28:J28)</f>
        <v>0</v>
      </c>
      <c r="K89" s="217" t="n">
        <f aca="false">SUM($E28:K28)</f>
        <v>0</v>
      </c>
      <c r="L89" s="217" t="n">
        <f aca="false">SUM($E28:L28)</f>
        <v>0</v>
      </c>
      <c r="M89" s="217" t="n">
        <f aca="false">SUM($E28:M28)</f>
        <v>0</v>
      </c>
      <c r="N89" s="217" t="n">
        <f aca="false">SUM($E28:N28)</f>
        <v>0</v>
      </c>
      <c r="O89" s="217" t="n">
        <f aca="false">SUM($E28:O28)</f>
        <v>2495.37762825904</v>
      </c>
      <c r="P89" s="217" t="n">
        <f aca="false">SUM($E28:P28)</f>
        <v>11948.3777966659</v>
      </c>
      <c r="Q89" s="217" t="n">
        <f aca="false">SUM($E28:Q28)</f>
        <v>26324.8775479509</v>
      </c>
      <c r="R89" s="217" t="n">
        <f aca="false">SUM($E28:R28)</f>
        <v>27849.327801758</v>
      </c>
      <c r="S89" s="217" t="n">
        <f aca="false">SUM($E28:S28)</f>
        <v>27849.327801758</v>
      </c>
      <c r="T89" s="217" t="n">
        <f aca="false">SUM($E28:T28)</f>
        <v>29768.7175567692</v>
      </c>
      <c r="U89" s="217" t="n">
        <f aca="false">SUM($E28:U28)</f>
        <v>56430.0605834754</v>
      </c>
      <c r="V89" s="217" t="n">
        <f aca="false">SUM($E28:V28)</f>
        <v>56430.0605834754</v>
      </c>
      <c r="W89" s="217" t="n">
        <f aca="false">SUM($E28:W28)</f>
        <v>74698.7095705002</v>
      </c>
      <c r="X89" s="217" t="n">
        <f aca="false">SUM($E28:X28)</f>
        <v>77220.2627385443</v>
      </c>
      <c r="Y89" s="217" t="n">
        <f aca="false">SUM($E28:Y28)</f>
        <v>77220.2627385443</v>
      </c>
      <c r="Z89" s="217" t="n">
        <f aca="false">SUM($E28:Z28)</f>
        <v>79027.2975406043</v>
      </c>
      <c r="AA89" s="217" t="n">
        <f aca="false">SUM($E28:AA28)</f>
        <v>80924.4253388634</v>
      </c>
      <c r="AB89" s="217" t="n">
        <f aca="false">SUM($E28:AB28)</f>
        <v>81758.6197997778</v>
      </c>
      <c r="AC89" s="217" t="n">
        <f aca="false">SUM($E28:AC28)</f>
        <v>81344.7930585816</v>
      </c>
      <c r="AD89" s="217" t="n">
        <f aca="false">SUM($E28:AD28)</f>
        <v>82553.7067292429</v>
      </c>
      <c r="AE89" s="217" t="n">
        <f aca="false">SUM($E28:AE28)</f>
        <v>82464.6972846735</v>
      </c>
      <c r="AF89" s="217" t="n">
        <f aca="false">SUM($E28:AF28)</f>
        <v>80680.7214705603</v>
      </c>
      <c r="AG89" s="217" t="n">
        <f aca="false">SUM($E28:AG28)</f>
        <v>94250.6950967125</v>
      </c>
      <c r="AH89" s="217" t="n">
        <f aca="false">SUM($E28:AH28)</f>
        <v>95320.6687228646</v>
      </c>
      <c r="AI89" s="217" t="n">
        <f aca="false">SUM($E28:AI28)</f>
        <v>96390.6423490168</v>
      </c>
      <c r="AJ89" s="217" t="n">
        <f aca="false">SUM($E28:AJ28)</f>
        <v>101162.708348177</v>
      </c>
      <c r="AK89" s="217" t="n">
        <f aca="false">SUM($E28:AK28)</f>
        <v>121290.139687646</v>
      </c>
      <c r="AL89" s="217" t="n">
        <f aca="false">SUM($E28:AL28)</f>
        <v>121290.139687646</v>
      </c>
      <c r="AM89" s="217" t="n">
        <f aca="false">SUM($E28:AM28)</f>
        <v>121290.139687646</v>
      </c>
      <c r="AN89" s="217" t="n">
        <f aca="false">SUM($E28:AN28)</f>
        <v>121290.139687646</v>
      </c>
      <c r="AO89" s="217" t="n">
        <f aca="false">SUM($E28:AO28)</f>
        <v>121290.139687646</v>
      </c>
      <c r="AP89" s="217" t="n">
        <f aca="false">SUM($E28:AP28)</f>
        <v>121290.139687646</v>
      </c>
      <c r="AQ89" s="217" t="n">
        <f aca="false">SUM($E28:AQ28)</f>
        <v>121290.139687646</v>
      </c>
      <c r="AR89" s="217" t="n">
        <f aca="false">SUM($E28:AR28)</f>
        <v>121290.139687646</v>
      </c>
      <c r="AS89" s="217" t="n">
        <f aca="false">SUM($E28:AS28)</f>
        <v>121290.139687646</v>
      </c>
      <c r="AT89" s="217" t="n">
        <f aca="false">SUM($E28:AT28)</f>
        <v>121290.139687646</v>
      </c>
      <c r="AU89" s="217" t="n">
        <f aca="false">SUM($E28:AU28)</f>
        <v>121290.139687646</v>
      </c>
      <c r="AV89" s="217" t="n">
        <f aca="false">SUM($E28:AV28)</f>
        <v>121290.139687646</v>
      </c>
      <c r="AW89" s="217" t="n">
        <f aca="false">SUM($E28:AW28)</f>
        <v>121290.139687646</v>
      </c>
      <c r="AX89" s="217" t="n">
        <f aca="false">SUM($E28:AX28)</f>
        <v>121290.139687646</v>
      </c>
      <c r="AY89" s="217" t="n">
        <f aca="false">SUM($E28:AY28)</f>
        <v>121290.139687646</v>
      </c>
      <c r="AZ89" s="217" t="n">
        <f aca="false">SUM($E28:AZ28)</f>
        <v>121290.139687646</v>
      </c>
      <c r="BA89" s="555"/>
      <c r="BB89" s="175" t="n">
        <f aca="false">BB88+1</f>
        <v>83</v>
      </c>
    </row>
    <row r="90" customFormat="false" ht="12.75" hidden="false" customHeight="false" outlineLevel="0" collapsed="false">
      <c r="A90" s="37" t="s">
        <v>1367</v>
      </c>
      <c r="E90" s="217" t="n">
        <f aca="false">SUM($E29:E29)</f>
        <v>0</v>
      </c>
      <c r="F90" s="217" t="n">
        <f aca="false">SUM($E29:F29)</f>
        <v>0</v>
      </c>
      <c r="G90" s="217" t="n">
        <f aca="false">SUM($E29:G29)</f>
        <v>0</v>
      </c>
      <c r="H90" s="217" t="n">
        <f aca="false">SUM($E29:H29)</f>
        <v>0</v>
      </c>
      <c r="I90" s="217" t="n">
        <f aca="false">SUM($E29:I29)</f>
        <v>0</v>
      </c>
      <c r="J90" s="217" t="n">
        <f aca="false">SUM($E29:J29)</f>
        <v>0</v>
      </c>
      <c r="K90" s="217" t="n">
        <f aca="false">SUM($E29:K29)</f>
        <v>0</v>
      </c>
      <c r="L90" s="217" t="n">
        <f aca="false">SUM($E29:L29)</f>
        <v>0</v>
      </c>
      <c r="M90" s="217" t="n">
        <f aca="false">SUM($E29:M29)</f>
        <v>0</v>
      </c>
      <c r="N90" s="217" t="n">
        <f aca="false">SUM($E29:N29)</f>
        <v>0</v>
      </c>
      <c r="O90" s="217" t="n">
        <f aca="false">SUM($E29:O29)</f>
        <v>6.2384440706476</v>
      </c>
      <c r="P90" s="217" t="n">
        <f aca="false">SUM($E29:P29)</f>
        <v>42.3845293627873</v>
      </c>
      <c r="Q90" s="217" t="n">
        <f aca="false">SUM($E29:Q29)</f>
        <v>138.316988485287</v>
      </c>
      <c r="R90" s="217" t="n">
        <f aca="false">SUM($E29:R29)</f>
        <v>274.566131203591</v>
      </c>
      <c r="S90" s="217" t="n">
        <f aca="false">SUM($E29:S29)</f>
        <v>415.427865101814</v>
      </c>
      <c r="T90" s="217" t="n">
        <f aca="false">SUM($E29:T29)</f>
        <v>561.91667182226</v>
      </c>
      <c r="U90" s="217" t="n">
        <f aca="false">SUM($E29:U29)</f>
        <v>780.719009360061</v>
      </c>
      <c r="V90" s="217" t="n">
        <f aca="false">SUM($E29:V29)</f>
        <v>1067.46177703838</v>
      </c>
      <c r="W90" s="217" t="n">
        <f aca="false">SUM($E29:W29)</f>
        <v>1401.56288934707</v>
      </c>
      <c r="X90" s="217" t="n">
        <f aca="false">SUM($E29:X29)</f>
        <v>1789.60480770408</v>
      </c>
      <c r="Y90" s="217" t="n">
        <f aca="false">SUM($E29:Y29)</f>
        <v>2186.23320850094</v>
      </c>
      <c r="Z90" s="217" t="n">
        <f aca="false">SUM($E29:Z29)</f>
        <v>2589.71230454294</v>
      </c>
      <c r="AA90" s="217" t="n">
        <f aca="false">SUM($E29:AA29)</f>
        <v>3004.82521353304</v>
      </c>
      <c r="AB90" s="217" t="n">
        <f aca="false">SUM($E29:AB29)</f>
        <v>3429.20826881219</v>
      </c>
      <c r="AC90" s="217" t="n">
        <f aca="false">SUM($E29:AC29)</f>
        <v>3857.13861430404</v>
      </c>
      <c r="AD90" s="217" t="n">
        <f aca="false">SUM($E29:AD29)</f>
        <v>4289.57391444598</v>
      </c>
      <c r="AE90" s="217" t="n">
        <f aca="false">SUM($E29:AE29)</f>
        <v>4727.3527122128</v>
      </c>
      <c r="AF90" s="217" t="n">
        <f aca="false">SUM($E29:AF29)</f>
        <v>5163.02421623155</v>
      </c>
      <c r="AG90" s="217" t="n">
        <f aca="false">SUM($E29:AG29)</f>
        <v>5630.72348833345</v>
      </c>
      <c r="AH90" s="217" t="n">
        <f aca="false">SUM($E29:AH29)</f>
        <v>6137.77380075494</v>
      </c>
      <c r="AI90" s="217" t="n">
        <f aca="false">SUM($E29:AI29)</f>
        <v>6653.15663020379</v>
      </c>
      <c r="AJ90" s="217" t="n">
        <f aca="false">SUM($E29:AJ29)</f>
        <v>7186.17622241856</v>
      </c>
      <c r="AK90" s="217" t="n">
        <f aca="false">SUM($E29:AK29)</f>
        <v>7784.57996734588</v>
      </c>
      <c r="AL90" s="217" t="n">
        <f aca="false">SUM($E29:AL29)</f>
        <v>7784.57996734588</v>
      </c>
      <c r="AM90" s="217" t="n">
        <f aca="false">SUM($E29:AM29)</f>
        <v>7784.57996734588</v>
      </c>
      <c r="AN90" s="217" t="n">
        <f aca="false">SUM($E29:AN29)</f>
        <v>7784.57996734588</v>
      </c>
      <c r="AO90" s="217" t="n">
        <f aca="false">SUM($E29:AO29)</f>
        <v>7784.57996734588</v>
      </c>
      <c r="AP90" s="217" t="n">
        <f aca="false">SUM($E29:AP29)</f>
        <v>7784.57996734588</v>
      </c>
      <c r="AQ90" s="217" t="n">
        <f aca="false">SUM($E29:AQ29)</f>
        <v>7784.57996734588</v>
      </c>
      <c r="AR90" s="217" t="n">
        <f aca="false">SUM($E29:AR29)</f>
        <v>7784.57996734588</v>
      </c>
      <c r="AS90" s="217" t="n">
        <f aca="false">SUM($E29:AS29)</f>
        <v>7784.57996734588</v>
      </c>
      <c r="AT90" s="217" t="n">
        <f aca="false">SUM($E29:AT29)</f>
        <v>7784.57996734588</v>
      </c>
      <c r="AU90" s="217" t="n">
        <f aca="false">SUM($E29:AU29)</f>
        <v>7784.57996734588</v>
      </c>
      <c r="AV90" s="217" t="n">
        <f aca="false">SUM($E29:AV29)</f>
        <v>7784.57996734588</v>
      </c>
      <c r="AW90" s="217" t="n">
        <f aca="false">SUM($E29:AW29)</f>
        <v>7784.57996734588</v>
      </c>
      <c r="AX90" s="217" t="n">
        <f aca="false">SUM($E29:AX29)</f>
        <v>7784.57996734588</v>
      </c>
      <c r="AY90" s="217" t="n">
        <f aca="false">SUM($E29:AY29)</f>
        <v>7784.57996734588</v>
      </c>
      <c r="AZ90" s="217" t="n">
        <f aca="false">SUM($E29:AZ29)</f>
        <v>7784.57996734588</v>
      </c>
      <c r="BA90" s="555"/>
      <c r="BB90" s="175" t="n">
        <f aca="false">BB89+1</f>
        <v>84</v>
      </c>
    </row>
    <row r="91" customFormat="false" ht="12.75" hidden="false" customHeight="false" outlineLevel="0" collapsed="false">
      <c r="A91" s="37" t="s">
        <v>1368</v>
      </c>
      <c r="E91" s="220" t="n">
        <f aca="false">SUM($E30:E30)</f>
        <v>0</v>
      </c>
      <c r="F91" s="220" t="n">
        <f aca="false">SUM($E30:F30)</f>
        <v>0</v>
      </c>
      <c r="G91" s="220" t="n">
        <f aca="false">SUM($E30:G30)</f>
        <v>0</v>
      </c>
      <c r="H91" s="220" t="n">
        <f aca="false">SUM($E30:H30)</f>
        <v>0</v>
      </c>
      <c r="I91" s="220" t="n">
        <f aca="false">SUM($E30:I30)</f>
        <v>0</v>
      </c>
      <c r="J91" s="220" t="n">
        <f aca="false">SUM($E30:J30)</f>
        <v>0</v>
      </c>
      <c r="K91" s="220" t="n">
        <f aca="false">SUM($E30:K30)</f>
        <v>0</v>
      </c>
      <c r="L91" s="220" t="n">
        <f aca="false">SUM($E30:L30)</f>
        <v>0</v>
      </c>
      <c r="M91" s="220" t="n">
        <f aca="false">SUM($E30:M30)</f>
        <v>0</v>
      </c>
      <c r="N91" s="220" t="n">
        <f aca="false">SUM($E30:N30)</f>
        <v>0</v>
      </c>
      <c r="O91" s="220" t="n">
        <f aca="false">SUM($E30:O30)</f>
        <v>1.10090189482017</v>
      </c>
      <c r="P91" s="220" t="n">
        <f aca="false">SUM($E30:P30)</f>
        <v>7.47962282872718</v>
      </c>
      <c r="Q91" s="220" t="n">
        <f aca="false">SUM($E30:Q30)</f>
        <v>24.408880320933</v>
      </c>
      <c r="R91" s="220" t="n">
        <f aca="false">SUM($E30:R30)</f>
        <v>48.4528466829866</v>
      </c>
      <c r="S91" s="220" t="n">
        <f aca="false">SUM($E30:S30)</f>
        <v>73.3107997238495</v>
      </c>
      <c r="T91" s="220" t="n">
        <f aca="false">SUM($E30:T30)</f>
        <v>99.161765615693</v>
      </c>
      <c r="U91" s="220" t="n">
        <f aca="false">SUM($E30:U30)</f>
        <v>137.773942828246</v>
      </c>
      <c r="V91" s="220" t="n">
        <f aca="false">SUM($E30:V30)</f>
        <v>188.375607712655</v>
      </c>
      <c r="W91" s="220" t="n">
        <f aca="false">SUM($E30:W30)</f>
        <v>247.334627531837</v>
      </c>
      <c r="X91" s="220" t="n">
        <f aca="false">SUM($E30:X30)</f>
        <v>315.812613124249</v>
      </c>
      <c r="Y91" s="220" t="n">
        <f aca="false">SUM($E30:Y30)</f>
        <v>385.805860323696</v>
      </c>
      <c r="Z91" s="220" t="n">
        <f aca="false">SUM($E30:Z30)</f>
        <v>457.008053742871</v>
      </c>
      <c r="AA91" s="220" t="n">
        <f aca="false">SUM($E30:AA30)</f>
        <v>530.263272976418</v>
      </c>
      <c r="AB91" s="220" t="n">
        <f aca="false">SUM($E30:AB30)</f>
        <v>605.154400378621</v>
      </c>
      <c r="AC91" s="220" t="n">
        <f aca="false">SUM($E30:AC30)</f>
        <v>680.671520171301</v>
      </c>
      <c r="AD91" s="220" t="n">
        <f aca="false">SUM($E30:AD30)</f>
        <v>756.983631961055</v>
      </c>
      <c r="AE91" s="220" t="n">
        <f aca="false">SUM($E30:AE30)</f>
        <v>834.238713919907</v>
      </c>
      <c r="AF91" s="220" t="n">
        <f aca="false">SUM($E30:AF30)</f>
        <v>911.12192051145</v>
      </c>
      <c r="AG91" s="220" t="n">
        <f aca="false">SUM($E30:AG30)</f>
        <v>993.657086176491</v>
      </c>
      <c r="AH91" s="220" t="n">
        <f aca="false">SUM($E30:AH30)</f>
        <v>1083.1365530744</v>
      </c>
      <c r="AI91" s="220" t="n">
        <f aca="false">SUM($E30:AI30)</f>
        <v>1174.08646415361</v>
      </c>
      <c r="AJ91" s="220" t="n">
        <f aca="false">SUM($E30:AJ30)</f>
        <v>1268.14874513269</v>
      </c>
      <c r="AK91" s="220" t="n">
        <f aca="false">SUM($E30:AK30)</f>
        <v>1373.74940600221</v>
      </c>
      <c r="AL91" s="220" t="n">
        <f aca="false">SUM($E30:AL30)</f>
        <v>1373.74940600221</v>
      </c>
      <c r="AM91" s="220" t="n">
        <f aca="false">SUM($E30:AM30)</f>
        <v>1373.74940600221</v>
      </c>
      <c r="AN91" s="220" t="n">
        <f aca="false">SUM($E30:AN30)</f>
        <v>1373.74940600221</v>
      </c>
      <c r="AO91" s="220" t="n">
        <f aca="false">SUM($E30:AO30)</f>
        <v>1373.74940600221</v>
      </c>
      <c r="AP91" s="220" t="n">
        <f aca="false">SUM($E30:AP30)</f>
        <v>1373.74940600221</v>
      </c>
      <c r="AQ91" s="220" t="n">
        <f aca="false">SUM($E30:AQ30)</f>
        <v>1373.74940600221</v>
      </c>
      <c r="AR91" s="220" t="n">
        <f aca="false">SUM($E30:AR30)</f>
        <v>1373.74940600221</v>
      </c>
      <c r="AS91" s="220" t="n">
        <f aca="false">SUM($E30:AS30)</f>
        <v>1373.74940600221</v>
      </c>
      <c r="AT91" s="220" t="n">
        <f aca="false">SUM($E30:AT30)</f>
        <v>1373.74940600221</v>
      </c>
      <c r="AU91" s="220" t="n">
        <f aca="false">SUM($E30:AU30)</f>
        <v>1373.74940600221</v>
      </c>
      <c r="AV91" s="220" t="n">
        <f aca="false">SUM($E30:AV30)</f>
        <v>1373.74940600221</v>
      </c>
      <c r="AW91" s="220" t="n">
        <f aca="false">SUM($E30:AW30)</f>
        <v>1373.74940600221</v>
      </c>
      <c r="AX91" s="220" t="n">
        <f aca="false">SUM($E30:AX30)</f>
        <v>1373.74940600221</v>
      </c>
      <c r="AY91" s="220" t="n">
        <f aca="false">SUM($E30:AY30)</f>
        <v>1373.74940600221</v>
      </c>
      <c r="AZ91" s="220" t="n">
        <f aca="false">SUM($E30:AZ30)</f>
        <v>1373.74940600221</v>
      </c>
      <c r="BA91" s="555"/>
      <c r="BB91" s="175" t="n">
        <f aca="false">BB90+1</f>
        <v>85</v>
      </c>
    </row>
    <row r="92" customFormat="false" ht="13.5" hidden="false" customHeight="false" outlineLevel="0" collapsed="false">
      <c r="A92" s="70" t="s">
        <v>1369</v>
      </c>
      <c r="B92" s="71"/>
      <c r="C92" s="71"/>
      <c r="D92" s="71"/>
      <c r="E92" s="286" t="n">
        <f aca="false">SUM(E89:E91)</f>
        <v>0</v>
      </c>
      <c r="F92" s="286" t="n">
        <f aca="false">SUM(F89:F91)</f>
        <v>0</v>
      </c>
      <c r="G92" s="286" t="n">
        <f aca="false">SUM(G89:G91)</f>
        <v>0</v>
      </c>
      <c r="H92" s="286" t="n">
        <f aca="false">SUM(H89:H91)</f>
        <v>0</v>
      </c>
      <c r="I92" s="286" t="n">
        <f aca="false">SUM(I89:I91)</f>
        <v>0</v>
      </c>
      <c r="J92" s="286" t="n">
        <f aca="false">SUM(J89:J91)</f>
        <v>0</v>
      </c>
      <c r="K92" s="286" t="n">
        <f aca="false">SUM(K89:K91)</f>
        <v>0</v>
      </c>
      <c r="L92" s="286" t="n">
        <f aca="false">SUM(L89:L91)</f>
        <v>0</v>
      </c>
      <c r="M92" s="286" t="n">
        <f aca="false">SUM(M89:M91)</f>
        <v>0</v>
      </c>
      <c r="N92" s="286" t="n">
        <f aca="false">SUM(N89:N91)</f>
        <v>0</v>
      </c>
      <c r="O92" s="286" t="n">
        <f aca="false">SUM(O89:O91)</f>
        <v>2502.71697422451</v>
      </c>
      <c r="P92" s="286" t="n">
        <f aca="false">SUM(P89:P91)</f>
        <v>11998.2419488574</v>
      </c>
      <c r="Q92" s="286" t="n">
        <f aca="false">SUM(Q89:Q91)</f>
        <v>26487.6034167572</v>
      </c>
      <c r="R92" s="286" t="n">
        <f aca="false">SUM(R89:R91)</f>
        <v>28172.3467796446</v>
      </c>
      <c r="S92" s="286" t="n">
        <f aca="false">SUM(S89:S91)</f>
        <v>28338.0664665837</v>
      </c>
      <c r="T92" s="286" t="n">
        <f aca="false">SUM(T89:T91)</f>
        <v>30429.7959942071</v>
      </c>
      <c r="U92" s="286" t="n">
        <f aca="false">SUM(U89:U91)</f>
        <v>57348.5535356637</v>
      </c>
      <c r="V92" s="286" t="n">
        <f aca="false">SUM(V89:V91)</f>
        <v>57685.8979682264</v>
      </c>
      <c r="W92" s="286" t="n">
        <f aca="false">SUM(W89:W91)</f>
        <v>76347.6070873791</v>
      </c>
      <c r="X92" s="286" t="n">
        <f aca="false">SUM(X89:X91)</f>
        <v>79325.6801593726</v>
      </c>
      <c r="Y92" s="286" t="n">
        <f aca="false">SUM(Y89:Y91)</f>
        <v>79792.3018073689</v>
      </c>
      <c r="Z92" s="286" t="n">
        <f aca="false">SUM(Z89:Z91)</f>
        <v>82074.0178988901</v>
      </c>
      <c r="AA92" s="286" t="n">
        <f aca="false">SUM(AA89:AA91)</f>
        <v>84459.5138253729</v>
      </c>
      <c r="AB92" s="286" t="n">
        <f aca="false">SUM(AB89:AB91)</f>
        <v>85792.9824689686</v>
      </c>
      <c r="AC92" s="286" t="n">
        <f aca="false">SUM(AC89:AC91)</f>
        <v>85882.6031930569</v>
      </c>
      <c r="AD92" s="286" t="n">
        <f aca="false">SUM(AD89:AD91)</f>
        <v>87600.2642756499</v>
      </c>
      <c r="AE92" s="286" t="n">
        <f aca="false">SUM(AE89:AE91)</f>
        <v>88026.2887108062</v>
      </c>
      <c r="AF92" s="286" t="n">
        <f aca="false">SUM(AF89:AF91)</f>
        <v>86754.8676073033</v>
      </c>
      <c r="AG92" s="286" t="n">
        <f aca="false">SUM(AG89:AG91)</f>
        <v>100875.075671222</v>
      </c>
      <c r="AH92" s="286" t="n">
        <f aca="false">SUM(AH89:AH91)</f>
        <v>102541.579076694</v>
      </c>
      <c r="AI92" s="286" t="n">
        <f aca="false">SUM(AI89:AI91)</f>
        <v>104217.885443374</v>
      </c>
      <c r="AJ92" s="286" t="n">
        <f aca="false">SUM(AJ89:AJ91)</f>
        <v>109617.033315728</v>
      </c>
      <c r="AK92" s="286" t="n">
        <f aca="false">SUM(AK89:AK91)</f>
        <v>130448.469060994</v>
      </c>
      <c r="AL92" s="286" t="n">
        <f aca="false">SUM(AL89:AL91)</f>
        <v>130448.469060994</v>
      </c>
      <c r="AM92" s="286" t="n">
        <f aca="false">SUM(AM89:AM91)</f>
        <v>130448.469060994</v>
      </c>
      <c r="AN92" s="286" t="n">
        <f aca="false">SUM(AN89:AN91)</f>
        <v>130448.469060994</v>
      </c>
      <c r="AO92" s="286" t="n">
        <f aca="false">SUM(AO89:AO91)</f>
        <v>130448.469060994</v>
      </c>
      <c r="AP92" s="286" t="n">
        <f aca="false">SUM(AP89:AP91)</f>
        <v>130448.469060994</v>
      </c>
      <c r="AQ92" s="286" t="n">
        <f aca="false">SUM(AQ89:AQ91)</f>
        <v>130448.469060994</v>
      </c>
      <c r="AR92" s="286" t="n">
        <f aca="false">SUM(AR89:AR91)</f>
        <v>130448.469060994</v>
      </c>
      <c r="AS92" s="286" t="n">
        <f aca="false">SUM(AS89:AS91)</f>
        <v>130448.469060994</v>
      </c>
      <c r="AT92" s="286" t="n">
        <f aca="false">SUM(AT89:AT91)</f>
        <v>130448.469060994</v>
      </c>
      <c r="AU92" s="286" t="n">
        <f aca="false">SUM(AU89:AU91)</f>
        <v>130448.469060994</v>
      </c>
      <c r="AV92" s="286" t="n">
        <f aca="false">SUM(AV89:AV91)</f>
        <v>130448.469060994</v>
      </c>
      <c r="AW92" s="286" t="n">
        <f aca="false">SUM(AW89:AW91)</f>
        <v>130448.469060994</v>
      </c>
      <c r="AX92" s="286" t="n">
        <f aca="false">SUM(AX89:AX91)</f>
        <v>130448.469060994</v>
      </c>
      <c r="AY92" s="286" t="n">
        <f aca="false">SUM(AY89:AY91)</f>
        <v>130448.469060994</v>
      </c>
      <c r="AZ92" s="286" t="n">
        <f aca="false">SUM(AZ89:AZ91)</f>
        <v>130448.469060994</v>
      </c>
      <c r="BA92" s="611"/>
      <c r="BB92" s="175" t="n">
        <f aca="false">BB91+1</f>
        <v>86</v>
      </c>
    </row>
    <row r="94" customFormat="false" ht="13.5" hidden="false" customHeight="false" outlineLevel="0" collapsed="false"/>
    <row r="95" customFormat="false" ht="12.75" hidden="false" customHeight="false" outlineLevel="0" collapsed="false">
      <c r="A95" s="523" t="s">
        <v>1295</v>
      </c>
      <c r="B95" s="28"/>
      <c r="C95" s="28"/>
      <c r="D95" s="28"/>
      <c r="E95" s="1061" t="n">
        <f aca="false">E$6</f>
        <v>1</v>
      </c>
      <c r="F95" s="1061" t="n">
        <f aca="false">F$6</f>
        <v>2</v>
      </c>
      <c r="G95" s="1061" t="n">
        <f aca="false">G$6</f>
        <v>3</v>
      </c>
      <c r="H95" s="1061" t="n">
        <f aca="false">H$6</f>
        <v>4</v>
      </c>
      <c r="I95" s="1061" t="n">
        <f aca="false">I$6</f>
        <v>5</v>
      </c>
      <c r="J95" s="1061" t="n">
        <f aca="false">J$6</f>
        <v>6</v>
      </c>
      <c r="K95" s="1061" t="n">
        <f aca="false">K$6</f>
        <v>7</v>
      </c>
      <c r="L95" s="1061" t="n">
        <f aca="false">L$6</f>
        <v>8</v>
      </c>
      <c r="M95" s="1061" t="n">
        <f aca="false">M$6</f>
        <v>9</v>
      </c>
      <c r="N95" s="1061" t="n">
        <f aca="false">N$6</f>
        <v>10</v>
      </c>
      <c r="O95" s="1061" t="n">
        <f aca="false">O$6</f>
        <v>11</v>
      </c>
      <c r="P95" s="1061" t="n">
        <f aca="false">P$6</f>
        <v>12</v>
      </c>
      <c r="Q95" s="1061" t="n">
        <f aca="false">Q$6</f>
        <v>13</v>
      </c>
      <c r="R95" s="1061" t="n">
        <f aca="false">R$6</f>
        <v>14</v>
      </c>
      <c r="S95" s="1061" t="n">
        <f aca="false">S$6</f>
        <v>15</v>
      </c>
      <c r="T95" s="1061" t="n">
        <f aca="false">T$6</f>
        <v>16</v>
      </c>
      <c r="U95" s="1061" t="n">
        <f aca="false">U$6</f>
        <v>17</v>
      </c>
      <c r="V95" s="1061" t="n">
        <f aca="false">V$6</f>
        <v>18</v>
      </c>
      <c r="W95" s="1061" t="n">
        <f aca="false">W$6</f>
        <v>19</v>
      </c>
      <c r="X95" s="1061" t="n">
        <f aca="false">X$6</f>
        <v>20</v>
      </c>
      <c r="Y95" s="1061" t="n">
        <f aca="false">Y$6</f>
        <v>21</v>
      </c>
      <c r="Z95" s="1061" t="n">
        <f aca="false">Z$6</f>
        <v>22</v>
      </c>
      <c r="AA95" s="1061" t="n">
        <f aca="false">AA$6</f>
        <v>23</v>
      </c>
      <c r="AB95" s="1061" t="n">
        <f aca="false">AB$6</f>
        <v>24</v>
      </c>
      <c r="AC95" s="1061" t="n">
        <f aca="false">AC$6</f>
        <v>25</v>
      </c>
      <c r="AD95" s="1061" t="n">
        <f aca="false">AD$6</f>
        <v>26</v>
      </c>
      <c r="AE95" s="1061" t="n">
        <f aca="false">AE$6</f>
        <v>27</v>
      </c>
      <c r="AF95" s="1061" t="n">
        <f aca="false">AF$6</f>
        <v>28</v>
      </c>
      <c r="AG95" s="1061" t="n">
        <f aca="false">AG$6</f>
        <v>29</v>
      </c>
      <c r="AH95" s="1061" t="n">
        <f aca="false">AH$6</f>
        <v>30</v>
      </c>
      <c r="AI95" s="1061" t="n">
        <f aca="false">AI$6</f>
        <v>31</v>
      </c>
      <c r="AJ95" s="1061" t="n">
        <f aca="false">AJ$6</f>
        <v>32</v>
      </c>
      <c r="AK95" s="1061" t="n">
        <f aca="false">AK$6</f>
        <v>33</v>
      </c>
      <c r="AL95" s="1061" t="n">
        <f aca="false">AL$6</f>
        <v>34</v>
      </c>
      <c r="AM95" s="1061" t="n">
        <f aca="false">AM$6</f>
        <v>35</v>
      </c>
      <c r="AN95" s="1061" t="n">
        <f aca="false">AN$6</f>
        <v>36</v>
      </c>
      <c r="AO95" s="1061" t="n">
        <f aca="false">AO$6</f>
        <v>37</v>
      </c>
      <c r="AP95" s="1061" t="n">
        <f aca="false">AP$6</f>
        <v>38</v>
      </c>
      <c r="AQ95" s="1061" t="n">
        <f aca="false">AQ$6</f>
        <v>39</v>
      </c>
      <c r="AR95" s="1061" t="n">
        <f aca="false">AR$6</f>
        <v>40</v>
      </c>
      <c r="AS95" s="1061" t="n">
        <f aca="false">AS$6</f>
        <v>41</v>
      </c>
      <c r="AT95" s="1061" t="n">
        <f aca="false">AT$6</f>
        <v>42</v>
      </c>
      <c r="AU95" s="1061" t="n">
        <f aca="false">AU$6</f>
        <v>43</v>
      </c>
      <c r="AV95" s="1061" t="n">
        <f aca="false">AV$6</f>
        <v>44</v>
      </c>
      <c r="AW95" s="1061" t="n">
        <f aca="false">AW$6</f>
        <v>45</v>
      </c>
      <c r="AX95" s="1061" t="n">
        <f aca="false">AX$6</f>
        <v>46</v>
      </c>
      <c r="AY95" s="1061" t="n">
        <f aca="false">AY$6</f>
        <v>47</v>
      </c>
      <c r="AZ95" s="1061" t="n">
        <f aca="false">AZ$6</f>
        <v>48</v>
      </c>
      <c r="BA95" s="539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</row>
    <row r="96" customFormat="false" ht="13.5" hidden="false" customHeight="false" outlineLevel="0" collapsed="false">
      <c r="A96" s="634" t="s">
        <v>1296</v>
      </c>
      <c r="B96" s="1032"/>
      <c r="C96" s="1032"/>
      <c r="D96" s="1032"/>
      <c r="E96" s="1033" t="n">
        <f aca="false">E$7</f>
        <v>35765</v>
      </c>
      <c r="F96" s="1033" t="n">
        <f aca="false">F$7</f>
        <v>35796</v>
      </c>
      <c r="G96" s="1033" t="n">
        <f aca="false">G$7</f>
        <v>35827</v>
      </c>
      <c r="H96" s="1033" t="n">
        <f aca="false">H$7</f>
        <v>35855</v>
      </c>
      <c r="I96" s="1033" t="n">
        <f aca="false">I$7</f>
        <v>35886</v>
      </c>
      <c r="J96" s="1033" t="n">
        <f aca="false">J$7</f>
        <v>35916</v>
      </c>
      <c r="K96" s="1033" t="n">
        <f aca="false">K$7</f>
        <v>35947</v>
      </c>
      <c r="L96" s="1033" t="n">
        <f aca="false">L$7</f>
        <v>35977</v>
      </c>
      <c r="M96" s="1033" t="n">
        <f aca="false">M$7</f>
        <v>36008</v>
      </c>
      <c r="N96" s="1033" t="n">
        <f aca="false">N$7</f>
        <v>36039</v>
      </c>
      <c r="O96" s="1033" t="n">
        <f aca="false">O$7</f>
        <v>36069</v>
      </c>
      <c r="P96" s="1033" t="n">
        <f aca="false">P$7</f>
        <v>36100</v>
      </c>
      <c r="Q96" s="1033" t="n">
        <f aca="false">Q$7</f>
        <v>36130</v>
      </c>
      <c r="R96" s="1033" t="n">
        <f aca="false">R$7</f>
        <v>36161</v>
      </c>
      <c r="S96" s="1033" t="n">
        <f aca="false">S$7</f>
        <v>36192</v>
      </c>
      <c r="T96" s="1033" t="n">
        <f aca="false">T$7</f>
        <v>36220</v>
      </c>
      <c r="U96" s="1033" t="n">
        <f aca="false">U$7</f>
        <v>36251</v>
      </c>
      <c r="V96" s="1033" t="n">
        <f aca="false">V$7</f>
        <v>36281</v>
      </c>
      <c r="W96" s="1033" t="n">
        <f aca="false">W$7</f>
        <v>36312</v>
      </c>
      <c r="X96" s="1033" t="n">
        <f aca="false">X$7</f>
        <v>36342</v>
      </c>
      <c r="Y96" s="1033" t="n">
        <f aca="false">Y$7</f>
        <v>36373</v>
      </c>
      <c r="Z96" s="1033" t="n">
        <f aca="false">Z$7</f>
        <v>36404</v>
      </c>
      <c r="AA96" s="1033" t="n">
        <f aca="false">AA$7</f>
        <v>36434</v>
      </c>
      <c r="AB96" s="1033" t="n">
        <f aca="false">AB$7</f>
        <v>36465</v>
      </c>
      <c r="AC96" s="1033" t="n">
        <f aca="false">AC$7</f>
        <v>36495</v>
      </c>
      <c r="AD96" s="1033" t="n">
        <f aca="false">AD$7</f>
        <v>36526</v>
      </c>
      <c r="AE96" s="1033" t="n">
        <f aca="false">AE$7</f>
        <v>36557</v>
      </c>
      <c r="AF96" s="1033" t="n">
        <f aca="false">AF$7</f>
        <v>36586</v>
      </c>
      <c r="AG96" s="1033" t="n">
        <f aca="false">AG$7</f>
        <v>36617</v>
      </c>
      <c r="AH96" s="1033" t="n">
        <f aca="false">AH$7</f>
        <v>36647</v>
      </c>
      <c r="AI96" s="1033" t="n">
        <f aca="false">AI$7</f>
        <v>36678</v>
      </c>
      <c r="AJ96" s="1033" t="n">
        <f aca="false">AJ$7</f>
        <v>36708</v>
      </c>
      <c r="AK96" s="1033" t="n">
        <f aca="false">AK$7</f>
        <v>36739</v>
      </c>
      <c r="AL96" s="1033" t="n">
        <f aca="false">AL$7</f>
        <v>36770</v>
      </c>
      <c r="AM96" s="1033" t="n">
        <f aca="false">AM$7</f>
        <v>36800</v>
      </c>
      <c r="AN96" s="1033" t="n">
        <f aca="false">AN$7</f>
        <v>36831</v>
      </c>
      <c r="AO96" s="1033" t="n">
        <f aca="false">AO$7</f>
        <v>36861</v>
      </c>
      <c r="AP96" s="1033" t="n">
        <f aca="false">AP$7</f>
        <v>36892</v>
      </c>
      <c r="AQ96" s="1033" t="n">
        <f aca="false">AQ$7</f>
        <v>36923</v>
      </c>
      <c r="AR96" s="1033" t="n">
        <f aca="false">AR$7</f>
        <v>36951</v>
      </c>
      <c r="AS96" s="1033" t="n">
        <f aca="false">AS$7</f>
        <v>36982</v>
      </c>
      <c r="AT96" s="1033" t="n">
        <f aca="false">AT$7</f>
        <v>37012</v>
      </c>
      <c r="AU96" s="1033" t="n">
        <f aca="false">AU$7</f>
        <v>37043</v>
      </c>
      <c r="AV96" s="1033" t="n">
        <f aca="false">AV$7</f>
        <v>37073</v>
      </c>
      <c r="AW96" s="1033" t="n">
        <f aca="false">AW$7</f>
        <v>37104</v>
      </c>
      <c r="AX96" s="1033" t="n">
        <f aca="false">AX$7</f>
        <v>37135</v>
      </c>
      <c r="AY96" s="1033" t="n">
        <f aca="false">AY$7</f>
        <v>37165</v>
      </c>
      <c r="AZ96" s="1033" t="n">
        <f aca="false">AZ$7</f>
        <v>37196</v>
      </c>
      <c r="BA96" s="544" t="s">
        <v>766</v>
      </c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</row>
    <row r="97" customFormat="false" ht="12.75" hidden="false" customHeight="false" outlineLevel="0" collapsed="false">
      <c r="A97" s="523"/>
      <c r="BA97" s="555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</row>
    <row r="98" customFormat="false" ht="12.75" hidden="false" customHeight="false" outlineLevel="0" collapsed="false">
      <c r="A98" s="1062" t="s">
        <v>102</v>
      </c>
      <c r="BA98" s="555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</row>
    <row r="99" customFormat="false" ht="12.75" hidden="false" customHeight="false" outlineLevel="0" collapsed="false">
      <c r="A99" s="37"/>
      <c r="BA99" s="555"/>
    </row>
    <row r="100" customFormat="false" ht="12.75" hidden="false" customHeight="false" outlineLevel="0" collapsed="false">
      <c r="A100" s="130" t="s">
        <v>1370</v>
      </c>
      <c r="P100" s="656"/>
      <c r="Q100" s="556"/>
      <c r="BA100" s="555"/>
      <c r="BC100" s="1063"/>
      <c r="BD100" s="1064" t="s">
        <v>102</v>
      </c>
      <c r="BE100" s="1065"/>
    </row>
    <row r="101" customFormat="false" ht="12.75" hidden="false" customHeight="false" outlineLevel="0" collapsed="false">
      <c r="A101" s="37" t="s">
        <v>1371</v>
      </c>
      <c r="E101" s="189" t="n">
        <v>0</v>
      </c>
      <c r="F101" s="217" t="n">
        <f aca="false">E104</f>
        <v>0</v>
      </c>
      <c r="G101" s="217" t="n">
        <f aca="false">F104</f>
        <v>0</v>
      </c>
      <c r="H101" s="217" t="n">
        <f aca="false">G104</f>
        <v>0</v>
      </c>
      <c r="I101" s="217" t="n">
        <f aca="false">H104</f>
        <v>0</v>
      </c>
      <c r="J101" s="217" t="n">
        <f aca="false">I104</f>
        <v>0</v>
      </c>
      <c r="K101" s="217" t="n">
        <f aca="false">J104</f>
        <v>0</v>
      </c>
      <c r="L101" s="217" t="n">
        <f aca="false">K104</f>
        <v>0</v>
      </c>
      <c r="M101" s="217" t="n">
        <f aca="false">L104</f>
        <v>0</v>
      </c>
      <c r="N101" s="217" t="n">
        <f aca="false">M104</f>
        <v>0</v>
      </c>
      <c r="O101" s="217" t="n">
        <f aca="false">N104</f>
        <v>0</v>
      </c>
      <c r="P101" s="217" t="n">
        <f aca="false">O104</f>
        <v>0</v>
      </c>
      <c r="Q101" s="217" t="n">
        <f aca="false">P104</f>
        <v>0</v>
      </c>
      <c r="R101" s="217" t="n">
        <f aca="false">Q104</f>
        <v>0</v>
      </c>
      <c r="S101" s="217" t="n">
        <f aca="false">R104</f>
        <v>0</v>
      </c>
      <c r="T101" s="217" t="n">
        <f aca="false">S104</f>
        <v>0</v>
      </c>
      <c r="U101" s="217" t="n">
        <f aca="false">T104</f>
        <v>0</v>
      </c>
      <c r="V101" s="217" t="n">
        <f aca="false">U104</f>
        <v>0</v>
      </c>
      <c r="W101" s="217" t="n">
        <f aca="false">V104</f>
        <v>0</v>
      </c>
      <c r="X101" s="217" t="n">
        <f aca="false">W104</f>
        <v>0</v>
      </c>
      <c r="Y101" s="217" t="n">
        <f aca="false">X104</f>
        <v>0</v>
      </c>
      <c r="Z101" s="217" t="n">
        <f aca="false">Y104</f>
        <v>0</v>
      </c>
      <c r="AA101" s="217" t="n">
        <f aca="false">Z104</f>
        <v>0</v>
      </c>
      <c r="AB101" s="217" t="n">
        <f aca="false">AA104</f>
        <v>0</v>
      </c>
      <c r="AC101" s="217" t="n">
        <f aca="false">AB104</f>
        <v>0</v>
      </c>
      <c r="AD101" s="217" t="n">
        <f aca="false">AC104</f>
        <v>0</v>
      </c>
      <c r="AE101" s="217" t="n">
        <f aca="false">AD104</f>
        <v>0</v>
      </c>
      <c r="AF101" s="217" t="n">
        <f aca="false">AE104</f>
        <v>0</v>
      </c>
      <c r="AG101" s="217" t="n">
        <f aca="false">AF104</f>
        <v>0</v>
      </c>
      <c r="AH101" s="217" t="n">
        <f aca="false">AG104</f>
        <v>0</v>
      </c>
      <c r="AI101" s="217" t="n">
        <f aca="false">AH104</f>
        <v>0</v>
      </c>
      <c r="AJ101" s="217" t="n">
        <f aca="false">AI104</f>
        <v>0</v>
      </c>
      <c r="AK101" s="217" t="n">
        <f aca="false">AJ104</f>
        <v>0</v>
      </c>
      <c r="AL101" s="217" t="n">
        <f aca="false">AK104</f>
        <v>0</v>
      </c>
      <c r="AM101" s="217" t="n">
        <f aca="false">AL104</f>
        <v>71247.5310985315</v>
      </c>
      <c r="AN101" s="217" t="n">
        <f aca="false">AM104</f>
        <v>69330.1277345621</v>
      </c>
      <c r="AO101" s="217" t="n">
        <f aca="false">AN104</f>
        <v>67397.8317296686</v>
      </c>
      <c r="AP101" s="217" t="n">
        <f aca="false">AO104</f>
        <v>50109.5149354051</v>
      </c>
      <c r="AQ101" s="217" t="n">
        <f aca="false">AP104</f>
        <v>48027.9307368327</v>
      </c>
      <c r="AR101" s="217" t="n">
        <f aca="false">AQ104</f>
        <v>45930.1786903231</v>
      </c>
      <c r="AS101" s="217" t="n">
        <f aca="false">AR104</f>
        <v>43816.1332187764</v>
      </c>
      <c r="AT101" s="217" t="n">
        <f aca="false">AS104</f>
        <v>26344.6552937332</v>
      </c>
      <c r="AU101" s="217" t="n">
        <f aca="false">AT104</f>
        <v>24078.4873357348</v>
      </c>
      <c r="AV101" s="217" t="n">
        <f aca="false">AU104</f>
        <v>21794.717851471</v>
      </c>
      <c r="AW101" s="217" t="n">
        <f aca="false">AV104</f>
        <v>19493.2101283357</v>
      </c>
      <c r="AX101" s="217" t="n">
        <f aca="false">AW104</f>
        <v>3.49245965480804E-010</v>
      </c>
      <c r="AY101" s="217" t="n">
        <f aca="false">AX104</f>
        <v>3.49245965480804E-010</v>
      </c>
      <c r="AZ101" s="217" t="n">
        <f aca="false">AY104</f>
        <v>3.49245965480804E-010</v>
      </c>
      <c r="BA101" s="574" t="n">
        <f aca="false">E101</f>
        <v>0</v>
      </c>
      <c r="BC101" s="1066"/>
      <c r="BD101" s="1067" t="s">
        <v>1372</v>
      </c>
      <c r="BE101" s="1068"/>
    </row>
    <row r="102" customFormat="false" ht="12.75" hidden="false" customHeight="false" outlineLevel="0" collapsed="false">
      <c r="A102" s="37" t="s">
        <v>1373</v>
      </c>
      <c r="E102" s="217" t="n">
        <f aca="false">IF(E96=Fin_Close,Tot_Cost*Debtperc,0)</f>
        <v>0</v>
      </c>
      <c r="F102" s="217" t="n">
        <f aca="false">IF(F96=Fin_Close,Tot_Cost*Debtperc,0)</f>
        <v>0</v>
      </c>
      <c r="G102" s="217" t="n">
        <f aca="false">IF(G96=Fin_Close,Tot_Cost*Debtperc,0)</f>
        <v>0</v>
      </c>
      <c r="H102" s="217" t="n">
        <f aca="false">IF(H96=Fin_Close,Tot_Cost*Debtperc,0)</f>
        <v>0</v>
      </c>
      <c r="I102" s="217" t="n">
        <f aca="false">IF(I96=Fin_Close,Tot_Cost*Debtperc,0)</f>
        <v>0</v>
      </c>
      <c r="J102" s="217" t="n">
        <f aca="false">IF(J96=Fin_Close,Tot_Cost*Debtperc,0)</f>
        <v>0</v>
      </c>
      <c r="K102" s="217" t="n">
        <f aca="false">IF(K96=Fin_Close,Tot_Cost*Debtperc,0)</f>
        <v>0</v>
      </c>
      <c r="L102" s="217" t="n">
        <f aca="false">IF(L96=Fin_Close,Tot_Cost*Debtperc,0)</f>
        <v>0</v>
      </c>
      <c r="M102" s="217" t="n">
        <f aca="false">IF(M96=Fin_Close,Tot_Cost*Debtperc,0)</f>
        <v>0</v>
      </c>
      <c r="N102" s="217" t="n">
        <f aca="false">IF(N96=Fin_Close,Tot_Cost*Debtperc,0)</f>
        <v>0</v>
      </c>
      <c r="O102" s="217" t="n">
        <f aca="false">IF(O96=Fin_Close,Tot_Cost*Debtperc,0)</f>
        <v>0</v>
      </c>
      <c r="P102" s="217" t="n">
        <f aca="false">IF(P96=Fin_Close,Tot_Cost*Debtperc,0)</f>
        <v>0</v>
      </c>
      <c r="Q102" s="217" t="n">
        <f aca="false">IF(Q96=Fin_Close,Tot_Cost*Debtperc,0)</f>
        <v>0</v>
      </c>
      <c r="R102" s="217" t="n">
        <f aca="false">IF(R96=Fin_Close,Tot_Cost*Debtperc,0)</f>
        <v>0</v>
      </c>
      <c r="S102" s="217" t="n">
        <f aca="false">IF(S96=Fin_Close,Tot_Cost*Debtperc,0)</f>
        <v>0</v>
      </c>
      <c r="T102" s="217" t="n">
        <f aca="false">IF(T96=Fin_Close,Tot_Cost*Debtperc,0)</f>
        <v>0</v>
      </c>
      <c r="U102" s="217" t="n">
        <f aca="false">IF(U96=Fin_Close,Tot_Cost*Debtperc,0)</f>
        <v>0</v>
      </c>
      <c r="V102" s="217" t="n">
        <f aca="false">IF(V96=Fin_Close,Tot_Cost*Debtperc,0)</f>
        <v>0</v>
      </c>
      <c r="W102" s="217" t="n">
        <f aca="false">IF(W96=Fin_Close,Tot_Cost*Debtperc,0)</f>
        <v>0</v>
      </c>
      <c r="X102" s="217" t="n">
        <f aca="false">IF(X96=Fin_Close,Tot_Cost*Debtperc,0)</f>
        <v>0</v>
      </c>
      <c r="Y102" s="217" t="n">
        <f aca="false">IF(Y96=Fin_Close,Tot_Cost*Debtperc,0)</f>
        <v>0</v>
      </c>
      <c r="Z102" s="217" t="n">
        <f aca="false">IF(Z96=Fin_Close,Tot_Cost*Debtperc,0)</f>
        <v>0</v>
      </c>
      <c r="AA102" s="217" t="n">
        <f aca="false">IF(AA96=Fin_Close,Tot_Cost*Debtperc,0)</f>
        <v>0</v>
      </c>
      <c r="AB102" s="217" t="n">
        <f aca="false">IF(AB96=Fin_Close,Tot_Cost*Debtperc,0)</f>
        <v>0</v>
      </c>
      <c r="AC102" s="217" t="n">
        <f aca="false">IF(AC96=Fin_Close,Tot_Cost*Debtperc,0)</f>
        <v>0</v>
      </c>
      <c r="AD102" s="217" t="n">
        <f aca="false">IF(AD96=Fin_Close,Tot_Cost*Debtperc,0)</f>
        <v>0</v>
      </c>
      <c r="AE102" s="217" t="n">
        <f aca="false">IF(AE96=Fin_Close,Tot_Cost*Debtperc,0)</f>
        <v>0</v>
      </c>
      <c r="AF102" s="217" t="n">
        <f aca="false">IF(AF96=Fin_Close,Tot_Cost*Debtperc,0)</f>
        <v>0</v>
      </c>
      <c r="AG102" s="217" t="n">
        <f aca="false">IF(AG96=Fin_Close,Tot_Cost*Debtperc,0)</f>
        <v>0</v>
      </c>
      <c r="AH102" s="217" t="n">
        <f aca="false">IF(AH96=Fin_Close,Tot_Cost*Debtperc,0)</f>
        <v>0</v>
      </c>
      <c r="AI102" s="217" t="n">
        <f aca="false">IF(AI96=Fin_Close,Tot_Cost*Debtperc,0)</f>
        <v>0</v>
      </c>
      <c r="AJ102" s="217" t="n">
        <f aca="false">IF(AJ96=Fin_Close,Tot_Cost*Debtperc,0)</f>
        <v>0</v>
      </c>
      <c r="AK102" s="217" t="n">
        <f aca="false">IF(AK96=Fin_Close,Tot_Cost*Debtperc,0)</f>
        <v>0</v>
      </c>
      <c r="AL102" s="217" t="n">
        <f aca="false">IF(AL96=Fin_Close,Tot_Cost*Debtperc,0)</f>
        <v>201351.119911058</v>
      </c>
      <c r="AM102" s="217" t="n">
        <f aca="false">IF(AM96=Fin_Close,Tot_Cost*Debtperc,0)</f>
        <v>0</v>
      </c>
      <c r="AN102" s="217" t="n">
        <f aca="false">IF(AN96=Fin_Close,Tot_Cost*Debtperc,0)</f>
        <v>0</v>
      </c>
      <c r="AO102" s="217" t="n">
        <f aca="false">IF(AO96=Fin_Close,Tot_Cost*Debtperc,0)</f>
        <v>0</v>
      </c>
      <c r="AP102" s="217" t="n">
        <f aca="false">IF(AP96=Fin_Close,Tot_Cost*Debtperc,0)</f>
        <v>0</v>
      </c>
      <c r="AQ102" s="217" t="n">
        <f aca="false">IF(AQ96=Fin_Close,Tot_Cost*Debtperc,0)</f>
        <v>0</v>
      </c>
      <c r="AR102" s="217" t="n">
        <f aca="false">IF(AR96=Fin_Close,Tot_Cost*Debtperc,0)</f>
        <v>0</v>
      </c>
      <c r="AS102" s="217" t="n">
        <f aca="false">IF(AS96=Fin_Close,Tot_Cost*Debtperc,0)</f>
        <v>0</v>
      </c>
      <c r="AT102" s="217" t="n">
        <f aca="false">IF(AT96=Fin_Close,Tot_Cost*Debtperc,0)</f>
        <v>0</v>
      </c>
      <c r="AU102" s="217" t="n">
        <f aca="false">IF(AU96=Fin_Close,Tot_Cost*Debtperc,0)</f>
        <v>0</v>
      </c>
      <c r="AV102" s="217" t="n">
        <f aca="false">IF(AV96=Fin_Close,Tot_Cost*Debtperc,0)</f>
        <v>0</v>
      </c>
      <c r="AW102" s="217" t="n">
        <f aca="false">IF(AW96=Fin_Close,Tot_Cost*Debtperc,0)</f>
        <v>0</v>
      </c>
      <c r="AX102" s="217" t="n">
        <f aca="false">IF(AX96=Fin_Close,Tot_Cost*Debtperc,0)</f>
        <v>0</v>
      </c>
      <c r="AY102" s="217" t="n">
        <f aca="false">IF(AY96=Fin_Close,Tot_Cost*Debtperc,0)</f>
        <v>0</v>
      </c>
      <c r="AZ102" s="217" t="n">
        <f aca="false">IF(AZ96=Fin_Close,Tot_Cost*Debtperc,0)</f>
        <v>0</v>
      </c>
      <c r="BA102" s="574" t="n">
        <f aca="false">SUM(E102:AZ102)</f>
        <v>201351.119911058</v>
      </c>
      <c r="BC102" s="1069"/>
      <c r="BD102" s="1070" t="n">
        <f aca="false">IF(ABS(BA106-IDC!BA20)&lt;0.005,0,1)</f>
        <v>0</v>
      </c>
      <c r="BE102" s="1071"/>
    </row>
    <row r="103" customFormat="false" ht="12.75" hidden="false" customHeight="false" outlineLevel="0" collapsed="false">
      <c r="A103" s="37" t="s">
        <v>1374</v>
      </c>
      <c r="E103" s="220" t="n">
        <f aca="false">-IDC!E40-SUM($D103:D103)</f>
        <v>-0</v>
      </c>
      <c r="F103" s="220" t="n">
        <f aca="false">-IDC!F40-SUM($D103:E103)</f>
        <v>-0</v>
      </c>
      <c r="G103" s="220" t="n">
        <f aca="false">-IDC!G40-SUM($D103:F103)</f>
        <v>-0</v>
      </c>
      <c r="H103" s="220" t="n">
        <f aca="false">-IDC!H40-SUM($D103:G103)</f>
        <v>-0</v>
      </c>
      <c r="I103" s="220" t="n">
        <f aca="false">-IDC!I40-SUM($D103:H103)</f>
        <v>-0</v>
      </c>
      <c r="J103" s="220" t="n">
        <f aca="false">-IDC!J40-SUM($D103:I103)</f>
        <v>-0</v>
      </c>
      <c r="K103" s="220" t="n">
        <f aca="false">-IDC!K40-SUM($D103:J103)</f>
        <v>-0</v>
      </c>
      <c r="L103" s="220" t="n">
        <f aca="false">-IDC!L40-SUM($D103:K103)</f>
        <v>-0</v>
      </c>
      <c r="M103" s="220" t="n">
        <f aca="false">-IDC!M40-SUM($D103:L103)</f>
        <v>-0</v>
      </c>
      <c r="N103" s="220" t="n">
        <f aca="false">-IDC!N40-SUM($D103:M103)</f>
        <v>-0</v>
      </c>
      <c r="O103" s="220" t="n">
        <f aca="false">-IDC!O40-SUM($D103:N103)</f>
        <v>-0</v>
      </c>
      <c r="P103" s="220" t="n">
        <f aca="false">-IDC!P40-SUM($D103:O103)</f>
        <v>-0</v>
      </c>
      <c r="Q103" s="220" t="n">
        <f aca="false">-IDC!Q40-SUM($D103:P103)</f>
        <v>-0</v>
      </c>
      <c r="R103" s="220" t="n">
        <f aca="false">-IDC!R40-SUM($D103:Q103)</f>
        <v>-0</v>
      </c>
      <c r="S103" s="220" t="n">
        <f aca="false">-IDC!S40-SUM($D103:R103)</f>
        <v>-0</v>
      </c>
      <c r="T103" s="220" t="n">
        <f aca="false">-IDC!T40-SUM($D103:S103)</f>
        <v>-0</v>
      </c>
      <c r="U103" s="220" t="n">
        <f aca="false">-IDC!U40-SUM($D103:T103)</f>
        <v>-0</v>
      </c>
      <c r="V103" s="220" t="n">
        <f aca="false">-IDC!V40-SUM($D103:U103)</f>
        <v>-0</v>
      </c>
      <c r="W103" s="220" t="n">
        <f aca="false">-IDC!W40-SUM($D103:V103)</f>
        <v>-0</v>
      </c>
      <c r="X103" s="220" t="n">
        <f aca="false">-IDC!X40-SUM($D103:W103)</f>
        <v>-0</v>
      </c>
      <c r="Y103" s="220" t="n">
        <f aca="false">-IDC!Y40-SUM($D103:X103)</f>
        <v>-0</v>
      </c>
      <c r="Z103" s="220" t="n">
        <f aca="false">-IDC!Z40-SUM($D103:Y103)</f>
        <v>-0</v>
      </c>
      <c r="AA103" s="220" t="n">
        <f aca="false">-IDC!AA40-SUM($D103:Z103)</f>
        <v>-0</v>
      </c>
      <c r="AB103" s="220" t="n">
        <f aca="false">-IDC!AB40-SUM($D103:AA103)</f>
        <v>-0</v>
      </c>
      <c r="AC103" s="220" t="n">
        <f aca="false">-IDC!AC40-SUM($D103:AB103)</f>
        <v>-0</v>
      </c>
      <c r="AD103" s="220" t="n">
        <f aca="false">-IDC!AD40-SUM($D103:AC103)</f>
        <v>-0</v>
      </c>
      <c r="AE103" s="220" t="n">
        <f aca="false">-IDC!AE40-SUM($D103:AD103)</f>
        <v>-0</v>
      </c>
      <c r="AF103" s="220" t="n">
        <f aca="false">-IDC!AF40-SUM($D103:AE103)</f>
        <v>-0</v>
      </c>
      <c r="AG103" s="220" t="n">
        <f aca="false">-IDC!AG40-SUM($D103:AF103)</f>
        <v>-0</v>
      </c>
      <c r="AH103" s="220" t="n">
        <f aca="false">-IDC!AH40-SUM($D103:AG103)</f>
        <v>-0</v>
      </c>
      <c r="AI103" s="220" t="n">
        <f aca="false">-IDC!AI40-SUM($D103:AH103)</f>
        <v>-0</v>
      </c>
      <c r="AJ103" s="220" t="n">
        <f aca="false">-IDC!AJ40-SUM($D103:AI103)</f>
        <v>-0</v>
      </c>
      <c r="AK103" s="220" t="n">
        <f aca="false">-IDC!AK40-SUM($D103:AJ103)</f>
        <v>-0</v>
      </c>
      <c r="AL103" s="220" t="n">
        <f aca="false">-IDC!AL40-SUM($D103:AK103)</f>
        <v>-130103.588812527</v>
      </c>
      <c r="AM103" s="220" t="n">
        <f aca="false">-IDC!AM40-SUM($D103:AL103)</f>
        <v>-1917.40336396935</v>
      </c>
      <c r="AN103" s="220" t="n">
        <f aca="false">-IDC!AN40-SUM($D103:AM103)</f>
        <v>-1932.29600489358</v>
      </c>
      <c r="AO103" s="220" t="n">
        <f aca="false">-IDC!AO40-SUM($D103:AN103)</f>
        <v>-17288.3167942635</v>
      </c>
      <c r="AP103" s="220" t="n">
        <f aca="false">-IDC!AP40-SUM($D103:AO103)</f>
        <v>-2081.5841985725</v>
      </c>
      <c r="AQ103" s="220" t="n">
        <f aca="false">-IDC!AQ40-SUM($D103:AP103)</f>
        <v>-2097.75204650965</v>
      </c>
      <c r="AR103" s="220" t="n">
        <f aca="false">-IDC!AR40-SUM($D103:AQ103)</f>
        <v>-2114.04547154674</v>
      </c>
      <c r="AS103" s="220" t="n">
        <f aca="false">-IDC!AS40-SUM($D103:AR103)</f>
        <v>-17471.4779250432</v>
      </c>
      <c r="AT103" s="220" t="n">
        <f aca="false">-IDC!AT40-SUM($D103:AS103)</f>
        <v>-2266.16795799846</v>
      </c>
      <c r="AU103" s="220" t="n">
        <f aca="false">-IDC!AU40-SUM($D103:AT103)</f>
        <v>-2283.76948426393</v>
      </c>
      <c r="AV103" s="220" t="n">
        <f aca="false">-IDC!AV40-SUM($D103:AU103)</f>
        <v>-2301.50772313526</v>
      </c>
      <c r="AW103" s="220" t="n">
        <f aca="false">-IDC!AW40-SUM($D103:AV103)</f>
        <v>-19493.2101283353</v>
      </c>
      <c r="AX103" s="220" t="n">
        <f aca="false">-IDC!AX40-SUM($D103:AW103)</f>
        <v>0</v>
      </c>
      <c r="AY103" s="220" t="n">
        <f aca="false">-IDC!AY40-SUM($D103:AX103)</f>
        <v>0</v>
      </c>
      <c r="AZ103" s="220" t="n">
        <f aca="false">-IDC!AZ40-SUM($D103:AY103)</f>
        <v>0</v>
      </c>
      <c r="BA103" s="576" t="n">
        <f aca="false">SUM(E103:AZ103)</f>
        <v>-201351.119911058</v>
      </c>
    </row>
    <row r="104" customFormat="false" ht="12.75" hidden="false" customHeight="false" outlineLevel="0" collapsed="false">
      <c r="A104" s="37" t="s">
        <v>1375</v>
      </c>
      <c r="E104" s="217" t="n">
        <f aca="false">SUM(E101:E103)</f>
        <v>0</v>
      </c>
      <c r="F104" s="217" t="n">
        <f aca="false">SUM(F101:F103)</f>
        <v>0</v>
      </c>
      <c r="G104" s="217" t="n">
        <f aca="false">SUM(G101:G103)</f>
        <v>0</v>
      </c>
      <c r="H104" s="217" t="n">
        <f aca="false">SUM(H101:H103)</f>
        <v>0</v>
      </c>
      <c r="I104" s="217" t="n">
        <f aca="false">SUM(I101:I103)</f>
        <v>0</v>
      </c>
      <c r="J104" s="217" t="n">
        <f aca="false">SUM(J101:J103)</f>
        <v>0</v>
      </c>
      <c r="K104" s="217" t="n">
        <f aca="false">SUM(K101:K103)</f>
        <v>0</v>
      </c>
      <c r="L104" s="217" t="n">
        <f aca="false">SUM(L101:L103)</f>
        <v>0</v>
      </c>
      <c r="M104" s="217" t="n">
        <f aca="false">SUM(M101:M103)</f>
        <v>0</v>
      </c>
      <c r="N104" s="217" t="n">
        <f aca="false">SUM(N101:N103)</f>
        <v>0</v>
      </c>
      <c r="O104" s="217" t="n">
        <f aca="false">SUM(O101:O103)</f>
        <v>0</v>
      </c>
      <c r="P104" s="217" t="n">
        <f aca="false">SUM(P101:P103)</f>
        <v>0</v>
      </c>
      <c r="Q104" s="217" t="n">
        <f aca="false">SUM(Q101:Q103)</f>
        <v>0</v>
      </c>
      <c r="R104" s="217" t="n">
        <f aca="false">SUM(R101:R103)</f>
        <v>0</v>
      </c>
      <c r="S104" s="217" t="n">
        <f aca="false">SUM(S101:S103)</f>
        <v>0</v>
      </c>
      <c r="T104" s="217" t="n">
        <f aca="false">SUM(T101:T103)</f>
        <v>0</v>
      </c>
      <c r="U104" s="217" t="n">
        <f aca="false">SUM(U101:U103)</f>
        <v>0</v>
      </c>
      <c r="V104" s="217" t="n">
        <f aca="false">SUM(V101:V103)</f>
        <v>0</v>
      </c>
      <c r="W104" s="217" t="n">
        <f aca="false">SUM(W101:W103)</f>
        <v>0</v>
      </c>
      <c r="X104" s="217" t="n">
        <f aca="false">SUM(X101:X103)</f>
        <v>0</v>
      </c>
      <c r="Y104" s="217" t="n">
        <f aca="false">SUM(Y101:Y103)</f>
        <v>0</v>
      </c>
      <c r="Z104" s="217" t="n">
        <f aca="false">SUM(Z101:Z103)</f>
        <v>0</v>
      </c>
      <c r="AA104" s="217" t="n">
        <f aca="false">SUM(AA101:AA103)</f>
        <v>0</v>
      </c>
      <c r="AB104" s="217" t="n">
        <f aca="false">SUM(AB101:AB103)</f>
        <v>0</v>
      </c>
      <c r="AC104" s="217" t="n">
        <f aca="false">SUM(AC101:AC103)</f>
        <v>0</v>
      </c>
      <c r="AD104" s="217" t="n">
        <f aca="false">SUM(AD101:AD103)</f>
        <v>0</v>
      </c>
      <c r="AE104" s="217" t="n">
        <f aca="false">SUM(AE101:AE103)</f>
        <v>0</v>
      </c>
      <c r="AF104" s="217" t="n">
        <f aca="false">SUM(AF101:AF103)</f>
        <v>0</v>
      </c>
      <c r="AG104" s="217" t="n">
        <f aca="false">SUM(AG101:AG103)</f>
        <v>0</v>
      </c>
      <c r="AH104" s="217" t="n">
        <f aca="false">SUM(AH101:AH103)</f>
        <v>0</v>
      </c>
      <c r="AI104" s="217" t="n">
        <f aca="false">SUM(AI101:AI103)</f>
        <v>0</v>
      </c>
      <c r="AJ104" s="217" t="n">
        <f aca="false">SUM(AJ101:AJ103)</f>
        <v>0</v>
      </c>
      <c r="AK104" s="217" t="n">
        <f aca="false">SUM(AK101:AK103)</f>
        <v>0</v>
      </c>
      <c r="AL104" s="217" t="n">
        <f aca="false">SUM(AL101:AL103)</f>
        <v>71247.5310985315</v>
      </c>
      <c r="AM104" s="217" t="n">
        <f aca="false">SUM(AM101:AM103)</f>
        <v>69330.1277345621</v>
      </c>
      <c r="AN104" s="217" t="n">
        <f aca="false">SUM(AN101:AN103)</f>
        <v>67397.8317296686</v>
      </c>
      <c r="AO104" s="217" t="n">
        <f aca="false">SUM(AO101:AO103)</f>
        <v>50109.5149354051</v>
      </c>
      <c r="AP104" s="217" t="n">
        <f aca="false">SUM(AP101:AP103)</f>
        <v>48027.9307368327</v>
      </c>
      <c r="AQ104" s="217" t="n">
        <f aca="false">SUM(AQ101:AQ103)</f>
        <v>45930.1786903231</v>
      </c>
      <c r="AR104" s="217" t="n">
        <f aca="false">SUM(AR101:AR103)</f>
        <v>43816.1332187764</v>
      </c>
      <c r="AS104" s="217" t="n">
        <f aca="false">SUM(AS101:AS103)</f>
        <v>26344.6552937332</v>
      </c>
      <c r="AT104" s="217" t="n">
        <f aca="false">SUM(AT101:AT103)</f>
        <v>24078.4873357348</v>
      </c>
      <c r="AU104" s="217" t="n">
        <f aca="false">SUM(AU101:AU103)</f>
        <v>21794.717851471</v>
      </c>
      <c r="AV104" s="217" t="n">
        <f aca="false">SUM(AV101:AV103)</f>
        <v>19493.2101283357</v>
      </c>
      <c r="AW104" s="217" t="n">
        <f aca="false">SUM(AW101:AW103)</f>
        <v>3.49245965480804E-010</v>
      </c>
      <c r="AX104" s="217" t="n">
        <f aca="false">SUM(AX101:AX103)</f>
        <v>3.49245965480804E-010</v>
      </c>
      <c r="AY104" s="217" t="n">
        <f aca="false">SUM(AY101:AY103)</f>
        <v>3.49245965480804E-010</v>
      </c>
      <c r="AZ104" s="217" t="n">
        <f aca="false">SUM(AZ101:AZ103)</f>
        <v>3.49245965480804E-010</v>
      </c>
      <c r="BA104" s="574" t="n">
        <f aca="false">SUM(BA101:BA103)</f>
        <v>0</v>
      </c>
    </row>
    <row r="105" customFormat="false" ht="12.75" hidden="false" customHeight="false" outlineLevel="0" collapsed="false">
      <c r="A105" s="37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556"/>
      <c r="Q105" s="556"/>
      <c r="R105" s="556"/>
      <c r="S105" s="556"/>
      <c r="T105" s="556"/>
      <c r="U105" s="556"/>
      <c r="V105" s="556"/>
      <c r="W105" s="556"/>
      <c r="X105" s="556"/>
      <c r="Y105" s="556"/>
      <c r="Z105" s="556"/>
      <c r="AA105" s="556"/>
      <c r="AB105" s="556"/>
      <c r="AC105" s="556"/>
      <c r="AD105" s="556"/>
      <c r="AE105" s="556"/>
      <c r="AF105" s="556"/>
      <c r="AG105" s="556"/>
      <c r="AH105" s="556"/>
      <c r="AI105" s="556"/>
      <c r="AJ105" s="556"/>
      <c r="AK105" s="556"/>
      <c r="AL105" s="556"/>
      <c r="AM105" s="556"/>
      <c r="AN105" s="556"/>
      <c r="AO105" s="556"/>
      <c r="AP105" s="556"/>
      <c r="AQ105" s="556"/>
      <c r="AR105" s="556"/>
      <c r="AS105" s="556"/>
      <c r="AT105" s="556"/>
      <c r="AU105" s="556"/>
      <c r="AV105" s="556"/>
      <c r="AW105" s="556"/>
      <c r="AX105" s="556"/>
      <c r="AY105" s="556"/>
      <c r="AZ105" s="556"/>
      <c r="BA105" s="555"/>
    </row>
    <row r="106" customFormat="false" ht="12.75" hidden="false" customHeight="false" outlineLevel="0" collapsed="false">
      <c r="A106" s="37" t="s">
        <v>102</v>
      </c>
      <c r="C106" s="498" t="n">
        <f aca="false">Assm!$AB$76</f>
        <v>0.00338668019257359</v>
      </c>
      <c r="E106" s="217" t="n">
        <f aca="false">IF(E95&lt;=Term_Fc,0,(SUM(E101:E102)+E103/2)*$C106/12)</f>
        <v>0</v>
      </c>
      <c r="F106" s="217" t="n">
        <f aca="false">IF(F95&lt;=Term_Fc,0,(SUM(F101:F102)+F103/2)*$C106/12)</f>
        <v>0</v>
      </c>
      <c r="G106" s="217" t="n">
        <f aca="false">IF(G95&lt;=Term_Fc,0,(SUM(G101:G102)+G103/2)*$C106/12)</f>
        <v>0</v>
      </c>
      <c r="H106" s="217" t="n">
        <f aca="false">IF(H95&lt;=Term_Fc,0,(SUM(H101:H102)+H103/2)*$C106/12)</f>
        <v>0</v>
      </c>
      <c r="I106" s="217" t="n">
        <f aca="false">IF(I95&lt;=Term_Fc,0,(SUM(I101:I102)+I103/2)*$C106/12)</f>
        <v>0</v>
      </c>
      <c r="J106" s="217" t="n">
        <f aca="false">IF(J95&lt;=Term_Fc,0,(SUM(J101:J102)+J103/2)*$C106/12)</f>
        <v>0</v>
      </c>
      <c r="K106" s="217" t="n">
        <f aca="false">IF(K95&lt;=Term_Fc,0,(SUM(K101:K102)+K103/2)*$C106/12)</f>
        <v>0</v>
      </c>
      <c r="L106" s="217" t="n">
        <f aca="false">IF(L95&lt;=Term_Fc,0,(SUM(L101:L102)+L103/2)*$C106/12)</f>
        <v>0</v>
      </c>
      <c r="M106" s="217" t="n">
        <f aca="false">IF(M95&lt;=Term_Fc,0,(SUM(M101:M102)+M103/2)*$C106/12)</f>
        <v>0</v>
      </c>
      <c r="N106" s="217" t="n">
        <f aca="false">IF(N95&lt;=Term_Fc,0,(SUM(N101:N102)+N103/2)*$C106/12)</f>
        <v>0</v>
      </c>
      <c r="O106" s="217" t="n">
        <f aca="false">IF(O95&lt;=Term_Fc,0,(SUM(O101:O102)+O103/2)*$C106/12)</f>
        <v>0</v>
      </c>
      <c r="P106" s="217" t="n">
        <f aca="false">IF(P95&lt;=Term_Fc,0,(SUM(P101:P102)+P103/2)*$C106/12)</f>
        <v>0</v>
      </c>
      <c r="Q106" s="217" t="n">
        <f aca="false">IF(Q95&lt;=Term_Fc,0,(SUM(Q101:Q102)+Q103/2)*$C106/12)</f>
        <v>0</v>
      </c>
      <c r="R106" s="217" t="n">
        <f aca="false">IF(R95&lt;=Term_Fc,0,(SUM(R101:R102)+R103/2)*$C106/12)</f>
        <v>0</v>
      </c>
      <c r="S106" s="217" t="n">
        <f aca="false">IF(S95&lt;=Term_Fc,0,(SUM(S101:S102)+S103/2)*$C106/12)</f>
        <v>0</v>
      </c>
      <c r="T106" s="217" t="n">
        <f aca="false">IF(T95&lt;=Term_Fc,0,(SUM(T101:T102)+T103/2)*$C106/12)</f>
        <v>0</v>
      </c>
      <c r="U106" s="217" t="n">
        <f aca="false">IF(U95&lt;=Term_Fc,0,(SUM(U101:U102)+U103/2)*$C106/12)</f>
        <v>0</v>
      </c>
      <c r="V106" s="217" t="n">
        <f aca="false">IF(V95&lt;=Term_Fc,0,(SUM(V101:V102)+V103/2)*$C106/12)</f>
        <v>0</v>
      </c>
      <c r="W106" s="217" t="n">
        <f aca="false">IF(W95&lt;=Term_Fc,0,(SUM(W101:W102)+W103/2)*$C106/12)</f>
        <v>0</v>
      </c>
      <c r="X106" s="217" t="n">
        <f aca="false">IF(X95&lt;=Term_Fc,0,(SUM(X101:X102)+X103/2)*$C106/12)</f>
        <v>0</v>
      </c>
      <c r="Y106" s="217" t="n">
        <f aca="false">IF(Y95&lt;=Term_Fc,0,(SUM(Y101:Y102)+Y103/2)*$C106/12)</f>
        <v>0</v>
      </c>
      <c r="Z106" s="217" t="n">
        <f aca="false">IF(Z95&lt;=Term_Fc,0,(SUM(Z101:Z102)+Z103/2)*$C106/12)</f>
        <v>0</v>
      </c>
      <c r="AA106" s="217" t="n">
        <f aca="false">IF(AA95&lt;=Term_Fc,0,(SUM(AA101:AA102)+AA103/2)*$C106/12)</f>
        <v>0</v>
      </c>
      <c r="AB106" s="217" t="n">
        <f aca="false">IF(AB95&lt;=Term_Fc,0,(SUM(AB101:AB102)+AB103/2)*$C106/12)</f>
        <v>0</v>
      </c>
      <c r="AC106" s="217" t="n">
        <f aca="false">IF(AC95&lt;=Term_Fc,0,(SUM(AC101:AC102)+AC103/2)*$C106/12)</f>
        <v>0</v>
      </c>
      <c r="AD106" s="217" t="n">
        <f aca="false">IF(AD95&lt;=Term_Fc,0,(SUM(AD101:AD102)+AD103/2)*$C106/12)</f>
        <v>0</v>
      </c>
      <c r="AE106" s="217" t="n">
        <f aca="false">IF(AE95&lt;=Term_Fc,0,(SUM(AE101:AE102)+AE103/2)*$C106/12)</f>
        <v>0</v>
      </c>
      <c r="AF106" s="217" t="n">
        <f aca="false">IF(AF95&lt;=Term_Fc,0,(SUM(AF101:AF102)+AF103/2)*$C106/12)</f>
        <v>0</v>
      </c>
      <c r="AG106" s="217" t="n">
        <f aca="false">IF(AG95&lt;=Term_Fc,0,(SUM(AG101:AG102)+AG103/2)*$C106/12)</f>
        <v>0</v>
      </c>
      <c r="AH106" s="217" t="n">
        <f aca="false">IF(AH95&lt;=Term_Fc,0,(SUM(AH101:AH102)+AH103/2)*$C106/12)</f>
        <v>0</v>
      </c>
      <c r="AI106" s="217" t="n">
        <f aca="false">IF(AI95&lt;=Term_Fc,0,(SUM(AI101:AI102)+AI103/2)*$C106/12)</f>
        <v>0</v>
      </c>
      <c r="AJ106" s="217" t="n">
        <f aca="false">IF(AJ95&lt;=Term_Fc,0,(SUM(AJ101:AJ102)+AJ103/2)*$C106/12)</f>
        <v>0</v>
      </c>
      <c r="AK106" s="217" t="n">
        <f aca="false">IF(AK95&lt;=Term_Fc,0,(SUM(AK101:AK102)+AK103/2)*$C106/12)</f>
        <v>0</v>
      </c>
      <c r="AL106" s="217" t="n">
        <f aca="false">IF(AL95&lt;=Term_Fc,0,(SUM(AL101:AL102)+AL103/2)*$C106/12)</f>
        <v>38.4668521623525</v>
      </c>
      <c r="AM106" s="217" t="n">
        <f aca="false">IF(AM95&lt;=Term_Fc,0,(SUM(AM101:AM102)+AM103/2)*$C106/12)</f>
        <v>19.8371488620169</v>
      </c>
      <c r="AN106" s="217" t="n">
        <f aca="false">IF(AN95&lt;=Term_Fc,0,(SUM(AN101:AN102)+AN103/2)*$C106/12)</f>
        <v>19.2939113370215</v>
      </c>
      <c r="AO106" s="217" t="n">
        <f aca="false">IF(AO95&lt;=Term_Fc,0,(SUM(AO101:AO102)+AO103/2)*$C106/12)</f>
        <v>16.5816584763535</v>
      </c>
      <c r="AP106" s="217" t="n">
        <f aca="false">IF(AP95&lt;=Term_Fc,0,(SUM(AP101:AP102)+AP103/2)*$C106/12)</f>
        <v>13.8483393086639</v>
      </c>
      <c r="AQ106" s="217" t="n">
        <f aca="false">IF(AQ95&lt;=Term_Fc,0,(SUM(AQ101:AQ102)+AQ103/2)*$C106/12)</f>
        <v>13.2585861720254</v>
      </c>
      <c r="AR106" s="217" t="n">
        <f aca="false">IF(AR95&lt;=Term_Fc,0,(SUM(AR101:AR102)+AR103/2)*$C106/12)</f>
        <v>12.6642523707949</v>
      </c>
      <c r="AS106" s="217" t="n">
        <f aca="false">IF(AS95&lt;=Term_Fc,0,(SUM(AS101:AS102)+AS103/2)*$C106/12)</f>
        <v>9.90050636461088</v>
      </c>
      <c r="AT106" s="217" t="n">
        <f aca="false">IF(AT95&lt;=Term_Fc,0,(SUM(AT101:AT102)+AT103/2)*$C106/12)</f>
        <v>7.11529409960551</v>
      </c>
      <c r="AU106" s="217" t="n">
        <f aca="false">IF(AU95&lt;=Term_Fc,0,(SUM(AU101:AU102)+AU103/2)*$C106/12)</f>
        <v>6.47324480739058</v>
      </c>
      <c r="AV106" s="217" t="n">
        <f aca="false">IF(AV95&lt;=Term_Fc,0,(SUM(AV101:AV102)+AV103/2)*$C106/12)</f>
        <v>5.82620866173401</v>
      </c>
      <c r="AW106" s="217" t="n">
        <f aca="false">IF(AW95&lt;=Term_Fc,0,(SUM(AW101:AW102)+AW103/2)*$C106/12)</f>
        <v>2.75071952630461</v>
      </c>
      <c r="AX106" s="217" t="n">
        <f aca="false">IF(AX95&lt;=Term_Fc,0,(SUM(AX101:AX102)+AX103/2)*$C106/12)</f>
        <v>9.85653661358401E-014</v>
      </c>
      <c r="AY106" s="217" t="n">
        <f aca="false">IF(AY95&lt;=Term_Fc,0,(SUM(AY101:AY102)+AY103/2)*$C106/12)</f>
        <v>9.85653661358401E-014</v>
      </c>
      <c r="AZ106" s="217" t="n">
        <f aca="false">IF(AZ95&lt;=Term_Fc,0,(SUM(AZ101:AZ102)+AZ103/2)*$C106/12)</f>
        <v>9.85653661358401E-014</v>
      </c>
      <c r="BA106" s="574" t="n">
        <f aca="false">SUM(E106:AZ106)</f>
        <v>166.016722148875</v>
      </c>
    </row>
    <row r="107" customFormat="false" ht="12.75" hidden="false" customHeight="false" outlineLevel="0" collapsed="false">
      <c r="A107" s="166" t="s">
        <v>1376</v>
      </c>
      <c r="B107" s="131"/>
      <c r="C107" s="131"/>
      <c r="D107" s="131"/>
      <c r="E107" s="754" t="n">
        <f aca="false">SUM($E106:E106)</f>
        <v>0</v>
      </c>
      <c r="F107" s="754" t="n">
        <f aca="false">SUM($E106:F106)</f>
        <v>0</v>
      </c>
      <c r="G107" s="754" t="n">
        <f aca="false">SUM($E106:G106)</f>
        <v>0</v>
      </c>
      <c r="H107" s="754" t="n">
        <f aca="false">SUM($E106:H106)</f>
        <v>0</v>
      </c>
      <c r="I107" s="754" t="n">
        <f aca="false">SUM($E106:I106)</f>
        <v>0</v>
      </c>
      <c r="J107" s="754" t="n">
        <f aca="false">SUM($E106:J106)</f>
        <v>0</v>
      </c>
      <c r="K107" s="754" t="n">
        <f aca="false">SUM($E106:K106)</f>
        <v>0</v>
      </c>
      <c r="L107" s="754" t="n">
        <f aca="false">SUM($E106:L106)</f>
        <v>0</v>
      </c>
      <c r="M107" s="754" t="n">
        <f aca="false">SUM($E106:M106)</f>
        <v>0</v>
      </c>
      <c r="N107" s="754" t="n">
        <f aca="false">SUM($E106:N106)</f>
        <v>0</v>
      </c>
      <c r="O107" s="754" t="n">
        <f aca="false">SUM($E106:O106)</f>
        <v>0</v>
      </c>
      <c r="P107" s="754" t="n">
        <f aca="false">SUM($E106:P106)</f>
        <v>0</v>
      </c>
      <c r="Q107" s="754" t="n">
        <f aca="false">SUM($E106:Q106)</f>
        <v>0</v>
      </c>
      <c r="R107" s="754" t="n">
        <f aca="false">SUM($E106:R106)</f>
        <v>0</v>
      </c>
      <c r="S107" s="754" t="n">
        <f aca="false">SUM($E106:S106)</f>
        <v>0</v>
      </c>
      <c r="T107" s="754" t="n">
        <f aca="false">SUM($E106:T106)</f>
        <v>0</v>
      </c>
      <c r="U107" s="754" t="n">
        <f aca="false">SUM($E106:U106)</f>
        <v>0</v>
      </c>
      <c r="V107" s="754" t="n">
        <f aca="false">SUM($E106:V106)</f>
        <v>0</v>
      </c>
      <c r="W107" s="754" t="n">
        <f aca="false">SUM($E106:W106)</f>
        <v>0</v>
      </c>
      <c r="X107" s="754" t="n">
        <f aca="false">SUM($E106:X106)</f>
        <v>0</v>
      </c>
      <c r="Y107" s="754" t="n">
        <f aca="false">SUM($E106:Y106)</f>
        <v>0</v>
      </c>
      <c r="Z107" s="754" t="n">
        <f aca="false">SUM($E106:Z106)</f>
        <v>0</v>
      </c>
      <c r="AA107" s="754" t="n">
        <f aca="false">SUM($E106:AA106)</f>
        <v>0</v>
      </c>
      <c r="AB107" s="754" t="n">
        <f aca="false">SUM($E106:AB106)</f>
        <v>0</v>
      </c>
      <c r="AC107" s="754" t="n">
        <f aca="false">SUM($E106:AC106)</f>
        <v>0</v>
      </c>
      <c r="AD107" s="754" t="n">
        <f aca="false">SUM($E106:AD106)</f>
        <v>0</v>
      </c>
      <c r="AE107" s="754" t="n">
        <f aca="false">SUM($E106:AE106)</f>
        <v>0</v>
      </c>
      <c r="AF107" s="754" t="n">
        <f aca="false">SUM($E106:AF106)</f>
        <v>0</v>
      </c>
      <c r="AG107" s="754" t="n">
        <f aca="false">SUM($E106:AG106)</f>
        <v>0</v>
      </c>
      <c r="AH107" s="754" t="n">
        <f aca="false">SUM($E106:AH106)</f>
        <v>0</v>
      </c>
      <c r="AI107" s="754" t="n">
        <f aca="false">SUM($E106:AI106)</f>
        <v>0</v>
      </c>
      <c r="AJ107" s="754" t="n">
        <f aca="false">SUM($E106:AJ106)</f>
        <v>0</v>
      </c>
      <c r="AK107" s="754" t="n">
        <f aca="false">SUM($E106:AK106)</f>
        <v>0</v>
      </c>
      <c r="AL107" s="754" t="n">
        <f aca="false">SUM($E106:AL106)</f>
        <v>38.4668521623525</v>
      </c>
      <c r="AM107" s="754" t="n">
        <f aca="false">SUM($E106:AM106)</f>
        <v>58.3040010243694</v>
      </c>
      <c r="AN107" s="754" t="n">
        <f aca="false">SUM($E106:AN106)</f>
        <v>77.5979123613909</v>
      </c>
      <c r="AO107" s="754" t="n">
        <f aca="false">SUM($E106:AO106)</f>
        <v>94.1795708377444</v>
      </c>
      <c r="AP107" s="754" t="n">
        <f aca="false">SUM($E106:AP106)</f>
        <v>108.027910146408</v>
      </c>
      <c r="AQ107" s="754" t="n">
        <f aca="false">SUM($E106:AQ106)</f>
        <v>121.286496318434</v>
      </c>
      <c r="AR107" s="754" t="n">
        <f aca="false">SUM($E106:AR106)</f>
        <v>133.950748689229</v>
      </c>
      <c r="AS107" s="754" t="n">
        <f aca="false">SUM($E106:AS106)</f>
        <v>143.85125505384</v>
      </c>
      <c r="AT107" s="754" t="n">
        <f aca="false">SUM($E106:AT106)</f>
        <v>150.966549153445</v>
      </c>
      <c r="AU107" s="754" t="n">
        <f aca="false">SUM($E106:AU106)</f>
        <v>157.439793960836</v>
      </c>
      <c r="AV107" s="754" t="n">
        <f aca="false">SUM($E106:AV106)</f>
        <v>163.26600262257</v>
      </c>
      <c r="AW107" s="754" t="n">
        <f aca="false">SUM($E106:AW106)</f>
        <v>166.016722148874</v>
      </c>
      <c r="AX107" s="754" t="n">
        <f aca="false">SUM($E106:AX106)</f>
        <v>166.016722148874</v>
      </c>
      <c r="AY107" s="754" t="n">
        <f aca="false">SUM($E106:AY106)</f>
        <v>166.016722148874</v>
      </c>
      <c r="AZ107" s="754" t="n">
        <f aca="false">SUM($E106:AZ106)</f>
        <v>166.016722148875</v>
      </c>
      <c r="BA107" s="1047"/>
    </row>
    <row r="108" customFormat="false" ht="12.75" hidden="false" customHeight="false" outlineLevel="0" collapsed="false">
      <c r="A108" s="37"/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6"/>
      <c r="Q108" s="556"/>
      <c r="R108" s="556"/>
      <c r="S108" s="556"/>
      <c r="T108" s="556"/>
      <c r="U108" s="556"/>
      <c r="V108" s="556"/>
      <c r="W108" s="556"/>
      <c r="X108" s="556"/>
      <c r="Y108" s="556"/>
      <c r="Z108" s="556"/>
      <c r="AA108" s="556"/>
      <c r="AB108" s="556"/>
      <c r="AC108" s="556"/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6"/>
      <c r="AP108" s="556"/>
      <c r="AQ108" s="556"/>
      <c r="AR108" s="556"/>
      <c r="AS108" s="556"/>
      <c r="AT108" s="556"/>
      <c r="AU108" s="556"/>
      <c r="AV108" s="556"/>
      <c r="AW108" s="556"/>
      <c r="AX108" s="556"/>
      <c r="AY108" s="556"/>
      <c r="AZ108" s="556"/>
      <c r="BA108" s="555"/>
    </row>
    <row r="109" customFormat="false" ht="12.75" hidden="false" customHeight="false" outlineLevel="0" collapsed="false">
      <c r="A109" s="1072" t="s">
        <v>1377</v>
      </c>
      <c r="B109" s="1073"/>
      <c r="C109" s="1074" t="n">
        <f aca="false">BA106</f>
        <v>166.016722148875</v>
      </c>
      <c r="BA109" s="555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</row>
    <row r="110" customFormat="false" ht="13.5" hidden="false" customHeight="false" outlineLevel="0" collapsed="false">
      <c r="A110" s="70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611"/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9"/>
  <sheetViews>
    <sheetView showFormulas="false" showGridLines="false" showRowColHeaders="true" showZeros="true" rightToLeft="false" tabSelected="false" showOutlineSymbols="true" defaultGridColor="true" view="normal" topLeftCell="T5" colorId="64" zoomScale="75" zoomScaleNormal="75" zoomScalePageLayoutView="100" workbookViewId="0">
      <selection pane="topLeft" activeCell="AI36" activeCellId="0" sqref="AI3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2" min="1" style="1" width="8.7"/>
    <col collapsed="false" customWidth="true" hidden="false" outlineLevel="0" max="25" min="3" style="1" width="10.71"/>
    <col collapsed="false" customWidth="true" hidden="false" outlineLevel="0" max="26" min="26" style="38" width="10.71"/>
    <col collapsed="false" customWidth="true" hidden="false" outlineLevel="0" max="27" min="27" style="1" width="10.71"/>
    <col collapsed="false" customWidth="true" hidden="false" outlineLevel="0" max="28" min="28" style="1" width="15.28"/>
    <col collapsed="false" customWidth="true" hidden="false" outlineLevel="0" max="30" min="29" style="1" width="10.71"/>
    <col collapsed="false" customWidth="true" hidden="false" outlineLevel="0" max="32" min="31" style="38" width="10.71"/>
    <col collapsed="false" customWidth="true" hidden="false" outlineLevel="0" max="34" min="33" style="1" width="10.71"/>
    <col collapsed="false" customWidth="true" hidden="false" outlineLevel="0" max="35" min="35" style="387" width="10.71"/>
    <col collapsed="false" customWidth="true" hidden="false" outlineLevel="0" max="36" min="36" style="1075" width="10.71"/>
    <col collapsed="false" customWidth="true" hidden="false" outlineLevel="0" max="48" min="37" style="1" width="10.71"/>
    <col collapsed="false" customWidth="true" hidden="false" outlineLevel="0" max="58" min="49" style="1" width="11.7"/>
    <col collapsed="false" customWidth="false" hidden="false" outlineLevel="0" max="257" min="59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AA1" s="38"/>
      <c r="AB1" s="38"/>
      <c r="AC1" s="38"/>
      <c r="AD1" s="38"/>
      <c r="AG1" s="38"/>
      <c r="AH1" s="38"/>
      <c r="AI1" s="1076"/>
      <c r="AJ1" s="1077"/>
      <c r="AK1" s="1053"/>
      <c r="AL1" s="1053"/>
      <c r="AM1" s="1053"/>
      <c r="AN1" s="1053"/>
      <c r="AO1" s="1053"/>
      <c r="AP1" s="1053"/>
      <c r="AQ1" s="1053"/>
      <c r="AR1" s="1053"/>
      <c r="AS1" s="1053"/>
      <c r="AT1" s="67"/>
      <c r="AU1" s="1053"/>
      <c r="AV1" s="1053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AA2" s="38"/>
      <c r="AB2" s="38"/>
      <c r="AC2" s="38"/>
      <c r="AD2" s="38"/>
      <c r="AG2" s="38"/>
      <c r="AH2" s="38"/>
      <c r="AI2" s="1076"/>
      <c r="AJ2" s="1077"/>
      <c r="AK2" s="1053"/>
      <c r="AL2" s="1053"/>
      <c r="AM2" s="1053"/>
      <c r="AN2" s="1053"/>
      <c r="AO2" s="1053"/>
      <c r="AP2" s="1053"/>
      <c r="AQ2" s="1053"/>
      <c r="AR2" s="1053"/>
      <c r="AS2" s="1053"/>
      <c r="AT2" s="67"/>
      <c r="AU2" s="1053"/>
      <c r="AV2" s="1053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</row>
    <row r="3" customFormat="false" ht="15" hidden="false" customHeight="false" outlineLevel="0" collapsed="false">
      <c r="A3" s="19" t="str">
        <f aca="false">TOC!B4</f>
        <v>ENRON INTERNATIONAL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AA3" s="38"/>
      <c r="AB3" s="38"/>
      <c r="AC3" s="38"/>
      <c r="AD3" s="38"/>
      <c r="AG3" s="38"/>
      <c r="AH3" s="38"/>
      <c r="AI3" s="1076"/>
      <c r="AJ3" s="1077"/>
      <c r="AK3" s="1053"/>
      <c r="AL3" s="1053"/>
      <c r="AM3" s="1053"/>
      <c r="AN3" s="1053"/>
      <c r="AO3" s="1053"/>
      <c r="AP3" s="1053"/>
      <c r="AQ3" s="1053"/>
      <c r="AR3" s="1053"/>
      <c r="AS3" s="1053"/>
      <c r="AT3" s="67"/>
      <c r="AU3" s="1053"/>
      <c r="AV3" s="1053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</row>
    <row r="4" customFormat="false" ht="15" hidden="false" customHeight="false" outlineLevel="0" collapsed="false">
      <c r="A4" s="21" t="s">
        <v>1378</v>
      </c>
      <c r="B4" s="172"/>
      <c r="C4" s="172"/>
      <c r="D4" s="172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AA4" s="38"/>
      <c r="AB4" s="38"/>
      <c r="AC4" s="38"/>
      <c r="AD4" s="38"/>
      <c r="AG4" s="38"/>
      <c r="AH4" s="38"/>
      <c r="AI4" s="1076"/>
      <c r="AJ4" s="1077"/>
      <c r="AK4" s="1053"/>
      <c r="AL4" s="1053"/>
      <c r="AM4" s="1053"/>
      <c r="AN4" s="1053"/>
      <c r="AO4" s="1053"/>
      <c r="AP4" s="1053"/>
      <c r="AQ4" s="1053"/>
      <c r="AR4" s="1053"/>
      <c r="AS4" s="1053"/>
      <c r="AT4" s="67"/>
      <c r="AU4" s="1053"/>
      <c r="AV4" s="1053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</row>
    <row r="5" customFormat="false" ht="13.5" hidden="false" customHeight="false" outlineLevel="0" collapsed="false">
      <c r="A5" s="38"/>
      <c r="B5" s="38"/>
      <c r="C5" s="38"/>
      <c r="AA5" s="38"/>
      <c r="AB5" s="536" t="s">
        <v>762</v>
      </c>
      <c r="AC5" s="38"/>
      <c r="AD5" s="38"/>
      <c r="AG5" s="38"/>
      <c r="AH5" s="38"/>
      <c r="AI5" s="1076"/>
      <c r="AJ5" s="1077"/>
      <c r="AK5" s="1053"/>
      <c r="AL5" s="1053"/>
      <c r="AM5" s="1053"/>
      <c r="AN5" s="1053"/>
      <c r="AO5" s="1053"/>
      <c r="AP5" s="1053"/>
      <c r="AQ5" s="1053"/>
      <c r="AR5" s="1053"/>
      <c r="AS5" s="1053"/>
      <c r="AT5" s="67"/>
      <c r="AU5" s="1053"/>
      <c r="AV5" s="1053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</row>
    <row r="6" customFormat="false" ht="12.75" hidden="false" customHeight="false" outlineLevel="0" collapsed="false">
      <c r="A6" s="523" t="s">
        <v>763</v>
      </c>
      <c r="B6" s="28"/>
      <c r="C6" s="28"/>
      <c r="D6" s="28" t="n">
        <f aca="false">Rev_Exp!D6</f>
        <v>1</v>
      </c>
      <c r="E6" s="28" t="n">
        <f aca="false">Rev_Exp!E6</f>
        <v>2</v>
      </c>
      <c r="F6" s="28" t="n">
        <f aca="false">Rev_Exp!F6</f>
        <v>3</v>
      </c>
      <c r="G6" s="28" t="n">
        <f aca="false">Rev_Exp!G6</f>
        <v>4</v>
      </c>
      <c r="H6" s="28" t="n">
        <f aca="false">Rev_Exp!H6</f>
        <v>5</v>
      </c>
      <c r="I6" s="28" t="n">
        <f aca="false">Rev_Exp!I6</f>
        <v>6</v>
      </c>
      <c r="J6" s="28" t="n">
        <f aca="false">Rev_Exp!J6</f>
        <v>7</v>
      </c>
      <c r="K6" s="28" t="n">
        <f aca="false">Rev_Exp!K6</f>
        <v>8</v>
      </c>
      <c r="L6" s="28" t="n">
        <f aca="false">Rev_Exp!L6</f>
        <v>9</v>
      </c>
      <c r="M6" s="28" t="n">
        <f aca="false">Rev_Exp!M6</f>
        <v>10</v>
      </c>
      <c r="N6" s="28" t="n">
        <f aca="false">Rev_Exp!N6</f>
        <v>11</v>
      </c>
      <c r="O6" s="28" t="n">
        <f aca="false">Rev_Exp!O6</f>
        <v>12</v>
      </c>
      <c r="P6" s="28" t="n">
        <f aca="false">Rev_Exp!P6</f>
        <v>13</v>
      </c>
      <c r="Q6" s="28" t="n">
        <f aca="false">Rev_Exp!Q6</f>
        <v>14</v>
      </c>
      <c r="R6" s="28" t="n">
        <f aca="false">Rev_Exp!R6</f>
        <v>15</v>
      </c>
      <c r="S6" s="28" t="n">
        <f aca="false">Rev_Exp!S6</f>
        <v>16</v>
      </c>
      <c r="T6" s="28" t="n">
        <f aca="false">Rev_Exp!T6</f>
        <v>17</v>
      </c>
      <c r="U6" s="28" t="n">
        <f aca="false">Rev_Exp!U6</f>
        <v>18</v>
      </c>
      <c r="V6" s="28" t="n">
        <f aca="false">Rev_Exp!V6</f>
        <v>19</v>
      </c>
      <c r="W6" s="28" t="n">
        <f aca="false">Rev_Exp!W6</f>
        <v>20</v>
      </c>
      <c r="X6" s="28" t="n">
        <f aca="false">Rev_Exp!X6</f>
        <v>21</v>
      </c>
      <c r="Y6" s="28" t="n">
        <f aca="false">Rev_Exp!Y6</f>
        <v>22</v>
      </c>
      <c r="Z6" s="539"/>
      <c r="AA6" s="38"/>
      <c r="AB6" s="612" t="s">
        <v>1379</v>
      </c>
      <c r="AC6" s="38"/>
      <c r="AD6" s="38"/>
      <c r="AG6" s="38"/>
      <c r="AH6" s="38"/>
      <c r="AI6" s="1076"/>
      <c r="AJ6" s="1077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541" t="s">
        <v>765</v>
      </c>
      <c r="B7" s="71"/>
      <c r="C7" s="71"/>
      <c r="D7" s="372" t="n">
        <f aca="false">Rev_Exp!D7</f>
        <v>1998</v>
      </c>
      <c r="E7" s="372" t="n">
        <f aca="false">Rev_Exp!E7</f>
        <v>1999</v>
      </c>
      <c r="F7" s="372" t="n">
        <f aca="false">Rev_Exp!F7</f>
        <v>2000</v>
      </c>
      <c r="G7" s="372" t="n">
        <f aca="false">Rev_Exp!G7</f>
        <v>2001</v>
      </c>
      <c r="H7" s="372" t="n">
        <f aca="false">Rev_Exp!H7</f>
        <v>2002</v>
      </c>
      <c r="I7" s="372" t="n">
        <f aca="false">Rev_Exp!I7</f>
        <v>2003</v>
      </c>
      <c r="J7" s="372" t="n">
        <f aca="false">Rev_Exp!J7</f>
        <v>2004</v>
      </c>
      <c r="K7" s="372" t="n">
        <f aca="false">Rev_Exp!K7</f>
        <v>2005</v>
      </c>
      <c r="L7" s="372" t="n">
        <f aca="false">Rev_Exp!L7</f>
        <v>2006</v>
      </c>
      <c r="M7" s="372" t="n">
        <f aca="false">Rev_Exp!M7</f>
        <v>2007</v>
      </c>
      <c r="N7" s="372" t="n">
        <f aca="false">Rev_Exp!N7</f>
        <v>2008</v>
      </c>
      <c r="O7" s="372" t="n">
        <f aca="false">Rev_Exp!O7</f>
        <v>2009</v>
      </c>
      <c r="P7" s="372" t="n">
        <f aca="false">Rev_Exp!P7</f>
        <v>2010</v>
      </c>
      <c r="Q7" s="372" t="n">
        <f aca="false">Rev_Exp!Q7</f>
        <v>2011</v>
      </c>
      <c r="R7" s="372" t="n">
        <f aca="false">Rev_Exp!R7</f>
        <v>2012</v>
      </c>
      <c r="S7" s="372" t="n">
        <f aca="false">Rev_Exp!S7</f>
        <v>2013</v>
      </c>
      <c r="T7" s="372" t="n">
        <f aca="false">Rev_Exp!T7</f>
        <v>2014</v>
      </c>
      <c r="U7" s="372" t="n">
        <f aca="false">Rev_Exp!U7</f>
        <v>2015</v>
      </c>
      <c r="V7" s="372" t="n">
        <f aca="false">Rev_Exp!V7</f>
        <v>2016</v>
      </c>
      <c r="W7" s="372" t="n">
        <f aca="false">Rev_Exp!W7</f>
        <v>2017</v>
      </c>
      <c r="X7" s="372" t="n">
        <f aca="false">Rev_Exp!X7</f>
        <v>2018</v>
      </c>
      <c r="Y7" s="372" t="n">
        <f aca="false">Rev_Exp!Y7</f>
        <v>2019</v>
      </c>
      <c r="Z7" s="544" t="s">
        <v>1380</v>
      </c>
      <c r="AA7" s="38"/>
      <c r="AB7" s="78" t="n">
        <v>1</v>
      </c>
      <c r="AC7" s="175"/>
      <c r="AD7" s="175"/>
      <c r="AE7" s="175"/>
      <c r="AF7" s="175"/>
      <c r="AG7" s="1078"/>
      <c r="AH7" s="175"/>
      <c r="AI7" s="1079"/>
      <c r="AJ7" s="107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1080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1081"/>
      <c r="AA8" s="38"/>
      <c r="AB8" s="175" t="n">
        <f aca="false">AB7+1</f>
        <v>2</v>
      </c>
      <c r="AC8" s="175"/>
      <c r="AD8" s="175"/>
      <c r="AE8" s="175"/>
      <c r="AF8" s="175"/>
      <c r="AG8" s="175"/>
      <c r="AH8" s="175"/>
      <c r="AI8" s="1079"/>
      <c r="AJ8" s="107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</row>
    <row r="9" customFormat="false" ht="12.75" hidden="false" customHeight="false" outlineLevel="0" collapsed="false">
      <c r="A9" s="37" t="s">
        <v>1061</v>
      </c>
      <c r="B9" s="38"/>
      <c r="C9" s="38"/>
      <c r="D9" s="38" t="n">
        <f aca="false">Rev_Exp!D12</f>
        <v>0</v>
      </c>
      <c r="E9" s="38" t="n">
        <f aca="false">Rev_Exp!E12</f>
        <v>9</v>
      </c>
      <c r="F9" s="38" t="n">
        <f aca="false">Rev_Exp!F12</f>
        <v>12</v>
      </c>
      <c r="G9" s="38" t="n">
        <f aca="false">Rev_Exp!G12</f>
        <v>12</v>
      </c>
      <c r="H9" s="38" t="n">
        <f aca="false">Rev_Exp!H12</f>
        <v>12</v>
      </c>
      <c r="I9" s="38" t="n">
        <f aca="false">Rev_Exp!I12</f>
        <v>12</v>
      </c>
      <c r="J9" s="38" t="n">
        <f aca="false">Rev_Exp!J12</f>
        <v>12</v>
      </c>
      <c r="K9" s="38" t="n">
        <f aca="false">Rev_Exp!K12</f>
        <v>12</v>
      </c>
      <c r="L9" s="38" t="n">
        <f aca="false">Rev_Exp!L12</f>
        <v>12</v>
      </c>
      <c r="M9" s="38" t="n">
        <f aca="false">Rev_Exp!M12</f>
        <v>12</v>
      </c>
      <c r="N9" s="38" t="n">
        <f aca="false">Rev_Exp!N12</f>
        <v>12</v>
      </c>
      <c r="O9" s="38" t="n">
        <f aca="false">Rev_Exp!O12</f>
        <v>12</v>
      </c>
      <c r="P9" s="38" t="n">
        <f aca="false">Rev_Exp!P12</f>
        <v>12</v>
      </c>
      <c r="Q9" s="38" t="n">
        <f aca="false">Rev_Exp!Q12</f>
        <v>12</v>
      </c>
      <c r="R9" s="38" t="n">
        <f aca="false">Rev_Exp!R12</f>
        <v>12</v>
      </c>
      <c r="S9" s="38" t="n">
        <f aca="false">Rev_Exp!S12</f>
        <v>12</v>
      </c>
      <c r="T9" s="38" t="n">
        <f aca="false">Rev_Exp!T12</f>
        <v>12</v>
      </c>
      <c r="U9" s="38" t="n">
        <f aca="false">Rev_Exp!U12</f>
        <v>12</v>
      </c>
      <c r="V9" s="38" t="n">
        <f aca="false">Rev_Exp!V12</f>
        <v>12</v>
      </c>
      <c r="W9" s="38" t="n">
        <f aca="false">Rev_Exp!W12</f>
        <v>12</v>
      </c>
      <c r="X9" s="38" t="n">
        <f aca="false">Rev_Exp!X12</f>
        <v>12</v>
      </c>
      <c r="Y9" s="38" t="n">
        <f aca="false">Rev_Exp!Y12</f>
        <v>4</v>
      </c>
      <c r="Z9" s="555" t="n">
        <f aca="false">SUM(D9:Y9)</f>
        <v>241</v>
      </c>
      <c r="AA9" s="38"/>
      <c r="AB9" s="175" t="n">
        <f aca="false">AB8+1</f>
        <v>3</v>
      </c>
      <c r="AC9" s="175"/>
      <c r="AD9" s="175"/>
      <c r="AE9" s="175"/>
      <c r="AF9" s="175"/>
      <c r="AG9" s="175"/>
      <c r="AH9" s="175"/>
      <c r="AI9" s="1079"/>
      <c r="AJ9" s="107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37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555"/>
      <c r="AB10" s="175" t="n">
        <f aca="false">AB9+1</f>
        <v>4</v>
      </c>
      <c r="AC10" s="175"/>
      <c r="AD10" s="175"/>
      <c r="AE10" s="175"/>
      <c r="AF10" s="175"/>
      <c r="AG10" s="175"/>
      <c r="AH10" s="175"/>
      <c r="AI10" s="1079"/>
      <c r="AJ10" s="1078"/>
      <c r="AW10" s="38"/>
      <c r="AX10" s="38"/>
      <c r="AY10" s="38"/>
    </row>
    <row r="11" customFormat="false" ht="12.75" hidden="false" customHeight="false" outlineLevel="0" collapsed="false">
      <c r="A11" s="55" t="s">
        <v>305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555"/>
      <c r="AB11" s="175" t="n">
        <f aca="false">AB10+1</f>
        <v>5</v>
      </c>
      <c r="AC11" s="175"/>
      <c r="AD11" s="175"/>
      <c r="AE11" s="175"/>
      <c r="AF11" s="175"/>
      <c r="AG11" s="175"/>
      <c r="AH11" s="175"/>
      <c r="AI11" s="1079"/>
      <c r="AJ11" s="107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</row>
    <row r="12" customFormat="false" ht="12.75" hidden="false" customHeight="false" outlineLevel="0" collapsed="false">
      <c r="A12" s="146" t="s">
        <v>1381</v>
      </c>
      <c r="B12" s="38"/>
      <c r="C12" s="38"/>
      <c r="D12" s="217" t="n">
        <f aca="false">IF(D$7&lt;YEAR(Startops3),0,VLOOKUP(D$79,Fin_Table,$AA$77))</f>
        <v>0</v>
      </c>
      <c r="E12" s="217" t="n">
        <f aca="false">IF(E$7&lt;YEAR(Startops3),0,VLOOKUP(E$79,Fin_Table,$AA$77))</f>
        <v>0</v>
      </c>
      <c r="F12" s="217" t="n">
        <f aca="false">IF(F$7&lt;YEAR(Startops3),0,VLOOKUP(F$79,Fin_Table,$AA$77))</f>
        <v>0</v>
      </c>
      <c r="G12" s="217" t="n">
        <f aca="false">IF(G$7&lt;YEAR(Startops3),0,VLOOKUP(G$79,Fin_Table,$AA$77))</f>
        <v>6866.1388759198</v>
      </c>
      <c r="H12" s="217" t="n">
        <f aca="false">IF(H$7&lt;YEAR(Startops3),0,VLOOKUP(H$79,Fin_Table,$AA$77))</f>
        <v>16245.849069511</v>
      </c>
      <c r="I12" s="217" t="n">
        <f aca="false">IF(I$7&lt;YEAR(Startops3),0,VLOOKUP(I$79,Fin_Table,$AA$77))</f>
        <v>15297.1145543459</v>
      </c>
      <c r="J12" s="217" t="n">
        <f aca="false">IF(J$7&lt;YEAR(Startops3),0,VLOOKUP(J$79,Fin_Table,$AA$77))</f>
        <v>14256.7267686017</v>
      </c>
      <c r="K12" s="217" t="n">
        <f aca="false">IF(K$7&lt;YEAR(Startops3),0,VLOOKUP(K$79,Fin_Table,$AA$77))</f>
        <v>13047.8739914031</v>
      </c>
      <c r="L12" s="217" t="n">
        <f aca="false">IF(L$7&lt;YEAR(Startops3),0,VLOOKUP(L$79,Fin_Table,$AA$77))</f>
        <v>11750.4132012332</v>
      </c>
      <c r="M12" s="217" t="n">
        <f aca="false">IF(M$7&lt;YEAR(Startops3),0,VLOOKUP(M$79,Fin_Table,$AA$77))</f>
        <v>10380.0289673911</v>
      </c>
      <c r="N12" s="217" t="n">
        <f aca="false">IF(N$7&lt;YEAR(Startops3),0,VLOOKUP(N$79,Fin_Table,$AA$77))</f>
        <v>8974.06088972822</v>
      </c>
      <c r="O12" s="217" t="n">
        <f aca="false">IF(O$7&lt;YEAR(Startops3),0,VLOOKUP(O$79,Fin_Table,$AA$77))</f>
        <v>7705.25600331445</v>
      </c>
      <c r="P12" s="217" t="n">
        <f aca="false">IF(P$7&lt;YEAR(Startops3),0,VLOOKUP(P$79,Fin_Table,$AA$77))</f>
        <v>6465.01759721142</v>
      </c>
      <c r="Q12" s="217" t="n">
        <f aca="false">IF(Q$7&lt;YEAR(Startops3),0,VLOOKUP(Q$79,Fin_Table,$AA$77))</f>
        <v>5197.77633917085</v>
      </c>
      <c r="R12" s="217" t="n">
        <f aca="false">IF(R$7&lt;YEAR(Startops3),0,VLOOKUP(R$79,Fin_Table,$AA$77))</f>
        <v>3910.35006902801</v>
      </c>
      <c r="S12" s="217" t="n">
        <f aca="false">IF(S$7&lt;YEAR(Startops3),0,VLOOKUP(S$79,Fin_Table,$AA$77))</f>
        <v>2848.34668448025</v>
      </c>
      <c r="T12" s="217" t="n">
        <f aca="false">IF(T$7&lt;YEAR(Startops3),0,VLOOKUP(T$79,Fin_Table,$AA$77))</f>
        <v>1786.34329993249</v>
      </c>
      <c r="U12" s="217" t="n">
        <f aca="false">IF(U$7&lt;YEAR(Startops3),0,VLOOKUP(U$79,Fin_Table,$AA$77))</f>
        <v>701.827212434818</v>
      </c>
      <c r="V12" s="217" t="n">
        <f aca="false">IF(V$7&lt;YEAR(Startops3),0,VLOOKUP(V$79,Fin_Table,$AA$77))</f>
        <v>0</v>
      </c>
      <c r="W12" s="217" t="n">
        <f aca="false">IF(W$7&lt;YEAR(Startops3),0,VLOOKUP(W$79,Fin_Table,$AA$77))</f>
        <v>0</v>
      </c>
      <c r="X12" s="217" t="n">
        <f aca="false">IF(X$7&lt;YEAR(Startops3),0,VLOOKUP(X$79,Fin_Table,$AA$77))</f>
        <v>0</v>
      </c>
      <c r="Y12" s="217" t="n">
        <f aca="false">IF(Y$7&lt;YEAR(Startops3),0,VLOOKUP(Y$79,Fin_Table,$AA$77))</f>
        <v>0</v>
      </c>
      <c r="Z12" s="574" t="n">
        <f aca="false">SUM(D12:Y12)</f>
        <v>125433.123523706</v>
      </c>
      <c r="AA12" s="667"/>
      <c r="AB12" s="175" t="n">
        <f aca="false">AB11+1</f>
        <v>6</v>
      </c>
      <c r="AC12" s="175"/>
      <c r="AD12" s="175"/>
      <c r="AE12" s="175"/>
      <c r="AF12" s="175"/>
      <c r="AG12" s="175"/>
      <c r="AH12" s="175"/>
      <c r="AI12" s="1079"/>
      <c r="AJ12" s="107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</row>
    <row r="13" customFormat="false" ht="12.75" hidden="false" customHeight="false" outlineLevel="0" collapsed="false">
      <c r="A13" s="146" t="s">
        <v>1382</v>
      </c>
      <c r="B13" s="38"/>
      <c r="C13" s="38"/>
      <c r="D13" s="220" t="n">
        <f aca="false">IF(D$7&lt;YEAR(Startops3),0,VLOOKUP(D$79,Fin_Table,$AB$77))</f>
        <v>0</v>
      </c>
      <c r="E13" s="220" t="n">
        <f aca="false">IF(E$7&lt;YEAR(Startops3),0,VLOOKUP(E$79,Fin_Table,$AB$77))</f>
        <v>0</v>
      </c>
      <c r="F13" s="220" t="n">
        <f aca="false">IF(F$7&lt;YEAR(Startops3),0,VLOOKUP(F$79,Fin_Table,$AB$77))</f>
        <v>0</v>
      </c>
      <c r="G13" s="220" t="n">
        <f aca="false">IF(G$7&lt;YEAR(Startops3),0,VLOOKUP(G$79,Fin_Table,$AB$77))</f>
        <v>0</v>
      </c>
      <c r="H13" s="220" t="n">
        <f aca="false">IF(H$7&lt;YEAR(Startops3),0,VLOOKUP(H$79,Fin_Table,$AB$77))</f>
        <v>12154.8138268118</v>
      </c>
      <c r="I13" s="220" t="n">
        <f aca="false">IF(I$7&lt;YEAR(Startops3),0,VLOOKUP(I$79,Fin_Table,$AB$77))</f>
        <v>12684.9300485336</v>
      </c>
      <c r="J13" s="220" t="n">
        <f aca="false">IF(J$7&lt;YEAR(Startops3),0,VLOOKUP(J$79,Fin_Table,$AB$77))</f>
        <v>14522.3752400263</v>
      </c>
      <c r="K13" s="220" t="n">
        <f aca="false">IF(K$7&lt;YEAR(Startops3),0,VLOOKUP(K$79,Fin_Table,$AB$77))</f>
        <v>15403.1404218615</v>
      </c>
      <c r="L13" s="220" t="n">
        <f aca="false">IF(L$7&lt;YEAR(Startops3),0,VLOOKUP(L$79,Fin_Table,$AB$77))</f>
        <v>16039.3077637438</v>
      </c>
      <c r="M13" s="220" t="n">
        <f aca="false">IF(M$7&lt;YEAR(Startops3),0,VLOOKUP(M$79,Fin_Table,$AB$77))</f>
        <v>16528.8704101656</v>
      </c>
      <c r="N13" s="220" t="n">
        <f aca="false">IF(N$7&lt;YEAR(Startops3),0,VLOOKUP(N$79,Fin_Table,$AB$77))</f>
        <v>15799.4352428079</v>
      </c>
      <c r="O13" s="220" t="n">
        <f aca="false">IF(O$7&lt;YEAR(Startops3),0,VLOOKUP(O$79,Fin_Table,$AB$77))</f>
        <v>15092.5269904591</v>
      </c>
      <c r="P13" s="220" t="n">
        <f aca="false">IF(P$7&lt;YEAR(Startops3),0,VLOOKUP(P$79,Fin_Table,$AB$77))</f>
        <v>15377.2220828531</v>
      </c>
      <c r="Q13" s="220" t="n">
        <f aca="false">IF(Q$7&lt;YEAR(Startops3),0,VLOOKUP(Q$79,Fin_Table,$AB$77))</f>
        <v>16172.3899220017</v>
      </c>
      <c r="R13" s="220" t="n">
        <f aca="false">IF(R$7&lt;YEAR(Startops3),0,VLOOKUP(R$79,Fin_Table,$AB$77))</f>
        <v>13057.8839909619</v>
      </c>
      <c r="S13" s="220" t="n">
        <f aca="false">IF(S$7&lt;YEAR(Startops3),0,VLOOKUP(S$79,Fin_Table,$AB$77))</f>
        <v>13057.8839909619</v>
      </c>
      <c r="T13" s="220" t="n">
        <f aca="false">IF(T$7&lt;YEAR(Startops3),0,VLOOKUP(T$79,Fin_Table,$AB$77))</f>
        <v>13166.937350695</v>
      </c>
      <c r="U13" s="220" t="n">
        <f aca="false">IF(U$7&lt;YEAR(Startops3),0,VLOOKUP(U$79,Fin_Table,$AB$77))</f>
        <v>12293.4026291753</v>
      </c>
      <c r="V13" s="220" t="n">
        <f aca="false">IF(V$7&lt;YEAR(Startops3),0,VLOOKUP(V$79,Fin_Table,$AB$77))</f>
        <v>0</v>
      </c>
      <c r="W13" s="220" t="n">
        <f aca="false">IF(W$7&lt;YEAR(Startops3),0,VLOOKUP(W$79,Fin_Table,$AB$77))</f>
        <v>0</v>
      </c>
      <c r="X13" s="220" t="n">
        <f aca="false">IF(X$7&lt;YEAR(Startops3),0,VLOOKUP(X$79,Fin_Table,$AB$77))</f>
        <v>0</v>
      </c>
      <c r="Y13" s="220" t="n">
        <f aca="false">IF(Y$7&lt;YEAR(Startops3),0,VLOOKUP(Y$79,Fin_Table,$AB$77))</f>
        <v>0</v>
      </c>
      <c r="Z13" s="576" t="n">
        <f aca="false">SUM(D13:Y13)</f>
        <v>201351.119911058</v>
      </c>
      <c r="AA13" s="16" t="str">
        <f aca="false">IF(ABS(Z13-Tot_Debt)&lt;0.1," ","SUM OF PRINCIPAL PAYMENTS DOES NOT EQUAL DEBT")</f>
        <v> </v>
      </c>
      <c r="AB13" s="175" t="n">
        <f aca="false">AB12+1</f>
        <v>7</v>
      </c>
      <c r="AC13" s="175"/>
      <c r="AD13" s="175"/>
      <c r="AE13" s="175"/>
      <c r="AF13" s="175"/>
      <c r="AG13" s="175"/>
      <c r="AH13" s="175"/>
      <c r="AI13" s="1079"/>
      <c r="AJ13" s="107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</row>
    <row r="14" customFormat="false" ht="12.75" hidden="false" customHeight="false" outlineLevel="0" collapsed="false">
      <c r="A14" s="90" t="s">
        <v>1383</v>
      </c>
      <c r="B14" s="66"/>
      <c r="C14" s="66"/>
      <c r="D14" s="1082" t="n">
        <f aca="false">SUM(D12:D13)</f>
        <v>0</v>
      </c>
      <c r="E14" s="1082" t="n">
        <f aca="false">SUM(E12:E13)</f>
        <v>0</v>
      </c>
      <c r="F14" s="1082" t="n">
        <f aca="false">SUM(F12:F13)</f>
        <v>0</v>
      </c>
      <c r="G14" s="1082" t="n">
        <f aca="false">SUM(G12:G13)</f>
        <v>6866.1388759198</v>
      </c>
      <c r="H14" s="1082" t="n">
        <f aca="false">SUM(H12:H13)</f>
        <v>28400.6628963228</v>
      </c>
      <c r="I14" s="1082" t="n">
        <f aca="false">SUM(I12:I13)</f>
        <v>27982.0446028794</v>
      </c>
      <c r="J14" s="1082" t="n">
        <f aca="false">SUM(J12:J13)</f>
        <v>28779.102008628</v>
      </c>
      <c r="K14" s="1082" t="n">
        <f aca="false">SUM(K12:K13)</f>
        <v>28451.0144132646</v>
      </c>
      <c r="L14" s="1082" t="n">
        <f aca="false">SUM(L12:L13)</f>
        <v>27789.720964977</v>
      </c>
      <c r="M14" s="1082" t="n">
        <f aca="false">SUM(M12:M13)</f>
        <v>26908.8993775567</v>
      </c>
      <c r="N14" s="1082" t="n">
        <f aca="false">SUM(N12:N13)</f>
        <v>24773.4961325361</v>
      </c>
      <c r="O14" s="1082" t="n">
        <f aca="false">SUM(O12:O13)</f>
        <v>22797.7829937736</v>
      </c>
      <c r="P14" s="1082" t="n">
        <f aca="false">SUM(P12:P13)</f>
        <v>21842.2396800645</v>
      </c>
      <c r="Q14" s="1082" t="n">
        <f aca="false">SUM(Q12:Q13)</f>
        <v>21370.1662611726</v>
      </c>
      <c r="R14" s="1082" t="n">
        <f aca="false">SUM(R12:R13)</f>
        <v>16968.2340599899</v>
      </c>
      <c r="S14" s="1082" t="n">
        <f aca="false">SUM(S12:S13)</f>
        <v>15906.2306754421</v>
      </c>
      <c r="T14" s="1082" t="n">
        <f aca="false">SUM(T12:T13)</f>
        <v>14953.2806506275</v>
      </c>
      <c r="U14" s="1082" t="n">
        <f aca="false">SUM(U12:U13)</f>
        <v>12995.2298416101</v>
      </c>
      <c r="V14" s="1082" t="n">
        <f aca="false">SUM(V12:V13)</f>
        <v>0</v>
      </c>
      <c r="W14" s="1082" t="n">
        <f aca="false">SUM(W12:W13)</f>
        <v>0</v>
      </c>
      <c r="X14" s="1082" t="n">
        <f aca="false">SUM(X12:X13)</f>
        <v>0</v>
      </c>
      <c r="Y14" s="1082" t="n">
        <f aca="false">SUM(Y12:Y13)</f>
        <v>0</v>
      </c>
      <c r="Z14" s="1083" t="n">
        <f aca="false">SUM(D14:Y14)</f>
        <v>326784.243434765</v>
      </c>
      <c r="AB14" s="175" t="n">
        <f aca="false">AB13+1</f>
        <v>8</v>
      </c>
      <c r="AC14" s="175"/>
      <c r="AD14" s="175"/>
      <c r="AE14" s="175"/>
      <c r="AF14" s="175"/>
      <c r="AG14" s="175"/>
      <c r="AH14" s="175"/>
      <c r="AI14" s="1079"/>
      <c r="AJ14" s="107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</row>
    <row r="15" customFormat="false" ht="12.75" hidden="false" customHeight="false" outlineLevel="0" collapsed="false">
      <c r="A15" s="37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555"/>
      <c r="AB15" s="175" t="n">
        <f aca="false">AB14+1</f>
        <v>9</v>
      </c>
      <c r="AC15" s="175"/>
      <c r="AD15" s="175"/>
      <c r="AE15" s="175"/>
      <c r="AF15" s="175"/>
      <c r="AG15" s="175"/>
      <c r="AH15" s="175"/>
      <c r="AI15" s="1079"/>
      <c r="AJ15" s="107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</row>
    <row r="16" customFormat="false" ht="12.75" hidden="false" customHeight="false" outlineLevel="0" collapsed="false">
      <c r="A16" s="1084" t="str">
        <f aca="false">CONCATENATE(Assm!$Y$83," Months DS (Following Year)")</f>
        <v>6 Months DS (Following Year)</v>
      </c>
      <c r="B16" s="66"/>
      <c r="C16" s="66"/>
      <c r="D16" s="628" t="n">
        <f aca="false">IF(OR(E$9=0,D$7=YEAR(Endyr)),0,E14*Assm!$Y$83/12)</f>
        <v>0</v>
      </c>
      <c r="E16" s="628" t="n">
        <f aca="false">IF(OR(F$9=0,E$7=YEAR(Endyr)),0,F14*Assm!$Y$83/12)</f>
        <v>0</v>
      </c>
      <c r="F16" s="628" t="n">
        <f aca="false">IF(OR(G$9=0,F$7=YEAR(Endyr)),0,G14*Assm!$Y$83/12)</f>
        <v>3433.0694379599</v>
      </c>
      <c r="G16" s="628" t="n">
        <f aca="false">IF(OR(H$9=0,G$7=YEAR(Endyr)),0,H14*Assm!$Y$83/12)</f>
        <v>14200.3314481614</v>
      </c>
      <c r="H16" s="628" t="n">
        <f aca="false">IF(OR(I$9=0,H$7=YEAR(Endyr)),0,I14*Assm!$Y$83/12)</f>
        <v>13991.0223014397</v>
      </c>
      <c r="I16" s="628" t="n">
        <f aca="false">IF(OR(J$9=0,I$7=YEAR(Endyr)),0,J14*Assm!$Y$83/12)</f>
        <v>14389.551004314</v>
      </c>
      <c r="J16" s="628" t="n">
        <f aca="false">IF(OR(K$9=0,J$7=YEAR(Endyr)),0,K14*Assm!$Y$83/12)</f>
        <v>14225.5072066323</v>
      </c>
      <c r="K16" s="628" t="n">
        <f aca="false">IF(OR(L$9=0,K$7=YEAR(Endyr)),0,L14*Assm!$Y$83/12)</f>
        <v>13894.8604824885</v>
      </c>
      <c r="L16" s="628" t="n">
        <f aca="false">IF(OR(M$9=0,L$7=YEAR(Endyr)),0,M14*Assm!$Y$83/12)</f>
        <v>13454.4496887784</v>
      </c>
      <c r="M16" s="628" t="n">
        <f aca="false">IF(OR(N$9=0,M$7=YEAR(Endyr)),0,N14*Assm!$Y$83/12)</f>
        <v>12386.7480662681</v>
      </c>
      <c r="N16" s="628" t="n">
        <f aca="false">IF(OR(O$9=0,N$7=YEAR(Endyr)),0,O14*Assm!$Y$83/12)</f>
        <v>11398.8914968868</v>
      </c>
      <c r="O16" s="628" t="n">
        <f aca="false">IF(OR(P$9=0,O$7=YEAR(Endyr)),0,P14*Assm!$Y$83/12)</f>
        <v>10921.1198400323</v>
      </c>
      <c r="P16" s="628" t="n">
        <f aca="false">IF(OR(Q$9=0,P$7=YEAR(Endyr)),0,Q14*Assm!$Y$83/12)</f>
        <v>10685.0831305863</v>
      </c>
      <c r="Q16" s="628" t="n">
        <f aca="false">IF(OR(R$9=0,Q$7=YEAR(Endyr)),0,R14*Assm!$Y$83/12)</f>
        <v>8484.11702999493</v>
      </c>
      <c r="R16" s="628" t="n">
        <f aca="false">IF(OR(S$9=0,R$7=YEAR(Endyr)),0,S14*Assm!$Y$83/12)</f>
        <v>7953.11533772105</v>
      </c>
      <c r="S16" s="628" t="n">
        <f aca="false">IF(OR(T$9=0,S$7=YEAR(Endyr)),0,T14*Assm!$Y$83/12)</f>
        <v>7476.64032531376</v>
      </c>
      <c r="T16" s="628" t="n">
        <f aca="false">IF(OR(U$9=0,T$7=YEAR(Endyr)),0,U14*Assm!$Y$83/12)</f>
        <v>6497.61492080505</v>
      </c>
      <c r="U16" s="628" t="n">
        <f aca="false">IF(OR(V$9=0,U$7=YEAR(Endyr)),0,V14*Assm!$Y$83/12)</f>
        <v>0</v>
      </c>
      <c r="V16" s="628" t="n">
        <f aca="false">IF(OR(W$9=0,V$7=YEAR(Endyr)),0,W14*Assm!$Y$83/12)</f>
        <v>0</v>
      </c>
      <c r="W16" s="628" t="n">
        <f aca="false">IF(OR(X$9=0,W$7=YEAR(Endyr)),0,X14*Assm!$Y$83/12)</f>
        <v>0</v>
      </c>
      <c r="X16" s="628" t="n">
        <f aca="false">IF(OR(Y$9=0,X$7=YEAR(Endyr)),0,Y14*Assm!$Y$83/12)</f>
        <v>0</v>
      </c>
      <c r="Y16" s="628" t="n">
        <f aca="false">IF(OR(Z$9=0,Y$7=YEAR(Endyr)),0,Z14*Assm!$Y$83/12)</f>
        <v>0</v>
      </c>
      <c r="Z16" s="1085"/>
      <c r="AB16" s="175" t="n">
        <f aca="false">AB15+1</f>
        <v>10</v>
      </c>
      <c r="AC16" s="175"/>
      <c r="AD16" s="175"/>
      <c r="AE16" s="175"/>
      <c r="AF16" s="175"/>
      <c r="AG16" s="175"/>
      <c r="AH16" s="175"/>
      <c r="AI16" s="1079"/>
      <c r="AJ16" s="107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</row>
    <row r="17" customFormat="false" ht="12.75" hidden="false" customHeight="false" outlineLevel="0" collapsed="false">
      <c r="A17" s="37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555"/>
      <c r="AB17" s="175" t="n">
        <f aca="false">AB16+1</f>
        <v>11</v>
      </c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</row>
    <row r="18" customFormat="false" ht="12.75" hidden="false" customHeight="false" outlineLevel="0" collapsed="false">
      <c r="A18" s="55" t="s">
        <v>949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555"/>
      <c r="AB18" s="175" t="n">
        <f aca="false">AB17+1</f>
        <v>12</v>
      </c>
      <c r="AC18" s="175"/>
      <c r="AD18" s="175"/>
      <c r="AE18" s="175"/>
      <c r="AF18" s="175"/>
      <c r="AG18" s="175"/>
      <c r="AH18" s="175"/>
      <c r="AI18" s="1079"/>
      <c r="AJ18" s="1078"/>
    </row>
    <row r="19" customFormat="false" ht="12.75" hidden="false" customHeight="false" outlineLevel="0" collapsed="false">
      <c r="A19" s="146" t="s">
        <v>1381</v>
      </c>
      <c r="B19" s="38"/>
      <c r="C19" s="38"/>
      <c r="D19" s="217" t="n">
        <f aca="false">IF(D$7&lt;YEAR(Startops3),0,VLOOKUP(D$79,Fin_Table,$AC$77))</f>
        <v>0</v>
      </c>
      <c r="E19" s="217" t="n">
        <f aca="false">IF(E$7&lt;YEAR(Startops3),0,VLOOKUP(E$79,Fin_Table,$AC$77))</f>
        <v>0</v>
      </c>
      <c r="F19" s="217" t="n">
        <f aca="false">IF(F$7&lt;YEAR(Startops3),0,VLOOKUP(F$79,Fin_Table,$AC$77))</f>
        <v>0</v>
      </c>
      <c r="G19" s="217" t="n">
        <f aca="false">IF(G$7&lt;YEAR(Startops3),0,VLOOKUP(G$79,Fin_Table,$AC$77))</f>
        <v>2694.78154144109</v>
      </c>
      <c r="H19" s="217" t="n">
        <f aca="false">IF(H$7&lt;YEAR(Startops3),0,VLOOKUP(H$79,Fin_Table,$AC$77))</f>
        <v>6397.33203104365</v>
      </c>
      <c r="I19" s="217" t="n">
        <f aca="false">IF(I$7&lt;YEAR(Startops3),0,VLOOKUP(I$79,Fin_Table,$AC$77))</f>
        <v>6098.22364659681</v>
      </c>
      <c r="J19" s="217" t="n">
        <f aca="false">IF(J$7&lt;YEAR(Startops3),0,VLOOKUP(J$79,Fin_Table,$AC$77))</f>
        <v>5758.9674392476</v>
      </c>
      <c r="K19" s="217" t="n">
        <f aca="false">IF(K$7&lt;YEAR(Startops3),0,VLOOKUP(K$79,Fin_Table,$AC$77))</f>
        <v>5374.17456746693</v>
      </c>
      <c r="L19" s="217" t="n">
        <f aca="false">IF(L$7&lt;YEAR(Startops3),0,VLOOKUP(L$79,Fin_Table,$AC$77))</f>
        <v>4937.7328724715</v>
      </c>
      <c r="M19" s="217" t="n">
        <f aca="false">IF(M$7&lt;YEAR(Startops3),0,VLOOKUP(M$79,Fin_Table,$AC$77))</f>
        <v>4442.70979096531</v>
      </c>
      <c r="N19" s="217" t="n">
        <f aca="false">IF(N$7&lt;YEAR(Startops3),0,VLOOKUP(N$79,Fin_Table,$AC$77))</f>
        <v>3881.24223634396</v>
      </c>
      <c r="O19" s="217" t="n">
        <f aca="false">IF(O$7&lt;YEAR(Startops3),0,VLOOKUP(O$79,Fin_Table,$AC$77))</f>
        <v>3244.41169920355</v>
      </c>
      <c r="P19" s="217" t="n">
        <f aca="false">IF(P$7&lt;YEAR(Startops3),0,VLOOKUP(P$79,Fin_Table,$AC$77))</f>
        <v>2522.10258321547</v>
      </c>
      <c r="Q19" s="217" t="n">
        <f aca="false">IF(Q$7&lt;YEAR(Startops3),0,VLOOKUP(Q$79,Fin_Table,$AC$77))</f>
        <v>1702.84152613389</v>
      </c>
      <c r="R19" s="217" t="n">
        <f aca="false">IF(R$7&lt;YEAR(Startops3),0,VLOOKUP(R$79,Fin_Table,$AC$77))</f>
        <v>773.615153665539</v>
      </c>
      <c r="S19" s="217" t="n">
        <f aca="false">IF(S$7&lt;YEAR(Startops3),0,VLOOKUP(S$79,Fin_Table,$AC$77))</f>
        <v>0</v>
      </c>
      <c r="T19" s="217" t="n">
        <f aca="false">IF(T$7&lt;YEAR(Startops3),0,VLOOKUP(T$79,Fin_Table,$AC$77))</f>
        <v>0</v>
      </c>
      <c r="U19" s="217" t="n">
        <f aca="false">IF(U$7&lt;YEAR(Startops3),0,VLOOKUP(U$79,Fin_Table,$AC$77))</f>
        <v>0</v>
      </c>
      <c r="V19" s="217" t="n">
        <f aca="false">IF(V$7&lt;YEAR(Startops3),0,VLOOKUP(V$79,Fin_Table,$AC$77))</f>
        <v>0</v>
      </c>
      <c r="W19" s="217" t="n">
        <f aca="false">IF(W$7&lt;YEAR(Startops3),0,VLOOKUP(W$79,Fin_Table,$AC$77))</f>
        <v>0</v>
      </c>
      <c r="X19" s="217" t="n">
        <f aca="false">IF(X$7&lt;YEAR(Startops3),0,VLOOKUP(X$79,Fin_Table,$AC$77))</f>
        <v>0</v>
      </c>
      <c r="Y19" s="217" t="n">
        <f aca="false">IF(Y$7&lt;YEAR(Startops3),0,VLOOKUP(Y$79,Fin_Table,$AC$77))</f>
        <v>0</v>
      </c>
      <c r="Z19" s="574" t="n">
        <f aca="false">SUM(D19:Y19)</f>
        <v>47828.1350877953</v>
      </c>
      <c r="AA19" s="667"/>
      <c r="AB19" s="175" t="n">
        <f aca="false">AB18+1</f>
        <v>13</v>
      </c>
      <c r="AC19" s="175"/>
      <c r="AD19" s="175"/>
      <c r="AE19" s="175"/>
      <c r="AF19" s="175"/>
      <c r="AG19" s="175"/>
      <c r="AH19" s="175"/>
      <c r="AI19" s="1079"/>
      <c r="AJ19" s="1078"/>
    </row>
    <row r="20" customFormat="false" ht="12.75" hidden="false" customHeight="false" outlineLevel="0" collapsed="false">
      <c r="A20" s="146" t="s">
        <v>1382</v>
      </c>
      <c r="B20" s="38"/>
      <c r="C20" s="38"/>
      <c r="D20" s="220" t="n">
        <f aca="false">IF(D$7&lt;YEAR(Startops3),0,VLOOKUP(D$79,Fin_Table,$AD$77))</f>
        <v>0</v>
      </c>
      <c r="E20" s="220" t="n">
        <f aca="false">IF(E$7&lt;YEAR(Startops3),0,VLOOKUP(E$79,Fin_Table,$AD$77))</f>
        <v>0</v>
      </c>
      <c r="F20" s="220" t="n">
        <f aca="false">IF(F$7&lt;YEAR(Startops3),0,VLOOKUP(F$79,Fin_Table,$AD$77))</f>
        <v>0</v>
      </c>
      <c r="G20" s="220" t="n">
        <f aca="false">IF(G$7&lt;YEAR(Startops3),0,VLOOKUP(G$79,Fin_Table,$AD$77))</f>
        <v>0</v>
      </c>
      <c r="H20" s="220" t="n">
        <f aca="false">IF(H$7&lt;YEAR(Startops3),0,VLOOKUP(H$79,Fin_Table,$AD$77))</f>
        <v>2228.4103888757</v>
      </c>
      <c r="I20" s="220" t="n">
        <f aca="false">IF(I$7&lt;YEAR(Startops3),0,VLOOKUP(I$79,Fin_Table,$AD$77))</f>
        <v>2527.51877332254</v>
      </c>
      <c r="J20" s="220" t="n">
        <f aca="false">IF(J$7&lt;YEAR(Startops3),0,VLOOKUP(J$79,Fin_Table,$AD$77))</f>
        <v>2866.77498067176</v>
      </c>
      <c r="K20" s="220" t="n">
        <f aca="false">IF(K$7&lt;YEAR(Startops3),0,VLOOKUP(K$79,Fin_Table,$AD$77))</f>
        <v>3251.56785245242</v>
      </c>
      <c r="L20" s="220" t="n">
        <f aca="false">IF(L$7&lt;YEAR(Startops3),0,VLOOKUP(L$79,Fin_Table,$AD$77))</f>
        <v>3688.00954744785</v>
      </c>
      <c r="M20" s="220" t="n">
        <f aca="false">IF(M$7&lt;YEAR(Startops3),0,VLOOKUP(M$79,Fin_Table,$AD$77))</f>
        <v>4183.03262895404</v>
      </c>
      <c r="N20" s="220" t="n">
        <f aca="false">IF(N$7&lt;YEAR(Startops3),0,VLOOKUP(N$79,Fin_Table,$AD$77))</f>
        <v>4744.5001835754</v>
      </c>
      <c r="O20" s="220" t="n">
        <f aca="false">IF(O$7&lt;YEAR(Startops3),0,VLOOKUP(O$79,Fin_Table,$AD$77))</f>
        <v>5381.3307207158</v>
      </c>
      <c r="P20" s="220" t="n">
        <f aca="false">IF(P$7&lt;YEAR(Startops3),0,VLOOKUP(P$79,Fin_Table,$AD$77))</f>
        <v>6103.63983670388</v>
      </c>
      <c r="Q20" s="220" t="n">
        <f aca="false">IF(Q$7&lt;YEAR(Startops3),0,VLOOKUP(Q$79,Fin_Table,$AD$77))</f>
        <v>6922.90089378546</v>
      </c>
      <c r="R20" s="220" t="n">
        <f aca="false">IF(R$7&lt;YEAR(Startops3),0,VLOOKUP(R$79,Fin_Table,$AD$77))</f>
        <v>7852.12726625381</v>
      </c>
      <c r="S20" s="220" t="n">
        <f aca="false">IF(S$7&lt;YEAR(Startops3),0,VLOOKUP(S$79,Fin_Table,$AD$77))</f>
        <v>0</v>
      </c>
      <c r="T20" s="220" t="n">
        <f aca="false">IF(T$7&lt;YEAR(Startops3),0,VLOOKUP(T$79,Fin_Table,$AD$77))</f>
        <v>0</v>
      </c>
      <c r="U20" s="220" t="n">
        <f aca="false">IF(U$7&lt;YEAR(Startops3),0,VLOOKUP(U$79,Fin_Table,$AD$77))</f>
        <v>0</v>
      </c>
      <c r="V20" s="220" t="n">
        <f aca="false">IF(V$7&lt;YEAR(Startops3),0,VLOOKUP(V$79,Fin_Table,$AD$77))</f>
        <v>0</v>
      </c>
      <c r="W20" s="220" t="n">
        <f aca="false">IF(W$7&lt;YEAR(Startops3),0,VLOOKUP(W$79,Fin_Table,$AD$77))</f>
        <v>0</v>
      </c>
      <c r="X20" s="220" t="n">
        <f aca="false">IF(X$7&lt;YEAR(Startops3),0,VLOOKUP(X$79,Fin_Table,$AD$77))</f>
        <v>0</v>
      </c>
      <c r="Y20" s="220" t="n">
        <f aca="false">IF(Y$7&lt;YEAR(Startops3),0,VLOOKUP(Y$79,Fin_Table,$AD$77))</f>
        <v>0</v>
      </c>
      <c r="Z20" s="576" t="n">
        <f aca="false">SUM(D20:Y20)</f>
        <v>49749.8130727587</v>
      </c>
      <c r="AA20" s="16" t="str">
        <f aca="false">IF(ABS(Z20-Tot_Subdebt)&lt;0.01," ","SUM OF PRINCIPAL PAYMENTS DOES NOT EQUAL SUBDEBT")</f>
        <v> </v>
      </c>
      <c r="AB20" s="175" t="n">
        <f aca="false">AB19+1</f>
        <v>14</v>
      </c>
      <c r="AC20" s="175"/>
      <c r="AD20" s="175"/>
      <c r="AE20" s="175"/>
      <c r="AF20" s="175"/>
      <c r="AG20" s="175"/>
      <c r="AH20" s="175"/>
      <c r="AI20" s="1079"/>
      <c r="AJ20" s="1078"/>
    </row>
    <row r="21" customFormat="false" ht="12.75" hidden="false" customHeight="false" outlineLevel="0" collapsed="false">
      <c r="A21" s="90" t="s">
        <v>1384</v>
      </c>
      <c r="B21" s="66"/>
      <c r="C21" s="66"/>
      <c r="D21" s="1082" t="n">
        <f aca="false">SUM(D19:D20)</f>
        <v>0</v>
      </c>
      <c r="E21" s="1082" t="n">
        <f aca="false">SUM(E19:E20)</f>
        <v>0</v>
      </c>
      <c r="F21" s="1082" t="n">
        <f aca="false">SUM(F19:F20)</f>
        <v>0</v>
      </c>
      <c r="G21" s="1082" t="n">
        <f aca="false">SUM(G19:G20)</f>
        <v>2694.78154144109</v>
      </c>
      <c r="H21" s="1082" t="n">
        <f aca="false">SUM(H19:H20)</f>
        <v>8625.74241991935</v>
      </c>
      <c r="I21" s="1082" t="n">
        <f aca="false">SUM(I19:I20)</f>
        <v>8625.74241991935</v>
      </c>
      <c r="J21" s="1082" t="n">
        <f aca="false">SUM(J19:J20)</f>
        <v>8625.74241991935</v>
      </c>
      <c r="K21" s="1082" t="n">
        <f aca="false">SUM(K19:K20)</f>
        <v>8625.74241991935</v>
      </c>
      <c r="L21" s="1082" t="n">
        <f aca="false">SUM(L19:L20)</f>
        <v>8625.74241991935</v>
      </c>
      <c r="M21" s="1082" t="n">
        <f aca="false">SUM(M19:M20)</f>
        <v>8625.74241991935</v>
      </c>
      <c r="N21" s="1082" t="n">
        <f aca="false">SUM(N19:N20)</f>
        <v>8625.74241991935</v>
      </c>
      <c r="O21" s="1082" t="n">
        <f aca="false">SUM(O19:O20)</f>
        <v>8625.74241991935</v>
      </c>
      <c r="P21" s="1082" t="n">
        <f aca="false">SUM(P19:P20)</f>
        <v>8625.74241991935</v>
      </c>
      <c r="Q21" s="1082" t="n">
        <f aca="false">SUM(Q19:Q20)</f>
        <v>8625.74241991935</v>
      </c>
      <c r="R21" s="1082" t="n">
        <f aca="false">SUM(R19:R20)</f>
        <v>8625.74241991935</v>
      </c>
      <c r="S21" s="1082" t="n">
        <f aca="false">SUM(S19:S20)</f>
        <v>0</v>
      </c>
      <c r="T21" s="1082" t="n">
        <f aca="false">SUM(T19:T20)</f>
        <v>0</v>
      </c>
      <c r="U21" s="1082" t="n">
        <f aca="false">SUM(U19:U20)</f>
        <v>0</v>
      </c>
      <c r="V21" s="1082" t="n">
        <f aca="false">SUM(V19:V20)</f>
        <v>0</v>
      </c>
      <c r="W21" s="1082" t="n">
        <f aca="false">SUM(W19:W20)</f>
        <v>0</v>
      </c>
      <c r="X21" s="1082" t="n">
        <f aca="false">SUM(X19:X20)</f>
        <v>0</v>
      </c>
      <c r="Y21" s="1082" t="n">
        <f aca="false">SUM(Y19:Y20)</f>
        <v>0</v>
      </c>
      <c r="Z21" s="1083" t="n">
        <f aca="false">SUM(D21:Y21)</f>
        <v>97577.948160554</v>
      </c>
      <c r="AB21" s="175" t="n">
        <f aca="false">AB20+1</f>
        <v>15</v>
      </c>
      <c r="AC21" s="175"/>
      <c r="AD21" s="175"/>
      <c r="AE21" s="175"/>
      <c r="AF21" s="175"/>
      <c r="AG21" s="175"/>
      <c r="AH21" s="175"/>
      <c r="AI21" s="1079"/>
      <c r="AJ21" s="1078"/>
    </row>
    <row r="22" customFormat="false" ht="12.75" hidden="false" customHeight="false" outlineLevel="0" collapsed="false">
      <c r="A22" s="1086"/>
      <c r="B22" s="1087"/>
      <c r="C22" s="1087"/>
      <c r="D22" s="1088"/>
      <c r="E22" s="1088"/>
      <c r="F22" s="1088"/>
      <c r="G22" s="1088"/>
      <c r="H22" s="1088"/>
      <c r="I22" s="1088"/>
      <c r="J22" s="1088"/>
      <c r="K22" s="1088"/>
      <c r="L22" s="1088"/>
      <c r="M22" s="1088"/>
      <c r="N22" s="1088"/>
      <c r="O22" s="1088"/>
      <c r="P22" s="1088"/>
      <c r="Q22" s="1088"/>
      <c r="R22" s="1088"/>
      <c r="S22" s="1088"/>
      <c r="T22" s="1088"/>
      <c r="U22" s="1088"/>
      <c r="V22" s="1088"/>
      <c r="W22" s="1088"/>
      <c r="X22" s="1088"/>
      <c r="Y22" s="1088"/>
      <c r="Z22" s="1089"/>
      <c r="AA22" s="1075"/>
      <c r="AB22" s="1078"/>
      <c r="AC22" s="1078"/>
      <c r="AD22" s="1078"/>
      <c r="AE22" s="1078"/>
      <c r="AF22" s="42"/>
      <c r="AG22" s="1078"/>
      <c r="AH22" s="1078"/>
      <c r="AI22" s="1079"/>
      <c r="AJ22" s="1078"/>
      <c r="AK22" s="1075"/>
      <c r="AL22" s="1075"/>
      <c r="AM22" s="1075"/>
      <c r="AN22" s="1075"/>
      <c r="AO22" s="1075"/>
      <c r="AP22" s="1075"/>
      <c r="AQ22" s="1075"/>
      <c r="AR22" s="1075"/>
      <c r="AS22" s="1075"/>
      <c r="AT22" s="1075"/>
      <c r="AU22" s="1075"/>
      <c r="AV22" s="1075"/>
      <c r="AW22" s="1075"/>
      <c r="AX22" s="1075"/>
      <c r="AY22" s="1075"/>
      <c r="AZ22" s="1075"/>
      <c r="BA22" s="1075"/>
      <c r="BB22" s="1075"/>
      <c r="BC22" s="1075"/>
      <c r="BD22" s="1075"/>
      <c r="BE22" s="1075"/>
      <c r="BF22" s="1075"/>
      <c r="BG22" s="1075"/>
      <c r="BH22" s="1075"/>
      <c r="BI22" s="1075"/>
      <c r="BJ22" s="1075"/>
      <c r="BK22" s="1075"/>
      <c r="BL22" s="1075"/>
      <c r="BM22" s="1075"/>
      <c r="BN22" s="1075"/>
      <c r="BO22" s="1075"/>
      <c r="BP22" s="1075"/>
      <c r="BQ22" s="1075"/>
      <c r="BR22" s="1075"/>
      <c r="BS22" s="1075"/>
      <c r="BT22" s="1075"/>
      <c r="BU22" s="1075"/>
      <c r="BV22" s="1075"/>
      <c r="BW22" s="1075"/>
      <c r="BX22" s="1075"/>
      <c r="BY22" s="1075"/>
      <c r="BZ22" s="1075"/>
      <c r="CA22" s="1075"/>
      <c r="CB22" s="1075"/>
      <c r="CC22" s="1075"/>
      <c r="CD22" s="1075"/>
      <c r="CE22" s="1075"/>
      <c r="CF22" s="1075"/>
      <c r="CG22" s="1075"/>
      <c r="CH22" s="1075"/>
      <c r="CI22" s="1075"/>
      <c r="CJ22" s="1075"/>
      <c r="CK22" s="1075"/>
      <c r="CL22" s="1075"/>
      <c r="CM22" s="1075"/>
      <c r="CN22" s="1075"/>
      <c r="CO22" s="1075"/>
      <c r="CP22" s="1075"/>
      <c r="CQ22" s="1075"/>
      <c r="CR22" s="1075"/>
      <c r="CS22" s="1075"/>
      <c r="CT22" s="1075"/>
      <c r="CU22" s="1075"/>
      <c r="CV22" s="1075"/>
      <c r="CW22" s="1075"/>
      <c r="CX22" s="1075"/>
      <c r="CY22" s="1075"/>
      <c r="CZ22" s="1075"/>
      <c r="DA22" s="1075"/>
      <c r="DB22" s="1075"/>
      <c r="DC22" s="1075"/>
      <c r="DD22" s="1075"/>
      <c r="DE22" s="1075"/>
      <c r="DF22" s="1075"/>
      <c r="DG22" s="1075"/>
      <c r="DH22" s="1075"/>
      <c r="DI22" s="1075"/>
      <c r="DJ22" s="1075"/>
      <c r="DK22" s="1075"/>
      <c r="DL22" s="1075"/>
      <c r="DM22" s="1075"/>
      <c r="DN22" s="1075"/>
      <c r="DO22" s="1075"/>
      <c r="DP22" s="1075"/>
      <c r="DQ22" s="1075"/>
      <c r="DR22" s="1075"/>
      <c r="DS22" s="1075"/>
      <c r="DT22" s="1075"/>
      <c r="DU22" s="1075"/>
      <c r="DV22" s="1075"/>
      <c r="DW22" s="1075"/>
      <c r="DX22" s="1075"/>
      <c r="DY22" s="1075"/>
      <c r="DZ22" s="1075"/>
      <c r="EA22" s="1075"/>
      <c r="EB22" s="1075"/>
      <c r="EC22" s="1075"/>
      <c r="ED22" s="1075"/>
      <c r="EE22" s="1075"/>
      <c r="EF22" s="1075"/>
      <c r="EG22" s="1075"/>
      <c r="EH22" s="1075"/>
      <c r="EI22" s="1075"/>
      <c r="EJ22" s="1075"/>
      <c r="EK22" s="1075"/>
      <c r="EL22" s="1075"/>
      <c r="EM22" s="1075"/>
      <c r="EN22" s="1075"/>
      <c r="EO22" s="1075"/>
      <c r="EP22" s="1075"/>
      <c r="EQ22" s="1075"/>
      <c r="ER22" s="1075"/>
      <c r="ES22" s="1075"/>
      <c r="ET22" s="1075"/>
      <c r="EU22" s="1075"/>
      <c r="EV22" s="1075"/>
      <c r="EW22" s="1075"/>
      <c r="EX22" s="1075"/>
      <c r="EY22" s="1075"/>
      <c r="EZ22" s="1075"/>
      <c r="FA22" s="1075"/>
      <c r="FB22" s="1075"/>
      <c r="FC22" s="1075"/>
      <c r="FD22" s="1075"/>
      <c r="FE22" s="1075"/>
      <c r="FF22" s="1075"/>
      <c r="FG22" s="1075"/>
      <c r="FH22" s="1075"/>
      <c r="FI22" s="1075"/>
      <c r="FJ22" s="1075"/>
      <c r="FK22" s="1075"/>
      <c r="FL22" s="1075"/>
      <c r="FM22" s="1075"/>
      <c r="FN22" s="1075"/>
      <c r="FO22" s="1075"/>
      <c r="FP22" s="1075"/>
      <c r="FQ22" s="1075"/>
      <c r="FR22" s="1075"/>
      <c r="FS22" s="1075"/>
      <c r="FT22" s="1075"/>
      <c r="FU22" s="1075"/>
      <c r="FV22" s="1075"/>
      <c r="FW22" s="1075"/>
      <c r="FX22" s="1075"/>
      <c r="FY22" s="1075"/>
      <c r="FZ22" s="1075"/>
      <c r="GA22" s="1075"/>
      <c r="GB22" s="1075"/>
      <c r="GC22" s="1075"/>
      <c r="GD22" s="1075"/>
      <c r="GE22" s="1075"/>
      <c r="GF22" s="1075"/>
      <c r="GG22" s="1075"/>
      <c r="GH22" s="1075"/>
      <c r="GI22" s="1075"/>
      <c r="GJ22" s="1075"/>
      <c r="GK22" s="1075"/>
      <c r="GL22" s="1075"/>
      <c r="GM22" s="1075"/>
      <c r="GN22" s="1075"/>
      <c r="GO22" s="1075"/>
      <c r="GP22" s="1075"/>
      <c r="GQ22" s="1075"/>
      <c r="GR22" s="1075"/>
      <c r="GS22" s="1075"/>
      <c r="GT22" s="1075"/>
      <c r="GU22" s="1075"/>
      <c r="GV22" s="1075"/>
      <c r="GW22" s="1075"/>
      <c r="GX22" s="1075"/>
      <c r="GY22" s="1075"/>
      <c r="GZ22" s="1075"/>
      <c r="HA22" s="1075"/>
      <c r="HB22" s="1075"/>
      <c r="HC22" s="1075"/>
      <c r="HD22" s="1075"/>
      <c r="HE22" s="1075"/>
      <c r="HF22" s="1075"/>
      <c r="HG22" s="1075"/>
      <c r="HH22" s="1075"/>
      <c r="HI22" s="1075"/>
      <c r="HJ22" s="1075"/>
      <c r="HK22" s="1075"/>
      <c r="HL22" s="1075"/>
      <c r="HM22" s="1075"/>
      <c r="HN22" s="1075"/>
      <c r="HO22" s="1075"/>
      <c r="HP22" s="1075"/>
      <c r="HQ22" s="1075"/>
      <c r="HR22" s="1075"/>
      <c r="HS22" s="1075"/>
      <c r="HT22" s="1075"/>
      <c r="HU22" s="1075"/>
      <c r="HV22" s="1075"/>
      <c r="HW22" s="1075"/>
      <c r="HX22" s="1075"/>
      <c r="HY22" s="1075"/>
      <c r="HZ22" s="1075"/>
      <c r="IA22" s="1075"/>
      <c r="IB22" s="1075"/>
      <c r="IC22" s="1075"/>
      <c r="ID22" s="1075"/>
      <c r="IE22" s="1075"/>
      <c r="IF22" s="1075"/>
      <c r="IG22" s="1075"/>
      <c r="IH22" s="1075"/>
      <c r="II22" s="1075"/>
      <c r="IJ22" s="1075"/>
      <c r="IK22" s="1075"/>
      <c r="IL22" s="1075"/>
      <c r="IM22" s="1075"/>
      <c r="IN22" s="1075"/>
      <c r="IO22" s="1075"/>
      <c r="IP22" s="1075"/>
      <c r="IQ22" s="1075"/>
      <c r="IR22" s="1075"/>
      <c r="IS22" s="1075"/>
      <c r="IT22" s="1075"/>
      <c r="IU22" s="1075"/>
      <c r="IV22" s="1075"/>
      <c r="IW22" s="1075"/>
    </row>
    <row r="23" customFormat="false" ht="12.75" hidden="false" customHeight="false" outlineLevel="0" collapsed="false">
      <c r="A23" s="1086" t="s">
        <v>1385</v>
      </c>
      <c r="B23" s="1087"/>
      <c r="C23" s="1087"/>
      <c r="D23" s="1088" t="n">
        <f aca="false">IF(D$7&lt;YEAR(Startops3),0,VLOOKUP(D$79,Guarantee_Fee_Table,$AI$77))</f>
        <v>0</v>
      </c>
      <c r="E23" s="1088" t="n">
        <f aca="false">IF(E$7&lt;YEAR(Startops3),0,VLOOKUP(E$79,Guarantee_Fee_Table,$AI$77))</f>
        <v>0</v>
      </c>
      <c r="F23" s="1088" t="n">
        <f aca="false">IF(F$7&lt;YEAR(Startops3),0,VLOOKUP(F$79,Guarantee_Fee_Table,$AI$77))</f>
        <v>0</v>
      </c>
      <c r="G23" s="1088" t="n">
        <f aca="false">IF(G$7&lt;YEAR(Startops3),0,VLOOKUP(G$79,Guarantee_Fee_Table,$AI$77))</f>
        <v>4185.01554973028</v>
      </c>
      <c r="H23" s="1088" t="n">
        <f aca="false">IF(H$7&lt;YEAR(Startops3),0,VLOOKUP(H$79,Guarantee_Fee_Table,$AI$77))</f>
        <v>4185.01554973028</v>
      </c>
      <c r="I23" s="1088" t="n">
        <f aca="false">IF(I$7&lt;YEAR(Startops3),0,VLOOKUP(I$79,Guarantee_Fee_Table,$AI$77))</f>
        <v>3945.29514613549</v>
      </c>
      <c r="J23" s="1088" t="n">
        <f aca="false">IF(J$7&lt;YEAR(Startops3),0,VLOOKUP(J$79,Guarantee_Fee_Table,$AI$77))</f>
        <v>0</v>
      </c>
      <c r="K23" s="1088" t="n">
        <f aca="false">IF(K$7&lt;YEAR(Startops3),0,VLOOKUP(K$79,Guarantee_Fee_Table,$AI$77))</f>
        <v>0</v>
      </c>
      <c r="L23" s="1088" t="n">
        <f aca="false">IF(L$7&lt;YEAR(Startops3),0,VLOOKUP(L$79,Guarantee_Fee_Table,$AI$77))</f>
        <v>0</v>
      </c>
      <c r="M23" s="1088" t="n">
        <f aca="false">IF(M$7&lt;YEAR(Startops3),0,VLOOKUP(M$79,Guarantee_Fee_Table,$AI$77))</f>
        <v>0</v>
      </c>
      <c r="N23" s="1088" t="n">
        <f aca="false">IF(N$7&lt;YEAR(Startops3),0,VLOOKUP(N$79,Guarantee_Fee_Table,$AI$77))</f>
        <v>0</v>
      </c>
      <c r="O23" s="1088" t="n">
        <f aca="false">IF(O$7&lt;YEAR(Startops3),0,VLOOKUP(O$79,Guarantee_Fee_Table,$AI$77))</f>
        <v>0</v>
      </c>
      <c r="P23" s="1088" t="n">
        <f aca="false">IF(P$7&lt;YEAR(Startops3),0,VLOOKUP(P$79,Guarantee_Fee_Table,$AI$77))</f>
        <v>0</v>
      </c>
      <c r="Q23" s="1088" t="n">
        <f aca="false">IF(Q$7&lt;YEAR(Startops3),0,VLOOKUP(Q$79,Guarantee_Fee_Table,$AI$77))</f>
        <v>0</v>
      </c>
      <c r="R23" s="1088" t="n">
        <f aca="false">IF(R$7&lt;YEAR(Startops3),0,VLOOKUP(R$79,Guarantee_Fee_Table,$AI$77))</f>
        <v>0</v>
      </c>
      <c r="S23" s="1088" t="n">
        <f aca="false">IF(S$7&lt;YEAR(Startops3),0,VLOOKUP(S$79,Guarantee_Fee_Table,$AI$77))</f>
        <v>0</v>
      </c>
      <c r="T23" s="1088" t="n">
        <f aca="false">IF(T$7&lt;YEAR(Startops3),0,VLOOKUP(T$79,Guarantee_Fee_Table,$AI$77))</f>
        <v>0</v>
      </c>
      <c r="U23" s="1088" t="n">
        <f aca="false">IF(U$7&lt;YEAR(Startops3),0,VLOOKUP(U$79,Guarantee_Fee_Table,$AI$77))</f>
        <v>0</v>
      </c>
      <c r="V23" s="1088" t="n">
        <f aca="false">IF(V$7&lt;YEAR(Startops3),0,VLOOKUP(V$79,Guarantee_Fee_Table,$AI$77))</f>
        <v>0</v>
      </c>
      <c r="W23" s="1088" t="n">
        <f aca="false">IF(W$7&lt;YEAR(Startops3),0,VLOOKUP(W$79,Guarantee_Fee_Table,$AI$77))</f>
        <v>0</v>
      </c>
      <c r="X23" s="1088" t="n">
        <f aca="false">IF(X$7&lt;YEAR(Startops3),0,VLOOKUP(X$79,Guarantee_Fee_Table,$AI$77))</f>
        <v>0</v>
      </c>
      <c r="Y23" s="1088" t="n">
        <f aca="false">IF(Y$7&lt;YEAR(Startops3),0,VLOOKUP(Y$79,Guarantee_Fee_Table,$AI$77))</f>
        <v>0</v>
      </c>
      <c r="Z23" s="1089"/>
      <c r="AA23" s="1090"/>
      <c r="AB23" s="1078"/>
      <c r="AC23" s="1078"/>
      <c r="AD23" s="1078"/>
      <c r="AE23" s="1078"/>
      <c r="AF23" s="1078"/>
      <c r="AG23" s="1078"/>
      <c r="AH23" s="1078"/>
      <c r="AI23" s="1091"/>
      <c r="AJ23" s="1078"/>
      <c r="AK23" s="1075"/>
      <c r="AL23" s="1075"/>
      <c r="AM23" s="1075"/>
      <c r="AN23" s="1075"/>
      <c r="AO23" s="1075"/>
      <c r="AP23" s="1075"/>
      <c r="AQ23" s="1075"/>
      <c r="AR23" s="1075"/>
      <c r="AS23" s="1075"/>
      <c r="AT23" s="1075"/>
      <c r="AU23" s="1075"/>
      <c r="AV23" s="1075"/>
      <c r="AW23" s="1075"/>
      <c r="AX23" s="1075"/>
      <c r="AY23" s="1075"/>
      <c r="AZ23" s="1075"/>
      <c r="BA23" s="1075"/>
      <c r="BB23" s="1075"/>
      <c r="BC23" s="1075"/>
      <c r="BD23" s="1075"/>
      <c r="BE23" s="1075"/>
      <c r="BF23" s="1075"/>
      <c r="BG23" s="1075"/>
      <c r="BH23" s="1075"/>
      <c r="BI23" s="1075"/>
      <c r="BJ23" s="1075"/>
      <c r="BK23" s="1075"/>
      <c r="BL23" s="1075"/>
      <c r="BM23" s="1075"/>
      <c r="BN23" s="1075"/>
      <c r="BO23" s="1075"/>
      <c r="BP23" s="1075"/>
      <c r="BQ23" s="1075"/>
      <c r="BR23" s="1075"/>
      <c r="BS23" s="1075"/>
      <c r="BT23" s="1075"/>
      <c r="BU23" s="1075"/>
      <c r="BV23" s="1075"/>
      <c r="BW23" s="1075"/>
      <c r="BX23" s="1075"/>
      <c r="BY23" s="1075"/>
      <c r="BZ23" s="1075"/>
      <c r="CA23" s="1075"/>
      <c r="CB23" s="1075"/>
      <c r="CC23" s="1075"/>
      <c r="CD23" s="1075"/>
      <c r="CE23" s="1075"/>
      <c r="CF23" s="1075"/>
      <c r="CG23" s="1075"/>
      <c r="CH23" s="1075"/>
      <c r="CI23" s="1075"/>
      <c r="CJ23" s="1075"/>
      <c r="CK23" s="1075"/>
      <c r="CL23" s="1075"/>
      <c r="CM23" s="1075"/>
      <c r="CN23" s="1075"/>
      <c r="CO23" s="1075"/>
      <c r="CP23" s="1075"/>
      <c r="CQ23" s="1075"/>
      <c r="CR23" s="1075"/>
      <c r="CS23" s="1075"/>
      <c r="CT23" s="1075"/>
      <c r="CU23" s="1075"/>
      <c r="CV23" s="1075"/>
      <c r="CW23" s="1075"/>
      <c r="CX23" s="1075"/>
      <c r="CY23" s="1075"/>
      <c r="CZ23" s="1075"/>
      <c r="DA23" s="1075"/>
      <c r="DB23" s="1075"/>
      <c r="DC23" s="1075"/>
      <c r="DD23" s="1075"/>
      <c r="DE23" s="1075"/>
      <c r="DF23" s="1075"/>
      <c r="DG23" s="1075"/>
      <c r="DH23" s="1075"/>
      <c r="DI23" s="1075"/>
      <c r="DJ23" s="1075"/>
      <c r="DK23" s="1075"/>
      <c r="DL23" s="1075"/>
      <c r="DM23" s="1075"/>
      <c r="DN23" s="1075"/>
      <c r="DO23" s="1075"/>
      <c r="DP23" s="1075"/>
      <c r="DQ23" s="1075"/>
      <c r="DR23" s="1075"/>
      <c r="DS23" s="1075"/>
      <c r="DT23" s="1075"/>
      <c r="DU23" s="1075"/>
      <c r="DV23" s="1075"/>
      <c r="DW23" s="1075"/>
      <c r="DX23" s="1075"/>
      <c r="DY23" s="1075"/>
      <c r="DZ23" s="1075"/>
      <c r="EA23" s="1075"/>
      <c r="EB23" s="1075"/>
      <c r="EC23" s="1075"/>
      <c r="ED23" s="1075"/>
      <c r="EE23" s="1075"/>
      <c r="EF23" s="1075"/>
      <c r="EG23" s="1075"/>
      <c r="EH23" s="1075"/>
      <c r="EI23" s="1075"/>
      <c r="EJ23" s="1075"/>
      <c r="EK23" s="1075"/>
      <c r="EL23" s="1075"/>
      <c r="EM23" s="1075"/>
      <c r="EN23" s="1075"/>
      <c r="EO23" s="1075"/>
      <c r="EP23" s="1075"/>
      <c r="EQ23" s="1075"/>
      <c r="ER23" s="1075"/>
      <c r="ES23" s="1075"/>
      <c r="ET23" s="1075"/>
      <c r="EU23" s="1075"/>
      <c r="EV23" s="1075"/>
      <c r="EW23" s="1075"/>
      <c r="EX23" s="1075"/>
      <c r="EY23" s="1075"/>
      <c r="EZ23" s="1075"/>
      <c r="FA23" s="1075"/>
      <c r="FB23" s="1075"/>
      <c r="FC23" s="1075"/>
      <c r="FD23" s="1075"/>
      <c r="FE23" s="1075"/>
      <c r="FF23" s="1075"/>
      <c r="FG23" s="1075"/>
      <c r="FH23" s="1075"/>
      <c r="FI23" s="1075"/>
      <c r="FJ23" s="1075"/>
      <c r="FK23" s="1075"/>
      <c r="FL23" s="1075"/>
      <c r="FM23" s="1075"/>
      <c r="FN23" s="1075"/>
      <c r="FO23" s="1075"/>
      <c r="FP23" s="1075"/>
      <c r="FQ23" s="1075"/>
      <c r="FR23" s="1075"/>
      <c r="FS23" s="1075"/>
      <c r="FT23" s="1075"/>
      <c r="FU23" s="1075"/>
      <c r="FV23" s="1075"/>
      <c r="FW23" s="1075"/>
      <c r="FX23" s="1075"/>
      <c r="FY23" s="1075"/>
      <c r="FZ23" s="1075"/>
      <c r="GA23" s="1075"/>
      <c r="GB23" s="1075"/>
      <c r="GC23" s="1075"/>
      <c r="GD23" s="1075"/>
      <c r="GE23" s="1075"/>
      <c r="GF23" s="1075"/>
      <c r="GG23" s="1075"/>
      <c r="GH23" s="1075"/>
      <c r="GI23" s="1075"/>
      <c r="GJ23" s="1075"/>
      <c r="GK23" s="1075"/>
      <c r="GL23" s="1075"/>
      <c r="GM23" s="1075"/>
      <c r="GN23" s="1075"/>
      <c r="GO23" s="1075"/>
      <c r="GP23" s="1075"/>
      <c r="GQ23" s="1075"/>
      <c r="GR23" s="1075"/>
      <c r="GS23" s="1075"/>
      <c r="GT23" s="1075"/>
      <c r="GU23" s="1075"/>
      <c r="GV23" s="1075"/>
      <c r="GW23" s="1075"/>
      <c r="GX23" s="1075"/>
      <c r="GY23" s="1075"/>
      <c r="GZ23" s="1075"/>
      <c r="HA23" s="1075"/>
      <c r="HB23" s="1075"/>
      <c r="HC23" s="1075"/>
      <c r="HD23" s="1075"/>
      <c r="HE23" s="1075"/>
      <c r="HF23" s="1075"/>
      <c r="HG23" s="1075"/>
      <c r="HH23" s="1075"/>
      <c r="HI23" s="1075"/>
      <c r="HJ23" s="1075"/>
      <c r="HK23" s="1075"/>
      <c r="HL23" s="1075"/>
      <c r="HM23" s="1075"/>
      <c r="HN23" s="1075"/>
      <c r="HO23" s="1075"/>
      <c r="HP23" s="1075"/>
      <c r="HQ23" s="1075"/>
      <c r="HR23" s="1075"/>
      <c r="HS23" s="1075"/>
      <c r="HT23" s="1075"/>
      <c r="HU23" s="1075"/>
      <c r="HV23" s="1075"/>
      <c r="HW23" s="1075"/>
      <c r="HX23" s="1075"/>
      <c r="HY23" s="1075"/>
      <c r="HZ23" s="1075"/>
      <c r="IA23" s="1075"/>
      <c r="IB23" s="1075"/>
      <c r="IC23" s="1075"/>
      <c r="ID23" s="1075"/>
      <c r="IE23" s="1075"/>
      <c r="IF23" s="1075"/>
      <c r="IG23" s="1075"/>
      <c r="IH23" s="1075"/>
      <c r="II23" s="1075"/>
      <c r="IJ23" s="1075"/>
      <c r="IK23" s="1075"/>
      <c r="IL23" s="1075"/>
      <c r="IM23" s="1075"/>
      <c r="IN23" s="1075"/>
      <c r="IO23" s="1075"/>
      <c r="IP23" s="1075"/>
      <c r="IQ23" s="1075"/>
      <c r="IR23" s="1075"/>
      <c r="IS23" s="1075"/>
      <c r="IT23" s="1075"/>
      <c r="IU23" s="1075"/>
      <c r="IV23" s="1075"/>
      <c r="IW23" s="1075"/>
    </row>
    <row r="24" customFormat="false" ht="12.75" hidden="false" customHeight="false" outlineLevel="0" collapsed="false">
      <c r="A24" s="1086"/>
      <c r="B24" s="1087"/>
      <c r="C24" s="1087"/>
      <c r="D24" s="1088"/>
      <c r="E24" s="1088"/>
      <c r="F24" s="1088"/>
      <c r="G24" s="1088"/>
      <c r="H24" s="1088"/>
      <c r="I24" s="1088"/>
      <c r="J24" s="1088"/>
      <c r="K24" s="1088"/>
      <c r="L24" s="1088"/>
      <c r="M24" s="1088"/>
      <c r="N24" s="1088"/>
      <c r="O24" s="1088"/>
      <c r="P24" s="1088"/>
      <c r="Q24" s="1088"/>
      <c r="R24" s="1088"/>
      <c r="S24" s="1088"/>
      <c r="T24" s="1088"/>
      <c r="U24" s="1088"/>
      <c r="V24" s="1088"/>
      <c r="W24" s="1088"/>
      <c r="X24" s="1088"/>
      <c r="Y24" s="1088"/>
      <c r="Z24" s="1089"/>
      <c r="AA24" s="1075"/>
      <c r="AB24" s="1078"/>
      <c r="AC24" s="1078"/>
      <c r="AD24" s="1078"/>
      <c r="AE24" s="1078"/>
      <c r="AF24" s="1078"/>
      <c r="AG24" s="1078"/>
      <c r="AH24" s="1078"/>
      <c r="AI24" s="1079"/>
      <c r="AJ24" s="1078"/>
      <c r="AK24" s="1075"/>
      <c r="AL24" s="1075"/>
      <c r="AM24" s="1075"/>
      <c r="AN24" s="1075"/>
      <c r="AO24" s="1075"/>
      <c r="AP24" s="1075"/>
      <c r="AQ24" s="1075"/>
      <c r="AR24" s="1075"/>
      <c r="AS24" s="1075"/>
      <c r="AT24" s="1075"/>
      <c r="AU24" s="1075"/>
      <c r="AV24" s="1075"/>
      <c r="AW24" s="1075"/>
      <c r="AX24" s="1075"/>
      <c r="AY24" s="1075"/>
      <c r="AZ24" s="1075"/>
      <c r="BA24" s="1075"/>
      <c r="BB24" s="1075"/>
      <c r="BC24" s="1075"/>
      <c r="BD24" s="1075"/>
      <c r="BE24" s="1075"/>
      <c r="BF24" s="1075"/>
      <c r="BG24" s="1075"/>
      <c r="BH24" s="1075"/>
      <c r="BI24" s="1075"/>
      <c r="BJ24" s="1075"/>
      <c r="BK24" s="1075"/>
      <c r="BL24" s="1075"/>
      <c r="BM24" s="1075"/>
      <c r="BN24" s="1075"/>
      <c r="BO24" s="1075"/>
      <c r="BP24" s="1075"/>
      <c r="BQ24" s="1075"/>
      <c r="BR24" s="1075"/>
      <c r="BS24" s="1075"/>
      <c r="BT24" s="1075"/>
      <c r="BU24" s="1075"/>
      <c r="BV24" s="1075"/>
      <c r="BW24" s="1075"/>
      <c r="BX24" s="1075"/>
      <c r="BY24" s="1075"/>
      <c r="BZ24" s="1075"/>
      <c r="CA24" s="1075"/>
      <c r="CB24" s="1075"/>
      <c r="CC24" s="1075"/>
      <c r="CD24" s="1075"/>
      <c r="CE24" s="1075"/>
      <c r="CF24" s="1075"/>
      <c r="CG24" s="1075"/>
      <c r="CH24" s="1075"/>
      <c r="CI24" s="1075"/>
      <c r="CJ24" s="1075"/>
      <c r="CK24" s="1075"/>
      <c r="CL24" s="1075"/>
      <c r="CM24" s="1075"/>
      <c r="CN24" s="1075"/>
      <c r="CO24" s="1075"/>
      <c r="CP24" s="1075"/>
      <c r="CQ24" s="1075"/>
      <c r="CR24" s="1075"/>
      <c r="CS24" s="1075"/>
      <c r="CT24" s="1075"/>
      <c r="CU24" s="1075"/>
      <c r="CV24" s="1075"/>
      <c r="CW24" s="1075"/>
      <c r="CX24" s="1075"/>
      <c r="CY24" s="1075"/>
      <c r="CZ24" s="1075"/>
      <c r="DA24" s="1075"/>
      <c r="DB24" s="1075"/>
      <c r="DC24" s="1075"/>
      <c r="DD24" s="1075"/>
      <c r="DE24" s="1075"/>
      <c r="DF24" s="1075"/>
      <c r="DG24" s="1075"/>
      <c r="DH24" s="1075"/>
      <c r="DI24" s="1075"/>
      <c r="DJ24" s="1075"/>
      <c r="DK24" s="1075"/>
      <c r="DL24" s="1075"/>
      <c r="DM24" s="1075"/>
      <c r="DN24" s="1075"/>
      <c r="DO24" s="1075"/>
      <c r="DP24" s="1075"/>
      <c r="DQ24" s="1075"/>
      <c r="DR24" s="1075"/>
      <c r="DS24" s="1075"/>
      <c r="DT24" s="1075"/>
      <c r="DU24" s="1075"/>
      <c r="DV24" s="1075"/>
      <c r="DW24" s="1075"/>
      <c r="DX24" s="1075"/>
      <c r="DY24" s="1075"/>
      <c r="DZ24" s="1075"/>
      <c r="EA24" s="1075"/>
      <c r="EB24" s="1075"/>
      <c r="EC24" s="1075"/>
      <c r="ED24" s="1075"/>
      <c r="EE24" s="1075"/>
      <c r="EF24" s="1075"/>
      <c r="EG24" s="1075"/>
      <c r="EH24" s="1075"/>
      <c r="EI24" s="1075"/>
      <c r="EJ24" s="1075"/>
      <c r="EK24" s="1075"/>
      <c r="EL24" s="1075"/>
      <c r="EM24" s="1075"/>
      <c r="EN24" s="1075"/>
      <c r="EO24" s="1075"/>
      <c r="EP24" s="1075"/>
      <c r="EQ24" s="1075"/>
      <c r="ER24" s="1075"/>
      <c r="ES24" s="1075"/>
      <c r="ET24" s="1075"/>
      <c r="EU24" s="1075"/>
      <c r="EV24" s="1075"/>
      <c r="EW24" s="1075"/>
      <c r="EX24" s="1075"/>
      <c r="EY24" s="1075"/>
      <c r="EZ24" s="1075"/>
      <c r="FA24" s="1075"/>
      <c r="FB24" s="1075"/>
      <c r="FC24" s="1075"/>
      <c r="FD24" s="1075"/>
      <c r="FE24" s="1075"/>
      <c r="FF24" s="1075"/>
      <c r="FG24" s="1075"/>
      <c r="FH24" s="1075"/>
      <c r="FI24" s="1075"/>
      <c r="FJ24" s="1075"/>
      <c r="FK24" s="1075"/>
      <c r="FL24" s="1075"/>
      <c r="FM24" s="1075"/>
      <c r="FN24" s="1075"/>
      <c r="FO24" s="1075"/>
      <c r="FP24" s="1075"/>
      <c r="FQ24" s="1075"/>
      <c r="FR24" s="1075"/>
      <c r="FS24" s="1075"/>
      <c r="FT24" s="1075"/>
      <c r="FU24" s="1075"/>
      <c r="FV24" s="1075"/>
      <c r="FW24" s="1075"/>
      <c r="FX24" s="1075"/>
      <c r="FY24" s="1075"/>
      <c r="FZ24" s="1075"/>
      <c r="GA24" s="1075"/>
      <c r="GB24" s="1075"/>
      <c r="GC24" s="1075"/>
      <c r="GD24" s="1075"/>
      <c r="GE24" s="1075"/>
      <c r="GF24" s="1075"/>
      <c r="GG24" s="1075"/>
      <c r="GH24" s="1075"/>
      <c r="GI24" s="1075"/>
      <c r="GJ24" s="1075"/>
      <c r="GK24" s="1075"/>
      <c r="GL24" s="1075"/>
      <c r="GM24" s="1075"/>
      <c r="GN24" s="1075"/>
      <c r="GO24" s="1075"/>
      <c r="GP24" s="1075"/>
      <c r="GQ24" s="1075"/>
      <c r="GR24" s="1075"/>
      <c r="GS24" s="1075"/>
      <c r="GT24" s="1075"/>
      <c r="GU24" s="1075"/>
      <c r="GV24" s="1075"/>
      <c r="GW24" s="1075"/>
      <c r="GX24" s="1075"/>
      <c r="GY24" s="1075"/>
      <c r="GZ24" s="1075"/>
      <c r="HA24" s="1075"/>
      <c r="HB24" s="1075"/>
      <c r="HC24" s="1075"/>
      <c r="HD24" s="1075"/>
      <c r="HE24" s="1075"/>
      <c r="HF24" s="1075"/>
      <c r="HG24" s="1075"/>
      <c r="HH24" s="1075"/>
      <c r="HI24" s="1075"/>
      <c r="HJ24" s="1075"/>
      <c r="HK24" s="1075"/>
      <c r="HL24" s="1075"/>
      <c r="HM24" s="1075"/>
      <c r="HN24" s="1075"/>
      <c r="HO24" s="1075"/>
      <c r="HP24" s="1075"/>
      <c r="HQ24" s="1075"/>
      <c r="HR24" s="1075"/>
      <c r="HS24" s="1075"/>
      <c r="HT24" s="1075"/>
      <c r="HU24" s="1075"/>
      <c r="HV24" s="1075"/>
      <c r="HW24" s="1075"/>
      <c r="HX24" s="1075"/>
      <c r="HY24" s="1075"/>
      <c r="HZ24" s="1075"/>
      <c r="IA24" s="1075"/>
      <c r="IB24" s="1075"/>
      <c r="IC24" s="1075"/>
      <c r="ID24" s="1075"/>
      <c r="IE24" s="1075"/>
      <c r="IF24" s="1075"/>
      <c r="IG24" s="1075"/>
      <c r="IH24" s="1075"/>
      <c r="II24" s="1075"/>
      <c r="IJ24" s="1075"/>
      <c r="IK24" s="1075"/>
      <c r="IL24" s="1075"/>
      <c r="IM24" s="1075"/>
      <c r="IN24" s="1075"/>
      <c r="IO24" s="1075"/>
      <c r="IP24" s="1075"/>
      <c r="IQ24" s="1075"/>
      <c r="IR24" s="1075"/>
      <c r="IS24" s="1075"/>
      <c r="IT24" s="1075"/>
      <c r="IU24" s="1075"/>
      <c r="IV24" s="1075"/>
      <c r="IW24" s="1075"/>
    </row>
    <row r="25" customFormat="false" ht="13.5" hidden="false" customHeight="false" outlineLevel="0" collapsed="false">
      <c r="A25" s="1092"/>
      <c r="B25" s="1077"/>
      <c r="C25" s="1077"/>
      <c r="D25" s="1077"/>
      <c r="E25" s="1077"/>
      <c r="F25" s="1077"/>
      <c r="G25" s="1077"/>
      <c r="H25" s="1077"/>
      <c r="I25" s="1077"/>
      <c r="J25" s="1077"/>
      <c r="K25" s="1077"/>
      <c r="L25" s="1077"/>
      <c r="M25" s="1077"/>
      <c r="N25" s="1077"/>
      <c r="O25" s="1077"/>
      <c r="P25" s="1077"/>
      <c r="Q25" s="1077"/>
      <c r="R25" s="1077"/>
      <c r="S25" s="1077"/>
      <c r="T25" s="1077"/>
      <c r="U25" s="1077"/>
      <c r="V25" s="1077"/>
      <c r="W25" s="1077"/>
      <c r="X25" s="1077"/>
      <c r="Y25" s="1077"/>
      <c r="Z25" s="1093"/>
      <c r="AA25" s="1075"/>
      <c r="AB25" s="1078"/>
      <c r="AC25" s="1078"/>
      <c r="AD25" s="1078"/>
      <c r="AE25" s="1078"/>
      <c r="AF25" s="1078"/>
      <c r="AG25" s="1078"/>
      <c r="AH25" s="1078"/>
      <c r="AI25" s="1079"/>
      <c r="AJ25" s="1078"/>
      <c r="AK25" s="1075"/>
      <c r="AL25" s="1075"/>
      <c r="AM25" s="1075"/>
      <c r="AN25" s="1075"/>
      <c r="AO25" s="1075"/>
      <c r="AP25" s="1075"/>
      <c r="AQ25" s="1075"/>
      <c r="AR25" s="1075"/>
      <c r="AS25" s="1075"/>
      <c r="AT25" s="1075"/>
      <c r="AU25" s="1075"/>
      <c r="AV25" s="1075"/>
      <c r="AW25" s="1075"/>
      <c r="AX25" s="1075"/>
      <c r="AY25" s="1075"/>
      <c r="AZ25" s="1075"/>
      <c r="BA25" s="1075"/>
      <c r="BB25" s="1075"/>
      <c r="BC25" s="1075"/>
      <c r="BD25" s="1075"/>
      <c r="BE25" s="1075"/>
      <c r="BF25" s="1075"/>
      <c r="BG25" s="1075"/>
      <c r="BH25" s="1075"/>
      <c r="BI25" s="1075"/>
      <c r="BJ25" s="1075"/>
      <c r="BK25" s="1075"/>
      <c r="BL25" s="1075"/>
      <c r="BM25" s="1075"/>
      <c r="BN25" s="1075"/>
      <c r="BO25" s="1075"/>
      <c r="BP25" s="1075"/>
      <c r="BQ25" s="1075"/>
      <c r="BR25" s="1075"/>
      <c r="BS25" s="1075"/>
      <c r="BT25" s="1075"/>
      <c r="BU25" s="1075"/>
      <c r="BV25" s="1075"/>
      <c r="BW25" s="1075"/>
      <c r="BX25" s="1075"/>
      <c r="BY25" s="1075"/>
      <c r="BZ25" s="1075"/>
      <c r="CA25" s="1075"/>
      <c r="CB25" s="1075"/>
      <c r="CC25" s="1075"/>
      <c r="CD25" s="1075"/>
      <c r="CE25" s="1075"/>
      <c r="CF25" s="1075"/>
      <c r="CG25" s="1075"/>
      <c r="CH25" s="1075"/>
      <c r="CI25" s="1075"/>
      <c r="CJ25" s="1075"/>
      <c r="CK25" s="1075"/>
      <c r="CL25" s="1075"/>
      <c r="CM25" s="1075"/>
      <c r="CN25" s="1075"/>
      <c r="CO25" s="1075"/>
      <c r="CP25" s="1075"/>
      <c r="CQ25" s="1075"/>
      <c r="CR25" s="1075"/>
      <c r="CS25" s="1075"/>
      <c r="CT25" s="1075"/>
      <c r="CU25" s="1075"/>
      <c r="CV25" s="1075"/>
      <c r="CW25" s="1075"/>
      <c r="CX25" s="1075"/>
      <c r="CY25" s="1075"/>
      <c r="CZ25" s="1075"/>
      <c r="DA25" s="1075"/>
      <c r="DB25" s="1075"/>
      <c r="DC25" s="1075"/>
      <c r="DD25" s="1075"/>
      <c r="DE25" s="1075"/>
      <c r="DF25" s="1075"/>
      <c r="DG25" s="1075"/>
      <c r="DH25" s="1075"/>
      <c r="DI25" s="1075"/>
      <c r="DJ25" s="1075"/>
      <c r="DK25" s="1075"/>
      <c r="DL25" s="1075"/>
      <c r="DM25" s="1075"/>
      <c r="DN25" s="1075"/>
      <c r="DO25" s="1075"/>
      <c r="DP25" s="1075"/>
      <c r="DQ25" s="1075"/>
      <c r="DR25" s="1075"/>
      <c r="DS25" s="1075"/>
      <c r="DT25" s="1075"/>
      <c r="DU25" s="1075"/>
      <c r="DV25" s="1075"/>
      <c r="DW25" s="1075"/>
      <c r="DX25" s="1075"/>
      <c r="DY25" s="1075"/>
      <c r="DZ25" s="1075"/>
      <c r="EA25" s="1075"/>
      <c r="EB25" s="1075"/>
      <c r="EC25" s="1075"/>
      <c r="ED25" s="1075"/>
      <c r="EE25" s="1075"/>
      <c r="EF25" s="1075"/>
      <c r="EG25" s="1075"/>
      <c r="EH25" s="1075"/>
      <c r="EI25" s="1075"/>
      <c r="EJ25" s="1075"/>
      <c r="EK25" s="1075"/>
      <c r="EL25" s="1075"/>
      <c r="EM25" s="1075"/>
      <c r="EN25" s="1075"/>
      <c r="EO25" s="1075"/>
      <c r="EP25" s="1075"/>
      <c r="EQ25" s="1075"/>
      <c r="ER25" s="1075"/>
      <c r="ES25" s="1075"/>
      <c r="ET25" s="1075"/>
      <c r="EU25" s="1075"/>
      <c r="EV25" s="1075"/>
      <c r="EW25" s="1075"/>
      <c r="EX25" s="1075"/>
      <c r="EY25" s="1075"/>
      <c r="EZ25" s="1075"/>
      <c r="FA25" s="1075"/>
      <c r="FB25" s="1075"/>
      <c r="FC25" s="1075"/>
      <c r="FD25" s="1075"/>
      <c r="FE25" s="1075"/>
      <c r="FF25" s="1075"/>
      <c r="FG25" s="1075"/>
      <c r="FH25" s="1075"/>
      <c r="FI25" s="1075"/>
      <c r="FJ25" s="1075"/>
      <c r="FK25" s="1075"/>
      <c r="FL25" s="1075"/>
      <c r="FM25" s="1075"/>
      <c r="FN25" s="1075"/>
      <c r="FO25" s="1075"/>
      <c r="FP25" s="1075"/>
      <c r="FQ25" s="1075"/>
      <c r="FR25" s="1075"/>
      <c r="FS25" s="1075"/>
      <c r="FT25" s="1075"/>
      <c r="FU25" s="1075"/>
      <c r="FV25" s="1075"/>
      <c r="FW25" s="1075"/>
      <c r="FX25" s="1075"/>
      <c r="FY25" s="1075"/>
      <c r="FZ25" s="1075"/>
      <c r="GA25" s="1075"/>
      <c r="GB25" s="1075"/>
      <c r="GC25" s="1075"/>
      <c r="GD25" s="1075"/>
      <c r="GE25" s="1075"/>
      <c r="GF25" s="1075"/>
      <c r="GG25" s="1075"/>
      <c r="GH25" s="1075"/>
      <c r="GI25" s="1075"/>
      <c r="GJ25" s="1075"/>
      <c r="GK25" s="1075"/>
      <c r="GL25" s="1075"/>
      <c r="GM25" s="1075"/>
      <c r="GN25" s="1075"/>
      <c r="GO25" s="1075"/>
      <c r="GP25" s="1075"/>
      <c r="GQ25" s="1075"/>
      <c r="GR25" s="1075"/>
      <c r="GS25" s="1075"/>
      <c r="GT25" s="1075"/>
      <c r="GU25" s="1075"/>
      <c r="GV25" s="1075"/>
      <c r="GW25" s="1075"/>
      <c r="GX25" s="1075"/>
      <c r="GY25" s="1075"/>
      <c r="GZ25" s="1075"/>
      <c r="HA25" s="1075"/>
      <c r="HB25" s="1075"/>
      <c r="HC25" s="1075"/>
      <c r="HD25" s="1075"/>
      <c r="HE25" s="1075"/>
      <c r="HF25" s="1075"/>
      <c r="HG25" s="1075"/>
      <c r="HH25" s="1075"/>
      <c r="HI25" s="1075"/>
      <c r="HJ25" s="1075"/>
      <c r="HK25" s="1075"/>
      <c r="HL25" s="1075"/>
      <c r="HM25" s="1075"/>
      <c r="HN25" s="1075"/>
      <c r="HO25" s="1075"/>
      <c r="HP25" s="1075"/>
      <c r="HQ25" s="1075"/>
      <c r="HR25" s="1075"/>
      <c r="HS25" s="1075"/>
      <c r="HT25" s="1075"/>
      <c r="HU25" s="1075"/>
      <c r="HV25" s="1075"/>
      <c r="HW25" s="1075"/>
      <c r="HX25" s="1075"/>
      <c r="HY25" s="1075"/>
      <c r="HZ25" s="1075"/>
      <c r="IA25" s="1075"/>
      <c r="IB25" s="1075"/>
      <c r="IC25" s="1075"/>
      <c r="ID25" s="1075"/>
      <c r="IE25" s="1075"/>
      <c r="IF25" s="1075"/>
      <c r="IG25" s="1075"/>
      <c r="IH25" s="1075"/>
      <c r="II25" s="1075"/>
      <c r="IJ25" s="1075"/>
      <c r="IK25" s="1075"/>
      <c r="IL25" s="1075"/>
      <c r="IM25" s="1075"/>
      <c r="IN25" s="1075"/>
      <c r="IO25" s="1075"/>
      <c r="IP25" s="1075"/>
      <c r="IQ25" s="1075"/>
      <c r="IR25" s="1075"/>
      <c r="IS25" s="1075"/>
      <c r="IT25" s="1075"/>
      <c r="IU25" s="1075"/>
      <c r="IV25" s="1075"/>
      <c r="IW25" s="1075"/>
    </row>
    <row r="26" customFormat="false" ht="12.75" hidden="false" customHeight="false" outlineLevel="0" collapsed="false">
      <c r="A26" s="453" t="s">
        <v>51</v>
      </c>
      <c r="B26" s="1094"/>
      <c r="C26" s="882" t="str">
        <f aca="false">Assm!X8</f>
        <v>Tranche 1: KFW / Hermes - A Loan</v>
      </c>
      <c r="D26" s="882"/>
      <c r="E26" s="882"/>
      <c r="F26" s="882"/>
      <c r="G26" s="882" t="str">
        <f aca="false">Assm!X17</f>
        <v>Tranche 2: KFW / Hermes - B Loan</v>
      </c>
      <c r="H26" s="882"/>
      <c r="I26" s="882"/>
      <c r="J26" s="882"/>
      <c r="K26" s="882" t="str">
        <f aca="false">Assm!X26</f>
        <v>Tranche 3: KFW (Uncovered Loan)</v>
      </c>
      <c r="L26" s="882"/>
      <c r="M26" s="882"/>
      <c r="N26" s="882"/>
      <c r="O26" s="882" t="str">
        <f aca="false">Assm!X35</f>
        <v>Tranche 4: BNDES</v>
      </c>
      <c r="P26" s="882"/>
      <c r="Q26" s="882"/>
      <c r="R26" s="882"/>
      <c r="S26" s="882" t="str">
        <f aca="false">Assm!X44</f>
        <v>Tranche 5: MLA - OPIC</v>
      </c>
      <c r="T26" s="882"/>
      <c r="U26" s="882"/>
      <c r="V26" s="882"/>
      <c r="W26" s="882" t="str">
        <f aca="false">Assm!X53</f>
        <v>Tranche 6: Subordinated Debt</v>
      </c>
      <c r="X26" s="882"/>
      <c r="Y26" s="882"/>
      <c r="Z26" s="882"/>
      <c r="AA26" s="523"/>
      <c r="AB26" s="1094"/>
      <c r="AC26" s="28"/>
      <c r="AD26" s="27"/>
      <c r="AE26" s="28"/>
      <c r="AF26" s="1094"/>
      <c r="AG26" s="1095"/>
      <c r="AH26" s="27"/>
      <c r="AI26" s="1096"/>
      <c r="AJ26" s="1077"/>
    </row>
    <row r="27" customFormat="false" ht="12.75" hidden="false" customHeight="false" outlineLevel="0" collapsed="false">
      <c r="A27" s="55" t="s">
        <v>1386</v>
      </c>
      <c r="B27" s="878"/>
      <c r="C27" s="876" t="s">
        <v>81</v>
      </c>
      <c r="D27" s="38"/>
      <c r="F27" s="217" t="n">
        <f aca="false">Assm!AB9</f>
        <v>70125</v>
      </c>
      <c r="G27" s="876" t="s">
        <v>81</v>
      </c>
      <c r="H27" s="38"/>
      <c r="J27" s="217" t="n">
        <f aca="false">Assm!AB18</f>
        <v>70125</v>
      </c>
      <c r="K27" s="876" t="s">
        <v>81</v>
      </c>
      <c r="L27" s="38"/>
      <c r="N27" s="217" t="n">
        <f aca="false">Assm!AB27</f>
        <v>24750</v>
      </c>
      <c r="O27" s="876" t="s">
        <v>81</v>
      </c>
      <c r="P27" s="38"/>
      <c r="R27" s="1097" t="n">
        <f aca="false">Assm!AB36</f>
        <v>0</v>
      </c>
      <c r="S27" s="876" t="s">
        <v>81</v>
      </c>
      <c r="T27" s="38"/>
      <c r="V27" s="1097" t="n">
        <f aca="false">Assm!AB45</f>
        <v>36351.1199110583</v>
      </c>
      <c r="W27" s="876" t="s">
        <v>81</v>
      </c>
      <c r="X27" s="38"/>
      <c r="Z27" s="1097" t="n">
        <f aca="false">Assm!AB54</f>
        <v>49749.8130727587</v>
      </c>
      <c r="AA27" s="37"/>
      <c r="AB27" s="878"/>
      <c r="AC27" s="38"/>
      <c r="AD27" s="43"/>
      <c r="AF27" s="878"/>
      <c r="AG27" s="876"/>
      <c r="AH27" s="43"/>
      <c r="AI27" s="1098"/>
      <c r="AJ27" s="1077"/>
    </row>
    <row r="28" customFormat="false" ht="12.75" hidden="false" customHeight="false" outlineLevel="0" collapsed="false">
      <c r="A28" s="55" t="s">
        <v>1387</v>
      </c>
      <c r="B28" s="878"/>
      <c r="C28" s="876" t="s">
        <v>1388</v>
      </c>
      <c r="D28" s="38"/>
      <c r="F28" s="38" t="n">
        <f aca="false">Assm!Y11</f>
        <v>15</v>
      </c>
      <c r="G28" s="876" t="s">
        <v>1388</v>
      </c>
      <c r="H28" s="38"/>
      <c r="J28" s="38" t="n">
        <f aca="false">Assm!Y20</f>
        <v>15</v>
      </c>
      <c r="K28" s="876" t="s">
        <v>1388</v>
      </c>
      <c r="L28" s="38"/>
      <c r="N28" s="38" t="n">
        <f aca="false">Assm!Y29</f>
        <v>11</v>
      </c>
      <c r="O28" s="876" t="s">
        <v>1388</v>
      </c>
      <c r="P28" s="38"/>
      <c r="R28" s="38" t="n">
        <f aca="false">Assm!Y38</f>
        <v>16</v>
      </c>
      <c r="S28" s="876" t="s">
        <v>1388</v>
      </c>
      <c r="T28" s="38"/>
      <c r="V28" s="38" t="n">
        <f aca="false">Assm!Y47</f>
        <v>15</v>
      </c>
      <c r="W28" s="876" t="s">
        <v>1388</v>
      </c>
      <c r="X28" s="38"/>
      <c r="Z28" s="38" t="n">
        <f aca="false">Assm!Y56</f>
        <v>12</v>
      </c>
      <c r="AA28" s="37"/>
      <c r="AB28" s="878"/>
      <c r="AC28" s="38"/>
      <c r="AD28" s="43"/>
      <c r="AF28" s="878"/>
      <c r="AG28" s="876"/>
      <c r="AH28" s="43"/>
      <c r="AI28" s="1098"/>
      <c r="AJ28" s="1077"/>
    </row>
    <row r="29" customFormat="false" ht="13.5" hidden="false" customHeight="false" outlineLevel="0" collapsed="false">
      <c r="A29" s="55"/>
      <c r="B29" s="878"/>
      <c r="C29" s="876" t="s">
        <v>1389</v>
      </c>
      <c r="D29" s="38"/>
      <c r="F29" s="38" t="n">
        <f aca="false">Assm!AB11</f>
        <v>29</v>
      </c>
      <c r="G29" s="876" t="s">
        <v>1389</v>
      </c>
      <c r="H29" s="38"/>
      <c r="I29" s="556"/>
      <c r="J29" s="38" t="n">
        <f aca="false">Assm!AB20</f>
        <v>29</v>
      </c>
      <c r="K29" s="876" t="s">
        <v>1389</v>
      </c>
      <c r="L29" s="38"/>
      <c r="M29" s="38"/>
      <c r="N29" s="38" t="n">
        <f aca="false">Assm!AB29</f>
        <v>21</v>
      </c>
      <c r="O29" s="876" t="s">
        <v>1389</v>
      </c>
      <c r="P29" s="38"/>
      <c r="Q29" s="38"/>
      <c r="R29" s="38" t="n">
        <f aca="false">Assm!AB38</f>
        <v>31</v>
      </c>
      <c r="S29" s="876" t="s">
        <v>1389</v>
      </c>
      <c r="T29" s="38"/>
      <c r="U29" s="38"/>
      <c r="V29" s="38" t="n">
        <f aca="false">Assm!AB47</f>
        <v>29</v>
      </c>
      <c r="W29" s="876" t="s">
        <v>1389</v>
      </c>
      <c r="X29" s="38"/>
      <c r="Y29" s="38"/>
      <c r="Z29" s="38" t="n">
        <f aca="false">Assm!AB56</f>
        <v>23</v>
      </c>
      <c r="AA29" s="37"/>
      <c r="AB29" s="878"/>
      <c r="AC29" s="38"/>
      <c r="AD29" s="43"/>
      <c r="AF29" s="878"/>
      <c r="AG29" s="876"/>
      <c r="AH29" s="43"/>
      <c r="AI29" s="1098"/>
      <c r="AJ29" s="1077"/>
    </row>
    <row r="30" customFormat="false" ht="13.5" hidden="false" customHeight="false" outlineLevel="0" collapsed="false">
      <c r="A30" s="37"/>
      <c r="B30" s="878"/>
      <c r="C30" s="876" t="s">
        <v>276</v>
      </c>
      <c r="D30" s="38"/>
      <c r="F30" s="260" t="n">
        <f aca="false">Assm!AB14</f>
        <v>0.0704</v>
      </c>
      <c r="G30" s="876" t="s">
        <v>276</v>
      </c>
      <c r="H30" s="38"/>
      <c r="J30" s="260" t="n">
        <f aca="false">Assm!AB23</f>
        <v>0.0748</v>
      </c>
      <c r="K30" s="876" t="s">
        <v>276</v>
      </c>
      <c r="L30" s="38"/>
      <c r="N30" s="260" t="n">
        <f aca="false">Assm!AB32</f>
        <v>0.0927</v>
      </c>
      <c r="O30" s="876" t="s">
        <v>276</v>
      </c>
      <c r="P30" s="38"/>
      <c r="R30" s="260" t="n">
        <f aca="false">Assm!AB41</f>
        <v>0.1518</v>
      </c>
      <c r="S30" s="876" t="s">
        <v>276</v>
      </c>
      <c r="T30" s="38"/>
      <c r="V30" s="260" t="n">
        <f aca="false">Assm!AB50</f>
        <v>0.1101</v>
      </c>
      <c r="W30" s="876" t="s">
        <v>276</v>
      </c>
      <c r="X30" s="38"/>
      <c r="Z30" s="260" t="n">
        <f aca="false">Assm!AB59</f>
        <v>0.13</v>
      </c>
      <c r="AA30" s="37"/>
      <c r="AB30" s="878"/>
      <c r="AC30" s="38"/>
      <c r="AD30" s="43"/>
      <c r="AF30" s="878"/>
      <c r="AG30" s="876"/>
      <c r="AH30" s="43"/>
      <c r="AI30" s="1098"/>
      <c r="AJ30" s="1077"/>
      <c r="AW30" s="38"/>
      <c r="AX30" s="1099" t="s">
        <v>1390</v>
      </c>
      <c r="AY30" s="1099"/>
      <c r="AZ30" s="1099"/>
      <c r="BA30" s="1099" t="s">
        <v>1391</v>
      </c>
      <c r="BB30" s="1099"/>
      <c r="BC30" s="1099"/>
      <c r="BD30" s="1099"/>
      <c r="BE30" s="1099"/>
      <c r="BF30" s="539"/>
    </row>
    <row r="31" customFormat="false" ht="12.75" hidden="false" customHeight="false" outlineLevel="0" collapsed="false">
      <c r="A31" s="1100"/>
      <c r="B31" s="878"/>
      <c r="C31" s="876" t="s">
        <v>1392</v>
      </c>
      <c r="D31" s="38"/>
      <c r="F31" s="1101" t="n">
        <f aca="false">Assm!AB12</f>
        <v>1</v>
      </c>
      <c r="G31" s="876" t="s">
        <v>1392</v>
      </c>
      <c r="H31" s="38"/>
      <c r="J31" s="1101" t="n">
        <f aca="false">Assm!AB21</f>
        <v>1</v>
      </c>
      <c r="K31" s="876" t="s">
        <v>1392</v>
      </c>
      <c r="L31" s="38"/>
      <c r="N31" s="1101" t="n">
        <f aca="false">Assm!AB30</f>
        <v>1</v>
      </c>
      <c r="O31" s="876" t="s">
        <v>1392</v>
      </c>
      <c r="P31" s="38"/>
      <c r="R31" s="1101" t="n">
        <f aca="false">Assm!AB39</f>
        <v>1</v>
      </c>
      <c r="S31" s="876" t="s">
        <v>1392</v>
      </c>
      <c r="T31" s="38"/>
      <c r="V31" s="1101" t="n">
        <f aca="false">Assm!AB48</f>
        <v>1</v>
      </c>
      <c r="W31" s="876" t="s">
        <v>1392</v>
      </c>
      <c r="X31" s="38"/>
      <c r="Z31" s="1101" t="n">
        <f aca="false">Assm!AB57</f>
        <v>1</v>
      </c>
      <c r="AA31" s="37"/>
      <c r="AB31" s="878"/>
      <c r="AC31" s="38"/>
      <c r="AD31" s="43"/>
      <c r="AF31" s="878"/>
      <c r="AG31" s="876"/>
      <c r="AH31" s="43"/>
      <c r="AI31" s="1098"/>
      <c r="AJ31" s="1077"/>
      <c r="AK31" s="1099" t="s">
        <v>1393</v>
      </c>
      <c r="AL31" s="1099"/>
      <c r="AM31" s="1099"/>
      <c r="AN31" s="1099"/>
      <c r="AO31" s="1099"/>
      <c r="AP31" s="1099"/>
      <c r="AQ31" s="1099"/>
      <c r="AR31" s="1099"/>
      <c r="AS31" s="1099"/>
      <c r="AT31" s="1099"/>
      <c r="AU31" s="1099"/>
      <c r="AV31" s="1099"/>
      <c r="AW31" s="38"/>
      <c r="AX31" s="37"/>
      <c r="AY31" s="38"/>
      <c r="AZ31" s="43"/>
      <c r="BA31" s="37"/>
      <c r="BB31" s="38"/>
      <c r="BC31" s="38"/>
      <c r="BD31" s="38"/>
      <c r="BE31" s="43"/>
      <c r="BF31" s="555"/>
    </row>
    <row r="32" customFormat="false" ht="12.75" hidden="false" customHeight="false" outlineLevel="0" collapsed="false">
      <c r="A32" s="37"/>
      <c r="B32" s="878"/>
      <c r="C32" s="876" t="str">
        <f aca="false">IF(F32=0,"NOT AMORTIZED",CHOOSE(F32,"STRAIGHT LINE AMORTIZATION","MORTGAGE STYLE AMORTIZATION","CUSTOM AMORTIATION"))</f>
        <v>STRAIGHT LINE AMORTIZATION</v>
      </c>
      <c r="D32" s="38"/>
      <c r="E32" s="38"/>
      <c r="F32" s="1102" t="n">
        <f aca="false">Assm!AB10</f>
        <v>1</v>
      </c>
      <c r="G32" s="876" t="str">
        <f aca="false">IF(J32=0,"NOT AMORTIZED",CHOOSE(J32,"STRAIGHT LINE AMORTIZATION","MORTGAGE STYLE AMORTIZATION","CUSTOM AMORTIATION"))</f>
        <v>STRAIGHT LINE AMORTIZATION</v>
      </c>
      <c r="H32" s="38"/>
      <c r="I32" s="38"/>
      <c r="J32" s="1102" t="n">
        <f aca="false">Assm!AB19</f>
        <v>1</v>
      </c>
      <c r="K32" s="876" t="str">
        <f aca="false">IF(N32=0,"NOT AMORTIZED",CHOOSE(N32,"STRAIGHT LINE AMORTIZATION","MORTGAGE STYLE AMORTIZATION","CUSTOM AMORTIATION"))</f>
        <v>MORTGAGE STYLE AMORTIZATION</v>
      </c>
      <c r="L32" s="38"/>
      <c r="M32" s="38"/>
      <c r="N32" s="1102" t="n">
        <f aca="false">Assm!AB28</f>
        <v>2</v>
      </c>
      <c r="O32" s="876" t="str">
        <f aca="false">IF(R32=0,"NOT AMORTIZED",CHOOSE(R32,"STRAIGHT LINE AMORTIZATION","MORTGAGE STYLE AMORTIZATION","CUSTOM AMORTIATION"))</f>
        <v>MORTGAGE STYLE AMORTIZATION</v>
      </c>
      <c r="P32" s="38"/>
      <c r="Q32" s="38"/>
      <c r="R32" s="1102" t="n">
        <f aca="false">Assm!AB37</f>
        <v>2</v>
      </c>
      <c r="S32" s="876" t="str">
        <f aca="false">IF(V32=0,"NOT AMORTIZED",CHOOSE(V32,"STRAIGHT LINE AMORTIZATION","MORTGAGE STYLE AMORTIZATION","CUSTOM AMORTIATION"))</f>
        <v>CUSTOM AMORTIATION</v>
      </c>
      <c r="T32" s="38"/>
      <c r="U32" s="38"/>
      <c r="V32" s="1102" t="n">
        <f aca="false">Assm!AB46</f>
        <v>3</v>
      </c>
      <c r="W32" s="876" t="str">
        <f aca="false">IF(Z32=0,"NOT AMORTIZED",CHOOSE(Z32,"STRAIGHT LINE AMORTIZATION","MORTGAGE STYLE AMORTIZATION","CUSTOM AMORTIATION"))</f>
        <v>MORTGAGE STYLE AMORTIZATION</v>
      </c>
      <c r="X32" s="38"/>
      <c r="Y32" s="38"/>
      <c r="Z32" s="1102" t="n">
        <f aca="false">Assm!AB55</f>
        <v>2</v>
      </c>
      <c r="AA32" s="1103" t="s">
        <v>305</v>
      </c>
      <c r="AB32" s="1103"/>
      <c r="AC32" s="856" t="s">
        <v>949</v>
      </c>
      <c r="AD32" s="856"/>
      <c r="AE32" s="1104" t="s">
        <v>1394</v>
      </c>
      <c r="AF32" s="1104"/>
      <c r="AG32" s="1105" t="s">
        <v>671</v>
      </c>
      <c r="AH32" s="171"/>
      <c r="AI32" s="1106"/>
      <c r="AJ32" s="1107"/>
      <c r="AK32" s="37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43"/>
      <c r="AW32" s="38"/>
      <c r="AX32" s="1108" t="s">
        <v>1395</v>
      </c>
      <c r="AY32" s="671" t="s">
        <v>678</v>
      </c>
      <c r="AZ32" s="1109" t="s">
        <v>678</v>
      </c>
      <c r="BA32" s="1108" t="s">
        <v>1396</v>
      </c>
      <c r="BB32" s="671" t="s">
        <v>1396</v>
      </c>
      <c r="BC32" s="671" t="s">
        <v>678</v>
      </c>
      <c r="BD32" s="671" t="s">
        <v>678</v>
      </c>
      <c r="BE32" s="1109" t="s">
        <v>1386</v>
      </c>
      <c r="BF32" s="1110" t="s">
        <v>1396</v>
      </c>
    </row>
    <row r="33" customFormat="false" ht="12.75" hidden="false" customHeight="false" outlineLevel="0" collapsed="false">
      <c r="A33" s="37"/>
      <c r="B33" s="878"/>
      <c r="C33" s="876"/>
      <c r="D33" s="38"/>
      <c r="E33" s="38"/>
      <c r="F33" s="878"/>
      <c r="G33" s="876"/>
      <c r="H33" s="38"/>
      <c r="I33" s="38"/>
      <c r="J33" s="878"/>
      <c r="K33" s="876"/>
      <c r="L33" s="38"/>
      <c r="M33" s="38"/>
      <c r="N33" s="878"/>
      <c r="O33" s="876"/>
      <c r="P33" s="38"/>
      <c r="Q33" s="38"/>
      <c r="R33" s="878"/>
      <c r="S33" s="876"/>
      <c r="T33" s="38"/>
      <c r="U33" s="38"/>
      <c r="V33" s="878"/>
      <c r="W33" s="876"/>
      <c r="X33" s="38"/>
      <c r="Y33" s="38"/>
      <c r="AA33" s="1111" t="s">
        <v>66</v>
      </c>
      <c r="AB33" s="1104" t="s">
        <v>66</v>
      </c>
      <c r="AC33" s="42" t="s">
        <v>66</v>
      </c>
      <c r="AD33" s="856" t="s">
        <v>66</v>
      </c>
      <c r="AE33" s="42" t="s">
        <v>66</v>
      </c>
      <c r="AF33" s="1104" t="s">
        <v>66</v>
      </c>
      <c r="AG33" s="1105" t="s">
        <v>66</v>
      </c>
      <c r="AH33" s="856" t="s">
        <v>66</v>
      </c>
      <c r="AI33" s="1106" t="s">
        <v>1397</v>
      </c>
      <c r="AJ33" s="1112"/>
      <c r="AK33" s="1113" t="s">
        <v>1398</v>
      </c>
      <c r="AL33" s="1114" t="s">
        <v>1399</v>
      </c>
      <c r="AM33" s="1115" t="s">
        <v>1400</v>
      </c>
      <c r="AN33" s="1116" t="s">
        <v>1399</v>
      </c>
      <c r="AO33" s="1115" t="s">
        <v>1401</v>
      </c>
      <c r="AP33" s="1116" t="s">
        <v>1399</v>
      </c>
      <c r="AQ33" s="1115" t="s">
        <v>1402</v>
      </c>
      <c r="AR33" s="1116" t="s">
        <v>1399</v>
      </c>
      <c r="AS33" s="1115" t="s">
        <v>1403</v>
      </c>
      <c r="AT33" s="1116" t="s">
        <v>1399</v>
      </c>
      <c r="AU33" s="1115" t="s">
        <v>1404</v>
      </c>
      <c r="AV33" s="1117" t="s">
        <v>1399</v>
      </c>
      <c r="AW33" s="38"/>
      <c r="AX33" s="1108" t="s">
        <v>671</v>
      </c>
      <c r="AY33" s="671" t="s">
        <v>671</v>
      </c>
      <c r="AZ33" s="1109" t="s">
        <v>1399</v>
      </c>
      <c r="BA33" s="1108" t="s">
        <v>1405</v>
      </c>
      <c r="BB33" s="671" t="s">
        <v>1405</v>
      </c>
      <c r="BC33" s="671" t="s">
        <v>671</v>
      </c>
      <c r="BD33" s="671" t="s">
        <v>1399</v>
      </c>
      <c r="BE33" s="1109" t="s">
        <v>1387</v>
      </c>
      <c r="BF33" s="1110" t="s">
        <v>1405</v>
      </c>
    </row>
    <row r="34" customFormat="false" ht="12.75" hidden="false" customHeight="false" outlineLevel="0" collapsed="false">
      <c r="A34" s="470" t="s">
        <v>727</v>
      </c>
      <c r="B34" s="1118" t="s">
        <v>728</v>
      </c>
      <c r="C34" s="1119" t="s">
        <v>1406</v>
      </c>
      <c r="D34" s="44" t="s">
        <v>348</v>
      </c>
      <c r="E34" s="44" t="s">
        <v>1386</v>
      </c>
      <c r="F34" s="1118" t="s">
        <v>1407</v>
      </c>
      <c r="G34" s="1119" t="s">
        <v>1406</v>
      </c>
      <c r="H34" s="44" t="s">
        <v>348</v>
      </c>
      <c r="I34" s="44" t="s">
        <v>1386</v>
      </c>
      <c r="J34" s="1118" t="s">
        <v>1407</v>
      </c>
      <c r="K34" s="1119" t="s">
        <v>1406</v>
      </c>
      <c r="L34" s="44" t="s">
        <v>348</v>
      </c>
      <c r="M34" s="44" t="s">
        <v>1386</v>
      </c>
      <c r="N34" s="1118" t="s">
        <v>1407</v>
      </c>
      <c r="O34" s="1119" t="s">
        <v>1406</v>
      </c>
      <c r="P34" s="44" t="s">
        <v>348</v>
      </c>
      <c r="Q34" s="44" t="s">
        <v>1386</v>
      </c>
      <c r="R34" s="1118" t="s">
        <v>1407</v>
      </c>
      <c r="S34" s="1119" t="s">
        <v>1406</v>
      </c>
      <c r="T34" s="44" t="s">
        <v>348</v>
      </c>
      <c r="U34" s="44" t="s">
        <v>1386</v>
      </c>
      <c r="V34" s="1118" t="s">
        <v>1407</v>
      </c>
      <c r="W34" s="1119" t="s">
        <v>1406</v>
      </c>
      <c r="X34" s="44" t="s">
        <v>348</v>
      </c>
      <c r="Y34" s="44" t="s">
        <v>1386</v>
      </c>
      <c r="Z34" s="44" t="s">
        <v>1407</v>
      </c>
      <c r="AA34" s="470" t="s">
        <v>348</v>
      </c>
      <c r="AB34" s="1118" t="s">
        <v>1386</v>
      </c>
      <c r="AC34" s="44" t="s">
        <v>348</v>
      </c>
      <c r="AD34" s="233" t="s">
        <v>1386</v>
      </c>
      <c r="AE34" s="44" t="s">
        <v>348</v>
      </c>
      <c r="AF34" s="1118" t="s">
        <v>1386</v>
      </c>
      <c r="AG34" s="1119" t="s">
        <v>348</v>
      </c>
      <c r="AH34" s="233" t="s">
        <v>1386</v>
      </c>
      <c r="AI34" s="1106" t="s">
        <v>1408</v>
      </c>
      <c r="AJ34" s="1120"/>
      <c r="AK34" s="1121" t="s">
        <v>1386</v>
      </c>
      <c r="AL34" s="1118" t="s">
        <v>1409</v>
      </c>
      <c r="AM34" s="1122" t="s">
        <v>1386</v>
      </c>
      <c r="AN34" s="45" t="s">
        <v>1409</v>
      </c>
      <c r="AO34" s="1122" t="s">
        <v>1386</v>
      </c>
      <c r="AP34" s="45" t="s">
        <v>1409</v>
      </c>
      <c r="AQ34" s="1122" t="s">
        <v>1386</v>
      </c>
      <c r="AR34" s="45" t="s">
        <v>1409</v>
      </c>
      <c r="AS34" s="1122" t="s">
        <v>1386</v>
      </c>
      <c r="AT34" s="45" t="s">
        <v>1409</v>
      </c>
      <c r="AU34" s="1122" t="s">
        <v>1386</v>
      </c>
      <c r="AV34" s="133" t="s">
        <v>1409</v>
      </c>
      <c r="AW34" s="38"/>
      <c r="AX34" s="1121" t="s">
        <v>1386</v>
      </c>
      <c r="AY34" s="45" t="s">
        <v>1386</v>
      </c>
      <c r="AZ34" s="133" t="s">
        <v>1409</v>
      </c>
      <c r="BA34" s="1121" t="s">
        <v>1386</v>
      </c>
      <c r="BB34" s="45" t="s">
        <v>1386</v>
      </c>
      <c r="BC34" s="45" t="s">
        <v>1386</v>
      </c>
      <c r="BD34" s="45" t="s">
        <v>1409</v>
      </c>
      <c r="BE34" s="133" t="s">
        <v>388</v>
      </c>
      <c r="BF34" s="1123" t="s">
        <v>1410</v>
      </c>
    </row>
    <row r="35" customFormat="false" ht="12.75" hidden="false" customHeight="false" outlineLevel="0" collapsed="false">
      <c r="A35" s="1124" t="n">
        <f aca="false">YEAR(Startops3)</f>
        <v>2001</v>
      </c>
      <c r="B35" s="467" t="n">
        <f aca="false">IF(MONTH(Startops3)&gt;6,0,1)</f>
        <v>0</v>
      </c>
      <c r="C35" s="820" t="n">
        <f aca="false">F27</f>
        <v>70125</v>
      </c>
      <c r="D35" s="645" t="n">
        <f aca="false">IF(MONTH(Startops3)&lt;6,C35*F$30*(7-MONTH(Startops3))/12,0)</f>
        <v>0</v>
      </c>
      <c r="E35" s="628" t="n">
        <f aca="false">IF($B35&gt;=F$29,C35,IF(F$31&gt;=$B35,0,IF(C35&gt;1,CHOOSE(F$32,F$27/(F$29-F$31),-PMT(F$30/2,F$29-$B34,C35,0)-D35,F$27*$AL35),0)))</f>
        <v>0</v>
      </c>
      <c r="F35" s="847" t="n">
        <f aca="false">C35-E35</f>
        <v>70125</v>
      </c>
      <c r="G35" s="820" t="n">
        <f aca="false">J27</f>
        <v>70125</v>
      </c>
      <c r="H35" s="645" t="n">
        <f aca="false">IF(MONTH(Startops3)&lt;6,G35*J$30*(7-MONTH(Startops3))/12,0)</f>
        <v>0</v>
      </c>
      <c r="I35" s="628" t="n">
        <f aca="false">IF($B35&gt;=J$29,G35,IF(J$31&gt;=$B35,0,IF(G35&gt;1,CHOOSE(J$32,J$27/(J$29-J$31),-PMT(J$30/2,J$29-$B34,G35,0)-H35,J$27*$AN35),0)))</f>
        <v>0</v>
      </c>
      <c r="J35" s="847" t="n">
        <f aca="false">G35-I35</f>
        <v>70125</v>
      </c>
      <c r="K35" s="820" t="n">
        <f aca="false">N27</f>
        <v>24750</v>
      </c>
      <c r="L35" s="645" t="n">
        <f aca="false">IF(MONTH(Startops3)&lt;6,K35*N$30*(7-MONTH(Startops3))/12,0)</f>
        <v>0</v>
      </c>
      <c r="M35" s="628" t="n">
        <f aca="false">IF($B35&gt;=N$29,K35,IF(N$31&gt;=$B35,0,IF(K35&gt;1,CHOOSE(N$32,N$27/(N$29-N$31),-PMT(N$30/2,N$29-$B34,K35,0)-L35,N$27*$AP35),0)))</f>
        <v>0</v>
      </c>
      <c r="N35" s="847" t="n">
        <f aca="false">K35-M35</f>
        <v>24750</v>
      </c>
      <c r="O35" s="820" t="n">
        <f aca="false">R27</f>
        <v>0</v>
      </c>
      <c r="P35" s="645" t="n">
        <f aca="false">IF(MONTH(Startops3)&lt;6,O35*R$30*(7-MONTH(Startops3))/12,0)</f>
        <v>0</v>
      </c>
      <c r="Q35" s="628" t="n">
        <f aca="false">IF($B35&gt;=R$29,O35,IF(R$31&gt;=$B35,0,IF(O35&gt;1,CHOOSE(R$32,R$27/(R$29-R$31),-PMT(R$30/2,R$29-$B34,O35,0)-P35,R$27*$AR35),0)))</f>
        <v>0</v>
      </c>
      <c r="R35" s="847" t="n">
        <f aca="false">O35-Q35</f>
        <v>0</v>
      </c>
      <c r="S35" s="820" t="n">
        <f aca="false">V27</f>
        <v>36351.1199110583</v>
      </c>
      <c r="T35" s="645" t="n">
        <f aca="false">IF(MONTH(Startops3)&lt;6,S35*V$30*(7-MONTH(Startops3))/12,0)</f>
        <v>0</v>
      </c>
      <c r="U35" s="628" t="n">
        <f aca="false">IF($B35&gt;=V$29,S35,IF(V$31&gt;=$B35,0,IF(S35&gt;1,CHOOSE(V$32,V$27/(V$29-V$31),-PMT(V$30/2,V$29-$B34,S35,0)-T35,V$27*$AT35),0)))</f>
        <v>0</v>
      </c>
      <c r="V35" s="847" t="n">
        <f aca="false">S35-U35</f>
        <v>36351.1199110583</v>
      </c>
      <c r="W35" s="820" t="n">
        <f aca="false">Z27</f>
        <v>49749.8130727587</v>
      </c>
      <c r="X35" s="645" t="n">
        <v>0</v>
      </c>
      <c r="Y35" s="628" t="n">
        <f aca="false">IF($B35&gt;=Z$29,W35,IF(Z$31&gt;=$B35,0,IF(W35&gt;1,CHOOSE(Z$32,Z$27/(Z$29-Z$31),-PMT(Z$30/2,Z$29-$B34,W35,0)-X35,Z$27*$AV35),0)))</f>
        <v>0</v>
      </c>
      <c r="Z35" s="217" t="n">
        <f aca="false">W35-Y35</f>
        <v>49749.8130727587</v>
      </c>
      <c r="AA35" s="846"/>
      <c r="AB35" s="847"/>
      <c r="AC35" s="217"/>
      <c r="AD35" s="218"/>
      <c r="AE35" s="217"/>
      <c r="AF35" s="847"/>
      <c r="AG35" s="820"/>
      <c r="AH35" s="218"/>
      <c r="AI35" s="1125"/>
      <c r="AJ35" s="645"/>
      <c r="AK35" s="1126" t="n">
        <v>0</v>
      </c>
      <c r="AL35" s="1127" t="n">
        <f aca="false">IF(AK$75=0,0,AK35/AK$75)</f>
        <v>0</v>
      </c>
      <c r="AM35" s="1128" t="n">
        <v>0</v>
      </c>
      <c r="AN35" s="260" t="n">
        <f aca="false">IF(AM$75=0,0,AM35/AM$75)</f>
        <v>0</v>
      </c>
      <c r="AO35" s="1128" t="n">
        <v>0</v>
      </c>
      <c r="AP35" s="260" t="n">
        <f aca="false">IF(AO$75=0,0,AO35/AO$75)</f>
        <v>0</v>
      </c>
      <c r="AQ35" s="1128" t="n">
        <v>0</v>
      </c>
      <c r="AR35" s="260" t="n">
        <f aca="false">IF(AQ$75=0,0,AQ35/AQ$75)</f>
        <v>0</v>
      </c>
      <c r="AS35" s="1128" t="n">
        <v>0</v>
      </c>
      <c r="AT35" s="260" t="n">
        <f aca="false">IF(AS$75=0,0,AS35/AS$75)</f>
        <v>0</v>
      </c>
      <c r="AU35" s="1128" t="n">
        <f aca="false">BC35</f>
        <v>0</v>
      </c>
      <c r="AV35" s="94" t="n">
        <f aca="false">IF(AU$75=0,0,AU35/AU$75)</f>
        <v>0</v>
      </c>
      <c r="AW35" s="38"/>
      <c r="AX35" s="1129" t="n">
        <v>0</v>
      </c>
      <c r="AY35" s="1130" t="n">
        <v>0</v>
      </c>
      <c r="AZ35" s="94" t="n">
        <f aca="false">AY35/AY$75</f>
        <v>0</v>
      </c>
      <c r="BA35" s="1126" t="n">
        <v>0</v>
      </c>
      <c r="BB35" s="189" t="n">
        <v>0</v>
      </c>
      <c r="BC35" s="217" t="n">
        <f aca="false">IF(BB35&lt;0,BC34,IF(SUM(BB$35:BB35)&gt;$Z$27,$Z$27-SUM(BC$34:BC34),BB35))</f>
        <v>0</v>
      </c>
      <c r="BD35" s="260" t="n">
        <f aca="false">BC35/BC$75</f>
        <v>0</v>
      </c>
      <c r="BE35" s="294" t="n">
        <v>0</v>
      </c>
      <c r="BF35" s="574" t="n">
        <f aca="false">IF(BC35=0,0,BB35-BA35)</f>
        <v>0</v>
      </c>
    </row>
    <row r="36" customFormat="false" ht="12.75" hidden="false" customHeight="false" outlineLevel="0" collapsed="false">
      <c r="A36" s="1131" t="n">
        <f aca="false">A35</f>
        <v>2001</v>
      </c>
      <c r="B36" s="1132" t="n">
        <f aca="false">B35+1</f>
        <v>1</v>
      </c>
      <c r="C36" s="1133" t="n">
        <f aca="false">F35</f>
        <v>70125</v>
      </c>
      <c r="D36" s="1134" t="n">
        <f aca="false">IF(MONTH(Startops3)&gt;6,C36*F$30*(13-MONTH(Startops3))/12,C36*F$30*0.5)</f>
        <v>2057</v>
      </c>
      <c r="E36" s="777" t="n">
        <f aca="false">IF($B36&gt;=F$29,C36,IF(F$31&gt;=$B36,0,IF(C36&gt;1,CHOOSE(F$32,F$27/(F$29-F$31),-PMT(F$30/2,F$29-$B35,C36,0)-D36,F$27*$AL36),0)))</f>
        <v>0</v>
      </c>
      <c r="F36" s="1135" t="n">
        <f aca="false">C36-E36</f>
        <v>70125</v>
      </c>
      <c r="G36" s="1133" t="n">
        <f aca="false">J35</f>
        <v>70125</v>
      </c>
      <c r="H36" s="1134" t="n">
        <f aca="false">IF(MONTH(Startops3)&gt;6,G36*J$30*(13-MONTH(Startops3))/12,G36*J$30*0.5)</f>
        <v>2185.5625</v>
      </c>
      <c r="I36" s="777" t="n">
        <f aca="false">IF($B36&gt;=J$29,G36,IF(J$31&gt;=$B36,0,IF(G36&gt;1,CHOOSE(J$32,J$27/(J$29-J$31),-PMT(J$30/2,J$29-$B35,G36,0)-H36,J$27*$AN36),0)))</f>
        <v>0</v>
      </c>
      <c r="J36" s="1135" t="n">
        <f aca="false">G36-I36</f>
        <v>70125</v>
      </c>
      <c r="K36" s="1133" t="n">
        <f aca="false">N35</f>
        <v>24750</v>
      </c>
      <c r="L36" s="1134" t="n">
        <f aca="false">IF(MONTH(Startops3)&gt;6,K36*N$30*(13-MONTH(Startops3))/12,K36*N$30*0.5)</f>
        <v>955.96875</v>
      </c>
      <c r="M36" s="777" t="n">
        <f aca="false">IF($B36&gt;=N$29,K36,IF(N$31&gt;=$B36,0,IF(K36&gt;1,CHOOSE(N$32,N$27/(N$29-N$31),-PMT(N$30/2,N$29-$B35,K36,0)-L36,N$27*$AP36),0)))</f>
        <v>0</v>
      </c>
      <c r="N36" s="1135" t="n">
        <f aca="false">K36-M36</f>
        <v>24750</v>
      </c>
      <c r="O36" s="1133" t="n">
        <f aca="false">R35</f>
        <v>0</v>
      </c>
      <c r="P36" s="1134" t="n">
        <f aca="false">IF(MONTH(Startops3)&gt;6,O36*R$30*(13-MONTH(Startops3))/12,O36*R$30*0.5)</f>
        <v>0</v>
      </c>
      <c r="Q36" s="1136" t="n">
        <f aca="false">IF($B36&gt;=R$29,O36,IF(R$31&gt;=$B36,0,IF(O36&gt;1,CHOOSE(R$32,R$27/(R$29-R$31),-PMT(R$30/2,R$29-$B35,O36,0)-P36,R$27*$AR36),0)))</f>
        <v>0</v>
      </c>
      <c r="R36" s="1135" t="n">
        <f aca="false">O36-Q36</f>
        <v>0</v>
      </c>
      <c r="S36" s="1133" t="n">
        <f aca="false">V35</f>
        <v>36351.1199110583</v>
      </c>
      <c r="T36" s="1134" t="n">
        <f aca="false">IF(MONTH(Startops3)&gt;6,S36*V$30*(13-MONTH(Startops3))/12,S36*V$30*0.5)</f>
        <v>1667.6076259198</v>
      </c>
      <c r="U36" s="1136" t="n">
        <f aca="false">IF($B36&gt;=V$29,S36,IF(V$31&gt;=$B36,0,IF(S36&gt;1,CHOOSE(V$32,V$27/(V$29-V$31),-PMT(V$30/2,V$29-$B35,S36,0)-T36,V$27*$AT36),0)))</f>
        <v>0</v>
      </c>
      <c r="V36" s="1135" t="n">
        <f aca="false">S36-U36</f>
        <v>36351.1199110583</v>
      </c>
      <c r="W36" s="1133" t="n">
        <f aca="false">Z35</f>
        <v>49749.8130727587</v>
      </c>
      <c r="X36" s="1134" t="n">
        <f aca="false">IF(MONTH(Startops3)&gt;6,W36*Z$30*(13-MONTH(Startops3))/12,W36*Z$30*0.5)</f>
        <v>2694.78154144109</v>
      </c>
      <c r="Y36" s="1136" t="n">
        <f aca="false">IF($B36&gt;=Z$29,W36,IF(Z$31&gt;=$B36,0,IF(W36&gt;1,CHOOSE(Z$32,Z$27/(Z$29-Z$31),-PMT(Z$30/2,Z$29-$B35,W36,0)-X36,Z$27*$AV36),0)))</f>
        <v>0</v>
      </c>
      <c r="Z36" s="777" t="n">
        <f aca="false">W36-Y36</f>
        <v>49749.8130727587</v>
      </c>
      <c r="AA36" s="1137" t="n">
        <f aca="false">SUM(D35:D36,H35:H36,L35:L36,P35:P36,T35:T36)</f>
        <v>6866.1388759198</v>
      </c>
      <c r="AB36" s="1135" t="n">
        <f aca="false">SUM(E35:E36,I35:I36,M35:M36,Q35:Q36,U35:U36)</f>
        <v>0</v>
      </c>
      <c r="AC36" s="777" t="n">
        <f aca="false">SUM(X35:X36)</f>
        <v>2694.78154144109</v>
      </c>
      <c r="AD36" s="1138" t="n">
        <f aca="false">SUM(Y35:Y36)</f>
        <v>0</v>
      </c>
      <c r="AE36" s="777" t="n">
        <f aca="false">SUM(D35:D36,H35:H36)</f>
        <v>4242.5625</v>
      </c>
      <c r="AF36" s="1135" t="n">
        <f aca="false">SUM(E35:E36,I35:I36)</f>
        <v>0</v>
      </c>
      <c r="AG36" s="1133" t="n">
        <f aca="false">SUM(T35:T36)</f>
        <v>1667.6076259198</v>
      </c>
      <c r="AH36" s="1138" t="n">
        <f aca="false">SUM(U35:U36)</f>
        <v>0</v>
      </c>
      <c r="AI36" s="1125" t="n">
        <f aca="false">(C35+G35+K35+S35+W35)*IF(RAROC!$B$103=1,VLOOKUP('Debt Amort'!A36,RAROC!$A$107:$D$113,2),IF(RAROC!$B$103=2,VLOOKUP('Debt Amort'!A36,RAROC!$A$107:$D$113,3),IF(RAROC!$B$103=3,VLOOKUP('Debt Amort'!A36,RAROC!$A$107:$D$113,4),0)))*((13-MONTH(Startops3))/12)</f>
        <v>4185.01554973028</v>
      </c>
      <c r="AJ36" s="645"/>
      <c r="AK36" s="1126" t="n">
        <v>0</v>
      </c>
      <c r="AL36" s="1127" t="n">
        <f aca="false">IF(AK$75=0,0,AK36/AK$75)</f>
        <v>0</v>
      </c>
      <c r="AM36" s="1128" t="n">
        <v>0</v>
      </c>
      <c r="AN36" s="260" t="n">
        <f aca="false">IF(AM$75=0,0,AM36/AM$75)</f>
        <v>0</v>
      </c>
      <c r="AO36" s="1128" t="n">
        <v>0</v>
      </c>
      <c r="AP36" s="260" t="n">
        <f aca="false">IF(AO$75=0,0,AO36/AO$75)</f>
        <v>0</v>
      </c>
      <c r="AQ36" s="1128" t="n">
        <v>0</v>
      </c>
      <c r="AR36" s="260" t="n">
        <f aca="false">IF(AQ$75=0,0,AQ36/AQ$75)</f>
        <v>0</v>
      </c>
      <c r="AS36" s="1128" t="n">
        <v>3106.85714285714</v>
      </c>
      <c r="AT36" s="260" t="n">
        <f aca="false">IF(AS$75=0,0,AS36/AS$75)</f>
        <v>0.0155342857142857</v>
      </c>
      <c r="AU36" s="1128" t="n">
        <f aca="false">BC36</f>
        <v>383.189162590536</v>
      </c>
      <c r="AV36" s="94" t="n">
        <f aca="false">IF(AU$75=0,0,AU36/AU$75)</f>
        <v>0.00770232366562113</v>
      </c>
      <c r="AW36" s="38"/>
      <c r="AX36" s="1129" t="n">
        <v>7142.85714285714</v>
      </c>
      <c r="AY36" s="1130" t="n">
        <f aca="false">3556.85714285714-450</f>
        <v>3106.85714285714</v>
      </c>
      <c r="AZ36" s="94" t="n">
        <f aca="false">AY36/AY$75</f>
        <v>0.0155342857142857</v>
      </c>
      <c r="BA36" s="1139" t="n">
        <f aca="false">HLOOKUP($A36,CF_Table,CF!$AB$69)</f>
        <v>15292.0993027562</v>
      </c>
      <c r="BB36" s="189" t="n">
        <v>383.189162590536</v>
      </c>
      <c r="BC36" s="217" t="n">
        <f aca="false">IF(BB36&lt;0,BC35,IF(SUM(BB$35:BB36)&gt;$Z$27,$Z$27-SUM(BC$34:BC35),BB36))</f>
        <v>383.189162590536</v>
      </c>
      <c r="BD36" s="260" t="n">
        <f aca="false">BC36/BC$75</f>
        <v>0.00770232366562113</v>
      </c>
      <c r="BE36" s="43" t="n">
        <f aca="false">IF(BD36=0,BE35,B36/2)</f>
        <v>0.5</v>
      </c>
      <c r="BF36" s="574" t="n">
        <f aca="false">IF(BC36=0,0,BB36-BA36)</f>
        <v>-14908.9101401657</v>
      </c>
    </row>
    <row r="37" customFormat="false" ht="12.75" hidden="false" customHeight="false" outlineLevel="0" collapsed="false">
      <c r="A37" s="264" t="n">
        <f aca="false">A35+1</f>
        <v>2002</v>
      </c>
      <c r="B37" s="467" t="n">
        <f aca="false">B36+1</f>
        <v>2</v>
      </c>
      <c r="C37" s="820" t="n">
        <f aca="false">F36</f>
        <v>70125</v>
      </c>
      <c r="D37" s="217" t="n">
        <f aca="false">C37*F$30*0.5</f>
        <v>2468.4</v>
      </c>
      <c r="E37" s="217" t="n">
        <f aca="false">IF($B37&gt;=F$29,C37,IF(F$31&gt;=$B37,0,IF(C37&gt;1,CHOOSE(F$32,F$27/(F$29-F$31),-PMT(F$30/2,F$29-$B36,C37,0)-D37,F$27*$AL37),0)))</f>
        <v>2504.46428571429</v>
      </c>
      <c r="F37" s="847" t="n">
        <f aca="false">C37-E37</f>
        <v>67620.5357142857</v>
      </c>
      <c r="G37" s="820" t="n">
        <f aca="false">J36</f>
        <v>70125</v>
      </c>
      <c r="H37" s="217" t="n">
        <f aca="false">G37*J$30*0.5</f>
        <v>2622.675</v>
      </c>
      <c r="I37" s="217" t="n">
        <f aca="false">IF($B37&gt;=J$29,G37,IF(J$31&gt;=$B37,0,IF(G37&gt;1,CHOOSE(J$32,J$27/(J$29-J$31),-PMT(J$30/2,J$29-$B36,G37,0)-H37,J$27*$AN37),0)))</f>
        <v>2504.46428571429</v>
      </c>
      <c r="J37" s="847" t="n">
        <f aca="false">G37-I37</f>
        <v>67620.5357142857</v>
      </c>
      <c r="K37" s="820" t="n">
        <f aca="false">N36</f>
        <v>24750</v>
      </c>
      <c r="L37" s="217" t="n">
        <f aca="false">K37*N$30*0.5</f>
        <v>1147.1625</v>
      </c>
      <c r="M37" s="217" t="n">
        <f aca="false">IF($B37&gt;=N$29,K37,IF(N$31&gt;=$B37,0,IF(K37&gt;1,CHOOSE(N$32,N$27/(N$29-N$31),-PMT(N$30/2,N$29-$B36,K37,0)-L37,N$27*$AP37),0)))</f>
        <v>777.844364580856</v>
      </c>
      <c r="N37" s="847" t="n">
        <f aca="false">K37-M37</f>
        <v>23972.1556354191</v>
      </c>
      <c r="O37" s="820" t="n">
        <f aca="false">R36</f>
        <v>0</v>
      </c>
      <c r="P37" s="217" t="n">
        <f aca="false">O37*R$30*0.5</f>
        <v>0</v>
      </c>
      <c r="Q37" s="628" t="n">
        <f aca="false">IF($B37&gt;=R$29,O37,IF(R$31&gt;=$B37,0,IF(O37&gt;1,CHOOSE(R$32,R$27/(R$29-R$31),-PMT(R$30/2,R$29-$B36,O37,0)-P37,R$27*$AR37),0)))</f>
        <v>0</v>
      </c>
      <c r="R37" s="847" t="n">
        <f aca="false">O37-Q37</f>
        <v>0</v>
      </c>
      <c r="S37" s="820" t="n">
        <f aca="false">V36</f>
        <v>36351.1199110583</v>
      </c>
      <c r="T37" s="217" t="n">
        <f aca="false">S37*V$30*0.5</f>
        <v>2001.12915110376</v>
      </c>
      <c r="U37" s="628" t="n">
        <f aca="false">IF($B37&gt;=V$29,S37,IF(V$31&gt;=$B37,0,IF(S37&gt;1,CHOOSE(V$32,V$27/(V$29-V$31),-PMT(V$30/2,V$29-$B36,S37,0)-T37,V$27*$AT37),0)))</f>
        <v>272.607434247287</v>
      </c>
      <c r="V37" s="847" t="n">
        <f aca="false">S37-U37</f>
        <v>36078.5124768111</v>
      </c>
      <c r="W37" s="820" t="n">
        <f aca="false">Z36</f>
        <v>49749.8130727587</v>
      </c>
      <c r="X37" s="217" t="n">
        <f aca="false">W37*Z$30*0.5</f>
        <v>3233.73784972931</v>
      </c>
      <c r="Y37" s="217" t="n">
        <f aca="false">IF($B37&gt;=Z$29,W37,IF(Z$31&gt;=$B37,0,IF(W37&gt;1,CHOOSE(Z$32,Z$27/(Z$29-Z$31),-PMT(Z$30/2,Z$29-$B36,W37,0)-X37,Z$27*$AV37),0)))</f>
        <v>1079.13336023036</v>
      </c>
      <c r="Z37" s="217" t="n">
        <f aca="false">W37-Y37</f>
        <v>48670.6797125283</v>
      </c>
      <c r="AA37" s="846"/>
      <c r="AB37" s="847"/>
      <c r="AC37" s="217"/>
      <c r="AD37" s="218"/>
      <c r="AE37" s="217"/>
      <c r="AF37" s="847"/>
      <c r="AG37" s="820"/>
      <c r="AH37" s="218"/>
      <c r="AI37" s="1125"/>
      <c r="AJ37" s="645"/>
      <c r="AK37" s="1126" t="n">
        <v>0</v>
      </c>
      <c r="AL37" s="1127" t="n">
        <f aca="false">IF(AK$75=0,0,AK37/AK$75)</f>
        <v>0</v>
      </c>
      <c r="AM37" s="1128" t="n">
        <v>0</v>
      </c>
      <c r="AN37" s="260" t="n">
        <f aca="false">IF(AM$75=0,0,AM37/AM$75)</f>
        <v>0</v>
      </c>
      <c r="AO37" s="1128" t="n">
        <v>0</v>
      </c>
      <c r="AP37" s="260" t="n">
        <f aca="false">IF(AO$75=0,0,AO37/AO$75)</f>
        <v>0</v>
      </c>
      <c r="AQ37" s="1128" t="n">
        <v>0</v>
      </c>
      <c r="AR37" s="260" t="n">
        <f aca="false">IF(AQ$75=0,0,AQ37/AQ$75)</f>
        <v>0</v>
      </c>
      <c r="AS37" s="1128" t="n">
        <v>1499.85714285714</v>
      </c>
      <c r="AT37" s="260" t="n">
        <f aca="false">IF(AS$75=0,0,AS37/AS$75)</f>
        <v>0.00749928571428572</v>
      </c>
      <c r="AU37" s="1128" t="n">
        <f aca="false">BC37</f>
        <v>629.140952330169</v>
      </c>
      <c r="AV37" s="94" t="n">
        <f aca="false">IF(AU$75=0,0,AU37/AU$75)</f>
        <v>0.0126460968086464</v>
      </c>
      <c r="AW37" s="38"/>
      <c r="AX37" s="1129" t="n">
        <v>7142.85714285714</v>
      </c>
      <c r="AY37" s="1130" t="n">
        <f aca="false">-0.142857142856201+1500</f>
        <v>1499.85714285714</v>
      </c>
      <c r="AZ37" s="94" t="n">
        <f aca="false">AY37/AY$75</f>
        <v>0.00749928571428572</v>
      </c>
      <c r="BA37" s="846" t="n">
        <f aca="false">HLOOKUP($A37,CF_Table,CF!$AB$69)/2</f>
        <v>1996.3663196955</v>
      </c>
      <c r="BB37" s="189" t="n">
        <v>629.140952330169</v>
      </c>
      <c r="BC37" s="217" t="n">
        <f aca="false">IF(BB37&lt;0,BC36,IF(SUM(BB$35:BB37)&gt;$Z$27,$Z$27-SUM(BC$34:BC36),BB37))</f>
        <v>629.140952330169</v>
      </c>
      <c r="BD37" s="260" t="n">
        <f aca="false">BC37/BC$75</f>
        <v>0.0126460968086464</v>
      </c>
      <c r="BE37" s="43" t="n">
        <f aca="false">IF(BD37=0,BE36,B37/2)</f>
        <v>1</v>
      </c>
      <c r="BF37" s="574" t="n">
        <f aca="false">IF(BC37=0,0,BB37-BA37)</f>
        <v>-1367.22536736533</v>
      </c>
    </row>
    <row r="38" customFormat="false" ht="12.75" hidden="false" customHeight="false" outlineLevel="0" collapsed="false">
      <c r="A38" s="1131" t="n">
        <f aca="false">A37</f>
        <v>2002</v>
      </c>
      <c r="B38" s="1132" t="n">
        <f aca="false">B37+1</f>
        <v>3</v>
      </c>
      <c r="C38" s="1133" t="n">
        <f aca="false">F37</f>
        <v>67620.5357142857</v>
      </c>
      <c r="D38" s="777" t="n">
        <f aca="false">C38*F$30*0.5</f>
        <v>2380.24285714286</v>
      </c>
      <c r="E38" s="777" t="n">
        <f aca="false">IF($B38&gt;=F$29,C38,IF(F$31&gt;=$B38,0,IF(C38&gt;1,CHOOSE(F$32,F$27/(F$29-F$31),-PMT(F$30/2,F$29-$B37,C38,0)-D38,F$27*$AL38),0)))</f>
        <v>2504.46428571429</v>
      </c>
      <c r="F38" s="1135" t="n">
        <f aca="false">C38-E38</f>
        <v>65116.0714285714</v>
      </c>
      <c r="G38" s="1133" t="n">
        <f aca="false">J37</f>
        <v>67620.5357142857</v>
      </c>
      <c r="H38" s="777" t="n">
        <f aca="false">G38*J$30*0.5</f>
        <v>2529.00803571429</v>
      </c>
      <c r="I38" s="777" t="n">
        <f aca="false">IF($B38&gt;=J$29,G38,IF(J$31&gt;=$B38,0,IF(G38&gt;1,CHOOSE(J$32,J$27/(J$29-J$31),-PMT(J$30/2,J$29-$B37,G38,0)-H38,J$27*$AN38),0)))</f>
        <v>2504.46428571429</v>
      </c>
      <c r="J38" s="1135" t="n">
        <f aca="false">G38-I38</f>
        <v>65116.0714285714</v>
      </c>
      <c r="K38" s="1133" t="n">
        <f aca="false">N37</f>
        <v>23972.1556354191</v>
      </c>
      <c r="L38" s="777" t="n">
        <f aca="false">K38*N$30*0.5</f>
        <v>1111.10941370168</v>
      </c>
      <c r="M38" s="777" t="n">
        <f aca="false">IF($B38&gt;=N$29,K38,IF(N$31&gt;=$B38,0,IF(K38&gt;1,CHOOSE(N$32,N$27/(N$29-N$31),-PMT(N$30/2,N$29-$B37,K38,0)-L38,N$27*$AP38),0)))</f>
        <v>813.897450879179</v>
      </c>
      <c r="N38" s="1135" t="n">
        <f aca="false">K38-M38</f>
        <v>23158.25818454</v>
      </c>
      <c r="O38" s="1133" t="n">
        <f aca="false">R37</f>
        <v>0</v>
      </c>
      <c r="P38" s="777" t="n">
        <f aca="false">O38*R$30*0.5</f>
        <v>0</v>
      </c>
      <c r="Q38" s="1136" t="n">
        <f aca="false">IF($B38&gt;=R$29,O38,IF(R$31&gt;=$B38,0,IF(O38&gt;1,CHOOSE(R$32,R$27/(R$29-R$31),-PMT(R$30/2,R$29-$B37,O38,0)-P38,R$27*$AR38),0)))</f>
        <v>0</v>
      </c>
      <c r="R38" s="1135" t="n">
        <f aca="false">O38-Q38</f>
        <v>0</v>
      </c>
      <c r="S38" s="1133" t="n">
        <f aca="false">V37</f>
        <v>36078.5124768111</v>
      </c>
      <c r="T38" s="777" t="n">
        <f aca="false">S38*V$30*0.5</f>
        <v>1986.12211184845</v>
      </c>
      <c r="U38" s="1136" t="n">
        <f aca="false">IF($B38&gt;=V$29,S38,IF(V$31&gt;=$B38,0,IF(S38&gt;1,CHOOSE(V$32,V$27/(V$29-V$31),-PMT(V$30/2,V$29-$B37,S38,0)-T38,V$27*$AT38),0)))</f>
        <v>272.607434247287</v>
      </c>
      <c r="V38" s="1135" t="n">
        <f aca="false">S38-U38</f>
        <v>35805.9050425638</v>
      </c>
      <c r="W38" s="1133" t="n">
        <f aca="false">Z37</f>
        <v>48670.6797125283</v>
      </c>
      <c r="X38" s="777" t="n">
        <f aca="false">W38*Z$30*0.5</f>
        <v>3163.59418131434</v>
      </c>
      <c r="Y38" s="777" t="n">
        <f aca="false">IF($B38&gt;=Z$29,W38,IF(Z$31&gt;=$B38,0,IF(W38&gt;1,CHOOSE(Z$32,Z$27/(Z$29-Z$31),-PMT(Z$30/2,Z$29-$B37,W38,0)-X38,Z$27*$AV38),0)))</f>
        <v>1149.27702864534</v>
      </c>
      <c r="Z38" s="777" t="n">
        <f aca="false">W38-Y38</f>
        <v>47521.402683883</v>
      </c>
      <c r="AA38" s="1137" t="n">
        <f aca="false">SUM(D37:D38,H37:H38,L37:L38,P37:P38,T37:T38)</f>
        <v>16245.849069511</v>
      </c>
      <c r="AB38" s="1135" t="n">
        <f aca="false">SUM(E37:E38,I37:I38,M37:M38,Q37:Q38,U37:U38)</f>
        <v>12154.8138268118</v>
      </c>
      <c r="AC38" s="777" t="n">
        <f aca="false">SUM(X37:X38)</f>
        <v>6397.33203104365</v>
      </c>
      <c r="AD38" s="1138" t="n">
        <f aca="false">SUM(Y37:Y38)</f>
        <v>2228.4103888757</v>
      </c>
      <c r="AE38" s="777" t="n">
        <f aca="false">SUM(D37:D38,H37:H38)</f>
        <v>10000.3258928571</v>
      </c>
      <c r="AF38" s="1135" t="n">
        <f aca="false">SUM(E37:E38,I37:I38)</f>
        <v>10017.8571428571</v>
      </c>
      <c r="AG38" s="1133" t="n">
        <f aca="false">SUM(T37:T38)</f>
        <v>3987.25126295221</v>
      </c>
      <c r="AH38" s="1138" t="n">
        <f aca="false">SUM(U37:U38)</f>
        <v>545.214868494574</v>
      </c>
      <c r="AI38" s="1125" t="n">
        <f aca="false">(C37+G37+K37+S37+W37)*IF(RAROC!$B$103=1,VLOOKUP('Debt Amort'!A38,RAROC!$A$107:$D$113,2),IF(RAROC!$B$103=2,VLOOKUP('Debt Amort'!A38,RAROC!$A$107:$D$113,3),IF(RAROC!$B$103=3,VLOOKUP('Debt Amort'!A38,RAROC!$A$107:$D$113,4),0)))*((13-MONTH(Startops3))/12)</f>
        <v>4185.01554973028</v>
      </c>
      <c r="AJ38" s="645"/>
      <c r="AK38" s="1126" t="n">
        <v>0</v>
      </c>
      <c r="AL38" s="1127" t="n">
        <f aca="false">IF(AK$75=0,0,AK38/AK$75)</f>
        <v>0</v>
      </c>
      <c r="AM38" s="1128" t="n">
        <v>0</v>
      </c>
      <c r="AN38" s="260" t="n">
        <f aca="false">IF(AM$75=0,0,AM38/AM$75)</f>
        <v>0</v>
      </c>
      <c r="AO38" s="1128" t="n">
        <v>0</v>
      </c>
      <c r="AP38" s="260" t="n">
        <f aca="false">IF(AO$75=0,0,AO38/AO$75)</f>
        <v>0</v>
      </c>
      <c r="AQ38" s="1128" t="n">
        <v>0</v>
      </c>
      <c r="AR38" s="260" t="n">
        <f aca="false">IF(AQ$75=0,0,AQ38/AQ$75)</f>
        <v>0</v>
      </c>
      <c r="AS38" s="1128" t="n">
        <v>1499.85714285714</v>
      </c>
      <c r="AT38" s="260" t="n">
        <f aca="false">IF(AS$75=0,0,AS38/AS$75)</f>
        <v>0.00749928571428572</v>
      </c>
      <c r="AU38" s="1128" t="n">
        <f aca="false">BC38</f>
        <v>629.140952330169</v>
      </c>
      <c r="AV38" s="94" t="n">
        <f aca="false">IF(AU$75=0,0,AU38/AU$75)</f>
        <v>0.0126460968086464</v>
      </c>
      <c r="AW38" s="38"/>
      <c r="AX38" s="1129" t="n">
        <v>7142.85714285714</v>
      </c>
      <c r="AY38" s="1130" t="n">
        <f aca="false">-0.142857142856201+1500</f>
        <v>1499.85714285714</v>
      </c>
      <c r="AZ38" s="94" t="n">
        <f aca="false">AY38/AY$75</f>
        <v>0.00749928571428572</v>
      </c>
      <c r="BA38" s="846" t="n">
        <f aca="false">HLOOKUP($A38,CF_Table,CF!$AB$69)/2</f>
        <v>1996.3663196955</v>
      </c>
      <c r="BB38" s="189" t="n">
        <v>629.140952330169</v>
      </c>
      <c r="BC38" s="217" t="n">
        <f aca="false">IF(BB38&lt;0,BC37,IF(SUM(BB$35:BB38)&gt;$Z$27,$Z$27-SUM(BC$34:BC37),BB38))</f>
        <v>629.140952330169</v>
      </c>
      <c r="BD38" s="260" t="n">
        <f aca="false">BC38/BC$75</f>
        <v>0.0126460968086464</v>
      </c>
      <c r="BE38" s="43" t="n">
        <f aca="false">IF(BD38=0,BE37,B38/2)</f>
        <v>1.5</v>
      </c>
      <c r="BF38" s="574" t="n">
        <f aca="false">IF(BC38=0,0,BB38-BA38)</f>
        <v>-1367.22536736533</v>
      </c>
    </row>
    <row r="39" customFormat="false" ht="12.75" hidden="false" customHeight="false" outlineLevel="0" collapsed="false">
      <c r="A39" s="264" t="n">
        <f aca="false">A37+1</f>
        <v>2003</v>
      </c>
      <c r="B39" s="467" t="n">
        <f aca="false">B38+1</f>
        <v>4</v>
      </c>
      <c r="C39" s="820" t="n">
        <f aca="false">F38</f>
        <v>65116.0714285714</v>
      </c>
      <c r="D39" s="217" t="n">
        <f aca="false">C39*F$30*0.5</f>
        <v>2292.08571428571</v>
      </c>
      <c r="E39" s="217" t="n">
        <f aca="false">IF($B39&gt;=F$29,C39,IF(F$31&gt;=$B39,0,IF(C39&gt;1,CHOOSE(F$32,F$27/(F$29-F$31),-PMT(F$30/2,F$29-$B38,C39,0)-D39,F$27*$AL39),0)))</f>
        <v>2504.46428571429</v>
      </c>
      <c r="F39" s="847" t="n">
        <f aca="false">C39-E39</f>
        <v>62611.6071428571</v>
      </c>
      <c r="G39" s="820" t="n">
        <f aca="false">J38</f>
        <v>65116.0714285714</v>
      </c>
      <c r="H39" s="217" t="n">
        <f aca="false">G39*J$30*0.5</f>
        <v>2435.34107142857</v>
      </c>
      <c r="I39" s="217" t="n">
        <f aca="false">IF($B39&gt;=J$29,G39,IF(J$31&gt;=$B39,0,IF(G39&gt;1,CHOOSE(J$32,J$27/(J$29-J$31),-PMT(J$30/2,J$29-$B38,G39,0)-H39,J$27*$AN39),0)))</f>
        <v>2504.46428571429</v>
      </c>
      <c r="J39" s="847" t="n">
        <f aca="false">G39-I39</f>
        <v>62611.6071428571</v>
      </c>
      <c r="K39" s="820" t="n">
        <f aca="false">N38</f>
        <v>23158.25818454</v>
      </c>
      <c r="L39" s="217" t="n">
        <f aca="false">K39*N$30*0.5</f>
        <v>1073.38526685343</v>
      </c>
      <c r="M39" s="217" t="n">
        <f aca="false">IF($B39&gt;=N$29,K39,IF(N$31&gt;=$B39,0,IF(K39&gt;1,CHOOSE(N$32,N$27/(N$29-N$31),-PMT(N$30/2,N$29-$B38,K39,0)-L39,N$27*$AP39),0)))</f>
        <v>851.621597727429</v>
      </c>
      <c r="N39" s="847" t="n">
        <f aca="false">K39-M39</f>
        <v>22306.6365868125</v>
      </c>
      <c r="O39" s="820" t="n">
        <f aca="false">R38</f>
        <v>0</v>
      </c>
      <c r="P39" s="217" t="n">
        <f aca="false">O39*R$30*0.5</f>
        <v>0</v>
      </c>
      <c r="Q39" s="628" t="n">
        <f aca="false">IF($B39&gt;=R$29,O39,IF(R$31&gt;=$B39,0,IF(O39&gt;1,CHOOSE(R$32,R$27/(R$29-R$31),-PMT(R$30/2,R$29-$B38,O39,0)-P39,R$27*$AR39),0)))</f>
        <v>0</v>
      </c>
      <c r="R39" s="847" t="n">
        <f aca="false">O39-Q39</f>
        <v>0</v>
      </c>
      <c r="S39" s="820" t="n">
        <f aca="false">V38</f>
        <v>35805.9050425638</v>
      </c>
      <c r="T39" s="217" t="n">
        <f aca="false">S39*V$30*0.5</f>
        <v>1971.11507259314</v>
      </c>
      <c r="U39" s="628" t="n">
        <f aca="false">IF($B39&gt;=V$29,S39,IF(V$31&gt;=$B39,0,IF(S39&gt;1,CHOOSE(V$32,V$27/(V$29-V$31),-PMT(V$30/2,V$29-$B38,S39,0)-T39,V$27*$AT39),0)))</f>
        <v>462.178524583455</v>
      </c>
      <c r="V39" s="847" t="n">
        <f aca="false">S39-U39</f>
        <v>35343.7265179803</v>
      </c>
      <c r="W39" s="820" t="n">
        <f aca="false">Z38</f>
        <v>47521.402683883</v>
      </c>
      <c r="X39" s="217" t="n">
        <f aca="false">W39*Z$30*0.5</f>
        <v>3088.89117445239</v>
      </c>
      <c r="Y39" s="217" t="n">
        <f aca="false">IF($B39&gt;=Z$29,W39,IF(Z$31&gt;=$B39,0,IF(W39&gt;1,CHOOSE(Z$32,Z$27/(Z$29-Z$31),-PMT(Z$30/2,Z$29-$B38,W39,0)-X39,Z$27*$AV39),0)))</f>
        <v>1223.98003550728</v>
      </c>
      <c r="Z39" s="217" t="n">
        <f aca="false">W39-Y39</f>
        <v>46297.4226483757</v>
      </c>
      <c r="AA39" s="846"/>
      <c r="AB39" s="847"/>
      <c r="AC39" s="217"/>
      <c r="AD39" s="218"/>
      <c r="AE39" s="217"/>
      <c r="AF39" s="847"/>
      <c r="AG39" s="820"/>
      <c r="AH39" s="218"/>
      <c r="AI39" s="1125"/>
      <c r="AJ39" s="645"/>
      <c r="AK39" s="1126" t="n">
        <v>0</v>
      </c>
      <c r="AL39" s="1127" t="n">
        <f aca="false">IF(AK$75=0,0,AK39/AK$75)</f>
        <v>0</v>
      </c>
      <c r="AM39" s="1128" t="n">
        <v>0</v>
      </c>
      <c r="AN39" s="260" t="n">
        <f aca="false">IF(AM$75=0,0,AM39/AM$75)</f>
        <v>0</v>
      </c>
      <c r="AO39" s="1128" t="n">
        <v>0</v>
      </c>
      <c r="AP39" s="260" t="n">
        <f aca="false">IF(AO$75=0,0,AO39/AO$75)</f>
        <v>0</v>
      </c>
      <c r="AQ39" s="1128" t="n">
        <v>0</v>
      </c>
      <c r="AR39" s="260" t="n">
        <f aca="false">IF(AQ$75=0,0,AQ39/AQ$75)</f>
        <v>0</v>
      </c>
      <c r="AS39" s="1128" t="n">
        <v>2542.85714285714</v>
      </c>
      <c r="AT39" s="260" t="n">
        <f aca="false">IF(AS$75=0,0,AS39/AS$75)</f>
        <v>0.0127142857142857</v>
      </c>
      <c r="AU39" s="1128" t="n">
        <f aca="false">BC39</f>
        <v>1382.788790353</v>
      </c>
      <c r="AV39" s="94" t="n">
        <f aca="false">IF(AU$75=0,0,AU39/AU$75)</f>
        <v>0.0277948539893141</v>
      </c>
      <c r="AW39" s="38"/>
      <c r="AX39" s="1129" t="n">
        <v>7142.85714285714</v>
      </c>
      <c r="AY39" s="1130" t="n">
        <f aca="false">2742.85714285714-200</f>
        <v>2542.85714285714</v>
      </c>
      <c r="AZ39" s="94" t="n">
        <f aca="false">AY39/AY$75</f>
        <v>0.0127142857142857</v>
      </c>
      <c r="BA39" s="846" t="n">
        <f aca="false">HLOOKUP($A39,CF_Table,CF!$AB$69)/2</f>
        <v>3564.49488554661</v>
      </c>
      <c r="BB39" s="189" t="n">
        <v>1382.788790353</v>
      </c>
      <c r="BC39" s="217" t="n">
        <f aca="false">IF(BB39&lt;0,BC38,IF(SUM(BB$35:BB39)&gt;$Z$27,$Z$27-SUM(BC$34:BC38),BB39))</f>
        <v>1382.788790353</v>
      </c>
      <c r="BD39" s="260" t="n">
        <f aca="false">BC39/BC$75</f>
        <v>0.0277948539893141</v>
      </c>
      <c r="BE39" s="43" t="n">
        <f aca="false">IF(BD39=0,BE38,B39/2)</f>
        <v>2</v>
      </c>
      <c r="BF39" s="574" t="n">
        <f aca="false">IF(BC39=0,0,BB39-BA39)</f>
        <v>-2181.70609519361</v>
      </c>
    </row>
    <row r="40" customFormat="false" ht="12.75" hidden="false" customHeight="false" outlineLevel="0" collapsed="false">
      <c r="A40" s="1131" t="n">
        <f aca="false">A38+1</f>
        <v>2003</v>
      </c>
      <c r="B40" s="1132" t="n">
        <f aca="false">B39+1</f>
        <v>5</v>
      </c>
      <c r="C40" s="1133" t="n">
        <f aca="false">F39</f>
        <v>62611.6071428571</v>
      </c>
      <c r="D40" s="777" t="n">
        <f aca="false">C40*F$30*0.5</f>
        <v>2203.92857142857</v>
      </c>
      <c r="E40" s="777" t="n">
        <f aca="false">IF($B40&gt;=F$29,C40,IF(F$31&gt;=$B40,0,IF(C40&gt;1,CHOOSE(F$32,F$27/(F$29-F$31),-PMT(F$30/2,F$29-$B39,C40,0)-D40,F$27*$AL40),0)))</f>
        <v>2504.46428571429</v>
      </c>
      <c r="F40" s="1135" t="n">
        <f aca="false">C40-E40</f>
        <v>60107.1428571429</v>
      </c>
      <c r="G40" s="1133" t="n">
        <f aca="false">J39</f>
        <v>62611.6071428571</v>
      </c>
      <c r="H40" s="777" t="n">
        <f aca="false">G40*J$30*0.5</f>
        <v>2341.67410714286</v>
      </c>
      <c r="I40" s="777" t="n">
        <f aca="false">IF($B40&gt;=J$29,G40,IF(J$31&gt;=$B40,0,IF(G40&gt;1,CHOOSE(J$32,J$27/(J$29-J$31),-PMT(J$30/2,J$29-$B39,G40,0)-H40,J$27*$AN40),0)))</f>
        <v>2504.46428571429</v>
      </c>
      <c r="J40" s="1135" t="n">
        <f aca="false">G40-I40</f>
        <v>60107.1428571429</v>
      </c>
      <c r="K40" s="1133" t="n">
        <f aca="false">N39</f>
        <v>22306.6365868125</v>
      </c>
      <c r="L40" s="777" t="n">
        <f aca="false">K40*N$30*0.5</f>
        <v>1033.91260579876</v>
      </c>
      <c r="M40" s="777" t="n">
        <f aca="false">IF($B40&gt;=N$29,K40,IF(N$31&gt;=$B40,0,IF(K40&gt;1,CHOOSE(N$32,N$27/(N$29-N$31),-PMT(N$30/2,N$29-$B39,K40,0)-L40,N$27*$AP40),0)))</f>
        <v>891.094258782095</v>
      </c>
      <c r="N40" s="1135" t="n">
        <f aca="false">K40-M40</f>
        <v>21415.5423280304</v>
      </c>
      <c r="O40" s="1133" t="n">
        <f aca="false">R39</f>
        <v>0</v>
      </c>
      <c r="P40" s="777" t="n">
        <f aca="false">O40*R$30*0.5</f>
        <v>0</v>
      </c>
      <c r="Q40" s="1136" t="n">
        <f aca="false">IF($B40&gt;=R$29,O40,IF(R$31&gt;=$B40,0,IF(O40&gt;1,CHOOSE(R$32,R$27/(R$29-R$31),-PMT(R$30/2,R$29-$B39,O40,0)-P40,R$27*$AR40),0)))</f>
        <v>0</v>
      </c>
      <c r="R40" s="1135" t="n">
        <f aca="false">O40-Q40</f>
        <v>0</v>
      </c>
      <c r="S40" s="1133" t="n">
        <f aca="false">V39</f>
        <v>35343.7265179803</v>
      </c>
      <c r="T40" s="777" t="n">
        <f aca="false">S40*V$30*0.5</f>
        <v>1945.67214481482</v>
      </c>
      <c r="U40" s="1136" t="n">
        <f aca="false">IF($B40&gt;=V$29,S40,IF(V$31&gt;=$B40,0,IF(S40&gt;1,CHOOSE(V$32,V$27/(V$29-V$31),-PMT(V$30/2,V$29-$B39,S40,0)-T40,V$27*$AT40),0)))</f>
        <v>462.178524583455</v>
      </c>
      <c r="V40" s="1135" t="n">
        <f aca="false">S40-U40</f>
        <v>34881.5479933969</v>
      </c>
      <c r="W40" s="1133" t="n">
        <f aca="false">Z39</f>
        <v>46297.4226483757</v>
      </c>
      <c r="X40" s="777" t="n">
        <f aca="false">W40*Z$30*0.5</f>
        <v>3009.33247214442</v>
      </c>
      <c r="Y40" s="777" t="n">
        <f aca="false">IF($B40&gt;=Z$29,W40,IF(Z$31&gt;=$B40,0,IF(W40&gt;1,CHOOSE(Z$32,Z$27/(Z$29-Z$31),-PMT(Z$30/2,Z$29-$B39,W40,0)-X40,Z$27*$AV40),0)))</f>
        <v>1303.53873781526</v>
      </c>
      <c r="Z40" s="777" t="n">
        <f aca="false">W40-Y40</f>
        <v>44993.8839105604</v>
      </c>
      <c r="AA40" s="1137" t="n">
        <f aca="false">SUM(D39:D40,H39:H40,L39:L40,P39:P40,T39:T40)</f>
        <v>15297.1145543459</v>
      </c>
      <c r="AB40" s="1135" t="n">
        <f aca="false">SUM(E39:E40,I39:I40,M39:M40,Q39:Q40,U39:U40)</f>
        <v>12684.9300485336</v>
      </c>
      <c r="AC40" s="777" t="n">
        <f aca="false">SUM(X39:X40)</f>
        <v>6098.22364659681</v>
      </c>
      <c r="AD40" s="1138" t="n">
        <f aca="false">SUM(Y39:Y40)</f>
        <v>2527.51877332254</v>
      </c>
      <c r="AE40" s="777" t="n">
        <f aca="false">SUM(D39:D40,H39:H40)</f>
        <v>9273.02946428572</v>
      </c>
      <c r="AF40" s="1135" t="n">
        <f aca="false">SUM(E39:E40,I39:I40)</f>
        <v>10017.8571428571</v>
      </c>
      <c r="AG40" s="1133" t="n">
        <f aca="false">SUM(T39:T40)</f>
        <v>3916.78721740795</v>
      </c>
      <c r="AH40" s="1138" t="n">
        <f aca="false">SUM(U39:U40)</f>
        <v>924.357049166911</v>
      </c>
      <c r="AI40" s="1125" t="n">
        <f aca="false">(C39+G39+K39+S39+W39)*IF(RAROC!$B$103=1,VLOOKUP('Debt Amort'!A40,RAROC!$A$107:$D$113,2),IF(RAROC!$B$103=2,VLOOKUP('Debt Amort'!A40,RAROC!$A$107:$D$113,3),IF(RAROC!$B$103=3,VLOOKUP('Debt Amort'!A40,RAROC!$A$107:$D$113,4),0)))*((13-MONTH(Startops3))/12)</f>
        <v>3945.29514613549</v>
      </c>
      <c r="AJ40" s="645"/>
      <c r="AK40" s="1126" t="n">
        <v>0</v>
      </c>
      <c r="AL40" s="1127" t="n">
        <f aca="false">IF(AK$75=0,0,AK40/AK$75)</f>
        <v>0</v>
      </c>
      <c r="AM40" s="1128" t="n">
        <v>0</v>
      </c>
      <c r="AN40" s="260" t="n">
        <f aca="false">IF(AM$75=0,0,AM40/AM$75)</f>
        <v>0</v>
      </c>
      <c r="AO40" s="1128" t="n">
        <v>0</v>
      </c>
      <c r="AP40" s="260" t="n">
        <f aca="false">IF(AO$75=0,0,AO40/AO$75)</f>
        <v>0</v>
      </c>
      <c r="AQ40" s="1128" t="n">
        <v>0</v>
      </c>
      <c r="AR40" s="260" t="n">
        <f aca="false">IF(AQ$75=0,0,AQ40/AQ$75)</f>
        <v>0</v>
      </c>
      <c r="AS40" s="1128" t="n">
        <v>2542.85714285714</v>
      </c>
      <c r="AT40" s="260" t="n">
        <f aca="false">IF(AS$75=0,0,AS40/AS$75)</f>
        <v>0.0127142857142857</v>
      </c>
      <c r="AU40" s="1128" t="n">
        <f aca="false">BC40</f>
        <v>1382.788790353</v>
      </c>
      <c r="AV40" s="94" t="n">
        <f aca="false">IF(AU$75=0,0,AU40/AU$75)</f>
        <v>0.0277948539893141</v>
      </c>
      <c r="AW40" s="38"/>
      <c r="AX40" s="1129" t="n">
        <v>7142.85714285714</v>
      </c>
      <c r="AY40" s="1130" t="n">
        <f aca="false">2742.85714285714-200</f>
        <v>2542.85714285714</v>
      </c>
      <c r="AZ40" s="94" t="n">
        <f aca="false">AY40/AY$75</f>
        <v>0.0127142857142857</v>
      </c>
      <c r="BA40" s="846" t="n">
        <f aca="false">HLOOKUP($A40,CF_Table,CF!$AB$69)/2</f>
        <v>3564.49488554661</v>
      </c>
      <c r="BB40" s="189" t="n">
        <v>1382.788790353</v>
      </c>
      <c r="BC40" s="217" t="n">
        <f aca="false">IF(BB40&lt;0,BC39,IF(SUM(BB$35:BB40)&gt;$Z$27,$Z$27-SUM(BC$34:BC39),BB40))</f>
        <v>1382.788790353</v>
      </c>
      <c r="BD40" s="260" t="n">
        <f aca="false">BC40/BC$75</f>
        <v>0.0277948539893141</v>
      </c>
      <c r="BE40" s="43" t="n">
        <f aca="false">IF(BD40=0,BE39,B40/2)</f>
        <v>2.5</v>
      </c>
      <c r="BF40" s="574" t="n">
        <f aca="false">IF(BC40=0,0,BB40-BA40)</f>
        <v>-2181.70609519361</v>
      </c>
    </row>
    <row r="41" customFormat="false" ht="12.75" hidden="false" customHeight="false" outlineLevel="0" collapsed="false">
      <c r="A41" s="264" t="n">
        <f aca="false">A39+1</f>
        <v>2004</v>
      </c>
      <c r="B41" s="467" t="n">
        <f aca="false">B40+1</f>
        <v>6</v>
      </c>
      <c r="C41" s="820" t="n">
        <f aca="false">F40</f>
        <v>60107.1428571429</v>
      </c>
      <c r="D41" s="217" t="n">
        <f aca="false">C41*F$30*0.5</f>
        <v>2115.77142857143</v>
      </c>
      <c r="E41" s="217" t="n">
        <f aca="false">IF($B41&gt;=F$29,C41,IF(F$31&gt;=$B41,0,IF(C41&gt;1,CHOOSE(F$32,F$27/(F$29-F$31),-PMT(F$30/2,F$29-$B40,C41,0)-D41,F$27*$AL41),0)))</f>
        <v>2504.46428571429</v>
      </c>
      <c r="F41" s="847" t="n">
        <f aca="false">C41-E41</f>
        <v>57602.6785714286</v>
      </c>
      <c r="G41" s="820" t="n">
        <f aca="false">J40</f>
        <v>60107.1428571429</v>
      </c>
      <c r="H41" s="217" t="n">
        <f aca="false">G41*J$30*0.5</f>
        <v>2248.00714285714</v>
      </c>
      <c r="I41" s="217" t="n">
        <f aca="false">IF($B41&gt;=J$29,G41,IF(J$31&gt;=$B41,0,IF(G41&gt;1,CHOOSE(J$32,J$27/(J$29-J$31),-PMT(J$30/2,J$29-$B40,G41,0)-H41,J$27*$AN41),0)))</f>
        <v>2504.46428571429</v>
      </c>
      <c r="J41" s="847" t="n">
        <f aca="false">G41-I41</f>
        <v>57602.6785714286</v>
      </c>
      <c r="K41" s="820" t="n">
        <f aca="false">N40</f>
        <v>21415.5423280304</v>
      </c>
      <c r="L41" s="217" t="n">
        <f aca="false">K41*N$30*0.5</f>
        <v>992.610386904211</v>
      </c>
      <c r="M41" s="217" t="n">
        <f aca="false">IF($B41&gt;=N$29,K41,IF(N$31&gt;=$B41,0,IF(K41&gt;1,CHOOSE(N$32,N$27/(N$29-N$31),-PMT(N$30/2,N$29-$B40,K41,0)-L41,N$27*$AP41),0)))</f>
        <v>932.396477676645</v>
      </c>
      <c r="N41" s="847" t="n">
        <f aca="false">K41-M41</f>
        <v>20483.1458503538</v>
      </c>
      <c r="O41" s="820" t="n">
        <f aca="false">R40</f>
        <v>0</v>
      </c>
      <c r="P41" s="217" t="n">
        <f aca="false">O41*R$30*0.5</f>
        <v>0</v>
      </c>
      <c r="Q41" s="628" t="n">
        <f aca="false">IF($B41&gt;=R$29,O41,IF(R$31&gt;=$B41,0,IF(O41&gt;1,CHOOSE(R$32,R$27/(R$29-R$31),-PMT(R$30/2,R$29-$B40,O41,0)-P41,R$27*$AR41),0)))</f>
        <v>0</v>
      </c>
      <c r="R41" s="847" t="n">
        <f aca="false">O41-Q41</f>
        <v>0</v>
      </c>
      <c r="S41" s="820" t="n">
        <f aca="false">V40</f>
        <v>34881.5479933969</v>
      </c>
      <c r="T41" s="217" t="n">
        <f aca="false">S41*V$30*0.5</f>
        <v>1920.2292170365</v>
      </c>
      <c r="U41" s="628" t="n">
        <f aca="false">IF($B41&gt;=V$29,S41,IF(V$31&gt;=$B41,0,IF(S41&gt;1,CHOOSE(V$32,V$27/(V$29-V$31),-PMT(V$30/2,V$29-$B40,S41,0)-T41,V$27*$AT41),0)))</f>
        <v>1298.2542825378</v>
      </c>
      <c r="V41" s="847" t="n">
        <f aca="false">S41-U41</f>
        <v>33583.2937108591</v>
      </c>
      <c r="W41" s="820" t="n">
        <f aca="false">Z40</f>
        <v>44993.8839105604</v>
      </c>
      <c r="X41" s="217" t="n">
        <f aca="false">W41*Z$30*0.5</f>
        <v>2924.60245418643</v>
      </c>
      <c r="Y41" s="217" t="n">
        <f aca="false">IF($B41&gt;=Z$29,W41,IF(Z$31&gt;=$B41,0,IF(W41&gt;1,CHOOSE(Z$32,Z$27/(Z$29-Z$31),-PMT(Z$30/2,Z$29-$B40,W41,0)-X41,Z$27*$AV41),0)))</f>
        <v>1388.26875577325</v>
      </c>
      <c r="Z41" s="217" t="n">
        <f aca="false">W41-Y41</f>
        <v>43605.6151547872</v>
      </c>
      <c r="AA41" s="846"/>
      <c r="AB41" s="847"/>
      <c r="AC41" s="217"/>
      <c r="AD41" s="218"/>
      <c r="AE41" s="217"/>
      <c r="AF41" s="847"/>
      <c r="AG41" s="820"/>
      <c r="AH41" s="218"/>
      <c r="AI41" s="1125"/>
      <c r="AJ41" s="645"/>
      <c r="AK41" s="1126" t="n">
        <v>0</v>
      </c>
      <c r="AL41" s="1127" t="n">
        <f aca="false">IF(AK$75=0,0,AK41/AK$75)</f>
        <v>0</v>
      </c>
      <c r="AM41" s="1128" t="n">
        <v>0</v>
      </c>
      <c r="AN41" s="260" t="n">
        <f aca="false">IF(AM$75=0,0,AM41/AM$75)</f>
        <v>0</v>
      </c>
      <c r="AO41" s="1128" t="n">
        <v>0</v>
      </c>
      <c r="AP41" s="260" t="n">
        <f aca="false">IF(AO$75=0,0,AO41/AO$75)</f>
        <v>0</v>
      </c>
      <c r="AQ41" s="1128" t="n">
        <v>0</v>
      </c>
      <c r="AR41" s="260" t="n">
        <f aca="false">IF(AQ$75=0,0,AQ41/AQ$75)</f>
        <v>0</v>
      </c>
      <c r="AS41" s="1128" t="n">
        <v>7142.85714285714</v>
      </c>
      <c r="AT41" s="260" t="n">
        <f aca="false">IF(AS$75=0,0,AS41/AS$75)</f>
        <v>0.0357142857142857</v>
      </c>
      <c r="AU41" s="1128" t="n">
        <f aca="false">BC41</f>
        <v>2739.53228648984</v>
      </c>
      <c r="AV41" s="94" t="n">
        <f aca="false">IF(AU$75=0,0,AU41/AU$75)</f>
        <v>0.0550661825097373</v>
      </c>
      <c r="AW41" s="38"/>
      <c r="AX41" s="1129" t="n">
        <v>7142.85714285714</v>
      </c>
      <c r="AY41" s="1130" t="n">
        <v>7142.85714285714</v>
      </c>
      <c r="AZ41" s="94" t="n">
        <f aca="false">AY41/AY$75</f>
        <v>0.0357142857142857</v>
      </c>
      <c r="BA41" s="846" t="n">
        <f aca="false">HLOOKUP($A41,CF_Table,CF!$AB$69)/2</f>
        <v>-2345.36087178369</v>
      </c>
      <c r="BB41" s="189" t="n">
        <v>2739.53228648984</v>
      </c>
      <c r="BC41" s="217" t="n">
        <f aca="false">IF(BB41&lt;0,BC40,IF(SUM(BB$35:BB41)&gt;$Z$27,$Z$27-SUM(BC$34:BC40),BB41))</f>
        <v>2739.53228648984</v>
      </c>
      <c r="BD41" s="260" t="n">
        <f aca="false">BC41/BC$75</f>
        <v>0.0550661825097373</v>
      </c>
      <c r="BE41" s="43" t="n">
        <f aca="false">IF(BD41=0,BE40,B41/2)</f>
        <v>3</v>
      </c>
      <c r="BF41" s="574" t="n">
        <f aca="false">IF(BC41=0,0,BB41-BA41)</f>
        <v>5084.89315827354</v>
      </c>
    </row>
    <row r="42" customFormat="false" ht="12.75" hidden="false" customHeight="false" outlineLevel="0" collapsed="false">
      <c r="A42" s="1131" t="n">
        <f aca="false">A41</f>
        <v>2004</v>
      </c>
      <c r="B42" s="1132" t="n">
        <f aca="false">B41+1</f>
        <v>7</v>
      </c>
      <c r="C42" s="1133" t="n">
        <f aca="false">F41</f>
        <v>57602.6785714286</v>
      </c>
      <c r="D42" s="777" t="n">
        <f aca="false">C42*F$30*0.5</f>
        <v>2027.61428571429</v>
      </c>
      <c r="E42" s="777" t="n">
        <f aca="false">IF($B42&gt;=F$29,C42,IF(F$31&gt;=$B42,0,IF(C42&gt;1,CHOOSE(F$32,F$27/(F$29-F$31),-PMT(F$30/2,F$29-$B41,C42,0)-D42,F$27*$AL42),0)))</f>
        <v>2504.46428571429</v>
      </c>
      <c r="F42" s="1135" t="n">
        <f aca="false">C42-E42</f>
        <v>55098.2142857143</v>
      </c>
      <c r="G42" s="1133" t="n">
        <f aca="false">J41</f>
        <v>57602.6785714286</v>
      </c>
      <c r="H42" s="777" t="n">
        <f aca="false">G42*J$30*0.5</f>
        <v>2154.34017857143</v>
      </c>
      <c r="I42" s="777" t="n">
        <f aca="false">IF($B42&gt;=J$29,G42,IF(J$31&gt;=$B42,0,IF(G42&gt;1,CHOOSE(J$32,J$27/(J$29-J$31),-PMT(J$30/2,J$29-$B41,G42,0)-H42,J$27*$AN42),0)))</f>
        <v>2504.46428571429</v>
      </c>
      <c r="J42" s="1135" t="n">
        <f aca="false">G42-I42</f>
        <v>55098.2142857143</v>
      </c>
      <c r="K42" s="1133" t="n">
        <f aca="false">N41</f>
        <v>20483.1458503538</v>
      </c>
      <c r="L42" s="777" t="n">
        <f aca="false">K42*N$30*0.5</f>
        <v>949.393810163899</v>
      </c>
      <c r="M42" s="777" t="n">
        <f aca="false">IF($B42&gt;=N$29,K42,IF(N$31&gt;=$B42,0,IF(K42&gt;1,CHOOSE(N$32,N$27/(N$29-N$31),-PMT(N$30/2,N$29-$B41,K42,0)-L42,N$27*$AP42),0)))</f>
        <v>975.613054416958</v>
      </c>
      <c r="N42" s="1135" t="n">
        <f aca="false">K42-M42</f>
        <v>19507.5327959368</v>
      </c>
      <c r="O42" s="1133" t="n">
        <f aca="false">R41</f>
        <v>0</v>
      </c>
      <c r="P42" s="777" t="n">
        <f aca="false">O42*R$30*0.5</f>
        <v>0</v>
      </c>
      <c r="Q42" s="1136" t="n">
        <f aca="false">IF($B42&gt;=R$29,O42,IF(R$31&gt;=$B42,0,IF(O42&gt;1,CHOOSE(R$32,R$27/(R$29-R$31),-PMT(R$30/2,R$29-$B41,O42,0)-P42,R$27*$AR42),0)))</f>
        <v>0</v>
      </c>
      <c r="R42" s="1135" t="n">
        <f aca="false">O42-Q42</f>
        <v>0</v>
      </c>
      <c r="S42" s="1133" t="n">
        <f aca="false">V41</f>
        <v>33583.2937108591</v>
      </c>
      <c r="T42" s="777" t="n">
        <f aca="false">S42*V$30*0.5</f>
        <v>1848.76031878279</v>
      </c>
      <c r="U42" s="1136" t="n">
        <f aca="false">IF($B42&gt;=V$29,S42,IF(V$31&gt;=$B42,0,IF(S42&gt;1,CHOOSE(V$32,V$27/(V$29-V$31),-PMT(V$30/2,V$29-$B41,S42,0)-T42,V$27*$AT42),0)))</f>
        <v>1298.2542825378</v>
      </c>
      <c r="V42" s="1135" t="n">
        <f aca="false">S42-U42</f>
        <v>32285.0394283213</v>
      </c>
      <c r="W42" s="1133" t="n">
        <f aca="false">Z41</f>
        <v>43605.6151547872</v>
      </c>
      <c r="X42" s="777" t="n">
        <f aca="false">W42*Z$30*0.5</f>
        <v>2834.36498506117</v>
      </c>
      <c r="Y42" s="777" t="n">
        <f aca="false">IF($B42&gt;=Z$29,W42,IF(Z$31&gt;=$B42,0,IF(W42&gt;1,CHOOSE(Z$32,Z$27/(Z$29-Z$31),-PMT(Z$30/2,Z$29-$B41,W42,0)-X42,Z$27*$AV42),0)))</f>
        <v>1478.50622489851</v>
      </c>
      <c r="Z42" s="777" t="n">
        <f aca="false">W42-Y42</f>
        <v>42127.1089298887</v>
      </c>
      <c r="AA42" s="1137" t="n">
        <f aca="false">SUM(D41:D42,H41:H42,L41:L42,P41:P42,T41:T42)</f>
        <v>14256.7267686017</v>
      </c>
      <c r="AB42" s="1135" t="n">
        <f aca="false">SUM(E41:E42,I41:I42,M41:M42,Q41:Q42,U41:U42)</f>
        <v>14522.3752400263</v>
      </c>
      <c r="AC42" s="777" t="n">
        <f aca="false">SUM(X41:X42)</f>
        <v>5758.9674392476</v>
      </c>
      <c r="AD42" s="1138" t="n">
        <f aca="false">SUM(Y41:Y42)</f>
        <v>2866.77498067176</v>
      </c>
      <c r="AE42" s="777" t="n">
        <f aca="false">SUM(D41:D42,H41:H42)</f>
        <v>8545.73303571429</v>
      </c>
      <c r="AF42" s="1135" t="n">
        <f aca="false">SUM(E41:E42,I41:I42)</f>
        <v>10017.8571428571</v>
      </c>
      <c r="AG42" s="1133" t="n">
        <f aca="false">SUM(T41:T42)</f>
        <v>3768.98953581929</v>
      </c>
      <c r="AH42" s="1138" t="n">
        <f aca="false">SUM(U41:U42)</f>
        <v>2596.50856507559</v>
      </c>
      <c r="AI42" s="1125" t="n">
        <f aca="false">(C41+G41+K41+S41+W41)*IF(RAROC!$B$103=1,VLOOKUP('Debt Amort'!A42,RAROC!$A$107:$D$113,2),IF(RAROC!$B$103=2,VLOOKUP('Debt Amort'!A42,RAROC!$A$107:$D$113,3),IF(RAROC!$B$103=3,VLOOKUP('Debt Amort'!A42,RAROC!$A$107:$D$113,4),0)))*((13-MONTH(Startops3))/12)</f>
        <v>0</v>
      </c>
      <c r="AJ42" s="645"/>
      <c r="AK42" s="1126" t="n">
        <v>0</v>
      </c>
      <c r="AL42" s="1127" t="n">
        <f aca="false">IF(AK$75=0,0,AK42/AK$75)</f>
        <v>0</v>
      </c>
      <c r="AM42" s="1128" t="n">
        <v>0</v>
      </c>
      <c r="AN42" s="260" t="n">
        <f aca="false">IF(AM$75=0,0,AM42/AM$75)</f>
        <v>0</v>
      </c>
      <c r="AO42" s="1128" t="n">
        <v>0</v>
      </c>
      <c r="AP42" s="260" t="n">
        <f aca="false">IF(AO$75=0,0,AO42/AO$75)</f>
        <v>0</v>
      </c>
      <c r="AQ42" s="1128" t="n">
        <v>0</v>
      </c>
      <c r="AR42" s="260" t="n">
        <f aca="false">IF(AQ$75=0,0,AQ42/AQ$75)</f>
        <v>0</v>
      </c>
      <c r="AS42" s="1128" t="n">
        <v>7142.85714285714</v>
      </c>
      <c r="AT42" s="260" t="n">
        <f aca="false">IF(AS$75=0,0,AS42/AS$75)</f>
        <v>0.0357142857142857</v>
      </c>
      <c r="AU42" s="1128" t="n">
        <f aca="false">BC42</f>
        <v>2739.53228648984</v>
      </c>
      <c r="AV42" s="94" t="n">
        <f aca="false">IF(AU$75=0,0,AU42/AU$75)</f>
        <v>0.0550661825097373</v>
      </c>
      <c r="AW42" s="38"/>
      <c r="AX42" s="1129" t="n">
        <v>7142.85714285714</v>
      </c>
      <c r="AY42" s="1130" t="n">
        <v>7142.85714285714</v>
      </c>
      <c r="AZ42" s="94" t="n">
        <f aca="false">AY42/AY$75</f>
        <v>0.0357142857142857</v>
      </c>
      <c r="BA42" s="846" t="n">
        <f aca="false">HLOOKUP($A42,CF_Table,CF!$AB$69)/2</f>
        <v>-2345.36087178369</v>
      </c>
      <c r="BB42" s="189" t="n">
        <v>2739.53228648984</v>
      </c>
      <c r="BC42" s="217" t="n">
        <f aca="false">IF(BB42&lt;0,BC41,IF(SUM(BB$35:BB42)&gt;$Z$27,$Z$27-SUM(BC$34:BC41),BB42))</f>
        <v>2739.53228648984</v>
      </c>
      <c r="BD42" s="260" t="n">
        <f aca="false">BC42/BC$75</f>
        <v>0.0550661825097373</v>
      </c>
      <c r="BE42" s="43" t="n">
        <f aca="false">IF(BD42=0,BE41,B42/2)</f>
        <v>3.5</v>
      </c>
      <c r="BF42" s="574" t="n">
        <f aca="false">IF(BC42=0,0,BB42-BA42)</f>
        <v>5084.89315827354</v>
      </c>
    </row>
    <row r="43" customFormat="false" ht="12.75" hidden="false" customHeight="false" outlineLevel="0" collapsed="false">
      <c r="A43" s="264" t="n">
        <f aca="false">A41+1</f>
        <v>2005</v>
      </c>
      <c r="B43" s="467" t="n">
        <f aca="false">B42+1</f>
        <v>8</v>
      </c>
      <c r="C43" s="820" t="n">
        <f aca="false">F42</f>
        <v>55098.2142857143</v>
      </c>
      <c r="D43" s="217" t="n">
        <f aca="false">C43*F$30*0.5</f>
        <v>1939.45714285714</v>
      </c>
      <c r="E43" s="217" t="n">
        <f aca="false">IF($B43&gt;=F$29,C43,IF(F$31&gt;=$B43,0,IF(C43&gt;1,CHOOSE(F$32,F$27/(F$29-F$31),-PMT(F$30/2,F$29-$B42,C43,0)-D43,F$27*$AL43),0)))</f>
        <v>2504.46428571429</v>
      </c>
      <c r="F43" s="847" t="n">
        <f aca="false">C43-E43</f>
        <v>52593.75</v>
      </c>
      <c r="G43" s="820" t="n">
        <f aca="false">J42</f>
        <v>55098.2142857143</v>
      </c>
      <c r="H43" s="217" t="n">
        <f aca="false">G43*J$30*0.5</f>
        <v>2060.67321428572</v>
      </c>
      <c r="I43" s="217" t="n">
        <f aca="false">IF($B43&gt;=J$29,G43,IF(J$31&gt;=$B43,0,IF(G43&gt;1,CHOOSE(J$32,J$27/(J$29-J$31),-PMT(J$30/2,J$29-$B42,G43,0)-H43,J$27*$AN43),0)))</f>
        <v>2504.46428571429</v>
      </c>
      <c r="J43" s="847" t="n">
        <f aca="false">G43-I43</f>
        <v>52593.75</v>
      </c>
      <c r="K43" s="820" t="n">
        <f aca="false">N42</f>
        <v>19507.5327959368</v>
      </c>
      <c r="L43" s="217" t="n">
        <f aca="false">K43*N$30*0.5</f>
        <v>904.174145091673</v>
      </c>
      <c r="M43" s="217" t="n">
        <f aca="false">IF($B43&gt;=N$29,K43,IF(N$31&gt;=$B43,0,IF(K43&gt;1,CHOOSE(N$32,N$27/(N$29-N$31),-PMT(N$30/2,N$29-$B42,K43,0)-L43,N$27*$AP43),0)))</f>
        <v>1020.83271948918</v>
      </c>
      <c r="N43" s="847" t="n">
        <f aca="false">K43-M43</f>
        <v>18486.7000764477</v>
      </c>
      <c r="O43" s="820" t="n">
        <f aca="false">R42</f>
        <v>0</v>
      </c>
      <c r="P43" s="217" t="n">
        <f aca="false">O43*R$30*0.5</f>
        <v>0</v>
      </c>
      <c r="Q43" s="628" t="n">
        <f aca="false">IF($B43&gt;=R$29,O43,IF(R$31&gt;=$B43,0,IF(O43&gt;1,CHOOSE(R$32,R$27/(R$29-R$31),-PMT(R$30/2,R$29-$B42,O43,0)-P43,R$27*$AR43),0)))</f>
        <v>0</v>
      </c>
      <c r="R43" s="847" t="n">
        <f aca="false">O43-Q43</f>
        <v>0</v>
      </c>
      <c r="S43" s="820" t="n">
        <f aca="false">V42</f>
        <v>32285.0394283213</v>
      </c>
      <c r="T43" s="217" t="n">
        <f aca="false">S43*V$30*0.5</f>
        <v>1777.29142052909</v>
      </c>
      <c r="U43" s="628" t="n">
        <f aca="false">IF($B43&gt;=V$29,S43,IF(V$31&gt;=$B43,0,IF(S43&gt;1,CHOOSE(V$32,V$27/(V$29-V$31),-PMT(V$30/2,V$29-$B42,S43,0)-T43,V$27*$AT43),0)))</f>
        <v>1565.45232394118</v>
      </c>
      <c r="V43" s="847" t="n">
        <f aca="false">S43-U43</f>
        <v>30719.5871043801</v>
      </c>
      <c r="W43" s="820" t="n">
        <f aca="false">Z42</f>
        <v>42127.1089298887</v>
      </c>
      <c r="X43" s="217" t="n">
        <f aca="false">W43*Z$30*0.5</f>
        <v>2738.26208044276</v>
      </c>
      <c r="Y43" s="217" t="n">
        <f aca="false">IF($B43&gt;=Z$29,W43,IF(Z$31&gt;=$B43,0,IF(W43&gt;1,CHOOSE(Z$32,Z$27/(Z$29-Z$31),-PMT(Z$30/2,Z$29-$B42,W43,0)-X43,Z$27*$AV43),0)))</f>
        <v>1574.60912951691</v>
      </c>
      <c r="Z43" s="217" t="n">
        <f aca="false">W43-Y43</f>
        <v>40552.4998003718</v>
      </c>
      <c r="AA43" s="846"/>
      <c r="AB43" s="847"/>
      <c r="AC43" s="217"/>
      <c r="AD43" s="218"/>
      <c r="AE43" s="217"/>
      <c r="AF43" s="847"/>
      <c r="AG43" s="820"/>
      <c r="AH43" s="218"/>
      <c r="AI43" s="1125"/>
      <c r="AJ43" s="645"/>
      <c r="AK43" s="1126" t="n">
        <v>0</v>
      </c>
      <c r="AL43" s="1127" t="n">
        <f aca="false">IF(AK$75=0,0,AK43/AK$75)</f>
        <v>0</v>
      </c>
      <c r="AM43" s="1128" t="n">
        <v>0</v>
      </c>
      <c r="AN43" s="260" t="n">
        <f aca="false">IF(AM$75=0,0,AM43/AM$75)</f>
        <v>0</v>
      </c>
      <c r="AO43" s="1128" t="n">
        <v>0</v>
      </c>
      <c r="AP43" s="260" t="n">
        <f aca="false">IF(AO$75=0,0,AO43/AO$75)</f>
        <v>0</v>
      </c>
      <c r="AQ43" s="1128" t="n">
        <v>0</v>
      </c>
      <c r="AR43" s="260" t="n">
        <f aca="false">IF(AQ$75=0,0,AQ43/AQ$75)</f>
        <v>0</v>
      </c>
      <c r="AS43" s="1128" t="n">
        <v>8612.95238095238</v>
      </c>
      <c r="AT43" s="260" t="n">
        <f aca="false">IF(AS$75=0,0,AS43/AS$75)</f>
        <v>0.0430647619047619</v>
      </c>
      <c r="AU43" s="1128" t="n">
        <f aca="false">BC43</f>
        <v>2963.7576188017</v>
      </c>
      <c r="AV43" s="94" t="n">
        <f aca="false">IF(AU$75=0,0,AU43/AU$75)</f>
        <v>0.0595732412997658</v>
      </c>
      <c r="AW43" s="38"/>
      <c r="AX43" s="1129" t="n">
        <v>7142.85714285714</v>
      </c>
      <c r="AY43" s="1130" t="n">
        <f aca="false">8362.95238095238+250</f>
        <v>8612.95238095238</v>
      </c>
      <c r="AZ43" s="94" t="n">
        <f aca="false">AY43/AY$75</f>
        <v>0.0430647619047619</v>
      </c>
      <c r="BA43" s="846" t="n">
        <f aca="false">HLOOKUP($A43,CF_Table,CF!$AB$69)/2</f>
        <v>4804.42269329387</v>
      </c>
      <c r="BB43" s="189" t="n">
        <v>2963.7576188017</v>
      </c>
      <c r="BC43" s="217" t="n">
        <f aca="false">IF(BB43&lt;0,BC42,IF(SUM(BB$35:BB43)&gt;$Z$27,$Z$27-SUM(BC$34:BC42),BB43))</f>
        <v>2963.7576188017</v>
      </c>
      <c r="BD43" s="260" t="n">
        <f aca="false">BC43/BC$75</f>
        <v>0.0595732412997658</v>
      </c>
      <c r="BE43" s="43" t="n">
        <f aca="false">IF(BD43=0,BE42,B43/2)</f>
        <v>4</v>
      </c>
      <c r="BF43" s="574" t="n">
        <f aca="false">IF(BC43=0,0,BB43-BA43)</f>
        <v>-1840.66507449217</v>
      </c>
    </row>
    <row r="44" customFormat="false" ht="12.75" hidden="false" customHeight="false" outlineLevel="0" collapsed="false">
      <c r="A44" s="1131" t="n">
        <f aca="false">A43</f>
        <v>2005</v>
      </c>
      <c r="B44" s="1132" t="n">
        <f aca="false">B43+1</f>
        <v>9</v>
      </c>
      <c r="C44" s="1133" t="n">
        <f aca="false">F43</f>
        <v>52593.75</v>
      </c>
      <c r="D44" s="777" t="n">
        <f aca="false">C44*F$30*0.5</f>
        <v>1851.3</v>
      </c>
      <c r="E44" s="777" t="n">
        <f aca="false">IF($B44&gt;=F$29,C44,IF(F$31&gt;=$B44,0,IF(C44&gt;1,CHOOSE(F$32,F$27/(F$29-F$31),-PMT(F$30/2,F$29-$B43,C44,0)-D44,F$27*$AL44),0)))</f>
        <v>2504.46428571429</v>
      </c>
      <c r="F44" s="1135" t="n">
        <f aca="false">C44-E44</f>
        <v>50089.2857142857</v>
      </c>
      <c r="G44" s="1133" t="n">
        <f aca="false">J43</f>
        <v>52593.75</v>
      </c>
      <c r="H44" s="777" t="n">
        <f aca="false">G44*J$30*0.5</f>
        <v>1967.00625</v>
      </c>
      <c r="I44" s="777" t="n">
        <f aca="false">IF($B44&gt;=J$29,G44,IF(J$31&gt;=$B44,0,IF(G44&gt;1,CHOOSE(J$32,J$27/(J$29-J$31),-PMT(J$30/2,J$29-$B43,G44,0)-H44,J$27*$AN44),0)))</f>
        <v>2504.46428571429</v>
      </c>
      <c r="J44" s="1135" t="n">
        <f aca="false">G44-I44</f>
        <v>50089.2857142857</v>
      </c>
      <c r="K44" s="1133" t="n">
        <f aca="false">N43</f>
        <v>18486.7000764477</v>
      </c>
      <c r="L44" s="777" t="n">
        <f aca="false">K44*N$30*0.5</f>
        <v>856.858548543349</v>
      </c>
      <c r="M44" s="777" t="n">
        <f aca="false">IF($B44&gt;=N$29,K44,IF(N$31&gt;=$B44,0,IF(K44&gt;1,CHOOSE(N$32,N$27/(N$29-N$31),-PMT(N$30/2,N$29-$B43,K44,0)-L44,N$27*$AP44),0)))</f>
        <v>1068.14831603751</v>
      </c>
      <c r="N44" s="1135" t="n">
        <f aca="false">K44-M44</f>
        <v>17418.5517604102</v>
      </c>
      <c r="O44" s="1133" t="n">
        <f aca="false">R43</f>
        <v>0</v>
      </c>
      <c r="P44" s="777" t="n">
        <f aca="false">O44*R$30*0.5</f>
        <v>0</v>
      </c>
      <c r="Q44" s="1136" t="n">
        <f aca="false">IF($B44&gt;=R$29,O44,IF(R$31&gt;=$B44,0,IF(O44&gt;1,CHOOSE(R$32,R$27/(R$29-R$31),-PMT(R$30/2,R$29-$B43,O44,0)-P44,R$27*$AR44),0)))</f>
        <v>0</v>
      </c>
      <c r="R44" s="1135" t="n">
        <f aca="false">O44-Q44</f>
        <v>0</v>
      </c>
      <c r="S44" s="1133" t="n">
        <f aca="false">V43</f>
        <v>30719.5871043801</v>
      </c>
      <c r="T44" s="777" t="n">
        <f aca="false">S44*V$30*0.5</f>
        <v>1691.11327009612</v>
      </c>
      <c r="U44" s="1136" t="n">
        <f aca="false">IF($B44&gt;=V$29,S44,IF(V$31&gt;=$B44,0,IF(S44&gt;1,CHOOSE(V$32,V$27/(V$29-V$31),-PMT(V$30/2,V$29-$B43,S44,0)-T44,V$27*$AT44),0)))</f>
        <v>1730.84991953649</v>
      </c>
      <c r="V44" s="1135" t="n">
        <f aca="false">S44-U44</f>
        <v>28988.7371848436</v>
      </c>
      <c r="W44" s="1133" t="n">
        <f aca="false">Z43</f>
        <v>40552.4998003718</v>
      </c>
      <c r="X44" s="777" t="n">
        <f aca="false">W44*Z$30*0.5</f>
        <v>2635.91248702416</v>
      </c>
      <c r="Y44" s="777" t="n">
        <f aca="false">IF($B44&gt;=Z$29,W44,IF(Z$31&gt;=$B44,0,IF(W44&gt;1,CHOOSE(Z$32,Z$27/(Z$29-Z$31),-PMT(Z$30/2,Z$29-$B43,W44,0)-X44,Z$27*$AV44),0)))</f>
        <v>1676.95872293551</v>
      </c>
      <c r="Z44" s="777" t="n">
        <f aca="false">W44-Y44</f>
        <v>38875.5410774362</v>
      </c>
      <c r="AA44" s="1137" t="n">
        <f aca="false">SUM(D43:D44,H43:H44,L43:L44,P43:P44,T43:T44)</f>
        <v>13047.8739914031</v>
      </c>
      <c r="AB44" s="1135" t="n">
        <f aca="false">SUM(E43:E44,I43:I44,M43:M44,Q43:Q44,U43:U44)</f>
        <v>15403.1404218615</v>
      </c>
      <c r="AC44" s="777" t="n">
        <f aca="false">SUM(X43:X44)</f>
        <v>5374.17456746693</v>
      </c>
      <c r="AD44" s="1138" t="n">
        <f aca="false">SUM(Y43:Y44)</f>
        <v>3251.56785245242</v>
      </c>
      <c r="AE44" s="777" t="n">
        <f aca="false">SUM(D43:D44,H43:H44)</f>
        <v>7818.43660714286</v>
      </c>
      <c r="AF44" s="1135" t="n">
        <f aca="false">SUM(E43:E44,I43:I44)</f>
        <v>10017.8571428571</v>
      </c>
      <c r="AG44" s="1133" t="n">
        <f aca="false">SUM(T43:T44)</f>
        <v>3468.40469062521</v>
      </c>
      <c r="AH44" s="1138" t="n">
        <f aca="false">SUM(U43:U44)</f>
        <v>3296.30224347767</v>
      </c>
      <c r="AI44" s="1125" t="n">
        <f aca="false">(C43+G43+K43+S43+W43)*IF(RAROC!$B$103=1,VLOOKUP('Debt Amort'!A44,RAROC!$A$107:$D$113,2),IF(RAROC!$B$103=2,VLOOKUP('Debt Amort'!A44,RAROC!$A$107:$D$113,3),IF(RAROC!$B$103=3,VLOOKUP('Debt Amort'!A44,RAROC!$A$107:$D$113,4),0)))*((13-MONTH(Startops3))/12)</f>
        <v>0</v>
      </c>
      <c r="AJ44" s="645"/>
      <c r="AK44" s="1126" t="n">
        <v>0</v>
      </c>
      <c r="AL44" s="1127" t="n">
        <f aca="false">IF(AK$75=0,0,AK44/AK$75)</f>
        <v>0</v>
      </c>
      <c r="AM44" s="1128" t="n">
        <v>0</v>
      </c>
      <c r="AN44" s="260" t="n">
        <f aca="false">IF(AM$75=0,0,AM44/AM$75)</f>
        <v>0</v>
      </c>
      <c r="AO44" s="1128" t="n">
        <v>0</v>
      </c>
      <c r="AP44" s="260" t="n">
        <f aca="false">IF(AO$75=0,0,AO44/AO$75)</f>
        <v>0</v>
      </c>
      <c r="AQ44" s="1128" t="n">
        <v>0</v>
      </c>
      <c r="AR44" s="260" t="n">
        <f aca="false">IF(AQ$75=0,0,AQ44/AQ$75)</f>
        <v>0</v>
      </c>
      <c r="AS44" s="1128" t="n">
        <v>9522.95238095238</v>
      </c>
      <c r="AT44" s="260" t="n">
        <f aca="false">IF(AS$75=0,0,AS44/AS$75)</f>
        <v>0.0476147619047619</v>
      </c>
      <c r="AU44" s="1128" t="n">
        <f aca="false">BC44</f>
        <v>2963.7576188017</v>
      </c>
      <c r="AV44" s="94" t="n">
        <f aca="false">IF(AU$75=0,0,AU44/AU$75)</f>
        <v>0.0595732412997658</v>
      </c>
      <c r="AW44" s="38"/>
      <c r="AX44" s="1129" t="n">
        <v>7142.85714285714</v>
      </c>
      <c r="AY44" s="1130" t="n">
        <f aca="false">8362.95238095238+2660-1500</f>
        <v>9522.95238095238</v>
      </c>
      <c r="AZ44" s="94" t="n">
        <f aca="false">AY44/AY$75</f>
        <v>0.0476147619047619</v>
      </c>
      <c r="BA44" s="846" t="n">
        <f aca="false">HLOOKUP($A44,CF_Table,CF!$AB$69)/2</f>
        <v>4804.42269329387</v>
      </c>
      <c r="BB44" s="189" t="n">
        <v>2963.7576188017</v>
      </c>
      <c r="BC44" s="217" t="n">
        <f aca="false">IF(BB44&lt;0,BC43,IF(SUM(BB$35:BB44)&gt;$Z$27,$Z$27-SUM(BC$34:BC43),BB44))</f>
        <v>2963.7576188017</v>
      </c>
      <c r="BD44" s="260" t="n">
        <f aca="false">BC44/BC$75</f>
        <v>0.0595732412997658</v>
      </c>
      <c r="BE44" s="43" t="n">
        <f aca="false">IF(BD44=0,BE43,B44/2)</f>
        <v>4.5</v>
      </c>
      <c r="BF44" s="574" t="n">
        <f aca="false">IF(BC44=0,0,BB44-BA44)</f>
        <v>-1840.66507449217</v>
      </c>
    </row>
    <row r="45" customFormat="false" ht="12.75" hidden="false" customHeight="false" outlineLevel="0" collapsed="false">
      <c r="A45" s="264" t="n">
        <f aca="false">A43+1</f>
        <v>2006</v>
      </c>
      <c r="B45" s="467" t="n">
        <f aca="false">B44+1</f>
        <v>10</v>
      </c>
      <c r="C45" s="820" t="n">
        <f aca="false">F44</f>
        <v>50089.2857142857</v>
      </c>
      <c r="D45" s="217" t="n">
        <f aca="false">C45*F$30*0.5</f>
        <v>1763.14285714286</v>
      </c>
      <c r="E45" s="217" t="n">
        <f aca="false">IF($B45&gt;=F$29,C45,IF(F$31&gt;=$B45,0,IF(C45&gt;1,CHOOSE(F$32,F$27/(F$29-F$31),-PMT(F$30/2,F$29-$B44,C45,0)-D45,F$27*$AL45),0)))</f>
        <v>2504.46428571429</v>
      </c>
      <c r="F45" s="847" t="n">
        <f aca="false">C45-E45</f>
        <v>47584.8214285715</v>
      </c>
      <c r="G45" s="820" t="n">
        <f aca="false">J44</f>
        <v>50089.2857142857</v>
      </c>
      <c r="H45" s="217" t="n">
        <f aca="false">G45*J$30*0.5</f>
        <v>1873.33928571429</v>
      </c>
      <c r="I45" s="217" t="n">
        <f aca="false">IF($B45&gt;=J$29,G45,IF(J$31&gt;=$B45,0,IF(G45&gt;1,CHOOSE(J$32,J$27/(J$29-J$31),-PMT(J$30/2,J$29-$B44,G45,0)-H45,J$27*$AN45),0)))</f>
        <v>2504.46428571429</v>
      </c>
      <c r="J45" s="847" t="n">
        <f aca="false">G45-I45</f>
        <v>47584.8214285715</v>
      </c>
      <c r="K45" s="820" t="n">
        <f aca="false">N44</f>
        <v>17418.5517604102</v>
      </c>
      <c r="L45" s="217" t="n">
        <f aca="false">K45*N$30*0.5</f>
        <v>807.349874095011</v>
      </c>
      <c r="M45" s="217" t="n">
        <f aca="false">IF($B45&gt;=N$29,K45,IF(N$31&gt;=$B45,0,IF(K45&gt;1,CHOOSE(N$32,N$27/(N$29-N$31),-PMT(N$30/2,N$29-$B44,K45,0)-L45,N$27*$AP45),0)))</f>
        <v>1117.65699048585</v>
      </c>
      <c r="N45" s="847" t="n">
        <f aca="false">K45-M45</f>
        <v>16300.8947699243</v>
      </c>
      <c r="O45" s="820" t="n">
        <f aca="false">R44</f>
        <v>0</v>
      </c>
      <c r="P45" s="217" t="n">
        <f aca="false">O45*R$30*0.5</f>
        <v>0</v>
      </c>
      <c r="Q45" s="628" t="n">
        <f aca="false">IF($B45&gt;=R$29,O45,IF(R$31&gt;=$B45,0,IF(O45&gt;1,CHOOSE(R$32,R$27/(R$29-R$31),-PMT(R$30/2,R$29-$B44,O45,0)-P45,R$27*$AR45),0)))</f>
        <v>0</v>
      </c>
      <c r="R45" s="847" t="n">
        <f aca="false">O45-Q45</f>
        <v>0</v>
      </c>
      <c r="S45" s="820" t="n">
        <f aca="false">V44</f>
        <v>28988.7371848436</v>
      </c>
      <c r="T45" s="217" t="n">
        <f aca="false">S45*V$30*0.5</f>
        <v>1595.82998202564</v>
      </c>
      <c r="U45" s="628" t="n">
        <f aca="false">IF($B45&gt;=V$29,S45,IF(V$31&gt;=$B45,0,IF(S45&gt;1,CHOOSE(V$32,V$27/(V$29-V$31),-PMT(V$30/2,V$29-$B44,S45,0)-T45,V$27*$AT45),0)))</f>
        <v>1730.84991953649</v>
      </c>
      <c r="V45" s="847" t="n">
        <f aca="false">S45-U45</f>
        <v>27257.8872653071</v>
      </c>
      <c r="W45" s="820" t="n">
        <f aca="false">Z44</f>
        <v>38875.5410774362</v>
      </c>
      <c r="X45" s="217" t="n">
        <f aca="false">W45*Z$30*0.5</f>
        <v>2526.91017003336</v>
      </c>
      <c r="Y45" s="217" t="n">
        <f aca="false">IF($B45&gt;=Z$29,W45,IF(Z$31&gt;=$B45,0,IF(W45&gt;1,CHOOSE(Z$32,Z$27/(Z$29-Z$31),-PMT(Z$30/2,Z$29-$B44,W45,0)-X45,Z$27*$AV45),0)))</f>
        <v>1785.96103992632</v>
      </c>
      <c r="Z45" s="217" t="n">
        <f aca="false">W45-Y45</f>
        <v>37089.5800375099</v>
      </c>
      <c r="AA45" s="846"/>
      <c r="AB45" s="847"/>
      <c r="AC45" s="217"/>
      <c r="AD45" s="218"/>
      <c r="AE45" s="217"/>
      <c r="AF45" s="847"/>
      <c r="AG45" s="820"/>
      <c r="AH45" s="218"/>
      <c r="AI45" s="1125"/>
      <c r="AJ45" s="645"/>
      <c r="AK45" s="1126" t="n">
        <v>0</v>
      </c>
      <c r="AL45" s="1127" t="n">
        <f aca="false">IF(AK$75=0,0,AK45/AK$75)</f>
        <v>0</v>
      </c>
      <c r="AM45" s="1128" t="n">
        <v>0</v>
      </c>
      <c r="AN45" s="260" t="n">
        <f aca="false">IF(AM$75=0,0,AM45/AM$75)</f>
        <v>0</v>
      </c>
      <c r="AO45" s="1128" t="n">
        <v>0</v>
      </c>
      <c r="AP45" s="260" t="n">
        <f aca="false">IF(AO$75=0,0,AO45/AO$75)</f>
        <v>0</v>
      </c>
      <c r="AQ45" s="1128" t="n">
        <v>0</v>
      </c>
      <c r="AR45" s="260" t="n">
        <f aca="false">IF(AQ$75=0,0,AQ45/AQ$75)</f>
        <v>0</v>
      </c>
      <c r="AS45" s="1128" t="n">
        <v>9522.95238095238</v>
      </c>
      <c r="AT45" s="260" t="n">
        <f aca="false">IF(AS$75=0,0,AS45/AS$75)</f>
        <v>0.0476147619047619</v>
      </c>
      <c r="AU45" s="1128" t="n">
        <f aca="false">BC45</f>
        <v>5335.86890016411</v>
      </c>
      <c r="AV45" s="94" t="n">
        <f aca="false">IF(AU$75=0,0,AU45/AU$75)</f>
        <v>0.10725404922347</v>
      </c>
      <c r="AW45" s="38"/>
      <c r="AX45" s="1129" t="n">
        <v>7142.85714285714</v>
      </c>
      <c r="AY45" s="1130" t="n">
        <f aca="false">8362.95238095238+2660-1500</f>
        <v>9522.95238095238</v>
      </c>
      <c r="AZ45" s="94" t="n">
        <f aca="false">AY45/AY$75</f>
        <v>0.0476147619047619</v>
      </c>
      <c r="BA45" s="846" t="n">
        <f aca="false">HLOOKUP($A45,CF_Table,CF!$AB$69)/2</f>
        <v>5065.68191665197</v>
      </c>
      <c r="BB45" s="189" t="n">
        <v>5335.86890016411</v>
      </c>
      <c r="BC45" s="217" t="n">
        <f aca="false">IF(BB45&lt;0,BC44,IF(SUM(BB$35:BB45)&gt;$Z$27,$Z$27-SUM(BC$34:BC44),BB45))</f>
        <v>5335.86890016411</v>
      </c>
      <c r="BD45" s="260" t="n">
        <f aca="false">BC45/BC$75</f>
        <v>0.10725404922347</v>
      </c>
      <c r="BE45" s="43" t="n">
        <f aca="false">IF(BD45=0,BE44,B45/2)</f>
        <v>5</v>
      </c>
      <c r="BF45" s="574" t="n">
        <f aca="false">IF(BC45=0,0,BB45-BA45)</f>
        <v>270.186983512138</v>
      </c>
    </row>
    <row r="46" customFormat="false" ht="12.75" hidden="false" customHeight="false" outlineLevel="0" collapsed="false">
      <c r="A46" s="1131" t="n">
        <f aca="false">A45</f>
        <v>2006</v>
      </c>
      <c r="B46" s="1132" t="n">
        <f aca="false">B45+1</f>
        <v>11</v>
      </c>
      <c r="C46" s="1133" t="n">
        <f aca="false">F45</f>
        <v>47584.8214285715</v>
      </c>
      <c r="D46" s="777" t="n">
        <f aca="false">C46*F$30*0.5</f>
        <v>1674.98571428572</v>
      </c>
      <c r="E46" s="777" t="n">
        <f aca="false">IF($B46&gt;=F$29,C46,IF(F$31&gt;=$B46,0,IF(C46&gt;1,CHOOSE(F$32,F$27/(F$29-F$31),-PMT(F$30/2,F$29-$B45,C46,0)-D46,F$27*$AL46),0)))</f>
        <v>2504.46428571429</v>
      </c>
      <c r="F46" s="1135" t="n">
        <f aca="false">C46-E46</f>
        <v>45080.3571428572</v>
      </c>
      <c r="G46" s="1133" t="n">
        <f aca="false">J45</f>
        <v>47584.8214285715</v>
      </c>
      <c r="H46" s="777" t="n">
        <f aca="false">G46*J$30*0.5</f>
        <v>1779.67232142857</v>
      </c>
      <c r="I46" s="777" t="n">
        <f aca="false">IF($B46&gt;=J$29,G46,IF(J$31&gt;=$B46,0,IF(G46&gt;1,CHOOSE(J$32,J$27/(J$29-J$31),-PMT(J$30/2,J$29-$B45,G46,0)-H46,J$27*$AN46),0)))</f>
        <v>2504.46428571429</v>
      </c>
      <c r="J46" s="1135" t="n">
        <f aca="false">G46-I46</f>
        <v>45080.3571428572</v>
      </c>
      <c r="K46" s="1133" t="n">
        <f aca="false">N45</f>
        <v>16300.8947699243</v>
      </c>
      <c r="L46" s="777" t="n">
        <f aca="false">K46*N$30*0.5</f>
        <v>755.546472585992</v>
      </c>
      <c r="M46" s="777" t="n">
        <f aca="false">IF($B46&gt;=N$29,K46,IF(N$31&gt;=$B46,0,IF(K46&gt;1,CHOOSE(N$32,N$27/(N$29-N$31),-PMT(N$30/2,N$29-$B45,K46,0)-L46,N$27*$AP46),0)))</f>
        <v>1169.46039199487</v>
      </c>
      <c r="N46" s="1135" t="n">
        <f aca="false">K46-M46</f>
        <v>15131.4343779294</v>
      </c>
      <c r="O46" s="1133" t="n">
        <f aca="false">R45</f>
        <v>0</v>
      </c>
      <c r="P46" s="777" t="n">
        <f aca="false">O46*R$30*0.5</f>
        <v>0</v>
      </c>
      <c r="Q46" s="1136" t="n">
        <f aca="false">IF($B46&gt;=R$29,O46,IF(R$31&gt;=$B46,0,IF(O46&gt;1,CHOOSE(R$32,R$27/(R$29-R$31),-PMT(R$30/2,R$29-$B45,O46,0)-P46,R$27*$AR46),0)))</f>
        <v>0</v>
      </c>
      <c r="R46" s="1135" t="n">
        <f aca="false">O46-Q46</f>
        <v>0</v>
      </c>
      <c r="S46" s="1133" t="n">
        <f aca="false">V45</f>
        <v>27257.8872653071</v>
      </c>
      <c r="T46" s="777" t="n">
        <f aca="false">S46*V$30*0.5</f>
        <v>1500.54669395516</v>
      </c>
      <c r="U46" s="1136" t="n">
        <f aca="false">IF($B46&gt;=V$29,S46,IF(V$31&gt;=$B46,0,IF(S46&gt;1,CHOOSE(V$32,V$27/(V$29-V$31),-PMT(V$30/2,V$29-$B45,S46,0)-T46,V$27*$AT46),0)))</f>
        <v>2003.48331886943</v>
      </c>
      <c r="V46" s="1135" t="n">
        <f aca="false">S46-U46</f>
        <v>25254.4039464377</v>
      </c>
      <c r="W46" s="1133" t="n">
        <f aca="false">Z45</f>
        <v>37089.5800375099</v>
      </c>
      <c r="X46" s="777" t="n">
        <f aca="false">W46*Z$30*0.5</f>
        <v>2410.82270243815</v>
      </c>
      <c r="Y46" s="777" t="n">
        <f aca="false">IF($B46&gt;=Z$29,W46,IF(Z$31&gt;=$B46,0,IF(W46&gt;1,CHOOSE(Z$32,Z$27/(Z$29-Z$31),-PMT(Z$30/2,Z$29-$B45,W46,0)-X46,Z$27*$AV46),0)))</f>
        <v>1902.04850752153</v>
      </c>
      <c r="Z46" s="777" t="n">
        <f aca="false">W46-Y46</f>
        <v>35187.5315299884</v>
      </c>
      <c r="AA46" s="1137" t="n">
        <f aca="false">SUM(D45:D46,H45:H46,L45:L46,P45:P46,T45:T46)</f>
        <v>11750.4132012332</v>
      </c>
      <c r="AB46" s="1135" t="n">
        <f aca="false">SUM(E45:E46,I45:I46,M45:M46,Q45:Q46,U45:U46)</f>
        <v>16039.3077637438</v>
      </c>
      <c r="AC46" s="777" t="n">
        <f aca="false">SUM(X45:X46)</f>
        <v>4937.7328724715</v>
      </c>
      <c r="AD46" s="1138" t="n">
        <f aca="false">SUM(Y45:Y46)</f>
        <v>3688.00954744785</v>
      </c>
      <c r="AE46" s="777" t="n">
        <f aca="false">SUM(D45:D46,H45:H46)</f>
        <v>7091.14017857143</v>
      </c>
      <c r="AF46" s="1135" t="n">
        <f aca="false">SUM(E45:E46,I45:I46)</f>
        <v>10017.8571428571</v>
      </c>
      <c r="AG46" s="1133" t="n">
        <f aca="false">SUM(T45:T46)</f>
        <v>3096.3766759808</v>
      </c>
      <c r="AH46" s="1138" t="n">
        <f aca="false">SUM(U45:U46)</f>
        <v>3734.33323840592</v>
      </c>
      <c r="AI46" s="1125" t="n">
        <f aca="false">(C45+G45+K45+S45+W45)*IF(RAROC!$B$103=1,VLOOKUP('Debt Amort'!A46,RAROC!$A$107:$D$113,2),IF(RAROC!$B$103=2,VLOOKUP('Debt Amort'!A46,RAROC!$A$107:$D$113,3),IF(RAROC!$B$103=3,VLOOKUP('Debt Amort'!A46,RAROC!$A$107:$D$113,4),0)))*((13-MONTH(Startops3))/12)</f>
        <v>0</v>
      </c>
      <c r="AJ46" s="645"/>
      <c r="AK46" s="1126" t="n">
        <v>0</v>
      </c>
      <c r="AL46" s="1127" t="n">
        <f aca="false">IF(AK$75=0,0,AK46/AK$75)</f>
        <v>0</v>
      </c>
      <c r="AM46" s="1128" t="n">
        <v>0</v>
      </c>
      <c r="AN46" s="260" t="n">
        <f aca="false">IF(AM$75=0,0,AM46/AM$75)</f>
        <v>0</v>
      </c>
      <c r="AO46" s="1128" t="n">
        <v>0</v>
      </c>
      <c r="AP46" s="260" t="n">
        <f aca="false">IF(AO$75=0,0,AO46/AO$75)</f>
        <v>0</v>
      </c>
      <c r="AQ46" s="1128" t="n">
        <v>0</v>
      </c>
      <c r="AR46" s="260" t="n">
        <f aca="false">IF(AQ$75=0,0,AQ46/AQ$75)</f>
        <v>0</v>
      </c>
      <c r="AS46" s="1128" t="n">
        <v>11022.9523809524</v>
      </c>
      <c r="AT46" s="260" t="n">
        <f aca="false">IF(AS$75=0,0,AS46/AS$75)</f>
        <v>0.0551147619047619</v>
      </c>
      <c r="AU46" s="1128" t="n">
        <f aca="false">BC46</f>
        <v>5335.86890016411</v>
      </c>
      <c r="AV46" s="94" t="n">
        <f aca="false">IF(AU$75=0,0,AU46/AU$75)</f>
        <v>0.10725404922347</v>
      </c>
      <c r="AW46" s="38"/>
      <c r="AX46" s="1129" t="n">
        <v>7142.85714285714</v>
      </c>
      <c r="AY46" s="1130" t="n">
        <f aca="false">8362.95238095238+2660</f>
        <v>11022.9523809524</v>
      </c>
      <c r="AZ46" s="94" t="n">
        <f aca="false">AY46/AY$75</f>
        <v>0.0551147619047619</v>
      </c>
      <c r="BA46" s="846" t="n">
        <f aca="false">HLOOKUP($A46,CF_Table,CF!$AB$69)/2</f>
        <v>5065.68191665197</v>
      </c>
      <c r="BB46" s="189" t="n">
        <v>5335.86890016411</v>
      </c>
      <c r="BC46" s="217" t="n">
        <f aca="false">IF(BB46&lt;0,BC45,IF(SUM(BB$35:BB46)&gt;$Z$27,$Z$27-SUM(BC$34:BC45),BB46))</f>
        <v>5335.86890016411</v>
      </c>
      <c r="BD46" s="260" t="n">
        <f aca="false">BC46/BC$75</f>
        <v>0.10725404922347</v>
      </c>
      <c r="BE46" s="43" t="n">
        <f aca="false">IF(BD46=0,BE45,B46/2)</f>
        <v>5.5</v>
      </c>
      <c r="BF46" s="574" t="n">
        <f aca="false">IF(BC46=0,0,BB46-BA46)</f>
        <v>270.186983512138</v>
      </c>
    </row>
    <row r="47" customFormat="false" ht="12.75" hidden="false" customHeight="false" outlineLevel="0" collapsed="false">
      <c r="A47" s="264" t="n">
        <f aca="false">A45+1</f>
        <v>2007</v>
      </c>
      <c r="B47" s="467" t="n">
        <f aca="false">B46+1</f>
        <v>12</v>
      </c>
      <c r="C47" s="820" t="n">
        <f aca="false">F46</f>
        <v>45080.3571428572</v>
      </c>
      <c r="D47" s="217" t="n">
        <f aca="false">C47*F$30*0.5</f>
        <v>1586.82857142857</v>
      </c>
      <c r="E47" s="217" t="n">
        <f aca="false">IF($B47&gt;=F$29,C47,IF(F$31&gt;=$B47,0,IF(C47&gt;1,CHOOSE(F$32,F$27/(F$29-F$31),-PMT(F$30/2,F$29-$B46,C47,0)-D47,F$27*$AL47),0)))</f>
        <v>2504.46428571429</v>
      </c>
      <c r="F47" s="847" t="n">
        <f aca="false">C47-E47</f>
        <v>42575.8928571429</v>
      </c>
      <c r="G47" s="820" t="n">
        <f aca="false">J46</f>
        <v>45080.3571428572</v>
      </c>
      <c r="H47" s="217" t="n">
        <f aca="false">G47*J$30*0.5</f>
        <v>1686.00535714286</v>
      </c>
      <c r="I47" s="217" t="n">
        <f aca="false">IF($B47&gt;=J$29,G47,IF(J$31&gt;=$B47,0,IF(G47&gt;1,CHOOSE(J$32,J$27/(J$29-J$31),-PMT(J$30/2,J$29-$B46,G47,0)-H47,J$27*$AN47),0)))</f>
        <v>2504.46428571429</v>
      </c>
      <c r="J47" s="847" t="n">
        <f aca="false">G47-I47</f>
        <v>42575.8928571429</v>
      </c>
      <c r="K47" s="820" t="n">
        <f aca="false">N46</f>
        <v>15131.4343779294</v>
      </c>
      <c r="L47" s="217" t="n">
        <f aca="false">K47*N$30*0.5</f>
        <v>701.34198341703</v>
      </c>
      <c r="M47" s="217" t="n">
        <f aca="false">IF($B47&gt;=N$29,K47,IF(N$31&gt;=$B47,0,IF(K47&gt;1,CHOOSE(N$32,N$27/(N$29-N$31),-PMT(N$30/2,N$29-$B46,K47,0)-L47,N$27*$AP47),0)))</f>
        <v>1223.66488116383</v>
      </c>
      <c r="N47" s="847" t="n">
        <f aca="false">K47-M47</f>
        <v>13907.7694967656</v>
      </c>
      <c r="O47" s="820" t="n">
        <f aca="false">R46</f>
        <v>0</v>
      </c>
      <c r="P47" s="217" t="n">
        <f aca="false">O47*R$30*0.5</f>
        <v>0</v>
      </c>
      <c r="Q47" s="628" t="n">
        <f aca="false">IF($B47&gt;=R$29,O47,IF(R$31&gt;=$B47,0,IF(O47&gt;1,CHOOSE(R$32,R$27/(R$29-R$31),-PMT(R$30/2,R$29-$B46,O47,0)-P47,R$27*$AR47),0)))</f>
        <v>0</v>
      </c>
      <c r="R47" s="847" t="n">
        <f aca="false">O47-Q47</f>
        <v>0</v>
      </c>
      <c r="S47" s="820" t="n">
        <f aca="false">V46</f>
        <v>25254.4039464377</v>
      </c>
      <c r="T47" s="217" t="n">
        <f aca="false">S47*V$30*0.5</f>
        <v>1390.25493725139</v>
      </c>
      <c r="U47" s="628" t="n">
        <f aca="false">IF($B47&gt;=V$29,S47,IF(V$31&gt;=$B47,0,IF(S47&gt;1,CHOOSE(V$32,V$27/(V$29-V$31),-PMT(V$30/2,V$29-$B46,S47,0)-T47,V$27*$AT47),0)))</f>
        <v>2003.48331886943</v>
      </c>
      <c r="V47" s="847" t="n">
        <f aca="false">S47-U47</f>
        <v>23250.9206275682</v>
      </c>
      <c r="W47" s="820" t="n">
        <f aca="false">Z46</f>
        <v>35187.5315299884</v>
      </c>
      <c r="X47" s="217" t="n">
        <f aca="false">W47*Z$30*0.5</f>
        <v>2287.18954944925</v>
      </c>
      <c r="Y47" s="217" t="n">
        <f aca="false">IF($B47&gt;=Z$29,W47,IF(Z$31&gt;=$B47,0,IF(W47&gt;1,CHOOSE(Z$32,Z$27/(Z$29-Z$31),-PMT(Z$30/2,Z$29-$B46,W47,0)-X47,Z$27*$AV47),0)))</f>
        <v>2025.68166051043</v>
      </c>
      <c r="Z47" s="217" t="n">
        <f aca="false">W47-Y47</f>
        <v>33161.849869478</v>
      </c>
      <c r="AA47" s="846"/>
      <c r="AB47" s="847"/>
      <c r="AC47" s="217"/>
      <c r="AD47" s="218"/>
      <c r="AE47" s="217"/>
      <c r="AF47" s="847"/>
      <c r="AG47" s="820"/>
      <c r="AH47" s="218"/>
      <c r="AI47" s="1125"/>
      <c r="AJ47" s="645"/>
      <c r="AK47" s="1126" t="n">
        <v>0</v>
      </c>
      <c r="AL47" s="1127" t="n">
        <f aca="false">IF(AK$75=0,0,AK47/AK$75)</f>
        <v>0</v>
      </c>
      <c r="AM47" s="1128" t="n">
        <v>0</v>
      </c>
      <c r="AN47" s="260" t="n">
        <f aca="false">IF(AM$75=0,0,AM47/AM$75)</f>
        <v>0</v>
      </c>
      <c r="AO47" s="1128" t="n">
        <v>0</v>
      </c>
      <c r="AP47" s="260" t="n">
        <f aca="false">IF(AO$75=0,0,AO47/AO$75)</f>
        <v>0</v>
      </c>
      <c r="AQ47" s="1128" t="n">
        <v>0</v>
      </c>
      <c r="AR47" s="260" t="n">
        <f aca="false">IF(AQ$75=0,0,AQ47/AQ$75)</f>
        <v>0</v>
      </c>
      <c r="AS47" s="1128" t="n">
        <v>11022.9523809524</v>
      </c>
      <c r="AT47" s="260" t="n">
        <f aca="false">IF(AS$75=0,0,AS47/AS$75)</f>
        <v>0.0551147619047619</v>
      </c>
      <c r="AU47" s="1128" t="n">
        <f aca="false">BC47</f>
        <v>7384.21586262532</v>
      </c>
      <c r="AV47" s="94" t="n">
        <f aca="false">IF(AU$75=0,0,AU47/AU$75)</f>
        <v>0.148427007189474</v>
      </c>
      <c r="AW47" s="38"/>
      <c r="AX47" s="1129" t="n">
        <v>7142.85714285714</v>
      </c>
      <c r="AY47" s="1130" t="n">
        <f aca="false">8362.95238095238+2660</f>
        <v>11022.9523809524</v>
      </c>
      <c r="AZ47" s="94" t="n">
        <f aca="false">AY47/AY$75</f>
        <v>0.0551147619047619</v>
      </c>
      <c r="BA47" s="846" t="n">
        <f aca="false">HLOOKUP($A47,CF_Table,CF!$AB$69)/2</f>
        <v>4139.50014849163</v>
      </c>
      <c r="BB47" s="189" t="n">
        <v>7384.21586262532</v>
      </c>
      <c r="BC47" s="217" t="n">
        <f aca="false">IF(BB47&lt;0,BC46,IF(SUM(BB$35:BB47)&gt;$Z$27,$Z$27-SUM(BC$34:BC46),BB47))</f>
        <v>7384.21586262532</v>
      </c>
      <c r="BD47" s="260" t="n">
        <f aca="false">BC47/BC$75</f>
        <v>0.148427007189474</v>
      </c>
      <c r="BE47" s="43" t="n">
        <f aca="false">IF(BD47=0,BE46,B47/2)</f>
        <v>6</v>
      </c>
      <c r="BF47" s="574" t="n">
        <f aca="false">IF(BC47=0,0,BB47-BA47)</f>
        <v>3244.71571413369</v>
      </c>
    </row>
    <row r="48" customFormat="false" ht="12.75" hidden="false" customHeight="false" outlineLevel="0" collapsed="false">
      <c r="A48" s="1131" t="n">
        <f aca="false">A47</f>
        <v>2007</v>
      </c>
      <c r="B48" s="1132" t="n">
        <f aca="false">B47+1</f>
        <v>13</v>
      </c>
      <c r="C48" s="1133" t="n">
        <f aca="false">F47</f>
        <v>42575.8928571429</v>
      </c>
      <c r="D48" s="777" t="n">
        <f aca="false">C48*F$30*0.5</f>
        <v>1498.67142857143</v>
      </c>
      <c r="E48" s="777" t="n">
        <f aca="false">IF($B48&gt;=F$29,C48,IF(F$31&gt;=$B48,0,IF(C48&gt;1,CHOOSE(F$32,F$27/(F$29-F$31),-PMT(F$30/2,F$29-$B47,C48,0)-D48,F$27*$AL48),0)))</f>
        <v>2504.46428571429</v>
      </c>
      <c r="F48" s="1135" t="n">
        <f aca="false">C48-E48</f>
        <v>40071.4285714286</v>
      </c>
      <c r="G48" s="1133" t="n">
        <f aca="false">J47</f>
        <v>42575.8928571429</v>
      </c>
      <c r="H48" s="777" t="n">
        <f aca="false">G48*J$30*0.5</f>
        <v>1592.33839285714</v>
      </c>
      <c r="I48" s="777" t="n">
        <f aca="false">IF($B48&gt;=J$29,G48,IF(J$31&gt;=$B48,0,IF(G48&gt;1,CHOOSE(J$32,J$27/(J$29-J$31),-PMT(J$30/2,J$29-$B47,G48,0)-H48,J$27*$AN48),0)))</f>
        <v>2504.46428571429</v>
      </c>
      <c r="J48" s="1135" t="n">
        <f aca="false">G48-I48</f>
        <v>40071.4285714286</v>
      </c>
      <c r="K48" s="1133" t="n">
        <f aca="false">N47</f>
        <v>13907.7694967656</v>
      </c>
      <c r="L48" s="777" t="n">
        <f aca="false">K48*N$30*0.5</f>
        <v>644.625116175086</v>
      </c>
      <c r="M48" s="777" t="n">
        <f aca="false">IF($B48&gt;=N$29,K48,IF(N$31&gt;=$B48,0,IF(K48&gt;1,CHOOSE(N$32,N$27/(N$29-N$31),-PMT(N$30/2,N$29-$B47,K48,0)-L48,N$27*$AP48),0)))</f>
        <v>1280.38174840577</v>
      </c>
      <c r="N48" s="1135" t="n">
        <f aca="false">K48-M48</f>
        <v>12627.3877483598</v>
      </c>
      <c r="O48" s="1133" t="n">
        <f aca="false">R47</f>
        <v>0</v>
      </c>
      <c r="P48" s="777" t="n">
        <f aca="false">O48*R$30*0.5</f>
        <v>0</v>
      </c>
      <c r="Q48" s="1136" t="n">
        <f aca="false">IF($B48&gt;=R$29,O48,IF(R$31&gt;=$B48,0,IF(O48&gt;1,CHOOSE(R$32,R$27/(R$29-R$31),-PMT(R$30/2,R$29-$B47,O48,0)-P48,R$27*$AR48),0)))</f>
        <v>0</v>
      </c>
      <c r="R48" s="1135" t="n">
        <f aca="false">O48-Q48</f>
        <v>0</v>
      </c>
      <c r="S48" s="1133" t="n">
        <f aca="false">V47</f>
        <v>23250.9206275682</v>
      </c>
      <c r="T48" s="777" t="n">
        <f aca="false">S48*V$30*0.5</f>
        <v>1279.96318054763</v>
      </c>
      <c r="U48" s="1136" t="n">
        <f aca="false">IF($B48&gt;=V$29,S48,IF(V$31&gt;=$B48,0,IF(S48&gt;1,CHOOSE(V$32,V$27/(V$29-V$31),-PMT(V$30/2,V$29-$B47,S48,0)-T48,V$27*$AT48),0)))</f>
        <v>2003.48331886943</v>
      </c>
      <c r="V48" s="1135" t="n">
        <f aca="false">S48-U48</f>
        <v>21247.4373086988</v>
      </c>
      <c r="W48" s="1133" t="n">
        <f aca="false">Z47</f>
        <v>33161.849869478</v>
      </c>
      <c r="X48" s="777" t="n">
        <f aca="false">W48*Z$30*0.5</f>
        <v>2155.52024151607</v>
      </c>
      <c r="Y48" s="777" t="n">
        <f aca="false">IF($B48&gt;=Z$29,W48,IF(Z$31&gt;=$B48,0,IF(W48&gt;1,CHOOSE(Z$32,Z$27/(Z$29-Z$31),-PMT(Z$30/2,Z$29-$B47,W48,0)-X48,Z$27*$AV48),0)))</f>
        <v>2157.35096844361</v>
      </c>
      <c r="Z48" s="777" t="n">
        <f aca="false">W48-Y48</f>
        <v>31004.4989010344</v>
      </c>
      <c r="AA48" s="1137" t="n">
        <f aca="false">SUM(D47:D48,H47:H48,L47:L48,P47:P48,T47:T48)</f>
        <v>10380.0289673911</v>
      </c>
      <c r="AB48" s="1135" t="n">
        <f aca="false">SUM(E47:E48,I47:I48,M47:M48,Q47:Q48,U47:U48)</f>
        <v>16528.8704101656</v>
      </c>
      <c r="AC48" s="777" t="n">
        <f aca="false">SUM(X47:X48)</f>
        <v>4442.70979096531</v>
      </c>
      <c r="AD48" s="1138" t="n">
        <f aca="false">SUM(Y47:Y48)</f>
        <v>4183.03262895404</v>
      </c>
      <c r="AE48" s="777" t="n">
        <f aca="false">SUM(D47:D48,H47:H48)</f>
        <v>6363.84375000001</v>
      </c>
      <c r="AF48" s="1135" t="n">
        <f aca="false">SUM(E47:E48,I47:I48)</f>
        <v>10017.8571428571</v>
      </c>
      <c r="AG48" s="1133" t="n">
        <f aca="false">SUM(T47:T48)</f>
        <v>2670.21811779903</v>
      </c>
      <c r="AH48" s="1138" t="n">
        <f aca="false">SUM(U47:U48)</f>
        <v>4006.96663773886</v>
      </c>
      <c r="AI48" s="1125" t="n">
        <f aca="false">(C47+G47+K47+S47+W47)*IF(RAROC!$B$103=1,VLOOKUP('Debt Amort'!A48,RAROC!$A$107:$D$113,2),IF(RAROC!$B$103=2,VLOOKUP('Debt Amort'!A48,RAROC!$A$107:$D$113,3),IF(RAROC!$B$103=3,VLOOKUP('Debt Amort'!A48,RAROC!$A$107:$D$113,4),0)))*((13-MONTH(Startops3))/12)</f>
        <v>0</v>
      </c>
      <c r="AJ48" s="645"/>
      <c r="AK48" s="1126" t="n">
        <v>0</v>
      </c>
      <c r="AL48" s="1127" t="n">
        <f aca="false">IF(AK$75=0,0,AK48/AK$75)</f>
        <v>0</v>
      </c>
      <c r="AM48" s="1128" t="n">
        <v>0</v>
      </c>
      <c r="AN48" s="260" t="n">
        <f aca="false">IF(AM$75=0,0,AM48/AM$75)</f>
        <v>0</v>
      </c>
      <c r="AO48" s="1128" t="n">
        <v>0</v>
      </c>
      <c r="AP48" s="260" t="n">
        <f aca="false">IF(AO$75=0,0,AO48/AO$75)</f>
        <v>0</v>
      </c>
      <c r="AQ48" s="1128" t="n">
        <v>0</v>
      </c>
      <c r="AR48" s="260" t="n">
        <f aca="false">IF(AQ$75=0,0,AQ48/AQ$75)</f>
        <v>0</v>
      </c>
      <c r="AS48" s="1128" t="n">
        <v>11022.9523809524</v>
      </c>
      <c r="AT48" s="260" t="n">
        <f aca="false">IF(AS$75=0,0,AS48/AS$75)</f>
        <v>0.0551147619047619</v>
      </c>
      <c r="AU48" s="1128" t="n">
        <f aca="false">BC48</f>
        <v>7384.21586262532</v>
      </c>
      <c r="AV48" s="94" t="n">
        <f aca="false">IF(AU$75=0,0,AU48/AU$75)</f>
        <v>0.148427007189474</v>
      </c>
      <c r="AW48" s="38"/>
      <c r="AX48" s="1129" t="n">
        <v>7142.85714285714</v>
      </c>
      <c r="AY48" s="1130" t="n">
        <f aca="false">8362.95238095238+2660</f>
        <v>11022.9523809524</v>
      </c>
      <c r="AZ48" s="94" t="n">
        <f aca="false">AY48/AY$75</f>
        <v>0.0551147619047619</v>
      </c>
      <c r="BA48" s="846" t="n">
        <f aca="false">HLOOKUP($A48,CF_Table,CF!$AB$69)/2</f>
        <v>4139.50014849163</v>
      </c>
      <c r="BB48" s="189" t="n">
        <v>7384.21586262532</v>
      </c>
      <c r="BC48" s="217" t="n">
        <f aca="false">IF(BB48&lt;0,BC47,IF(SUM(BB$35:BB48)&gt;$Z$27,$Z$27-SUM(BC$34:BC47),BB48))</f>
        <v>7384.21586262532</v>
      </c>
      <c r="BD48" s="260" t="n">
        <f aca="false">BC48/BC$75</f>
        <v>0.148427007189474</v>
      </c>
      <c r="BE48" s="43" t="n">
        <f aca="false">IF(BD48=0,BE47,B48/2)</f>
        <v>6.5</v>
      </c>
      <c r="BF48" s="574" t="n">
        <f aca="false">IF(BC48=0,0,BB48-BA48)</f>
        <v>3244.71571413369</v>
      </c>
    </row>
    <row r="49" customFormat="false" ht="12.75" hidden="false" customHeight="false" outlineLevel="0" collapsed="false">
      <c r="A49" s="264" t="n">
        <f aca="false">A47+1</f>
        <v>2008</v>
      </c>
      <c r="B49" s="467" t="n">
        <f aca="false">B48+1</f>
        <v>14</v>
      </c>
      <c r="C49" s="820" t="n">
        <f aca="false">F48</f>
        <v>40071.4285714286</v>
      </c>
      <c r="D49" s="217" t="n">
        <f aca="false">C49*F$30*0.5</f>
        <v>1410.51428571429</v>
      </c>
      <c r="E49" s="217" t="n">
        <f aca="false">IF($B49&gt;=F$29,C49,IF(F$31&gt;=$B49,0,IF(C49&gt;1,CHOOSE(F$32,F$27/(F$29-F$31),-PMT(F$30/2,F$29-$B48,C49,0)-D49,F$27*$AL49),0)))</f>
        <v>2504.46428571429</v>
      </c>
      <c r="F49" s="847" t="n">
        <f aca="false">C49-E49</f>
        <v>37566.9642857143</v>
      </c>
      <c r="G49" s="820" t="n">
        <f aca="false">J48</f>
        <v>40071.4285714286</v>
      </c>
      <c r="H49" s="217" t="n">
        <f aca="false">G49*J$30*0.5</f>
        <v>1498.67142857143</v>
      </c>
      <c r="I49" s="217" t="n">
        <f aca="false">IF($B49&gt;=J$29,G49,IF(J$31&gt;=$B49,0,IF(G49&gt;1,CHOOSE(J$32,J$27/(J$29-J$31),-PMT(J$30/2,J$29-$B48,G49,0)-H49,J$27*$AN49),0)))</f>
        <v>2504.46428571429</v>
      </c>
      <c r="J49" s="847" t="n">
        <f aca="false">G49-I49</f>
        <v>37566.9642857143</v>
      </c>
      <c r="K49" s="820" t="n">
        <f aca="false">N48</f>
        <v>12627.3877483598</v>
      </c>
      <c r="L49" s="217" t="n">
        <f aca="false">K49*N$30*0.5</f>
        <v>585.279422136479</v>
      </c>
      <c r="M49" s="217" t="n">
        <f aca="false">IF($B49&gt;=N$29,K49,IF(N$31&gt;=$B49,0,IF(K49&gt;1,CHOOSE(N$32,N$27/(N$29-N$31),-PMT(N$30/2,N$29-$B48,K49,0)-L49,N$27*$AP49),0)))</f>
        <v>1339.72744244438</v>
      </c>
      <c r="N49" s="847" t="n">
        <f aca="false">K49-M49</f>
        <v>11287.6603059155</v>
      </c>
      <c r="O49" s="820" t="n">
        <f aca="false">R48</f>
        <v>0</v>
      </c>
      <c r="P49" s="217" t="n">
        <f aca="false">O49*R$30*0.5</f>
        <v>0</v>
      </c>
      <c r="Q49" s="628" t="n">
        <f aca="false">IF($B49&gt;=R$29,O49,IF(R$31&gt;=$B49,0,IF(O49&gt;1,CHOOSE(R$32,R$27/(R$29-R$31),-PMT(R$30/2,R$29-$B48,O49,0)-P49,R$27*$AR49),0)))</f>
        <v>0</v>
      </c>
      <c r="R49" s="847" t="n">
        <f aca="false">O49-Q49</f>
        <v>0</v>
      </c>
      <c r="S49" s="820" t="n">
        <f aca="false">V48</f>
        <v>21247.4373086988</v>
      </c>
      <c r="T49" s="217" t="n">
        <f aca="false">S49*V$30*0.5</f>
        <v>1169.67142384387</v>
      </c>
      <c r="U49" s="628" t="n">
        <f aca="false">IF($B49&gt;=V$29,S49,IF(V$31&gt;=$B49,0,IF(S49&gt;1,CHOOSE(V$32,V$27/(V$29-V$31),-PMT(V$30/2,V$29-$B48,S49,0)-T49,V$27*$AT49),0)))</f>
        <v>2003.48331886943</v>
      </c>
      <c r="V49" s="847" t="n">
        <f aca="false">S49-U49</f>
        <v>19243.9539898294</v>
      </c>
      <c r="W49" s="820" t="n">
        <f aca="false">Z48</f>
        <v>31004.4989010344</v>
      </c>
      <c r="X49" s="217" t="n">
        <f aca="false">W49*Z$30*0.5</f>
        <v>2015.29242856723</v>
      </c>
      <c r="Y49" s="217" t="n">
        <f aca="false">IF($B49&gt;=Z$29,W49,IF(Z$31&gt;=$B49,0,IF(W49&gt;1,CHOOSE(Z$32,Z$27/(Z$29-Z$31),-PMT(Z$30/2,Z$29-$B48,W49,0)-X49,Z$27*$AV49),0)))</f>
        <v>2297.57878139244</v>
      </c>
      <c r="Z49" s="217" t="n">
        <f aca="false">W49-Y49</f>
        <v>28706.9201196419</v>
      </c>
      <c r="AA49" s="846"/>
      <c r="AB49" s="847"/>
      <c r="AC49" s="217"/>
      <c r="AD49" s="218"/>
      <c r="AE49" s="217"/>
      <c r="AF49" s="847"/>
      <c r="AG49" s="820"/>
      <c r="AH49" s="218"/>
      <c r="AI49" s="1125"/>
      <c r="AJ49" s="645"/>
      <c r="AK49" s="1126" t="n">
        <v>0</v>
      </c>
      <c r="AL49" s="1127" t="n">
        <f aca="false">IF(AK$75=0,0,AK49/AK$75)</f>
        <v>0</v>
      </c>
      <c r="AM49" s="1128" t="n">
        <v>0</v>
      </c>
      <c r="AN49" s="260" t="n">
        <f aca="false">IF(AM$75=0,0,AM49/AM$75)</f>
        <v>0</v>
      </c>
      <c r="AO49" s="1128" t="n">
        <v>0</v>
      </c>
      <c r="AP49" s="260" t="n">
        <f aca="false">IF(AO$75=0,0,AO49/AO$75)</f>
        <v>0</v>
      </c>
      <c r="AQ49" s="1128" t="n">
        <v>0</v>
      </c>
      <c r="AR49" s="260" t="n">
        <f aca="false">IF(AQ$75=0,0,AQ49/AQ$75)</f>
        <v>0</v>
      </c>
      <c r="AS49" s="1128" t="n">
        <v>11022.9523809524</v>
      </c>
      <c r="AT49" s="260" t="n">
        <f aca="false">IF(AS$75=0,0,AS49/AS$75)</f>
        <v>0.0551147619047619</v>
      </c>
      <c r="AU49" s="1128" t="n">
        <f aca="false">BC49</f>
        <v>8496.01508863988</v>
      </c>
      <c r="AV49" s="94" t="n">
        <f aca="false">IF(AU$75=0,0,AU49/AU$75)</f>
        <v>0.170774814293564</v>
      </c>
      <c r="AW49" s="38"/>
      <c r="AX49" s="1129" t="n">
        <v>7142.85714285714</v>
      </c>
      <c r="AY49" s="1130" t="n">
        <f aca="false">8362.95238095238+2660</f>
        <v>11022.9523809524</v>
      </c>
      <c r="AZ49" s="94" t="n">
        <f aca="false">AY49/AY$75</f>
        <v>0.0551147619047619</v>
      </c>
      <c r="BA49" s="846" t="n">
        <f aca="false">HLOOKUP($A49,CF_Table,CF!$AB$69)/2</f>
        <v>4085.23992711089</v>
      </c>
      <c r="BB49" s="189" t="n">
        <v>9951.99135169344</v>
      </c>
      <c r="BC49" s="217" t="n">
        <f aca="false">IF(BB49&lt;0,BC48,IF(SUM(BB$35:BB49)&gt;$Z$27,$Z$27-SUM(BC$34:BC48),BB49))</f>
        <v>8496.01508863988</v>
      </c>
      <c r="BD49" s="260" t="n">
        <f aca="false">BC49/BC$75</f>
        <v>0.170774814293564</v>
      </c>
      <c r="BE49" s="43" t="n">
        <f aca="false">IF(BD49=0,BE48,B49/2)</f>
        <v>7</v>
      </c>
      <c r="BF49" s="574" t="n">
        <f aca="false">IF(BC49=0,0,BB49-BA49)</f>
        <v>5866.75142458256</v>
      </c>
    </row>
    <row r="50" customFormat="false" ht="12.75" hidden="false" customHeight="false" outlineLevel="0" collapsed="false">
      <c r="A50" s="1131" t="n">
        <f aca="false">A49</f>
        <v>2008</v>
      </c>
      <c r="B50" s="1132" t="n">
        <f aca="false">B49+1</f>
        <v>15</v>
      </c>
      <c r="C50" s="1133" t="n">
        <f aca="false">F49</f>
        <v>37566.9642857143</v>
      </c>
      <c r="D50" s="777" t="n">
        <f aca="false">C50*F$30*0.5</f>
        <v>1322.35714285714</v>
      </c>
      <c r="E50" s="777" t="n">
        <f aca="false">IF($B50&gt;=F$29,C50,IF(F$31&gt;=$B50,0,IF(C50&gt;1,CHOOSE(F$32,F$27/(F$29-F$31),-PMT(F$30/2,F$29-$B49,C50,0)-D50,F$27*$AL50),0)))</f>
        <v>2504.46428571429</v>
      </c>
      <c r="F50" s="1135" t="n">
        <f aca="false">C50-E50</f>
        <v>35062.5</v>
      </c>
      <c r="G50" s="1133" t="n">
        <f aca="false">J49</f>
        <v>37566.9642857143</v>
      </c>
      <c r="H50" s="777" t="n">
        <f aca="false">G50*J$30*0.5</f>
        <v>1405.00446428572</v>
      </c>
      <c r="I50" s="777" t="n">
        <f aca="false">IF($B50&gt;=J$29,G50,IF(J$31&gt;=$B50,0,IF(G50&gt;1,CHOOSE(J$32,J$27/(J$29-J$31),-PMT(J$30/2,J$29-$B49,G50,0)-H50,J$27*$AN50),0)))</f>
        <v>2504.46428571429</v>
      </c>
      <c r="J50" s="1135" t="n">
        <f aca="false">G50-I50</f>
        <v>35062.5</v>
      </c>
      <c r="K50" s="1133" t="n">
        <f aca="false">N49</f>
        <v>11287.6603059155</v>
      </c>
      <c r="L50" s="777" t="n">
        <f aca="false">K50*N$30*0.5</f>
        <v>523.183055179182</v>
      </c>
      <c r="M50" s="777" t="n">
        <f aca="false">IF($B50&gt;=N$29,K50,IF(N$31&gt;=$B50,0,IF(K50&gt;1,CHOOSE(N$32,N$27/(N$29-N$31),-PMT(N$30/2,N$29-$B49,K50,0)-L50,N$27*$AP50),0)))</f>
        <v>1401.82380940167</v>
      </c>
      <c r="N50" s="1135" t="n">
        <f aca="false">K50-M50</f>
        <v>9885.83649651379</v>
      </c>
      <c r="O50" s="1133" t="n">
        <f aca="false">R49</f>
        <v>0</v>
      </c>
      <c r="P50" s="777" t="n">
        <f aca="false">O50*R$30*0.5</f>
        <v>0</v>
      </c>
      <c r="Q50" s="1136" t="n">
        <f aca="false">IF($B50&gt;=R$29,O50,IF(R$31&gt;=$B50,0,IF(O50&gt;1,CHOOSE(R$32,R$27/(R$29-R$31),-PMT(R$30/2,R$29-$B49,O50,0)-P50,R$27*$AR50),0)))</f>
        <v>0</v>
      </c>
      <c r="R50" s="1135" t="n">
        <f aca="false">O50-Q50</f>
        <v>0</v>
      </c>
      <c r="S50" s="1133" t="n">
        <f aca="false">V49</f>
        <v>19243.9539898294</v>
      </c>
      <c r="T50" s="777" t="n">
        <f aca="false">S50*V$30*0.5</f>
        <v>1059.37966714011</v>
      </c>
      <c r="U50" s="1136" t="n">
        <f aca="false">IF($B50&gt;=V$29,S50,IF(V$31&gt;=$B50,0,IF(S50&gt;1,CHOOSE(V$32,V$27/(V$29-V$31),-PMT(V$30/2,V$29-$B49,S50,0)-T50,V$27*$AT50),0)))</f>
        <v>1036.54352923528</v>
      </c>
      <c r="V50" s="1135" t="n">
        <f aca="false">S50-U50</f>
        <v>18207.4104605941</v>
      </c>
      <c r="W50" s="1133" t="n">
        <f aca="false">Z49</f>
        <v>28706.9201196419</v>
      </c>
      <c r="X50" s="777" t="n">
        <f aca="false">W50*Z$30*0.5</f>
        <v>1865.94980777672</v>
      </c>
      <c r="Y50" s="777" t="n">
        <f aca="false">IF($B50&gt;=Z$29,W50,IF(Z$31&gt;=$B50,0,IF(W50&gt;1,CHOOSE(Z$32,Z$27/(Z$29-Z$31),-PMT(Z$30/2,Z$29-$B49,W50,0)-X50,Z$27*$AV50),0)))</f>
        <v>2446.92140218295</v>
      </c>
      <c r="Z50" s="777" t="n">
        <f aca="false">W50-Y50</f>
        <v>26259.998717459</v>
      </c>
      <c r="AA50" s="1137" t="n">
        <f aca="false">SUM(D49:D50,H49:H50,L49:L50,P49:P50,T49:T50)</f>
        <v>8974.06088972822</v>
      </c>
      <c r="AB50" s="1135" t="n">
        <f aca="false">SUM(E49:E50,I49:I50,M49:M50,Q49:Q50,U49:U50)</f>
        <v>15799.4352428079</v>
      </c>
      <c r="AC50" s="777" t="n">
        <f aca="false">SUM(X49:X50)</f>
        <v>3881.24223634396</v>
      </c>
      <c r="AD50" s="1138" t="n">
        <f aca="false">SUM(Y49:Y50)</f>
        <v>4744.5001835754</v>
      </c>
      <c r="AE50" s="777" t="n">
        <f aca="false">SUM(D49:D50,H49:H50)</f>
        <v>5636.54732142858</v>
      </c>
      <c r="AF50" s="1135" t="n">
        <f aca="false">SUM(E49:E50,I49:I50)</f>
        <v>10017.8571428571</v>
      </c>
      <c r="AG50" s="1133" t="n">
        <f aca="false">SUM(T49:T50)</f>
        <v>2229.05109098398</v>
      </c>
      <c r="AH50" s="1138" t="n">
        <f aca="false">SUM(U49:U50)</f>
        <v>3040.02684810471</v>
      </c>
      <c r="AI50" s="1125" t="n">
        <f aca="false">(C49+G49+K49+S49+W49)*IF(RAROC!$B$103=1,VLOOKUP('Debt Amort'!A50,RAROC!$A$107:$D$113,2),IF(RAROC!$B$103=2,VLOOKUP('Debt Amort'!A50,RAROC!$A$107:$D$113,3),IF(RAROC!$B$103=3,VLOOKUP('Debt Amort'!A50,RAROC!$A$107:$D$113,4),0)))*((13-MONTH(Startops3))/12)</f>
        <v>0</v>
      </c>
      <c r="AJ50" s="645"/>
      <c r="AK50" s="1126" t="n">
        <v>0</v>
      </c>
      <c r="AL50" s="1127" t="n">
        <f aca="false">IF(AK$75=0,0,AK50/AK$75)</f>
        <v>0</v>
      </c>
      <c r="AM50" s="1128" t="n">
        <v>0</v>
      </c>
      <c r="AN50" s="260" t="n">
        <f aca="false">IF(AM$75=0,0,AM50/AM$75)</f>
        <v>0</v>
      </c>
      <c r="AO50" s="1128" t="n">
        <v>0</v>
      </c>
      <c r="AP50" s="260" t="n">
        <f aca="false">IF(AO$75=0,0,AO50/AO$75)</f>
        <v>0</v>
      </c>
      <c r="AQ50" s="1128" t="n">
        <v>0</v>
      </c>
      <c r="AR50" s="260" t="n">
        <f aca="false">IF(AQ$75=0,0,AQ50/AQ$75)</f>
        <v>0</v>
      </c>
      <c r="AS50" s="1128" t="n">
        <v>5702.95238095238</v>
      </c>
      <c r="AT50" s="260" t="n">
        <f aca="false">IF(AS$75=0,0,AS50/AS$75)</f>
        <v>0.0285147619047619</v>
      </c>
      <c r="AU50" s="1128" t="n">
        <f aca="false">BC50</f>
        <v>0</v>
      </c>
      <c r="AV50" s="94" t="n">
        <f aca="false">IF(AU$75=0,0,AU50/AU$75)</f>
        <v>0</v>
      </c>
      <c r="AW50" s="38"/>
      <c r="AX50" s="1129" t="n">
        <v>7142.85714285714</v>
      </c>
      <c r="AY50" s="1130" t="n">
        <f aca="false">8362.95238095238-2660</f>
        <v>5702.95238095238</v>
      </c>
      <c r="AZ50" s="94" t="n">
        <f aca="false">AY50/AY$75</f>
        <v>0.0285147619047619</v>
      </c>
      <c r="BA50" s="846" t="n">
        <f aca="false">HLOOKUP($A50,CF_Table,CF!$AB$69)/2</f>
        <v>4085.23992711089</v>
      </c>
      <c r="BB50" s="189" t="n">
        <v>9951.99135169344</v>
      </c>
      <c r="BC50" s="217" t="n">
        <f aca="false">IF(BB50&lt;0,BC49,IF(SUM(BB$35:BB50)&gt;$Z$27,$Z$27-SUM(BC$34:BC49),BB50))</f>
        <v>0</v>
      </c>
      <c r="BD50" s="260" t="n">
        <f aca="false">BC50/BC$75</f>
        <v>0</v>
      </c>
      <c r="BE50" s="43" t="n">
        <f aca="false">IF(BD50=0,BE49,B50/2)</f>
        <v>7</v>
      </c>
      <c r="BF50" s="574" t="n">
        <f aca="false">IF(BC50=0,0,BB50-BA50)</f>
        <v>0</v>
      </c>
    </row>
    <row r="51" customFormat="false" ht="12.75" hidden="false" customHeight="false" outlineLevel="0" collapsed="false">
      <c r="A51" s="264" t="n">
        <f aca="false">A49+1</f>
        <v>2009</v>
      </c>
      <c r="B51" s="467" t="n">
        <f aca="false">B50+1</f>
        <v>16</v>
      </c>
      <c r="C51" s="820" t="n">
        <f aca="false">F50</f>
        <v>35062.5</v>
      </c>
      <c r="D51" s="217" t="n">
        <f aca="false">C51*F$30*0.5</f>
        <v>1234.2</v>
      </c>
      <c r="E51" s="217" t="n">
        <f aca="false">IF($B51&gt;=F$29,C51,IF(F$31&gt;=$B51,0,IF(C51&gt;1,CHOOSE(F$32,F$27/(F$29-F$31),-PMT(F$30/2,F$29-$B50,C51,0)-D51,F$27*$AL51),0)))</f>
        <v>2504.46428571429</v>
      </c>
      <c r="F51" s="847" t="n">
        <f aca="false">C51-E51</f>
        <v>32558.0357142858</v>
      </c>
      <c r="G51" s="820" t="n">
        <f aca="false">J50</f>
        <v>35062.5</v>
      </c>
      <c r="H51" s="217" t="n">
        <f aca="false">G51*J$30*0.5</f>
        <v>1311.3375</v>
      </c>
      <c r="I51" s="217" t="n">
        <f aca="false">IF($B51&gt;=J$29,G51,IF(J$31&gt;=$B51,0,IF(G51&gt;1,CHOOSE(J$32,J$27/(J$29-J$31),-PMT(J$30/2,J$29-$B50,G51,0)-H51,J$27*$AN51),0)))</f>
        <v>2504.46428571429</v>
      </c>
      <c r="J51" s="847" t="n">
        <f aca="false">G51-I51</f>
        <v>32558.0357142858</v>
      </c>
      <c r="K51" s="820" t="n">
        <f aca="false">N50</f>
        <v>9885.83649651379</v>
      </c>
      <c r="L51" s="217" t="n">
        <f aca="false">K51*N$30*0.5</f>
        <v>458.208521613414</v>
      </c>
      <c r="M51" s="217" t="n">
        <f aca="false">IF($B51&gt;=N$29,K51,IF(N$31&gt;=$B51,0,IF(K51&gt;1,CHOOSE(N$32,N$27/(N$29-N$31),-PMT(N$30/2,N$29-$B50,K51,0)-L51,N$27*$AP51),0)))</f>
        <v>1466.79834296744</v>
      </c>
      <c r="N51" s="847" t="n">
        <f aca="false">K51-M51</f>
        <v>8419.03815354635</v>
      </c>
      <c r="O51" s="820" t="n">
        <f aca="false">R50</f>
        <v>0</v>
      </c>
      <c r="P51" s="217" t="n">
        <f aca="false">O51*R$30*0.5</f>
        <v>0</v>
      </c>
      <c r="Q51" s="628" t="n">
        <f aca="false">IF($B51&gt;=R$29,O51,IF(R$31&gt;=$B51,0,IF(O51&gt;1,CHOOSE(R$32,R$27/(R$29-R$31),-PMT(R$30/2,R$29-$B50,O51,0)-P51,R$27*$AR51),0)))</f>
        <v>0</v>
      </c>
      <c r="R51" s="847" t="n">
        <f aca="false">O51-Q51</f>
        <v>0</v>
      </c>
      <c r="S51" s="820" t="n">
        <f aca="false">V50</f>
        <v>18207.4104605941</v>
      </c>
      <c r="T51" s="217" t="n">
        <f aca="false">S51*V$30*0.5</f>
        <v>1002.31794585571</v>
      </c>
      <c r="U51" s="628" t="n">
        <f aca="false">IF($B51&gt;=V$29,S51,IF(V$31&gt;=$B51,0,IF(S51&gt;1,CHOOSE(V$32,V$27/(V$29-V$31),-PMT(V$30/2,V$29-$B50,S51,0)-T51,V$27*$AT51),0)))</f>
        <v>1036.54352923528</v>
      </c>
      <c r="V51" s="847" t="n">
        <f aca="false">S51-U51</f>
        <v>17170.8669313588</v>
      </c>
      <c r="W51" s="820" t="n">
        <f aca="false">Z50</f>
        <v>26259.998717459</v>
      </c>
      <c r="X51" s="217" t="n">
        <f aca="false">W51*Z$30*0.5</f>
        <v>1706.89991663483</v>
      </c>
      <c r="Y51" s="217" t="n">
        <f aca="false">IF($B51&gt;=Z$29,W51,IF(Z$31&gt;=$B51,0,IF(W51&gt;1,CHOOSE(Z$32,Z$27/(Z$29-Z$31),-PMT(Z$30/2,Z$29-$B50,W51,0)-X51,Z$27*$AV51),0)))</f>
        <v>2605.97129332484</v>
      </c>
      <c r="Z51" s="217" t="n">
        <f aca="false">W51-Y51</f>
        <v>23654.0274241341</v>
      </c>
      <c r="AA51" s="846"/>
      <c r="AB51" s="847"/>
      <c r="AC51" s="217"/>
      <c r="AD51" s="218"/>
      <c r="AE51" s="217"/>
      <c r="AF51" s="847"/>
      <c r="AG51" s="820"/>
      <c r="AH51" s="218"/>
      <c r="AI51" s="1125"/>
      <c r="AJ51" s="645"/>
      <c r="AK51" s="1126" t="n">
        <v>0</v>
      </c>
      <c r="AL51" s="1127" t="n">
        <f aca="false">IF(AK$75=0,0,AK51/AK$75)</f>
        <v>0</v>
      </c>
      <c r="AM51" s="1128" t="n">
        <v>0</v>
      </c>
      <c r="AN51" s="260" t="n">
        <f aca="false">IF(AM$75=0,0,AM51/AM$75)</f>
        <v>0</v>
      </c>
      <c r="AO51" s="1128" t="n">
        <v>0</v>
      </c>
      <c r="AP51" s="260" t="n">
        <f aca="false">IF(AO$75=0,0,AO51/AO$75)</f>
        <v>0</v>
      </c>
      <c r="AQ51" s="1128" t="n">
        <v>0</v>
      </c>
      <c r="AR51" s="260" t="n">
        <f aca="false">IF(AQ$75=0,0,AQ51/AQ$75)</f>
        <v>0</v>
      </c>
      <c r="AS51" s="1128" t="n">
        <v>5702.95238095238</v>
      </c>
      <c r="AT51" s="260" t="n">
        <f aca="false">IF(AS$75=0,0,AS51/AS$75)</f>
        <v>0.0285147619047619</v>
      </c>
      <c r="AU51" s="1128" t="n">
        <f aca="false">BC51</f>
        <v>0</v>
      </c>
      <c r="AV51" s="94" t="n">
        <f aca="false">IF(AU$75=0,0,AU51/AU$75)</f>
        <v>0</v>
      </c>
      <c r="AW51" s="38"/>
      <c r="AX51" s="1129" t="n">
        <v>7142.85714285714</v>
      </c>
      <c r="AY51" s="1130" t="n">
        <f aca="false">8362.95238095238-2660</f>
        <v>5702.95238095238</v>
      </c>
      <c r="AZ51" s="94" t="n">
        <f aca="false">AY51/AY$75</f>
        <v>0.0285147619047619</v>
      </c>
      <c r="BA51" s="846" t="n">
        <f aca="false">HLOOKUP($A51,CF_Table,CF!$AB$69)/2</f>
        <v>5225.68029225175</v>
      </c>
      <c r="BB51" s="189" t="n">
        <v>10820.0764857285</v>
      </c>
      <c r="BC51" s="217" t="n">
        <f aca="false">IF(BB51&lt;0,BC50,IF(SUM(BB$35:BB51)&gt;$Z$27,$Z$27-SUM(BC$34:BC50),BB51))</f>
        <v>0</v>
      </c>
      <c r="BD51" s="260" t="n">
        <f aca="false">BC51/BC$75</f>
        <v>0</v>
      </c>
      <c r="BE51" s="43" t="n">
        <f aca="false">IF(BD51=0,BE50,B51/2)</f>
        <v>7</v>
      </c>
      <c r="BF51" s="574" t="n">
        <f aca="false">IF(BC51=0,0,BB51-BA51)</f>
        <v>0</v>
      </c>
    </row>
    <row r="52" customFormat="false" ht="12.75" hidden="false" customHeight="false" outlineLevel="0" collapsed="false">
      <c r="A52" s="1131" t="n">
        <f aca="false">A51</f>
        <v>2009</v>
      </c>
      <c r="B52" s="1132" t="n">
        <f aca="false">B51+1</f>
        <v>17</v>
      </c>
      <c r="C52" s="1133" t="n">
        <f aca="false">F51</f>
        <v>32558.0357142858</v>
      </c>
      <c r="D52" s="777" t="n">
        <f aca="false">C52*F$30*0.5</f>
        <v>1146.04285714286</v>
      </c>
      <c r="E52" s="777" t="n">
        <f aca="false">IF($B52&gt;=F$29,C52,IF(F$31&gt;=$B52,0,IF(C52&gt;1,CHOOSE(F$32,F$27/(F$29-F$31),-PMT(F$30/2,F$29-$B51,C52,0)-D52,F$27*$AL52),0)))</f>
        <v>2504.46428571429</v>
      </c>
      <c r="F52" s="1135" t="n">
        <f aca="false">C52-E52</f>
        <v>30053.5714285715</v>
      </c>
      <c r="G52" s="1133" t="n">
        <f aca="false">J51</f>
        <v>32558.0357142858</v>
      </c>
      <c r="H52" s="777" t="n">
        <f aca="false">G52*J$30*0.5</f>
        <v>1217.67053571429</v>
      </c>
      <c r="I52" s="777" t="n">
        <f aca="false">IF($B52&gt;=J$29,G52,IF(J$31&gt;=$B52,0,IF(G52&gt;1,CHOOSE(J$32,J$27/(J$29-J$31),-PMT(J$30/2,J$29-$B51,G52,0)-H52,J$27*$AN52),0)))</f>
        <v>2504.46428571429</v>
      </c>
      <c r="J52" s="1135" t="n">
        <f aca="false">G52-I52</f>
        <v>30053.5714285715</v>
      </c>
      <c r="K52" s="1133" t="n">
        <f aca="false">N51</f>
        <v>8419.03815354635</v>
      </c>
      <c r="L52" s="777" t="n">
        <f aca="false">K52*N$30*0.5</f>
        <v>390.222418416873</v>
      </c>
      <c r="M52" s="777" t="n">
        <f aca="false">IF($B52&gt;=N$29,K52,IF(N$31&gt;=$B52,0,IF(K52&gt;1,CHOOSE(N$32,N$27/(N$29-N$31),-PMT(N$30/2,N$29-$B51,K52,0)-L52,N$27*$AP52),0)))</f>
        <v>1534.78444616398</v>
      </c>
      <c r="N52" s="1135" t="n">
        <f aca="false">K52-M52</f>
        <v>6884.25370738237</v>
      </c>
      <c r="O52" s="1133" t="n">
        <f aca="false">R51</f>
        <v>0</v>
      </c>
      <c r="P52" s="777" t="n">
        <f aca="false">O52*R$30*0.5</f>
        <v>0</v>
      </c>
      <c r="Q52" s="1136" t="n">
        <f aca="false">IF($B52&gt;=R$29,O52,IF(R$31&gt;=$B52,0,IF(O52&gt;1,CHOOSE(R$32,R$27/(R$29-R$31),-PMT(R$30/2,R$29-$B51,O52,0)-P52,R$27*$AR52),0)))</f>
        <v>0</v>
      </c>
      <c r="R52" s="1135" t="n">
        <f aca="false">O52-Q52</f>
        <v>0</v>
      </c>
      <c r="S52" s="1133" t="n">
        <f aca="false">V51</f>
        <v>17170.8669313588</v>
      </c>
      <c r="T52" s="777" t="n">
        <f aca="false">S52*V$30*0.5</f>
        <v>945.256224571304</v>
      </c>
      <c r="U52" s="1136" t="n">
        <f aca="false">IF($B52&gt;=V$29,S52,IF(V$31&gt;=$B52,0,IF(S52&gt;1,CHOOSE(V$32,V$27/(V$29-V$31),-PMT(V$30/2,V$29-$B51,S52,0)-T52,V$27*$AT52),0)))</f>
        <v>1036.54352923528</v>
      </c>
      <c r="V52" s="1135" t="n">
        <f aca="false">S52-U52</f>
        <v>16134.3234021236</v>
      </c>
      <c r="W52" s="1133" t="n">
        <f aca="false">Z51</f>
        <v>23654.0274241341</v>
      </c>
      <c r="X52" s="777" t="n">
        <f aca="false">W52*Z$30*0.5</f>
        <v>1537.51178256872</v>
      </c>
      <c r="Y52" s="777" t="n">
        <f aca="false">IF($B52&gt;=Z$29,W52,IF(Z$31&gt;=$B52,0,IF(W52&gt;1,CHOOSE(Z$32,Z$27/(Z$29-Z$31),-PMT(Z$30/2,Z$29-$B51,W52,0)-X52,Z$27*$AV52),0)))</f>
        <v>2775.35942739096</v>
      </c>
      <c r="Z52" s="777" t="n">
        <f aca="false">W52-Y52</f>
        <v>20878.6679967432</v>
      </c>
      <c r="AA52" s="1137" t="n">
        <f aca="false">SUM(D51:D52,H51:H52,L51:L52,P51:P52,T51:T52)</f>
        <v>7705.25600331445</v>
      </c>
      <c r="AB52" s="1135" t="n">
        <f aca="false">SUM(E51:E52,I51:I52,M51:M52,Q51:Q52,U51:U52)</f>
        <v>15092.5269904591</v>
      </c>
      <c r="AC52" s="777" t="n">
        <f aca="false">SUM(X51:X52)</f>
        <v>3244.41169920355</v>
      </c>
      <c r="AD52" s="1138" t="n">
        <f aca="false">SUM(Y51:Y52)</f>
        <v>5381.3307207158</v>
      </c>
      <c r="AE52" s="777" t="n">
        <f aca="false">SUM(D51:D52,H51:H52)</f>
        <v>4909.25089285715</v>
      </c>
      <c r="AF52" s="1135" t="n">
        <f aca="false">SUM(E51:E52,I51:I52)</f>
        <v>10017.8571428571</v>
      </c>
      <c r="AG52" s="1133" t="n">
        <f aca="false">SUM(T51:T52)</f>
        <v>1947.57417042701</v>
      </c>
      <c r="AH52" s="1138" t="n">
        <f aca="false">SUM(U51:U52)</f>
        <v>2073.08705847056</v>
      </c>
      <c r="AI52" s="1125" t="n">
        <f aca="false">(C51+G51+K51+S51+W51)*IF(RAROC!$B$103=1,VLOOKUP('Debt Amort'!A52,RAROC!$A$107:$D$113,2),IF(RAROC!$B$103=2,VLOOKUP('Debt Amort'!A52,RAROC!$A$107:$D$113,3),IF(RAROC!$B$103=3,VLOOKUP('Debt Amort'!A52,RAROC!$A$107:$D$113,4),0)))*((13-MONTH(Startops3))/12)</f>
        <v>0</v>
      </c>
      <c r="AJ52" s="645"/>
      <c r="AK52" s="1126" t="n">
        <v>0</v>
      </c>
      <c r="AL52" s="1127" t="n">
        <f aca="false">IF(AK$75=0,0,AK52/AK$75)</f>
        <v>0</v>
      </c>
      <c r="AM52" s="1128" t="n">
        <v>0</v>
      </c>
      <c r="AN52" s="260" t="n">
        <f aca="false">IF(AM$75=0,0,AM52/AM$75)</f>
        <v>0</v>
      </c>
      <c r="AO52" s="1128" t="n">
        <v>0</v>
      </c>
      <c r="AP52" s="260" t="n">
        <f aca="false">IF(AO$75=0,0,AO52/AO$75)</f>
        <v>0</v>
      </c>
      <c r="AQ52" s="1128" t="n">
        <v>0</v>
      </c>
      <c r="AR52" s="260" t="n">
        <f aca="false">IF(AQ$75=0,0,AQ52/AQ$75)</f>
        <v>0</v>
      </c>
      <c r="AS52" s="1128" t="n">
        <v>5702.95238095238</v>
      </c>
      <c r="AT52" s="260" t="n">
        <f aca="false">IF(AS$75=0,0,AS52/AS$75)</f>
        <v>0.0285147619047619</v>
      </c>
      <c r="AU52" s="1128" t="n">
        <f aca="false">BC52</f>
        <v>0</v>
      </c>
      <c r="AV52" s="94" t="n">
        <f aca="false">IF(AU$75=0,0,AU52/AU$75)</f>
        <v>0</v>
      </c>
      <c r="AW52" s="38"/>
      <c r="AX52" s="1129" t="n">
        <v>7142.85714285714</v>
      </c>
      <c r="AY52" s="1130" t="n">
        <f aca="false">8362.95238095238-2660</f>
        <v>5702.95238095238</v>
      </c>
      <c r="AZ52" s="94" t="n">
        <f aca="false">AY52/AY$75</f>
        <v>0.0285147619047619</v>
      </c>
      <c r="BA52" s="846" t="n">
        <f aca="false">HLOOKUP($A52,CF_Table,CF!$AB$69)/2</f>
        <v>5225.68029225175</v>
      </c>
      <c r="BB52" s="189" t="n">
        <v>10820.0764857285</v>
      </c>
      <c r="BC52" s="217" t="n">
        <f aca="false">IF(BB52&lt;0,BC51,IF(SUM(BB$35:BB52)&gt;$Z$27,$Z$27-SUM(BC$34:BC51),BB52))</f>
        <v>0</v>
      </c>
      <c r="BD52" s="260" t="n">
        <f aca="false">BC52/BC$75</f>
        <v>0</v>
      </c>
      <c r="BE52" s="43" t="n">
        <f aca="false">IF(BD52=0,BE51,B52/2)</f>
        <v>7</v>
      </c>
      <c r="BF52" s="574" t="n">
        <f aca="false">IF(BC52=0,0,BB52-BA52)</f>
        <v>0</v>
      </c>
    </row>
    <row r="53" customFormat="false" ht="12.75" hidden="false" customHeight="false" outlineLevel="0" collapsed="false">
      <c r="A53" s="264" t="n">
        <f aca="false">A51+1</f>
        <v>2010</v>
      </c>
      <c r="B53" s="467" t="n">
        <f aca="false">B52+1</f>
        <v>18</v>
      </c>
      <c r="C53" s="820" t="n">
        <f aca="false">F52</f>
        <v>30053.5714285715</v>
      </c>
      <c r="D53" s="217" t="n">
        <f aca="false">C53*F$30*0.5</f>
        <v>1057.88571428572</v>
      </c>
      <c r="E53" s="217" t="n">
        <f aca="false">IF($B53&gt;=F$29,C53,IF(F$31&gt;=$B53,0,IF(C53&gt;1,CHOOSE(F$32,F$27/(F$29-F$31),-PMT(F$30/2,F$29-$B52,C53,0)-D53,F$27*$AL53),0)))</f>
        <v>2504.46428571429</v>
      </c>
      <c r="F53" s="847" t="n">
        <f aca="false">C53-E53</f>
        <v>27549.1071428572</v>
      </c>
      <c r="G53" s="820" t="n">
        <f aca="false">J52</f>
        <v>30053.5714285715</v>
      </c>
      <c r="H53" s="217" t="n">
        <f aca="false">G53*J$30*0.5</f>
        <v>1124.00357142857</v>
      </c>
      <c r="I53" s="217" t="n">
        <f aca="false">IF($B53&gt;=J$29,G53,IF(J$31&gt;=$B53,0,IF(G53&gt;1,CHOOSE(J$32,J$27/(J$29-J$31),-PMT(J$30/2,J$29-$B52,G53,0)-H53,J$27*$AN53),0)))</f>
        <v>2504.46428571429</v>
      </c>
      <c r="J53" s="847" t="n">
        <f aca="false">G53-I53</f>
        <v>27549.1071428572</v>
      </c>
      <c r="K53" s="820" t="n">
        <f aca="false">N52</f>
        <v>6884.25370738237</v>
      </c>
      <c r="L53" s="217" t="n">
        <f aca="false">K53*N$30*0.5</f>
        <v>319.085159337173</v>
      </c>
      <c r="M53" s="217" t="n">
        <f aca="false">IF($B53&gt;=N$29,K53,IF(N$31&gt;=$B53,0,IF(K53&gt;1,CHOOSE(N$32,N$27/(N$29-N$31),-PMT(N$30/2,N$29-$B52,K53,0)-L53,N$27*$AP53),0)))</f>
        <v>1605.92170524368</v>
      </c>
      <c r="N53" s="847" t="n">
        <f aca="false">K53-M53</f>
        <v>5278.33200213868</v>
      </c>
      <c r="O53" s="820" t="n">
        <f aca="false">R52</f>
        <v>0</v>
      </c>
      <c r="P53" s="217" t="n">
        <f aca="false">O53*R$30*0.5</f>
        <v>0</v>
      </c>
      <c r="Q53" s="628" t="n">
        <f aca="false">IF($B53&gt;=R$29,O53,IF(R$31&gt;=$B53,0,IF(O53&gt;1,CHOOSE(R$32,R$27/(R$29-R$31),-PMT(R$30/2,R$29-$B52,O53,0)-P53,R$27*$AR53),0)))</f>
        <v>0</v>
      </c>
      <c r="R53" s="847" t="n">
        <f aca="false">O53-Q53</f>
        <v>0</v>
      </c>
      <c r="S53" s="820" t="n">
        <f aca="false">V52</f>
        <v>16134.3234021236</v>
      </c>
      <c r="T53" s="217" t="n">
        <f aca="false">S53*V$30*0.5</f>
        <v>888.194503286902</v>
      </c>
      <c r="U53" s="628" t="n">
        <f aca="false">IF($B53&gt;=V$29,S53,IF(V$31&gt;=$B53,0,IF(S53&gt;1,CHOOSE(V$32,V$27/(V$29-V$31),-PMT(V$30/2,V$29-$B52,S53,0)-T53,V$27*$AT53),0)))</f>
        <v>1036.54352923528</v>
      </c>
      <c r="V53" s="847" t="n">
        <f aca="false">S53-U53</f>
        <v>15097.7798728883</v>
      </c>
      <c r="W53" s="820" t="n">
        <f aca="false">Z52</f>
        <v>20878.6679967432</v>
      </c>
      <c r="X53" s="217" t="n">
        <f aca="false">W53*Z$30*0.5</f>
        <v>1357.11341978831</v>
      </c>
      <c r="Y53" s="217" t="n">
        <f aca="false">IF($B53&gt;=Z$29,W53,IF(Z$31&gt;=$B53,0,IF(W53&gt;1,CHOOSE(Z$32,Z$27/(Z$29-Z$31),-PMT(Z$30/2,Z$29-$B52,W53,0)-X53,Z$27*$AV53),0)))</f>
        <v>2955.75779017137</v>
      </c>
      <c r="Z53" s="217" t="n">
        <f aca="false">W53-Y53</f>
        <v>17922.9102065718</v>
      </c>
      <c r="AA53" s="846"/>
      <c r="AB53" s="847"/>
      <c r="AC53" s="217"/>
      <c r="AD53" s="218"/>
      <c r="AE53" s="217"/>
      <c r="AF53" s="847"/>
      <c r="AG53" s="820"/>
      <c r="AH53" s="218"/>
      <c r="AI53" s="1125"/>
      <c r="AJ53" s="645"/>
      <c r="AK53" s="1126" t="n">
        <v>0</v>
      </c>
      <c r="AL53" s="1127" t="n">
        <f aca="false">IF(AK$75=0,0,AK53/AK$75)</f>
        <v>0</v>
      </c>
      <c r="AM53" s="1128" t="n">
        <v>0</v>
      </c>
      <c r="AN53" s="260" t="n">
        <f aca="false">IF(AM$75=0,0,AM53/AM$75)</f>
        <v>0</v>
      </c>
      <c r="AO53" s="1128" t="n">
        <v>0</v>
      </c>
      <c r="AP53" s="260" t="n">
        <f aca="false">IF(AO$75=0,0,AO53/AO$75)</f>
        <v>0</v>
      </c>
      <c r="AQ53" s="1128" t="n">
        <v>0</v>
      </c>
      <c r="AR53" s="260" t="n">
        <f aca="false">IF(AQ$75=0,0,AQ53/AQ$75)</f>
        <v>0</v>
      </c>
      <c r="AS53" s="1128" t="n">
        <v>5702.95238095238</v>
      </c>
      <c r="AT53" s="260" t="n">
        <f aca="false">IF(AS$75=0,0,AS53/AS$75)</f>
        <v>0.0285147619047619</v>
      </c>
      <c r="AU53" s="1128" t="n">
        <f aca="false">BC53</f>
        <v>0</v>
      </c>
      <c r="AV53" s="94" t="n">
        <f aca="false">IF(AU$75=0,0,AU53/AU$75)</f>
        <v>0</v>
      </c>
      <c r="AW53" s="38"/>
      <c r="AX53" s="1129" t="n">
        <v>7142.85714285714</v>
      </c>
      <c r="AY53" s="1130" t="n">
        <f aca="false">8362.95238095238-2660</f>
        <v>5702.95238095238</v>
      </c>
      <c r="AZ53" s="94" t="n">
        <f aca="false">AY53/AY$75</f>
        <v>0.0285147619047619</v>
      </c>
      <c r="BA53" s="846" t="n">
        <f aca="false">HLOOKUP($A53,CF_Table,CF!$AB$69)/2</f>
        <v>5480.65521613191</v>
      </c>
      <c r="BB53" s="189" t="n">
        <v>14554.9958020696</v>
      </c>
      <c r="BC53" s="217" t="n">
        <f aca="false">IF(BB53&lt;0,BC52,IF(SUM(BB$35:BB53)&gt;$Z$27,$Z$27-SUM(BC$34:BC52),BB53))</f>
        <v>0</v>
      </c>
      <c r="BD53" s="260" t="n">
        <f aca="false">BC53/BC$75</f>
        <v>0</v>
      </c>
      <c r="BE53" s="43" t="n">
        <f aca="false">IF(BD53=0,BE52,B53/2)</f>
        <v>7</v>
      </c>
      <c r="BF53" s="574" t="n">
        <f aca="false">IF(BC53=0,0,BB53-BA53)</f>
        <v>0</v>
      </c>
    </row>
    <row r="54" customFormat="false" ht="12.75" hidden="false" customHeight="false" outlineLevel="0" collapsed="false">
      <c r="A54" s="1131" t="n">
        <f aca="false">A53</f>
        <v>2010</v>
      </c>
      <c r="B54" s="1132" t="n">
        <f aca="false">B53+1</f>
        <v>19</v>
      </c>
      <c r="C54" s="1133" t="n">
        <f aca="false">F53</f>
        <v>27549.1071428572</v>
      </c>
      <c r="D54" s="777" t="n">
        <f aca="false">C54*F$30*0.5</f>
        <v>969.728571428573</v>
      </c>
      <c r="E54" s="777" t="n">
        <f aca="false">IF($B54&gt;=F$29,C54,IF(F$31&gt;=$B54,0,IF(C54&gt;1,CHOOSE(F$32,F$27/(F$29-F$31),-PMT(F$30/2,F$29-$B53,C54,0)-D54,F$27*$AL54),0)))</f>
        <v>2504.46428571429</v>
      </c>
      <c r="F54" s="1135" t="n">
        <f aca="false">C54-E54</f>
        <v>25044.6428571429</v>
      </c>
      <c r="G54" s="1133" t="n">
        <f aca="false">J53</f>
        <v>27549.1071428572</v>
      </c>
      <c r="H54" s="777" t="n">
        <f aca="false">G54*J$30*0.5</f>
        <v>1030.33660714286</v>
      </c>
      <c r="I54" s="777" t="n">
        <f aca="false">IF($B54&gt;=J$29,G54,IF(J$31&gt;=$B54,0,IF(G54&gt;1,CHOOSE(J$32,J$27/(J$29-J$31),-PMT(J$30/2,J$29-$B53,G54,0)-H54,J$27*$AN54),0)))</f>
        <v>2504.46428571429</v>
      </c>
      <c r="J54" s="1135" t="n">
        <f aca="false">G54-I54</f>
        <v>25044.6428571429</v>
      </c>
      <c r="K54" s="1133" t="n">
        <f aca="false">N53</f>
        <v>5278.33200213868</v>
      </c>
      <c r="L54" s="777" t="n">
        <f aca="false">K54*N$30*0.5</f>
        <v>244.650688299128</v>
      </c>
      <c r="M54" s="777" t="n">
        <f aca="false">IF($B54&gt;=N$29,K54,IF(N$31&gt;=$B54,0,IF(K54&gt;1,CHOOSE(N$32,N$27/(N$29-N$31),-PMT(N$30/2,N$29-$B53,K54,0)-L54,N$27*$AP54),0)))</f>
        <v>1680.35617628173</v>
      </c>
      <c r="N54" s="1135" t="n">
        <f aca="false">K54-M54</f>
        <v>3597.97582585695</v>
      </c>
      <c r="O54" s="1133" t="n">
        <f aca="false">R53</f>
        <v>0</v>
      </c>
      <c r="P54" s="777" t="n">
        <f aca="false">O54*R$30*0.5</f>
        <v>0</v>
      </c>
      <c r="Q54" s="1136" t="n">
        <f aca="false">IF($B54&gt;=R$29,O54,IF(R$31&gt;=$B54,0,IF(O54&gt;1,CHOOSE(R$32,R$27/(R$29-R$31),-PMT(R$30/2,R$29-$B53,O54,0)-P54,R$27*$AR54),0)))</f>
        <v>0</v>
      </c>
      <c r="R54" s="1135" t="n">
        <f aca="false">O54-Q54</f>
        <v>0</v>
      </c>
      <c r="S54" s="1133" t="n">
        <f aca="false">V53</f>
        <v>15097.7798728883</v>
      </c>
      <c r="T54" s="777" t="n">
        <f aca="false">S54*V$30*0.5</f>
        <v>831.1327820025</v>
      </c>
      <c r="U54" s="1136" t="n">
        <f aca="false">IF($B54&gt;=V$29,S54,IF(V$31&gt;=$B54,0,IF(S54&gt;1,CHOOSE(V$32,V$27/(V$29-V$31),-PMT(V$30/2,V$29-$B53,S54,0)-T54,V$27*$AT54),0)))</f>
        <v>1036.54352923528</v>
      </c>
      <c r="V54" s="1135" t="n">
        <f aca="false">S54-U54</f>
        <v>14061.236343653</v>
      </c>
      <c r="W54" s="1133" t="n">
        <f aca="false">Z53</f>
        <v>17922.9102065718</v>
      </c>
      <c r="X54" s="777" t="n">
        <f aca="false">W54*Z$30*0.5</f>
        <v>1164.98916342717</v>
      </c>
      <c r="Y54" s="777" t="n">
        <f aca="false">IF($B54&gt;=Z$29,W54,IF(Z$31&gt;=$B54,0,IF(W54&gt;1,CHOOSE(Z$32,Z$27/(Z$29-Z$31),-PMT(Z$30/2,Z$29-$B53,W54,0)-X54,Z$27*$AV54),0)))</f>
        <v>3147.88204653251</v>
      </c>
      <c r="Z54" s="777" t="n">
        <f aca="false">W54-Y54</f>
        <v>14775.0281600393</v>
      </c>
      <c r="AA54" s="1137" t="n">
        <f aca="false">SUM(D53:D54,H53:H54,L53:L54,P53:P54,T53:T54)</f>
        <v>6465.01759721142</v>
      </c>
      <c r="AB54" s="1135" t="n">
        <f aca="false">SUM(E53:E54,I53:I54,M53:M54,Q53:Q54,U53:U54)</f>
        <v>15377.2220828531</v>
      </c>
      <c r="AC54" s="777" t="n">
        <f aca="false">SUM(X53:X54)</f>
        <v>2522.10258321547</v>
      </c>
      <c r="AD54" s="1138" t="n">
        <f aca="false">SUM(Y53:Y54)</f>
        <v>6103.63983670388</v>
      </c>
      <c r="AE54" s="777" t="n">
        <f aca="false">SUM(D53:D54,H53:H54)</f>
        <v>4181.95446428572</v>
      </c>
      <c r="AF54" s="1135" t="n">
        <f aca="false">SUM(E53:E54,I53:I54)</f>
        <v>10017.8571428571</v>
      </c>
      <c r="AG54" s="1133" t="n">
        <f aca="false">SUM(T53:T54)</f>
        <v>1719.3272852894</v>
      </c>
      <c r="AH54" s="1138" t="n">
        <f aca="false">SUM(U53:U54)</f>
        <v>2073.08705847056</v>
      </c>
      <c r="AI54" s="1125" t="n">
        <f aca="false">(C53+G53+K53+S53+W53)*IF(RAROC!$B$103=1,VLOOKUP('Debt Amort'!A54,RAROC!$A$107:$D$113,2),IF(RAROC!$B$103=2,VLOOKUP('Debt Amort'!A54,RAROC!$A$107:$D$113,3),IF(RAROC!$B$103=3,VLOOKUP('Debt Amort'!A54,RAROC!$A$107:$D$113,4),0)))*((13-MONTH(Startops3))/12)</f>
        <v>0</v>
      </c>
      <c r="AJ54" s="645"/>
      <c r="AK54" s="1126" t="n">
        <v>0</v>
      </c>
      <c r="AL54" s="1127" t="n">
        <f aca="false">IF(AK$75=0,0,AK54/AK$75)</f>
        <v>0</v>
      </c>
      <c r="AM54" s="1128" t="n">
        <v>0</v>
      </c>
      <c r="AN54" s="260" t="n">
        <f aca="false">IF(AM$75=0,0,AM54/AM$75)</f>
        <v>0</v>
      </c>
      <c r="AO54" s="1128" t="n">
        <v>0</v>
      </c>
      <c r="AP54" s="260" t="n">
        <f aca="false">IF(AO$75=0,0,AO54/AO$75)</f>
        <v>0</v>
      </c>
      <c r="AQ54" s="1128" t="n">
        <v>0</v>
      </c>
      <c r="AR54" s="260" t="n">
        <f aca="false">IF(AQ$75=0,0,AQ54/AQ$75)</f>
        <v>0</v>
      </c>
      <c r="AS54" s="1128" t="n">
        <v>5702.95238095238</v>
      </c>
      <c r="AT54" s="260" t="n">
        <f aca="false">IF(AS$75=0,0,AS54/AS$75)</f>
        <v>0.0285147619047619</v>
      </c>
      <c r="AU54" s="1128" t="n">
        <f aca="false">BC54</f>
        <v>0</v>
      </c>
      <c r="AV54" s="94" t="n">
        <f aca="false">IF(AU$75=0,0,AU54/AU$75)</f>
        <v>0</v>
      </c>
      <c r="AW54" s="38"/>
      <c r="AX54" s="1129" t="n">
        <v>7142.85714285714</v>
      </c>
      <c r="AY54" s="1130" t="n">
        <f aca="false">8362.95238095238-2660</f>
        <v>5702.95238095238</v>
      </c>
      <c r="AZ54" s="94" t="n">
        <f aca="false">AY54/AY$75</f>
        <v>0.0285147619047619</v>
      </c>
      <c r="BA54" s="846" t="n">
        <f aca="false">HLOOKUP($A54,CF_Table,CF!$AB$69)/2</f>
        <v>5480.65521613191</v>
      </c>
      <c r="BB54" s="189" t="n">
        <v>14554.9958020696</v>
      </c>
      <c r="BC54" s="217" t="n">
        <f aca="false">IF(BB54&lt;0,BC53,IF(SUM(BB$35:BB54)&gt;$Z$27,$Z$27-SUM(BC$34:BC53),BB54))</f>
        <v>0</v>
      </c>
      <c r="BD54" s="260" t="n">
        <f aca="false">BC54/BC$75</f>
        <v>0</v>
      </c>
      <c r="BE54" s="43" t="n">
        <f aca="false">IF(BD54=0,BE53,B54/2)</f>
        <v>7</v>
      </c>
      <c r="BF54" s="574" t="n">
        <f aca="false">IF(BC54=0,0,BB54-BA54)</f>
        <v>0</v>
      </c>
    </row>
    <row r="55" customFormat="false" ht="12.75" hidden="false" customHeight="false" outlineLevel="0" collapsed="false">
      <c r="A55" s="264" t="n">
        <f aca="false">A53+1</f>
        <v>2011</v>
      </c>
      <c r="B55" s="467" t="n">
        <f aca="false">B54+1</f>
        <v>20</v>
      </c>
      <c r="C55" s="820" t="n">
        <f aca="false">F54</f>
        <v>25044.6428571429</v>
      </c>
      <c r="D55" s="217" t="n">
        <f aca="false">C55*F$30*0.5</f>
        <v>881.57142857143</v>
      </c>
      <c r="E55" s="217" t="n">
        <f aca="false">IF($B55&gt;=F$29,C55,IF(F$31&gt;=$B55,0,IF(C55&gt;1,CHOOSE(F$32,F$27/(F$29-F$31),-PMT(F$30/2,F$29-$B54,C55,0)-D55,F$27*$AL55),0)))</f>
        <v>2504.46428571429</v>
      </c>
      <c r="F55" s="847" t="n">
        <f aca="false">C55-E55</f>
        <v>22540.1785714286</v>
      </c>
      <c r="G55" s="820" t="n">
        <f aca="false">J54</f>
        <v>25044.6428571429</v>
      </c>
      <c r="H55" s="217" t="n">
        <f aca="false">G55*J$30*0.5</f>
        <v>936.669642857144</v>
      </c>
      <c r="I55" s="217" t="n">
        <f aca="false">IF($B55&gt;=J$29,G55,IF(J$31&gt;=$B55,0,IF(G55&gt;1,CHOOSE(J$32,J$27/(J$29-J$31),-PMT(J$30/2,J$29-$B54,G55,0)-H55,J$27*$AN55),0)))</f>
        <v>2504.46428571429</v>
      </c>
      <c r="J55" s="847" t="n">
        <f aca="false">G55-I55</f>
        <v>22540.1785714286</v>
      </c>
      <c r="K55" s="820" t="n">
        <f aca="false">N54</f>
        <v>3597.97582585695</v>
      </c>
      <c r="L55" s="217" t="n">
        <f aca="false">K55*N$30*0.5</f>
        <v>166.76617952847</v>
      </c>
      <c r="M55" s="217" t="n">
        <f aca="false">IF($B55&gt;=N$29,K55,IF(N$31&gt;=$B55,0,IF(K55&gt;1,CHOOSE(N$32,N$27/(N$29-N$31),-PMT(N$30/2,N$29-$B54,K55,0)-L55,N$27*$AP55),0)))</f>
        <v>1758.24068505239</v>
      </c>
      <c r="N55" s="847" t="n">
        <f aca="false">K55-M55</f>
        <v>1839.73514080457</v>
      </c>
      <c r="O55" s="820" t="n">
        <f aca="false">R54</f>
        <v>0</v>
      </c>
      <c r="P55" s="217" t="n">
        <f aca="false">O55*R$30*0.5</f>
        <v>0</v>
      </c>
      <c r="Q55" s="628" t="n">
        <f aca="false">IF($B55&gt;=R$29,O55,IF(R$31&gt;=$B55,0,IF(O55&gt;1,CHOOSE(R$32,R$27/(R$29-R$31),-PMT(R$30/2,R$29-$B54,O55,0)-P55,R$27*$AR55),0)))</f>
        <v>0</v>
      </c>
      <c r="R55" s="847" t="n">
        <f aca="false">O55-Q55</f>
        <v>0</v>
      </c>
      <c r="S55" s="820" t="n">
        <f aca="false">V54</f>
        <v>14061.236343653</v>
      </c>
      <c r="T55" s="217" t="n">
        <f aca="false">S55*V$30*0.5</f>
        <v>774.071060718098</v>
      </c>
      <c r="U55" s="628" t="n">
        <f aca="false">IF($B55&gt;=V$29,S55,IF(V$31&gt;=$B55,0,IF(S55&gt;1,CHOOSE(V$32,V$27/(V$29-V$31),-PMT(V$30/2,V$29-$B54,S55,0)-T55,V$27*$AT55),0)))</f>
        <v>1036.54352923528</v>
      </c>
      <c r="V55" s="847" t="n">
        <f aca="false">S55-U55</f>
        <v>13024.6928144177</v>
      </c>
      <c r="W55" s="820" t="n">
        <f aca="false">Z54</f>
        <v>14775.0281600393</v>
      </c>
      <c r="X55" s="217" t="n">
        <f aca="false">W55*Z$30*0.5</f>
        <v>960.376830402553</v>
      </c>
      <c r="Y55" s="217" t="n">
        <f aca="false">IF($B55&gt;=Z$29,W55,IF(Z$31&gt;=$B55,0,IF(W55&gt;1,CHOOSE(Z$32,Z$27/(Z$29-Z$31),-PMT(Z$30/2,Z$29-$B54,W55,0)-X55,Z$27*$AV55),0)))</f>
        <v>3352.49437955712</v>
      </c>
      <c r="Z55" s="217" t="n">
        <f aca="false">W55-Y55</f>
        <v>11422.5337804822</v>
      </c>
      <c r="AA55" s="846"/>
      <c r="AB55" s="847"/>
      <c r="AC55" s="217"/>
      <c r="AD55" s="218"/>
      <c r="AE55" s="217"/>
      <c r="AF55" s="847"/>
      <c r="AG55" s="820"/>
      <c r="AH55" s="218"/>
      <c r="AI55" s="1125"/>
      <c r="AJ55" s="645"/>
      <c r="AK55" s="1126" t="n">
        <v>0</v>
      </c>
      <c r="AL55" s="1127" t="n">
        <f aca="false">IF(AK$75=0,0,AK55/AK$75)</f>
        <v>0</v>
      </c>
      <c r="AM55" s="1128" t="n">
        <v>0</v>
      </c>
      <c r="AN55" s="260" t="n">
        <f aca="false">IF(AM$75=0,0,AM55/AM$75)</f>
        <v>0</v>
      </c>
      <c r="AO55" s="1128" t="n">
        <v>0</v>
      </c>
      <c r="AP55" s="260" t="n">
        <f aca="false">IF(AO$75=0,0,AO55/AO$75)</f>
        <v>0</v>
      </c>
      <c r="AQ55" s="1128" t="n">
        <v>0</v>
      </c>
      <c r="AR55" s="260" t="n">
        <f aca="false">IF(AQ$75=0,0,AQ55/AQ$75)</f>
        <v>0</v>
      </c>
      <c r="AS55" s="1128" t="n">
        <v>5702.95238095238</v>
      </c>
      <c r="AT55" s="260" t="n">
        <f aca="false">IF(AS$75=0,0,AS55/AS$75)</f>
        <v>0.0285147619047619</v>
      </c>
      <c r="AU55" s="1128" t="n">
        <f aca="false">BC55</f>
        <v>0</v>
      </c>
      <c r="AV55" s="94" t="n">
        <f aca="false">IF(AU$75=0,0,AU55/AU$75)</f>
        <v>0</v>
      </c>
      <c r="AW55" s="38"/>
      <c r="AX55" s="1129" t="n">
        <v>7142.85714285714</v>
      </c>
      <c r="AY55" s="1130" t="n">
        <f aca="false">8362.95238095238-2660</f>
        <v>5702.95238095238</v>
      </c>
      <c r="AZ55" s="94" t="n">
        <f aca="false">AY55/AY$75</f>
        <v>0.0285147619047619</v>
      </c>
      <c r="BA55" s="846" t="n">
        <f aca="false">HLOOKUP($A55,CF_Table,CF!$AB$69)/2</f>
        <v>3590.81322171798</v>
      </c>
      <c r="BB55" s="189" t="n">
        <v>15924.1166982823</v>
      </c>
      <c r="BC55" s="217" t="n">
        <f aca="false">IF(BB55&lt;0,BC54,IF(SUM(BB$35:BB55)&gt;$Z$27,$Z$27-SUM(BC$34:BC54),BB55))</f>
        <v>0</v>
      </c>
      <c r="BD55" s="260" t="n">
        <f aca="false">BC55/BC$75</f>
        <v>0</v>
      </c>
      <c r="BE55" s="43" t="n">
        <f aca="false">IF(BD55=0,BE54,B55/2)</f>
        <v>7</v>
      </c>
      <c r="BF55" s="574" t="n">
        <f aca="false">IF(BC55=0,0,BB55-BA55)</f>
        <v>0</v>
      </c>
    </row>
    <row r="56" customFormat="false" ht="12.75" hidden="false" customHeight="false" outlineLevel="0" collapsed="false">
      <c r="A56" s="1131" t="n">
        <f aca="false">A55</f>
        <v>2011</v>
      </c>
      <c r="B56" s="1132" t="n">
        <f aca="false">B55+1</f>
        <v>21</v>
      </c>
      <c r="C56" s="1133" t="n">
        <f aca="false">F55</f>
        <v>22540.1785714286</v>
      </c>
      <c r="D56" s="777" t="n">
        <f aca="false">C56*F$30*0.5</f>
        <v>793.414285714287</v>
      </c>
      <c r="E56" s="777" t="n">
        <f aca="false">IF($B56&gt;=F$29,C56,IF(F$31&gt;=$B56,0,IF(C56&gt;1,CHOOSE(F$32,F$27/(F$29-F$31),-PMT(F$30/2,F$29-$B55,C56,0)-D56,F$27*$AL56),0)))</f>
        <v>2504.46428571429</v>
      </c>
      <c r="F56" s="1135" t="n">
        <f aca="false">C56-E56</f>
        <v>20035.7142857143</v>
      </c>
      <c r="G56" s="1133" t="n">
        <f aca="false">J55</f>
        <v>22540.1785714286</v>
      </c>
      <c r="H56" s="777" t="n">
        <f aca="false">G56*J$30*0.5</f>
        <v>843.00267857143</v>
      </c>
      <c r="I56" s="777" t="n">
        <f aca="false">IF($B56&gt;=J$29,G56,IF(J$31&gt;=$B56,0,IF(G56&gt;1,CHOOSE(J$32,J$27/(J$29-J$31),-PMT(J$30/2,J$29-$B55,G56,0)-H56,J$27*$AN56),0)))</f>
        <v>2504.46428571429</v>
      </c>
      <c r="J56" s="1135" t="n">
        <f aca="false">G56-I56</f>
        <v>20035.7142857143</v>
      </c>
      <c r="K56" s="1133" t="n">
        <f aca="false">N55</f>
        <v>1839.73514080457</v>
      </c>
      <c r="L56" s="777" t="n">
        <f aca="false">K56*N$30*0.5</f>
        <v>85.2717237762916</v>
      </c>
      <c r="M56" s="777" t="n">
        <f aca="false">IF($B56&gt;=N$29,K56,IF(N$31&gt;=$B56,0,IF(K56&gt;1,CHOOSE(N$32,N$27/(N$29-N$31),-PMT(N$30/2,N$29-$B55,K56,0)-L56,N$27*$AP56),0)))</f>
        <v>1839.73514080457</v>
      </c>
      <c r="N56" s="1135" t="n">
        <f aca="false">K56-M56</f>
        <v>0</v>
      </c>
      <c r="O56" s="1133" t="n">
        <f aca="false">R55</f>
        <v>0</v>
      </c>
      <c r="P56" s="777" t="n">
        <f aca="false">O56*R$30*0.5</f>
        <v>0</v>
      </c>
      <c r="Q56" s="1136" t="n">
        <f aca="false">IF($B56&gt;=R$29,O56,IF(R$31&gt;=$B56,0,IF(O56&gt;1,CHOOSE(R$32,R$27/(R$29-R$31),-PMT(R$30/2,R$29-$B55,O56,0)-P56,R$27*$AR56),0)))</f>
        <v>0</v>
      </c>
      <c r="R56" s="1135" t="n">
        <f aca="false">O56-Q56</f>
        <v>0</v>
      </c>
      <c r="S56" s="1133" t="n">
        <f aca="false">V55</f>
        <v>13024.6928144177</v>
      </c>
      <c r="T56" s="777" t="n">
        <f aca="false">S56*V$30*0.5</f>
        <v>717.009339433696</v>
      </c>
      <c r="U56" s="1136" t="n">
        <f aca="false">IF($B56&gt;=V$29,S56,IF(V$31&gt;=$B56,0,IF(S56&gt;1,CHOOSE(V$32,V$27/(V$29-V$31),-PMT(V$30/2,V$29-$B55,S56,0)-T56,V$27*$AT56),0)))</f>
        <v>1520.01342405235</v>
      </c>
      <c r="V56" s="1135" t="n">
        <f aca="false">S56-U56</f>
        <v>11504.6793903654</v>
      </c>
      <c r="W56" s="1133" t="n">
        <f aca="false">Z55</f>
        <v>11422.5337804822</v>
      </c>
      <c r="X56" s="777" t="n">
        <f aca="false">W56*Z$30*0.5</f>
        <v>742.46469573134</v>
      </c>
      <c r="Y56" s="777" t="n">
        <f aca="false">IF($B56&gt;=Z$29,W56,IF(Z$31&gt;=$B56,0,IF(W56&gt;1,CHOOSE(Z$32,Z$27/(Z$29-Z$31),-PMT(Z$30/2,Z$29-$B55,W56,0)-X56,Z$27*$AV56),0)))</f>
        <v>3570.40651422834</v>
      </c>
      <c r="Z56" s="777" t="n">
        <f aca="false">W56-Y56</f>
        <v>7852.12726625381</v>
      </c>
      <c r="AA56" s="1137" t="n">
        <f aca="false">SUM(D55:D56,H55:H56,L55:L56,P55:P56,T55:T56)</f>
        <v>5197.77633917085</v>
      </c>
      <c r="AB56" s="1135" t="n">
        <f aca="false">SUM(E55:E56,I55:I56,M55:M56,Q55:Q56,U55:U56)</f>
        <v>16172.3899220017</v>
      </c>
      <c r="AC56" s="777" t="n">
        <f aca="false">SUM(X55:X56)</f>
        <v>1702.84152613389</v>
      </c>
      <c r="AD56" s="1138" t="n">
        <f aca="false">SUM(Y55:Y56)</f>
        <v>6922.90089378546</v>
      </c>
      <c r="AE56" s="777" t="n">
        <f aca="false">SUM(D55:D56,H55:H56)</f>
        <v>3454.65803571429</v>
      </c>
      <c r="AF56" s="1135" t="n">
        <f aca="false">SUM(E55:E56,I55:I56)</f>
        <v>10017.8571428571</v>
      </c>
      <c r="AG56" s="1133" t="n">
        <f aca="false">SUM(T55:T56)</f>
        <v>1491.08040015179</v>
      </c>
      <c r="AH56" s="1138" t="n">
        <f aca="false">SUM(U55:U56)</f>
        <v>2556.55695328763</v>
      </c>
      <c r="AI56" s="1125" t="n">
        <f aca="false">(C55+G55+K55+S55+W55)*IF(RAROC!$B$103=1,VLOOKUP('Debt Amort'!A56,RAROC!$A$107:$D$113,2),IF(RAROC!$B$103=2,VLOOKUP('Debt Amort'!A56,RAROC!$A$107:$D$113,3),IF(RAROC!$B$103=3,VLOOKUP('Debt Amort'!A56,RAROC!$A$107:$D$113,4),0)))*((13-MONTH(Startops3))/12)</f>
        <v>0</v>
      </c>
      <c r="AJ56" s="645"/>
      <c r="AK56" s="1126" t="n">
        <v>0</v>
      </c>
      <c r="AL56" s="1127" t="n">
        <f aca="false">IF(AK$75=0,0,AK56/AK$75)</f>
        <v>0</v>
      </c>
      <c r="AM56" s="1128" t="n">
        <v>0</v>
      </c>
      <c r="AN56" s="260" t="n">
        <f aca="false">IF(AM$75=0,0,AM56/AM$75)</f>
        <v>0</v>
      </c>
      <c r="AO56" s="1128" t="n">
        <v>0</v>
      </c>
      <c r="AP56" s="260" t="n">
        <f aca="false">IF(AO$75=0,0,AO56/AO$75)</f>
        <v>0</v>
      </c>
      <c r="AQ56" s="1128" t="n">
        <v>0</v>
      </c>
      <c r="AR56" s="260" t="n">
        <f aca="false">IF(AQ$75=0,0,AQ56/AQ$75)</f>
        <v>0</v>
      </c>
      <c r="AS56" s="1128" t="n">
        <v>8362.95238095238</v>
      </c>
      <c r="AT56" s="260" t="n">
        <f aca="false">IF(AS$75=0,0,AS56/AS$75)</f>
        <v>0.0418147619047619</v>
      </c>
      <c r="AU56" s="1128" t="n">
        <f aca="false">BC56</f>
        <v>0</v>
      </c>
      <c r="AV56" s="94" t="n">
        <f aca="false">IF(AU$75=0,0,AU56/AU$75)</f>
        <v>0</v>
      </c>
      <c r="AW56" s="38"/>
      <c r="AX56" s="1129" t="n">
        <v>7142.85714285714</v>
      </c>
      <c r="AY56" s="1130" t="n">
        <v>8362.95238095238</v>
      </c>
      <c r="AZ56" s="94" t="n">
        <f aca="false">AY56/AY$75</f>
        <v>0.0418147619047619</v>
      </c>
      <c r="BA56" s="846" t="n">
        <f aca="false">HLOOKUP($A56,CF_Table,CF!$AB$69)/2</f>
        <v>3590.81322171798</v>
      </c>
      <c r="BB56" s="189" t="n">
        <v>15924.1166982823</v>
      </c>
      <c r="BC56" s="217" t="n">
        <f aca="false">IF(BB56&lt;0,BC55,IF(SUM(BB$35:BB56)&gt;$Z$27,$Z$27-SUM(BC$34:BC55),BB56))</f>
        <v>0</v>
      </c>
      <c r="BD56" s="260" t="n">
        <f aca="false">BC56/BC$75</f>
        <v>0</v>
      </c>
      <c r="BE56" s="43" t="n">
        <f aca="false">IF(BD56=0,BE55,B56/2)</f>
        <v>7</v>
      </c>
      <c r="BF56" s="574" t="n">
        <f aca="false">IF(BC56=0,0,BB56-BA56)</f>
        <v>0</v>
      </c>
    </row>
    <row r="57" customFormat="false" ht="12.75" hidden="false" customHeight="false" outlineLevel="0" collapsed="false">
      <c r="A57" s="264" t="n">
        <f aca="false">A55+1</f>
        <v>2012</v>
      </c>
      <c r="B57" s="467" t="n">
        <f aca="false">B56+1</f>
        <v>22</v>
      </c>
      <c r="C57" s="820" t="n">
        <f aca="false">F56</f>
        <v>20035.7142857143</v>
      </c>
      <c r="D57" s="217" t="n">
        <f aca="false">C57*F$30*0.5</f>
        <v>705.257142857144</v>
      </c>
      <c r="E57" s="217" t="n">
        <f aca="false">IF($B57&gt;=F$29,C57,IF(F$31&gt;=$B57,0,IF(C57&gt;1,CHOOSE(F$32,F$27/(F$29-F$31),-PMT(F$30/2,F$29-$B56,C57,0)-D57,F$27*$AL57),0)))</f>
        <v>2504.46428571429</v>
      </c>
      <c r="F57" s="847" t="n">
        <f aca="false">C57-E57</f>
        <v>17531.25</v>
      </c>
      <c r="G57" s="820" t="n">
        <f aca="false">J56</f>
        <v>20035.7142857143</v>
      </c>
      <c r="H57" s="217" t="n">
        <f aca="false">G57*J$30*0.5</f>
        <v>749.335714285716</v>
      </c>
      <c r="I57" s="217" t="n">
        <f aca="false">IF($B57&gt;=J$29,G57,IF(J$31&gt;=$B57,0,IF(G57&gt;1,CHOOSE(J$32,J$27/(J$29-J$31),-PMT(J$30/2,J$29-$B56,G57,0)-H57,J$27*$AN57),0)))</f>
        <v>2504.46428571429</v>
      </c>
      <c r="J57" s="847" t="n">
        <f aca="false">G57-I57</f>
        <v>17531.25</v>
      </c>
      <c r="K57" s="820" t="n">
        <f aca="false">N56</f>
        <v>0</v>
      </c>
      <c r="L57" s="217" t="n">
        <f aca="false">K57*N$30*0.5</f>
        <v>0</v>
      </c>
      <c r="M57" s="217" t="n">
        <f aca="false">IF($B57&gt;=N$29,K57,IF(N$31&gt;=$B57,0,IF(K57&gt;1,CHOOSE(N$32,N$27/(N$29-N$31),-PMT(N$30/2,N$29-$B56,K57,0)-L57,N$27*$AP57),0)))</f>
        <v>0</v>
      </c>
      <c r="N57" s="847" t="n">
        <f aca="false">K57-M57</f>
        <v>0</v>
      </c>
      <c r="O57" s="820" t="n">
        <f aca="false">R56</f>
        <v>0</v>
      </c>
      <c r="P57" s="217" t="n">
        <f aca="false">O57*R$30*0.5</f>
        <v>0</v>
      </c>
      <c r="Q57" s="628" t="n">
        <f aca="false">IF($B57&gt;=R$29,O57,IF(R$31&gt;=$B57,0,IF(O57&gt;1,CHOOSE(R$32,R$27/(R$29-R$31),-PMT(R$30/2,R$29-$B56,O57,0)-P57,R$27*$AR57),0)))</f>
        <v>0</v>
      </c>
      <c r="R57" s="847" t="n">
        <f aca="false">O57-Q57</f>
        <v>0</v>
      </c>
      <c r="S57" s="820" t="n">
        <f aca="false">V56</f>
        <v>11504.6793903654</v>
      </c>
      <c r="T57" s="217" t="n">
        <f aca="false">S57*V$30*0.5</f>
        <v>633.332600439614</v>
      </c>
      <c r="U57" s="628" t="n">
        <f aca="false">IF($B57&gt;=V$29,S57,IF(V$31&gt;=$B57,0,IF(S57&gt;1,CHOOSE(V$32,V$27/(V$29-V$31),-PMT(V$30/2,V$29-$B56,S57,0)-T57,V$27*$AT57),0)))</f>
        <v>1520.01342405235</v>
      </c>
      <c r="V57" s="847" t="n">
        <f aca="false">S57-U57</f>
        <v>9984.66596631302</v>
      </c>
      <c r="W57" s="820" t="n">
        <f aca="false">Z56</f>
        <v>7852.12726625381</v>
      </c>
      <c r="X57" s="217" t="n">
        <f aca="false">W57*Z$30*0.5</f>
        <v>510.388272306498</v>
      </c>
      <c r="Y57" s="217" t="n">
        <f aca="false">IF($B57&gt;=Z$29,W57,IF(Z$31&gt;=$B57,0,IF(W57&gt;1,CHOOSE(Z$32,Z$27/(Z$29-Z$31),-PMT(Z$30/2,Z$29-$B56,W57,0)-X57,Z$27*$AV57),0)))</f>
        <v>3802.48293765318</v>
      </c>
      <c r="Z57" s="217" t="n">
        <f aca="false">W57-Y57</f>
        <v>4049.64432860064</v>
      </c>
      <c r="AA57" s="846"/>
      <c r="AB57" s="847"/>
      <c r="AC57" s="217"/>
      <c r="AD57" s="218"/>
      <c r="AE57" s="217"/>
      <c r="AF57" s="847"/>
      <c r="AG57" s="820"/>
      <c r="AH57" s="218"/>
      <c r="AI57" s="1125"/>
      <c r="AJ57" s="645"/>
      <c r="AK57" s="1126" t="n">
        <v>0</v>
      </c>
      <c r="AL57" s="1127" t="n">
        <f aca="false">IF(AK$75=0,0,AK57/AK$75)</f>
        <v>0</v>
      </c>
      <c r="AM57" s="1128" t="n">
        <v>0</v>
      </c>
      <c r="AN57" s="260" t="n">
        <f aca="false">IF(AM$75=0,0,AM57/AM$75)</f>
        <v>0</v>
      </c>
      <c r="AO57" s="1128" t="n">
        <v>0</v>
      </c>
      <c r="AP57" s="260" t="n">
        <f aca="false">IF(AO$75=0,0,AO57/AO$75)</f>
        <v>0</v>
      </c>
      <c r="AQ57" s="1128" t="n">
        <v>0</v>
      </c>
      <c r="AR57" s="260" t="n">
        <f aca="false">IF(AQ$75=0,0,AQ57/AQ$75)</f>
        <v>0</v>
      </c>
      <c r="AS57" s="1128" t="n">
        <v>8362.95238095238</v>
      </c>
      <c r="AT57" s="260" t="n">
        <f aca="false">IF(AS$75=0,0,AS57/AS$75)</f>
        <v>0.0418147619047619</v>
      </c>
      <c r="AU57" s="1128" t="n">
        <f aca="false">BC57</f>
        <v>0</v>
      </c>
      <c r="AV57" s="94" t="n">
        <f aca="false">IF(AU$75=0,0,AU57/AU$75)</f>
        <v>0</v>
      </c>
      <c r="AW57" s="38"/>
      <c r="AX57" s="1129" t="n">
        <v>7142.85714285714</v>
      </c>
      <c r="AY57" s="1130" t="n">
        <v>8362.95238095238</v>
      </c>
      <c r="AZ57" s="94" t="n">
        <f aca="false">AY57/AY$75</f>
        <v>0.0418147619047619</v>
      </c>
      <c r="BA57" s="846" t="n">
        <f aca="false">HLOOKUP($A57,CF_Table,CF!$AB$69)/2</f>
        <v>4072.34083379374</v>
      </c>
      <c r="BB57" s="189" t="n">
        <v>3820.27660792949</v>
      </c>
      <c r="BC57" s="217" t="n">
        <f aca="false">IF(BB57&lt;0,BC56,IF(SUM(BB$35:BB57)&gt;$Z$27,$Z$27-SUM(BC$34:BC56),BB57))</f>
        <v>0</v>
      </c>
      <c r="BD57" s="260" t="n">
        <f aca="false">BC57/BC$75</f>
        <v>0</v>
      </c>
      <c r="BE57" s="43" t="n">
        <f aca="false">IF(BD57=0,BE56,B57/2)</f>
        <v>7</v>
      </c>
      <c r="BF57" s="574" t="n">
        <f aca="false">IF(BC57=0,0,BB57-BA57)</f>
        <v>0</v>
      </c>
    </row>
    <row r="58" customFormat="false" ht="12.75" hidden="false" customHeight="false" outlineLevel="0" collapsed="false">
      <c r="A58" s="1131" t="n">
        <f aca="false">A57</f>
        <v>2012</v>
      </c>
      <c r="B58" s="1132" t="n">
        <f aca="false">B57+1</f>
        <v>23</v>
      </c>
      <c r="C58" s="1133" t="n">
        <f aca="false">F57</f>
        <v>17531.25</v>
      </c>
      <c r="D58" s="777" t="n">
        <f aca="false">C58*F$30*0.5</f>
        <v>617.100000000001</v>
      </c>
      <c r="E58" s="777" t="n">
        <f aca="false">IF($B58&gt;=F$29,C58,IF(F$31&gt;=$B58,0,IF(C58&gt;1,CHOOSE(F$32,F$27/(F$29-F$31),-PMT(F$30/2,F$29-$B57,C58,0)-D58,F$27*$AL58),0)))</f>
        <v>2504.46428571429</v>
      </c>
      <c r="F58" s="1135" t="n">
        <f aca="false">C58-E58</f>
        <v>15026.7857142857</v>
      </c>
      <c r="G58" s="1133" t="n">
        <f aca="false">J57</f>
        <v>17531.25</v>
      </c>
      <c r="H58" s="777" t="n">
        <f aca="false">G58*J$30*0.5</f>
        <v>655.668750000001</v>
      </c>
      <c r="I58" s="777" t="n">
        <f aca="false">IF($B58&gt;=J$29,G58,IF(J$31&gt;=$B58,0,IF(G58&gt;1,CHOOSE(J$32,J$27/(J$29-J$31),-PMT(J$30/2,J$29-$B57,G58,0)-H58,J$27*$AN58),0)))</f>
        <v>2504.46428571429</v>
      </c>
      <c r="J58" s="1135" t="n">
        <f aca="false">G58-I58</f>
        <v>15026.7857142857</v>
      </c>
      <c r="K58" s="1133" t="n">
        <f aca="false">N57</f>
        <v>0</v>
      </c>
      <c r="L58" s="777" t="n">
        <f aca="false">K58*N$30*0.5</f>
        <v>0</v>
      </c>
      <c r="M58" s="777" t="n">
        <f aca="false">IF($B58&gt;=N$29,K58,IF(N$31&gt;=$B58,0,IF(K58&gt;1,CHOOSE(N$32,N$27/(N$29-N$31),-PMT(N$30/2,N$29-$B57,K58,0)-L58,N$27*$AP58),0)))</f>
        <v>0</v>
      </c>
      <c r="N58" s="1135" t="n">
        <f aca="false">K58-M58</f>
        <v>0</v>
      </c>
      <c r="O58" s="1133" t="n">
        <f aca="false">R57</f>
        <v>0</v>
      </c>
      <c r="P58" s="777" t="n">
        <f aca="false">O58*R$30*0.5</f>
        <v>0</v>
      </c>
      <c r="Q58" s="1136" t="n">
        <f aca="false">IF($B58&gt;=R$29,O58,IF(R$31&gt;=$B58,0,IF(O58&gt;1,CHOOSE(R$32,R$27/(R$29-R$31),-PMT(R$30/2,R$29-$B57,O58,0)-P58,R$27*$AR58),0)))</f>
        <v>0</v>
      </c>
      <c r="R58" s="1135" t="n">
        <f aca="false">O58-Q58</f>
        <v>0</v>
      </c>
      <c r="S58" s="1133" t="n">
        <f aca="false">V57</f>
        <v>9984.66596631302</v>
      </c>
      <c r="T58" s="777" t="n">
        <f aca="false">S58*V$30*0.5</f>
        <v>549.655861445532</v>
      </c>
      <c r="U58" s="1136" t="n">
        <f aca="false">IF($B58&gt;=V$29,S58,IF(V$31&gt;=$B58,0,IF(S58&gt;1,CHOOSE(V$32,V$27/(V$29-V$31),-PMT(V$30/2,V$29-$B57,S58,0)-T58,V$27*$AT58),0)))</f>
        <v>1520.01342405235</v>
      </c>
      <c r="V58" s="1135" t="n">
        <f aca="false">S58-U58</f>
        <v>8464.65254226067</v>
      </c>
      <c r="W58" s="1133" t="n">
        <f aca="false">Z57</f>
        <v>4049.64432860064</v>
      </c>
      <c r="X58" s="777" t="n">
        <f aca="false">W58*Z$30*0.5</f>
        <v>263.226881359041</v>
      </c>
      <c r="Y58" s="777" t="n">
        <f aca="false">IF($B58&gt;=Z$29,W58,IF(Z$31&gt;=$B58,0,IF(W58&gt;1,CHOOSE(Z$32,Z$27/(Z$29-Z$31),-PMT(Z$30/2,Z$29-$B57,W58,0)-X58,Z$27*$AV58),0)))</f>
        <v>4049.64432860064</v>
      </c>
      <c r="Z58" s="777" t="n">
        <f aca="false">W58-Y58</f>
        <v>0</v>
      </c>
      <c r="AA58" s="1137" t="n">
        <f aca="false">SUM(D57:D58,H57:H58,L57:L58,P57:P58,T57:T58)</f>
        <v>3910.35006902801</v>
      </c>
      <c r="AB58" s="1135" t="n">
        <f aca="false">SUM(E57:E58,I57:I58,M57:M58,Q57:Q58,U57:U58)</f>
        <v>13057.8839909619</v>
      </c>
      <c r="AC58" s="777" t="n">
        <f aca="false">SUM(X57:X58)</f>
        <v>773.615153665539</v>
      </c>
      <c r="AD58" s="1138" t="n">
        <f aca="false">SUM(Y57:Y58)</f>
        <v>7852.12726625381</v>
      </c>
      <c r="AE58" s="777" t="n">
        <f aca="false">SUM(D57:D58,H57:H58)</f>
        <v>2727.36160714286</v>
      </c>
      <c r="AF58" s="1135" t="n">
        <f aca="false">SUM(E57:E58,I57:I58)</f>
        <v>10017.8571428571</v>
      </c>
      <c r="AG58" s="1133" t="n">
        <f aca="false">SUM(T57:T58)</f>
        <v>1182.98846188515</v>
      </c>
      <c r="AH58" s="1138" t="n">
        <f aca="false">SUM(U57:U58)</f>
        <v>3040.02684810471</v>
      </c>
      <c r="AI58" s="1125" t="n">
        <f aca="false">(C57+G57+K57+S57+W57)*IF(RAROC!$B$103=1,VLOOKUP('Debt Amort'!A58,RAROC!$A$107:$D$113,2),IF(RAROC!$B$103=2,VLOOKUP('Debt Amort'!A58,RAROC!$A$107:$D$113,3),IF(RAROC!$B$103=3,VLOOKUP('Debt Amort'!A58,RAROC!$A$107:$D$113,4),0)))*((13-MONTH(Startops3))/12)</f>
        <v>0</v>
      </c>
      <c r="AJ58" s="645"/>
      <c r="AK58" s="1126" t="n">
        <v>0</v>
      </c>
      <c r="AL58" s="1127" t="n">
        <f aca="false">IF(AK$75=0,0,AK58/AK$75)</f>
        <v>0</v>
      </c>
      <c r="AM58" s="1128" t="n">
        <v>0</v>
      </c>
      <c r="AN58" s="260" t="n">
        <f aca="false">IF(AM$75=0,0,AM58/AM$75)</f>
        <v>0</v>
      </c>
      <c r="AO58" s="1128" t="n">
        <v>0</v>
      </c>
      <c r="AP58" s="260" t="n">
        <f aca="false">IF(AO$75=0,0,AO58/AO$75)</f>
        <v>0</v>
      </c>
      <c r="AQ58" s="1128" t="n">
        <v>0</v>
      </c>
      <c r="AR58" s="260" t="n">
        <f aca="false">IF(AQ$75=0,0,AQ58/AQ$75)</f>
        <v>0</v>
      </c>
      <c r="AS58" s="1128" t="n">
        <v>8362.95238095238</v>
      </c>
      <c r="AT58" s="260" t="n">
        <f aca="false">IF(AS$75=0,0,AS58/AS$75)</f>
        <v>0.0418147619047619</v>
      </c>
      <c r="AU58" s="1128" t="n">
        <f aca="false">BC58</f>
        <v>0</v>
      </c>
      <c r="AV58" s="94" t="n">
        <f aca="false">IF(AU$75=0,0,AU58/AU$75)</f>
        <v>0</v>
      </c>
      <c r="AW58" s="38"/>
      <c r="AX58" s="1129" t="n">
        <v>7142.85714285714</v>
      </c>
      <c r="AY58" s="1130" t="n">
        <v>8362.95238095238</v>
      </c>
      <c r="AZ58" s="94" t="n">
        <f aca="false">AY58/AY$75</f>
        <v>0.0418147619047619</v>
      </c>
      <c r="BA58" s="846" t="n">
        <f aca="false">HLOOKUP($A58,CF_Table,CF!$AB$69)/2</f>
        <v>4072.34083379374</v>
      </c>
      <c r="BB58" s="189" t="n">
        <v>3820.27660792949</v>
      </c>
      <c r="BC58" s="217" t="n">
        <f aca="false">IF(BB58&lt;0,BC57,IF(SUM(BB$35:BB58)&gt;$Z$27,$Z$27-SUM(BC$34:BC57),BB58))</f>
        <v>0</v>
      </c>
      <c r="BD58" s="260" t="n">
        <f aca="false">BC58/BC$75</f>
        <v>0</v>
      </c>
      <c r="BE58" s="43" t="n">
        <f aca="false">IF(BD58=0,BE57,B58/2)</f>
        <v>7</v>
      </c>
      <c r="BF58" s="574" t="n">
        <f aca="false">IF(BC58=0,0,BB58-BA58)</f>
        <v>0</v>
      </c>
    </row>
    <row r="59" customFormat="false" ht="12.75" hidden="false" customHeight="false" outlineLevel="0" collapsed="false">
      <c r="A59" s="264" t="n">
        <f aca="false">A57+1</f>
        <v>2013</v>
      </c>
      <c r="B59" s="467" t="n">
        <f aca="false">B58+1</f>
        <v>24</v>
      </c>
      <c r="C59" s="820" t="n">
        <f aca="false">F58</f>
        <v>15026.7857142857</v>
      </c>
      <c r="D59" s="217" t="n">
        <f aca="false">C59*F$30*0.5</f>
        <v>528.942857142858</v>
      </c>
      <c r="E59" s="217" t="n">
        <f aca="false">IF($B59&gt;=F$29,C59,IF(F$31&gt;=$B59,0,IF(C59&gt;1,CHOOSE(F$32,F$27/(F$29-F$31),-PMT(F$30/2,F$29-$B58,C59,0)-D59,F$27*$AL59),0)))</f>
        <v>2504.46428571429</v>
      </c>
      <c r="F59" s="847" t="n">
        <f aca="false">C59-E59</f>
        <v>12522.3214285715</v>
      </c>
      <c r="G59" s="820" t="n">
        <f aca="false">J58</f>
        <v>15026.7857142857</v>
      </c>
      <c r="H59" s="217" t="n">
        <f aca="false">G59*J$30*0.5</f>
        <v>562.001785714287</v>
      </c>
      <c r="I59" s="217" t="n">
        <f aca="false">IF($B59&gt;=J$29,G59,IF(J$31&gt;=$B59,0,IF(G59&gt;1,CHOOSE(J$32,J$27/(J$29-J$31),-PMT(J$30/2,J$29-$B58,G59,0)-H59,J$27*$AN59),0)))</f>
        <v>2504.46428571429</v>
      </c>
      <c r="J59" s="847" t="n">
        <f aca="false">G59-I59</f>
        <v>12522.3214285715</v>
      </c>
      <c r="K59" s="820" t="n">
        <f aca="false">N58</f>
        <v>0</v>
      </c>
      <c r="L59" s="217" t="n">
        <f aca="false">K59*N$30*0.5</f>
        <v>0</v>
      </c>
      <c r="M59" s="217" t="n">
        <f aca="false">IF($B59&gt;=N$29,K59,IF(N$31&gt;=$B59,0,IF(K59&gt;1,CHOOSE(N$32,N$27/(N$29-N$31),-PMT(N$30/2,N$29-$B58,K59,0)-L59,N$27*$AP59),0)))</f>
        <v>0</v>
      </c>
      <c r="N59" s="847" t="n">
        <f aca="false">K59-M59</f>
        <v>0</v>
      </c>
      <c r="O59" s="820" t="n">
        <f aca="false">R58</f>
        <v>0</v>
      </c>
      <c r="P59" s="217" t="n">
        <f aca="false">O59*R$30*0.5</f>
        <v>0</v>
      </c>
      <c r="Q59" s="628" t="n">
        <f aca="false">IF($B59&gt;=R$29,O59,IF(R$31&gt;=$B59,0,IF(O59&gt;1,CHOOSE(R$32,R$27/(R$29-R$31),-PMT(R$30/2,R$29-$B58,O59,0)-P59,R$27*$AR59),0)))</f>
        <v>0</v>
      </c>
      <c r="R59" s="847" t="n">
        <f aca="false">O59-Q59</f>
        <v>0</v>
      </c>
      <c r="S59" s="820" t="n">
        <f aca="false">V58</f>
        <v>8464.65254226067</v>
      </c>
      <c r="T59" s="217" t="n">
        <f aca="false">S59*V$30*0.5</f>
        <v>465.97912245145</v>
      </c>
      <c r="U59" s="628" t="n">
        <f aca="false">IF($B59&gt;=V$29,S59,IF(V$31&gt;=$B59,0,IF(S59&gt;1,CHOOSE(V$32,V$27/(V$29-V$31),-PMT(V$30/2,V$29-$B58,S59,0)-T59,V$27*$AT59),0)))</f>
        <v>1520.01342405235</v>
      </c>
      <c r="V59" s="847" t="n">
        <f aca="false">S59-U59</f>
        <v>6944.63911820831</v>
      </c>
      <c r="W59" s="820" t="n">
        <f aca="false">Z58</f>
        <v>0</v>
      </c>
      <c r="X59" s="217" t="n">
        <f aca="false">W59*Z$30*0.5</f>
        <v>0</v>
      </c>
      <c r="Y59" s="217" t="n">
        <f aca="false">IF($B59&gt;=Z$29,W59,IF(Z$31&gt;=$B59,0,IF(W59&gt;1,CHOOSE(Z$32,Z$27/(Z$29-Z$31),-PMT(Z$30/2,Z$29-$B58,W59,0)-X59,Z$27*$AV59),0)))</f>
        <v>0</v>
      </c>
      <c r="Z59" s="217" t="n">
        <f aca="false">W59-Y59</f>
        <v>0</v>
      </c>
      <c r="AA59" s="846"/>
      <c r="AB59" s="847"/>
      <c r="AC59" s="217"/>
      <c r="AD59" s="218"/>
      <c r="AE59" s="217"/>
      <c r="AF59" s="847"/>
      <c r="AG59" s="820"/>
      <c r="AH59" s="218"/>
      <c r="AI59" s="1125"/>
      <c r="AJ59" s="645"/>
      <c r="AK59" s="1126" t="n">
        <v>0</v>
      </c>
      <c r="AL59" s="1127" t="n">
        <f aca="false">IF(AK$75=0,0,AK59/AK$75)</f>
        <v>0</v>
      </c>
      <c r="AM59" s="1128" t="n">
        <v>0</v>
      </c>
      <c r="AN59" s="260" t="n">
        <f aca="false">IF(AM$75=0,0,AM59/AM$75)</f>
        <v>0</v>
      </c>
      <c r="AO59" s="1128" t="n">
        <v>0</v>
      </c>
      <c r="AP59" s="260" t="n">
        <f aca="false">IF(AO$75=0,0,AO59/AO$75)</f>
        <v>0</v>
      </c>
      <c r="AQ59" s="1128" t="n">
        <v>0</v>
      </c>
      <c r="AR59" s="260" t="n">
        <f aca="false">IF(AQ$75=0,0,AQ59/AQ$75)</f>
        <v>0</v>
      </c>
      <c r="AS59" s="1128" t="n">
        <v>8362.95238095238</v>
      </c>
      <c r="AT59" s="260" t="n">
        <f aca="false">IF(AS$75=0,0,AS59/AS$75)</f>
        <v>0.0418147619047619</v>
      </c>
      <c r="AU59" s="1128" t="n">
        <f aca="false">BC59</f>
        <v>0</v>
      </c>
      <c r="AV59" s="94" t="n">
        <f aca="false">IF(AU$75=0,0,AU59/AU$75)</f>
        <v>0</v>
      </c>
      <c r="AW59" s="38"/>
      <c r="AX59" s="1129" t="n">
        <v>7142.85714285714</v>
      </c>
      <c r="AY59" s="1130" t="n">
        <v>8362.95238095238</v>
      </c>
      <c r="AZ59" s="94" t="n">
        <f aca="false">AY59/AY$75</f>
        <v>0.0418147619047619</v>
      </c>
      <c r="BA59" s="846" t="n">
        <f aca="false">HLOOKUP($A59,CF_Table,CF!$AB$69)/2</f>
        <v>7155.99417363534</v>
      </c>
      <c r="BB59" s="189" t="n">
        <v>744.52186898281</v>
      </c>
      <c r="BC59" s="217" t="n">
        <f aca="false">IF(BB59&lt;0,BC58,IF(SUM(BB$35:BB59)&gt;$Z$27,$Z$27-SUM(BC$34:BC58),BB59))</f>
        <v>0</v>
      </c>
      <c r="BD59" s="260" t="n">
        <f aca="false">BC59/BC$75</f>
        <v>0</v>
      </c>
      <c r="BE59" s="43" t="n">
        <f aca="false">IF(BD59=0,BE58,B59/2)</f>
        <v>7</v>
      </c>
      <c r="BF59" s="574" t="n">
        <f aca="false">IF(BC59=0,0,BB59-BA59)</f>
        <v>0</v>
      </c>
    </row>
    <row r="60" customFormat="false" ht="12.75" hidden="false" customHeight="false" outlineLevel="0" collapsed="false">
      <c r="A60" s="1131" t="n">
        <f aca="false">A59</f>
        <v>2013</v>
      </c>
      <c r="B60" s="1132" t="n">
        <f aca="false">B59+1</f>
        <v>25</v>
      </c>
      <c r="C60" s="1133" t="n">
        <f aca="false">F59</f>
        <v>12522.3214285715</v>
      </c>
      <c r="D60" s="777" t="n">
        <f aca="false">C60*F$30*0.5</f>
        <v>440.785714285715</v>
      </c>
      <c r="E60" s="777" t="n">
        <f aca="false">IF($B60&gt;=F$29,C60,IF(F$31&gt;=$B60,0,IF(C60&gt;1,CHOOSE(F$32,F$27/(F$29-F$31),-PMT(F$30/2,F$29-$B59,C60,0)-D60,F$27*$AL60),0)))</f>
        <v>2504.46428571429</v>
      </c>
      <c r="F60" s="1135" t="n">
        <f aca="false">C60-E60</f>
        <v>10017.8571428572</v>
      </c>
      <c r="G60" s="1133" t="n">
        <f aca="false">J59</f>
        <v>12522.3214285715</v>
      </c>
      <c r="H60" s="777" t="n">
        <f aca="false">G60*J$30*0.5</f>
        <v>468.334821428573</v>
      </c>
      <c r="I60" s="777" t="n">
        <f aca="false">IF($B60&gt;=J$29,G60,IF(J$31&gt;=$B60,0,IF(G60&gt;1,CHOOSE(J$32,J$27/(J$29-J$31),-PMT(J$30/2,J$29-$B59,G60,0)-H60,J$27*$AN60),0)))</f>
        <v>2504.46428571429</v>
      </c>
      <c r="J60" s="1135" t="n">
        <f aca="false">G60-I60</f>
        <v>10017.8571428572</v>
      </c>
      <c r="K60" s="1133" t="n">
        <f aca="false">N59</f>
        <v>0</v>
      </c>
      <c r="L60" s="777" t="n">
        <f aca="false">K60*N$30*0.5</f>
        <v>0</v>
      </c>
      <c r="M60" s="777" t="n">
        <f aca="false">IF($B60&gt;=N$29,K60,IF(N$31&gt;=$B60,0,IF(K60&gt;1,CHOOSE(N$32,N$27/(N$29-N$31),-PMT(N$30/2,N$29-$B59,K60,0)-L60,N$27*$AP60),0)))</f>
        <v>0</v>
      </c>
      <c r="N60" s="1135" t="n">
        <f aca="false">K60-M60</f>
        <v>0</v>
      </c>
      <c r="O60" s="1133" t="n">
        <f aca="false">R59</f>
        <v>0</v>
      </c>
      <c r="P60" s="777" t="n">
        <f aca="false">O60*R$30*0.5</f>
        <v>0</v>
      </c>
      <c r="Q60" s="1136" t="n">
        <f aca="false">IF($B60&gt;=R$29,O60,IF(R$31&gt;=$B60,0,IF(O60&gt;1,CHOOSE(R$32,R$27/(R$29-R$31),-PMT(R$30/2,R$29-$B59,O60,0)-P60,R$27*$AR60),0)))</f>
        <v>0</v>
      </c>
      <c r="R60" s="1135" t="n">
        <f aca="false">O60-Q60</f>
        <v>0</v>
      </c>
      <c r="S60" s="1133" t="n">
        <f aca="false">V59</f>
        <v>6944.63911820831</v>
      </c>
      <c r="T60" s="777" t="n">
        <f aca="false">S60*V$30*0.5</f>
        <v>382.302383457368</v>
      </c>
      <c r="U60" s="1136" t="n">
        <f aca="false">IF($B60&gt;=V$29,S60,IF(V$31&gt;=$B60,0,IF(S60&gt;1,CHOOSE(V$32,V$27/(V$29-V$31),-PMT(V$30/2,V$29-$B59,S60,0)-T60,V$27*$AT60),0)))</f>
        <v>1520.01342405235</v>
      </c>
      <c r="V60" s="1135" t="n">
        <f aca="false">S60-U60</f>
        <v>5424.62569415596</v>
      </c>
      <c r="W60" s="1133" t="n">
        <f aca="false">Z59</f>
        <v>0</v>
      </c>
      <c r="X60" s="777" t="n">
        <f aca="false">W60*Z$30*0.5</f>
        <v>0</v>
      </c>
      <c r="Y60" s="777" t="n">
        <f aca="false">IF($B60&gt;=Z$29,W60,IF(Z$31&gt;=$B60,0,IF(W60&gt;1,CHOOSE(Z$32,Z$27/(Z$29-Z$31),-PMT(Z$30/2,Z$29-$B59,W60,0)-X60,Z$27*$AV60),0)))</f>
        <v>0</v>
      </c>
      <c r="Z60" s="777" t="n">
        <f aca="false">W60-Y60</f>
        <v>0</v>
      </c>
      <c r="AA60" s="1137" t="n">
        <f aca="false">SUM(D59:D60,H59:H60,L59:L60,P59:P60,T59:T60)</f>
        <v>2848.34668448025</v>
      </c>
      <c r="AB60" s="1135" t="n">
        <f aca="false">SUM(E59:E60,I59:I60,M59:M60,Q59:Q60,U59:U60)</f>
        <v>13057.8839909619</v>
      </c>
      <c r="AC60" s="777" t="n">
        <f aca="false">SUM(X59:X60)</f>
        <v>0</v>
      </c>
      <c r="AD60" s="1138" t="n">
        <f aca="false">SUM(Y59:Y60)</f>
        <v>0</v>
      </c>
      <c r="AE60" s="777" t="n">
        <f aca="false">SUM(D59:D60,H59:H60)</f>
        <v>2000.06517857143</v>
      </c>
      <c r="AF60" s="1135" t="n">
        <f aca="false">SUM(E59:E60,I59:I60)</f>
        <v>10017.8571428571</v>
      </c>
      <c r="AG60" s="1133" t="n">
        <f aca="false">SUM(T59:T60)</f>
        <v>848.281505908817</v>
      </c>
      <c r="AH60" s="1138" t="n">
        <f aca="false">SUM(U59:U60)</f>
        <v>3040.02684810471</v>
      </c>
      <c r="AI60" s="1125" t="n">
        <f aca="false">(C59+G59+K59+S59+W59)*IF(RAROC!$B$103=1,VLOOKUP('Debt Amort'!A60,RAROC!$A$107:$D$113,2),IF(RAROC!$B$103=2,VLOOKUP('Debt Amort'!A60,RAROC!$A$107:$D$113,3),IF(RAROC!$B$103=3,VLOOKUP('Debt Amort'!A60,RAROC!$A$107:$D$113,4),0)))*((13-MONTH(Startops3))/12)</f>
        <v>0</v>
      </c>
      <c r="AJ60" s="645"/>
      <c r="AK60" s="1126" t="n">
        <v>0</v>
      </c>
      <c r="AL60" s="1127" t="n">
        <f aca="false">IF(AK$75=0,0,AK60/AK$75)</f>
        <v>0</v>
      </c>
      <c r="AM60" s="1128" t="n">
        <v>0</v>
      </c>
      <c r="AN60" s="260" t="n">
        <f aca="false">IF(AM$75=0,0,AM60/AM$75)</f>
        <v>0</v>
      </c>
      <c r="AO60" s="1128" t="n">
        <v>0</v>
      </c>
      <c r="AP60" s="260" t="n">
        <f aca="false">IF(AO$75=0,0,AO60/AO$75)</f>
        <v>0</v>
      </c>
      <c r="AQ60" s="1128" t="n">
        <v>0</v>
      </c>
      <c r="AR60" s="260" t="n">
        <f aca="false">IF(AQ$75=0,0,AQ60/AQ$75)</f>
        <v>0</v>
      </c>
      <c r="AS60" s="1128" t="n">
        <v>8362.95238095238</v>
      </c>
      <c r="AT60" s="260" t="n">
        <f aca="false">IF(AS$75=0,0,AS60/AS$75)</f>
        <v>0.0418147619047619</v>
      </c>
      <c r="AU60" s="1128" t="n">
        <f aca="false">BC60</f>
        <v>0</v>
      </c>
      <c r="AV60" s="94" t="n">
        <f aca="false">IF(AU$75=0,0,AU60/AU$75)</f>
        <v>0</v>
      </c>
      <c r="AW60" s="38"/>
      <c r="AX60" s="1129" t="n">
        <v>7142.85714285714</v>
      </c>
      <c r="AY60" s="1130" t="n">
        <v>8362.95238095238</v>
      </c>
      <c r="AZ60" s="94" t="n">
        <f aca="false">AY60/AY$75</f>
        <v>0.0418147619047619</v>
      </c>
      <c r="BA60" s="846" t="n">
        <f aca="false">HLOOKUP($A60,CF_Table,CF!$AB$69)/2</f>
        <v>7155.99417363534</v>
      </c>
      <c r="BB60" s="189" t="n">
        <v>744.52186898281</v>
      </c>
      <c r="BC60" s="217" t="n">
        <f aca="false">IF(BB60&lt;0,BC59,IF(SUM(BB$35:BB60)&gt;$Z$27,$Z$27-SUM(BC$34:BC59),BB60))</f>
        <v>0</v>
      </c>
      <c r="BD60" s="260" t="n">
        <f aca="false">BC60/BC$75</f>
        <v>0</v>
      </c>
      <c r="BE60" s="43" t="n">
        <f aca="false">IF(BD60=0,BE59,B60/2)</f>
        <v>7</v>
      </c>
      <c r="BF60" s="574" t="n">
        <f aca="false">IF(BC60=0,0,BB60-BA60)</f>
        <v>0</v>
      </c>
    </row>
    <row r="61" customFormat="false" ht="12.75" hidden="false" customHeight="false" outlineLevel="0" collapsed="false">
      <c r="A61" s="264" t="n">
        <f aca="false">A59+1</f>
        <v>2014</v>
      </c>
      <c r="B61" s="467" t="n">
        <f aca="false">B60+1</f>
        <v>26</v>
      </c>
      <c r="C61" s="820" t="n">
        <f aca="false">F60</f>
        <v>10017.8571428572</v>
      </c>
      <c r="D61" s="217" t="n">
        <f aca="false">C61*F$30*0.5</f>
        <v>352.628571428573</v>
      </c>
      <c r="E61" s="217" t="n">
        <f aca="false">IF($B61&gt;=F$29,C61,IF(F$31&gt;=$B61,0,IF(C61&gt;1,CHOOSE(F$32,F$27/(F$29-F$31),-PMT(F$30/2,F$29-$B60,C61,0)-D61,F$27*$AL61),0)))</f>
        <v>2504.46428571429</v>
      </c>
      <c r="F61" s="847" t="n">
        <f aca="false">C61-E61</f>
        <v>7513.39285714289</v>
      </c>
      <c r="G61" s="820" t="n">
        <f aca="false">J60</f>
        <v>10017.8571428572</v>
      </c>
      <c r="H61" s="217" t="n">
        <f aca="false">G61*J$30*0.5</f>
        <v>374.667857142858</v>
      </c>
      <c r="I61" s="217" t="n">
        <f aca="false">IF($B61&gt;=J$29,G61,IF(J$31&gt;=$B61,0,IF(G61&gt;1,CHOOSE(J$32,J$27/(J$29-J$31),-PMT(J$30/2,J$29-$B60,G61,0)-H61,J$27*$AN61),0)))</f>
        <v>2504.46428571429</v>
      </c>
      <c r="J61" s="847" t="n">
        <f aca="false">G61-I61</f>
        <v>7513.39285714289</v>
      </c>
      <c r="K61" s="820" t="n">
        <f aca="false">N60</f>
        <v>0</v>
      </c>
      <c r="L61" s="217" t="n">
        <f aca="false">K61*N$30*0.5</f>
        <v>0</v>
      </c>
      <c r="M61" s="217" t="n">
        <f aca="false">IF($B61&gt;=N$29,K61,IF(N$31&gt;=$B61,0,IF(K61&gt;1,CHOOSE(N$32,N$27/(N$29-N$31),-PMT(N$30/2,N$29-$B60,K61,0)-L61,N$27*$AP61),0)))</f>
        <v>0</v>
      </c>
      <c r="N61" s="847" t="n">
        <f aca="false">K61-M61</f>
        <v>0</v>
      </c>
      <c r="O61" s="820" t="n">
        <f aca="false">R60</f>
        <v>0</v>
      </c>
      <c r="P61" s="217" t="n">
        <f aca="false">O61*R$30*0.5</f>
        <v>0</v>
      </c>
      <c r="Q61" s="628" t="n">
        <f aca="false">IF($B61&gt;=R$29,O61,IF(R$31&gt;=$B61,0,IF(O61&gt;1,CHOOSE(R$32,R$27/(R$29-R$31),-PMT(R$30/2,R$29-$B60,O61,0)-P61,R$27*$AR61),0)))</f>
        <v>0</v>
      </c>
      <c r="R61" s="847" t="n">
        <f aca="false">O61-Q61</f>
        <v>0</v>
      </c>
      <c r="S61" s="820" t="n">
        <f aca="false">V60</f>
        <v>5424.62569415596</v>
      </c>
      <c r="T61" s="217" t="n">
        <f aca="false">S61*V$30*0.5</f>
        <v>298.625644463286</v>
      </c>
      <c r="U61" s="628" t="n">
        <f aca="false">IF($B61&gt;=V$29,S61,IF(V$31&gt;=$B61,0,IF(S61&gt;1,CHOOSE(V$32,V$27/(V$29-V$31),-PMT(V$30/2,V$29-$B60,S61,0)-T61,V$27*$AT61),0)))</f>
        <v>1520.01342405235</v>
      </c>
      <c r="V61" s="847" t="n">
        <f aca="false">S61-U61</f>
        <v>3904.6122701036</v>
      </c>
      <c r="W61" s="820" t="n">
        <f aca="false">Z60</f>
        <v>0</v>
      </c>
      <c r="X61" s="217" t="n">
        <f aca="false">W61*Z$30*0.5</f>
        <v>0</v>
      </c>
      <c r="Y61" s="628" t="n">
        <f aca="false">IF($B61&gt;=Z$29,W61,IF(Z$31&gt;=$B61,0,IF(W61&gt;1,CHOOSE(Z$32,Z$27/(Z$29-Z$31),-PMT(Z$30/2,Z$29-$B60,W61,0)-X61,Z$27*$AV61),0)))</f>
        <v>0</v>
      </c>
      <c r="Z61" s="217" t="n">
        <f aca="false">W61-Y61</f>
        <v>0</v>
      </c>
      <c r="AA61" s="846"/>
      <c r="AB61" s="847"/>
      <c r="AC61" s="217"/>
      <c r="AD61" s="218"/>
      <c r="AE61" s="217"/>
      <c r="AF61" s="847"/>
      <c r="AG61" s="820"/>
      <c r="AH61" s="218"/>
      <c r="AI61" s="1125"/>
      <c r="AJ61" s="645"/>
      <c r="AK61" s="1126" t="n">
        <v>0</v>
      </c>
      <c r="AL61" s="1127" t="n">
        <f aca="false">IF(AK$75=0,0,AK61/AK$75)</f>
        <v>0</v>
      </c>
      <c r="AM61" s="1128" t="n">
        <v>0</v>
      </c>
      <c r="AN61" s="260" t="n">
        <f aca="false">IF(AM$75=0,0,AM61/AM$75)</f>
        <v>0</v>
      </c>
      <c r="AO61" s="1128" t="n">
        <v>0</v>
      </c>
      <c r="AP61" s="260" t="n">
        <f aca="false">IF(AO$75=0,0,AO61/AO$75)</f>
        <v>0</v>
      </c>
      <c r="AQ61" s="1128" t="n">
        <v>0</v>
      </c>
      <c r="AR61" s="260" t="n">
        <f aca="false">IF(AQ$75=0,0,AQ61/AQ$75)</f>
        <v>0</v>
      </c>
      <c r="AS61" s="1128" t="n">
        <v>8362.95238095238</v>
      </c>
      <c r="AT61" s="260" t="n">
        <f aca="false">IF(AS$75=0,0,AS61/AS$75)</f>
        <v>0.0418147619047619</v>
      </c>
      <c r="AU61" s="1128" t="n">
        <f aca="false">BC61</f>
        <v>0</v>
      </c>
      <c r="AV61" s="94" t="n">
        <f aca="false">IF(AU$75=0,0,AU61/AU$75)</f>
        <v>0</v>
      </c>
      <c r="AW61" s="38"/>
      <c r="AX61" s="1129" t="n">
        <v>7142.85714285714</v>
      </c>
      <c r="AY61" s="1130" t="n">
        <v>8362.95238095238</v>
      </c>
      <c r="AZ61" s="94" t="n">
        <f aca="false">AY61/AY$75</f>
        <v>0.0418147619047619</v>
      </c>
      <c r="BA61" s="846" t="n">
        <f aca="false">HLOOKUP($A61,CF_Table,CF!$AB$69)/2</f>
        <v>2904.88417017525</v>
      </c>
      <c r="BB61" s="189" t="n">
        <v>2368.99346934811</v>
      </c>
      <c r="BC61" s="217" t="n">
        <f aca="false">IF(BB61&lt;0,BC60,IF(SUM(BB$35:BB61)&gt;$Z$27,$Z$27-SUM(BC$34:BC60),BB61))</f>
        <v>0</v>
      </c>
      <c r="BD61" s="260" t="n">
        <f aca="false">BC61/BC$75</f>
        <v>0</v>
      </c>
      <c r="BE61" s="43" t="n">
        <f aca="false">IF(BD61=0,BE60,B61/2)</f>
        <v>7</v>
      </c>
      <c r="BF61" s="574" t="n">
        <f aca="false">IF(BC61=0,0,BB61-BA61)</f>
        <v>0</v>
      </c>
    </row>
    <row r="62" customFormat="false" ht="12.75" hidden="false" customHeight="false" outlineLevel="0" collapsed="false">
      <c r="A62" s="1131" t="n">
        <f aca="false">A61</f>
        <v>2014</v>
      </c>
      <c r="B62" s="1132" t="n">
        <f aca="false">B61+1</f>
        <v>27</v>
      </c>
      <c r="C62" s="1133" t="n">
        <f aca="false">F61</f>
        <v>7513.39285714289</v>
      </c>
      <c r="D62" s="777" t="n">
        <f aca="false">C62*F$30*0.5</f>
        <v>264.47142857143</v>
      </c>
      <c r="E62" s="777" t="n">
        <f aca="false">IF($B62&gt;=F$29,C62,IF(F$31&gt;=$B62,0,IF(C62&gt;1,CHOOSE(F$32,F$27/(F$29-F$31),-PMT(F$30/2,F$29-$B61,C62,0)-D62,F$27*$AL62),0)))</f>
        <v>2504.46428571429</v>
      </c>
      <c r="F62" s="1135" t="n">
        <f aca="false">C62-E62</f>
        <v>5008.9285714286</v>
      </c>
      <c r="G62" s="1133" t="n">
        <f aca="false">J61</f>
        <v>7513.39285714289</v>
      </c>
      <c r="H62" s="777" t="n">
        <f aca="false">G62*J$30*0.5</f>
        <v>281.000892857144</v>
      </c>
      <c r="I62" s="777" t="n">
        <f aca="false">IF($B62&gt;=J$29,G62,IF(J$31&gt;=$B62,0,IF(G62&gt;1,CHOOSE(J$32,J$27/(J$29-J$31),-PMT(J$30/2,J$29-$B61,G62,0)-H62,J$27*$AN62),0)))</f>
        <v>2504.46428571429</v>
      </c>
      <c r="J62" s="1135" t="n">
        <f aca="false">G62-I62</f>
        <v>5008.9285714286</v>
      </c>
      <c r="K62" s="1133" t="n">
        <f aca="false">N61</f>
        <v>0</v>
      </c>
      <c r="L62" s="777" t="n">
        <f aca="false">K62*N$30*0.5</f>
        <v>0</v>
      </c>
      <c r="M62" s="777" t="n">
        <f aca="false">IF($B62&gt;=N$29,K62,IF(N$31&gt;=$B62,0,IF(K62&gt;1,CHOOSE(N$32,N$27/(N$29-N$31),-PMT(N$30/2,N$29-$B61,K62,0)-L62,N$27*$AP62),0)))</f>
        <v>0</v>
      </c>
      <c r="N62" s="1135" t="n">
        <f aca="false">K62-M62</f>
        <v>0</v>
      </c>
      <c r="O62" s="1133" t="n">
        <f aca="false">R61</f>
        <v>0</v>
      </c>
      <c r="P62" s="777" t="n">
        <f aca="false">O62*R$30*0.5</f>
        <v>0</v>
      </c>
      <c r="Q62" s="1136" t="n">
        <f aca="false">IF($B62&gt;=R$29,O62,IF(R$31&gt;=$B62,0,IF(O62&gt;1,CHOOSE(R$32,R$27/(R$29-R$31),-PMT(R$30/2,R$29-$B61,O62,0)-P62,R$27*$AR62),0)))</f>
        <v>0</v>
      </c>
      <c r="R62" s="1135" t="n">
        <f aca="false">O62-Q62</f>
        <v>0</v>
      </c>
      <c r="S62" s="1133" t="n">
        <f aca="false">V61</f>
        <v>3904.6122701036</v>
      </c>
      <c r="T62" s="777" t="n">
        <f aca="false">S62*V$30*0.5</f>
        <v>214.948905469203</v>
      </c>
      <c r="U62" s="1136" t="n">
        <f aca="false">IF($B62&gt;=V$29,S62,IF(V$31&gt;=$B62,0,IF(S62&gt;1,CHOOSE(V$32,V$27/(V$29-V$31),-PMT(V$30/2,V$29-$B61,S62,0)-T62,V$27*$AT62),0)))</f>
        <v>1629.06678378553</v>
      </c>
      <c r="V62" s="1135" t="n">
        <f aca="false">S62-U62</f>
        <v>2275.54548631808</v>
      </c>
      <c r="W62" s="1133" t="n">
        <f aca="false">Z61</f>
        <v>0</v>
      </c>
      <c r="X62" s="777" t="n">
        <f aca="false">W62*Z$30*0.5</f>
        <v>0</v>
      </c>
      <c r="Y62" s="1136" t="n">
        <f aca="false">IF($B62&gt;=Z$29,W62,IF(Z$31&gt;=$B62,0,IF(W62&gt;1,CHOOSE(Z$32,Z$27/(Z$29-Z$31),-PMT(Z$30/2,Z$29-$B61,W62,0)-X62,Z$27*$AV62),0)))</f>
        <v>0</v>
      </c>
      <c r="Z62" s="777" t="n">
        <f aca="false">W62-Y62</f>
        <v>0</v>
      </c>
      <c r="AA62" s="1137" t="n">
        <f aca="false">SUM(D61:D62,H61:H62,L61:L62,P61:P62,T61:T62)</f>
        <v>1786.34329993249</v>
      </c>
      <c r="AB62" s="1135" t="n">
        <f aca="false">SUM(E61:E62,I61:I62,M61:M62,Q61:Q62,U61:U62)</f>
        <v>13166.937350695</v>
      </c>
      <c r="AC62" s="777" t="n">
        <f aca="false">SUM(X61:X62)</f>
        <v>0</v>
      </c>
      <c r="AD62" s="1138" t="n">
        <f aca="false">SUM(Y61:Y62)</f>
        <v>0</v>
      </c>
      <c r="AE62" s="777" t="n">
        <f aca="false">SUM(D61:D62,H61:H62)</f>
        <v>1272.76875</v>
      </c>
      <c r="AF62" s="1135" t="n">
        <f aca="false">SUM(E61:E62,I61:I62)</f>
        <v>10017.8571428571</v>
      </c>
      <c r="AG62" s="1133" t="n">
        <f aca="false">SUM(T61:T62)</f>
        <v>513.574549932489</v>
      </c>
      <c r="AH62" s="1138" t="n">
        <f aca="false">SUM(U61:U62)</f>
        <v>3149.08020783788</v>
      </c>
      <c r="AI62" s="1125" t="n">
        <f aca="false">(C61+G61+K61+S61+W61)*IF(RAROC!$B$103=1,VLOOKUP('Debt Amort'!A62,RAROC!$A$107:$D$113,2),IF(RAROC!$B$103=2,VLOOKUP('Debt Amort'!A62,RAROC!$A$107:$D$113,3),IF(RAROC!$B$103=3,VLOOKUP('Debt Amort'!A62,RAROC!$A$107:$D$113,4),0)))*((13-MONTH(Startops3))/12)</f>
        <v>0</v>
      </c>
      <c r="AJ62" s="645"/>
      <c r="AK62" s="1126" t="n">
        <v>0</v>
      </c>
      <c r="AL62" s="1127" t="n">
        <f aca="false">IF(AK$75=0,0,AK62/AK$75)</f>
        <v>0</v>
      </c>
      <c r="AM62" s="1128" t="n">
        <v>0</v>
      </c>
      <c r="AN62" s="260" t="n">
        <f aca="false">IF(AM$75=0,0,AM62/AM$75)</f>
        <v>0</v>
      </c>
      <c r="AO62" s="1128" t="n">
        <v>0</v>
      </c>
      <c r="AP62" s="260" t="n">
        <f aca="false">IF(AO$75=0,0,AO62/AO$75)</f>
        <v>0</v>
      </c>
      <c r="AQ62" s="1128" t="n">
        <v>0</v>
      </c>
      <c r="AR62" s="260" t="n">
        <f aca="false">IF(AQ$75=0,0,AQ62/AQ$75)</f>
        <v>0</v>
      </c>
      <c r="AS62" s="1128" t="n">
        <v>8962.95238095238</v>
      </c>
      <c r="AT62" s="260" t="n">
        <f aca="false">IF(AS$75=0,0,AS62/AS$75)</f>
        <v>0.0448147619047619</v>
      </c>
      <c r="AU62" s="1128" t="n">
        <f aca="false">BC62</f>
        <v>0</v>
      </c>
      <c r="AV62" s="94" t="n">
        <f aca="false">IF(AU$75=0,0,AU62/AU$75)</f>
        <v>0</v>
      </c>
      <c r="AW62" s="38"/>
      <c r="AX62" s="1129" t="n">
        <v>7142.85714285714</v>
      </c>
      <c r="AY62" s="1130" t="n">
        <f aca="false">8362.95238095238+200+400</f>
        <v>8962.95238095238</v>
      </c>
      <c r="AZ62" s="94" t="n">
        <f aca="false">AY62/AY$75</f>
        <v>0.0448147619047619</v>
      </c>
      <c r="BA62" s="846" t="n">
        <f aca="false">HLOOKUP($A62,CF_Table,CF!$AB$69)/2</f>
        <v>2904.88417017525</v>
      </c>
      <c r="BB62" s="189" t="n">
        <v>2368.99346934811</v>
      </c>
      <c r="BC62" s="217" t="n">
        <f aca="false">IF(BB62&lt;0,BC61,IF(SUM(BB$35:BB62)&gt;$Z$27,$Z$27-SUM(BC$34:BC61),BB62))</f>
        <v>0</v>
      </c>
      <c r="BD62" s="260" t="n">
        <f aca="false">BC62/BC$75</f>
        <v>0</v>
      </c>
      <c r="BE62" s="43" t="n">
        <f aca="false">IF(BD62=0,BE61,B62/2)</f>
        <v>7</v>
      </c>
      <c r="BF62" s="574" t="n">
        <f aca="false">IF(BC62=0,0,BB62-BA62)</f>
        <v>0</v>
      </c>
    </row>
    <row r="63" customFormat="false" ht="12.75" hidden="false" customHeight="false" outlineLevel="0" collapsed="false">
      <c r="A63" s="264" t="n">
        <f aca="false">A61+1</f>
        <v>2015</v>
      </c>
      <c r="B63" s="467" t="n">
        <f aca="false">B62+1</f>
        <v>28</v>
      </c>
      <c r="C63" s="820" t="n">
        <f aca="false">F62</f>
        <v>5008.9285714286</v>
      </c>
      <c r="D63" s="217" t="n">
        <f aca="false">C63*F$30*0.5</f>
        <v>176.314285714287</v>
      </c>
      <c r="E63" s="217" t="n">
        <f aca="false">IF($B63&gt;=F$29,C63,IF(F$31&gt;=$B63,0,IF(C63&gt;1,CHOOSE(F$32,F$27/(F$29-F$31),-PMT(F$30/2,F$29-$B62,C63,0)-D63,F$27*$AL63),0)))</f>
        <v>2504.46428571429</v>
      </c>
      <c r="F63" s="847" t="n">
        <f aca="false">C63-E63</f>
        <v>2504.46428571432</v>
      </c>
      <c r="G63" s="820" t="n">
        <f aca="false">J62</f>
        <v>5008.9285714286</v>
      </c>
      <c r="H63" s="217" t="n">
        <f aca="false">G63*J$30*0.5</f>
        <v>187.33392857143</v>
      </c>
      <c r="I63" s="217" t="n">
        <f aca="false">IF($B63&gt;=J$29,G63,IF(J$31&gt;=$B63,0,IF(G63&gt;1,CHOOSE(J$32,J$27/(J$29-J$31),-PMT(J$30/2,J$29-$B62,G63,0)-H63,J$27*$AN63),0)))</f>
        <v>2504.46428571429</v>
      </c>
      <c r="J63" s="847" t="n">
        <f aca="false">G63-I63</f>
        <v>2504.46428571432</v>
      </c>
      <c r="K63" s="820" t="n">
        <f aca="false">N62</f>
        <v>0</v>
      </c>
      <c r="L63" s="217" t="n">
        <f aca="false">K63*N$30*0.5</f>
        <v>0</v>
      </c>
      <c r="M63" s="217" t="n">
        <f aca="false">IF($B63&gt;=N$29,K63,IF(N$31&gt;=$B63,0,IF(K63&gt;1,CHOOSE(N$32,N$27/(N$29-N$31),-PMT(N$30/2,N$29-$B62,K63,0)-L63,N$27*$AP63),0)))</f>
        <v>0</v>
      </c>
      <c r="N63" s="847" t="n">
        <f aca="false">K63-M63</f>
        <v>0</v>
      </c>
      <c r="O63" s="820" t="n">
        <f aca="false">R62</f>
        <v>0</v>
      </c>
      <c r="P63" s="217" t="n">
        <f aca="false">O63*R$30*0.5</f>
        <v>0</v>
      </c>
      <c r="Q63" s="628" t="n">
        <f aca="false">IF($B63&gt;=R$29,O63,IF(R$31&gt;=$B63,0,IF(O63&gt;1,CHOOSE(R$32,R$27/(R$29-R$31),-PMT(R$30/2,R$29-$B62,O63,0)-P63,R$27*$AR63),0)))</f>
        <v>0</v>
      </c>
      <c r="R63" s="847" t="n">
        <f aca="false">O63-Q63</f>
        <v>0</v>
      </c>
      <c r="S63" s="820" t="n">
        <f aca="false">V62</f>
        <v>2275.54548631808</v>
      </c>
      <c r="T63" s="217" t="n">
        <f aca="false">S63*V$30*0.5</f>
        <v>125.26877902181</v>
      </c>
      <c r="U63" s="628" t="n">
        <f aca="false">IF($B63&gt;=V$29,S63,IF(V$31&gt;=$B63,0,IF(S63&gt;1,CHOOSE(V$32,V$27/(V$29-V$31),-PMT(V$30/2,V$29-$B62,S63,0)-T63,V$27*$AT63),0)))</f>
        <v>1710.85680358543</v>
      </c>
      <c r="V63" s="847" t="n">
        <f aca="false">S63-U63</f>
        <v>564.688682732649</v>
      </c>
      <c r="W63" s="820" t="n">
        <f aca="false">Z62</f>
        <v>0</v>
      </c>
      <c r="X63" s="217" t="n">
        <f aca="false">W63*Z$30*0.5</f>
        <v>0</v>
      </c>
      <c r="Y63" s="628" t="n">
        <f aca="false">IF($B63&gt;=Z$29,W63,IF(Z$31&gt;=$B63,0,IF(W63&gt;1,CHOOSE(Z$32,Z$27/(Z$29-Z$31),-PMT(Z$30/2,Z$29-$B62,W63,0)-X63,Z$27*$AV63),0)))</f>
        <v>0</v>
      </c>
      <c r="Z63" s="217" t="n">
        <f aca="false">W63-Y63</f>
        <v>0</v>
      </c>
      <c r="AA63" s="846"/>
      <c r="AB63" s="847"/>
      <c r="AC63" s="217"/>
      <c r="AD63" s="218"/>
      <c r="AE63" s="217"/>
      <c r="AF63" s="847"/>
      <c r="AG63" s="820"/>
      <c r="AH63" s="218"/>
      <c r="AI63" s="1125"/>
      <c r="AJ63" s="645"/>
      <c r="AK63" s="1126" t="n">
        <v>0</v>
      </c>
      <c r="AL63" s="1127" t="n">
        <f aca="false">IF(AK$75=0,0,AK63/AK$75)</f>
        <v>0</v>
      </c>
      <c r="AM63" s="1128" t="n">
        <v>0</v>
      </c>
      <c r="AN63" s="260" t="n">
        <f aca="false">IF(AM$75=0,0,AM63/AM$75)</f>
        <v>0</v>
      </c>
      <c r="AO63" s="1128" t="n">
        <v>0</v>
      </c>
      <c r="AP63" s="260" t="n">
        <f aca="false">IF(AO$75=0,0,AO63/AO$75)</f>
        <v>0</v>
      </c>
      <c r="AQ63" s="1128" t="n">
        <v>0</v>
      </c>
      <c r="AR63" s="260" t="n">
        <f aca="false">IF(AQ$75=0,0,AQ63/AQ$75)</f>
        <v>0</v>
      </c>
      <c r="AS63" s="1128" t="n">
        <v>9412.95238095248</v>
      </c>
      <c r="AT63" s="260" t="n">
        <f aca="false">IF(AS$75=0,0,AS63/AS$75)</f>
        <v>0.0470647619047624</v>
      </c>
      <c r="AU63" s="1128" t="n">
        <f aca="false">BC63</f>
        <v>0</v>
      </c>
      <c r="AV63" s="94" t="n">
        <f aca="false">IF(AU$75=0,0,AU63/AU$75)</f>
        <v>0</v>
      </c>
      <c r="AW63" s="38"/>
      <c r="AX63" s="1129" t="n">
        <v>7142.85714285711</v>
      </c>
      <c r="AY63" s="1130" t="n">
        <v>9412.95238095248</v>
      </c>
      <c r="AZ63" s="94" t="n">
        <f aca="false">AY63/AY$75</f>
        <v>0.0470647619047624</v>
      </c>
      <c r="BA63" s="846" t="n">
        <f aca="false">HLOOKUP($A63,CF_Table,CF!$AB$69)/2</f>
        <v>-994.706486756314</v>
      </c>
      <c r="BB63" s="189" t="n">
        <v>4315.62762410987</v>
      </c>
      <c r="BC63" s="217" t="n">
        <f aca="false">IF(BB63&lt;0,BC62,IF(SUM(BB$35:BB63)&gt;$Z$27,$Z$27-SUM(BC$34:BC62),BB63))</f>
        <v>0</v>
      </c>
      <c r="BD63" s="260" t="n">
        <f aca="false">BC63/BC$75</f>
        <v>0</v>
      </c>
      <c r="BE63" s="43" t="n">
        <f aca="false">IF(BD63=0,BE62,B63/2)</f>
        <v>7</v>
      </c>
      <c r="BF63" s="574" t="n">
        <f aca="false">IF(BC63=0,0,BB63-BA63)</f>
        <v>0</v>
      </c>
    </row>
    <row r="64" customFormat="false" ht="12.75" hidden="false" customHeight="false" outlineLevel="0" collapsed="false">
      <c r="A64" s="1131" t="n">
        <f aca="false">A63</f>
        <v>2015</v>
      </c>
      <c r="B64" s="1132" t="n">
        <f aca="false">B63+1</f>
        <v>29</v>
      </c>
      <c r="C64" s="1133" t="n">
        <f aca="false">F63</f>
        <v>2504.46428571432</v>
      </c>
      <c r="D64" s="777" t="n">
        <f aca="false">C64*F$30*0.5</f>
        <v>88.1571428571439</v>
      </c>
      <c r="E64" s="777" t="n">
        <f aca="false">IF($B64&gt;=F$29,C64,IF(F$31&gt;=$B64,0,IF(C64&gt;1,CHOOSE(F$32,F$27/(F$29-F$31),-PMT(F$30/2,F$29-$B63,C64,0)-D64,F$27*$AL64),0)))</f>
        <v>2504.46428571432</v>
      </c>
      <c r="F64" s="1135" t="n">
        <f aca="false">C64-E64</f>
        <v>0</v>
      </c>
      <c r="G64" s="1133" t="n">
        <f aca="false">J63</f>
        <v>2504.46428571432</v>
      </c>
      <c r="H64" s="777" t="n">
        <f aca="false">G64*J$30*0.5</f>
        <v>93.6669642857154</v>
      </c>
      <c r="I64" s="777" t="n">
        <f aca="false">IF($B64&gt;=J$29,G64,IF(J$31&gt;=$B64,0,IF(G64&gt;1,CHOOSE(J$32,J$27/(J$29-J$31),-PMT(J$30/2,J$29-$B63,G64,0)-H64,J$27*$AN64),0)))</f>
        <v>2504.46428571432</v>
      </c>
      <c r="J64" s="1135" t="n">
        <f aca="false">G64-I64</f>
        <v>0</v>
      </c>
      <c r="K64" s="1133" t="n">
        <f aca="false">N63</f>
        <v>0</v>
      </c>
      <c r="L64" s="777" t="n">
        <f aca="false">K64*N$30*0.5</f>
        <v>0</v>
      </c>
      <c r="M64" s="777" t="n">
        <f aca="false">IF($B64&gt;=N$29,K64,IF(N$31&gt;=$B64,0,IF(K64&gt;1,CHOOSE(N$32,N$27/(N$29-N$31),-PMT(N$30/2,N$29-$B63,K64,0)-L64,N$27*$AP64),0)))</f>
        <v>0</v>
      </c>
      <c r="N64" s="1135" t="n">
        <f aca="false">K64-M64</f>
        <v>0</v>
      </c>
      <c r="O64" s="1133" t="n">
        <f aca="false">R63</f>
        <v>0</v>
      </c>
      <c r="P64" s="777" t="n">
        <f aca="false">O64*R$30*0.5</f>
        <v>0</v>
      </c>
      <c r="Q64" s="1136" t="n">
        <f aca="false">IF($B64&gt;=R$29,O64,IF(R$31&gt;=$B64,0,IF(O64&gt;1,CHOOSE(R$32,R$27/(R$29-R$31),-PMT(R$30/2,R$29-$B63,O64,0)-P64,R$27*$AR64),0)))</f>
        <v>0</v>
      </c>
      <c r="R64" s="1135" t="n">
        <f aca="false">O64-Q64</f>
        <v>0</v>
      </c>
      <c r="S64" s="1133" t="n">
        <f aca="false">V63</f>
        <v>564.688682732649</v>
      </c>
      <c r="T64" s="777" t="n">
        <f aca="false">S64*V$30*0.5</f>
        <v>31.0861119844323</v>
      </c>
      <c r="U64" s="1136" t="n">
        <f aca="false">IF($B64&gt;=V$29,S64,IF(V$31&gt;=$B64,0,IF(S64&gt;1,CHOOSE(V$32,V$27/(V$29-V$31),-PMT(V$30/2,V$29-$B63,S64,0)-T64,V$27*$AT64),0)))</f>
        <v>564.688682732649</v>
      </c>
      <c r="V64" s="1135" t="n">
        <f aca="false">S64-U64</f>
        <v>0</v>
      </c>
      <c r="W64" s="1133" t="n">
        <f aca="false">Z63</f>
        <v>0</v>
      </c>
      <c r="X64" s="777" t="n">
        <f aca="false">W64*Z$30*0.5</f>
        <v>0</v>
      </c>
      <c r="Y64" s="1136" t="n">
        <f aca="false">IF($B64&gt;=Z$29,W64,IF(Z$31&gt;=$B64,0,IF(W64&gt;1,CHOOSE(Z$32,Z$27/(Z$29-Z$31),-PMT(Z$30/2,Z$29-$B63,W64,0)-X64,Z$27*$AV64),0)))</f>
        <v>0</v>
      </c>
      <c r="Z64" s="777" t="n">
        <f aca="false">W64-Y64</f>
        <v>0</v>
      </c>
      <c r="AA64" s="1137" t="n">
        <f aca="false">SUM(D63:D64,H63:H64,L63:L64,P63:P64,T63:T64)</f>
        <v>701.827212434818</v>
      </c>
      <c r="AB64" s="1135" t="n">
        <f aca="false">SUM(E63:E64,I63:I64,M63:M64,Q63:Q64,U63:U64)</f>
        <v>12293.4026291753</v>
      </c>
      <c r="AC64" s="777" t="n">
        <f aca="false">SUM(X63:X64)</f>
        <v>0</v>
      </c>
      <c r="AD64" s="1138" t="n">
        <f aca="false">SUM(Y63:Y64)</f>
        <v>0</v>
      </c>
      <c r="AE64" s="777" t="n">
        <f aca="false">SUM(D63:D64,H63:H64)</f>
        <v>545.472321428576</v>
      </c>
      <c r="AF64" s="1135" t="n">
        <f aca="false">SUM(E63:E64,I63:I64)</f>
        <v>10017.8571428572</v>
      </c>
      <c r="AG64" s="1133" t="n">
        <f aca="false">SUM(T63:T64)</f>
        <v>156.354891006242</v>
      </c>
      <c r="AH64" s="1138" t="n">
        <f aca="false">SUM(U63:U64)</f>
        <v>2275.54548631808</v>
      </c>
      <c r="AI64" s="1125" t="n">
        <f aca="false">(C63+G63+K63+S63+W63)*IF(RAROC!$B$103=1,VLOOKUP('Debt Amort'!A64,RAROC!$A$107:$D$113,2),IF(RAROC!$B$103=2,VLOOKUP('Debt Amort'!A64,RAROC!$A$107:$D$113,3),IF(RAROC!$B$103=3,VLOOKUP('Debt Amort'!A64,RAROC!$A$107:$D$113,4),0)))*((13-MONTH(Startops3))/12)</f>
        <v>0</v>
      </c>
      <c r="AJ64" s="645"/>
      <c r="AK64" s="1126" t="n">
        <v>0</v>
      </c>
      <c r="AL64" s="1127" t="n">
        <f aca="false">IF(AK$75=0,0,AK64/AK$75)</f>
        <v>0</v>
      </c>
      <c r="AM64" s="1128" t="n">
        <v>0</v>
      </c>
      <c r="AN64" s="260" t="n">
        <f aca="false">IF(AM$75=0,0,AM64/AM$75)</f>
        <v>0</v>
      </c>
      <c r="AO64" s="1128" t="n">
        <v>0</v>
      </c>
      <c r="AP64" s="260" t="n">
        <f aca="false">IF(AO$75=0,0,AO64/AO$75)</f>
        <v>0</v>
      </c>
      <c r="AQ64" s="1128" t="n">
        <v>0</v>
      </c>
      <c r="AR64" s="260" t="n">
        <f aca="false">IF(AQ$75=0,0,AQ64/AQ$75)</f>
        <v>0</v>
      </c>
      <c r="AS64" s="1128" t="n">
        <v>0</v>
      </c>
      <c r="AT64" s="260" t="n">
        <f aca="false">IF(AS$75=0,0,AS64/AS$75)</f>
        <v>0</v>
      </c>
      <c r="AU64" s="1128" t="n">
        <f aca="false">BC64</f>
        <v>0</v>
      </c>
      <c r="AV64" s="94" t="n">
        <f aca="false">IF(AU$75=0,0,AU64/AU$75)</f>
        <v>0</v>
      </c>
      <c r="AW64" s="38"/>
      <c r="AX64" s="1129" t="n">
        <v>0</v>
      </c>
      <c r="AY64" s="1130" t="n">
        <v>0</v>
      </c>
      <c r="AZ64" s="94" t="n">
        <f aca="false">AY64/AY$75</f>
        <v>0</v>
      </c>
      <c r="BA64" s="846" t="n">
        <f aca="false">HLOOKUP($A64,CF_Table,CF!$AB$69)/2</f>
        <v>-994.706486756314</v>
      </c>
      <c r="BB64" s="189" t="n">
        <v>4315.62762410987</v>
      </c>
      <c r="BC64" s="217" t="n">
        <f aca="false">IF(BB64&lt;0,BC63,IF(SUM(BB$35:BB64)&gt;$Z$27,$Z$27-SUM(BC$34:BC63),BB64))</f>
        <v>0</v>
      </c>
      <c r="BD64" s="260" t="n">
        <f aca="false">BC64/BC$75</f>
        <v>0</v>
      </c>
      <c r="BE64" s="43" t="n">
        <f aca="false">IF(BD64=0,BE63,B64/2)</f>
        <v>7</v>
      </c>
      <c r="BF64" s="574" t="n">
        <f aca="false">IF(BC64=0,0,BB64-BA64)</f>
        <v>0</v>
      </c>
    </row>
    <row r="65" customFormat="false" ht="12.75" hidden="false" customHeight="false" outlineLevel="0" collapsed="false">
      <c r="A65" s="264" t="n">
        <f aca="false">A63+1</f>
        <v>2016</v>
      </c>
      <c r="B65" s="467" t="n">
        <f aca="false">B64+1</f>
        <v>30</v>
      </c>
      <c r="C65" s="820" t="n">
        <f aca="false">F64</f>
        <v>0</v>
      </c>
      <c r="D65" s="217" t="n">
        <f aca="false">C65*F$30*0.5</f>
        <v>0</v>
      </c>
      <c r="E65" s="217" t="n">
        <f aca="false">IF($B65&gt;=F$29,C65,IF(F$31&gt;=$B65,0,IF(C65&gt;1,CHOOSE(F$32,F$27/(F$29-F$31),-PMT(F$30/2,F$29-$B64,C65,0)-D65,F$27*$AL65),0)))</f>
        <v>0</v>
      </c>
      <c r="F65" s="847" t="n">
        <f aca="false">C65-E65</f>
        <v>0</v>
      </c>
      <c r="G65" s="820" t="n">
        <f aca="false">J64</f>
        <v>0</v>
      </c>
      <c r="H65" s="217" t="n">
        <f aca="false">G65*J$30*0.5</f>
        <v>0</v>
      </c>
      <c r="I65" s="217" t="n">
        <f aca="false">IF($B65&gt;=J$29,G65,IF(J$31&gt;=$B65,0,IF(G65&gt;1,CHOOSE(J$32,J$27/(J$29-J$31),-PMT(J$30/2,J$29-$B64,G65,0)-H65,J$27*$AN65),0)))</f>
        <v>0</v>
      </c>
      <c r="J65" s="847" t="n">
        <f aca="false">G65-I65</f>
        <v>0</v>
      </c>
      <c r="K65" s="820" t="n">
        <f aca="false">N64</f>
        <v>0</v>
      </c>
      <c r="L65" s="217" t="n">
        <f aca="false">K65*N$30*0.5</f>
        <v>0</v>
      </c>
      <c r="M65" s="217" t="n">
        <f aca="false">IF($B65&gt;=N$29,K65,IF(N$31&gt;=$B65,0,IF(K65&gt;1,CHOOSE(N$32,N$27/(N$29-N$31),-PMT(N$30/2,N$29-$B64,K65,0)-L65,N$27*$AP65),0)))</f>
        <v>0</v>
      </c>
      <c r="N65" s="847" t="n">
        <f aca="false">K65-M65</f>
        <v>0</v>
      </c>
      <c r="O65" s="820" t="n">
        <f aca="false">R64</f>
        <v>0</v>
      </c>
      <c r="P65" s="217" t="n">
        <f aca="false">O65*R$30*0.5</f>
        <v>0</v>
      </c>
      <c r="Q65" s="628" t="n">
        <f aca="false">IF($B65&gt;=R$29,O65,IF(R$31&gt;=$B65,0,IF(O65&gt;1,CHOOSE(R$32,R$27/(R$29-R$31),-PMT(R$30/2,R$29-$B64,O65,0)-P65,R$27*$AR65),0)))</f>
        <v>0</v>
      </c>
      <c r="R65" s="847" t="n">
        <f aca="false">O65-Q65</f>
        <v>0</v>
      </c>
      <c r="S65" s="820" t="n">
        <f aca="false">V64</f>
        <v>0</v>
      </c>
      <c r="T65" s="217" t="n">
        <f aca="false">S65*V$30*0.5</f>
        <v>0</v>
      </c>
      <c r="U65" s="628" t="n">
        <f aca="false">IF($B65&gt;=V$29,S65,IF(V$31&gt;=$B65,0,IF(S65&gt;1,CHOOSE(V$32,V$27/(V$29-V$31),-PMT(V$30/2,V$29-$B64,S65,0)-T65,V$27*$AT65),0)))</f>
        <v>0</v>
      </c>
      <c r="V65" s="847" t="n">
        <f aca="false">S65-U65</f>
        <v>0</v>
      </c>
      <c r="W65" s="820" t="n">
        <f aca="false">Z64</f>
        <v>0</v>
      </c>
      <c r="X65" s="217" t="n">
        <f aca="false">W65*Z$30*0.5</f>
        <v>0</v>
      </c>
      <c r="Y65" s="217" t="n">
        <f aca="false">IF($B65&gt;=Z$29,W65,IF(Z$31&gt;=$B65,0,IF(W65&gt;1,CHOOSE(Z$32,Z$27/(Z$29-Z$31),-PMT(Z$30/2,Z$29-$B64,W65,0)-X65,Z$27*$AV65),0)))</f>
        <v>0</v>
      </c>
      <c r="Z65" s="217" t="n">
        <f aca="false">W65-Y65</f>
        <v>0</v>
      </c>
      <c r="AA65" s="846"/>
      <c r="AB65" s="847"/>
      <c r="AC65" s="217"/>
      <c r="AD65" s="218"/>
      <c r="AE65" s="217"/>
      <c r="AF65" s="847"/>
      <c r="AG65" s="820"/>
      <c r="AH65" s="218"/>
      <c r="AI65" s="1125"/>
      <c r="AJ65" s="645"/>
      <c r="AK65" s="1126" t="n">
        <v>0</v>
      </c>
      <c r="AL65" s="1127" t="n">
        <f aca="false">IF(AK$75=0,0,AK65/AK$75)</f>
        <v>0</v>
      </c>
      <c r="AM65" s="1128" t="n">
        <v>0</v>
      </c>
      <c r="AN65" s="260" t="n">
        <f aca="false">IF(AM$75=0,0,AM65/AM$75)</f>
        <v>0</v>
      </c>
      <c r="AO65" s="1128" t="n">
        <v>0</v>
      </c>
      <c r="AP65" s="260" t="n">
        <f aca="false">IF(AO$75=0,0,AO65/AO$75)</f>
        <v>0</v>
      </c>
      <c r="AQ65" s="1128" t="n">
        <v>0</v>
      </c>
      <c r="AR65" s="260" t="n">
        <f aca="false">IF(AQ$75=0,0,AQ65/AQ$75)</f>
        <v>0</v>
      </c>
      <c r="AS65" s="1128" t="n">
        <v>0</v>
      </c>
      <c r="AT65" s="260" t="n">
        <f aca="false">IF(AS$75=0,0,AS65/AS$75)</f>
        <v>0</v>
      </c>
      <c r="AU65" s="1128" t="n">
        <f aca="false">BC65</f>
        <v>0</v>
      </c>
      <c r="AV65" s="94" t="n">
        <f aca="false">IF(AU$75=0,0,AU65/AU$75)</f>
        <v>0</v>
      </c>
      <c r="AW65" s="38"/>
      <c r="AX65" s="1129" t="n">
        <v>0</v>
      </c>
      <c r="AY65" s="1130" t="n">
        <v>0</v>
      </c>
      <c r="AZ65" s="94" t="n">
        <f aca="false">AY65/AY$75</f>
        <v>0</v>
      </c>
      <c r="BA65" s="846" t="n">
        <f aca="false">HLOOKUP($A65,CF_Table,CF!$AB$69)/2</f>
        <v>3042.82523191554</v>
      </c>
      <c r="BB65" s="189" t="n">
        <v>9681.8129212413</v>
      </c>
      <c r="BC65" s="217" t="n">
        <f aca="false">IF(BB65&lt;0,BC64,IF(SUM(BB$35:BB65)&gt;$Z$27,$Z$27-SUM(BC$34:BC64),BB65))</f>
        <v>0</v>
      </c>
      <c r="BD65" s="260" t="n">
        <f aca="false">BC65/BC$75</f>
        <v>0</v>
      </c>
      <c r="BE65" s="43" t="n">
        <f aca="false">IF(BD65=0,BE64,B65/2)</f>
        <v>7</v>
      </c>
      <c r="BF65" s="574" t="n">
        <f aca="false">IF(BC65=0,0,BB65-BA65)</f>
        <v>0</v>
      </c>
    </row>
    <row r="66" customFormat="false" ht="12.75" hidden="false" customHeight="false" outlineLevel="0" collapsed="false">
      <c r="A66" s="1131" t="n">
        <f aca="false">A65</f>
        <v>2016</v>
      </c>
      <c r="B66" s="1132" t="n">
        <f aca="false">B65+1</f>
        <v>31</v>
      </c>
      <c r="C66" s="1133" t="n">
        <f aca="false">F65</f>
        <v>0</v>
      </c>
      <c r="D66" s="777" t="n">
        <f aca="false">C66*F$30*0.5</f>
        <v>0</v>
      </c>
      <c r="E66" s="777" t="n">
        <f aca="false">IF($B66&gt;=F$29,C66,IF(F$31&gt;=$B66,0,IF(C66&gt;1,CHOOSE(F$32,F$27/(F$29-F$31),-PMT(F$30/2,F$29-$B65,C66,0)-D66,F$27*$AL66),0)))</f>
        <v>0</v>
      </c>
      <c r="F66" s="1135" t="n">
        <f aca="false">C66-E66</f>
        <v>0</v>
      </c>
      <c r="G66" s="1133" t="n">
        <f aca="false">J65</f>
        <v>0</v>
      </c>
      <c r="H66" s="777" t="n">
        <f aca="false">G66*J$30*0.5</f>
        <v>0</v>
      </c>
      <c r="I66" s="777" t="n">
        <f aca="false">IF($B66&gt;=J$29,G66,IF(J$31&gt;=$B66,0,IF(G66&gt;1,CHOOSE(J$32,J$27/(J$29-J$31),-PMT(J$30/2,J$29-$B65,G66,0)-H66,J$27*$AN66),0)))</f>
        <v>0</v>
      </c>
      <c r="J66" s="1135" t="n">
        <f aca="false">G66-I66</f>
        <v>0</v>
      </c>
      <c r="K66" s="1133" t="n">
        <f aca="false">N65</f>
        <v>0</v>
      </c>
      <c r="L66" s="777" t="n">
        <f aca="false">K66*N$30*0.5</f>
        <v>0</v>
      </c>
      <c r="M66" s="777" t="n">
        <f aca="false">IF($B66&gt;=N$29,K66,IF(N$31&gt;=$B66,0,IF(K66&gt;1,CHOOSE(N$32,N$27/(N$29-N$31),-PMT(N$30/2,N$29-$B65,K66,0)-L66,N$27*$AP66),0)))</f>
        <v>0</v>
      </c>
      <c r="N66" s="1135" t="n">
        <f aca="false">K66-M66</f>
        <v>0</v>
      </c>
      <c r="O66" s="1133" t="n">
        <f aca="false">R65</f>
        <v>0</v>
      </c>
      <c r="P66" s="777" t="n">
        <f aca="false">O66*R$30*0.5</f>
        <v>0</v>
      </c>
      <c r="Q66" s="1136" t="n">
        <f aca="false">IF($B66&gt;=R$29,O66,IF(R$31&gt;=$B66,0,IF(O66&gt;1,CHOOSE(R$32,R$27/(R$29-R$31),-PMT(R$30/2,R$29-$B65,O66,0)-P66,R$27*$AR66),0)))</f>
        <v>0</v>
      </c>
      <c r="R66" s="1135" t="n">
        <f aca="false">O66-Q66</f>
        <v>0</v>
      </c>
      <c r="S66" s="1133" t="n">
        <f aca="false">V65</f>
        <v>0</v>
      </c>
      <c r="T66" s="777" t="n">
        <f aca="false">S66*V$30*0.5</f>
        <v>0</v>
      </c>
      <c r="U66" s="1136" t="n">
        <f aca="false">IF($B66&gt;=V$29,S66,IF(V$31&gt;=$B66,0,IF(S66&gt;1,CHOOSE(V$32,V$27/(V$29-V$31),-PMT(V$30/2,V$29-$B65,S66,0)-T66,V$27*$AT66),0)))</f>
        <v>0</v>
      </c>
      <c r="V66" s="1135" t="n">
        <f aca="false">S66-U66</f>
        <v>0</v>
      </c>
      <c r="W66" s="1133" t="n">
        <f aca="false">Z65</f>
        <v>0</v>
      </c>
      <c r="X66" s="777" t="n">
        <f aca="false">W66*Z$30*0.5</f>
        <v>0</v>
      </c>
      <c r="Y66" s="777" t="n">
        <f aca="false">IF($B66&gt;=Z$29,W66,IF(Z$31&gt;=$B66,0,IF(W66&gt;1,CHOOSE(Z$32,Z$27/(Z$29-Z$31),-PMT(Z$30/2,Z$29-$B65,W66,0)-X66,Z$27*$AV66),0)))</f>
        <v>0</v>
      </c>
      <c r="Z66" s="777" t="n">
        <f aca="false">W66-Y66</f>
        <v>0</v>
      </c>
      <c r="AA66" s="1137" t="n">
        <f aca="false">SUM(D65:D66,H65:H66,L65:L66,P65:P66,T65:T66)</f>
        <v>0</v>
      </c>
      <c r="AB66" s="1135" t="n">
        <f aca="false">SUM(E65:E66,I65:I66,M65:M66,Q65:Q66,U65:U66)</f>
        <v>0</v>
      </c>
      <c r="AC66" s="777" t="n">
        <f aca="false">SUM(X65:X66)</f>
        <v>0</v>
      </c>
      <c r="AD66" s="1138" t="n">
        <f aca="false">SUM(Y65:Y66)</f>
        <v>0</v>
      </c>
      <c r="AE66" s="777" t="n">
        <f aca="false">SUM(D65:D66,H65:H66)</f>
        <v>0</v>
      </c>
      <c r="AF66" s="1135" t="n">
        <f aca="false">SUM(E65:E66,I65:I66)</f>
        <v>0</v>
      </c>
      <c r="AG66" s="1133" t="n">
        <f aca="false">SUM(T65:T66)</f>
        <v>0</v>
      </c>
      <c r="AH66" s="1138" t="n">
        <f aca="false">SUM(U65:U66)</f>
        <v>0</v>
      </c>
      <c r="AI66" s="1125" t="n">
        <f aca="false">(C65+G65+K65+S65+W65)*IF(RAROC!$B$103=1,VLOOKUP('Debt Amort'!A66,RAROC!$A$107:$D$113,2),IF(RAROC!$B$103=2,VLOOKUP('Debt Amort'!A66,RAROC!$A$107:$D$113,3),IF(RAROC!$B$103=3,VLOOKUP('Debt Amort'!A66,RAROC!$A$107:$D$113,4),0)))*((13-MONTH(Startops3))/12)</f>
        <v>0</v>
      </c>
      <c r="AJ66" s="645"/>
      <c r="AK66" s="1126" t="n">
        <v>0</v>
      </c>
      <c r="AL66" s="1127" t="n">
        <f aca="false">IF(AK$75=0,0,AK66/AK$75)</f>
        <v>0</v>
      </c>
      <c r="AM66" s="1128" t="n">
        <v>0</v>
      </c>
      <c r="AN66" s="260" t="n">
        <f aca="false">IF(AM$75=0,0,AM66/AM$75)</f>
        <v>0</v>
      </c>
      <c r="AO66" s="1128" t="n">
        <v>0</v>
      </c>
      <c r="AP66" s="260" t="n">
        <f aca="false">IF(AO$75=0,0,AO66/AO$75)</f>
        <v>0</v>
      </c>
      <c r="AQ66" s="1128" t="n">
        <v>0</v>
      </c>
      <c r="AR66" s="260" t="n">
        <f aca="false">IF(AQ$75=0,0,AQ66/AQ$75)</f>
        <v>0</v>
      </c>
      <c r="AS66" s="1128" t="n">
        <v>0</v>
      </c>
      <c r="AT66" s="260" t="n">
        <f aca="false">IF(AS$75=0,0,AS66/AS$75)</f>
        <v>0</v>
      </c>
      <c r="AU66" s="1128" t="n">
        <f aca="false">BC66</f>
        <v>0</v>
      </c>
      <c r="AV66" s="94" t="n">
        <f aca="false">IF(AU$75=0,0,AU66/AU$75)</f>
        <v>0</v>
      </c>
      <c r="AW66" s="38"/>
      <c r="AX66" s="1129" t="n">
        <v>0</v>
      </c>
      <c r="AY66" s="1130" t="n">
        <v>0</v>
      </c>
      <c r="AZ66" s="94" t="n">
        <f aca="false">AY66/AY$75</f>
        <v>0</v>
      </c>
      <c r="BA66" s="846" t="n">
        <f aca="false">HLOOKUP($A66,CF_Table,CF!$AB$69)/2</f>
        <v>3042.82523191554</v>
      </c>
      <c r="BB66" s="189" t="n">
        <v>9681.8129212413</v>
      </c>
      <c r="BC66" s="217" t="n">
        <f aca="false">IF(BB66&lt;0,BC65,IF(SUM(BB$35:BB66)&gt;$Z$27,$Z$27-SUM(BC$34:BC65),BB66))</f>
        <v>0</v>
      </c>
      <c r="BD66" s="260" t="n">
        <f aca="false">BC66/BC$75</f>
        <v>0</v>
      </c>
      <c r="BE66" s="43" t="n">
        <f aca="false">IF(BD66=0,BE65,B66/2)</f>
        <v>7</v>
      </c>
      <c r="BF66" s="574" t="n">
        <f aca="false">IF(BC66=0,0,BB66-BA66)</f>
        <v>0</v>
      </c>
    </row>
    <row r="67" customFormat="false" ht="12.75" hidden="false" customHeight="false" outlineLevel="0" collapsed="false">
      <c r="A67" s="264" t="n">
        <f aca="false">A65+1</f>
        <v>2017</v>
      </c>
      <c r="B67" s="467" t="n">
        <f aca="false">B66+1</f>
        <v>32</v>
      </c>
      <c r="C67" s="820" t="n">
        <f aca="false">F66</f>
        <v>0</v>
      </c>
      <c r="D67" s="217" t="n">
        <f aca="false">C67*F$30*0.5</f>
        <v>0</v>
      </c>
      <c r="E67" s="217" t="n">
        <f aca="false">IF($B67&gt;=F$29,C67,IF(F$31&gt;=$B67,0,IF(C67&gt;1,CHOOSE(F$32,F$27/(F$29-F$31),-PMT(F$30/2,F$29-$B66,C67,0)-D67,F$27*$AL67),0)))</f>
        <v>0</v>
      </c>
      <c r="F67" s="847" t="n">
        <f aca="false">C67-E67</f>
        <v>0</v>
      </c>
      <c r="G67" s="820" t="n">
        <f aca="false">J66</f>
        <v>0</v>
      </c>
      <c r="H67" s="217" t="n">
        <f aca="false">G67*J$30*0.5</f>
        <v>0</v>
      </c>
      <c r="I67" s="217" t="n">
        <f aca="false">IF($B67&gt;=J$29,G67,IF(J$31&gt;=$B67,0,IF(G67&gt;1,CHOOSE(J$32,J$27/(J$29-J$31),-PMT(J$30/2,J$29-$B66,G67,0)-H67,J$27*$AN67),0)))</f>
        <v>0</v>
      </c>
      <c r="J67" s="847" t="n">
        <f aca="false">G67-I67</f>
        <v>0</v>
      </c>
      <c r="K67" s="820" t="n">
        <f aca="false">N66</f>
        <v>0</v>
      </c>
      <c r="L67" s="217" t="n">
        <f aca="false">K67*N$30*0.5</f>
        <v>0</v>
      </c>
      <c r="M67" s="217" t="n">
        <f aca="false">IF($B67&gt;=N$29,K67,IF(N$31&gt;=$B67,0,IF(K67&gt;1,CHOOSE(N$32,N$27/(N$29-N$31),-PMT(N$30/2,N$29-$B66,K67,0)-L67,N$27*$AP67),0)))</f>
        <v>0</v>
      </c>
      <c r="N67" s="847" t="n">
        <f aca="false">K67-M67</f>
        <v>0</v>
      </c>
      <c r="O67" s="820" t="n">
        <f aca="false">R66</f>
        <v>0</v>
      </c>
      <c r="P67" s="217" t="n">
        <f aca="false">O67*R$30*0.5</f>
        <v>0</v>
      </c>
      <c r="Q67" s="628" t="n">
        <f aca="false">IF($B67&gt;=R$29,O67,IF(R$31&gt;=$B67,0,IF(O67&gt;1,CHOOSE(R$32,R$27/(R$29-R$31),-PMT(R$30/2,R$29-$B66,O67,0)-P67,R$27*$AR67),0)))</f>
        <v>0</v>
      </c>
      <c r="R67" s="847" t="n">
        <f aca="false">O67-Q67</f>
        <v>0</v>
      </c>
      <c r="S67" s="820" t="n">
        <f aca="false">V66</f>
        <v>0</v>
      </c>
      <c r="T67" s="217" t="n">
        <f aca="false">S67*V$30*0.5</f>
        <v>0</v>
      </c>
      <c r="U67" s="628" t="n">
        <f aca="false">IF($B67&gt;=V$29,S67,IF(V$31&gt;=$B67,0,IF(S67&gt;1,CHOOSE(V$32,V$27/(V$29-V$31),-PMT(V$30/2,V$29-$B66,S67,0)-T67,V$27*$AT67),0)))</f>
        <v>0</v>
      </c>
      <c r="V67" s="847" t="n">
        <f aca="false">S67-U67</f>
        <v>0</v>
      </c>
      <c r="W67" s="820" t="n">
        <f aca="false">Z66</f>
        <v>0</v>
      </c>
      <c r="X67" s="217" t="n">
        <f aca="false">W67*Z$30*0.5</f>
        <v>0</v>
      </c>
      <c r="Y67" s="217" t="n">
        <f aca="false">IF($B67&gt;=Z$29,W67,IF(Z$31&gt;=$B67,0,IF(W67&gt;1,CHOOSE(Z$32,Z$27/(Z$29-Z$31),-PMT(Z$30/2,Z$29-$B66,W67,0)-X67,Z$27*$AV67),0)))</f>
        <v>0</v>
      </c>
      <c r="Z67" s="217" t="n">
        <f aca="false">W67-Y67</f>
        <v>0</v>
      </c>
      <c r="AA67" s="846"/>
      <c r="AB67" s="847"/>
      <c r="AC67" s="217"/>
      <c r="AD67" s="218"/>
      <c r="AE67" s="217"/>
      <c r="AF67" s="847"/>
      <c r="AG67" s="820"/>
      <c r="AH67" s="218"/>
      <c r="AI67" s="1125"/>
      <c r="AJ67" s="645"/>
      <c r="AK67" s="1126" t="n">
        <v>0</v>
      </c>
      <c r="AL67" s="1127" t="n">
        <f aca="false">IF(AK$75=0,0,AK67/AK$75)</f>
        <v>0</v>
      </c>
      <c r="AM67" s="1128" t="n">
        <v>0</v>
      </c>
      <c r="AN67" s="260" t="n">
        <f aca="false">IF(AM$75=0,0,AM67/AM$75)</f>
        <v>0</v>
      </c>
      <c r="AO67" s="1128" t="n">
        <v>0</v>
      </c>
      <c r="AP67" s="260" t="n">
        <f aca="false">IF(AO$75=0,0,AO67/AO$75)</f>
        <v>0</v>
      </c>
      <c r="AQ67" s="1128" t="n">
        <v>0</v>
      </c>
      <c r="AR67" s="260" t="n">
        <f aca="false">IF(AQ$75=0,0,AQ67/AQ$75)</f>
        <v>0</v>
      </c>
      <c r="AS67" s="1128" t="n">
        <v>0</v>
      </c>
      <c r="AT67" s="260" t="n">
        <f aca="false">IF(AS$75=0,0,AS67/AS$75)</f>
        <v>0</v>
      </c>
      <c r="AU67" s="1128" t="n">
        <f aca="false">BC67</f>
        <v>0</v>
      </c>
      <c r="AV67" s="94" t="n">
        <f aca="false">IF(AU$75=0,0,AU67/AU$75)</f>
        <v>0</v>
      </c>
      <c r="AW67" s="38"/>
      <c r="AX67" s="1129" t="n">
        <v>0</v>
      </c>
      <c r="AY67" s="1130" t="n">
        <v>0</v>
      </c>
      <c r="AZ67" s="94" t="n">
        <f aca="false">AY67/AY$75</f>
        <v>0</v>
      </c>
      <c r="BA67" s="846" t="n">
        <f aca="false">HLOOKUP($A67,CF_Table,CF!$AB$69)/2</f>
        <v>2344.95681925432</v>
      </c>
      <c r="BB67" s="189" t="n">
        <v>11230.738193157</v>
      </c>
      <c r="BC67" s="217" t="n">
        <f aca="false">IF(BB67&lt;0,BC66,IF(SUM(BB$35:BB67)&gt;$Z$27,$Z$27-SUM(BC$34:BC66),BB67))</f>
        <v>0</v>
      </c>
      <c r="BD67" s="260" t="n">
        <f aca="false">BC67/BC$75</f>
        <v>0</v>
      </c>
      <c r="BE67" s="43" t="n">
        <f aca="false">IF(BD67=0,BE66,B67/2)</f>
        <v>7</v>
      </c>
      <c r="BF67" s="574" t="n">
        <f aca="false">IF(BC67=0,0,BB67-BA67)</f>
        <v>0</v>
      </c>
    </row>
    <row r="68" customFormat="false" ht="12.75" hidden="false" customHeight="false" outlineLevel="0" collapsed="false">
      <c r="A68" s="1131" t="n">
        <f aca="false">A67</f>
        <v>2017</v>
      </c>
      <c r="B68" s="1132" t="n">
        <f aca="false">B67+1</f>
        <v>33</v>
      </c>
      <c r="C68" s="1133" t="n">
        <f aca="false">F67</f>
        <v>0</v>
      </c>
      <c r="D68" s="777" t="n">
        <f aca="false">C68*F$30*0.5</f>
        <v>0</v>
      </c>
      <c r="E68" s="777" t="n">
        <f aca="false">IF($B68&gt;=F$29,C68,IF(F$31&gt;=$B68,0,IF(C68&gt;1,CHOOSE(F$32,F$27/(F$29-F$31),-PMT(F$30/2,F$29-$B67,C68,0)-D68,F$27*$AL68),0)))</f>
        <v>0</v>
      </c>
      <c r="F68" s="1135" t="n">
        <f aca="false">C68-E68</f>
        <v>0</v>
      </c>
      <c r="G68" s="1133" t="n">
        <f aca="false">J67</f>
        <v>0</v>
      </c>
      <c r="H68" s="777" t="n">
        <f aca="false">G68*J$30*0.5</f>
        <v>0</v>
      </c>
      <c r="I68" s="777" t="n">
        <f aca="false">IF($B68&gt;=J$29,G68,IF(J$31&gt;=$B68,0,IF(G68&gt;1,CHOOSE(J$32,J$27/(J$29-J$31),-PMT(J$30/2,J$29-$B67,G68,0)-H68,J$27*$AN68),0)))</f>
        <v>0</v>
      </c>
      <c r="J68" s="1135" t="n">
        <f aca="false">G68-I68</f>
        <v>0</v>
      </c>
      <c r="K68" s="1133" t="n">
        <f aca="false">N67</f>
        <v>0</v>
      </c>
      <c r="L68" s="777" t="n">
        <f aca="false">K68*N$30*0.5</f>
        <v>0</v>
      </c>
      <c r="M68" s="777" t="n">
        <f aca="false">IF($B68&gt;=N$29,K68,IF(N$31&gt;=$B68,0,IF(K68&gt;1,CHOOSE(N$32,N$27/(N$29-N$31),-PMT(N$30/2,N$29-$B67,K68,0)-L68,N$27*$AP68),0)))</f>
        <v>0</v>
      </c>
      <c r="N68" s="1135" t="n">
        <f aca="false">K68-M68</f>
        <v>0</v>
      </c>
      <c r="O68" s="1133" t="n">
        <f aca="false">R67</f>
        <v>0</v>
      </c>
      <c r="P68" s="777" t="n">
        <f aca="false">O68*R$30*0.5</f>
        <v>0</v>
      </c>
      <c r="Q68" s="1136" t="n">
        <f aca="false">IF($B68&gt;=R$29,O68,IF(R$31&gt;=$B68,0,IF(O68&gt;1,CHOOSE(R$32,R$27/(R$29-R$31),-PMT(R$30/2,R$29-$B67,O68,0)-P68,R$27*$AR68),0)))</f>
        <v>0</v>
      </c>
      <c r="R68" s="1135" t="n">
        <f aca="false">O68-Q68</f>
        <v>0</v>
      </c>
      <c r="S68" s="1133" t="n">
        <f aca="false">V67</f>
        <v>0</v>
      </c>
      <c r="T68" s="777" t="n">
        <f aca="false">S68*V$30*0.5</f>
        <v>0</v>
      </c>
      <c r="U68" s="1136" t="n">
        <f aca="false">IF($B68&gt;=V$29,S68,IF(V$31&gt;=$B68,0,IF(S68&gt;1,CHOOSE(V$32,V$27/(V$29-V$31),-PMT(V$30/2,V$29-$B67,S68,0)-T68,V$27*$AT68),0)))</f>
        <v>0</v>
      </c>
      <c r="V68" s="1135" t="n">
        <f aca="false">S68-U68</f>
        <v>0</v>
      </c>
      <c r="W68" s="1133" t="n">
        <f aca="false">Z67</f>
        <v>0</v>
      </c>
      <c r="X68" s="777" t="n">
        <f aca="false">W68*Z$30*0.5</f>
        <v>0</v>
      </c>
      <c r="Y68" s="777" t="n">
        <f aca="false">IF($B68&gt;=Z$29,W68,IF(Z$31&gt;=$B68,0,IF(W68&gt;1,CHOOSE(Z$32,Z$27/(Z$29-Z$31),-PMT(Z$30/2,Z$29-$B67,W68,0)-X68,Z$27*$AV68),0)))</f>
        <v>0</v>
      </c>
      <c r="Z68" s="777" t="n">
        <f aca="false">W68-Y68</f>
        <v>0</v>
      </c>
      <c r="AA68" s="1137" t="n">
        <f aca="false">SUM(D67:D68,H67:H68,L67:L68,P67:P68,T67:T68)</f>
        <v>0</v>
      </c>
      <c r="AB68" s="1135" t="n">
        <f aca="false">SUM(E67:E68,I67:I68,M67:M68,Q67:Q68,U67:U68)</f>
        <v>0</v>
      </c>
      <c r="AC68" s="777" t="n">
        <f aca="false">SUM(X67:X68)</f>
        <v>0</v>
      </c>
      <c r="AD68" s="1138" t="n">
        <f aca="false">SUM(Y67:Y68)</f>
        <v>0</v>
      </c>
      <c r="AE68" s="777" t="n">
        <f aca="false">SUM(D67:D68,H67:H68)</f>
        <v>0</v>
      </c>
      <c r="AF68" s="1135" t="n">
        <f aca="false">SUM(E67:E68,I67:I68)</f>
        <v>0</v>
      </c>
      <c r="AG68" s="1133" t="n">
        <f aca="false">SUM(T67:T68)</f>
        <v>0</v>
      </c>
      <c r="AH68" s="1138" t="n">
        <f aca="false">SUM(U67:U68)</f>
        <v>0</v>
      </c>
      <c r="AI68" s="1125" t="n">
        <f aca="false">(C67+G67+K67+S67+W67)*IF(RAROC!$B$103=1,VLOOKUP('Debt Amort'!A68,RAROC!$A$107:$D$113,2),IF(RAROC!$B$103=2,VLOOKUP('Debt Amort'!A68,RAROC!$A$107:$D$113,3),IF(RAROC!$B$103=3,VLOOKUP('Debt Amort'!A68,RAROC!$A$107:$D$113,4),0)))*((13-MONTH(Startops3))/12)</f>
        <v>0</v>
      </c>
      <c r="AJ68" s="645"/>
      <c r="AK68" s="1126" t="n">
        <v>0</v>
      </c>
      <c r="AL68" s="1127" t="n">
        <f aca="false">IF(AK$75=0,0,AK68/AK$75)</f>
        <v>0</v>
      </c>
      <c r="AM68" s="1128" t="n">
        <v>0</v>
      </c>
      <c r="AN68" s="260" t="n">
        <f aca="false">IF(AM$75=0,0,AM68/AM$75)</f>
        <v>0</v>
      </c>
      <c r="AO68" s="1128" t="n">
        <v>0</v>
      </c>
      <c r="AP68" s="260" t="n">
        <f aca="false">IF(AO$75=0,0,AO68/AO$75)</f>
        <v>0</v>
      </c>
      <c r="AQ68" s="1128" t="n">
        <v>0</v>
      </c>
      <c r="AR68" s="260" t="n">
        <f aca="false">IF(AQ$75=0,0,AQ68/AQ$75)</f>
        <v>0</v>
      </c>
      <c r="AS68" s="1128" t="n">
        <v>0</v>
      </c>
      <c r="AT68" s="260" t="n">
        <f aca="false">IF(AS$75=0,0,AS68/AS$75)</f>
        <v>0</v>
      </c>
      <c r="AU68" s="1128" t="n">
        <f aca="false">BC68</f>
        <v>0</v>
      </c>
      <c r="AV68" s="94" t="n">
        <f aca="false">IF(AU$75=0,0,AU68/AU$75)</f>
        <v>0</v>
      </c>
      <c r="AW68" s="38"/>
      <c r="AX68" s="1129" t="n">
        <v>0</v>
      </c>
      <c r="AY68" s="1130" t="n">
        <v>0</v>
      </c>
      <c r="AZ68" s="94" t="n">
        <f aca="false">AY68/AY$75</f>
        <v>0</v>
      </c>
      <c r="BA68" s="846" t="n">
        <f aca="false">HLOOKUP($A68,CF_Table,CF!$AB$69)/2</f>
        <v>2344.95681925432</v>
      </c>
      <c r="BB68" s="189" t="n">
        <v>11230.738193157</v>
      </c>
      <c r="BC68" s="217" t="n">
        <f aca="false">IF(BB68&lt;0,BC67,IF(SUM(BB$35:BB68)&gt;$Z$27,$Z$27-SUM(BC$34:BC67),BB68))</f>
        <v>0</v>
      </c>
      <c r="BD68" s="260" t="n">
        <f aca="false">BC68/BC$75</f>
        <v>0</v>
      </c>
      <c r="BE68" s="43" t="n">
        <f aca="false">IF(BD68=0,BE67,B68/2)</f>
        <v>7</v>
      </c>
      <c r="BF68" s="574" t="n">
        <f aca="false">IF(BC68=0,0,BB68-BA68)</f>
        <v>0</v>
      </c>
    </row>
    <row r="69" customFormat="false" ht="12.75" hidden="false" customHeight="false" outlineLevel="0" collapsed="false">
      <c r="A69" s="264" t="n">
        <f aca="false">A67+1</f>
        <v>2018</v>
      </c>
      <c r="B69" s="467" t="n">
        <f aca="false">B68+1</f>
        <v>34</v>
      </c>
      <c r="C69" s="820" t="n">
        <f aca="false">F68</f>
        <v>0</v>
      </c>
      <c r="D69" s="217" t="n">
        <f aca="false">C69*F$30*0.5</f>
        <v>0</v>
      </c>
      <c r="E69" s="217" t="n">
        <f aca="false">IF($B69&gt;=F$29,C69,IF(F$31&gt;=$B69,0,IF(C69&gt;1,CHOOSE(F$32,F$27/(F$29-F$31),-PMT(F$30/2,F$29-$B68,C69,0)-D69,F$27*$AL69),0)))</f>
        <v>0</v>
      </c>
      <c r="F69" s="847" t="n">
        <f aca="false">C69-E69</f>
        <v>0</v>
      </c>
      <c r="G69" s="820" t="n">
        <f aca="false">J68</f>
        <v>0</v>
      </c>
      <c r="H69" s="217" t="n">
        <f aca="false">G69*J$30*0.5</f>
        <v>0</v>
      </c>
      <c r="I69" s="217" t="n">
        <f aca="false">IF($B69&gt;=J$29,G69,IF(J$31&gt;=$B69,0,IF(G69&gt;1,CHOOSE(J$32,J$27/(J$29-J$31),-PMT(J$30/2,J$29-$B68,G69,0)-H69,J$27*$AN69),0)))</f>
        <v>0</v>
      </c>
      <c r="J69" s="847" t="n">
        <f aca="false">G69-I69</f>
        <v>0</v>
      </c>
      <c r="K69" s="820" t="n">
        <f aca="false">N68</f>
        <v>0</v>
      </c>
      <c r="L69" s="217" t="n">
        <f aca="false">K69*N$30*0.5</f>
        <v>0</v>
      </c>
      <c r="M69" s="217" t="n">
        <f aca="false">IF($B69&gt;=N$29,K69,IF(N$31&gt;=$B69,0,IF(K69&gt;1,CHOOSE(N$32,N$27/(N$29-N$31),-PMT(N$30/2,N$29-$B68,K69,0)-L69,N$27*$AP69),0)))</f>
        <v>0</v>
      </c>
      <c r="N69" s="847" t="n">
        <f aca="false">K69-M69</f>
        <v>0</v>
      </c>
      <c r="O69" s="820" t="n">
        <f aca="false">R68</f>
        <v>0</v>
      </c>
      <c r="P69" s="217" t="n">
        <f aca="false">O69*R$30*0.5</f>
        <v>0</v>
      </c>
      <c r="Q69" s="628" t="n">
        <f aca="false">IF($B69&gt;=R$29,O69,IF(R$31&gt;=$B69,0,IF(O69&gt;1,CHOOSE(R$32,R$27/(R$29-R$31),-PMT(R$30/2,R$29-$B68,O69,0)-P69,R$27*$AR69),0)))</f>
        <v>0</v>
      </c>
      <c r="R69" s="847" t="n">
        <f aca="false">O69-Q69</f>
        <v>0</v>
      </c>
      <c r="S69" s="820" t="n">
        <f aca="false">V68</f>
        <v>0</v>
      </c>
      <c r="T69" s="217" t="n">
        <f aca="false">S69*V$30*0.5</f>
        <v>0</v>
      </c>
      <c r="U69" s="628" t="n">
        <f aca="false">IF($B69&gt;=V$29,S69,IF(V$31&gt;=$B69,0,IF(S69&gt;1,CHOOSE(V$32,V$27/(V$29-V$31),-PMT(V$30/2,V$29-$B68,S69,0)-T69,V$27*$AT69),0)))</f>
        <v>0</v>
      </c>
      <c r="V69" s="847" t="n">
        <f aca="false">S69-U69</f>
        <v>0</v>
      </c>
      <c r="W69" s="820" t="n">
        <f aca="false">Z68</f>
        <v>0</v>
      </c>
      <c r="X69" s="217" t="n">
        <f aca="false">W69*Z$30*0.5</f>
        <v>0</v>
      </c>
      <c r="Y69" s="217" t="n">
        <f aca="false">IF($B69&gt;=Z$29,W69,IF(Z$31&gt;=$B69,0,IF(W69&gt;1,CHOOSE(Z$32,Z$27/(Z$29-Z$31),-PMT(Z$30/2,Z$29-$B68,W69,0)-X69,Z$27*$AV69),0)))</f>
        <v>0</v>
      </c>
      <c r="Z69" s="217" t="n">
        <f aca="false">W69-Y69</f>
        <v>0</v>
      </c>
      <c r="AA69" s="846"/>
      <c r="AB69" s="847"/>
      <c r="AC69" s="217"/>
      <c r="AD69" s="218"/>
      <c r="AE69" s="217"/>
      <c r="AF69" s="847"/>
      <c r="AG69" s="820"/>
      <c r="AH69" s="218"/>
      <c r="AI69" s="1125"/>
      <c r="AJ69" s="645"/>
      <c r="AK69" s="1126" t="n">
        <v>0</v>
      </c>
      <c r="AL69" s="1127" t="n">
        <f aca="false">IF(AK$75=0,0,AK69/AK$75)</f>
        <v>0</v>
      </c>
      <c r="AM69" s="1128" t="n">
        <v>0</v>
      </c>
      <c r="AN69" s="260" t="n">
        <f aca="false">IF(AM$75=0,0,AM69/AM$75)</f>
        <v>0</v>
      </c>
      <c r="AO69" s="1128" t="n">
        <v>0</v>
      </c>
      <c r="AP69" s="260" t="n">
        <f aca="false">IF(AO$75=0,0,AO69/AO$75)</f>
        <v>0</v>
      </c>
      <c r="AQ69" s="1128" t="n">
        <v>0</v>
      </c>
      <c r="AR69" s="260" t="n">
        <f aca="false">IF(AQ$75=0,0,AQ69/AQ$75)</f>
        <v>0</v>
      </c>
      <c r="AS69" s="1128" t="n">
        <v>0</v>
      </c>
      <c r="AT69" s="260" t="n">
        <f aca="false">IF(AS$75=0,0,AS69/AS$75)</f>
        <v>0</v>
      </c>
      <c r="AU69" s="1128" t="n">
        <f aca="false">BC69</f>
        <v>0</v>
      </c>
      <c r="AV69" s="94" t="n">
        <f aca="false">IF(AU$75=0,0,AU69/AU$75)</f>
        <v>0</v>
      </c>
      <c r="AW69" s="38"/>
      <c r="AX69" s="1129" t="n">
        <v>0</v>
      </c>
      <c r="AY69" s="1130" t="n">
        <v>0</v>
      </c>
      <c r="AZ69" s="94" t="n">
        <f aca="false">AY69/AY$75</f>
        <v>0</v>
      </c>
      <c r="BA69" s="846" t="n">
        <f aca="false">HLOOKUP($A69,CF_Table,CF!$AB$69)/2</f>
        <v>3112.30264630372</v>
      </c>
      <c r="BB69" s="189" t="n">
        <v>11792.3902781226</v>
      </c>
      <c r="BC69" s="217" t="n">
        <f aca="false">IF(BB69&lt;0,BC68,IF(SUM(BB$35:BB69)&gt;$Z$27,$Z$27-SUM(BC$34:BC68),BB69))</f>
        <v>0</v>
      </c>
      <c r="BD69" s="260" t="n">
        <f aca="false">BC69/BC$75</f>
        <v>0</v>
      </c>
      <c r="BE69" s="43" t="n">
        <f aca="false">IF(BD69=0,BE68,B69/2)</f>
        <v>7</v>
      </c>
      <c r="BF69" s="574" t="n">
        <f aca="false">IF(BC69=0,0,BB69-BA69)</f>
        <v>0</v>
      </c>
    </row>
    <row r="70" customFormat="false" ht="12.75" hidden="false" customHeight="false" outlineLevel="0" collapsed="false">
      <c r="A70" s="1131" t="n">
        <f aca="false">A68+1</f>
        <v>2018</v>
      </c>
      <c r="B70" s="1132" t="n">
        <f aca="false">B69+1</f>
        <v>35</v>
      </c>
      <c r="C70" s="1133" t="n">
        <f aca="false">F69</f>
        <v>0</v>
      </c>
      <c r="D70" s="777" t="n">
        <f aca="false">C70*F$30*0.5</f>
        <v>0</v>
      </c>
      <c r="E70" s="777" t="n">
        <f aca="false">IF($B70&gt;=F$29,C70,IF(F$31&gt;=$B70,0,IF(C70&gt;1,CHOOSE(F$32,F$27/(F$29-F$31),-PMT(F$30/2,F$29-$B69,C70,0)-D70,F$27*$AL70),0)))</f>
        <v>0</v>
      </c>
      <c r="F70" s="1135" t="n">
        <f aca="false">C70-E70</f>
        <v>0</v>
      </c>
      <c r="G70" s="1133" t="n">
        <f aca="false">J69</f>
        <v>0</v>
      </c>
      <c r="H70" s="777" t="n">
        <f aca="false">G70*J$30*0.5</f>
        <v>0</v>
      </c>
      <c r="I70" s="777" t="n">
        <f aca="false">IF($B70&gt;=J$29,G70,IF(J$31&gt;=$B70,0,IF(G70&gt;1,CHOOSE(J$32,J$27/(J$29-J$31),-PMT(J$30/2,J$29-$B69,G70,0)-H70,J$27*$AN70),0)))</f>
        <v>0</v>
      </c>
      <c r="J70" s="1135" t="n">
        <f aca="false">G70-I70</f>
        <v>0</v>
      </c>
      <c r="K70" s="1133" t="n">
        <f aca="false">N69</f>
        <v>0</v>
      </c>
      <c r="L70" s="777" t="n">
        <f aca="false">K70*N$30*0.5</f>
        <v>0</v>
      </c>
      <c r="M70" s="777" t="n">
        <f aca="false">IF($B70&gt;=N$29,K70,IF(N$31&gt;=$B70,0,IF(K70&gt;1,CHOOSE(N$32,N$27/(N$29-N$31),-PMT(N$30/2,N$29-$B69,K70,0)-L70,N$27*$AP70),0)))</f>
        <v>0</v>
      </c>
      <c r="N70" s="1135" t="n">
        <f aca="false">K70-M70</f>
        <v>0</v>
      </c>
      <c r="O70" s="1133" t="n">
        <f aca="false">R69</f>
        <v>0</v>
      </c>
      <c r="P70" s="777" t="n">
        <f aca="false">O70*R$30*0.5</f>
        <v>0</v>
      </c>
      <c r="Q70" s="1136" t="n">
        <f aca="false">IF($B70&gt;=R$29,O70,IF(R$31&gt;=$B70,0,IF(O70&gt;1,CHOOSE(R$32,R$27/(R$29-R$31),-PMT(R$30/2,R$29-$B69,O70,0)-P70,R$27*$AR70),0)))</f>
        <v>0</v>
      </c>
      <c r="R70" s="1135" t="n">
        <f aca="false">O70-Q70</f>
        <v>0</v>
      </c>
      <c r="S70" s="1133" t="n">
        <f aca="false">V69</f>
        <v>0</v>
      </c>
      <c r="T70" s="777" t="n">
        <f aca="false">S70*V$30*0.5</f>
        <v>0</v>
      </c>
      <c r="U70" s="1136" t="n">
        <f aca="false">IF($B70&gt;=V$29,S70,IF(V$31&gt;=$B70,0,IF(S70&gt;1,CHOOSE(V$32,V$27/(V$29-V$31),-PMT(V$30/2,V$29-$B69,S70,0)-T70,V$27*$AT70),0)))</f>
        <v>0</v>
      </c>
      <c r="V70" s="1135" t="n">
        <f aca="false">S70-U70</f>
        <v>0</v>
      </c>
      <c r="W70" s="1133" t="n">
        <f aca="false">Z69</f>
        <v>0</v>
      </c>
      <c r="X70" s="777" t="n">
        <f aca="false">W70*Z$30*0.5</f>
        <v>0</v>
      </c>
      <c r="Y70" s="777" t="n">
        <f aca="false">IF($B70&gt;=Z$29,W70,IF(Z$31&gt;=$B70,0,IF(W70&gt;1,CHOOSE(Z$32,Z$27/(Z$29-Z$31),-PMT(Z$30/2,Z$29-$B69,W70,0)-X70,Z$27*$AV70),0)))</f>
        <v>0</v>
      </c>
      <c r="Z70" s="777" t="n">
        <f aca="false">W70-Y70</f>
        <v>0</v>
      </c>
      <c r="AA70" s="1137" t="n">
        <f aca="false">SUM(D69:D70,H69:H70,L69:L70,P69:P70,T69:T70)</f>
        <v>0</v>
      </c>
      <c r="AB70" s="1135" t="n">
        <f aca="false">SUM(E69:E70,I69:I70,M69:M70,Q69:Q70,U69:U70)</f>
        <v>0</v>
      </c>
      <c r="AC70" s="777" t="n">
        <f aca="false">SUM(X69:X70)</f>
        <v>0</v>
      </c>
      <c r="AD70" s="1138" t="n">
        <f aca="false">SUM(Y69:Y70)</f>
        <v>0</v>
      </c>
      <c r="AE70" s="777" t="n">
        <f aca="false">SUM(D69:D70,H69:H70)</f>
        <v>0</v>
      </c>
      <c r="AF70" s="1135" t="n">
        <f aca="false">SUM(E69:E70,I69:I70)</f>
        <v>0</v>
      </c>
      <c r="AG70" s="1133" t="n">
        <f aca="false">SUM(T69:T70)</f>
        <v>0</v>
      </c>
      <c r="AH70" s="1138" t="n">
        <f aca="false">SUM(U69:U70)</f>
        <v>0</v>
      </c>
      <c r="AI70" s="1125" t="n">
        <f aca="false">(C69+G69+K69+S69+W69)*IF(RAROC!$B$103=1,VLOOKUP('Debt Amort'!A70,RAROC!$A$107:$D$113,2),IF(RAROC!$B$103=2,VLOOKUP('Debt Amort'!A70,RAROC!$A$107:$D$113,3),IF(RAROC!$B$103=3,VLOOKUP('Debt Amort'!A70,RAROC!$A$107:$D$113,4),0)))*((13-MONTH(Startops3))/12)</f>
        <v>0</v>
      </c>
      <c r="AJ70" s="645"/>
      <c r="AK70" s="1126" t="n">
        <v>0</v>
      </c>
      <c r="AL70" s="1127" t="n">
        <f aca="false">IF(AK$75=0,0,AK70/AK$75)</f>
        <v>0</v>
      </c>
      <c r="AM70" s="1128" t="n">
        <v>0</v>
      </c>
      <c r="AN70" s="260" t="n">
        <f aca="false">IF(AM$75=0,0,AM70/AM$75)</f>
        <v>0</v>
      </c>
      <c r="AO70" s="1128" t="n">
        <v>0</v>
      </c>
      <c r="AP70" s="260" t="n">
        <f aca="false">IF(AO$75=0,0,AO70/AO$75)</f>
        <v>0</v>
      </c>
      <c r="AQ70" s="1128" t="n">
        <v>0</v>
      </c>
      <c r="AR70" s="260" t="n">
        <f aca="false">IF(AQ$75=0,0,AQ70/AQ$75)</f>
        <v>0</v>
      </c>
      <c r="AS70" s="1128" t="n">
        <v>0</v>
      </c>
      <c r="AT70" s="260" t="n">
        <f aca="false">IF(AS$75=0,0,AS70/AS$75)</f>
        <v>0</v>
      </c>
      <c r="AU70" s="1128" t="n">
        <f aca="false">BC70</f>
        <v>0</v>
      </c>
      <c r="AV70" s="94" t="n">
        <f aca="false">IF(AU$75=0,0,AU70/AU$75)</f>
        <v>0</v>
      </c>
      <c r="AW70" s="38"/>
      <c r="AX70" s="1129" t="n">
        <v>0</v>
      </c>
      <c r="AY70" s="1130" t="n">
        <v>0</v>
      </c>
      <c r="AZ70" s="94" t="n">
        <f aca="false">AY70/AY$75</f>
        <v>0</v>
      </c>
      <c r="BA70" s="846" t="n">
        <f aca="false">HLOOKUP($A70,CF_Table,CF!$AB$69)/2</f>
        <v>3112.30264630372</v>
      </c>
      <c r="BB70" s="189" t="n">
        <v>11792.3902781226</v>
      </c>
      <c r="BC70" s="217" t="n">
        <f aca="false">IF(BB70&lt;0,BC69,IF(SUM(BB$35:BB70)&gt;$Z$27,$Z$27-SUM(BC$34:BC69),BB70))</f>
        <v>0</v>
      </c>
      <c r="BD70" s="260" t="n">
        <f aca="false">BC70/BC$75</f>
        <v>0</v>
      </c>
      <c r="BE70" s="43" t="n">
        <f aca="false">IF(BD70=0,BE69,B70/2)</f>
        <v>7</v>
      </c>
      <c r="BF70" s="574" t="n">
        <f aca="false">IF(BC70=0,0,BB70-BA70)</f>
        <v>0</v>
      </c>
    </row>
    <row r="71" customFormat="false" ht="12.75" hidden="false" customHeight="false" outlineLevel="0" collapsed="false">
      <c r="A71" s="264" t="n">
        <f aca="false">A69+1</f>
        <v>2019</v>
      </c>
      <c r="B71" s="467" t="n">
        <f aca="false">B70+1</f>
        <v>36</v>
      </c>
      <c r="C71" s="820" t="n">
        <f aca="false">F70</f>
        <v>0</v>
      </c>
      <c r="D71" s="217" t="n">
        <f aca="false">C71*F$30*0.5</f>
        <v>0</v>
      </c>
      <c r="E71" s="217" t="n">
        <f aca="false">IF($B71&gt;=F$29,C71,IF(F$31&gt;=$B71,0,IF(C71&gt;1,CHOOSE(F$32,F$27/(F$29-F$31),-PMT(F$30/2,F$29-$B70,C71,0)-D71,F$27*$AL71),0)))</f>
        <v>0</v>
      </c>
      <c r="F71" s="847" t="n">
        <f aca="false">C71-E71</f>
        <v>0</v>
      </c>
      <c r="G71" s="820" t="n">
        <f aca="false">J70</f>
        <v>0</v>
      </c>
      <c r="H71" s="217" t="n">
        <f aca="false">G71*J$30*0.5</f>
        <v>0</v>
      </c>
      <c r="I71" s="217" t="n">
        <f aca="false">IF($B71&gt;=J$29,G71,IF(J$31&gt;=$B71,0,IF(G71&gt;1,CHOOSE(J$32,J$27/(J$29-J$31),-PMT(J$30/2,J$29-$B70,G71,0)-H71,J$27*$AN71),0)))</f>
        <v>0</v>
      </c>
      <c r="J71" s="847" t="n">
        <f aca="false">G71-I71</f>
        <v>0</v>
      </c>
      <c r="K71" s="820" t="n">
        <f aca="false">N70</f>
        <v>0</v>
      </c>
      <c r="L71" s="217" t="n">
        <f aca="false">K71*N$30*0.5</f>
        <v>0</v>
      </c>
      <c r="M71" s="217" t="n">
        <f aca="false">IF($B71&gt;=N$29,K71,IF(N$31&gt;=$B71,0,IF(K71&gt;1,CHOOSE(N$32,N$27/(N$29-N$31),-PMT(N$30/2,N$29-$B70,K71,0)-L71,N$27*$AP71),0)))</f>
        <v>0</v>
      </c>
      <c r="N71" s="847" t="n">
        <f aca="false">K71-M71</f>
        <v>0</v>
      </c>
      <c r="O71" s="820" t="n">
        <f aca="false">R70</f>
        <v>0</v>
      </c>
      <c r="P71" s="217" t="n">
        <f aca="false">O71*R$30*0.5</f>
        <v>0</v>
      </c>
      <c r="Q71" s="628" t="n">
        <f aca="false">IF($B71&gt;=R$29,O71,IF(R$31&gt;=$B71,0,IF(O71&gt;1,CHOOSE(R$32,R$27/(R$29-R$31),-PMT(R$30/2,R$29-$B70,O71,0)-P71,R$27*$AR71),0)))</f>
        <v>0</v>
      </c>
      <c r="R71" s="847" t="n">
        <f aca="false">O71-Q71</f>
        <v>0</v>
      </c>
      <c r="S71" s="820" t="n">
        <f aca="false">V70</f>
        <v>0</v>
      </c>
      <c r="T71" s="217" t="n">
        <f aca="false">S71*V$30*0.5</f>
        <v>0</v>
      </c>
      <c r="U71" s="628" t="n">
        <f aca="false">IF($B71&gt;=V$29,S71,IF(V$31&gt;=$B71,0,IF(S71&gt;1,CHOOSE(V$32,V$27/(V$29-V$31),-PMT(V$30/2,V$29-$B70,S71,0)-T71,V$27*$AT71),0)))</f>
        <v>0</v>
      </c>
      <c r="V71" s="847" t="n">
        <f aca="false">S71-U71</f>
        <v>0</v>
      </c>
      <c r="W71" s="820" t="n">
        <f aca="false">Z70</f>
        <v>0</v>
      </c>
      <c r="X71" s="217" t="n">
        <f aca="false">W71*Z$30*0.5</f>
        <v>0</v>
      </c>
      <c r="Y71" s="217" t="n">
        <f aca="false">IF($B71&gt;=Z$29,W71,IF(Z$31&gt;=$B71,0,IF(W71&gt;1,CHOOSE(Z$32,Z$27/(Z$29-Z$31),-PMT(Z$30/2,Z$29-$B70,W71,0)-X71,Z$27*$AV71),0)))</f>
        <v>0</v>
      </c>
      <c r="Z71" s="217" t="n">
        <f aca="false">W71-Y71</f>
        <v>0</v>
      </c>
      <c r="AA71" s="846"/>
      <c r="AB71" s="847"/>
      <c r="AC71" s="217"/>
      <c r="AD71" s="218"/>
      <c r="AE71" s="217"/>
      <c r="AF71" s="847"/>
      <c r="AG71" s="820"/>
      <c r="AH71" s="218"/>
      <c r="AI71" s="1125"/>
      <c r="AJ71" s="645"/>
      <c r="AK71" s="1126" t="n">
        <v>0</v>
      </c>
      <c r="AL71" s="1127" t="n">
        <f aca="false">IF(AK$75=0,0,AK71/AK$75)</f>
        <v>0</v>
      </c>
      <c r="AM71" s="1128" t="n">
        <v>0</v>
      </c>
      <c r="AN71" s="260" t="n">
        <f aca="false">IF(AM$75=0,0,AM71/AM$75)</f>
        <v>0</v>
      </c>
      <c r="AO71" s="1128" t="n">
        <v>0</v>
      </c>
      <c r="AP71" s="260" t="n">
        <f aca="false">IF(AO$75=0,0,AO71/AO$75)</f>
        <v>0</v>
      </c>
      <c r="AQ71" s="1128" t="n">
        <v>0</v>
      </c>
      <c r="AR71" s="260" t="n">
        <f aca="false">IF(AQ$75=0,0,AQ71/AQ$75)</f>
        <v>0</v>
      </c>
      <c r="AS71" s="1128" t="n">
        <v>0</v>
      </c>
      <c r="AT71" s="260" t="n">
        <f aca="false">IF(AS$75=0,0,AS71/AS$75)</f>
        <v>0</v>
      </c>
      <c r="AU71" s="1128" t="n">
        <f aca="false">BC71</f>
        <v>0</v>
      </c>
      <c r="AV71" s="94" t="n">
        <f aca="false">IF(AU$75=0,0,AU71/AU$75)</f>
        <v>0</v>
      </c>
      <c r="AW71" s="38"/>
      <c r="AX71" s="1129" t="n">
        <v>0</v>
      </c>
      <c r="AY71" s="1130" t="n">
        <v>0</v>
      </c>
      <c r="AZ71" s="94" t="n">
        <f aca="false">AY71/AY$75</f>
        <v>0</v>
      </c>
      <c r="BA71" s="846" t="n">
        <f aca="false">HLOOKUP($A71,CF_Table,CF!$AB$69)/2</f>
        <v>3801.22311044548</v>
      </c>
      <c r="BB71" s="189" t="n">
        <v>13398.1992507209</v>
      </c>
      <c r="BC71" s="217" t="n">
        <f aca="false">IF(BB71&lt;0,BC70,IF(SUM(BB$35:BB71)&gt;$Z$27,$Z$27-SUM(BC$34:BC70),BB71))</f>
        <v>0</v>
      </c>
      <c r="BD71" s="260" t="n">
        <f aca="false">BC71/BC$75</f>
        <v>0</v>
      </c>
      <c r="BE71" s="43" t="n">
        <f aca="false">IF(BD71=0,BE70,B71/2)</f>
        <v>7</v>
      </c>
      <c r="BF71" s="574" t="n">
        <f aca="false">IF(BC71=0,0,BB71-BA71)</f>
        <v>0</v>
      </c>
    </row>
    <row r="72" customFormat="false" ht="12.75" hidden="false" customHeight="false" outlineLevel="0" collapsed="false">
      <c r="A72" s="1131" t="n">
        <f aca="false">A70+1</f>
        <v>2019</v>
      </c>
      <c r="B72" s="1132" t="n">
        <f aca="false">B71+1</f>
        <v>37</v>
      </c>
      <c r="C72" s="1133" t="n">
        <f aca="false">F71</f>
        <v>0</v>
      </c>
      <c r="D72" s="777" t="n">
        <f aca="false">C72*F$30*0.5</f>
        <v>0</v>
      </c>
      <c r="E72" s="777" t="n">
        <f aca="false">IF($B72&gt;=F$29,C72,IF(F$31&gt;=$B72,0,IF(C72&gt;1,CHOOSE(F$32,F$27/(F$29-F$31),-PMT(F$30/2,F$29-$B71,C72,0)-D72,F$27*$AL72),0)))</f>
        <v>0</v>
      </c>
      <c r="F72" s="1135" t="n">
        <f aca="false">C72-E72</f>
        <v>0</v>
      </c>
      <c r="G72" s="1133" t="n">
        <f aca="false">J71</f>
        <v>0</v>
      </c>
      <c r="H72" s="777" t="n">
        <f aca="false">G72*J$30*0.5</f>
        <v>0</v>
      </c>
      <c r="I72" s="777" t="n">
        <f aca="false">IF($B72&gt;=J$29,G72,IF(J$31&gt;=$B72,0,IF(G72&gt;1,CHOOSE(J$32,J$27/(J$29-J$31),-PMT(J$30/2,J$29-$B71,G72,0)-H72,J$27*$AN72),0)))</f>
        <v>0</v>
      </c>
      <c r="J72" s="1135" t="n">
        <f aca="false">G72-I72</f>
        <v>0</v>
      </c>
      <c r="K72" s="1133" t="n">
        <f aca="false">N71</f>
        <v>0</v>
      </c>
      <c r="L72" s="777" t="n">
        <f aca="false">K72*N$30*0.5</f>
        <v>0</v>
      </c>
      <c r="M72" s="777" t="n">
        <f aca="false">IF($B72&gt;=N$29,K72,IF(N$31&gt;=$B72,0,IF(K72&gt;1,CHOOSE(N$32,N$27/(N$29-N$31),-PMT(N$30/2,N$29-$B71,K72,0)-L72,N$27*$AP72),0)))</f>
        <v>0</v>
      </c>
      <c r="N72" s="1135" t="n">
        <f aca="false">K72-M72</f>
        <v>0</v>
      </c>
      <c r="O72" s="1133" t="n">
        <f aca="false">R71</f>
        <v>0</v>
      </c>
      <c r="P72" s="777" t="n">
        <f aca="false">O72*R$30*0.5</f>
        <v>0</v>
      </c>
      <c r="Q72" s="1136" t="n">
        <f aca="false">IF($B72&gt;=R$29,O72,IF(R$31&gt;=$B72,0,IF(O72&gt;1,CHOOSE(R$32,R$27/(R$29-R$31),-PMT(R$30/2,R$29-$B71,O72,0)-P72,R$27*$AR72),0)))</f>
        <v>0</v>
      </c>
      <c r="R72" s="1135" t="n">
        <f aca="false">O72-Q72</f>
        <v>0</v>
      </c>
      <c r="S72" s="1133" t="n">
        <f aca="false">V71</f>
        <v>0</v>
      </c>
      <c r="T72" s="777" t="n">
        <f aca="false">S72*V$30*0.5</f>
        <v>0</v>
      </c>
      <c r="U72" s="1136" t="n">
        <f aca="false">IF($B72&gt;=V$29,S72,IF(V$31&gt;=$B72,0,IF(S72&gt;1,CHOOSE(V$32,V$27/(V$29-V$31),-PMT(V$30/2,V$29-$B71,S72,0)-T72,V$27*$AT72),0)))</f>
        <v>0</v>
      </c>
      <c r="V72" s="1135" t="n">
        <f aca="false">S72-U72</f>
        <v>0</v>
      </c>
      <c r="W72" s="1133" t="n">
        <f aca="false">Z71</f>
        <v>0</v>
      </c>
      <c r="X72" s="777" t="n">
        <f aca="false">W72*Z$30*0.5</f>
        <v>0</v>
      </c>
      <c r="Y72" s="777" t="n">
        <f aca="false">IF($B72&gt;=Z$29,W72,IF(Z$31&gt;=$B72,0,IF(W72&gt;1,CHOOSE(Z$32,Z$27/(Z$29-Z$31),-PMT(Z$30/2,Z$29-$B71,W72,0)-X72,Z$27*$AV72),0)))</f>
        <v>0</v>
      </c>
      <c r="Z72" s="777" t="n">
        <f aca="false">W72-Y72</f>
        <v>0</v>
      </c>
      <c r="AA72" s="1137" t="n">
        <f aca="false">SUM(D71:D72,H71:H72,L71:L72,P71:P72,T71:T72)</f>
        <v>0</v>
      </c>
      <c r="AB72" s="1135" t="n">
        <f aca="false">SUM(E71:E72,I71:I72,M71:M72,Q71:Q72,U71:U72)</f>
        <v>0</v>
      </c>
      <c r="AC72" s="777" t="n">
        <f aca="false">SUM(X71:X72)</f>
        <v>0</v>
      </c>
      <c r="AD72" s="1138" t="n">
        <f aca="false">SUM(Y71:Y72)</f>
        <v>0</v>
      </c>
      <c r="AE72" s="777" t="n">
        <f aca="false">SUM(D71:D72,H71:H72)</f>
        <v>0</v>
      </c>
      <c r="AF72" s="1135" t="n">
        <f aca="false">SUM(E71:E72,I71:I72)</f>
        <v>0</v>
      </c>
      <c r="AG72" s="1133" t="n">
        <f aca="false">SUM(T71:T72)</f>
        <v>0</v>
      </c>
      <c r="AH72" s="1138" t="n">
        <f aca="false">SUM(U71:U72)</f>
        <v>0</v>
      </c>
      <c r="AI72" s="1125" t="n">
        <f aca="false">(C71+G71+K71+S71+W71)*IF(RAROC!$B$103=1,VLOOKUP('Debt Amort'!A72,RAROC!$A$107:$D$113,2),IF(RAROC!$B$103=2,VLOOKUP('Debt Amort'!A72,RAROC!$A$107:$D$113,3),IF(RAROC!$B$103=3,VLOOKUP('Debt Amort'!A72,RAROC!$A$107:$D$113,4),0)))*((13-MONTH(Startops3))/12)</f>
        <v>0</v>
      </c>
      <c r="AJ72" s="645"/>
      <c r="AK72" s="1126" t="n">
        <v>0</v>
      </c>
      <c r="AL72" s="1127" t="n">
        <f aca="false">IF(AK$75=0,0,AK72/AK$75)</f>
        <v>0</v>
      </c>
      <c r="AM72" s="1128" t="n">
        <v>0</v>
      </c>
      <c r="AN72" s="260" t="n">
        <f aca="false">IF(AM$75=0,0,AM72/AM$75)</f>
        <v>0</v>
      </c>
      <c r="AO72" s="1128" t="n">
        <v>0</v>
      </c>
      <c r="AP72" s="260" t="n">
        <f aca="false">IF(AO$75=0,0,AO72/AO$75)</f>
        <v>0</v>
      </c>
      <c r="AQ72" s="1128" t="n">
        <v>0</v>
      </c>
      <c r="AR72" s="260" t="n">
        <f aca="false">IF(AQ$75=0,0,AQ72/AQ$75)</f>
        <v>0</v>
      </c>
      <c r="AS72" s="1128" t="n">
        <v>0</v>
      </c>
      <c r="AT72" s="260" t="n">
        <f aca="false">IF(AS$75=0,0,AS72/AS$75)</f>
        <v>0</v>
      </c>
      <c r="AU72" s="1128" t="n">
        <f aca="false">BC72</f>
        <v>0</v>
      </c>
      <c r="AV72" s="94" t="n">
        <f aca="false">IF(AU$75=0,0,AU72/AU$75)</f>
        <v>0</v>
      </c>
      <c r="AW72" s="38"/>
      <c r="AX72" s="1129" t="n">
        <v>0</v>
      </c>
      <c r="AY72" s="1130" t="n">
        <v>0</v>
      </c>
      <c r="AZ72" s="94" t="n">
        <f aca="false">AY72/AY$75</f>
        <v>0</v>
      </c>
      <c r="BA72" s="846" t="n">
        <f aca="false">HLOOKUP($A72,CF_Table,CF!$AB$69)/2</f>
        <v>3801.22311044548</v>
      </c>
      <c r="BB72" s="189" t="n">
        <v>13398.1992507209</v>
      </c>
      <c r="BC72" s="217" t="n">
        <f aca="false">IF(BB72&lt;0,BC71,IF(SUM(BB$35:BB72)&gt;$Z$27,$Z$27-SUM(BC$34:BC71),BB72))</f>
        <v>0</v>
      </c>
      <c r="BD72" s="260" t="n">
        <f aca="false">BC72/BC$75</f>
        <v>0</v>
      </c>
      <c r="BE72" s="43" t="n">
        <f aca="false">IF(BD72=0,BE71,B72/2)</f>
        <v>7</v>
      </c>
      <c r="BF72" s="574" t="n">
        <f aca="false">IF(BC72=0,0,BB72-BA72)</f>
        <v>0</v>
      </c>
    </row>
    <row r="73" customFormat="false" ht="12.75" hidden="false" customHeight="false" outlineLevel="0" collapsed="false">
      <c r="A73" s="264" t="n">
        <f aca="false">A71+1</f>
        <v>2020</v>
      </c>
      <c r="B73" s="467" t="n">
        <f aca="false">B72+1</f>
        <v>38</v>
      </c>
      <c r="C73" s="820" t="n">
        <f aca="false">F72</f>
        <v>0</v>
      </c>
      <c r="D73" s="217" t="n">
        <f aca="false">C73*F$30*0.5</f>
        <v>0</v>
      </c>
      <c r="E73" s="217" t="n">
        <f aca="false">IF($B73&gt;=F$29,C73,IF(F$31&gt;=$B73,0,IF(C73&gt;1,CHOOSE(F$32,F$27/(F$29-F$31),-PMT(F$30/2,F$29-$B72,C73,0)-D73,F$27*$AL73),0)))</f>
        <v>0</v>
      </c>
      <c r="F73" s="847" t="n">
        <f aca="false">C73-E73</f>
        <v>0</v>
      </c>
      <c r="G73" s="820" t="n">
        <f aca="false">J72</f>
        <v>0</v>
      </c>
      <c r="H73" s="217" t="n">
        <f aca="false">G73*J$30*0.5</f>
        <v>0</v>
      </c>
      <c r="I73" s="217" t="n">
        <f aca="false">IF($B73&gt;=J$29,G73,IF(J$31&gt;=$B73,0,IF(G73&gt;1,CHOOSE(J$32,J$27/(J$29-J$31),-PMT(J$30/2,J$29-$B72,G73,0)-H73,J$27*$AN73),0)))</f>
        <v>0</v>
      </c>
      <c r="J73" s="847" t="n">
        <f aca="false">G73-I73</f>
        <v>0</v>
      </c>
      <c r="K73" s="820" t="n">
        <f aca="false">N72</f>
        <v>0</v>
      </c>
      <c r="L73" s="217" t="n">
        <f aca="false">K73*N$30*0.5</f>
        <v>0</v>
      </c>
      <c r="M73" s="217" t="n">
        <f aca="false">IF($B73&gt;=N$29,K73,IF(N$31&gt;=$B73,0,IF(K73&gt;1,CHOOSE(N$32,N$27/(N$29-N$31),-PMT(N$30/2,N$29-$B72,K73,0)-L73,N$27*$AP73),0)))</f>
        <v>0</v>
      </c>
      <c r="N73" s="847" t="n">
        <f aca="false">K73-M73</f>
        <v>0</v>
      </c>
      <c r="O73" s="820" t="n">
        <f aca="false">R72</f>
        <v>0</v>
      </c>
      <c r="P73" s="217" t="n">
        <f aca="false">O73*R$30*0.5</f>
        <v>0</v>
      </c>
      <c r="Q73" s="628" t="n">
        <f aca="false">IF($B73&gt;=R$29,O73,IF(R$31&gt;=$B73,0,IF(O73&gt;1,CHOOSE(R$32,R$27/(R$29-R$31),-PMT(R$30/2,R$29-$B72,O73,0)-P73,R$27*$AR73),0)))</f>
        <v>0</v>
      </c>
      <c r="R73" s="847" t="n">
        <f aca="false">O73-Q73</f>
        <v>0</v>
      </c>
      <c r="S73" s="820" t="n">
        <f aca="false">V72</f>
        <v>0</v>
      </c>
      <c r="T73" s="217" t="n">
        <f aca="false">S73*V$30*0.5</f>
        <v>0</v>
      </c>
      <c r="U73" s="628" t="n">
        <f aca="false">IF($B73&gt;=V$29,S73,IF(V$31&gt;=$B73,0,IF(S73&gt;1,CHOOSE(V$32,V$27/(V$29-V$31),-PMT(V$30/2,V$29-$B72,S73,0)-T73,V$27*$AT73),0)))</f>
        <v>0</v>
      </c>
      <c r="V73" s="847" t="n">
        <f aca="false">S73-U73</f>
        <v>0</v>
      </c>
      <c r="W73" s="820" t="n">
        <f aca="false">Z72</f>
        <v>0</v>
      </c>
      <c r="X73" s="217" t="n">
        <f aca="false">W73*Z$30*0.5</f>
        <v>0</v>
      </c>
      <c r="Y73" s="217" t="n">
        <f aca="false">IF($B73&gt;=Z$29,W73,IF(Z$31&gt;=$B73,0,IF(W73&gt;1,CHOOSE(Z$32,Z$27/(Z$29-Z$31),-PMT(Z$30/2,Z$29-$B72,W73,0)-X73,Z$27*$AV73),0)))</f>
        <v>0</v>
      </c>
      <c r="Z73" s="217" t="n">
        <f aca="false">W73-Y73</f>
        <v>0</v>
      </c>
      <c r="AA73" s="846"/>
      <c r="AB73" s="847"/>
      <c r="AC73" s="217"/>
      <c r="AD73" s="218"/>
      <c r="AE73" s="217"/>
      <c r="AF73" s="847"/>
      <c r="AG73" s="820"/>
      <c r="AH73" s="218"/>
      <c r="AI73" s="1125"/>
      <c r="AJ73" s="645"/>
      <c r="AK73" s="1126" t="n">
        <v>0</v>
      </c>
      <c r="AL73" s="1127" t="n">
        <f aca="false">IF(AK$75=0,0,AK73/AK$75)</f>
        <v>0</v>
      </c>
      <c r="AM73" s="1128" t="n">
        <v>0</v>
      </c>
      <c r="AN73" s="260" t="n">
        <f aca="false">IF(AM$75=0,0,AM73/AM$75)</f>
        <v>0</v>
      </c>
      <c r="AO73" s="1128" t="n">
        <v>0</v>
      </c>
      <c r="AP73" s="260" t="n">
        <f aca="false">IF(AO$75=0,0,AO73/AO$75)</f>
        <v>0</v>
      </c>
      <c r="AQ73" s="1128" t="n">
        <v>0</v>
      </c>
      <c r="AR73" s="260" t="n">
        <f aca="false">IF(AQ$75=0,0,AQ73/AQ$75)</f>
        <v>0</v>
      </c>
      <c r="AS73" s="1128" t="n">
        <v>0</v>
      </c>
      <c r="AT73" s="260" t="n">
        <f aca="false">IF(AS$75=0,0,AS73/AS$75)</f>
        <v>0</v>
      </c>
      <c r="AU73" s="1128" t="n">
        <f aca="false">BC73</f>
        <v>0</v>
      </c>
      <c r="AV73" s="94" t="n">
        <f aca="false">IF(AU$75=0,0,AU73/AU$75)</f>
        <v>0</v>
      </c>
      <c r="AW73" s="38"/>
      <c r="AX73" s="1129" t="n">
        <v>0</v>
      </c>
      <c r="AY73" s="1130" t="n">
        <v>0</v>
      </c>
      <c r="AZ73" s="94" t="n">
        <f aca="false">AY73/AY$75</f>
        <v>0</v>
      </c>
      <c r="BA73" s="846" t="n">
        <f aca="false">HLOOKUP($A73,CF_Table,CF!$AB$69)/2</f>
        <v>3801.22311044548</v>
      </c>
      <c r="BB73" s="189" t="n">
        <v>13207.4708246163</v>
      </c>
      <c r="BC73" s="217" t="n">
        <f aca="false">IF(BB73&lt;0,BC72,IF(SUM(BB$35:BB73)&gt;$Z$27,$Z$27-SUM(BC$34:BC72),BB73))</f>
        <v>0</v>
      </c>
      <c r="BD73" s="260" t="n">
        <f aca="false">BC73/BC$75</f>
        <v>0</v>
      </c>
      <c r="BE73" s="43" t="n">
        <f aca="false">IF(BD73=0,BE72,B73/2)</f>
        <v>7</v>
      </c>
      <c r="BF73" s="574" t="n">
        <f aca="false">IF(BC73=0,0,BB73-BA73)</f>
        <v>0</v>
      </c>
    </row>
    <row r="74" customFormat="false" ht="13.5" hidden="false" customHeight="false" outlineLevel="0" collapsed="false">
      <c r="A74" s="1131" t="n">
        <f aca="false">A72+1</f>
        <v>2020</v>
      </c>
      <c r="B74" s="1132" t="n">
        <f aca="false">B73+1</f>
        <v>39</v>
      </c>
      <c r="C74" s="1133" t="n">
        <f aca="false">F73</f>
        <v>0</v>
      </c>
      <c r="D74" s="777" t="n">
        <f aca="false">C74*F$30*0.5</f>
        <v>0</v>
      </c>
      <c r="E74" s="777" t="n">
        <f aca="false">IF($B74&gt;=F$29,C74,IF(F$31&gt;=$B74,0,IF(C74&gt;1,CHOOSE(F$32,F$27/(F$29-F$31),-PMT(F$30/2,F$29-$B73,C74,0)-D74,F$27*$AL74),0)))</f>
        <v>0</v>
      </c>
      <c r="F74" s="1135" t="n">
        <f aca="false">C74-E74</f>
        <v>0</v>
      </c>
      <c r="G74" s="1133" t="n">
        <f aca="false">J73</f>
        <v>0</v>
      </c>
      <c r="H74" s="777" t="n">
        <f aca="false">G74*J$30*0.5</f>
        <v>0</v>
      </c>
      <c r="I74" s="777" t="n">
        <f aca="false">IF($B74&gt;=J$29,G74,IF(J$31&gt;=$B74,0,IF(G74&gt;1,CHOOSE(J$32,J$27/(J$29-J$31),-PMT(J$30/2,J$29-$B73,G74,0)-H74,J$27*$AN74),0)))</f>
        <v>0</v>
      </c>
      <c r="J74" s="1135" t="n">
        <f aca="false">G74-I74</f>
        <v>0</v>
      </c>
      <c r="K74" s="1133" t="n">
        <f aca="false">N73</f>
        <v>0</v>
      </c>
      <c r="L74" s="777" t="n">
        <f aca="false">K74*N$30*0.5</f>
        <v>0</v>
      </c>
      <c r="M74" s="777" t="n">
        <f aca="false">IF($B74&gt;=N$29,K74,IF(N$31&gt;=$B74,0,IF(K74&gt;1,CHOOSE(N$32,N$27/(N$29-N$31),-PMT(N$30/2,N$29-$B73,K74,0)-L74,N$27*$AP74),0)))</f>
        <v>0</v>
      </c>
      <c r="N74" s="1135" t="n">
        <f aca="false">K74-M74</f>
        <v>0</v>
      </c>
      <c r="O74" s="1133" t="n">
        <f aca="false">R73</f>
        <v>0</v>
      </c>
      <c r="P74" s="777" t="n">
        <f aca="false">O74*R$30*0.5</f>
        <v>0</v>
      </c>
      <c r="Q74" s="1136" t="n">
        <f aca="false">IF($B74&gt;=R$29,O74,IF(R$31&gt;=$B74,0,IF(O74&gt;1,CHOOSE(R$32,R$27/(R$29-R$31),-PMT(R$30/2,R$29-$B73,O74,0)-P74,R$27*$AR74),0)))</f>
        <v>0</v>
      </c>
      <c r="R74" s="1135" t="n">
        <f aca="false">O74-Q74</f>
        <v>0</v>
      </c>
      <c r="S74" s="1133" t="n">
        <f aca="false">V73</f>
        <v>0</v>
      </c>
      <c r="T74" s="777" t="n">
        <f aca="false">S74*V$30*0.5</f>
        <v>0</v>
      </c>
      <c r="U74" s="1136" t="n">
        <f aca="false">IF($B74&gt;=V$29,S74,IF(V$31&gt;=$B74,0,IF(S74&gt;1,CHOOSE(V$32,V$27/(V$29-V$31),-PMT(V$30/2,V$29-$B73,S74,0)-T74,V$27*$AT74),0)))</f>
        <v>0</v>
      </c>
      <c r="V74" s="1135" t="n">
        <f aca="false">S74-U74</f>
        <v>0</v>
      </c>
      <c r="W74" s="1133" t="n">
        <f aca="false">Z73</f>
        <v>0</v>
      </c>
      <c r="X74" s="777" t="n">
        <f aca="false">W74*Z$30*0.5</f>
        <v>0</v>
      </c>
      <c r="Y74" s="777" t="n">
        <f aca="false">IF($B74&gt;=Z$29,W74,IF(Z$31&gt;=$B74,0,IF(W74&gt;1,CHOOSE(Z$32,Z$27/(Z$29-Z$31),-PMT(Z$30/2,Z$29-$B73,W74,0)-X74,Z$27*$AV74),0)))</f>
        <v>0</v>
      </c>
      <c r="Z74" s="777" t="n">
        <f aca="false">W74-Y74</f>
        <v>0</v>
      </c>
      <c r="AA74" s="1137" t="n">
        <f aca="false">SUM(D73:D74,H73:H74,L73:L74,P73:P74,T73:T74)</f>
        <v>0</v>
      </c>
      <c r="AB74" s="1135" t="n">
        <f aca="false">SUM(E73:E74,I73:I74,M73:M74,Q73:Q74,U73:U74)</f>
        <v>0</v>
      </c>
      <c r="AC74" s="777" t="n">
        <f aca="false">SUM(X73:X74)</f>
        <v>0</v>
      </c>
      <c r="AD74" s="1138" t="n">
        <f aca="false">SUM(Y73:Y74)</f>
        <v>0</v>
      </c>
      <c r="AE74" s="777" t="n">
        <f aca="false">SUM(D73:D74,H73:H74)</f>
        <v>0</v>
      </c>
      <c r="AF74" s="1135" t="n">
        <f aca="false">SUM(E73:E74,I73:I74)</f>
        <v>0</v>
      </c>
      <c r="AG74" s="1133" t="n">
        <f aca="false">SUM(T73:T74)</f>
        <v>0</v>
      </c>
      <c r="AH74" s="777" t="n">
        <f aca="false">SUM(U73:U74)</f>
        <v>0</v>
      </c>
      <c r="AI74" s="1125" t="n">
        <f aca="false">(C73+G73+K73+S73+W73)*IF(RAROC!$B$103=1,VLOOKUP('Debt Amort'!A74,RAROC!$A$107:$D$113,2),IF(RAROC!$B$103=2,VLOOKUP('Debt Amort'!A74,RAROC!$A$107:$D$113,3),IF(RAROC!$B$103=3,VLOOKUP('Debt Amort'!A74,RAROC!$A$107:$D$113,4),0)))*((13-MONTH(Startops3))/12)</f>
        <v>0</v>
      </c>
      <c r="AJ74" s="645"/>
      <c r="AK74" s="1140" t="n">
        <v>0</v>
      </c>
      <c r="AL74" s="1141" t="n">
        <f aca="false">IF(AK$75=0,0,AK74/AK$75)</f>
        <v>0</v>
      </c>
      <c r="AM74" s="1142" t="n">
        <v>0</v>
      </c>
      <c r="AN74" s="772" t="n">
        <f aca="false">IF(AM$75=0,0,AM74/AM$75)</f>
        <v>0</v>
      </c>
      <c r="AO74" s="1142" t="n">
        <v>0</v>
      </c>
      <c r="AP74" s="772" t="n">
        <f aca="false">IF(AO$75=0,0,AO74/AO$75)</f>
        <v>0</v>
      </c>
      <c r="AQ74" s="1142" t="n">
        <v>0</v>
      </c>
      <c r="AR74" s="772" t="n">
        <f aca="false">IF(AQ$75=0,0,AQ74/AQ$75)</f>
        <v>0</v>
      </c>
      <c r="AS74" s="1142" t="n">
        <v>0</v>
      </c>
      <c r="AT74" s="772" t="n">
        <f aca="false">IF(AS$75=0,0,AS74/AS$75)</f>
        <v>0</v>
      </c>
      <c r="AU74" s="1142" t="n">
        <f aca="false">BC74</f>
        <v>0</v>
      </c>
      <c r="AV74" s="1143" t="n">
        <f aca="false">IF(AU$75=0,0,AU74/AU$75)</f>
        <v>0</v>
      </c>
      <c r="AW74" s="38"/>
      <c r="AX74" s="1144" t="n">
        <v>0</v>
      </c>
      <c r="AY74" s="1145" t="n">
        <v>0</v>
      </c>
      <c r="AZ74" s="1143" t="n">
        <f aca="false">AY74/AY$75</f>
        <v>0</v>
      </c>
      <c r="BA74" s="850" t="n">
        <f aca="false">HLOOKUP($A74,CF_Table,CF!$AB$69)/2</f>
        <v>3801.22311044548</v>
      </c>
      <c r="BB74" s="1054" t="n">
        <v>13207.4708246163</v>
      </c>
      <c r="BC74" s="220" t="n">
        <f aca="false">IF(BB74&lt;0,BC73,IF(SUM(BB$35:BB74)&gt;$Z$27,$Z$27-SUM(BC$34:BC73),BB74))</f>
        <v>0</v>
      </c>
      <c r="BD74" s="772" t="n">
        <f aca="false">BC74/BC$75</f>
        <v>0</v>
      </c>
      <c r="BE74" s="533" t="n">
        <f aca="false">IF(BD74=0,BE73,B74/2)</f>
        <v>7</v>
      </c>
      <c r="BF74" s="576" t="n">
        <f aca="false">IF(BC74=0,0,BB74-BA74)</f>
        <v>0</v>
      </c>
    </row>
    <row r="75" customFormat="false" ht="13.5" hidden="false" customHeight="false" outlineLevel="0" collapsed="false">
      <c r="A75" s="1146" t="s">
        <v>766</v>
      </c>
      <c r="B75" s="1146"/>
      <c r="C75" s="1147"/>
      <c r="D75" s="1148" t="n">
        <f aca="false">SUM(D35:D74)</f>
        <v>37848.8</v>
      </c>
      <c r="E75" s="1148" t="n">
        <f aca="false">SUM(E35:E74)</f>
        <v>70125</v>
      </c>
      <c r="F75" s="1149"/>
      <c r="G75" s="1147"/>
      <c r="H75" s="1148" t="n">
        <f aca="false">SUM(H35:H74)</f>
        <v>40214.35</v>
      </c>
      <c r="I75" s="1148" t="n">
        <f aca="false">SUM(I35:I74)</f>
        <v>70125</v>
      </c>
      <c r="J75" s="1149"/>
      <c r="K75" s="1147"/>
      <c r="L75" s="1148" t="n">
        <f aca="false">SUM(L35:L74)</f>
        <v>14706.1060416171</v>
      </c>
      <c r="M75" s="1148" t="n">
        <f aca="false">SUM(M35:M74)</f>
        <v>24750</v>
      </c>
      <c r="N75" s="1149"/>
      <c r="O75" s="1147"/>
      <c r="P75" s="1148" t="n">
        <f aca="false">SUM(P35:P74)</f>
        <v>0</v>
      </c>
      <c r="Q75" s="1148" t="n">
        <f aca="false">SUM(Q35:Q74)</f>
        <v>0</v>
      </c>
      <c r="R75" s="1149"/>
      <c r="S75" s="1147"/>
      <c r="T75" s="1148" t="n">
        <f aca="false">SUM(T35:T74)</f>
        <v>32663.8674820892</v>
      </c>
      <c r="U75" s="1148" t="n">
        <f aca="false">SUM(U35:U74)</f>
        <v>36351.1199110584</v>
      </c>
      <c r="V75" s="1149"/>
      <c r="W75" s="1147"/>
      <c r="X75" s="1148" t="n">
        <f aca="false">SUM(X35:X74)</f>
        <v>47828.1350877953</v>
      </c>
      <c r="Y75" s="1148" t="n">
        <f aca="false">SUM(Y35:Y74)</f>
        <v>49749.8130727587</v>
      </c>
      <c r="Z75" s="1150"/>
      <c r="AA75" s="1151" t="n">
        <f aca="false">SUM(AA35:AA74)</f>
        <v>125433.123523706</v>
      </c>
      <c r="AB75" s="1148" t="n">
        <f aca="false">SUM(AB35:AB74)</f>
        <v>201351.119911058</v>
      </c>
      <c r="AC75" s="1148" t="n">
        <f aca="false">SUM(AC35:AC74)</f>
        <v>47828.1350877953</v>
      </c>
      <c r="AD75" s="1152" t="n">
        <f aca="false">SUM(AD35:AD74)</f>
        <v>49749.8130727587</v>
      </c>
      <c r="AE75" s="1148" t="n">
        <f aca="false">SUM(AE35:AE74)</f>
        <v>78063.1500000001</v>
      </c>
      <c r="AF75" s="1153" t="n">
        <f aca="false">SUM(AF35:AF74)</f>
        <v>140250</v>
      </c>
      <c r="AG75" s="1148" t="n">
        <f aca="false">SUM(AG35:AG74)</f>
        <v>32663.8674820892</v>
      </c>
      <c r="AH75" s="1148" t="n">
        <f aca="false">SUM(AH35:AH74)</f>
        <v>36351.1199110584</v>
      </c>
      <c r="AI75" s="1154" t="n">
        <f aca="false">SUM(AI35:AI74)</f>
        <v>12315.3262455961</v>
      </c>
      <c r="AJ75" s="1155"/>
      <c r="AK75" s="846" t="n">
        <f aca="false">SUM(AK35:AK74)</f>
        <v>0</v>
      </c>
      <c r="AL75" s="1127" t="n">
        <f aca="false">SUM(AL35:AL74)</f>
        <v>0</v>
      </c>
      <c r="AM75" s="820" t="n">
        <f aca="false">SUM(AM35:AM74)</f>
        <v>0</v>
      </c>
      <c r="AN75" s="260" t="n">
        <f aca="false">SUM(AN35:AN74)</f>
        <v>0</v>
      </c>
      <c r="AO75" s="820" t="n">
        <f aca="false">SUM(AO35:AO74)</f>
        <v>0</v>
      </c>
      <c r="AP75" s="260" t="n">
        <f aca="false">SUM(AP35:AP74)</f>
        <v>0</v>
      </c>
      <c r="AQ75" s="820" t="n">
        <f aca="false">SUM(AQ35:AQ74)</f>
        <v>0</v>
      </c>
      <c r="AR75" s="260" t="n">
        <f aca="false">SUM(AR35:AR74)</f>
        <v>0</v>
      </c>
      <c r="AS75" s="820" t="n">
        <f aca="false">SUM(AS35:AS74)</f>
        <v>200000</v>
      </c>
      <c r="AT75" s="260" t="n">
        <f aca="false">SUM(AT35:AT74)</f>
        <v>1</v>
      </c>
      <c r="AU75" s="820" t="n">
        <f aca="false">SUM(AU35:AU74)</f>
        <v>49749.8130727587</v>
      </c>
      <c r="AV75" s="94" t="n">
        <f aca="false">SUM(AV35:AV74)</f>
        <v>1</v>
      </c>
      <c r="AW75" s="38"/>
      <c r="AX75" s="846" t="n">
        <f aca="false">SUM(AX35:AX74)</f>
        <v>200000</v>
      </c>
      <c r="AY75" s="217" t="n">
        <f aca="false">SUM(AY35:AY74)</f>
        <v>200000</v>
      </c>
      <c r="AZ75" s="94" t="n">
        <f aca="false">SUM(AZ35:AZ74)</f>
        <v>1</v>
      </c>
      <c r="BA75" s="846" t="n">
        <f aca="false">SUM(Sub_Inputs)</f>
        <v>144989.174019398</v>
      </c>
      <c r="BB75" s="217" t="n">
        <f aca="false">SUM(Sub_Values)</f>
        <v>284876.220736123</v>
      </c>
      <c r="BC75" s="217" t="n">
        <f aca="false">SUM(BC35:BC74)</f>
        <v>49749.8130727587</v>
      </c>
      <c r="BD75" s="260" t="n">
        <f aca="false">SUM(BD35:BD74)</f>
        <v>1</v>
      </c>
      <c r="BE75" s="43" t="n">
        <f aca="false">MAX(BE35:BE74)</f>
        <v>7</v>
      </c>
      <c r="BF75" s="574" t="n">
        <f aca="false">SUM(BF35:BF74)</f>
        <v>-2621.76007784665</v>
      </c>
    </row>
    <row r="76" customFormat="false" ht="13.5" hidden="false" customHeight="false" outlineLevel="0" collapsed="false">
      <c r="Z76" s="1"/>
      <c r="AC76" s="217"/>
      <c r="AE76" s="217"/>
      <c r="AF76" s="217"/>
      <c r="AG76" s="217"/>
      <c r="AK76" s="70"/>
      <c r="AL76" s="535"/>
      <c r="AM76" s="880"/>
      <c r="AN76" s="71"/>
      <c r="AO76" s="880"/>
      <c r="AP76" s="71"/>
      <c r="AQ76" s="880"/>
      <c r="AR76" s="71"/>
      <c r="AS76" s="880"/>
      <c r="AT76" s="71"/>
      <c r="AU76" s="880"/>
      <c r="AV76" s="74"/>
      <c r="AW76" s="38"/>
      <c r="AX76" s="70"/>
      <c r="AY76" s="71"/>
      <c r="AZ76" s="74"/>
      <c r="BA76" s="70"/>
      <c r="BB76" s="71"/>
      <c r="BC76" s="71"/>
      <c r="BD76" s="71"/>
      <c r="BE76" s="74"/>
      <c r="BF76" s="611"/>
    </row>
    <row r="77" customFormat="false" ht="13.5" hidden="false" customHeight="false" outlineLevel="0" collapsed="false">
      <c r="A77" s="1075"/>
      <c r="B77" s="1156" t="n">
        <v>1</v>
      </c>
      <c r="C77" s="1156" t="n">
        <f aca="false">B77+1</f>
        <v>2</v>
      </c>
      <c r="D77" s="1156" t="n">
        <f aca="false">C77+1</f>
        <v>3</v>
      </c>
      <c r="E77" s="1156" t="n">
        <f aca="false">D77+1</f>
        <v>4</v>
      </c>
      <c r="F77" s="1156" t="n">
        <f aca="false">E77+1</f>
        <v>5</v>
      </c>
      <c r="G77" s="1156" t="n">
        <f aca="false">F77+1</f>
        <v>6</v>
      </c>
      <c r="H77" s="1156" t="n">
        <f aca="false">G77+1</f>
        <v>7</v>
      </c>
      <c r="I77" s="1156" t="n">
        <f aca="false">H77+1</f>
        <v>8</v>
      </c>
      <c r="J77" s="1156" t="n">
        <f aca="false">I77+1</f>
        <v>9</v>
      </c>
      <c r="K77" s="1156" t="n">
        <f aca="false">J77+1</f>
        <v>10</v>
      </c>
      <c r="L77" s="1156" t="n">
        <f aca="false">K77+1</f>
        <v>11</v>
      </c>
      <c r="M77" s="1156" t="n">
        <f aca="false">L77+1</f>
        <v>12</v>
      </c>
      <c r="N77" s="1156" t="n">
        <f aca="false">M77+1</f>
        <v>13</v>
      </c>
      <c r="O77" s="1156" t="n">
        <f aca="false">N77+1</f>
        <v>14</v>
      </c>
      <c r="P77" s="1156" t="n">
        <f aca="false">O77+1</f>
        <v>15</v>
      </c>
      <c r="Q77" s="1156" t="n">
        <f aca="false">P77+1</f>
        <v>16</v>
      </c>
      <c r="R77" s="1156" t="n">
        <f aca="false">Q77+1</f>
        <v>17</v>
      </c>
      <c r="S77" s="1156" t="n">
        <f aca="false">R77+1</f>
        <v>18</v>
      </c>
      <c r="T77" s="1156" t="n">
        <f aca="false">S77+1</f>
        <v>19</v>
      </c>
      <c r="U77" s="1156" t="n">
        <f aca="false">T77+1</f>
        <v>20</v>
      </c>
      <c r="V77" s="1156" t="n">
        <f aca="false">U77+1</f>
        <v>21</v>
      </c>
      <c r="W77" s="1156" t="n">
        <f aca="false">V77+1</f>
        <v>22</v>
      </c>
      <c r="X77" s="1156" t="n">
        <f aca="false">W77+1</f>
        <v>23</v>
      </c>
      <c r="Y77" s="1156" t="n">
        <f aca="false">X77+1</f>
        <v>24</v>
      </c>
      <c r="Z77" s="1156" t="n">
        <f aca="false">Y77+1</f>
        <v>25</v>
      </c>
      <c r="AA77" s="1156" t="n">
        <f aca="false">Z77+1</f>
        <v>26</v>
      </c>
      <c r="AB77" s="1156" t="n">
        <f aca="false">AA77+1</f>
        <v>27</v>
      </c>
      <c r="AC77" s="1156" t="n">
        <f aca="false">AB77+1</f>
        <v>28</v>
      </c>
      <c r="AD77" s="1156" t="n">
        <f aca="false">AC77+1</f>
        <v>29</v>
      </c>
      <c r="AE77" s="1156" t="n">
        <f aca="false">AD77+1</f>
        <v>30</v>
      </c>
      <c r="AF77" s="1156" t="n">
        <f aca="false">AE77+1</f>
        <v>31</v>
      </c>
      <c r="AG77" s="1156" t="n">
        <f aca="false">AF77+1</f>
        <v>32</v>
      </c>
      <c r="AH77" s="1156" t="n">
        <f aca="false">AG77+1</f>
        <v>33</v>
      </c>
      <c r="AI77" s="1157" t="n">
        <f aca="false">AH77+1</f>
        <v>34</v>
      </c>
      <c r="AJ77" s="1156"/>
      <c r="AK77" s="1075"/>
      <c r="AL77" s="1075"/>
      <c r="AM77" s="1075"/>
      <c r="AN77" s="1075"/>
      <c r="AO77" s="1075"/>
      <c r="AP77" s="1075"/>
      <c r="AQ77" s="1075"/>
      <c r="AR77" s="1075"/>
      <c r="AS77" s="1075"/>
      <c r="AT77" s="1075"/>
      <c r="AU77" s="1075"/>
      <c r="AV77" s="1075"/>
      <c r="AW77" s="1077"/>
      <c r="AX77" s="1075"/>
      <c r="AY77" s="1075"/>
      <c r="AZ77" s="1075"/>
      <c r="BA77" s="1075"/>
      <c r="BB77" s="1075"/>
      <c r="BC77" s="1075"/>
      <c r="BD77" s="1075"/>
      <c r="BE77" s="1075"/>
      <c r="BF77" s="1075"/>
      <c r="BG77" s="1075"/>
      <c r="BH77" s="1075"/>
      <c r="BI77" s="1075"/>
      <c r="BJ77" s="1075"/>
      <c r="BK77" s="1075"/>
      <c r="BL77" s="1075"/>
      <c r="BM77" s="1075"/>
      <c r="BN77" s="1075"/>
      <c r="BO77" s="1075"/>
      <c r="BP77" s="1075"/>
      <c r="BQ77" s="1075"/>
      <c r="BR77" s="1075"/>
      <c r="BS77" s="1075"/>
      <c r="BT77" s="1075"/>
      <c r="BU77" s="1075"/>
      <c r="BV77" s="1075"/>
      <c r="BW77" s="1075"/>
      <c r="BX77" s="1075"/>
      <c r="BY77" s="1075"/>
      <c r="BZ77" s="1075"/>
      <c r="CA77" s="1075"/>
      <c r="CB77" s="1075"/>
      <c r="CC77" s="1075"/>
      <c r="CD77" s="1075"/>
      <c r="CE77" s="1075"/>
      <c r="CF77" s="1075"/>
      <c r="CG77" s="1075"/>
      <c r="CH77" s="1075"/>
      <c r="CI77" s="1075"/>
      <c r="CJ77" s="1075"/>
      <c r="CK77" s="1075"/>
      <c r="CL77" s="1075"/>
      <c r="CM77" s="1075"/>
      <c r="CN77" s="1075"/>
      <c r="CO77" s="1075"/>
      <c r="CP77" s="1075"/>
      <c r="CQ77" s="1075"/>
      <c r="CR77" s="1075"/>
      <c r="CS77" s="1075"/>
      <c r="CT77" s="1075"/>
      <c r="CU77" s="1075"/>
      <c r="CV77" s="1075"/>
      <c r="CW77" s="1075"/>
      <c r="CX77" s="1075"/>
      <c r="CY77" s="1075"/>
      <c r="CZ77" s="1075"/>
      <c r="DA77" s="1075"/>
      <c r="DB77" s="1075"/>
      <c r="DC77" s="1075"/>
      <c r="DD77" s="1075"/>
      <c r="DE77" s="1075"/>
      <c r="DF77" s="1075"/>
      <c r="DG77" s="1075"/>
      <c r="DH77" s="1075"/>
      <c r="DI77" s="1075"/>
      <c r="DJ77" s="1075"/>
      <c r="DK77" s="1075"/>
      <c r="DL77" s="1075"/>
      <c r="DM77" s="1075"/>
      <c r="DN77" s="1075"/>
      <c r="DO77" s="1075"/>
      <c r="DP77" s="1075"/>
      <c r="DQ77" s="1075"/>
      <c r="DR77" s="1075"/>
      <c r="DS77" s="1075"/>
      <c r="DT77" s="1075"/>
      <c r="DU77" s="1075"/>
      <c r="DV77" s="1075"/>
      <c r="DW77" s="1075"/>
      <c r="DX77" s="1075"/>
      <c r="DY77" s="1075"/>
      <c r="DZ77" s="1075"/>
      <c r="EA77" s="1075"/>
      <c r="EB77" s="1075"/>
      <c r="EC77" s="1075"/>
      <c r="ED77" s="1075"/>
      <c r="EE77" s="1075"/>
      <c r="EF77" s="1075"/>
      <c r="EG77" s="1075"/>
      <c r="EH77" s="1075"/>
      <c r="EI77" s="1075"/>
      <c r="EJ77" s="1075"/>
      <c r="EK77" s="1075"/>
      <c r="EL77" s="1075"/>
      <c r="EM77" s="1075"/>
      <c r="EN77" s="1075"/>
      <c r="EO77" s="1075"/>
      <c r="EP77" s="1075"/>
      <c r="EQ77" s="1075"/>
      <c r="ER77" s="1075"/>
      <c r="ES77" s="1075"/>
      <c r="ET77" s="1075"/>
      <c r="EU77" s="1075"/>
      <c r="EV77" s="1075"/>
      <c r="EW77" s="1075"/>
      <c r="EX77" s="1075"/>
      <c r="EY77" s="1075"/>
      <c r="EZ77" s="1075"/>
      <c r="FA77" s="1075"/>
      <c r="FB77" s="1075"/>
      <c r="FC77" s="1075"/>
      <c r="FD77" s="1075"/>
      <c r="FE77" s="1075"/>
      <c r="FF77" s="1075"/>
      <c r="FG77" s="1075"/>
      <c r="FH77" s="1075"/>
      <c r="FI77" s="1075"/>
      <c r="FJ77" s="1075"/>
      <c r="FK77" s="1075"/>
      <c r="FL77" s="1075"/>
      <c r="FM77" s="1075"/>
      <c r="FN77" s="1075"/>
      <c r="FO77" s="1075"/>
      <c r="FP77" s="1075"/>
      <c r="FQ77" s="1075"/>
      <c r="FR77" s="1075"/>
      <c r="FS77" s="1075"/>
      <c r="FT77" s="1075"/>
      <c r="FU77" s="1075"/>
      <c r="FV77" s="1075"/>
      <c r="FW77" s="1075"/>
      <c r="FX77" s="1075"/>
      <c r="FY77" s="1075"/>
      <c r="FZ77" s="1075"/>
      <c r="GA77" s="1075"/>
      <c r="GB77" s="1075"/>
      <c r="GC77" s="1075"/>
      <c r="GD77" s="1075"/>
      <c r="GE77" s="1075"/>
      <c r="GF77" s="1075"/>
      <c r="GG77" s="1075"/>
      <c r="GH77" s="1075"/>
      <c r="GI77" s="1075"/>
      <c r="GJ77" s="1075"/>
      <c r="GK77" s="1075"/>
      <c r="GL77" s="1075"/>
      <c r="GM77" s="1075"/>
      <c r="GN77" s="1075"/>
      <c r="GO77" s="1075"/>
      <c r="GP77" s="1075"/>
      <c r="GQ77" s="1075"/>
      <c r="GR77" s="1075"/>
      <c r="GS77" s="1075"/>
      <c r="GT77" s="1075"/>
      <c r="GU77" s="1075"/>
      <c r="GV77" s="1075"/>
      <c r="GW77" s="1075"/>
      <c r="GX77" s="1075"/>
      <c r="GY77" s="1075"/>
      <c r="GZ77" s="1075"/>
      <c r="HA77" s="1075"/>
      <c r="HB77" s="1075"/>
      <c r="HC77" s="1075"/>
      <c r="HD77" s="1075"/>
      <c r="HE77" s="1075"/>
      <c r="HF77" s="1075"/>
      <c r="HG77" s="1075"/>
      <c r="HH77" s="1075"/>
      <c r="HI77" s="1075"/>
      <c r="HJ77" s="1075"/>
      <c r="HK77" s="1075"/>
      <c r="HL77" s="1075"/>
      <c r="HM77" s="1075"/>
      <c r="HN77" s="1075"/>
      <c r="HO77" s="1075"/>
      <c r="HP77" s="1075"/>
      <c r="HQ77" s="1075"/>
      <c r="HR77" s="1075"/>
      <c r="HS77" s="1075"/>
      <c r="HT77" s="1075"/>
      <c r="HU77" s="1075"/>
      <c r="HV77" s="1075"/>
      <c r="HW77" s="1075"/>
      <c r="HX77" s="1075"/>
      <c r="HY77" s="1075"/>
      <c r="HZ77" s="1075"/>
      <c r="IA77" s="1075"/>
      <c r="IB77" s="1075"/>
      <c r="IC77" s="1075"/>
      <c r="ID77" s="1075"/>
      <c r="IE77" s="1075"/>
      <c r="IF77" s="1075"/>
      <c r="IG77" s="1075"/>
      <c r="IH77" s="1075"/>
      <c r="II77" s="1075"/>
      <c r="IJ77" s="1075"/>
      <c r="IK77" s="1075"/>
      <c r="IL77" s="1075"/>
      <c r="IM77" s="1075"/>
      <c r="IN77" s="1075"/>
      <c r="IO77" s="1075"/>
      <c r="IP77" s="1075"/>
      <c r="IQ77" s="1075"/>
      <c r="IR77" s="1075"/>
      <c r="IS77" s="1075"/>
      <c r="IT77" s="1075"/>
      <c r="IU77" s="1075"/>
      <c r="IV77" s="1075"/>
      <c r="IW77" s="1075"/>
    </row>
    <row r="78" customFormat="false" ht="13.5" hidden="false" customHeight="false" outlineLevel="0" collapsed="false">
      <c r="Z78" s="1"/>
      <c r="AE78" s="1"/>
      <c r="AF78" s="1"/>
      <c r="AW78" s="38"/>
      <c r="BA78" s="908" t="s">
        <v>1411</v>
      </c>
      <c r="BB78" s="1150"/>
      <c r="BC78" s="1158" t="n">
        <f aca="false">IF(ABS(BF75)&lt;0.00005,0,1)</f>
        <v>1</v>
      </c>
    </row>
    <row r="79" customFormat="false" ht="12.75" hidden="false" customHeight="false" outlineLevel="0" collapsed="false">
      <c r="A79" s="1075"/>
      <c r="B79" s="1075"/>
      <c r="C79" s="1159" t="s">
        <v>53</v>
      </c>
      <c r="D79" s="1078" t="n">
        <f aca="false">IF(D$7=YEAR(Startops3),IF($B$35=0,1,2),IF(D$7&gt;YEAR(Startops3),C79+2,0))</f>
        <v>0</v>
      </c>
      <c r="E79" s="1078" t="n">
        <f aca="false">IF(E$7=YEAR(Startops3),IF($B$35=0,1,2),IF(E$7&gt;YEAR(Startops3),D79+2,0))</f>
        <v>0</v>
      </c>
      <c r="F79" s="1078" t="n">
        <f aca="false">IF(F$7=YEAR(Startops3),IF($B$35=0,1,2),IF(F$7&gt;YEAR(Startops3),E79+2,0))</f>
        <v>0</v>
      </c>
      <c r="G79" s="1078" t="n">
        <f aca="false">IF(G$7=YEAR(Startops3),IF($B$35=0,1,2),IF(G$7&gt;YEAR(Startops3),F79+2,0))</f>
        <v>1</v>
      </c>
      <c r="H79" s="1078" t="n">
        <f aca="false">IF(H$7=YEAR(Startops3),IF($B$35=0,1,2),IF(H$7&gt;YEAR(Startops3),G79+2,0))</f>
        <v>3</v>
      </c>
      <c r="I79" s="1078" t="n">
        <f aca="false">IF(I$7=YEAR(Startops3),IF($B$35=0,1,2),IF(I$7&gt;YEAR(Startops3),H79+2,0))</f>
        <v>5</v>
      </c>
      <c r="J79" s="1078" t="n">
        <f aca="false">IF(J$7=YEAR(Startops3),IF($B$35=0,1,2),IF(J$7&gt;YEAR(Startops3),I79+2,0))</f>
        <v>7</v>
      </c>
      <c r="K79" s="1078" t="n">
        <f aca="false">IF(K$7=YEAR(Startops3),IF($B$35=0,1,2),IF(K$7&gt;YEAR(Startops3),J79+2,0))</f>
        <v>9</v>
      </c>
      <c r="L79" s="1078" t="n">
        <f aca="false">IF(L$7=YEAR(Startops3),IF($B$35=0,1,2),IF(L$7&gt;YEAR(Startops3),K79+2,0))</f>
        <v>11</v>
      </c>
      <c r="M79" s="1078" t="n">
        <f aca="false">IF(M$7=YEAR(Startops3),IF($B$35=0,1,2),IF(M$7&gt;YEAR(Startops3),L79+2,0))</f>
        <v>13</v>
      </c>
      <c r="N79" s="1078" t="n">
        <f aca="false">IF(N$7=YEAR(Startops3),IF($B$35=0,1,2),IF(N$7&gt;YEAR(Startops3),M79+2,0))</f>
        <v>15</v>
      </c>
      <c r="O79" s="1078" t="n">
        <f aca="false">IF(O$7=YEAR(Startops3),IF($B$35=0,1,2),IF(O$7&gt;YEAR(Startops3),N79+2,0))</f>
        <v>17</v>
      </c>
      <c r="P79" s="1078" t="n">
        <f aca="false">IF(P$7=YEAR(Startops3),IF($B$35=0,1,2),IF(P$7&gt;YEAR(Startops3),O79+2,0))</f>
        <v>19</v>
      </c>
      <c r="Q79" s="1078" t="n">
        <f aca="false">IF(Q$7=YEAR(Startops3),IF($B$35=0,1,2),IF(Q$7&gt;YEAR(Startops3),P79+2,0))</f>
        <v>21</v>
      </c>
      <c r="R79" s="1078" t="n">
        <f aca="false">IF(R$7=YEAR(Startops3),IF($B$35=0,1,2),IF(R$7&gt;YEAR(Startops3),Q79+2,0))</f>
        <v>23</v>
      </c>
      <c r="S79" s="1078" t="n">
        <f aca="false">IF(S$7=YEAR(Startops3),IF($B$35=0,1,2),IF(S$7&gt;YEAR(Startops3),R79+2,0))</f>
        <v>25</v>
      </c>
      <c r="T79" s="1078" t="n">
        <f aca="false">IF(T$7=YEAR(Startops3),IF($B$35=0,1,2),IF(T$7&gt;YEAR(Startops3),S79+2,0))</f>
        <v>27</v>
      </c>
      <c r="U79" s="1078" t="n">
        <f aca="false">IF(U$7=YEAR(Startops3),IF($B$35=0,1,2),IF(U$7&gt;YEAR(Startops3),T79+2,0))</f>
        <v>29</v>
      </c>
      <c r="V79" s="1078" t="n">
        <f aca="false">IF(V$7=YEAR(Startops3),IF($B$35=0,1,2),IF(V$7&gt;YEAR(Startops3),U79+2,0))</f>
        <v>31</v>
      </c>
      <c r="W79" s="1078" t="n">
        <f aca="false">IF(W$7=YEAR(Startops3),IF($B$35=0,1,2),IF(W$7&gt;YEAR(Startops3),V79+2,0))</f>
        <v>33</v>
      </c>
      <c r="X79" s="1078" t="n">
        <f aca="false">IF(X$7=YEAR(Startops3),IF($B$35=0,1,2),IF(X$7&gt;YEAR(Startops3),W79+2,0))</f>
        <v>35</v>
      </c>
      <c r="Y79" s="1078" t="n">
        <f aca="false">IF(Y$7=YEAR(Startops3),IF($B$35=0,1,2),IF(Y$7&gt;YEAR(Startops3),X79+2,0))</f>
        <v>37</v>
      </c>
      <c r="Z79" s="1078" t="n">
        <f aca="false">IF(Z$7=YEAR(Startops3),IF($B$35=0,1,2),IF(Z$7&gt;YEAR(Startops3),Y79+2,0))</f>
        <v>39</v>
      </c>
      <c r="AA79" s="1078" t="n">
        <f aca="false">IF(AA$7=YEAR(Startops3),IF($B$35=0,1,2),IF(AA$7&gt;YEAR(Startops3),Z79+2,0))</f>
        <v>0</v>
      </c>
      <c r="AB79" s="1078" t="n">
        <f aca="false">IF(AB$7=YEAR(Startops3),IF($B$35=0,1,2),IF(AB$7&gt;YEAR(Startops3),AA79+2,0))</f>
        <v>0</v>
      </c>
      <c r="AC79" s="1078" t="n">
        <f aca="false">IF(AC$7=YEAR(Startops3),IF($B$35=0,1,2),IF(AC$7&gt;YEAR(Startops3),AB79+2,0))</f>
        <v>0</v>
      </c>
      <c r="AD79" s="1078" t="n">
        <f aca="false">IF(AD$7=YEAR(Startops3),IF($B$35=0,1,2),IF(AD$7&gt;YEAR(Startops3),AC79+2,0))</f>
        <v>0</v>
      </c>
      <c r="AE79" s="1078" t="n">
        <f aca="false">IF(AE$7=YEAR(Startops3),IF($B$35=0,1,2),IF(AE$7&gt;YEAR(Startops3),AD79+2,0))</f>
        <v>0</v>
      </c>
      <c r="AF79" s="1078" t="n">
        <f aca="false">IF(AF$7=YEAR(Startops3),IF($B$35=0,1,2),IF(AF$7&gt;YEAR(Startops3),AE79+2,0))</f>
        <v>0</v>
      </c>
      <c r="AG79" s="1078" t="n">
        <f aca="false">IF(AG$7=YEAR(Startops3),IF($B$35=0,1,2),IF(AG$7&gt;YEAR(Startops3),AF79+2,0))</f>
        <v>0</v>
      </c>
      <c r="AH79" s="1078" t="n">
        <f aca="false">IF(AH$7=YEAR(Startops3),IF($B$35=0,1,2),IF(AH$7&gt;YEAR(Startops3),AG79+2,0))</f>
        <v>0</v>
      </c>
      <c r="AI79" s="1079"/>
      <c r="AJ79" s="1078"/>
      <c r="AK79" s="1075"/>
      <c r="AL79" s="1075"/>
      <c r="AM79" s="1075"/>
      <c r="AN79" s="1075"/>
      <c r="AO79" s="1075"/>
      <c r="AP79" s="1075"/>
      <c r="AQ79" s="1075"/>
      <c r="AR79" s="1075"/>
      <c r="AS79" s="1075"/>
      <c r="AT79" s="1075"/>
      <c r="AU79" s="1075"/>
      <c r="AV79" s="1075"/>
      <c r="AW79" s="1077"/>
      <c r="AX79" s="1075"/>
      <c r="AY79" s="1075"/>
      <c r="AZ79" s="1075"/>
      <c r="BA79" s="1075"/>
      <c r="BB79" s="1075"/>
      <c r="BC79" s="1075"/>
      <c r="BD79" s="1075"/>
      <c r="BE79" s="1075"/>
      <c r="BF79" s="1075"/>
      <c r="BG79" s="1075"/>
      <c r="BH79" s="1075"/>
      <c r="BI79" s="1075"/>
      <c r="BJ79" s="1075"/>
      <c r="BK79" s="1075"/>
      <c r="BL79" s="1075"/>
      <c r="BM79" s="1075"/>
      <c r="BN79" s="1075"/>
      <c r="BO79" s="1075"/>
      <c r="BP79" s="1075"/>
      <c r="BQ79" s="1075"/>
      <c r="BR79" s="1075"/>
      <c r="BS79" s="1075"/>
      <c r="BT79" s="1075"/>
      <c r="BU79" s="1075"/>
      <c r="BV79" s="1075"/>
      <c r="BW79" s="1075"/>
      <c r="BX79" s="1075"/>
      <c r="BY79" s="1075"/>
      <c r="BZ79" s="1075"/>
      <c r="CA79" s="1075"/>
      <c r="CB79" s="1075"/>
      <c r="CC79" s="1075"/>
      <c r="CD79" s="1075"/>
      <c r="CE79" s="1075"/>
      <c r="CF79" s="1075"/>
      <c r="CG79" s="1075"/>
      <c r="CH79" s="1075"/>
      <c r="CI79" s="1075"/>
      <c r="CJ79" s="1075"/>
      <c r="CK79" s="1075"/>
      <c r="CL79" s="1075"/>
      <c r="CM79" s="1075"/>
      <c r="CN79" s="1075"/>
      <c r="CO79" s="1075"/>
      <c r="CP79" s="1075"/>
      <c r="CQ79" s="1075"/>
      <c r="CR79" s="1075"/>
      <c r="CS79" s="1075"/>
      <c r="CT79" s="1075"/>
      <c r="CU79" s="1075"/>
      <c r="CV79" s="1075"/>
      <c r="CW79" s="1075"/>
      <c r="CX79" s="1075"/>
      <c r="CY79" s="1075"/>
      <c r="CZ79" s="1075"/>
      <c r="DA79" s="1075"/>
      <c r="DB79" s="1075"/>
      <c r="DC79" s="1075"/>
      <c r="DD79" s="1075"/>
      <c r="DE79" s="1075"/>
      <c r="DF79" s="1075"/>
      <c r="DG79" s="1075"/>
      <c r="DH79" s="1075"/>
      <c r="DI79" s="1075"/>
      <c r="DJ79" s="1075"/>
      <c r="DK79" s="1075"/>
      <c r="DL79" s="1075"/>
      <c r="DM79" s="1075"/>
      <c r="DN79" s="1075"/>
      <c r="DO79" s="1075"/>
      <c r="DP79" s="1075"/>
      <c r="DQ79" s="1075"/>
      <c r="DR79" s="1075"/>
      <c r="DS79" s="1075"/>
      <c r="DT79" s="1075"/>
      <c r="DU79" s="1075"/>
      <c r="DV79" s="1075"/>
      <c r="DW79" s="1075"/>
      <c r="DX79" s="1075"/>
      <c r="DY79" s="1075"/>
      <c r="DZ79" s="1075"/>
      <c r="EA79" s="1075"/>
      <c r="EB79" s="1075"/>
      <c r="EC79" s="1075"/>
      <c r="ED79" s="1075"/>
      <c r="EE79" s="1075"/>
      <c r="EF79" s="1075"/>
      <c r="EG79" s="1075"/>
      <c r="EH79" s="1075"/>
      <c r="EI79" s="1075"/>
      <c r="EJ79" s="1075"/>
      <c r="EK79" s="1075"/>
      <c r="EL79" s="1075"/>
      <c r="EM79" s="1075"/>
      <c r="EN79" s="1075"/>
      <c r="EO79" s="1075"/>
      <c r="EP79" s="1075"/>
      <c r="EQ79" s="1075"/>
      <c r="ER79" s="1075"/>
      <c r="ES79" s="1075"/>
      <c r="ET79" s="1075"/>
      <c r="EU79" s="1075"/>
      <c r="EV79" s="1075"/>
      <c r="EW79" s="1075"/>
      <c r="EX79" s="1075"/>
      <c r="EY79" s="1075"/>
      <c r="EZ79" s="1075"/>
      <c r="FA79" s="1075"/>
      <c r="FB79" s="1075"/>
      <c r="FC79" s="1075"/>
      <c r="FD79" s="1075"/>
      <c r="FE79" s="1075"/>
      <c r="FF79" s="1075"/>
      <c r="FG79" s="1075"/>
      <c r="FH79" s="1075"/>
      <c r="FI79" s="1075"/>
      <c r="FJ79" s="1075"/>
      <c r="FK79" s="1075"/>
      <c r="FL79" s="1075"/>
      <c r="FM79" s="1075"/>
      <c r="FN79" s="1075"/>
      <c r="FO79" s="1075"/>
      <c r="FP79" s="1075"/>
      <c r="FQ79" s="1075"/>
      <c r="FR79" s="1075"/>
      <c r="FS79" s="1075"/>
      <c r="FT79" s="1075"/>
      <c r="FU79" s="1075"/>
      <c r="FV79" s="1075"/>
      <c r="FW79" s="1075"/>
      <c r="FX79" s="1075"/>
      <c r="FY79" s="1075"/>
      <c r="FZ79" s="1075"/>
      <c r="GA79" s="1075"/>
      <c r="GB79" s="1075"/>
      <c r="GC79" s="1075"/>
      <c r="GD79" s="1075"/>
      <c r="GE79" s="1075"/>
      <c r="GF79" s="1075"/>
      <c r="GG79" s="1075"/>
      <c r="GH79" s="1075"/>
      <c r="GI79" s="1075"/>
      <c r="GJ79" s="1075"/>
      <c r="GK79" s="1075"/>
      <c r="GL79" s="1075"/>
      <c r="GM79" s="1075"/>
      <c r="GN79" s="1075"/>
      <c r="GO79" s="1075"/>
      <c r="GP79" s="1075"/>
      <c r="GQ79" s="1075"/>
      <c r="GR79" s="1075"/>
      <c r="GS79" s="1075"/>
      <c r="GT79" s="1075"/>
      <c r="GU79" s="1075"/>
      <c r="GV79" s="1075"/>
      <c r="GW79" s="1075"/>
      <c r="GX79" s="1075"/>
      <c r="GY79" s="1075"/>
      <c r="GZ79" s="1075"/>
      <c r="HA79" s="1075"/>
      <c r="HB79" s="1075"/>
      <c r="HC79" s="1075"/>
      <c r="HD79" s="1075"/>
      <c r="HE79" s="1075"/>
      <c r="HF79" s="1075"/>
      <c r="HG79" s="1075"/>
      <c r="HH79" s="1075"/>
      <c r="HI79" s="1075"/>
      <c r="HJ79" s="1075"/>
      <c r="HK79" s="1075"/>
      <c r="HL79" s="1075"/>
      <c r="HM79" s="1075"/>
      <c r="HN79" s="1075"/>
      <c r="HO79" s="1075"/>
      <c r="HP79" s="1075"/>
      <c r="HQ79" s="1075"/>
      <c r="HR79" s="1075"/>
      <c r="HS79" s="1075"/>
      <c r="HT79" s="1075"/>
      <c r="HU79" s="1075"/>
      <c r="HV79" s="1075"/>
      <c r="HW79" s="1075"/>
      <c r="HX79" s="1075"/>
      <c r="HY79" s="1075"/>
      <c r="HZ79" s="1075"/>
      <c r="IA79" s="1075"/>
      <c r="IB79" s="1075"/>
      <c r="IC79" s="1075"/>
      <c r="ID79" s="1075"/>
      <c r="IE79" s="1075"/>
      <c r="IF79" s="1075"/>
      <c r="IG79" s="1075"/>
      <c r="IH79" s="1075"/>
      <c r="II79" s="1075"/>
      <c r="IJ79" s="1075"/>
      <c r="IK79" s="1075"/>
      <c r="IL79" s="1075"/>
      <c r="IM79" s="1075"/>
      <c r="IN79" s="1075"/>
      <c r="IO79" s="1075"/>
      <c r="IP79" s="1075"/>
      <c r="IQ79" s="1075"/>
      <c r="IR79" s="1075"/>
      <c r="IS79" s="1075"/>
      <c r="IT79" s="1075"/>
      <c r="IU79" s="1075"/>
      <c r="IV79" s="1075"/>
      <c r="IW79" s="1075"/>
    </row>
    <row r="80" customFormat="false" ht="12.75" hidden="false" customHeight="false" outlineLevel="0" collapsed="false">
      <c r="Z80" s="1"/>
      <c r="AW80" s="38"/>
    </row>
    <row r="81" customFormat="false" ht="12.75" hidden="false" customHeight="false" outlineLevel="0" collapsed="false">
      <c r="Z81" s="1"/>
      <c r="AW81" s="38"/>
    </row>
    <row r="82" customFormat="false" ht="12.75" hidden="false" customHeight="false" outlineLevel="0" collapsed="false">
      <c r="Z82" s="1"/>
      <c r="AW82" s="38"/>
    </row>
    <row r="83" customFormat="false" ht="12.75" hidden="false" customHeight="false" outlineLevel="0" collapsed="false">
      <c r="Z83" s="1"/>
      <c r="AW83" s="38"/>
    </row>
    <row r="84" customFormat="false" ht="12.75" hidden="false" customHeight="false" outlineLevel="0" collapsed="false">
      <c r="Z84" s="1"/>
    </row>
    <row r="85" customFormat="false" ht="12.75" hidden="false" customHeight="false" outlineLevel="0" collapsed="false">
      <c r="Z85" s="1"/>
    </row>
    <row r="86" customFormat="false" ht="12.75" hidden="false" customHeight="false" outlineLevel="0" collapsed="false">
      <c r="Z86" s="1"/>
    </row>
    <row r="87" customFormat="false" ht="12.75" hidden="false" customHeight="false" outlineLevel="0" collapsed="false">
      <c r="Z87" s="1"/>
    </row>
    <row r="88" customFormat="false" ht="12.75" hidden="false" customHeight="false" outlineLevel="0" collapsed="false">
      <c r="Z88" s="1"/>
    </row>
    <row r="89" customFormat="false" ht="12.75" hidden="false" customHeight="false" outlineLevel="0" collapsed="false">
      <c r="Z89" s="1"/>
    </row>
    <row r="90" customFormat="false" ht="12.75" hidden="false" customHeight="false" outlineLevel="0" collapsed="false">
      <c r="Z90" s="1"/>
    </row>
    <row r="91" customFormat="false" ht="12.75" hidden="false" customHeight="false" outlineLevel="0" collapsed="false">
      <c r="Z91" s="1"/>
    </row>
    <row r="92" customFormat="false" ht="12.75" hidden="false" customHeight="false" outlineLevel="0" collapsed="false">
      <c r="Z92" s="1"/>
    </row>
    <row r="93" customFormat="false" ht="12.75" hidden="false" customHeight="false" outlineLevel="0" collapsed="false">
      <c r="Z93" s="1"/>
    </row>
    <row r="94" customFormat="false" ht="12.75" hidden="false" customHeight="false" outlineLevel="0" collapsed="false">
      <c r="Z94" s="1"/>
    </row>
    <row r="95" customFormat="false" ht="12.75" hidden="false" customHeight="false" outlineLevel="0" collapsed="false">
      <c r="Z95" s="1"/>
    </row>
    <row r="96" customFormat="false" ht="12.75" hidden="false" customHeight="false" outlineLevel="0" collapsed="false">
      <c r="Z96" s="1"/>
    </row>
    <row r="97" customFormat="false" ht="12.75" hidden="false" customHeight="false" outlineLevel="0" collapsed="false">
      <c r="Z97" s="1"/>
    </row>
    <row r="98" customFormat="false" ht="12.75" hidden="false" customHeight="false" outlineLevel="0" collapsed="false">
      <c r="Z98" s="1"/>
    </row>
    <row r="99" customFormat="false" ht="12.75" hidden="false" customHeight="false" outlineLevel="0" collapsed="false">
      <c r="Z99" s="1"/>
    </row>
    <row r="100" customFormat="false" ht="12.75" hidden="false" customHeight="false" outlineLevel="0" collapsed="false">
      <c r="Z100" s="1"/>
    </row>
    <row r="101" customFormat="false" ht="12.75" hidden="false" customHeight="false" outlineLevel="0" collapsed="false">
      <c r="Z101" s="1"/>
    </row>
    <row r="102" customFormat="false" ht="12.75" hidden="false" customHeight="false" outlineLevel="0" collapsed="false">
      <c r="Z102" s="1"/>
    </row>
    <row r="103" customFormat="false" ht="12.75" hidden="false" customHeight="false" outlineLevel="0" collapsed="false">
      <c r="Z103" s="1"/>
    </row>
    <row r="104" customFormat="false" ht="12.75" hidden="false" customHeight="false" outlineLevel="0" collapsed="false">
      <c r="Z104" s="1"/>
    </row>
    <row r="105" customFormat="false" ht="12.75" hidden="false" customHeight="false" outlineLevel="0" collapsed="false">
      <c r="Z105" s="1"/>
    </row>
    <row r="106" customFormat="false" ht="12.75" hidden="false" customHeight="false" outlineLevel="0" collapsed="false">
      <c r="Z106" s="1"/>
    </row>
    <row r="107" customFormat="false" ht="12.75" hidden="false" customHeight="false" outlineLevel="0" collapsed="false">
      <c r="Z107" s="1"/>
    </row>
    <row r="108" customFormat="false" ht="12.75" hidden="false" customHeight="false" outlineLevel="0" collapsed="false">
      <c r="Z108" s="1"/>
    </row>
    <row r="109" customFormat="false" ht="12.75" hidden="false" customHeight="false" outlineLevel="0" collapsed="false">
      <c r="Z109" s="1"/>
    </row>
  </sheetData>
  <mergeCells count="13">
    <mergeCell ref="C26:F26"/>
    <mergeCell ref="G26:J26"/>
    <mergeCell ref="K26:N26"/>
    <mergeCell ref="O26:R26"/>
    <mergeCell ref="S26:V26"/>
    <mergeCell ref="W26:Z26"/>
    <mergeCell ref="AX30:AZ30"/>
    <mergeCell ref="BA30:BE30"/>
    <mergeCell ref="AK31:AV31"/>
    <mergeCell ref="AA32:AB32"/>
    <mergeCell ref="AC32:AD32"/>
    <mergeCell ref="AE32:AF32"/>
    <mergeCell ref="A75:B75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4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66" activeCellId="0" sqref="A6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8" width="30.7"/>
    <col collapsed="false" customWidth="true" hidden="false" outlineLevel="0" max="2" min="2" style="38" width="18.7"/>
    <col collapsed="false" customWidth="true" hidden="false" outlineLevel="0" max="3" min="3" style="38" width="3.7"/>
    <col collapsed="false" customWidth="true" hidden="false" outlineLevel="0" max="25" min="4" style="38" width="10.71"/>
    <col collapsed="false" customWidth="true" hidden="false" outlineLevel="0" max="26" min="26" style="38" width="12.7"/>
    <col collapsed="false" customWidth="true" hidden="false" outlineLevel="0" max="27" min="27" style="1" width="11.56"/>
    <col collapsed="false" customWidth="false" hidden="false" outlineLevel="0" max="257" min="28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"/>
      <c r="AE1" s="3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"/>
      <c r="AE2" s="3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"/>
      <c r="AE3" s="3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1412</v>
      </c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"/>
      <c r="AE4" s="3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C5" s="388"/>
      <c r="Z5" s="388"/>
      <c r="AA5" s="388"/>
      <c r="AB5" s="388"/>
      <c r="AC5" s="388"/>
      <c r="AD5" s="38"/>
      <c r="AE5" s="38"/>
      <c r="AF5" s="388"/>
      <c r="AG5" s="388"/>
      <c r="AH5" s="388"/>
      <c r="AI5" s="388"/>
      <c r="AJ5" s="388"/>
      <c r="AK5" s="388"/>
      <c r="AL5" s="388"/>
      <c r="AM5" s="388"/>
      <c r="AN5" s="388"/>
      <c r="AO5" s="388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763</v>
      </c>
      <c r="B6" s="28"/>
      <c r="C6" s="28"/>
      <c r="D6" s="28" t="n">
        <f aca="false">Rev_Exp!D6</f>
        <v>1</v>
      </c>
      <c r="E6" s="28" t="n">
        <f aca="false">Rev_Exp!E6</f>
        <v>2</v>
      </c>
      <c r="F6" s="28" t="n">
        <f aca="false">Rev_Exp!F6</f>
        <v>3</v>
      </c>
      <c r="G6" s="28" t="n">
        <f aca="false">Rev_Exp!G6</f>
        <v>4</v>
      </c>
      <c r="H6" s="28" t="n">
        <f aca="false">Rev_Exp!H6</f>
        <v>5</v>
      </c>
      <c r="I6" s="28" t="n">
        <f aca="false">Rev_Exp!I6</f>
        <v>6</v>
      </c>
      <c r="J6" s="28" t="n">
        <f aca="false">Rev_Exp!J6</f>
        <v>7</v>
      </c>
      <c r="K6" s="28" t="n">
        <f aca="false">Rev_Exp!K6</f>
        <v>8</v>
      </c>
      <c r="L6" s="28" t="n">
        <f aca="false">Rev_Exp!L6</f>
        <v>9</v>
      </c>
      <c r="M6" s="28" t="n">
        <f aca="false">Rev_Exp!M6</f>
        <v>10</v>
      </c>
      <c r="N6" s="28" t="n">
        <f aca="false">Rev_Exp!N6</f>
        <v>11</v>
      </c>
      <c r="O6" s="28" t="n">
        <f aca="false">Rev_Exp!O6</f>
        <v>12</v>
      </c>
      <c r="P6" s="28" t="n">
        <f aca="false">Rev_Exp!P6</f>
        <v>13</v>
      </c>
      <c r="Q6" s="28" t="n">
        <f aca="false">Rev_Exp!Q6</f>
        <v>14</v>
      </c>
      <c r="R6" s="28" t="n">
        <f aca="false">Rev_Exp!R6</f>
        <v>15</v>
      </c>
      <c r="S6" s="28" t="n">
        <f aca="false">Rev_Exp!S6</f>
        <v>16</v>
      </c>
      <c r="T6" s="28" t="n">
        <f aca="false">Rev_Exp!T6</f>
        <v>17</v>
      </c>
      <c r="U6" s="28" t="n">
        <f aca="false">Rev_Exp!U6</f>
        <v>18</v>
      </c>
      <c r="V6" s="28" t="n">
        <f aca="false">Rev_Exp!V6</f>
        <v>19</v>
      </c>
      <c r="W6" s="28" t="n">
        <f aca="false">Rev_Exp!W6</f>
        <v>20</v>
      </c>
      <c r="X6" s="28" t="n">
        <f aca="false">Rev_Exp!X6</f>
        <v>21</v>
      </c>
      <c r="Y6" s="28" t="n">
        <f aca="false">Rev_Exp!Y6</f>
        <v>22</v>
      </c>
      <c r="Z6" s="539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634" t="s">
        <v>765</v>
      </c>
      <c r="B7" s="71"/>
      <c r="C7" s="71"/>
      <c r="D7" s="1160" t="n">
        <f aca="false">Rev_Exp!D7</f>
        <v>1998</v>
      </c>
      <c r="E7" s="1160" t="n">
        <f aca="false">Rev_Exp!E7</f>
        <v>1999</v>
      </c>
      <c r="F7" s="1160" t="n">
        <f aca="false">Rev_Exp!F7</f>
        <v>2000</v>
      </c>
      <c r="G7" s="1160" t="n">
        <f aca="false">Rev_Exp!G7</f>
        <v>2001</v>
      </c>
      <c r="H7" s="1160" t="n">
        <f aca="false">Rev_Exp!H7</f>
        <v>2002</v>
      </c>
      <c r="I7" s="1160" t="n">
        <f aca="false">Rev_Exp!I7</f>
        <v>2003</v>
      </c>
      <c r="J7" s="1160" t="n">
        <f aca="false">Rev_Exp!J7</f>
        <v>2004</v>
      </c>
      <c r="K7" s="1160" t="n">
        <f aca="false">Rev_Exp!K7</f>
        <v>2005</v>
      </c>
      <c r="L7" s="1160" t="n">
        <f aca="false">Rev_Exp!L7</f>
        <v>2006</v>
      </c>
      <c r="M7" s="1160" t="n">
        <f aca="false">Rev_Exp!M7</f>
        <v>2007</v>
      </c>
      <c r="N7" s="1160" t="n">
        <f aca="false">Rev_Exp!N7</f>
        <v>2008</v>
      </c>
      <c r="O7" s="1160" t="n">
        <f aca="false">Rev_Exp!O7</f>
        <v>2009</v>
      </c>
      <c r="P7" s="1160" t="n">
        <f aca="false">Rev_Exp!P7</f>
        <v>2010</v>
      </c>
      <c r="Q7" s="1160" t="n">
        <f aca="false">Rev_Exp!Q7</f>
        <v>2011</v>
      </c>
      <c r="R7" s="1160" t="n">
        <f aca="false">Rev_Exp!R7</f>
        <v>2012</v>
      </c>
      <c r="S7" s="1160" t="n">
        <f aca="false">Rev_Exp!S7</f>
        <v>2013</v>
      </c>
      <c r="T7" s="1160" t="n">
        <f aca="false">Rev_Exp!T7</f>
        <v>2014</v>
      </c>
      <c r="U7" s="1160" t="n">
        <f aca="false">Rev_Exp!U7</f>
        <v>2015</v>
      </c>
      <c r="V7" s="1160" t="n">
        <f aca="false">Rev_Exp!V7</f>
        <v>2016</v>
      </c>
      <c r="W7" s="1160" t="n">
        <f aca="false">Rev_Exp!W7</f>
        <v>2017</v>
      </c>
      <c r="X7" s="1160" t="n">
        <f aca="false">Rev_Exp!X7</f>
        <v>2018</v>
      </c>
      <c r="Y7" s="1160" t="n">
        <f aca="false">Rev_Exp!Y7</f>
        <v>2019</v>
      </c>
      <c r="Z7" s="544" t="s">
        <v>1380</v>
      </c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45"/>
      <c r="C8" s="388"/>
      <c r="Z8" s="614"/>
      <c r="AA8" s="388"/>
      <c r="AB8" s="388"/>
      <c r="AC8" s="388"/>
      <c r="AD8" s="38"/>
      <c r="AE8" s="38"/>
      <c r="AF8" s="388"/>
      <c r="AG8" s="388"/>
      <c r="AH8" s="388"/>
      <c r="AI8" s="388"/>
      <c r="AJ8" s="388"/>
      <c r="AK8" s="388"/>
      <c r="AL8" s="388"/>
      <c r="AM8" s="388"/>
      <c r="AN8" s="388"/>
      <c r="AO8" s="388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12.75" hidden="false" customHeight="false" outlineLevel="0" collapsed="false">
      <c r="A9" s="37" t="s">
        <v>1061</v>
      </c>
      <c r="D9" s="556" t="n">
        <f aca="false">Rev_Exp!D12</f>
        <v>0</v>
      </c>
      <c r="E9" s="556" t="n">
        <f aca="false">Rev_Exp!E12</f>
        <v>9</v>
      </c>
      <c r="F9" s="556" t="n">
        <f aca="false">Rev_Exp!F12</f>
        <v>12</v>
      </c>
      <c r="G9" s="556" t="n">
        <f aca="false">Rev_Exp!G12</f>
        <v>12</v>
      </c>
      <c r="H9" s="556" t="n">
        <f aca="false">Rev_Exp!H12</f>
        <v>12</v>
      </c>
      <c r="I9" s="556" t="n">
        <f aca="false">Rev_Exp!I12</f>
        <v>12</v>
      </c>
      <c r="J9" s="556" t="n">
        <f aca="false">Rev_Exp!J12</f>
        <v>12</v>
      </c>
      <c r="K9" s="556" t="n">
        <f aca="false">Rev_Exp!K12</f>
        <v>12</v>
      </c>
      <c r="L9" s="556" t="n">
        <f aca="false">Rev_Exp!L12</f>
        <v>12</v>
      </c>
      <c r="M9" s="556" t="n">
        <f aca="false">Rev_Exp!M12</f>
        <v>12</v>
      </c>
      <c r="N9" s="556" t="n">
        <f aca="false">Rev_Exp!N12</f>
        <v>12</v>
      </c>
      <c r="O9" s="556" t="n">
        <f aca="false">Rev_Exp!O12</f>
        <v>12</v>
      </c>
      <c r="P9" s="556" t="n">
        <f aca="false">Rev_Exp!P12</f>
        <v>12</v>
      </c>
      <c r="Q9" s="556" t="n">
        <f aca="false">Rev_Exp!Q12</f>
        <v>12</v>
      </c>
      <c r="R9" s="556" t="n">
        <f aca="false">Rev_Exp!R12</f>
        <v>12</v>
      </c>
      <c r="S9" s="556" t="n">
        <f aca="false">Rev_Exp!S12</f>
        <v>12</v>
      </c>
      <c r="T9" s="556" t="n">
        <f aca="false">Rev_Exp!T12</f>
        <v>12</v>
      </c>
      <c r="U9" s="556" t="n">
        <f aca="false">Rev_Exp!U12</f>
        <v>12</v>
      </c>
      <c r="V9" s="556" t="n">
        <f aca="false">Rev_Exp!V12</f>
        <v>12</v>
      </c>
      <c r="W9" s="556" t="n">
        <f aca="false">Rev_Exp!W12</f>
        <v>12</v>
      </c>
      <c r="X9" s="556" t="n">
        <f aca="false">Rev_Exp!X12</f>
        <v>12</v>
      </c>
      <c r="Y9" s="556" t="n">
        <f aca="false">Rev_Exp!Y12</f>
        <v>4</v>
      </c>
      <c r="Z9" s="557" t="n">
        <f aca="false">SUM(D9:Y9)</f>
        <v>241</v>
      </c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37"/>
      <c r="Z10" s="555"/>
    </row>
    <row r="11" customFormat="false" ht="12.75" hidden="false" customHeight="false" outlineLevel="0" collapsed="false">
      <c r="A11" s="130" t="s">
        <v>1413</v>
      </c>
      <c r="B11" s="62"/>
      <c r="Z11" s="555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</row>
    <row r="12" customFormat="false" ht="12.75" hidden="false" customHeight="false" outlineLevel="0" collapsed="false">
      <c r="A12" s="37" t="s">
        <v>782</v>
      </c>
      <c r="D12" s="217" t="n">
        <f aca="false">CF!D19</f>
        <v>0</v>
      </c>
      <c r="E12" s="217" t="n">
        <f aca="false">CF!E19</f>
        <v>8708.70566746943</v>
      </c>
      <c r="F12" s="217" t="n">
        <f aca="false">CF!F19</f>
        <v>14410.3584531431</v>
      </c>
      <c r="G12" s="217" t="n">
        <f aca="false">CF!G19</f>
        <v>99268.5216022606</v>
      </c>
      <c r="H12" s="217" t="n">
        <f aca="false">CF!H19</f>
        <v>141368.052121396</v>
      </c>
      <c r="I12" s="217" t="n">
        <f aca="false">CF!I19</f>
        <v>148008.889856928</v>
      </c>
      <c r="J12" s="217" t="n">
        <f aca="false">CF!J19</f>
        <v>153703.493265527</v>
      </c>
      <c r="K12" s="217" t="n">
        <f aca="false">CF!K19</f>
        <v>157339.685700752</v>
      </c>
      <c r="L12" s="217" t="n">
        <f aca="false">CF!L19</f>
        <v>160514.699451078</v>
      </c>
      <c r="M12" s="217" t="n">
        <f aca="false">CF!M19</f>
        <v>160370.709315955</v>
      </c>
      <c r="N12" s="217" t="n">
        <f aca="false">CF!N19</f>
        <v>158815.681713138</v>
      </c>
      <c r="O12" s="217" t="n">
        <f aca="false">CF!O19</f>
        <v>160155.694257687</v>
      </c>
      <c r="P12" s="217" t="n">
        <f aca="false">CF!P19</f>
        <v>163793.518234834</v>
      </c>
      <c r="Q12" s="217" t="n">
        <f aca="false">CF!Q19</f>
        <v>165185.810045264</v>
      </c>
      <c r="R12" s="217" t="n">
        <f aca="false">CF!R19</f>
        <v>160615.19556304</v>
      </c>
      <c r="S12" s="217" t="n">
        <f aca="false">CF!S19</f>
        <v>166710.286284493</v>
      </c>
      <c r="T12" s="217" t="n">
        <f aca="false">CF!T19</f>
        <v>157005.06342936</v>
      </c>
      <c r="U12" s="217" t="n">
        <f aca="false">CF!U19</f>
        <v>143666.504170569</v>
      </c>
      <c r="V12" s="217" t="n">
        <f aca="false">CF!V19</f>
        <v>142051.69543341</v>
      </c>
      <c r="W12" s="217" t="n">
        <f aca="false">CF!W19</f>
        <v>144062.755632479</v>
      </c>
      <c r="X12" s="217" t="n">
        <f aca="false">CF!X19</f>
        <v>142418.028429986</v>
      </c>
      <c r="Y12" s="217" t="n">
        <f aca="false">CF!Y19</f>
        <v>47059.6300962263</v>
      </c>
      <c r="Z12" s="574" t="n">
        <f aca="false">SUM(D12:Y12)</f>
        <v>2795232.978725</v>
      </c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</row>
    <row r="13" customFormat="false" ht="12.75" hidden="false" customHeight="false" outlineLevel="0" collapsed="false">
      <c r="A13" s="37" t="s">
        <v>1414</v>
      </c>
      <c r="D13" s="217" t="n">
        <f aca="false">-CF!D27</f>
        <v>-0</v>
      </c>
      <c r="E13" s="217" t="n">
        <f aca="false">-CF!E27</f>
        <v>-10458.104630295</v>
      </c>
      <c r="F13" s="217" t="n">
        <f aca="false">-CF!F27</f>
        <v>-10609.7153890468</v>
      </c>
      <c r="G13" s="217" t="n">
        <f aca="false">-CF!G27</f>
        <v>-70083.5761204269</v>
      </c>
      <c r="H13" s="217" t="n">
        <f aca="false">-CF!H27</f>
        <v>-98838.6248277503</v>
      </c>
      <c r="I13" s="217" t="n">
        <f aca="false">-CF!I27</f>
        <v>-101244.933846532</v>
      </c>
      <c r="J13" s="217" t="n">
        <f aca="false">-CF!J27</f>
        <v>-124673.744806188</v>
      </c>
      <c r="K13" s="217" t="n">
        <f aca="false">-CF!K27</f>
        <v>-106325.697391721</v>
      </c>
      <c r="L13" s="217" t="n">
        <f aca="false">-CF!L27</f>
        <v>-108948.441636272</v>
      </c>
      <c r="M13" s="217" t="n">
        <f aca="false">-CF!M27</f>
        <v>-111622.436543134</v>
      </c>
      <c r="N13" s="217" t="n">
        <f aca="false">-CF!N27</f>
        <v>-114373.258829552</v>
      </c>
      <c r="O13" s="217" t="n">
        <f aca="false">-CF!O27</f>
        <v>-116947.533745848</v>
      </c>
      <c r="P13" s="217" t="n">
        <f aca="false">-CF!P27</f>
        <v>-119690.851209219</v>
      </c>
      <c r="Q13" s="217" t="n">
        <f aca="false">-CF!Q27</f>
        <v>-122380.652944149</v>
      </c>
      <c r="R13" s="217" t="n">
        <f aca="false">-CF!R27</f>
        <v>-125335.846961121</v>
      </c>
      <c r="S13" s="217" t="n">
        <f aca="false">-CF!S27</f>
        <v>-128124.672786479</v>
      </c>
      <c r="T13" s="217" t="n">
        <f aca="false">-CF!T27</f>
        <v>-131048.11404136</v>
      </c>
      <c r="U13" s="217" t="n">
        <f aca="false">-CF!U27</f>
        <v>-134134.970295777</v>
      </c>
      <c r="V13" s="217" t="n">
        <f aca="false">-CF!V27</f>
        <v>-137517.62852786</v>
      </c>
      <c r="W13" s="217" t="n">
        <f aca="false">-CF!W27</f>
        <v>-140638.94711448</v>
      </c>
      <c r="X13" s="217" t="n">
        <f aca="false">-CF!X27</f>
        <v>-137310.484825309</v>
      </c>
      <c r="Y13" s="217" t="n">
        <f aca="false">-CF!Y27</f>
        <v>-46351.636494562</v>
      </c>
      <c r="Z13" s="574" t="n">
        <f aca="false">SUM(D13:Y13)</f>
        <v>-2196659.87296708</v>
      </c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</row>
    <row r="14" customFormat="false" ht="12.75" hidden="false" customHeight="false" outlineLevel="0" collapsed="false">
      <c r="A14" s="37" t="s">
        <v>1415</v>
      </c>
      <c r="D14" s="217" t="n">
        <f aca="false">Trapped!F71</f>
        <v>0</v>
      </c>
      <c r="E14" s="217" t="n">
        <f aca="false">Trapped!G71</f>
        <v>6980.67768026105</v>
      </c>
      <c r="F14" s="217" t="n">
        <f aca="false">Trapped!H71</f>
        <v>6871.23129264479</v>
      </c>
      <c r="G14" s="217" t="n">
        <f aca="false">Trapped!I71</f>
        <v>-6051.31070612839</v>
      </c>
      <c r="H14" s="217" t="n">
        <f aca="false">Trapped!J71</f>
        <v>-1119.68990582771</v>
      </c>
      <c r="I14" s="217" t="n">
        <f aca="false">Trapped!K71</f>
        <v>-1214.35002490065</v>
      </c>
      <c r="J14" s="217" t="n">
        <f aca="false">Trapped!L71</f>
        <v>5918.40186511833</v>
      </c>
      <c r="K14" s="217" t="n">
        <f aca="false">Trapped!M71</f>
        <v>-1407.10242808418</v>
      </c>
      <c r="L14" s="217" t="n">
        <f aca="false">Trapped!N71</f>
        <v>-3778.22231372641</v>
      </c>
      <c r="M14" s="217" t="n">
        <f aca="false">Trapped!O71</f>
        <v>6730.3349227414</v>
      </c>
      <c r="N14" s="217" t="n">
        <f aca="false">Trapped!P71</f>
        <v>6723.63749154843</v>
      </c>
      <c r="O14" s="217" t="n">
        <f aca="false">Trapped!Q71</f>
        <v>-5855.54125785729</v>
      </c>
      <c r="P14" s="217" t="n">
        <f aca="false">Trapped!R71</f>
        <v>-6006.18783817729</v>
      </c>
      <c r="Q14" s="217" t="n">
        <f aca="false">Trapped!S71</f>
        <v>6703.17396699853</v>
      </c>
      <c r="R14" s="217" t="n">
        <f aca="false">Trapped!T71</f>
        <v>6696.1765469125</v>
      </c>
      <c r="S14" s="217" t="n">
        <f aca="false">Trapped!U71</f>
        <v>-15731.4069024175</v>
      </c>
      <c r="T14" s="217" t="n">
        <f aca="false">Trapped!V71</f>
        <v>6681.66372865824</v>
      </c>
      <c r="U14" s="217" t="n">
        <f aca="false">Trapped!W71</f>
        <v>6673.99684077322</v>
      </c>
      <c r="V14" s="217" t="n">
        <f aca="false">Trapped!X71</f>
        <v>-3831.08541807155</v>
      </c>
      <c r="W14" s="217" t="n">
        <f aca="false">Trapped!Y71</f>
        <v>-14984.3975404655</v>
      </c>
      <c r="X14" s="217" t="n">
        <f aca="false">Trapped!Z71</f>
        <v>0</v>
      </c>
      <c r="Y14" s="217" t="n">
        <f aca="false">Trapped!AA71</f>
        <v>0</v>
      </c>
      <c r="Z14" s="574" t="n">
        <f aca="false">SUM(D14:Y14)</f>
        <v>0</v>
      </c>
      <c r="AA14" s="1161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</row>
    <row r="15" customFormat="false" ht="12.75" hidden="false" customHeight="false" outlineLevel="0" collapsed="false">
      <c r="A15" s="37" t="s">
        <v>1416</v>
      </c>
      <c r="D15" s="217" t="n">
        <f aca="false">Trapped!F87</f>
        <v>0</v>
      </c>
      <c r="E15" s="217" t="n">
        <f aca="false">Trapped!G87</f>
        <v>282.928225151282</v>
      </c>
      <c r="F15" s="217" t="n">
        <f aca="false">Trapped!H87</f>
        <v>258.788957587103</v>
      </c>
      <c r="G15" s="217" t="n">
        <f aca="false">Trapped!I87</f>
        <v>228.319914434693</v>
      </c>
      <c r="H15" s="217" t="n">
        <f aca="false">Trapped!J87</f>
        <v>-121.785661588399</v>
      </c>
      <c r="I15" s="217" t="n">
        <f aca="false">Trapped!K87</f>
        <v>-59.7559355884701</v>
      </c>
      <c r="J15" s="217" t="n">
        <f aca="false">Trapped!L87</f>
        <v>225.520917007249</v>
      </c>
      <c r="K15" s="217" t="n">
        <f aca="false">Trapped!M87</f>
        <v>-234.573807642782</v>
      </c>
      <c r="L15" s="217" t="n">
        <f aca="false">Trapped!N87</f>
        <v>74.6734834010675</v>
      </c>
      <c r="M15" s="217" t="n">
        <f aca="false">Trapped!O87</f>
        <v>217.546966326638</v>
      </c>
      <c r="N15" s="217" t="n">
        <f aca="false">Trapped!P87</f>
        <v>214.52779623529</v>
      </c>
      <c r="O15" s="217" t="n">
        <f aca="false">Trapped!Q87</f>
        <v>-236.483937763877</v>
      </c>
      <c r="P15" s="217" t="n">
        <f aca="false">Trapped!R87</f>
        <v>-177.447316020937</v>
      </c>
      <c r="Q15" s="217" t="n">
        <f aca="false">Trapped!S87</f>
        <v>204.604605654439</v>
      </c>
      <c r="R15" s="217" t="n">
        <f aca="false">Trapped!T87</f>
        <v>200.789369623464</v>
      </c>
      <c r="S15" s="217" t="n">
        <f aca="false">Trapped!U87</f>
        <v>-662.070694503381</v>
      </c>
      <c r="T15" s="217" t="n">
        <f aca="false">Trapped!V87</f>
        <v>192.472981069959</v>
      </c>
      <c r="U15" s="217" t="n">
        <f aca="false">Trapped!W87</f>
        <v>188.073669587783</v>
      </c>
      <c r="V15" s="217" t="n">
        <f aca="false">Trapped!X87</f>
        <v>-438.962493236169</v>
      </c>
      <c r="W15" s="217" t="n">
        <f aca="false">Trapped!Y87</f>
        <v>-357.167039734952</v>
      </c>
      <c r="X15" s="217" t="n">
        <f aca="false">Trapped!Z87</f>
        <v>0</v>
      </c>
      <c r="Y15" s="217" t="n">
        <f aca="false">Trapped!AA87</f>
        <v>0</v>
      </c>
      <c r="Z15" s="574" t="n">
        <f aca="false">SUM(D15:Y15)</f>
        <v>0</v>
      </c>
      <c r="AA15" s="1161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</row>
    <row r="16" customFormat="false" ht="12.75" hidden="false" customHeight="false" outlineLevel="0" collapsed="false">
      <c r="A16" s="37" t="s">
        <v>1417</v>
      </c>
      <c r="D16" s="217" t="n">
        <f aca="false">CF!D31</f>
        <v>-0</v>
      </c>
      <c r="E16" s="217" t="n">
        <f aca="false">CF!E31</f>
        <v>-0</v>
      </c>
      <c r="F16" s="217" t="n">
        <f aca="false">CF!F31</f>
        <v>-0</v>
      </c>
      <c r="G16" s="217" t="n">
        <f aca="false">CF!G31</f>
        <v>-0</v>
      </c>
      <c r="H16" s="217" t="n">
        <f aca="false">CF!H31</f>
        <v>-0</v>
      </c>
      <c r="I16" s="217" t="n">
        <f aca="false">CF!I31</f>
        <v>-0</v>
      </c>
      <c r="J16" s="217" t="n">
        <f aca="false">CF!J31</f>
        <v>-0</v>
      </c>
      <c r="K16" s="217" t="n">
        <f aca="false">CF!K31</f>
        <v>-0</v>
      </c>
      <c r="L16" s="217" t="n">
        <f aca="false">CF!L31</f>
        <v>-0</v>
      </c>
      <c r="M16" s="217" t="n">
        <f aca="false">CF!M31</f>
        <v>-0</v>
      </c>
      <c r="N16" s="217" t="n">
        <f aca="false">CF!N31</f>
        <v>-0</v>
      </c>
      <c r="O16" s="217" t="n">
        <f aca="false">CF!O31</f>
        <v>-0</v>
      </c>
      <c r="P16" s="217" t="n">
        <f aca="false">CF!P31</f>
        <v>-0</v>
      </c>
      <c r="Q16" s="217" t="n">
        <f aca="false">CF!Q31</f>
        <v>-0</v>
      </c>
      <c r="R16" s="217" t="n">
        <f aca="false">CF!R31</f>
        <v>-0</v>
      </c>
      <c r="S16" s="217" t="n">
        <f aca="false">CF!S31</f>
        <v>-0</v>
      </c>
      <c r="T16" s="217" t="n">
        <f aca="false">CF!T31</f>
        <v>-0</v>
      </c>
      <c r="U16" s="217" t="n">
        <f aca="false">CF!U31</f>
        <v>-0</v>
      </c>
      <c r="V16" s="217" t="n">
        <f aca="false">CF!V31</f>
        <v>-0</v>
      </c>
      <c r="W16" s="217" t="n">
        <f aca="false">CF!W31</f>
        <v>-0</v>
      </c>
      <c r="X16" s="217" t="n">
        <f aca="false">CF!X31</f>
        <v>-0</v>
      </c>
      <c r="Y16" s="217" t="n">
        <f aca="false">CF!Y31</f>
        <v>-0</v>
      </c>
      <c r="Z16" s="574" t="n">
        <f aca="false">SUM(D16:Y16)</f>
        <v>0</v>
      </c>
      <c r="AA16" s="215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</row>
    <row r="17" customFormat="false" ht="12.75" hidden="false" customHeight="false" outlineLevel="0" collapsed="false">
      <c r="A17" s="37" t="s">
        <v>1418</v>
      </c>
      <c r="D17" s="220" t="n">
        <f aca="false">CF!D41</f>
        <v>-0</v>
      </c>
      <c r="E17" s="220" t="n">
        <f aca="false">CF!E41</f>
        <v>-3704.81055000091</v>
      </c>
      <c r="F17" s="220" t="n">
        <f aca="false">CF!F41</f>
        <v>-4939.74740000121</v>
      </c>
      <c r="G17" s="220" t="n">
        <f aca="false">CF!G41</f>
        <v>-12563.7993949493</v>
      </c>
      <c r="H17" s="220" t="n">
        <f aca="false">CF!H41</f>
        <v>-17799.2181695267</v>
      </c>
      <c r="I17" s="220" t="n">
        <f aca="false">CF!I41</f>
        <v>-17799.2181695267</v>
      </c>
      <c r="J17" s="220" t="n">
        <f aca="false">CF!J41</f>
        <v>-17799.2181695267</v>
      </c>
      <c r="K17" s="220" t="n">
        <f aca="false">CF!K41</f>
        <v>-17799.2181695267</v>
      </c>
      <c r="L17" s="220" t="n">
        <f aca="false">CF!L41</f>
        <v>-17799.2181695267</v>
      </c>
      <c r="M17" s="220" t="n">
        <f aca="false">CF!M41</f>
        <v>-17799.2181695267</v>
      </c>
      <c r="N17" s="220" t="n">
        <f aca="false">CF!N41</f>
        <v>-17799.2181695267</v>
      </c>
      <c r="O17" s="220" t="n">
        <f aca="false">CF!O41</f>
        <v>-17799.2181695267</v>
      </c>
      <c r="P17" s="220" t="n">
        <f aca="false">CF!P41</f>
        <v>-17799.2181695267</v>
      </c>
      <c r="Q17" s="220" t="n">
        <f aca="false">CF!Q41</f>
        <v>-17799.2181695267</v>
      </c>
      <c r="R17" s="220" t="n">
        <f aca="false">CF!R41</f>
        <v>-17799.2181695267</v>
      </c>
      <c r="S17" s="220" t="n">
        <f aca="false">CF!S41</f>
        <v>-17799.2181695267</v>
      </c>
      <c r="T17" s="220" t="n">
        <f aca="false">CF!T41</f>
        <v>-17799.2181695267</v>
      </c>
      <c r="U17" s="220" t="n">
        <f aca="false">CF!U41</f>
        <v>-17799.2181695267</v>
      </c>
      <c r="V17" s="220" t="n">
        <f aca="false">CF!V41</f>
        <v>-17799.2181695267</v>
      </c>
      <c r="W17" s="220" t="n">
        <f aca="false">CF!W41</f>
        <v>-17799.2181695267</v>
      </c>
      <c r="X17" s="220" t="n">
        <f aca="false">CF!X41</f>
        <v>-17799.2181695267</v>
      </c>
      <c r="Y17" s="220" t="n">
        <f aca="false">CF!Y41</f>
        <v>-5521.42710650878</v>
      </c>
      <c r="Z17" s="576" t="n">
        <f aca="false">SUM(D17:Y17)</f>
        <v>-329316.493333414</v>
      </c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</row>
    <row r="18" customFormat="false" ht="12.75" hidden="false" customHeight="false" outlineLevel="0" collapsed="false">
      <c r="A18" s="37" t="s">
        <v>1419</v>
      </c>
      <c r="D18" s="217" t="n">
        <f aca="false">SUM(D12:D17)</f>
        <v>0</v>
      </c>
      <c r="E18" s="217" t="n">
        <f aca="false">SUM(E12:E17)</f>
        <v>1809.39639258581</v>
      </c>
      <c r="F18" s="217" t="n">
        <f aca="false">SUM(F12:F17)</f>
        <v>5990.91591432696</v>
      </c>
      <c r="G18" s="217" t="n">
        <f aca="false">SUM(G12:G17)</f>
        <v>10798.1552951907</v>
      </c>
      <c r="H18" s="217" t="n">
        <f aca="false">SUM(H12:H17)</f>
        <v>23488.7335567031</v>
      </c>
      <c r="I18" s="217" t="n">
        <f aca="false">SUM(I12:I17)</f>
        <v>27690.6318803796</v>
      </c>
      <c r="J18" s="217" t="n">
        <f aca="false">SUM(J12:J17)</f>
        <v>17374.4530719375</v>
      </c>
      <c r="K18" s="217" t="n">
        <f aca="false">SUM(K12:K17)</f>
        <v>31573.0939037779</v>
      </c>
      <c r="L18" s="217" t="n">
        <f aca="false">SUM(L12:L17)</f>
        <v>30063.4908149535</v>
      </c>
      <c r="M18" s="217" t="n">
        <f aca="false">SUM(M12:M17)</f>
        <v>37896.9364923621</v>
      </c>
      <c r="N18" s="217" t="n">
        <f aca="false">SUM(N12:N17)</f>
        <v>33581.3700018439</v>
      </c>
      <c r="O18" s="217" t="n">
        <f aca="false">SUM(O12:O17)</f>
        <v>19316.9171466911</v>
      </c>
      <c r="P18" s="217" t="n">
        <f aca="false">SUM(P12:P17)</f>
        <v>20119.8137018904</v>
      </c>
      <c r="Q18" s="217" t="n">
        <f aca="false">SUM(Q12:Q17)</f>
        <v>31913.7175042418</v>
      </c>
      <c r="R18" s="217" t="n">
        <f aca="false">SUM(R12:R17)</f>
        <v>24377.0963489287</v>
      </c>
      <c r="S18" s="217" t="n">
        <f aca="false">SUM(S12:S17)</f>
        <v>4392.91773156641</v>
      </c>
      <c r="T18" s="217" t="n">
        <f aca="false">SUM(T12:T17)</f>
        <v>15031.8679282013</v>
      </c>
      <c r="U18" s="217" t="n">
        <f aca="false">SUM(U12:U17)</f>
        <v>-1405.61378437288</v>
      </c>
      <c r="V18" s="217" t="n">
        <f aca="false">SUM(V12:V17)</f>
        <v>-17535.1991752843</v>
      </c>
      <c r="W18" s="217" t="n">
        <f aca="false">SUM(W12:W17)</f>
        <v>-29716.9742317278</v>
      </c>
      <c r="X18" s="217" t="n">
        <f aca="false">SUM(X12:X17)</f>
        <v>-12691.6745648489</v>
      </c>
      <c r="Y18" s="217" t="n">
        <f aca="false">SUM(Y12:Y17)</f>
        <v>-4813.43350484449</v>
      </c>
      <c r="Z18" s="574" t="n">
        <f aca="false">SUM(D18:Y18)</f>
        <v>269256.612424502</v>
      </c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</row>
    <row r="19" customFormat="false" ht="12.75" hidden="false" customHeight="false" outlineLevel="0" collapsed="false">
      <c r="A19" s="823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550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  <c r="CF19" s="215"/>
      <c r="CG19" s="215"/>
      <c r="CH19" s="215"/>
      <c r="CI19" s="215"/>
      <c r="CJ19" s="215"/>
      <c r="CK19" s="215"/>
      <c r="CL19" s="215"/>
      <c r="CM19" s="215"/>
      <c r="CN19" s="215"/>
      <c r="CO19" s="215"/>
      <c r="CP19" s="215"/>
      <c r="CQ19" s="215"/>
      <c r="CR19" s="215"/>
      <c r="CS19" s="215"/>
      <c r="CT19" s="215"/>
      <c r="CU19" s="215"/>
      <c r="CV19" s="215"/>
      <c r="CW19" s="215"/>
      <c r="CX19" s="215"/>
      <c r="CY19" s="215"/>
      <c r="CZ19" s="215"/>
      <c r="DA19" s="215"/>
      <c r="DB19" s="215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  <c r="EY19" s="215"/>
      <c r="EZ19" s="215"/>
      <c r="FA19" s="215"/>
      <c r="FB19" s="215"/>
      <c r="FC19" s="215"/>
      <c r="FD19" s="215"/>
      <c r="FE19" s="215"/>
      <c r="FF19" s="215"/>
      <c r="FG19" s="215"/>
      <c r="FH19" s="215"/>
      <c r="FI19" s="215"/>
      <c r="FJ19" s="215"/>
      <c r="FK19" s="215"/>
      <c r="FL19" s="215"/>
      <c r="FM19" s="215"/>
      <c r="FN19" s="215"/>
      <c r="FO19" s="215"/>
      <c r="FP19" s="215"/>
      <c r="FQ19" s="215"/>
      <c r="FR19" s="215"/>
      <c r="FS19" s="215"/>
      <c r="FT19" s="215"/>
      <c r="FU19" s="215"/>
      <c r="FV19" s="215"/>
      <c r="FW19" s="215"/>
      <c r="FX19" s="215"/>
      <c r="FY19" s="215"/>
      <c r="FZ19" s="215"/>
      <c r="GA19" s="215"/>
      <c r="GB19" s="215"/>
      <c r="GC19" s="215"/>
      <c r="GD19" s="215"/>
      <c r="GE19" s="215"/>
      <c r="GF19" s="215"/>
      <c r="GG19" s="215"/>
      <c r="GH19" s="215"/>
      <c r="GI19" s="215"/>
      <c r="GJ19" s="215"/>
      <c r="GK19" s="215"/>
      <c r="GL19" s="215"/>
      <c r="GM19" s="215"/>
      <c r="GN19" s="215"/>
      <c r="GO19" s="215"/>
      <c r="GP19" s="215"/>
      <c r="GQ19" s="215"/>
      <c r="GR19" s="215"/>
      <c r="GS19" s="215"/>
      <c r="GT19" s="215"/>
      <c r="GU19" s="215"/>
      <c r="GV19" s="215"/>
      <c r="GW19" s="215"/>
      <c r="GX19" s="215"/>
      <c r="GY19" s="215"/>
      <c r="GZ19" s="215"/>
      <c r="HA19" s="215"/>
      <c r="HB19" s="215"/>
      <c r="HC19" s="215"/>
      <c r="HD19" s="215"/>
      <c r="HE19" s="215"/>
      <c r="HF19" s="215"/>
      <c r="HG19" s="215"/>
      <c r="HH19" s="215"/>
      <c r="HI19" s="215"/>
      <c r="HJ19" s="215"/>
      <c r="HK19" s="215"/>
      <c r="HL19" s="215"/>
      <c r="HM19" s="215"/>
      <c r="HN19" s="215"/>
      <c r="HO19" s="215"/>
      <c r="HP19" s="215"/>
      <c r="HQ19" s="215"/>
      <c r="HR19" s="215"/>
      <c r="HS19" s="215"/>
      <c r="HT19" s="215"/>
      <c r="HU19" s="215"/>
      <c r="HV19" s="215"/>
      <c r="HW19" s="215"/>
      <c r="HX19" s="215"/>
      <c r="HY19" s="215"/>
      <c r="HZ19" s="215"/>
      <c r="IA19" s="215"/>
      <c r="IB19" s="215"/>
      <c r="IC19" s="215"/>
      <c r="ID19" s="215"/>
      <c r="IE19" s="215"/>
      <c r="IF19" s="215"/>
      <c r="IG19" s="215"/>
      <c r="IH19" s="215"/>
      <c r="II19" s="215"/>
      <c r="IJ19" s="215"/>
      <c r="IK19" s="215"/>
      <c r="IL19" s="215"/>
      <c r="IM19" s="215"/>
      <c r="IN19" s="215"/>
      <c r="IO19" s="215"/>
      <c r="IP19" s="215"/>
      <c r="IQ19" s="215"/>
      <c r="IR19" s="215"/>
      <c r="IS19" s="215"/>
      <c r="IT19" s="215"/>
      <c r="IU19" s="215"/>
      <c r="IV19" s="215"/>
      <c r="IW19" s="215"/>
    </row>
    <row r="20" customFormat="false" ht="12.75" hidden="false" customHeight="false" outlineLevel="0" collapsed="false">
      <c r="A20" s="130" t="s">
        <v>1420</v>
      </c>
      <c r="B20" s="62"/>
      <c r="Z20" s="555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</row>
    <row r="21" customFormat="false" ht="12.75" hidden="false" customHeight="false" outlineLevel="0" collapsed="false">
      <c r="A21" s="37" t="s">
        <v>1421</v>
      </c>
      <c r="D21" s="217" t="n">
        <f aca="false">CF!D30</f>
        <v>0</v>
      </c>
      <c r="E21" s="217" t="n">
        <f aca="false">CF!E30</f>
        <v>0</v>
      </c>
      <c r="F21" s="217" t="n">
        <f aca="false">CF!F30</f>
        <v>0</v>
      </c>
      <c r="G21" s="217" t="n">
        <f aca="false">CF!G30</f>
        <v>68.9915362278783</v>
      </c>
      <c r="H21" s="217" t="n">
        <f aca="false">CF!H30</f>
        <v>833.59650136569</v>
      </c>
      <c r="I21" s="217" t="n">
        <f aca="false">CF!I30</f>
        <v>921.812613891455</v>
      </c>
      <c r="J21" s="217" t="n">
        <f aca="false">CF!J30</f>
        <v>1151.88616377999</v>
      </c>
      <c r="K21" s="217" t="n">
        <f aca="false">CF!K30</f>
        <v>1151.88616377999</v>
      </c>
      <c r="L21" s="217" t="n">
        <f aca="false">CF!L30</f>
        <v>1091.8752042748</v>
      </c>
      <c r="M21" s="217" t="n">
        <f aca="false">CF!M30</f>
        <v>1414.0429185676</v>
      </c>
      <c r="N21" s="217" t="n">
        <f aca="false">CF!N30</f>
        <v>1503.98835835098</v>
      </c>
      <c r="O21" s="217" t="n">
        <f aca="false">CF!O30</f>
        <v>1503.98835835098</v>
      </c>
      <c r="P21" s="217" t="n">
        <f aca="false">CF!P30</f>
        <v>1378.04752405677</v>
      </c>
      <c r="Q21" s="217" t="n">
        <f aca="false">CF!Q30</f>
        <v>1320.77841383597</v>
      </c>
      <c r="R21" s="217" t="n">
        <f aca="false">CF!R30</f>
        <v>1205.966220097</v>
      </c>
      <c r="S21" s="217" t="n">
        <f aca="false">CF!S30</f>
        <v>830.271349829575</v>
      </c>
      <c r="T21" s="217" t="n">
        <f aca="false">CF!T30</f>
        <v>930.290960630083</v>
      </c>
      <c r="U21" s="217" t="n">
        <f aca="false">CF!U30</f>
        <v>1100.25413148828</v>
      </c>
      <c r="V21" s="217" t="n">
        <f aca="false">CF!V30</f>
        <v>1100.25413148828</v>
      </c>
      <c r="W21" s="217" t="n">
        <f aca="false">CF!W30</f>
        <v>1305.0660060042</v>
      </c>
      <c r="X21" s="217" t="n">
        <f aca="false">CF!X30</f>
        <v>1539.56168792964</v>
      </c>
      <c r="Y21" s="217" t="n">
        <f aca="false">CF!Y30</f>
        <v>1850.79195256001</v>
      </c>
      <c r="Z21" s="574" t="n">
        <f aca="false">SUM(D21:Y21)</f>
        <v>22203.3501965092</v>
      </c>
      <c r="AA21" s="215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</row>
    <row r="22" customFormat="false" ht="12.75" hidden="false" customHeight="false" outlineLevel="0" collapsed="false">
      <c r="A22" s="37" t="s">
        <v>1422</v>
      </c>
      <c r="D22" s="217" t="n">
        <f aca="false">CF!D32</f>
        <v>0</v>
      </c>
      <c r="E22" s="217" t="n">
        <f aca="false">CF!E32</f>
        <v>181.590147635308</v>
      </c>
      <c r="F22" s="217" t="n">
        <f aca="false">CF!F32</f>
        <v>541.430801526414</v>
      </c>
      <c r="G22" s="217" t="n">
        <f aca="false">CF!G32</f>
        <v>574.106537989869</v>
      </c>
      <c r="H22" s="217" t="n">
        <f aca="false">CF!H32</f>
        <v>397.494879012124</v>
      </c>
      <c r="I22" s="217" t="n">
        <f aca="false">CF!I32</f>
        <v>334.605340814493</v>
      </c>
      <c r="J22" s="217" t="n">
        <f aca="false">CF!J32</f>
        <v>456.350761355405</v>
      </c>
      <c r="K22" s="217" t="n">
        <f aca="false">CF!K32</f>
        <v>568.90692501537</v>
      </c>
      <c r="L22" s="217" t="n">
        <f aca="false">CF!L32</f>
        <v>435.276298364062</v>
      </c>
      <c r="M22" s="217" t="n">
        <f aca="false">CF!M32</f>
        <v>516.38462483263</v>
      </c>
      <c r="N22" s="217" t="n">
        <f aca="false">CF!N32</f>
        <v>863.535804253924</v>
      </c>
      <c r="O22" s="217" t="n">
        <f aca="false">CF!O32</f>
        <v>884.689306557988</v>
      </c>
      <c r="P22" s="217" t="n">
        <f aca="false">CF!P32</f>
        <v>577.797797812503</v>
      </c>
      <c r="Q22" s="217" t="n">
        <f aca="false">CF!Q32</f>
        <v>595.901383273871</v>
      </c>
      <c r="R22" s="217" t="n">
        <f aca="false">CF!R32</f>
        <v>941.019995503595</v>
      </c>
      <c r="S22" s="217" t="n">
        <f aca="false">CF!S32</f>
        <v>703.607203493972</v>
      </c>
      <c r="T22" s="217" t="n">
        <f aca="false">CF!T32</f>
        <v>465.623681314155</v>
      </c>
      <c r="U22" s="217" t="n">
        <f aca="false">CF!U32</f>
        <v>809.028861816385</v>
      </c>
      <c r="V22" s="217" t="n">
        <f aca="false">CF!V32</f>
        <v>873.829426792717</v>
      </c>
      <c r="W22" s="217" t="n">
        <f aca="false">CF!W32</f>
        <v>383.539114505012</v>
      </c>
      <c r="X22" s="217" t="n">
        <f aca="false">CF!X32</f>
        <v>0</v>
      </c>
      <c r="Y22" s="217" t="n">
        <f aca="false">CF!Y32</f>
        <v>0</v>
      </c>
      <c r="Z22" s="574" t="n">
        <f aca="false">SUM(D22:Y22)</f>
        <v>11104.7188918698</v>
      </c>
      <c r="AA22" s="215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</row>
    <row r="23" customFormat="false" ht="12.75" hidden="false" customHeight="false" outlineLevel="0" collapsed="false">
      <c r="A23" s="37" t="s">
        <v>1423</v>
      </c>
      <c r="D23" s="217" t="n">
        <f aca="false">CF!D34</f>
        <v>-0</v>
      </c>
      <c r="E23" s="217" t="n">
        <f aca="false">CF!E34</f>
        <v>-0</v>
      </c>
      <c r="F23" s="217" t="n">
        <f aca="false">CF!F34</f>
        <v>-85.8267359489975</v>
      </c>
      <c r="G23" s="217" t="n">
        <f aca="false">CF!G34</f>
        <v>-355.008286204035</v>
      </c>
      <c r="H23" s="217" t="n">
        <f aca="false">CF!H34</f>
        <v>-349.775557535993</v>
      </c>
      <c r="I23" s="217" t="n">
        <f aca="false">CF!I34</f>
        <v>-359.73877510785</v>
      </c>
      <c r="J23" s="217" t="n">
        <f aca="false">CF!J34</f>
        <v>-355.637680165807</v>
      </c>
      <c r="K23" s="217" t="n">
        <f aca="false">CF!K34</f>
        <v>-347.371512062213</v>
      </c>
      <c r="L23" s="217" t="n">
        <f aca="false">CF!L34</f>
        <v>-336.361242219459</v>
      </c>
      <c r="M23" s="217" t="n">
        <f aca="false">CF!M34</f>
        <v>-309.668701656701</v>
      </c>
      <c r="N23" s="217" t="n">
        <f aca="false">CF!N34</f>
        <v>-284.97228742217</v>
      </c>
      <c r="O23" s="217" t="n">
        <f aca="false">CF!O34</f>
        <v>-273.027996000807</v>
      </c>
      <c r="P23" s="217" t="n">
        <f aca="false">CF!P34</f>
        <v>-267.127078264657</v>
      </c>
      <c r="Q23" s="217" t="n">
        <f aca="false">CF!Q34</f>
        <v>-212.102925749873</v>
      </c>
      <c r="R23" s="217" t="n">
        <f aca="false">CF!R34</f>
        <v>-198.827883443026</v>
      </c>
      <c r="S23" s="217" t="n">
        <f aca="false">CF!S34</f>
        <v>-186.916008132844</v>
      </c>
      <c r="T23" s="217" t="n">
        <f aca="false">CF!T34</f>
        <v>-162.440373020126</v>
      </c>
      <c r="U23" s="217" t="n">
        <f aca="false">CF!U34</f>
        <v>-0</v>
      </c>
      <c r="V23" s="217" t="n">
        <f aca="false">CF!V34</f>
        <v>-0</v>
      </c>
      <c r="W23" s="217" t="n">
        <f aca="false">CF!W34</f>
        <v>-0</v>
      </c>
      <c r="X23" s="217" t="n">
        <f aca="false">CF!X34</f>
        <v>-0</v>
      </c>
      <c r="Y23" s="217" t="n">
        <f aca="false">CF!Y34</f>
        <v>-0</v>
      </c>
      <c r="Z23" s="574" t="n">
        <f aca="false">SUM(D23:Y23)</f>
        <v>-4084.80304293456</v>
      </c>
      <c r="AA23" s="215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</row>
    <row r="24" customFormat="false" ht="12.75" hidden="false" customHeight="false" outlineLevel="0" collapsed="false">
      <c r="A24" s="37" t="s">
        <v>1424</v>
      </c>
      <c r="D24" s="217" t="n">
        <f aca="false">CF!D35</f>
        <v>-0</v>
      </c>
      <c r="E24" s="217" t="n">
        <f aca="false">CF!E35</f>
        <v>-0</v>
      </c>
      <c r="F24" s="217" t="n">
        <f aca="false">CF!F35</f>
        <v>-0</v>
      </c>
      <c r="G24" s="217" t="n">
        <f aca="false">CF!G35</f>
        <v>-0</v>
      </c>
      <c r="H24" s="217" t="n">
        <f aca="false">CF!H35</f>
        <v>-0</v>
      </c>
      <c r="I24" s="217" t="n">
        <f aca="false">CF!I35</f>
        <v>-0</v>
      </c>
      <c r="J24" s="217" t="n">
        <f aca="false">CF!J35</f>
        <v>-0</v>
      </c>
      <c r="K24" s="217" t="n">
        <f aca="false">CF!K35</f>
        <v>-0</v>
      </c>
      <c r="L24" s="217" t="n">
        <f aca="false">CF!L35</f>
        <v>-0</v>
      </c>
      <c r="M24" s="217" t="n">
        <f aca="false">CF!M35</f>
        <v>-0</v>
      </c>
      <c r="N24" s="217" t="n">
        <f aca="false">CF!N35</f>
        <v>-0</v>
      </c>
      <c r="O24" s="217" t="n">
        <f aca="false">CF!O35</f>
        <v>-0</v>
      </c>
      <c r="P24" s="217" t="n">
        <f aca="false">CF!P35</f>
        <v>-0</v>
      </c>
      <c r="Q24" s="217" t="n">
        <f aca="false">CF!Q35</f>
        <v>-0</v>
      </c>
      <c r="R24" s="217" t="n">
        <f aca="false">CF!R35</f>
        <v>-0</v>
      </c>
      <c r="S24" s="217" t="n">
        <f aca="false">CF!S35</f>
        <v>-0</v>
      </c>
      <c r="T24" s="217" t="n">
        <f aca="false">CF!T35</f>
        <v>-0</v>
      </c>
      <c r="U24" s="217" t="n">
        <f aca="false">CF!U35</f>
        <v>-0</v>
      </c>
      <c r="V24" s="217" t="n">
        <f aca="false">CF!V35</f>
        <v>-0</v>
      </c>
      <c r="W24" s="217" t="n">
        <f aca="false">CF!W35</f>
        <v>-0</v>
      </c>
      <c r="X24" s="217" t="n">
        <f aca="false">CF!X35</f>
        <v>-0</v>
      </c>
      <c r="Y24" s="217" t="n">
        <f aca="false">CF!Y35</f>
        <v>-0</v>
      </c>
      <c r="Z24" s="574" t="n">
        <f aca="false">SUM(D24:Y24)</f>
        <v>0</v>
      </c>
      <c r="AA24" s="215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</row>
    <row r="25" customFormat="false" ht="12.75" hidden="false" customHeight="false" outlineLevel="0" collapsed="false">
      <c r="A25" s="37" t="s">
        <v>1425</v>
      </c>
      <c r="D25" s="217" t="n">
        <f aca="false">CF!D36</f>
        <v>-0</v>
      </c>
      <c r="E25" s="217" t="n">
        <f aca="false">CF!E36</f>
        <v>-234.375</v>
      </c>
      <c r="F25" s="217" t="n">
        <f aca="false">CF!F36</f>
        <v>-312.5</v>
      </c>
      <c r="G25" s="217" t="n">
        <f aca="false">CF!G36</f>
        <v>-4497.51554973028</v>
      </c>
      <c r="H25" s="217" t="n">
        <f aca="false">CF!H36</f>
        <v>-4497.51554973028</v>
      </c>
      <c r="I25" s="217" t="n">
        <f aca="false">CF!I36</f>
        <v>-4257.79514613549</v>
      </c>
      <c r="J25" s="217" t="n">
        <f aca="false">CF!J36</f>
        <v>-312.5</v>
      </c>
      <c r="K25" s="217" t="n">
        <f aca="false">CF!K36</f>
        <v>-312.5</v>
      </c>
      <c r="L25" s="217" t="n">
        <f aca="false">CF!L36</f>
        <v>-312.5</v>
      </c>
      <c r="M25" s="217" t="n">
        <f aca="false">CF!M36</f>
        <v>-312.5</v>
      </c>
      <c r="N25" s="217" t="n">
        <f aca="false">CF!N36</f>
        <v>-312.5</v>
      </c>
      <c r="O25" s="217" t="n">
        <f aca="false">CF!O36</f>
        <v>-312.5</v>
      </c>
      <c r="P25" s="217" t="n">
        <f aca="false">CF!P36</f>
        <v>-312.5</v>
      </c>
      <c r="Q25" s="217" t="n">
        <f aca="false">CF!Q36</f>
        <v>-312.5</v>
      </c>
      <c r="R25" s="217" t="n">
        <f aca="false">CF!R36</f>
        <v>-312.5</v>
      </c>
      <c r="S25" s="217" t="n">
        <f aca="false">CF!S36</f>
        <v>-312.5</v>
      </c>
      <c r="T25" s="217" t="n">
        <f aca="false">CF!T36</f>
        <v>-312.5</v>
      </c>
      <c r="U25" s="217" t="n">
        <f aca="false">CF!U36</f>
        <v>-312.5</v>
      </c>
      <c r="V25" s="217" t="n">
        <f aca="false">CF!V36</f>
        <v>-312.5</v>
      </c>
      <c r="W25" s="217" t="n">
        <f aca="false">CF!W36</f>
        <v>-312.5</v>
      </c>
      <c r="X25" s="217" t="n">
        <f aca="false">CF!X36</f>
        <v>-312.5</v>
      </c>
      <c r="Y25" s="217" t="n">
        <f aca="false">CF!Y36</f>
        <v>-104.166666666667</v>
      </c>
      <c r="Z25" s="574" t="n">
        <f aca="false">SUM(D25:Y25)</f>
        <v>-18591.3679122627</v>
      </c>
      <c r="AA25" s="215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</row>
    <row r="26" customFormat="false" ht="12.75" hidden="false" customHeight="false" outlineLevel="0" collapsed="false">
      <c r="A26" s="37" t="s">
        <v>394</v>
      </c>
      <c r="D26" s="217" t="n">
        <f aca="false">CF!D37</f>
        <v>-0</v>
      </c>
      <c r="E26" s="217" t="n">
        <f aca="false">CF!E37</f>
        <v>-82.5</v>
      </c>
      <c r="F26" s="217" t="n">
        <f aca="false">CF!F37</f>
        <v>-110</v>
      </c>
      <c r="G26" s="217" t="n">
        <f aca="false">CF!G37</f>
        <v>-110</v>
      </c>
      <c r="H26" s="217" t="n">
        <f aca="false">CF!H37</f>
        <v>-110</v>
      </c>
      <c r="I26" s="217" t="n">
        <f aca="false">CF!I37</f>
        <v>-110</v>
      </c>
      <c r="J26" s="217" t="n">
        <f aca="false">CF!J37</f>
        <v>-110</v>
      </c>
      <c r="K26" s="217" t="n">
        <f aca="false">CF!K37</f>
        <v>-110</v>
      </c>
      <c r="L26" s="217" t="n">
        <f aca="false">CF!L37</f>
        <v>-110</v>
      </c>
      <c r="M26" s="217" t="n">
        <f aca="false">CF!M37</f>
        <v>-110</v>
      </c>
      <c r="N26" s="217" t="n">
        <f aca="false">CF!N37</f>
        <v>-110</v>
      </c>
      <c r="O26" s="217" t="n">
        <f aca="false">CF!O37</f>
        <v>-110</v>
      </c>
      <c r="P26" s="217" t="n">
        <f aca="false">CF!P37</f>
        <v>-110</v>
      </c>
      <c r="Q26" s="217" t="n">
        <f aca="false">CF!Q37</f>
        <v>-110</v>
      </c>
      <c r="R26" s="217" t="n">
        <f aca="false">CF!R37</f>
        <v>-110</v>
      </c>
      <c r="S26" s="217" t="n">
        <f aca="false">CF!S37</f>
        <v>-110</v>
      </c>
      <c r="T26" s="217" t="n">
        <f aca="false">CF!T37</f>
        <v>-110</v>
      </c>
      <c r="U26" s="217" t="n">
        <f aca="false">CF!U37</f>
        <v>-110</v>
      </c>
      <c r="V26" s="217" t="n">
        <f aca="false">CF!V37</f>
        <v>-110</v>
      </c>
      <c r="W26" s="217" t="n">
        <f aca="false">CF!W37</f>
        <v>-110</v>
      </c>
      <c r="X26" s="217" t="n">
        <f aca="false">CF!X37</f>
        <v>-110</v>
      </c>
      <c r="Y26" s="217" t="n">
        <f aca="false">CF!Y37</f>
        <v>-36.6666666666667</v>
      </c>
      <c r="Z26" s="574" t="n">
        <f aca="false">SUM(D26:Y26)</f>
        <v>-2209.16666666667</v>
      </c>
      <c r="AA26" s="215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</row>
    <row r="27" customFormat="false" ht="12.75" hidden="false" customHeight="false" outlineLevel="0" collapsed="false">
      <c r="A27" s="37" t="s">
        <v>851</v>
      </c>
      <c r="D27" s="217" t="n">
        <f aca="false">CF!D44</f>
        <v>-0</v>
      </c>
      <c r="E27" s="217" t="n">
        <f aca="false">CF!E44</f>
        <v>-0</v>
      </c>
      <c r="F27" s="217" t="n">
        <f aca="false">CF!F44</f>
        <v>-0</v>
      </c>
      <c r="G27" s="217" t="n">
        <f aca="false">CF!G44</f>
        <v>-6866.1388759198</v>
      </c>
      <c r="H27" s="217" t="n">
        <f aca="false">CF!H44</f>
        <v>-16245.849069511</v>
      </c>
      <c r="I27" s="217" t="n">
        <f aca="false">CF!I44</f>
        <v>-15297.1145543459</v>
      </c>
      <c r="J27" s="217" t="n">
        <f aca="false">CF!J44</f>
        <v>-14256.7267686017</v>
      </c>
      <c r="K27" s="217" t="n">
        <f aca="false">CF!K44</f>
        <v>-13047.8739914031</v>
      </c>
      <c r="L27" s="217" t="n">
        <f aca="false">CF!L44</f>
        <v>-11750.4132012332</v>
      </c>
      <c r="M27" s="217" t="n">
        <f aca="false">CF!M44</f>
        <v>-10380.0289673911</v>
      </c>
      <c r="N27" s="217" t="n">
        <f aca="false">CF!N44</f>
        <v>-8974.06088972822</v>
      </c>
      <c r="O27" s="217" t="n">
        <f aca="false">CF!O44</f>
        <v>-7705.25600331445</v>
      </c>
      <c r="P27" s="217" t="n">
        <f aca="false">CF!P44</f>
        <v>-6465.01759721142</v>
      </c>
      <c r="Q27" s="217" t="n">
        <f aca="false">CF!Q44</f>
        <v>-5197.77633917085</v>
      </c>
      <c r="R27" s="217" t="n">
        <f aca="false">CF!R44</f>
        <v>-3910.35006902801</v>
      </c>
      <c r="S27" s="217" t="n">
        <f aca="false">CF!S44</f>
        <v>-2848.34668448025</v>
      </c>
      <c r="T27" s="217" t="n">
        <f aca="false">CF!T44</f>
        <v>-1786.34329993249</v>
      </c>
      <c r="U27" s="217" t="n">
        <f aca="false">CF!U44</f>
        <v>-701.827212434818</v>
      </c>
      <c r="V27" s="217" t="n">
        <f aca="false">CF!V44</f>
        <v>-0</v>
      </c>
      <c r="W27" s="217" t="n">
        <f aca="false">CF!W44</f>
        <v>-0</v>
      </c>
      <c r="X27" s="217" t="n">
        <f aca="false">CF!X44</f>
        <v>-0</v>
      </c>
      <c r="Y27" s="217" t="n">
        <f aca="false">CF!Y44</f>
        <v>-0</v>
      </c>
      <c r="Z27" s="574" t="n">
        <f aca="false">SUM(D27:Y27)</f>
        <v>-125433.123523706</v>
      </c>
      <c r="AA27" s="215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</row>
    <row r="28" customFormat="false" ht="12.75" hidden="false" customHeight="false" outlineLevel="0" collapsed="false">
      <c r="A28" s="37" t="s">
        <v>852</v>
      </c>
      <c r="D28" s="217" t="n">
        <f aca="false">CF!D45</f>
        <v>-0</v>
      </c>
      <c r="E28" s="217" t="n">
        <f aca="false">CF!E45</f>
        <v>-0</v>
      </c>
      <c r="F28" s="217" t="n">
        <f aca="false">CF!F45</f>
        <v>-0</v>
      </c>
      <c r="G28" s="217" t="n">
        <f aca="false">CF!G45</f>
        <v>-2694.78154144109</v>
      </c>
      <c r="H28" s="217" t="n">
        <f aca="false">CF!H45</f>
        <v>-6397.33203104365</v>
      </c>
      <c r="I28" s="217" t="n">
        <f aca="false">CF!I45</f>
        <v>-6098.22364659681</v>
      </c>
      <c r="J28" s="217" t="n">
        <f aca="false">CF!J45</f>
        <v>-5758.9674392476</v>
      </c>
      <c r="K28" s="217" t="n">
        <f aca="false">CF!K45</f>
        <v>-5374.17456746693</v>
      </c>
      <c r="L28" s="217" t="n">
        <f aca="false">CF!L45</f>
        <v>-4937.7328724715</v>
      </c>
      <c r="M28" s="217" t="n">
        <f aca="false">CF!M45</f>
        <v>-4442.70979096531</v>
      </c>
      <c r="N28" s="217" t="n">
        <f aca="false">CF!N45</f>
        <v>-3881.24223634396</v>
      </c>
      <c r="O28" s="217" t="n">
        <f aca="false">CF!O45</f>
        <v>-3244.41169920355</v>
      </c>
      <c r="P28" s="217" t="n">
        <f aca="false">CF!P45</f>
        <v>-2522.10258321547</v>
      </c>
      <c r="Q28" s="217" t="n">
        <f aca="false">CF!Q45</f>
        <v>-1702.84152613389</v>
      </c>
      <c r="R28" s="217" t="n">
        <f aca="false">CF!R45</f>
        <v>-773.615153665539</v>
      </c>
      <c r="S28" s="217" t="n">
        <f aca="false">CF!S45</f>
        <v>-0</v>
      </c>
      <c r="T28" s="217" t="n">
        <f aca="false">CF!T45</f>
        <v>-0</v>
      </c>
      <c r="U28" s="217" t="n">
        <f aca="false">CF!U45</f>
        <v>-0</v>
      </c>
      <c r="V28" s="217" t="n">
        <f aca="false">CF!V45</f>
        <v>-0</v>
      </c>
      <c r="W28" s="217" t="n">
        <f aca="false">CF!W45</f>
        <v>-0</v>
      </c>
      <c r="X28" s="217" t="n">
        <f aca="false">CF!X45</f>
        <v>-0</v>
      </c>
      <c r="Y28" s="217" t="n">
        <f aca="false">CF!Y45</f>
        <v>-0</v>
      </c>
      <c r="Z28" s="574" t="n">
        <f aca="false">SUM(D28:Y28)</f>
        <v>-47828.1350877953</v>
      </c>
      <c r="AA28" s="215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</row>
    <row r="29" customFormat="false" ht="12.75" hidden="false" customHeight="false" outlineLevel="0" collapsed="false">
      <c r="A29" s="37" t="s">
        <v>853</v>
      </c>
      <c r="D29" s="217" t="n">
        <f aca="false">CF!D46</f>
        <v>-0</v>
      </c>
      <c r="E29" s="217" t="n">
        <f aca="false">CF!E46</f>
        <v>-988.566582744534</v>
      </c>
      <c r="F29" s="217" t="n">
        <f aca="false">CF!F46</f>
        <v>-2665.13260186675</v>
      </c>
      <c r="G29" s="217" t="n">
        <f aca="false">CF!G46</f>
        <v>-5739.81667071093</v>
      </c>
      <c r="H29" s="217" t="n">
        <f aca="false">CF!H46</f>
        <v>0</v>
      </c>
      <c r="I29" s="217" t="n">
        <f aca="false">CF!I46</f>
        <v>0</v>
      </c>
      <c r="J29" s="217" t="n">
        <f aca="false">CF!J46</f>
        <v>0</v>
      </c>
      <c r="K29" s="217" t="n">
        <f aca="false">CF!K46</f>
        <v>0</v>
      </c>
      <c r="L29" s="217" t="n">
        <f aca="false">CF!L46</f>
        <v>0</v>
      </c>
      <c r="M29" s="217" t="n">
        <f aca="false">CF!M46</f>
        <v>0</v>
      </c>
      <c r="N29" s="217" t="n">
        <f aca="false">CF!N46</f>
        <v>0</v>
      </c>
      <c r="O29" s="217" t="n">
        <f aca="false">CF!O46</f>
        <v>0</v>
      </c>
      <c r="P29" s="217" t="n">
        <f aca="false">CF!P46</f>
        <v>0</v>
      </c>
      <c r="Q29" s="217" t="n">
        <f aca="false">CF!Q46</f>
        <v>0</v>
      </c>
      <c r="R29" s="217" t="n">
        <f aca="false">CF!R46</f>
        <v>0</v>
      </c>
      <c r="S29" s="217" t="n">
        <f aca="false">CF!S46</f>
        <v>0</v>
      </c>
      <c r="T29" s="217" t="n">
        <f aca="false">CF!T46</f>
        <v>0</v>
      </c>
      <c r="U29" s="217" t="n">
        <f aca="false">CF!U46</f>
        <v>0</v>
      </c>
      <c r="V29" s="217" t="n">
        <f aca="false">CF!V46</f>
        <v>0</v>
      </c>
      <c r="W29" s="217" t="n">
        <f aca="false">CF!W46</f>
        <v>0</v>
      </c>
      <c r="X29" s="217" t="n">
        <f aca="false">CF!X46</f>
        <v>0</v>
      </c>
      <c r="Y29" s="217" t="n">
        <f aca="false">CF!Y46</f>
        <v>0</v>
      </c>
      <c r="Z29" s="574" t="n">
        <f aca="false">SUM(D29:Y29)</f>
        <v>-9393.51585532221</v>
      </c>
      <c r="AA29" s="215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</row>
    <row r="30" customFormat="false" ht="12.75" hidden="false" customHeight="false" outlineLevel="0" collapsed="false">
      <c r="A30" s="37" t="s">
        <v>855</v>
      </c>
      <c r="D30" s="220" t="n">
        <f aca="false">CF!D49</f>
        <v>-0</v>
      </c>
      <c r="E30" s="220" t="n">
        <f aca="false">CF!E49</f>
        <v>-0</v>
      </c>
      <c r="F30" s="220" t="n">
        <f aca="false">CF!F49</f>
        <v>-0</v>
      </c>
      <c r="G30" s="220" t="n">
        <f aca="false">CF!G49</f>
        <v>-0</v>
      </c>
      <c r="H30" s="220" t="n">
        <f aca="false">CF!H49</f>
        <v>-0</v>
      </c>
      <c r="I30" s="220" t="n">
        <f aca="false">CF!I49</f>
        <v>-2042.89183669435</v>
      </c>
      <c r="J30" s="220" t="n">
        <f aca="false">CF!J49</f>
        <v>-0</v>
      </c>
      <c r="K30" s="220" t="n">
        <f aca="false">CF!K49</f>
        <v>-7865.571578684</v>
      </c>
      <c r="L30" s="220" t="n">
        <f aca="false">CF!L49</f>
        <v>-8917.34191599675</v>
      </c>
      <c r="M30" s="220" t="n">
        <f aca="false">CF!M49</f>
        <v>-8656.03734334056</v>
      </c>
      <c r="N30" s="220" t="n">
        <f aca="false">CF!N49</f>
        <v>-7717.72673158535</v>
      </c>
      <c r="O30" s="220" t="n">
        <f aca="false">CF!O49</f>
        <v>-8069.96215435123</v>
      </c>
      <c r="P30" s="220" t="n">
        <f aca="false">CF!P49</f>
        <v>-9279.35702049191</v>
      </c>
      <c r="Q30" s="220" t="n">
        <f aca="false">CF!Q49</f>
        <v>-9279.35702049191</v>
      </c>
      <c r="R30" s="220" t="n">
        <f aca="false">CF!R49</f>
        <v>-7154.66177092837</v>
      </c>
      <c r="S30" s="220" t="n">
        <f aca="false">CF!S49</f>
        <v>-9279.35702049191</v>
      </c>
      <c r="T30" s="220" t="n">
        <f aca="false">CF!T49</f>
        <v>-3584.93109373236</v>
      </c>
      <c r="U30" s="220" t="n">
        <f aca="false">CF!U49</f>
        <v>-0</v>
      </c>
      <c r="V30" s="220" t="n">
        <f aca="false">CF!V49</f>
        <v>-0</v>
      </c>
      <c r="W30" s="220" t="n">
        <f aca="false">CF!W49</f>
        <v>-0</v>
      </c>
      <c r="X30" s="220" t="n">
        <f aca="false">CF!X49</f>
        <v>-0</v>
      </c>
      <c r="Y30" s="220" t="n">
        <f aca="false">CF!Y49</f>
        <v>-0</v>
      </c>
      <c r="Z30" s="576" t="n">
        <f aca="false">SUM(D30:Y30)</f>
        <v>-81847.1954867887</v>
      </c>
      <c r="AA30" s="215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</row>
    <row r="31" customFormat="false" ht="12.75" hidden="false" customHeight="false" outlineLevel="0" collapsed="false">
      <c r="A31" s="37" t="s">
        <v>1426</v>
      </c>
      <c r="D31" s="217" t="n">
        <f aca="false">SUM(D21:D30)</f>
        <v>0</v>
      </c>
      <c r="E31" s="217" t="n">
        <f aca="false">SUM(E21:E30)</f>
        <v>-1123.85143510923</v>
      </c>
      <c r="F31" s="217" t="n">
        <f aca="false">SUM(F21:F30)</f>
        <v>-2632.02853628933</v>
      </c>
      <c r="G31" s="217" t="n">
        <f aca="false">SUM(G21:G30)</f>
        <v>-19620.1628497884</v>
      </c>
      <c r="H31" s="217" t="n">
        <f aca="false">SUM(H21:H30)</f>
        <v>-26369.3808274431</v>
      </c>
      <c r="I31" s="217" t="n">
        <f aca="false">SUM(I21:I30)</f>
        <v>-26909.3460041744</v>
      </c>
      <c r="J31" s="217" t="n">
        <f aca="false">SUM(J21:J30)</f>
        <v>-19185.5949628797</v>
      </c>
      <c r="K31" s="217" t="n">
        <f aca="false">SUM(K21:K30)</f>
        <v>-25336.6985608209</v>
      </c>
      <c r="L31" s="217" t="n">
        <f aca="false">SUM(L21:L30)</f>
        <v>-24837.1977292821</v>
      </c>
      <c r="M31" s="217" t="n">
        <f aca="false">SUM(M21:M30)</f>
        <v>-22280.5172599535</v>
      </c>
      <c r="N31" s="217" t="n">
        <f aca="false">SUM(N21:N30)</f>
        <v>-18912.9779824748</v>
      </c>
      <c r="O31" s="217" t="n">
        <f aca="false">SUM(O21:O30)</f>
        <v>-17326.4801879611</v>
      </c>
      <c r="P31" s="217" t="n">
        <f aca="false">SUM(P21:P30)</f>
        <v>-17000.2589573142</v>
      </c>
      <c r="Q31" s="217" t="n">
        <f aca="false">SUM(Q21:Q30)</f>
        <v>-14897.8980144367</v>
      </c>
      <c r="R31" s="217" t="n">
        <f aca="false">SUM(R21:R30)</f>
        <v>-10312.9686614644</v>
      </c>
      <c r="S31" s="217" t="n">
        <f aca="false">SUM(S21:S30)</f>
        <v>-11203.2411597815</v>
      </c>
      <c r="T31" s="217" t="n">
        <f aca="false">SUM(T21:T30)</f>
        <v>-4560.30012474075</v>
      </c>
      <c r="U31" s="217" t="n">
        <f aca="false">SUM(U21:U30)</f>
        <v>784.955780869848</v>
      </c>
      <c r="V31" s="217" t="n">
        <f aca="false">SUM(V21:V30)</f>
        <v>1551.583558281</v>
      </c>
      <c r="W31" s="217" t="n">
        <f aca="false">SUM(W21:W30)</f>
        <v>1266.10512050922</v>
      </c>
      <c r="X31" s="217" t="n">
        <f aca="false">SUM(X21:X30)</f>
        <v>1117.06168792964</v>
      </c>
      <c r="Y31" s="217" t="n">
        <f aca="false">SUM(Y21:Y30)</f>
        <v>1709.95861922667</v>
      </c>
      <c r="Z31" s="574" t="n">
        <f aca="false">SUM(D31:Y31)</f>
        <v>-256079.238487098</v>
      </c>
      <c r="AA31" s="215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</row>
    <row r="32" customFormat="false" ht="12.75" hidden="false" customHeight="false" outlineLevel="0" collapsed="false">
      <c r="A32" s="823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550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  <c r="CS32" s="215"/>
      <c r="CT32" s="215"/>
      <c r="CU32" s="215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  <c r="EY32" s="215"/>
      <c r="EZ32" s="215"/>
      <c r="FA32" s="215"/>
      <c r="FB32" s="215"/>
      <c r="FC32" s="215"/>
      <c r="FD32" s="215"/>
      <c r="FE32" s="215"/>
      <c r="FF32" s="215"/>
      <c r="FG32" s="215"/>
      <c r="FH32" s="215"/>
      <c r="FI32" s="215"/>
      <c r="FJ32" s="215"/>
      <c r="FK32" s="215"/>
      <c r="FL32" s="215"/>
      <c r="FM32" s="215"/>
      <c r="FN32" s="215"/>
      <c r="FO32" s="215"/>
      <c r="FP32" s="215"/>
      <c r="FQ32" s="215"/>
      <c r="FR32" s="215"/>
      <c r="FS32" s="215"/>
      <c r="FT32" s="215"/>
      <c r="FU32" s="215"/>
      <c r="FV32" s="215"/>
      <c r="FW32" s="215"/>
      <c r="FX32" s="215"/>
      <c r="FY32" s="215"/>
      <c r="FZ32" s="215"/>
      <c r="GA32" s="215"/>
      <c r="GB32" s="215"/>
      <c r="GC32" s="215"/>
      <c r="GD32" s="215"/>
      <c r="GE32" s="215"/>
      <c r="GF32" s="215"/>
      <c r="GG32" s="215"/>
      <c r="GH32" s="215"/>
      <c r="GI32" s="215"/>
      <c r="GJ32" s="215"/>
      <c r="GK32" s="215"/>
      <c r="GL32" s="215"/>
      <c r="GM32" s="215"/>
      <c r="GN32" s="215"/>
      <c r="GO32" s="215"/>
      <c r="GP32" s="215"/>
      <c r="GQ32" s="215"/>
      <c r="GR32" s="215"/>
      <c r="GS32" s="215"/>
      <c r="GT32" s="215"/>
      <c r="GU32" s="215"/>
      <c r="GV32" s="215"/>
      <c r="GW32" s="215"/>
      <c r="GX32" s="215"/>
      <c r="GY32" s="215"/>
      <c r="GZ32" s="215"/>
      <c r="HA32" s="215"/>
      <c r="HB32" s="215"/>
      <c r="HC32" s="215"/>
      <c r="HD32" s="215"/>
      <c r="HE32" s="215"/>
      <c r="HF32" s="215"/>
      <c r="HG32" s="215"/>
      <c r="HH32" s="215"/>
      <c r="HI32" s="215"/>
      <c r="HJ32" s="215"/>
      <c r="HK32" s="215"/>
      <c r="HL32" s="215"/>
      <c r="HM32" s="215"/>
      <c r="HN32" s="215"/>
      <c r="HO32" s="215"/>
      <c r="HP32" s="215"/>
      <c r="HQ32" s="215"/>
      <c r="HR32" s="215"/>
      <c r="HS32" s="215"/>
      <c r="HT32" s="215"/>
      <c r="HU32" s="215"/>
      <c r="HV32" s="215"/>
      <c r="HW32" s="215"/>
      <c r="HX32" s="215"/>
      <c r="HY32" s="215"/>
      <c r="HZ32" s="215"/>
      <c r="IA32" s="215"/>
      <c r="IB32" s="215"/>
      <c r="IC32" s="215"/>
      <c r="ID32" s="215"/>
      <c r="IE32" s="215"/>
      <c r="IF32" s="215"/>
      <c r="IG32" s="215"/>
      <c r="IH32" s="215"/>
      <c r="II32" s="215"/>
      <c r="IJ32" s="215"/>
      <c r="IK32" s="215"/>
      <c r="IL32" s="215"/>
      <c r="IM32" s="215"/>
      <c r="IN32" s="215"/>
      <c r="IO32" s="215"/>
      <c r="IP32" s="215"/>
      <c r="IQ32" s="215"/>
      <c r="IR32" s="215"/>
      <c r="IS32" s="215"/>
      <c r="IT32" s="215"/>
      <c r="IU32" s="215"/>
      <c r="IV32" s="215"/>
      <c r="IW32" s="215"/>
    </row>
    <row r="33" customFormat="false" ht="12.75" hidden="false" customHeight="false" outlineLevel="0" collapsed="false">
      <c r="A33" s="37" t="s">
        <v>1427</v>
      </c>
      <c r="D33" s="217" t="n">
        <f aca="false">SUM(D18,D31)</f>
        <v>0</v>
      </c>
      <c r="E33" s="217" t="n">
        <f aca="false">SUM(E18,E31)</f>
        <v>685.544957476587</v>
      </c>
      <c r="F33" s="217" t="n">
        <f aca="false">SUM(F18,F31)</f>
        <v>3358.88737803762</v>
      </c>
      <c r="G33" s="217" t="n">
        <f aca="false">SUM(G18,G31)</f>
        <v>-8822.00755459771</v>
      </c>
      <c r="H33" s="217" t="n">
        <f aca="false">SUM(H18,H31)</f>
        <v>-2880.64727074004</v>
      </c>
      <c r="I33" s="217" t="n">
        <f aca="false">SUM(I18,I31)</f>
        <v>781.285876205227</v>
      </c>
      <c r="J33" s="217" t="n">
        <f aca="false">SUM(J18,J31)</f>
        <v>-1811.14189094216</v>
      </c>
      <c r="K33" s="217" t="n">
        <f aca="false">SUM(K18,K31)</f>
        <v>6236.39534295704</v>
      </c>
      <c r="L33" s="217" t="n">
        <f aca="false">SUM(L18,L31)</f>
        <v>5226.2930856714</v>
      </c>
      <c r="M33" s="217" t="n">
        <f aca="false">SUM(M18,M31)</f>
        <v>15616.4192324086</v>
      </c>
      <c r="N33" s="217" t="n">
        <f aca="false">SUM(N18,N31)</f>
        <v>14668.3920193691</v>
      </c>
      <c r="O33" s="217" t="n">
        <f aca="false">SUM(O18,O31)</f>
        <v>1990.43695873007</v>
      </c>
      <c r="P33" s="217" t="n">
        <f aca="false">SUM(P18,P31)</f>
        <v>3119.55474457616</v>
      </c>
      <c r="Q33" s="217" t="n">
        <f aca="false">SUM(Q18,Q31)</f>
        <v>17015.8194898051</v>
      </c>
      <c r="R33" s="217" t="n">
        <f aca="false">SUM(R18,R31)</f>
        <v>14064.1276874643</v>
      </c>
      <c r="S33" s="217" t="n">
        <f aca="false">SUM(S18,S31)</f>
        <v>-6810.32342821505</v>
      </c>
      <c r="T33" s="217" t="n">
        <f aca="false">SUM(T18,T31)</f>
        <v>10471.5678034606</v>
      </c>
      <c r="U33" s="217" t="n">
        <f aca="false">SUM(U18,U31)</f>
        <v>-620.658003503031</v>
      </c>
      <c r="V33" s="217" t="n">
        <f aca="false">SUM(V18,V31)</f>
        <v>-15983.6156170033</v>
      </c>
      <c r="W33" s="217" t="n">
        <f aca="false">SUM(W18,W31)</f>
        <v>-28450.8691112185</v>
      </c>
      <c r="X33" s="217" t="n">
        <f aca="false">SUM(X18,X31)</f>
        <v>-11574.6128769193</v>
      </c>
      <c r="Y33" s="217" t="n">
        <f aca="false">SUM(Y18,Y31)</f>
        <v>-3103.47488561782</v>
      </c>
      <c r="Z33" s="574" t="n">
        <f aca="false">SUM(D33:Y33)</f>
        <v>13177.3739374049</v>
      </c>
      <c r="AA33" s="1162" t="str">
        <f aca="false">IF(SUM(Z33-CF!Z51)&lt;0.01," ","CHECK: EARNINGS BEFORE TAXES DOES NOT TIE TO CF SHEET")</f>
        <v>CHECK: EARNINGS BEFORE TAXES DOES NOT TIE TO CF SHEET</v>
      </c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</row>
    <row r="34" customFormat="false" ht="12.75" hidden="false" customHeight="false" outlineLevel="0" collapsed="false">
      <c r="A34" s="37" t="s">
        <v>1428</v>
      </c>
      <c r="D34" s="220" t="n">
        <f aca="false">IF(D31&lt;0,0,-D31)</f>
        <v>-0</v>
      </c>
      <c r="E34" s="220" t="n">
        <f aca="false">IF(E31&lt;0,0,-E31)</f>
        <v>0</v>
      </c>
      <c r="F34" s="220" t="n">
        <f aca="false">IF(F31&lt;0,0,-F31)</f>
        <v>0</v>
      </c>
      <c r="G34" s="220" t="n">
        <f aca="false">IF(G31&lt;0,0,-G31)</f>
        <v>0</v>
      </c>
      <c r="H34" s="220" t="n">
        <f aca="false">IF(H31&lt;0,0,-H31)</f>
        <v>0</v>
      </c>
      <c r="I34" s="220" t="n">
        <f aca="false">IF(I31&lt;0,0,-I31)</f>
        <v>0</v>
      </c>
      <c r="J34" s="220" t="n">
        <f aca="false">IF(J31&lt;0,0,-J31)</f>
        <v>0</v>
      </c>
      <c r="K34" s="220" t="n">
        <f aca="false">IF(K31&lt;0,0,-K31)</f>
        <v>0</v>
      </c>
      <c r="L34" s="220" t="n">
        <f aca="false">IF(L31&lt;0,0,-L31)</f>
        <v>0</v>
      </c>
      <c r="M34" s="220" t="n">
        <f aca="false">IF(M31&lt;0,0,-M31)</f>
        <v>0</v>
      </c>
      <c r="N34" s="220" t="n">
        <f aca="false">IF(N31&lt;0,0,-N31)</f>
        <v>0</v>
      </c>
      <c r="O34" s="220" t="n">
        <f aca="false">IF(O31&lt;0,0,-O31)</f>
        <v>0</v>
      </c>
      <c r="P34" s="220" t="n">
        <f aca="false">IF(P31&lt;0,0,-P31)</f>
        <v>0</v>
      </c>
      <c r="Q34" s="220" t="n">
        <f aca="false">IF(Q31&lt;0,0,-Q31)</f>
        <v>0</v>
      </c>
      <c r="R34" s="220" t="n">
        <f aca="false">IF(R31&lt;0,0,-R31)</f>
        <v>0</v>
      </c>
      <c r="S34" s="220" t="n">
        <f aca="false">IF(S31&lt;0,0,-S31)</f>
        <v>0</v>
      </c>
      <c r="T34" s="220" t="n">
        <f aca="false">IF(T31&lt;0,0,-T31)</f>
        <v>0</v>
      </c>
      <c r="U34" s="220" t="n">
        <f aca="false">IF(U31&lt;0,0,-U31)</f>
        <v>-784.955780869848</v>
      </c>
      <c r="V34" s="220" t="n">
        <f aca="false">IF(V31&lt;0,0,-V31)</f>
        <v>-1551.583558281</v>
      </c>
      <c r="W34" s="220" t="n">
        <f aca="false">IF(W31&lt;0,0,-W31)</f>
        <v>-1266.10512050922</v>
      </c>
      <c r="X34" s="220" t="n">
        <f aca="false">IF(X31&lt;0,0,-X31)</f>
        <v>-1117.06168792964</v>
      </c>
      <c r="Y34" s="220" t="n">
        <f aca="false">IF(Y31&lt;0,0,-Y31)</f>
        <v>-1709.95861922667</v>
      </c>
      <c r="Z34" s="576" t="n">
        <f aca="false">SUM(D34:Y34)</f>
        <v>-6429.66476681637</v>
      </c>
      <c r="AA34" s="215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</row>
    <row r="35" customFormat="false" ht="12.75" hidden="false" customHeight="false" outlineLevel="0" collapsed="false">
      <c r="A35" s="37" t="s">
        <v>1429</v>
      </c>
      <c r="D35" s="217" t="n">
        <f aca="false">SUM(D33:D34)</f>
        <v>0</v>
      </c>
      <c r="E35" s="217" t="n">
        <f aca="false">SUM(E33:E34)</f>
        <v>685.544957476587</v>
      </c>
      <c r="F35" s="217" t="n">
        <f aca="false">SUM(F33:F34)</f>
        <v>3358.88737803762</v>
      </c>
      <c r="G35" s="217" t="n">
        <f aca="false">SUM(G33:G34)</f>
        <v>-8822.00755459771</v>
      </c>
      <c r="H35" s="217" t="n">
        <f aca="false">SUM(H33:H34)</f>
        <v>-2880.64727074004</v>
      </c>
      <c r="I35" s="217" t="n">
        <f aca="false">SUM(I33:I34)</f>
        <v>781.285876205227</v>
      </c>
      <c r="J35" s="217" t="n">
        <f aca="false">SUM(J33:J34)</f>
        <v>-1811.14189094216</v>
      </c>
      <c r="K35" s="217" t="n">
        <f aca="false">SUM(K33:K34)</f>
        <v>6236.39534295704</v>
      </c>
      <c r="L35" s="217" t="n">
        <f aca="false">SUM(L33:L34)</f>
        <v>5226.2930856714</v>
      </c>
      <c r="M35" s="217" t="n">
        <f aca="false">SUM(M33:M34)</f>
        <v>15616.4192324086</v>
      </c>
      <c r="N35" s="217" t="n">
        <f aca="false">SUM(N33:N34)</f>
        <v>14668.3920193691</v>
      </c>
      <c r="O35" s="217" t="n">
        <f aca="false">SUM(O33:O34)</f>
        <v>1990.43695873007</v>
      </c>
      <c r="P35" s="217" t="n">
        <f aca="false">SUM(P33:P34)</f>
        <v>3119.55474457616</v>
      </c>
      <c r="Q35" s="217" t="n">
        <f aca="false">SUM(Q33:Q34)</f>
        <v>17015.8194898051</v>
      </c>
      <c r="R35" s="217" t="n">
        <f aca="false">SUM(R33:R34)</f>
        <v>14064.1276874643</v>
      </c>
      <c r="S35" s="217" t="n">
        <f aca="false">SUM(S33:S34)</f>
        <v>-6810.32342821505</v>
      </c>
      <c r="T35" s="217" t="n">
        <f aca="false">SUM(T33:T34)</f>
        <v>10471.5678034606</v>
      </c>
      <c r="U35" s="217" t="n">
        <f aca="false">SUM(U33:U34)</f>
        <v>-1405.61378437288</v>
      </c>
      <c r="V35" s="217" t="n">
        <f aca="false">SUM(V33:V34)</f>
        <v>-17535.1991752843</v>
      </c>
      <c r="W35" s="217" t="n">
        <f aca="false">SUM(W33:W34)</f>
        <v>-29716.9742317278</v>
      </c>
      <c r="X35" s="217" t="n">
        <f aca="false">SUM(X33:X34)</f>
        <v>-12691.6745648489</v>
      </c>
      <c r="Y35" s="217" t="n">
        <f aca="false">SUM(Y33:Y34)</f>
        <v>-4813.43350484449</v>
      </c>
      <c r="Z35" s="574" t="n">
        <f aca="false">SUM(D35:Y35)</f>
        <v>6747.70917058849</v>
      </c>
      <c r="AA35" s="215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</row>
    <row r="36" customFormat="false" ht="12.75" hidden="false" customHeight="false" outlineLevel="0" collapsed="false">
      <c r="A36" s="823"/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550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15"/>
      <c r="BM36" s="215"/>
      <c r="BN36" s="215"/>
      <c r="BO36" s="215"/>
      <c r="BP36" s="215"/>
      <c r="BQ36" s="215"/>
      <c r="BR36" s="215"/>
      <c r="BS36" s="215"/>
      <c r="BT36" s="215"/>
      <c r="BU36" s="215"/>
      <c r="BV36" s="215"/>
      <c r="BW36" s="215"/>
      <c r="BX36" s="215"/>
      <c r="BY36" s="215"/>
      <c r="BZ36" s="215"/>
      <c r="CA36" s="215"/>
      <c r="CB36" s="215"/>
      <c r="CC36" s="215"/>
      <c r="CD36" s="215"/>
      <c r="CE36" s="215"/>
      <c r="CF36" s="215"/>
      <c r="CG36" s="215"/>
      <c r="CH36" s="215"/>
      <c r="CI36" s="215"/>
      <c r="CJ36" s="215"/>
      <c r="CK36" s="215"/>
      <c r="CL36" s="215"/>
      <c r="CM36" s="215"/>
      <c r="CN36" s="215"/>
      <c r="CO36" s="215"/>
      <c r="CP36" s="215"/>
      <c r="CQ36" s="215"/>
      <c r="CR36" s="215"/>
      <c r="CS36" s="215"/>
      <c r="CT36" s="215"/>
      <c r="CU36" s="215"/>
      <c r="CV36" s="215"/>
      <c r="CW36" s="215"/>
      <c r="CX36" s="215"/>
      <c r="CY36" s="215"/>
      <c r="CZ36" s="215"/>
      <c r="DA36" s="215"/>
      <c r="DB36" s="215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  <c r="EY36" s="215"/>
      <c r="EZ36" s="215"/>
      <c r="FA36" s="215"/>
      <c r="FB36" s="215"/>
      <c r="FC36" s="215"/>
      <c r="FD36" s="215"/>
      <c r="FE36" s="215"/>
      <c r="FF36" s="215"/>
      <c r="FG36" s="215"/>
      <c r="FH36" s="215"/>
      <c r="FI36" s="215"/>
      <c r="FJ36" s="215"/>
      <c r="FK36" s="215"/>
      <c r="FL36" s="215"/>
      <c r="FM36" s="215"/>
      <c r="FN36" s="215"/>
      <c r="FO36" s="215"/>
      <c r="FP36" s="215"/>
      <c r="FQ36" s="215"/>
      <c r="FR36" s="215"/>
      <c r="FS36" s="215"/>
      <c r="FT36" s="215"/>
      <c r="FU36" s="215"/>
      <c r="FV36" s="215"/>
      <c r="FW36" s="215"/>
      <c r="FX36" s="215"/>
      <c r="FY36" s="215"/>
      <c r="FZ36" s="215"/>
      <c r="GA36" s="215"/>
      <c r="GB36" s="215"/>
      <c r="GC36" s="215"/>
      <c r="GD36" s="215"/>
      <c r="GE36" s="215"/>
      <c r="GF36" s="215"/>
      <c r="GG36" s="215"/>
      <c r="GH36" s="215"/>
      <c r="GI36" s="215"/>
      <c r="GJ36" s="215"/>
      <c r="GK36" s="215"/>
      <c r="GL36" s="215"/>
      <c r="GM36" s="215"/>
      <c r="GN36" s="215"/>
      <c r="GO36" s="215"/>
      <c r="GP36" s="215"/>
      <c r="GQ36" s="215"/>
      <c r="GR36" s="215"/>
      <c r="GS36" s="215"/>
      <c r="GT36" s="215"/>
      <c r="GU36" s="215"/>
      <c r="GV36" s="215"/>
      <c r="GW36" s="215"/>
      <c r="GX36" s="215"/>
      <c r="GY36" s="215"/>
      <c r="GZ36" s="215"/>
      <c r="HA36" s="215"/>
      <c r="HB36" s="215"/>
      <c r="HC36" s="215"/>
      <c r="HD36" s="215"/>
      <c r="HE36" s="215"/>
      <c r="HF36" s="215"/>
      <c r="HG36" s="215"/>
      <c r="HH36" s="215"/>
      <c r="HI36" s="215"/>
      <c r="HJ36" s="215"/>
      <c r="HK36" s="215"/>
      <c r="HL36" s="215"/>
      <c r="HM36" s="215"/>
      <c r="HN36" s="215"/>
      <c r="HO36" s="215"/>
      <c r="HP36" s="215"/>
      <c r="HQ36" s="215"/>
      <c r="HR36" s="215"/>
      <c r="HS36" s="215"/>
      <c r="HT36" s="215"/>
      <c r="HU36" s="215"/>
      <c r="HV36" s="215"/>
      <c r="HW36" s="215"/>
      <c r="HX36" s="215"/>
      <c r="HY36" s="215"/>
      <c r="HZ36" s="215"/>
      <c r="IA36" s="215"/>
      <c r="IB36" s="215"/>
      <c r="IC36" s="215"/>
      <c r="ID36" s="215"/>
      <c r="IE36" s="215"/>
      <c r="IF36" s="215"/>
      <c r="IG36" s="215"/>
      <c r="IH36" s="215"/>
      <c r="II36" s="215"/>
      <c r="IJ36" s="215"/>
      <c r="IK36" s="215"/>
      <c r="IL36" s="215"/>
      <c r="IM36" s="215"/>
      <c r="IN36" s="215"/>
      <c r="IO36" s="215"/>
      <c r="IP36" s="215"/>
      <c r="IQ36" s="215"/>
      <c r="IR36" s="215"/>
      <c r="IS36" s="215"/>
      <c r="IT36" s="215"/>
      <c r="IU36" s="215"/>
      <c r="IV36" s="215"/>
      <c r="IW36" s="215"/>
    </row>
    <row r="37" customFormat="false" ht="12.75" hidden="false" customHeight="false" outlineLevel="0" collapsed="false">
      <c r="A37" s="130" t="s">
        <v>71</v>
      </c>
      <c r="C37" s="607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56"/>
      <c r="Q37" s="556"/>
      <c r="R37" s="556"/>
      <c r="S37" s="556"/>
      <c r="T37" s="556"/>
      <c r="U37" s="556"/>
      <c r="V37" s="556"/>
      <c r="W37" s="556"/>
      <c r="X37" s="556"/>
      <c r="Y37" s="556"/>
      <c r="Z37" s="557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</row>
    <row r="38" customFormat="false" ht="12.75" hidden="false" customHeight="false" outlineLevel="0" collapsed="false">
      <c r="A38" s="37" t="s">
        <v>1430</v>
      </c>
      <c r="C38" s="607"/>
      <c r="D38" s="217" t="n">
        <f aca="false">IF(D$35&lt;0,0,D$35)</f>
        <v>0</v>
      </c>
      <c r="E38" s="217" t="n">
        <f aca="false">IF(E$35&lt;0,0,E$35)</f>
        <v>685.544957476587</v>
      </c>
      <c r="F38" s="217" t="n">
        <f aca="false">IF(F$35&lt;0,0,F$35)</f>
        <v>3358.88737803762</v>
      </c>
      <c r="G38" s="217" t="n">
        <f aca="false">IF(G$35&lt;0,0,G$35)</f>
        <v>0</v>
      </c>
      <c r="H38" s="217" t="n">
        <f aca="false">IF(H$35&lt;0,0,H$35)</f>
        <v>0</v>
      </c>
      <c r="I38" s="217" t="n">
        <f aca="false">IF(I$35&lt;0,0,I$35)</f>
        <v>781.285876205227</v>
      </c>
      <c r="J38" s="217" t="n">
        <f aca="false">IF(J$35&lt;0,0,J$35)</f>
        <v>0</v>
      </c>
      <c r="K38" s="217" t="n">
        <f aca="false">IF(K$35&lt;0,0,K$35)</f>
        <v>6236.39534295704</v>
      </c>
      <c r="L38" s="217" t="n">
        <f aca="false">IF(L$35&lt;0,0,L$35)</f>
        <v>5226.2930856714</v>
      </c>
      <c r="M38" s="217" t="n">
        <f aca="false">IF(M$35&lt;0,0,M$35)</f>
        <v>15616.4192324086</v>
      </c>
      <c r="N38" s="217" t="n">
        <f aca="false">IF(N$35&lt;0,0,N$35)</f>
        <v>14668.3920193691</v>
      </c>
      <c r="O38" s="217" t="n">
        <f aca="false">IF(O$35&lt;0,0,O$35)</f>
        <v>1990.43695873007</v>
      </c>
      <c r="P38" s="217" t="n">
        <f aca="false">IF(P$35&lt;0,0,P$35)</f>
        <v>3119.55474457616</v>
      </c>
      <c r="Q38" s="217" t="n">
        <f aca="false">IF(Q$35&lt;0,0,Q$35)</f>
        <v>17015.8194898051</v>
      </c>
      <c r="R38" s="217" t="n">
        <f aca="false">IF(R$35&lt;0,0,R$35)</f>
        <v>14064.1276874643</v>
      </c>
      <c r="S38" s="217" t="n">
        <f aca="false">IF(S$35&lt;0,0,S$35)</f>
        <v>0</v>
      </c>
      <c r="T38" s="217" t="n">
        <f aca="false">IF(T$35&lt;0,0,T$35)</f>
        <v>10471.5678034606</v>
      </c>
      <c r="U38" s="217" t="n">
        <f aca="false">IF(U$35&lt;0,0,U$35)</f>
        <v>0</v>
      </c>
      <c r="V38" s="217" t="n">
        <f aca="false">IF(V$35&lt;0,0,V$35)</f>
        <v>0</v>
      </c>
      <c r="W38" s="217" t="n">
        <f aca="false">IF(W$35&lt;0,0,W$35)</f>
        <v>0</v>
      </c>
      <c r="X38" s="217" t="n">
        <f aca="false">IF(X$35&lt;0,0,X$35)</f>
        <v>0</v>
      </c>
      <c r="Y38" s="217" t="n">
        <f aca="false">IF(Y$35&lt;0,0,Y$35)</f>
        <v>0</v>
      </c>
      <c r="Z38" s="574" t="n">
        <f aca="false">SUM(D38:Y38)</f>
        <v>93234.7245761618</v>
      </c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</row>
    <row r="39" customFormat="false" ht="12.75" hidden="false" customHeight="false" outlineLevel="0" collapsed="false">
      <c r="A39" s="37" t="s">
        <v>1431</v>
      </c>
      <c r="C39" s="607"/>
      <c r="D39" s="772" t="n">
        <f aca="false">Tax</f>
        <v>0.15</v>
      </c>
      <c r="E39" s="772" t="n">
        <f aca="false">Tax</f>
        <v>0.15</v>
      </c>
      <c r="F39" s="772" t="n">
        <f aca="false">Tax</f>
        <v>0.15</v>
      </c>
      <c r="G39" s="772" t="n">
        <f aca="false">Tax</f>
        <v>0.15</v>
      </c>
      <c r="H39" s="772" t="n">
        <f aca="false">Tax</f>
        <v>0.15</v>
      </c>
      <c r="I39" s="772" t="n">
        <f aca="false">Tax</f>
        <v>0.15</v>
      </c>
      <c r="J39" s="772" t="n">
        <f aca="false">Tax</f>
        <v>0.15</v>
      </c>
      <c r="K39" s="772" t="n">
        <f aca="false">Tax</f>
        <v>0.15</v>
      </c>
      <c r="L39" s="772" t="n">
        <f aca="false">Tax</f>
        <v>0.15</v>
      </c>
      <c r="M39" s="772" t="n">
        <f aca="false">Tax</f>
        <v>0.15</v>
      </c>
      <c r="N39" s="772" t="n">
        <f aca="false">Tax</f>
        <v>0.15</v>
      </c>
      <c r="O39" s="772" t="n">
        <f aca="false">Tax</f>
        <v>0.15</v>
      </c>
      <c r="P39" s="772" t="n">
        <f aca="false">Tax</f>
        <v>0.15</v>
      </c>
      <c r="Q39" s="772" t="n">
        <f aca="false">Tax</f>
        <v>0.15</v>
      </c>
      <c r="R39" s="772" t="n">
        <f aca="false">Tax</f>
        <v>0.15</v>
      </c>
      <c r="S39" s="772" t="n">
        <f aca="false">Tax</f>
        <v>0.15</v>
      </c>
      <c r="T39" s="772" t="n">
        <f aca="false">Tax</f>
        <v>0.15</v>
      </c>
      <c r="U39" s="772" t="n">
        <f aca="false">Tax</f>
        <v>0.15</v>
      </c>
      <c r="V39" s="772" t="n">
        <f aca="false">Tax</f>
        <v>0.15</v>
      </c>
      <c r="W39" s="772" t="n">
        <f aca="false">Tax</f>
        <v>0.15</v>
      </c>
      <c r="X39" s="772" t="n">
        <f aca="false">Tax</f>
        <v>0.15</v>
      </c>
      <c r="Y39" s="772" t="n">
        <f aca="false">Tax</f>
        <v>0.15</v>
      </c>
      <c r="Z39" s="557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</row>
    <row r="40" customFormat="false" ht="12.75" hidden="false" customHeight="false" outlineLevel="0" collapsed="false">
      <c r="A40" s="37" t="s">
        <v>1432</v>
      </c>
      <c r="C40" s="607"/>
      <c r="D40" s="217" t="n">
        <f aca="false">D38*D39</f>
        <v>0</v>
      </c>
      <c r="E40" s="217" t="n">
        <f aca="false">E38*E39</f>
        <v>102.831743621488</v>
      </c>
      <c r="F40" s="217" t="n">
        <f aca="false">F38*F39</f>
        <v>503.833106705643</v>
      </c>
      <c r="G40" s="217" t="n">
        <f aca="false">G38*G39</f>
        <v>0</v>
      </c>
      <c r="H40" s="217" t="n">
        <f aca="false">H38*H39</f>
        <v>0</v>
      </c>
      <c r="I40" s="217" t="n">
        <f aca="false">I38*I39</f>
        <v>117.192881430784</v>
      </c>
      <c r="J40" s="217" t="n">
        <f aca="false">J38*J39</f>
        <v>0</v>
      </c>
      <c r="K40" s="217" t="n">
        <f aca="false">K38*K39</f>
        <v>935.459301443556</v>
      </c>
      <c r="L40" s="217" t="n">
        <f aca="false">L38*L39</f>
        <v>783.94396285071</v>
      </c>
      <c r="M40" s="217" t="n">
        <f aca="false">M38*M39</f>
        <v>2342.46288486129</v>
      </c>
      <c r="N40" s="217" t="n">
        <f aca="false">N38*N39</f>
        <v>2200.25880290536</v>
      </c>
      <c r="O40" s="217" t="n">
        <f aca="false">O38*O39</f>
        <v>298.56554380951</v>
      </c>
      <c r="P40" s="217" t="n">
        <f aca="false">P38*P39</f>
        <v>467.933211686424</v>
      </c>
      <c r="Q40" s="217" t="n">
        <f aca="false">Q38*Q39</f>
        <v>2552.37292347077</v>
      </c>
      <c r="R40" s="217" t="n">
        <f aca="false">R38*R39</f>
        <v>2109.61915311965</v>
      </c>
      <c r="S40" s="217" t="n">
        <f aca="false">S38*S39</f>
        <v>0</v>
      </c>
      <c r="T40" s="217" t="n">
        <f aca="false">T38*T39</f>
        <v>1570.73517051908</v>
      </c>
      <c r="U40" s="217" t="n">
        <f aca="false">U38*U39</f>
        <v>0</v>
      </c>
      <c r="V40" s="217" t="n">
        <f aca="false">V38*V39</f>
        <v>0</v>
      </c>
      <c r="W40" s="217" t="n">
        <f aca="false">W38*W39</f>
        <v>0</v>
      </c>
      <c r="X40" s="217" t="n">
        <f aca="false">X38*X39</f>
        <v>0</v>
      </c>
      <c r="Y40" s="217" t="n">
        <f aca="false">Y38*Y39</f>
        <v>0</v>
      </c>
      <c r="Z40" s="574" t="n">
        <f aca="false">SUM(D40:Y40)</f>
        <v>13985.2086864243</v>
      </c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</row>
    <row r="41" customFormat="false" ht="12.75" hidden="false" customHeight="false" outlineLevel="0" collapsed="false">
      <c r="A41" s="823"/>
      <c r="B41" s="215"/>
      <c r="C41" s="1163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550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  <c r="BI41" s="215"/>
      <c r="BJ41" s="215"/>
      <c r="BK41" s="215"/>
      <c r="BL41" s="215"/>
      <c r="BM41" s="215"/>
      <c r="BN41" s="215"/>
      <c r="BO41" s="215"/>
      <c r="BP41" s="215"/>
      <c r="BQ41" s="215"/>
      <c r="BR41" s="215"/>
      <c r="BS41" s="215"/>
      <c r="BT41" s="215"/>
      <c r="BU41" s="215"/>
      <c r="BV41" s="215"/>
      <c r="BW41" s="215"/>
      <c r="BX41" s="215"/>
      <c r="BY41" s="215"/>
      <c r="BZ41" s="215"/>
      <c r="CA41" s="215"/>
      <c r="CB41" s="215"/>
      <c r="CC41" s="215"/>
      <c r="CD41" s="215"/>
      <c r="CE41" s="215"/>
      <c r="CF41" s="215"/>
      <c r="CG41" s="215"/>
      <c r="CH41" s="215"/>
      <c r="CI41" s="215"/>
      <c r="CJ41" s="215"/>
      <c r="CK41" s="215"/>
      <c r="CL41" s="215"/>
      <c r="CM41" s="215"/>
      <c r="CN41" s="215"/>
      <c r="CO41" s="215"/>
      <c r="CP41" s="215"/>
      <c r="CQ41" s="215"/>
      <c r="CR41" s="215"/>
      <c r="CS41" s="215"/>
      <c r="CT41" s="215"/>
      <c r="CU41" s="215"/>
      <c r="CV41" s="215"/>
      <c r="CW41" s="215"/>
      <c r="CX41" s="215"/>
      <c r="CY41" s="215"/>
      <c r="CZ41" s="215"/>
      <c r="DA41" s="215"/>
      <c r="DB41" s="215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  <c r="EY41" s="215"/>
      <c r="EZ41" s="215"/>
      <c r="FA41" s="215"/>
      <c r="FB41" s="215"/>
      <c r="FC41" s="215"/>
      <c r="FD41" s="215"/>
      <c r="FE41" s="215"/>
      <c r="FF41" s="215"/>
      <c r="FG41" s="215"/>
      <c r="FH41" s="215"/>
      <c r="FI41" s="215"/>
      <c r="FJ41" s="215"/>
      <c r="FK41" s="215"/>
      <c r="FL41" s="215"/>
      <c r="FM41" s="215"/>
      <c r="FN41" s="215"/>
      <c r="FO41" s="215"/>
      <c r="FP41" s="215"/>
      <c r="FQ41" s="215"/>
      <c r="FR41" s="215"/>
      <c r="FS41" s="215"/>
      <c r="FT41" s="215"/>
      <c r="FU41" s="215"/>
      <c r="FV41" s="215"/>
      <c r="FW41" s="215"/>
      <c r="FX41" s="215"/>
      <c r="FY41" s="215"/>
      <c r="FZ41" s="215"/>
      <c r="GA41" s="215"/>
      <c r="GB41" s="215"/>
      <c r="GC41" s="215"/>
      <c r="GD41" s="215"/>
      <c r="GE41" s="215"/>
      <c r="GF41" s="215"/>
      <c r="GG41" s="215"/>
      <c r="GH41" s="215"/>
      <c r="GI41" s="215"/>
      <c r="GJ41" s="215"/>
      <c r="GK41" s="215"/>
      <c r="GL41" s="215"/>
      <c r="GM41" s="215"/>
      <c r="GN41" s="215"/>
      <c r="GO41" s="215"/>
      <c r="GP41" s="215"/>
      <c r="GQ41" s="215"/>
      <c r="GR41" s="215"/>
      <c r="GS41" s="215"/>
      <c r="GT41" s="215"/>
      <c r="GU41" s="215"/>
      <c r="GV41" s="215"/>
      <c r="GW41" s="215"/>
      <c r="GX41" s="215"/>
      <c r="GY41" s="215"/>
      <c r="GZ41" s="215"/>
      <c r="HA41" s="215"/>
      <c r="HB41" s="215"/>
      <c r="HC41" s="215"/>
      <c r="HD41" s="215"/>
      <c r="HE41" s="215"/>
      <c r="HF41" s="215"/>
      <c r="HG41" s="215"/>
      <c r="HH41" s="215"/>
      <c r="HI41" s="215"/>
      <c r="HJ41" s="215"/>
      <c r="HK41" s="215"/>
      <c r="HL41" s="215"/>
      <c r="HM41" s="215"/>
      <c r="HN41" s="215"/>
      <c r="HO41" s="215"/>
      <c r="HP41" s="215"/>
      <c r="HQ41" s="215"/>
      <c r="HR41" s="215"/>
      <c r="HS41" s="215"/>
      <c r="HT41" s="215"/>
      <c r="HU41" s="215"/>
      <c r="HV41" s="215"/>
      <c r="HW41" s="215"/>
      <c r="HX41" s="215"/>
      <c r="HY41" s="215"/>
      <c r="HZ41" s="215"/>
      <c r="IA41" s="215"/>
      <c r="IB41" s="215"/>
      <c r="IC41" s="215"/>
      <c r="ID41" s="215"/>
      <c r="IE41" s="215"/>
      <c r="IF41" s="215"/>
      <c r="IG41" s="215"/>
      <c r="IH41" s="215"/>
      <c r="II41" s="215"/>
      <c r="IJ41" s="215"/>
      <c r="IK41" s="215"/>
      <c r="IL41" s="215"/>
      <c r="IM41" s="215"/>
      <c r="IN41" s="215"/>
      <c r="IO41" s="215"/>
      <c r="IP41" s="215"/>
      <c r="IQ41" s="215"/>
      <c r="IR41" s="215"/>
      <c r="IS41" s="215"/>
      <c r="IT41" s="215"/>
      <c r="IU41" s="215"/>
      <c r="IV41" s="215"/>
      <c r="IW41" s="215"/>
    </row>
    <row r="42" customFormat="false" ht="12.75" hidden="false" customHeight="false" outlineLevel="0" collapsed="false">
      <c r="A42" s="130" t="s">
        <v>78</v>
      </c>
      <c r="C42" s="607"/>
      <c r="D42" s="556"/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56"/>
      <c r="Z42" s="557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</row>
    <row r="43" customFormat="false" ht="12.75" hidden="false" customHeight="false" outlineLevel="0" collapsed="false">
      <c r="A43" s="37" t="s">
        <v>1430</v>
      </c>
      <c r="D43" s="217" t="n">
        <f aca="false">IF(D$35&lt;0,0,D$35)</f>
        <v>0</v>
      </c>
      <c r="E43" s="217" t="n">
        <f aca="false">IF(E$35&lt;0,0,E$35)</f>
        <v>685.544957476587</v>
      </c>
      <c r="F43" s="217" t="n">
        <f aca="false">IF(F$35&lt;0,0,F$35)</f>
        <v>3358.88737803762</v>
      </c>
      <c r="G43" s="217" t="n">
        <f aca="false">IF(G$35&lt;0,0,G$35)</f>
        <v>0</v>
      </c>
      <c r="H43" s="217" t="n">
        <f aca="false">IF(H$35&lt;0,0,H$35)</f>
        <v>0</v>
      </c>
      <c r="I43" s="217" t="n">
        <f aca="false">IF(I$35&lt;0,0,I$35)</f>
        <v>781.285876205227</v>
      </c>
      <c r="J43" s="217" t="n">
        <f aca="false">IF(J$35&lt;0,0,J$35)</f>
        <v>0</v>
      </c>
      <c r="K43" s="217" t="n">
        <f aca="false">IF(K$35&lt;0,0,K$35)</f>
        <v>6236.39534295704</v>
      </c>
      <c r="L43" s="217" t="n">
        <f aca="false">IF(L$35&lt;0,0,L$35)</f>
        <v>5226.2930856714</v>
      </c>
      <c r="M43" s="217" t="n">
        <f aca="false">IF(M$35&lt;0,0,M$35)</f>
        <v>15616.4192324086</v>
      </c>
      <c r="N43" s="217" t="n">
        <f aca="false">IF(N$35&lt;0,0,N$35)</f>
        <v>14668.3920193691</v>
      </c>
      <c r="O43" s="217" t="n">
        <f aca="false">IF(O$35&lt;0,0,O$35)</f>
        <v>1990.43695873007</v>
      </c>
      <c r="P43" s="217" t="n">
        <f aca="false">IF(P$35&lt;0,0,P$35)</f>
        <v>3119.55474457616</v>
      </c>
      <c r="Q43" s="217" t="n">
        <f aca="false">IF(Q$35&lt;0,0,Q$35)</f>
        <v>17015.8194898051</v>
      </c>
      <c r="R43" s="217" t="n">
        <f aca="false">IF(R$35&lt;0,0,R$35)</f>
        <v>14064.1276874643</v>
      </c>
      <c r="S43" s="217" t="n">
        <f aca="false">IF(S$35&lt;0,0,S$35)</f>
        <v>0</v>
      </c>
      <c r="T43" s="217" t="n">
        <f aca="false">IF(T$35&lt;0,0,T$35)</f>
        <v>10471.5678034606</v>
      </c>
      <c r="U43" s="217" t="n">
        <f aca="false">IF(U$35&lt;0,0,U$35)</f>
        <v>0</v>
      </c>
      <c r="V43" s="217" t="n">
        <f aca="false">IF(V$35&lt;0,0,V$35)</f>
        <v>0</v>
      </c>
      <c r="W43" s="217" t="n">
        <f aca="false">IF(W$35&lt;0,0,W$35)</f>
        <v>0</v>
      </c>
      <c r="X43" s="217" t="n">
        <f aca="false">IF(X$35&lt;0,0,X$35)</f>
        <v>0</v>
      </c>
      <c r="Y43" s="217" t="n">
        <f aca="false">IF(Y$35&lt;0,0,Y$35)</f>
        <v>0</v>
      </c>
      <c r="Z43" s="574" t="n">
        <f aca="false">SUM(B43:Y43)</f>
        <v>93234.7245761618</v>
      </c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</row>
    <row r="44" customFormat="false" ht="12.75" hidden="false" customHeight="false" outlineLevel="0" collapsed="false">
      <c r="A44" s="37" t="s">
        <v>1433</v>
      </c>
      <c r="C44" s="607"/>
      <c r="D44" s="220" t="n">
        <f aca="false">-IF(D43&lt;=0,0,MIN(D43,Assm!$L$9/Rev_Exp!D$27*D$9/12))</f>
        <v>-0</v>
      </c>
      <c r="E44" s="220" t="n">
        <f aca="false">-IF(E43&lt;=0,0,MIN(E43,Assm!$L$9/Rev_Exp!E$27*E$9/12))</f>
        <v>-154.635854040936</v>
      </c>
      <c r="F44" s="220" t="n">
        <f aca="false">-IF(F43&lt;=0,0,MIN(F43,Assm!$L$9/Rev_Exp!F$27*F$9/12))</f>
        <v>-129.324861357462</v>
      </c>
      <c r="G44" s="220" t="n">
        <f aca="false">-IF(G43&lt;=0,0,MIN(G43,Assm!$L$9/Rev_Exp!G$27*G$9/12))</f>
        <v>-0</v>
      </c>
      <c r="H44" s="220" t="n">
        <f aca="false">-IF(H43&lt;=0,0,MIN(H43,Assm!$L$9/Rev_Exp!H$27*H$9/12))</f>
        <v>-0</v>
      </c>
      <c r="I44" s="220" t="n">
        <f aca="false">-IF(I43&lt;=0,0,MIN(I43,Assm!$L$9/Rev_Exp!I$27*I$9/12))</f>
        <v>-116.329960827261</v>
      </c>
      <c r="J44" s="220" t="n">
        <f aca="false">-IF(J43&lt;=0,0,MIN(J43,Assm!$L$9/Rev_Exp!J$27*J$9/12))</f>
        <v>-0</v>
      </c>
      <c r="K44" s="220" t="n">
        <f aca="false">-IF(K43&lt;=0,0,MIN(K43,Assm!$L$9/Rev_Exp!K$27*K$9/12))</f>
        <v>-107.329331839699</v>
      </c>
      <c r="L44" s="220" t="n">
        <f aca="false">-IF(L43&lt;=0,0,MIN(L43,Assm!$L$9/Rev_Exp!L$27*L$9/12))</f>
        <v>-104.221572108998</v>
      </c>
      <c r="M44" s="220" t="n">
        <f aca="false">-IF(M43&lt;=0,0,MIN(M43,Assm!$L$9/Rev_Exp!M$27*M$9/12))</f>
        <v>-101.362658338312</v>
      </c>
      <c r="N44" s="220" t="n">
        <f aca="false">-IF(N43&lt;=0,0,MIN(N43,Assm!$L$9/Rev_Exp!N$27*N$9/12))</f>
        <v>-98.6449994151227</v>
      </c>
      <c r="O44" s="220" t="n">
        <f aca="false">-IF(O43&lt;=0,0,MIN(O43,Assm!$L$9/Rev_Exp!O$27*O$9/12))</f>
        <v>-96.1117150761202</v>
      </c>
      <c r="P44" s="220" t="n">
        <f aca="false">-IF(P43&lt;=0,0,MIN(P43,Assm!$L$9/Rev_Exp!P$27*P$9/12))</f>
        <v>-93.7393818185871</v>
      </c>
      <c r="Q44" s="220" t="n">
        <f aca="false">-IF(Q43&lt;=0,0,MIN(Q43,Assm!$L$9/Rev_Exp!Q$27*Q$9/12))</f>
        <v>-91.5198970894185</v>
      </c>
      <c r="R44" s="220" t="n">
        <f aca="false">-IF(R43&lt;=0,0,MIN(R43,Assm!$L$9/Rev_Exp!R$27*R$9/12))</f>
        <v>-89.5316598796252</v>
      </c>
      <c r="S44" s="220" t="n">
        <f aca="false">-IF(S43&lt;=0,0,MIN(S43,Assm!$L$9/Rev_Exp!S$27*S$9/12))</f>
        <v>-0</v>
      </c>
      <c r="T44" s="220" t="n">
        <f aca="false">-IF(T43&lt;=0,0,MIN(T43,Assm!$L$9/Rev_Exp!T$27*T$9/12))</f>
        <v>-86.010903858653</v>
      </c>
      <c r="U44" s="220" t="n">
        <f aca="false">-IF(U43&lt;=0,0,MIN(U43,Assm!$L$9/Rev_Exp!U$27*U$9/12))</f>
        <v>-0</v>
      </c>
      <c r="V44" s="220" t="n">
        <f aca="false">-IF(V43&lt;=0,0,MIN(V43,Assm!$L$9/Rev_Exp!V$27*V$9/12))</f>
        <v>-0</v>
      </c>
      <c r="W44" s="220" t="n">
        <f aca="false">-IF(W43&lt;=0,0,MIN(W43,Assm!$L$9/Rev_Exp!W$27*W$9/12))</f>
        <v>-0</v>
      </c>
      <c r="X44" s="220" t="n">
        <f aca="false">-IF(X43&lt;=0,0,MIN(X43,Assm!$L$9/Rev_Exp!X$27*X$9/12))</f>
        <v>-0</v>
      </c>
      <c r="Y44" s="220" t="n">
        <f aca="false">-IF(Y43&lt;=0,0,MIN(Y43,Assm!$L$9/Rev_Exp!Y$27*Y$9/12))</f>
        <v>-0</v>
      </c>
      <c r="Z44" s="576" t="n">
        <f aca="false">SUM(C44:Y44)</f>
        <v>-1268.7627956502</v>
      </c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</row>
    <row r="45" customFormat="false" ht="12.75" hidden="false" customHeight="false" outlineLevel="0" collapsed="false">
      <c r="A45" s="37" t="s">
        <v>1434</v>
      </c>
      <c r="C45" s="607"/>
      <c r="D45" s="217" t="n">
        <f aca="false">SUM(D43:D44)</f>
        <v>0</v>
      </c>
      <c r="E45" s="217" t="n">
        <f aca="false">SUM(E43:E44)</f>
        <v>530.909103435651</v>
      </c>
      <c r="F45" s="217" t="n">
        <f aca="false">SUM(F43:F44)</f>
        <v>3229.56251668016</v>
      </c>
      <c r="G45" s="217" t="n">
        <f aca="false">SUM(G43:G44)</f>
        <v>0</v>
      </c>
      <c r="H45" s="217" t="n">
        <f aca="false">SUM(H43:H44)</f>
        <v>0</v>
      </c>
      <c r="I45" s="217" t="n">
        <f aca="false">SUM(I43:I44)</f>
        <v>664.955915377966</v>
      </c>
      <c r="J45" s="217" t="n">
        <f aca="false">SUM(J43:J44)</f>
        <v>0</v>
      </c>
      <c r="K45" s="217" t="n">
        <f aca="false">SUM(K43:K44)</f>
        <v>6129.06601111734</v>
      </c>
      <c r="L45" s="217" t="n">
        <f aca="false">SUM(L43:L44)</f>
        <v>5122.0715135624</v>
      </c>
      <c r="M45" s="217" t="n">
        <f aca="false">SUM(M43:M44)</f>
        <v>15515.0565740703</v>
      </c>
      <c r="N45" s="217" t="n">
        <f aca="false">SUM(N43:N44)</f>
        <v>14569.7470199539</v>
      </c>
      <c r="O45" s="217" t="n">
        <f aca="false">SUM(O43:O44)</f>
        <v>1894.32524365395</v>
      </c>
      <c r="P45" s="217" t="n">
        <f aca="false">SUM(P43:P44)</f>
        <v>3025.81536275758</v>
      </c>
      <c r="Q45" s="217" t="n">
        <f aca="false">SUM(Q43:Q44)</f>
        <v>16924.2995927157</v>
      </c>
      <c r="R45" s="217" t="n">
        <f aca="false">SUM(R43:R44)</f>
        <v>13974.5960275847</v>
      </c>
      <c r="S45" s="217" t="n">
        <f aca="false">SUM(S43:S44)</f>
        <v>0</v>
      </c>
      <c r="T45" s="217" t="n">
        <f aca="false">SUM(T43:T44)</f>
        <v>10385.5568996019</v>
      </c>
      <c r="U45" s="217" t="n">
        <f aca="false">SUM(U43:U44)</f>
        <v>0</v>
      </c>
      <c r="V45" s="217" t="n">
        <f aca="false">SUM(V43:V44)</f>
        <v>0</v>
      </c>
      <c r="W45" s="217" t="n">
        <f aca="false">SUM(W43:W44)</f>
        <v>0</v>
      </c>
      <c r="X45" s="217" t="n">
        <f aca="false">SUM(X43:X44)</f>
        <v>0</v>
      </c>
      <c r="Y45" s="217" t="n">
        <f aca="false">SUM(Y43:Y44)</f>
        <v>0</v>
      </c>
      <c r="Z45" s="574" t="n">
        <f aca="false">SUM(C45:Y45)</f>
        <v>91965.9617805116</v>
      </c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</row>
    <row r="46" customFormat="false" ht="12.75" hidden="false" customHeight="false" outlineLevel="0" collapsed="false">
      <c r="A46" s="37" t="s">
        <v>1435</v>
      </c>
      <c r="C46" s="607"/>
      <c r="D46" s="772" t="n">
        <f aca="false">AddTax</f>
        <v>0.1</v>
      </c>
      <c r="E46" s="772" t="n">
        <f aca="false">AddTax</f>
        <v>0.1</v>
      </c>
      <c r="F46" s="772" t="n">
        <f aca="false">AddTax</f>
        <v>0.1</v>
      </c>
      <c r="G46" s="772" t="n">
        <f aca="false">AddTax</f>
        <v>0.1</v>
      </c>
      <c r="H46" s="772" t="n">
        <f aca="false">AddTax</f>
        <v>0.1</v>
      </c>
      <c r="I46" s="772" t="n">
        <f aca="false">AddTax</f>
        <v>0.1</v>
      </c>
      <c r="J46" s="772" t="n">
        <f aca="false">AddTax</f>
        <v>0.1</v>
      </c>
      <c r="K46" s="772" t="n">
        <f aca="false">AddTax</f>
        <v>0.1</v>
      </c>
      <c r="L46" s="772" t="n">
        <f aca="false">AddTax</f>
        <v>0.1</v>
      </c>
      <c r="M46" s="772" t="n">
        <f aca="false">AddTax</f>
        <v>0.1</v>
      </c>
      <c r="N46" s="772" t="n">
        <f aca="false">AddTax</f>
        <v>0.1</v>
      </c>
      <c r="O46" s="772" t="n">
        <f aca="false">AddTax</f>
        <v>0.1</v>
      </c>
      <c r="P46" s="772" t="n">
        <f aca="false">AddTax</f>
        <v>0.1</v>
      </c>
      <c r="Q46" s="772" t="n">
        <f aca="false">AddTax</f>
        <v>0.1</v>
      </c>
      <c r="R46" s="772" t="n">
        <f aca="false">AddTax</f>
        <v>0.1</v>
      </c>
      <c r="S46" s="772" t="n">
        <f aca="false">AddTax</f>
        <v>0.1</v>
      </c>
      <c r="T46" s="772" t="n">
        <f aca="false">AddTax</f>
        <v>0.1</v>
      </c>
      <c r="U46" s="772" t="n">
        <f aca="false">AddTax</f>
        <v>0.1</v>
      </c>
      <c r="V46" s="772" t="n">
        <f aca="false">AddTax</f>
        <v>0.1</v>
      </c>
      <c r="W46" s="772" t="n">
        <f aca="false">AddTax</f>
        <v>0.1</v>
      </c>
      <c r="X46" s="772" t="n">
        <f aca="false">AddTax</f>
        <v>0.1</v>
      </c>
      <c r="Y46" s="772" t="n">
        <f aca="false">AddTax</f>
        <v>0.1</v>
      </c>
      <c r="Z46" s="557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</row>
    <row r="47" customFormat="false" ht="12.75" hidden="false" customHeight="false" outlineLevel="0" collapsed="false">
      <c r="A47" s="37" t="s">
        <v>1436</v>
      </c>
      <c r="C47" s="607"/>
      <c r="D47" s="217" t="n">
        <f aca="false">D45*D46</f>
        <v>0</v>
      </c>
      <c r="E47" s="217" t="n">
        <f aca="false">E45*E46</f>
        <v>53.0909103435651</v>
      </c>
      <c r="F47" s="217" t="n">
        <f aca="false">F45*F46</f>
        <v>322.956251668016</v>
      </c>
      <c r="G47" s="217" t="n">
        <f aca="false">G45*G46</f>
        <v>0</v>
      </c>
      <c r="H47" s="217" t="n">
        <f aca="false">H45*H46</f>
        <v>0</v>
      </c>
      <c r="I47" s="217" t="n">
        <f aca="false">I45*I46</f>
        <v>66.4955915377966</v>
      </c>
      <c r="J47" s="217" t="n">
        <f aca="false">J45*J46</f>
        <v>0</v>
      </c>
      <c r="K47" s="217" t="n">
        <f aca="false">K45*K46</f>
        <v>612.906601111734</v>
      </c>
      <c r="L47" s="217" t="n">
        <f aca="false">L45*L46</f>
        <v>512.20715135624</v>
      </c>
      <c r="M47" s="217" t="n">
        <f aca="false">M45*M46</f>
        <v>1551.50565740703</v>
      </c>
      <c r="N47" s="217" t="n">
        <f aca="false">N45*N46</f>
        <v>1456.97470199539</v>
      </c>
      <c r="O47" s="217" t="n">
        <f aca="false">O45*O46</f>
        <v>189.432524365395</v>
      </c>
      <c r="P47" s="217" t="n">
        <f aca="false">P45*P46</f>
        <v>302.581536275758</v>
      </c>
      <c r="Q47" s="217" t="n">
        <f aca="false">Q45*Q46</f>
        <v>1692.42995927157</v>
      </c>
      <c r="R47" s="217" t="n">
        <f aca="false">R45*R46</f>
        <v>1397.45960275847</v>
      </c>
      <c r="S47" s="217" t="n">
        <f aca="false">S45*S46</f>
        <v>0</v>
      </c>
      <c r="T47" s="217" t="n">
        <f aca="false">T45*T46</f>
        <v>1038.55568996019</v>
      </c>
      <c r="U47" s="217" t="n">
        <f aca="false">U45*U46</f>
        <v>0</v>
      </c>
      <c r="V47" s="217" t="n">
        <f aca="false">V45*V46</f>
        <v>0</v>
      </c>
      <c r="W47" s="217" t="n">
        <f aca="false">W45*W46</f>
        <v>0</v>
      </c>
      <c r="X47" s="217" t="n">
        <f aca="false">X45*X46</f>
        <v>0</v>
      </c>
      <c r="Y47" s="217" t="n">
        <f aca="false">Y45*Y46</f>
        <v>0</v>
      </c>
      <c r="Z47" s="574" t="n">
        <f aca="false">SUM(D47:Y47)</f>
        <v>9196.59617805116</v>
      </c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</row>
    <row r="48" customFormat="false" ht="12.75" hidden="false" customHeight="false" outlineLevel="0" collapsed="false">
      <c r="A48" s="37"/>
      <c r="Z48" s="555"/>
    </row>
    <row r="49" customFormat="false" ht="12.75" hidden="false" customHeight="false" outlineLevel="0" collapsed="false">
      <c r="A49" s="37" t="s">
        <v>1437</v>
      </c>
      <c r="D49" s="217" t="n">
        <f aca="false">SUM(D40,D47)</f>
        <v>0</v>
      </c>
      <c r="E49" s="217" t="n">
        <f aca="false">SUM(E40,E47)</f>
        <v>155.922653965053</v>
      </c>
      <c r="F49" s="217" t="n">
        <f aca="false">SUM(F40,F47)</f>
        <v>826.78935837366</v>
      </c>
      <c r="G49" s="217" t="n">
        <f aca="false">SUM(G40,G47)</f>
        <v>0</v>
      </c>
      <c r="H49" s="217" t="n">
        <f aca="false">SUM(H40,H47)</f>
        <v>0</v>
      </c>
      <c r="I49" s="217" t="n">
        <f aca="false">SUM(I40,I47)</f>
        <v>183.688472968581</v>
      </c>
      <c r="J49" s="217" t="n">
        <f aca="false">SUM(J40,J47)</f>
        <v>0</v>
      </c>
      <c r="K49" s="217" t="n">
        <f aca="false">SUM(K40,K47)</f>
        <v>1548.36590255529</v>
      </c>
      <c r="L49" s="217" t="n">
        <f aca="false">SUM(L40,L47)</f>
        <v>1296.15111420695</v>
      </c>
      <c r="M49" s="217" t="n">
        <f aca="false">SUM(M40,M47)</f>
        <v>3893.96854226832</v>
      </c>
      <c r="N49" s="217" t="n">
        <f aca="false">SUM(N40,N47)</f>
        <v>3657.23350490075</v>
      </c>
      <c r="O49" s="217" t="n">
        <f aca="false">SUM(O40,O47)</f>
        <v>487.998068174905</v>
      </c>
      <c r="P49" s="217" t="n">
        <f aca="false">SUM(P40,P47)</f>
        <v>770.514747962182</v>
      </c>
      <c r="Q49" s="217" t="n">
        <f aca="false">SUM(Q40,Q47)</f>
        <v>4244.80288274234</v>
      </c>
      <c r="R49" s="217" t="n">
        <f aca="false">SUM(R40,R47)</f>
        <v>3507.07875587812</v>
      </c>
      <c r="S49" s="217" t="n">
        <f aca="false">SUM(S40,S47)</f>
        <v>0</v>
      </c>
      <c r="T49" s="217" t="n">
        <f aca="false">SUM(T40,T47)</f>
        <v>2609.29086047928</v>
      </c>
      <c r="U49" s="217" t="n">
        <f aca="false">SUM(U40,U47)</f>
        <v>0</v>
      </c>
      <c r="V49" s="217" t="n">
        <f aca="false">SUM(V40,V47)</f>
        <v>0</v>
      </c>
      <c r="W49" s="217" t="n">
        <f aca="false">SUM(W40,W47)</f>
        <v>0</v>
      </c>
      <c r="X49" s="217" t="n">
        <f aca="false">SUM(X40,X47)</f>
        <v>0</v>
      </c>
      <c r="Y49" s="217" t="n">
        <f aca="false">SUM(Y40,Y47)</f>
        <v>0</v>
      </c>
      <c r="Z49" s="574" t="n">
        <f aca="false">SUM(D49:Y49)</f>
        <v>23181.8048644754</v>
      </c>
      <c r="AA49" s="215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</row>
    <row r="50" customFormat="false" ht="12.75" hidden="false" customHeight="false" outlineLevel="0" collapsed="false">
      <c r="A50" s="37" t="s">
        <v>1438</v>
      </c>
      <c r="B50" s="175" t="str">
        <f aca="false">IF(Assm!$L$35=1,"On","Off")</f>
        <v>On</v>
      </c>
      <c r="D50" s="1164" t="n">
        <f aca="false">IF(D$7&gt;Assm!$I$39,0,HLOOKUP(D$7,Sudam_Table,Assm!$M$41))*Assm!$L$35</f>
        <v>0.75</v>
      </c>
      <c r="E50" s="1164" t="n">
        <f aca="false">IF(E$7&gt;Assm!$I$39,0,HLOOKUP(E$7,Sudam_Table,Assm!$M$41))*Assm!$L$35</f>
        <v>0.75</v>
      </c>
      <c r="F50" s="1164" t="n">
        <f aca="false">IF(F$7&gt;Assm!$I$39,0,HLOOKUP(F$7,Sudam_Table,Assm!$M$41))*Assm!$L$35</f>
        <v>0.75</v>
      </c>
      <c r="G50" s="1164" t="n">
        <f aca="false">IF(G$7&gt;Assm!$I$39,0,HLOOKUP(G$7,Sudam_Table,Assm!$M$41))*Assm!$L$35</f>
        <v>0.75</v>
      </c>
      <c r="H50" s="1164" t="n">
        <f aca="false">IF(H$7&gt;Assm!$I$39,0,HLOOKUP(H$7,Sudam_Table,Assm!$M$41))*Assm!$L$35</f>
        <v>0.75</v>
      </c>
      <c r="I50" s="1164" t="n">
        <f aca="false">IF(I$7&gt;Assm!$I$39,0,HLOOKUP(I$7,Sudam_Table,Assm!$M$41))*Assm!$L$35</f>
        <v>0.75</v>
      </c>
      <c r="J50" s="1164" t="n">
        <f aca="false">IF(J$7&gt;Assm!$I$39,0,HLOOKUP(J$7,Sudam_Table,Assm!$M$41))*Assm!$L$35</f>
        <v>0.5</v>
      </c>
      <c r="K50" s="1164" t="n">
        <f aca="false">IF(K$7&gt;Assm!$I$39,0,HLOOKUP(K$7,Sudam_Table,Assm!$M$41))*Assm!$L$35</f>
        <v>0.5</v>
      </c>
      <c r="L50" s="1164" t="n">
        <f aca="false">IF(L$7&gt;Assm!$I$39,0,HLOOKUP(L$7,Sudam_Table,Assm!$M$41))*Assm!$L$35</f>
        <v>0.5</v>
      </c>
      <c r="M50" s="1164" t="n">
        <f aca="false">IF(M$7&gt;Assm!$I$39,0,HLOOKUP(M$7,Sudam_Table,Assm!$M$41))*Assm!$L$35</f>
        <v>0.5</v>
      </c>
      <c r="N50" s="1164" t="n">
        <f aca="false">IF(N$7&gt;Assm!$I$39,0,HLOOKUP(N$7,Sudam_Table,Assm!$M$41))*Assm!$L$35</f>
        <v>0.5</v>
      </c>
      <c r="O50" s="1164" t="n">
        <f aca="false">IF(O$7&gt;Assm!$I$39,0,HLOOKUP(O$7,Sudam_Table,Assm!$M$41))*Assm!$L$35</f>
        <v>0.25</v>
      </c>
      <c r="P50" s="1164" t="n">
        <f aca="false">IF(P$7&gt;Assm!$I$39,0,HLOOKUP(P$7,Sudam_Table,Assm!$M$41))*Assm!$L$35</f>
        <v>0.25</v>
      </c>
      <c r="Q50" s="1164" t="n">
        <f aca="false">IF(Q$7&gt;Assm!$I$39,0,HLOOKUP(Q$7,Sudam_Table,Assm!$M$41))*Assm!$L$35</f>
        <v>0.25</v>
      </c>
      <c r="R50" s="1164" t="n">
        <f aca="false">IF(R$7&gt;Assm!$I$39,0,HLOOKUP(R$7,Sudam_Table,Assm!$M$41))*Assm!$L$35</f>
        <v>0.25</v>
      </c>
      <c r="S50" s="1164" t="n">
        <f aca="false">IF(S$7&gt;Assm!$I$39,0,HLOOKUP(S$7,Sudam_Table,Assm!$M$41))*Assm!$L$35</f>
        <v>0.25</v>
      </c>
      <c r="T50" s="1164" t="n">
        <f aca="false">IF(T$7&gt;Assm!$I$39,0,HLOOKUP(T$7,Sudam_Table,Assm!$M$41))*Assm!$L$35</f>
        <v>0</v>
      </c>
      <c r="U50" s="1164" t="n">
        <f aca="false">IF(U$7&gt;Assm!$I$39,0,HLOOKUP(U$7,Sudam_Table,Assm!$M$41))*Assm!$L$35</f>
        <v>0</v>
      </c>
      <c r="V50" s="1164" t="n">
        <f aca="false">IF(V$7&gt;Assm!$I$39,0,HLOOKUP(V$7,Sudam_Table,Assm!$M$41))*Assm!$L$35</f>
        <v>0</v>
      </c>
      <c r="W50" s="1164" t="n">
        <f aca="false">IF(W$7&gt;Assm!$I$39,0,HLOOKUP(W$7,Sudam_Table,Assm!$M$41))*Assm!$L$35</f>
        <v>0</v>
      </c>
      <c r="X50" s="1164" t="n">
        <f aca="false">IF(X$7&gt;Assm!$I$39,0,HLOOKUP(X$7,Sudam_Table,Assm!$M$41))*Assm!$L$35</f>
        <v>0</v>
      </c>
      <c r="Y50" s="1164" t="n">
        <f aca="false">IF(Y$7&gt;Assm!$I$39,0,HLOOKUP(Y$7,Sudam_Table,Assm!$M$41))*Assm!$L$35</f>
        <v>0</v>
      </c>
      <c r="Z50" s="555"/>
    </row>
    <row r="51" customFormat="false" ht="13.5" hidden="false" customHeight="false" outlineLevel="0" collapsed="false">
      <c r="A51" s="70" t="s">
        <v>1439</v>
      </c>
      <c r="B51" s="71"/>
      <c r="C51" s="71"/>
      <c r="D51" s="286" t="n">
        <f aca="false">D49*D50</f>
        <v>0</v>
      </c>
      <c r="E51" s="286" t="n">
        <f aca="false">E49*E50</f>
        <v>116.94199047379</v>
      </c>
      <c r="F51" s="286" t="n">
        <f aca="false">F49*F50</f>
        <v>620.092018780245</v>
      </c>
      <c r="G51" s="286" t="n">
        <f aca="false">G49*G50</f>
        <v>0</v>
      </c>
      <c r="H51" s="286" t="n">
        <f aca="false">H49*H50</f>
        <v>0</v>
      </c>
      <c r="I51" s="286" t="n">
        <f aca="false">I49*I50</f>
        <v>137.766354726436</v>
      </c>
      <c r="J51" s="286" t="n">
        <f aca="false">J49*J50</f>
        <v>0</v>
      </c>
      <c r="K51" s="286" t="n">
        <f aca="false">K49*K50</f>
        <v>774.182951277645</v>
      </c>
      <c r="L51" s="286" t="n">
        <f aca="false">L49*L50</f>
        <v>648.075557103475</v>
      </c>
      <c r="M51" s="286" t="n">
        <f aca="false">M49*M50</f>
        <v>1946.98427113416</v>
      </c>
      <c r="N51" s="286" t="n">
        <f aca="false">N49*N50</f>
        <v>1828.61675245038</v>
      </c>
      <c r="O51" s="286" t="n">
        <f aca="false">O49*O50</f>
        <v>121.999517043726</v>
      </c>
      <c r="P51" s="286" t="n">
        <f aca="false">P49*P50</f>
        <v>192.628686990545</v>
      </c>
      <c r="Q51" s="286" t="n">
        <f aca="false">Q49*Q50</f>
        <v>1061.20072068559</v>
      </c>
      <c r="R51" s="286" t="n">
        <f aca="false">R49*R50</f>
        <v>876.76968896953</v>
      </c>
      <c r="S51" s="286" t="n">
        <f aca="false">S49*S50</f>
        <v>0</v>
      </c>
      <c r="T51" s="286" t="n">
        <f aca="false">T49*T50</f>
        <v>0</v>
      </c>
      <c r="U51" s="286" t="n">
        <f aca="false">U49*U50</f>
        <v>0</v>
      </c>
      <c r="V51" s="286" t="n">
        <f aca="false">V49*V50</f>
        <v>0</v>
      </c>
      <c r="W51" s="286" t="n">
        <f aca="false">W49*W50</f>
        <v>0</v>
      </c>
      <c r="X51" s="286" t="n">
        <f aca="false">X49*X50</f>
        <v>0</v>
      </c>
      <c r="Y51" s="286" t="n">
        <f aca="false">Y49*Y50</f>
        <v>0</v>
      </c>
      <c r="Z51" s="770" t="n">
        <f aca="false">SUM(D51:Y51)</f>
        <v>8325.25850963551</v>
      </c>
      <c r="AA51" s="215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</row>
    <row r="52" customFormat="false" ht="12.75" hidden="false" customHeight="false" outlineLevel="0" collapsed="false">
      <c r="A52" s="328" t="s">
        <v>1440</v>
      </c>
      <c r="Z52" s="553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</row>
    <row r="53" customFormat="false" ht="12.75" hidden="false" customHeight="false" outlineLevel="0" collapsed="false">
      <c r="Z53" s="553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</row>
    <row r="54" customFormat="false" ht="13.5" hidden="false" customHeight="false" outlineLevel="0" collapsed="false">
      <c r="A54" s="553"/>
      <c r="B54" s="215"/>
      <c r="C54" s="215"/>
      <c r="D54" s="553"/>
      <c r="E54" s="553"/>
      <c r="F54" s="553"/>
      <c r="G54" s="553"/>
      <c r="H54" s="553"/>
      <c r="I54" s="553"/>
      <c r="J54" s="553"/>
      <c r="K54" s="553"/>
      <c r="L54" s="553"/>
      <c r="M54" s="553"/>
      <c r="N54" s="553"/>
      <c r="O54" s="553"/>
      <c r="P54" s="553"/>
      <c r="Q54" s="553"/>
      <c r="R54" s="553"/>
      <c r="S54" s="553"/>
      <c r="T54" s="553"/>
      <c r="U54" s="553"/>
      <c r="V54" s="553"/>
      <c r="W54" s="553"/>
      <c r="X54" s="553"/>
      <c r="Y54" s="553"/>
      <c r="Z54" s="553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  <c r="BI54" s="215"/>
      <c r="BJ54" s="215"/>
      <c r="BK54" s="215"/>
      <c r="BL54" s="215"/>
      <c r="BM54" s="215"/>
      <c r="BN54" s="215"/>
      <c r="BO54" s="215"/>
      <c r="BP54" s="215"/>
      <c r="BQ54" s="215"/>
      <c r="BR54" s="215"/>
      <c r="BS54" s="215"/>
      <c r="BT54" s="215"/>
      <c r="BU54" s="215"/>
      <c r="BV54" s="215"/>
      <c r="BW54" s="215"/>
      <c r="BX54" s="215"/>
      <c r="BY54" s="215"/>
      <c r="BZ54" s="215"/>
      <c r="CA54" s="215"/>
      <c r="CB54" s="215"/>
      <c r="CC54" s="215"/>
      <c r="CD54" s="215"/>
      <c r="CE54" s="215"/>
      <c r="CF54" s="215"/>
      <c r="CG54" s="215"/>
      <c r="CH54" s="215"/>
      <c r="CI54" s="215"/>
      <c r="CJ54" s="215"/>
      <c r="CK54" s="215"/>
      <c r="CL54" s="215"/>
      <c r="CM54" s="215"/>
      <c r="CN54" s="215"/>
      <c r="CO54" s="215"/>
      <c r="CP54" s="215"/>
      <c r="CQ54" s="215"/>
      <c r="CR54" s="215"/>
      <c r="CS54" s="215"/>
      <c r="CT54" s="215"/>
      <c r="CU54" s="215"/>
      <c r="CV54" s="215"/>
      <c r="CW54" s="215"/>
      <c r="CX54" s="215"/>
      <c r="CY54" s="215"/>
      <c r="CZ54" s="215"/>
      <c r="DA54" s="215"/>
      <c r="DB54" s="215"/>
      <c r="DC54" s="215"/>
      <c r="DD54" s="215"/>
      <c r="DE54" s="215"/>
      <c r="DF54" s="215"/>
      <c r="DG54" s="215"/>
      <c r="DH54" s="215"/>
      <c r="DI54" s="215"/>
      <c r="DJ54" s="215"/>
      <c r="DK54" s="215"/>
      <c r="DL54" s="215"/>
      <c r="DM54" s="215"/>
      <c r="DN54" s="215"/>
      <c r="DO54" s="215"/>
      <c r="DP54" s="215"/>
      <c r="DQ54" s="215"/>
      <c r="DR54" s="215"/>
      <c r="DS54" s="215"/>
      <c r="DT54" s="215"/>
      <c r="DU54" s="215"/>
      <c r="DV54" s="215"/>
      <c r="DW54" s="215"/>
      <c r="DX54" s="215"/>
      <c r="DY54" s="215"/>
      <c r="DZ54" s="215"/>
      <c r="EA54" s="215"/>
      <c r="EB54" s="215"/>
      <c r="EC54" s="215"/>
      <c r="ED54" s="215"/>
      <c r="EE54" s="215"/>
      <c r="EF54" s="215"/>
      <c r="EG54" s="215"/>
      <c r="EH54" s="215"/>
      <c r="EI54" s="215"/>
      <c r="EJ54" s="215"/>
      <c r="EK54" s="215"/>
      <c r="EL54" s="215"/>
      <c r="EM54" s="215"/>
      <c r="EN54" s="215"/>
      <c r="EO54" s="215"/>
      <c r="EP54" s="215"/>
      <c r="EQ54" s="215"/>
      <c r="ER54" s="215"/>
      <c r="ES54" s="215"/>
      <c r="ET54" s="215"/>
      <c r="EU54" s="215"/>
      <c r="EV54" s="215"/>
      <c r="EW54" s="215"/>
      <c r="EX54" s="215"/>
      <c r="EY54" s="215"/>
      <c r="EZ54" s="215"/>
      <c r="FA54" s="215"/>
      <c r="FB54" s="215"/>
      <c r="FC54" s="215"/>
      <c r="FD54" s="215"/>
      <c r="FE54" s="215"/>
      <c r="FF54" s="215"/>
      <c r="FG54" s="215"/>
      <c r="FH54" s="215"/>
      <c r="FI54" s="215"/>
      <c r="FJ54" s="215"/>
      <c r="FK54" s="215"/>
      <c r="FL54" s="215"/>
      <c r="FM54" s="215"/>
      <c r="FN54" s="215"/>
      <c r="FO54" s="215"/>
      <c r="FP54" s="215"/>
      <c r="FQ54" s="215"/>
      <c r="FR54" s="215"/>
      <c r="FS54" s="215"/>
      <c r="FT54" s="215"/>
      <c r="FU54" s="215"/>
      <c r="FV54" s="215"/>
      <c r="FW54" s="215"/>
      <c r="FX54" s="215"/>
      <c r="FY54" s="215"/>
      <c r="FZ54" s="215"/>
      <c r="GA54" s="215"/>
      <c r="GB54" s="215"/>
      <c r="GC54" s="215"/>
      <c r="GD54" s="215"/>
      <c r="GE54" s="215"/>
      <c r="GF54" s="215"/>
      <c r="GG54" s="215"/>
      <c r="GH54" s="215"/>
      <c r="GI54" s="215"/>
      <c r="GJ54" s="215"/>
      <c r="GK54" s="215"/>
      <c r="GL54" s="215"/>
      <c r="GM54" s="215"/>
      <c r="GN54" s="215"/>
      <c r="GO54" s="215"/>
      <c r="GP54" s="215"/>
      <c r="GQ54" s="215"/>
      <c r="GR54" s="215"/>
      <c r="GS54" s="215"/>
      <c r="GT54" s="215"/>
      <c r="GU54" s="215"/>
      <c r="GV54" s="215"/>
      <c r="GW54" s="215"/>
      <c r="GX54" s="215"/>
      <c r="GY54" s="215"/>
      <c r="GZ54" s="215"/>
      <c r="HA54" s="215"/>
      <c r="HB54" s="215"/>
      <c r="HC54" s="215"/>
      <c r="HD54" s="215"/>
      <c r="HE54" s="215"/>
      <c r="HF54" s="215"/>
      <c r="HG54" s="215"/>
      <c r="HH54" s="215"/>
      <c r="HI54" s="215"/>
      <c r="HJ54" s="215"/>
      <c r="HK54" s="215"/>
      <c r="HL54" s="215"/>
      <c r="HM54" s="215"/>
      <c r="HN54" s="215"/>
      <c r="HO54" s="215"/>
      <c r="HP54" s="215"/>
      <c r="HQ54" s="215"/>
      <c r="HR54" s="215"/>
      <c r="HS54" s="215"/>
      <c r="HT54" s="215"/>
      <c r="HU54" s="215"/>
      <c r="HV54" s="215"/>
      <c r="HW54" s="215"/>
      <c r="HX54" s="215"/>
      <c r="HY54" s="215"/>
      <c r="HZ54" s="215"/>
      <c r="IA54" s="215"/>
      <c r="IB54" s="215"/>
      <c r="IC54" s="215"/>
      <c r="ID54" s="215"/>
      <c r="IE54" s="215"/>
      <c r="IF54" s="215"/>
      <c r="IG54" s="215"/>
      <c r="IH54" s="215"/>
      <c r="II54" s="215"/>
      <c r="IJ54" s="215"/>
      <c r="IK54" s="215"/>
      <c r="IL54" s="215"/>
      <c r="IM54" s="215"/>
      <c r="IN54" s="215"/>
      <c r="IO54" s="215"/>
      <c r="IP54" s="215"/>
      <c r="IQ54" s="215"/>
      <c r="IR54" s="215"/>
      <c r="IS54" s="215"/>
      <c r="IT54" s="215"/>
      <c r="IU54" s="215"/>
      <c r="IV54" s="215"/>
      <c r="IW54" s="215"/>
    </row>
    <row r="55" customFormat="false" ht="12.75" hidden="false" customHeight="false" outlineLevel="0" collapsed="false">
      <c r="A55" s="1165" t="s">
        <v>1441</v>
      </c>
      <c r="B55" s="275"/>
      <c r="C55" s="1166"/>
      <c r="D55" s="1167"/>
      <c r="E55" s="1167"/>
      <c r="F55" s="1167"/>
      <c r="G55" s="1167"/>
      <c r="H55" s="1167"/>
      <c r="I55" s="1167"/>
      <c r="J55" s="1167"/>
      <c r="K55" s="1167"/>
      <c r="L55" s="1167"/>
      <c r="M55" s="1167"/>
      <c r="N55" s="1167"/>
      <c r="O55" s="1167"/>
      <c r="P55" s="1167"/>
      <c r="Q55" s="1167"/>
      <c r="R55" s="1167"/>
      <c r="S55" s="1167"/>
      <c r="T55" s="1167"/>
      <c r="U55" s="1167"/>
      <c r="V55" s="1167"/>
      <c r="W55" s="1167"/>
      <c r="X55" s="1167"/>
      <c r="Y55" s="1167"/>
      <c r="Z55" s="116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  <c r="IW55" s="38"/>
    </row>
    <row r="56" customFormat="false" ht="12.75" hidden="false" customHeight="false" outlineLevel="0" collapsed="false">
      <c r="A56" s="37" t="s">
        <v>1442</v>
      </c>
      <c r="B56" s="77"/>
      <c r="C56" s="1169"/>
      <c r="D56" s="217" t="n">
        <f aca="false">IF(D$6&gt;Term+1,0,Tot_Equity)</f>
        <v>92793.5702049191</v>
      </c>
      <c r="E56" s="217" t="n">
        <f aca="false">IF(E$6&gt;Term+1,0,Tot_Equity)</f>
        <v>92793.5702049191</v>
      </c>
      <c r="F56" s="217" t="n">
        <f aca="false">IF(F$6&gt;Term+1,0,Tot_Equity)</f>
        <v>92793.5702049191</v>
      </c>
      <c r="G56" s="217" t="n">
        <f aca="false">IF(G$6&gt;Term+1,0,Tot_Equity)</f>
        <v>92793.5702049191</v>
      </c>
      <c r="H56" s="217" t="n">
        <f aca="false">IF(H$6&gt;Term+1,0,Tot_Equity)</f>
        <v>92793.5702049191</v>
      </c>
      <c r="I56" s="217" t="n">
        <f aca="false">IF(I$6&gt;Term+1,0,Tot_Equity)</f>
        <v>92793.5702049191</v>
      </c>
      <c r="J56" s="217" t="n">
        <f aca="false">IF(J$6&gt;Term+1,0,Tot_Equity)</f>
        <v>92793.5702049191</v>
      </c>
      <c r="K56" s="217" t="n">
        <f aca="false">IF(K$6&gt;Term+1,0,Tot_Equity)</f>
        <v>92793.5702049191</v>
      </c>
      <c r="L56" s="217" t="n">
        <f aca="false">IF(L$6&gt;Term+1,0,Tot_Equity)</f>
        <v>92793.5702049191</v>
      </c>
      <c r="M56" s="217" t="n">
        <f aca="false">IF(M$6&gt;Term+1,0,Tot_Equity)</f>
        <v>92793.5702049191</v>
      </c>
      <c r="N56" s="217" t="n">
        <f aca="false">IF(N$6&gt;Term+1,0,Tot_Equity)</f>
        <v>92793.5702049191</v>
      </c>
      <c r="O56" s="217" t="n">
        <f aca="false">IF(O$6&gt;Term+1,0,Tot_Equity)</f>
        <v>92793.5702049191</v>
      </c>
      <c r="P56" s="217" t="n">
        <f aca="false">IF(P$6&gt;Term+1,0,Tot_Equity)</f>
        <v>92793.5702049191</v>
      </c>
      <c r="Q56" s="217" t="n">
        <f aca="false">IF(Q$6&gt;Term+1,0,Tot_Equity)</f>
        <v>92793.5702049191</v>
      </c>
      <c r="R56" s="217" t="n">
        <f aca="false">IF(R$6&gt;Term+1,0,Tot_Equity)</f>
        <v>92793.5702049191</v>
      </c>
      <c r="S56" s="217" t="n">
        <f aca="false">IF(S$6&gt;Term+1,0,Tot_Equity)</f>
        <v>92793.5702049191</v>
      </c>
      <c r="T56" s="217" t="n">
        <f aca="false">IF(T$6&gt;Term+1,0,Tot_Equity)</f>
        <v>92793.5702049191</v>
      </c>
      <c r="U56" s="217" t="n">
        <f aca="false">IF(U$6&gt;Term+1,0,Tot_Equity)</f>
        <v>92793.5702049191</v>
      </c>
      <c r="V56" s="217" t="n">
        <f aca="false">IF(V$6&gt;Term+1,0,Tot_Equity)</f>
        <v>92793.5702049191</v>
      </c>
      <c r="W56" s="217" t="n">
        <f aca="false">IF(W$6&gt;Term+1,0,Tot_Equity)</f>
        <v>92793.5702049191</v>
      </c>
      <c r="X56" s="217" t="n">
        <f aca="false">IF(X$6&gt;Term+1,0,Tot_Equity)</f>
        <v>92793.5702049191</v>
      </c>
      <c r="Y56" s="217" t="n">
        <f aca="false">IF(Y$6&gt;Term+1,0,Tot_Equity)</f>
        <v>0</v>
      </c>
      <c r="Z56" s="561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</row>
    <row r="57" customFormat="false" ht="12.75" hidden="false" customHeight="false" outlineLevel="0" collapsed="false">
      <c r="A57" s="37" t="s">
        <v>1443</v>
      </c>
      <c r="B57" s="77"/>
      <c r="C57" s="1169"/>
      <c r="D57" s="772" t="n">
        <f aca="false">Assm!$I$82</f>
        <v>0.1</v>
      </c>
      <c r="E57" s="772" t="n">
        <f aca="false">Assm!$I$82</f>
        <v>0.1</v>
      </c>
      <c r="F57" s="772" t="n">
        <f aca="false">Assm!$I$82</f>
        <v>0.1</v>
      </c>
      <c r="G57" s="772" t="n">
        <f aca="false">Assm!$I$82</f>
        <v>0.1</v>
      </c>
      <c r="H57" s="772" t="n">
        <f aca="false">Assm!$I$82</f>
        <v>0.1</v>
      </c>
      <c r="I57" s="772" t="n">
        <f aca="false">Assm!$I$82</f>
        <v>0.1</v>
      </c>
      <c r="J57" s="772" t="n">
        <f aca="false">Assm!$I$82</f>
        <v>0.1</v>
      </c>
      <c r="K57" s="772" t="n">
        <f aca="false">Assm!$I$82</f>
        <v>0.1</v>
      </c>
      <c r="L57" s="772" t="n">
        <f aca="false">Assm!$I$82</f>
        <v>0.1</v>
      </c>
      <c r="M57" s="772" t="n">
        <f aca="false">Assm!$I$82</f>
        <v>0.1</v>
      </c>
      <c r="N57" s="772" t="n">
        <f aca="false">Assm!$I$82</f>
        <v>0.1</v>
      </c>
      <c r="O57" s="772" t="n">
        <f aca="false">Assm!$I$82</f>
        <v>0.1</v>
      </c>
      <c r="P57" s="772" t="n">
        <f aca="false">Assm!$I$82</f>
        <v>0.1</v>
      </c>
      <c r="Q57" s="772" t="n">
        <f aca="false">Assm!$I$82</f>
        <v>0.1</v>
      </c>
      <c r="R57" s="772" t="n">
        <f aca="false">Assm!$I$82</f>
        <v>0.1</v>
      </c>
      <c r="S57" s="772" t="n">
        <f aca="false">Assm!$I$82</f>
        <v>0.1</v>
      </c>
      <c r="T57" s="772" t="n">
        <f aca="false">Assm!$I$82</f>
        <v>0.1</v>
      </c>
      <c r="U57" s="772" t="n">
        <f aca="false">Assm!$I$82</f>
        <v>0.1</v>
      </c>
      <c r="V57" s="772" t="n">
        <f aca="false">Assm!$I$82</f>
        <v>0.1</v>
      </c>
      <c r="W57" s="772" t="n">
        <f aca="false">Assm!$I$82</f>
        <v>0.1</v>
      </c>
      <c r="X57" s="772" t="n">
        <f aca="false">Assm!$I$82</f>
        <v>0.1</v>
      </c>
      <c r="Y57" s="772" t="n">
        <f aca="false">Assm!$I$82</f>
        <v>0.1</v>
      </c>
      <c r="Z57" s="561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</row>
    <row r="58" customFormat="false" ht="12.75" hidden="false" customHeight="false" outlineLevel="0" collapsed="false">
      <c r="A58" s="37" t="s">
        <v>1444</v>
      </c>
      <c r="B58" s="77"/>
      <c r="C58" s="1170" t="s">
        <v>1445</v>
      </c>
      <c r="D58" s="217" t="n">
        <f aca="false">D57*D56</f>
        <v>9279.35702049191</v>
      </c>
      <c r="E58" s="217" t="n">
        <f aca="false">E57*E56</f>
        <v>9279.35702049191</v>
      </c>
      <c r="F58" s="217" t="n">
        <f aca="false">F57*F56</f>
        <v>9279.35702049191</v>
      </c>
      <c r="G58" s="217" t="n">
        <f aca="false">G57*G56</f>
        <v>9279.35702049191</v>
      </c>
      <c r="H58" s="217" t="n">
        <f aca="false">H57*H56</f>
        <v>9279.35702049191</v>
      </c>
      <c r="I58" s="217" t="n">
        <f aca="false">I57*I56</f>
        <v>9279.35702049191</v>
      </c>
      <c r="J58" s="217" t="n">
        <f aca="false">J57*J56</f>
        <v>9279.35702049191</v>
      </c>
      <c r="K58" s="217" t="n">
        <f aca="false">K57*K56</f>
        <v>9279.35702049191</v>
      </c>
      <c r="L58" s="217" t="n">
        <f aca="false">L57*L56</f>
        <v>9279.35702049191</v>
      </c>
      <c r="M58" s="217" t="n">
        <f aca="false">M57*M56</f>
        <v>9279.35702049191</v>
      </c>
      <c r="N58" s="217" t="n">
        <f aca="false">N57*N56</f>
        <v>9279.35702049191</v>
      </c>
      <c r="O58" s="217" t="n">
        <f aca="false">O57*O56</f>
        <v>9279.35702049191</v>
      </c>
      <c r="P58" s="217" t="n">
        <f aca="false">P57*P56</f>
        <v>9279.35702049191</v>
      </c>
      <c r="Q58" s="217" t="n">
        <f aca="false">Q57*Q56</f>
        <v>9279.35702049191</v>
      </c>
      <c r="R58" s="217" t="n">
        <f aca="false">R57*R56</f>
        <v>9279.35702049191</v>
      </c>
      <c r="S58" s="217" t="n">
        <f aca="false">S57*S56</f>
        <v>9279.35702049191</v>
      </c>
      <c r="T58" s="217" t="n">
        <f aca="false">T57*T56</f>
        <v>9279.35702049191</v>
      </c>
      <c r="U58" s="217" t="n">
        <f aca="false">U57*U56</f>
        <v>9279.35702049191</v>
      </c>
      <c r="V58" s="217" t="n">
        <f aca="false">V57*V56</f>
        <v>9279.35702049191</v>
      </c>
      <c r="W58" s="217" t="n">
        <f aca="false">W57*W56</f>
        <v>9279.35702049191</v>
      </c>
      <c r="X58" s="217" t="n">
        <f aca="false">X57*X56</f>
        <v>9279.35702049191</v>
      </c>
      <c r="Y58" s="217" t="n">
        <f aca="false">Y57*Y56</f>
        <v>0</v>
      </c>
      <c r="Z58" s="574" t="n">
        <f aca="false">SUM(D58:Y58)</f>
        <v>194866.49743033</v>
      </c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</row>
    <row r="59" customFormat="false" ht="12.75" hidden="false" customHeight="false" outlineLevel="0" collapsed="false">
      <c r="A59" s="823"/>
      <c r="B59" s="315"/>
      <c r="C59" s="215"/>
      <c r="D59" s="553"/>
      <c r="E59" s="553"/>
      <c r="F59" s="553"/>
      <c r="G59" s="553"/>
      <c r="H59" s="553"/>
      <c r="I59" s="553"/>
      <c r="J59" s="553"/>
      <c r="K59" s="553"/>
      <c r="L59" s="553"/>
      <c r="M59" s="553"/>
      <c r="N59" s="553"/>
      <c r="O59" s="553"/>
      <c r="P59" s="553"/>
      <c r="Q59" s="553"/>
      <c r="R59" s="553"/>
      <c r="S59" s="553"/>
      <c r="T59" s="553"/>
      <c r="U59" s="553"/>
      <c r="V59" s="553"/>
      <c r="W59" s="553"/>
      <c r="X59" s="553"/>
      <c r="Y59" s="553"/>
      <c r="Z59" s="550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  <c r="BI59" s="215"/>
      <c r="BJ59" s="215"/>
      <c r="BK59" s="215"/>
      <c r="BL59" s="215"/>
      <c r="BM59" s="215"/>
      <c r="BN59" s="215"/>
      <c r="BO59" s="215"/>
      <c r="BP59" s="215"/>
      <c r="BQ59" s="215"/>
      <c r="BR59" s="215"/>
      <c r="BS59" s="215"/>
      <c r="BT59" s="215"/>
      <c r="BU59" s="215"/>
      <c r="BV59" s="215"/>
      <c r="BW59" s="215"/>
      <c r="BX59" s="215"/>
      <c r="BY59" s="215"/>
      <c r="BZ59" s="215"/>
      <c r="CA59" s="215"/>
      <c r="CB59" s="215"/>
      <c r="CC59" s="215"/>
      <c r="CD59" s="215"/>
      <c r="CE59" s="215"/>
      <c r="CF59" s="215"/>
      <c r="CG59" s="215"/>
      <c r="CH59" s="215"/>
      <c r="CI59" s="215"/>
      <c r="CJ59" s="215"/>
      <c r="CK59" s="215"/>
      <c r="CL59" s="215"/>
      <c r="CM59" s="215"/>
      <c r="CN59" s="215"/>
      <c r="CO59" s="215"/>
      <c r="CP59" s="215"/>
      <c r="CQ59" s="215"/>
      <c r="CR59" s="215"/>
      <c r="CS59" s="215"/>
      <c r="CT59" s="215"/>
      <c r="CU59" s="215"/>
      <c r="CV59" s="215"/>
      <c r="CW59" s="215"/>
      <c r="CX59" s="215"/>
      <c r="CY59" s="215"/>
      <c r="CZ59" s="215"/>
      <c r="DA59" s="215"/>
      <c r="DB59" s="215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  <c r="EY59" s="215"/>
      <c r="EZ59" s="215"/>
      <c r="FA59" s="215"/>
      <c r="FB59" s="215"/>
      <c r="FC59" s="215"/>
      <c r="FD59" s="215"/>
      <c r="FE59" s="215"/>
      <c r="FF59" s="215"/>
      <c r="FG59" s="215"/>
      <c r="FH59" s="215"/>
      <c r="FI59" s="215"/>
      <c r="FJ59" s="215"/>
      <c r="FK59" s="215"/>
      <c r="FL59" s="215"/>
      <c r="FM59" s="215"/>
      <c r="FN59" s="215"/>
      <c r="FO59" s="215"/>
      <c r="FP59" s="215"/>
      <c r="FQ59" s="215"/>
      <c r="FR59" s="215"/>
      <c r="FS59" s="215"/>
      <c r="FT59" s="215"/>
      <c r="FU59" s="215"/>
      <c r="FV59" s="215"/>
      <c r="FW59" s="215"/>
      <c r="FX59" s="215"/>
      <c r="FY59" s="215"/>
      <c r="FZ59" s="215"/>
      <c r="GA59" s="215"/>
      <c r="GB59" s="215"/>
      <c r="GC59" s="215"/>
      <c r="GD59" s="215"/>
      <c r="GE59" s="215"/>
      <c r="GF59" s="215"/>
      <c r="GG59" s="215"/>
      <c r="GH59" s="215"/>
      <c r="GI59" s="215"/>
      <c r="GJ59" s="215"/>
      <c r="GK59" s="215"/>
      <c r="GL59" s="215"/>
      <c r="GM59" s="215"/>
      <c r="GN59" s="215"/>
      <c r="GO59" s="215"/>
      <c r="GP59" s="215"/>
      <c r="GQ59" s="215"/>
      <c r="GR59" s="215"/>
      <c r="GS59" s="215"/>
      <c r="GT59" s="215"/>
      <c r="GU59" s="215"/>
      <c r="GV59" s="215"/>
      <c r="GW59" s="215"/>
      <c r="GX59" s="215"/>
      <c r="GY59" s="215"/>
      <c r="GZ59" s="215"/>
      <c r="HA59" s="215"/>
      <c r="HB59" s="215"/>
      <c r="HC59" s="215"/>
      <c r="HD59" s="215"/>
      <c r="HE59" s="215"/>
      <c r="HF59" s="215"/>
      <c r="HG59" s="215"/>
      <c r="HH59" s="215"/>
      <c r="HI59" s="215"/>
      <c r="HJ59" s="215"/>
      <c r="HK59" s="215"/>
      <c r="HL59" s="215"/>
      <c r="HM59" s="215"/>
      <c r="HN59" s="215"/>
      <c r="HO59" s="215"/>
      <c r="HP59" s="215"/>
      <c r="HQ59" s="215"/>
      <c r="HR59" s="215"/>
      <c r="HS59" s="215"/>
      <c r="HT59" s="215"/>
      <c r="HU59" s="215"/>
      <c r="HV59" s="215"/>
      <c r="HW59" s="215"/>
      <c r="HX59" s="215"/>
      <c r="HY59" s="215"/>
      <c r="HZ59" s="215"/>
      <c r="IA59" s="215"/>
      <c r="IB59" s="215"/>
      <c r="IC59" s="215"/>
      <c r="ID59" s="215"/>
      <c r="IE59" s="215"/>
      <c r="IF59" s="215"/>
      <c r="IG59" s="215"/>
      <c r="IH59" s="215"/>
      <c r="II59" s="215"/>
      <c r="IJ59" s="215"/>
      <c r="IK59" s="215"/>
      <c r="IL59" s="215"/>
      <c r="IM59" s="215"/>
      <c r="IN59" s="215"/>
      <c r="IO59" s="215"/>
      <c r="IP59" s="215"/>
      <c r="IQ59" s="215"/>
      <c r="IR59" s="215"/>
      <c r="IS59" s="215"/>
      <c r="IT59" s="215"/>
      <c r="IU59" s="215"/>
      <c r="IV59" s="215"/>
      <c r="IW59" s="215"/>
    </row>
    <row r="60" customFormat="false" ht="12.75" hidden="false" customHeight="false" outlineLevel="0" collapsed="false">
      <c r="A60" s="37" t="s">
        <v>1446</v>
      </c>
      <c r="B60" s="77"/>
      <c r="C60" s="1169"/>
      <c r="D60" s="217" t="n">
        <f aca="false">CF!D48</f>
        <v>0</v>
      </c>
      <c r="E60" s="217" t="n">
        <f aca="false">CF!E48</f>
        <v>-6578.06094793574</v>
      </c>
      <c r="F60" s="217" t="n">
        <f aca="false">CF!F48</f>
        <v>-3771.13287219427</v>
      </c>
      <c r="G60" s="217" t="n">
        <f aca="false">CF!G48</f>
        <v>-3011.51676290401</v>
      </c>
      <c r="H60" s="217" t="n">
        <f aca="false">CF!H48</f>
        <v>-1651.67170332394</v>
      </c>
      <c r="I60" s="217" t="n">
        <f aca="false">CF!I48</f>
        <v>4085.78367338871</v>
      </c>
      <c r="J60" s="217" t="n">
        <f aca="false">CF!J48</f>
        <v>-7967.56467306774</v>
      </c>
      <c r="K60" s="217" t="n">
        <f aca="false">CF!K48</f>
        <v>15731.143157368</v>
      </c>
      <c r="L60" s="217" t="n">
        <f aca="false">CF!L48</f>
        <v>17834.6838319935</v>
      </c>
      <c r="M60" s="217" t="n">
        <f aca="false">CF!M48</f>
        <v>17312.0746866811</v>
      </c>
      <c r="N60" s="217" t="n">
        <f aca="false">CF!N48</f>
        <v>15435.4534631707</v>
      </c>
      <c r="O60" s="217" t="n">
        <f aca="false">CF!O48</f>
        <v>16139.9243087025</v>
      </c>
      <c r="P60" s="217" t="n">
        <f aca="false">CF!P48</f>
        <v>18570.0469192663</v>
      </c>
      <c r="Q60" s="217" t="n">
        <f aca="false">CF!Q48</f>
        <v>19374.8979376441</v>
      </c>
      <c r="R60" s="217" t="n">
        <f aca="false">CF!R48</f>
        <v>14309.3235418567</v>
      </c>
      <c r="S60" s="217" t="n">
        <f aca="false">CF!S48</f>
        <v>18850.0111891977</v>
      </c>
      <c r="T60" s="217" t="n">
        <f aca="false">CF!T48</f>
        <v>7169.86218746473</v>
      </c>
      <c r="U60" s="217" t="n">
        <f aca="false">CF!U48</f>
        <v>-7495.22851386404</v>
      </c>
      <c r="V60" s="217" t="n">
        <f aca="false">CF!V48</f>
        <v>-11713.5677056956</v>
      </c>
      <c r="W60" s="217" t="n">
        <f aca="false">CF!W48</f>
        <v>-13109.3045310181</v>
      </c>
      <c r="X60" s="217" t="n">
        <f aca="false">CF!X48</f>
        <v>-11574.6128769193</v>
      </c>
      <c r="Y60" s="217" t="n">
        <f aca="false">CF!Y48</f>
        <v>-3103.47488561782</v>
      </c>
      <c r="Z60" s="574" t="n">
        <f aca="false">SUM(D60:Y60)</f>
        <v>94837.0694241936</v>
      </c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</row>
    <row r="61" customFormat="false" ht="12.75" hidden="false" customHeight="false" outlineLevel="0" collapsed="false">
      <c r="A61" s="37" t="s">
        <v>1447</v>
      </c>
      <c r="B61" s="77"/>
      <c r="C61" s="1169"/>
      <c r="D61" s="772" t="n">
        <f aca="false">Assm!$I$81</f>
        <v>0.5</v>
      </c>
      <c r="E61" s="772" t="n">
        <f aca="false">Assm!$I$81</f>
        <v>0.5</v>
      </c>
      <c r="F61" s="772" t="n">
        <f aca="false">Assm!$I$81</f>
        <v>0.5</v>
      </c>
      <c r="G61" s="772" t="n">
        <f aca="false">Assm!$I$81</f>
        <v>0.5</v>
      </c>
      <c r="H61" s="772" t="n">
        <f aca="false">Assm!$I$81</f>
        <v>0.5</v>
      </c>
      <c r="I61" s="772" t="n">
        <f aca="false">Assm!$I$81</f>
        <v>0.5</v>
      </c>
      <c r="J61" s="772" t="n">
        <f aca="false">Assm!$I$81</f>
        <v>0.5</v>
      </c>
      <c r="K61" s="772" t="n">
        <f aca="false">Assm!$I$81</f>
        <v>0.5</v>
      </c>
      <c r="L61" s="772" t="n">
        <f aca="false">Assm!$I$81</f>
        <v>0.5</v>
      </c>
      <c r="M61" s="772" t="n">
        <f aca="false">Assm!$I$81</f>
        <v>0.5</v>
      </c>
      <c r="N61" s="772" t="n">
        <f aca="false">Assm!$I$81</f>
        <v>0.5</v>
      </c>
      <c r="O61" s="772" t="n">
        <f aca="false">Assm!$I$81</f>
        <v>0.5</v>
      </c>
      <c r="P61" s="772" t="n">
        <f aca="false">Assm!$I$81</f>
        <v>0.5</v>
      </c>
      <c r="Q61" s="772" t="n">
        <f aca="false">Assm!$I$81</f>
        <v>0.5</v>
      </c>
      <c r="R61" s="772" t="n">
        <f aca="false">Assm!$I$81</f>
        <v>0.5</v>
      </c>
      <c r="S61" s="772" t="n">
        <f aca="false">Assm!$I$81</f>
        <v>0.5</v>
      </c>
      <c r="T61" s="772" t="n">
        <f aca="false">Assm!$I$81</f>
        <v>0.5</v>
      </c>
      <c r="U61" s="772" t="n">
        <f aca="false">Assm!$I$81</f>
        <v>0.5</v>
      </c>
      <c r="V61" s="772" t="n">
        <f aca="false">Assm!$I$81</f>
        <v>0.5</v>
      </c>
      <c r="W61" s="772" t="n">
        <f aca="false">Assm!$I$81</f>
        <v>0.5</v>
      </c>
      <c r="X61" s="772" t="n">
        <f aca="false">Assm!$I$81</f>
        <v>0.5</v>
      </c>
      <c r="Y61" s="772" t="n">
        <f aca="false">Assm!$I$81</f>
        <v>0.5</v>
      </c>
      <c r="Z61" s="557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</row>
    <row r="62" customFormat="false" ht="12.75" hidden="false" customHeight="false" outlineLevel="0" collapsed="false">
      <c r="A62" s="37" t="s">
        <v>1448</v>
      </c>
      <c r="B62" s="77"/>
      <c r="C62" s="1170" t="s">
        <v>1449</v>
      </c>
      <c r="D62" s="217" t="n">
        <f aca="false">D61*D60</f>
        <v>0</v>
      </c>
      <c r="E62" s="217" t="n">
        <f aca="false">E61*E60</f>
        <v>-3289.03047396787</v>
      </c>
      <c r="F62" s="217" t="n">
        <f aca="false">F61*F60</f>
        <v>-1885.56643609714</v>
      </c>
      <c r="G62" s="217" t="n">
        <f aca="false">G61*G60</f>
        <v>-1505.75838145201</v>
      </c>
      <c r="H62" s="217" t="n">
        <f aca="false">H61*H60</f>
        <v>-825.83585166197</v>
      </c>
      <c r="I62" s="217" t="n">
        <f aca="false">I61*I60</f>
        <v>2042.89183669435</v>
      </c>
      <c r="J62" s="217" t="n">
        <f aca="false">J61*J60</f>
        <v>-3983.78233653387</v>
      </c>
      <c r="K62" s="217" t="n">
        <f aca="false">K61*K60</f>
        <v>7865.571578684</v>
      </c>
      <c r="L62" s="217" t="n">
        <f aca="false">L61*L60</f>
        <v>8917.34191599675</v>
      </c>
      <c r="M62" s="217" t="n">
        <f aca="false">M61*M60</f>
        <v>8656.03734334056</v>
      </c>
      <c r="N62" s="217" t="n">
        <f aca="false">N61*N60</f>
        <v>7717.72673158535</v>
      </c>
      <c r="O62" s="217" t="n">
        <f aca="false">O61*O60</f>
        <v>8069.96215435123</v>
      </c>
      <c r="P62" s="217" t="n">
        <f aca="false">P61*P60</f>
        <v>9285.02345963315</v>
      </c>
      <c r="Q62" s="217" t="n">
        <f aca="false">Q61*Q60</f>
        <v>9687.44896882204</v>
      </c>
      <c r="R62" s="217" t="n">
        <f aca="false">R61*R60</f>
        <v>7154.66177092837</v>
      </c>
      <c r="S62" s="217" t="n">
        <f aca="false">S61*S60</f>
        <v>9425.00559459887</v>
      </c>
      <c r="T62" s="217" t="n">
        <f aca="false">T61*T60</f>
        <v>3584.93109373236</v>
      </c>
      <c r="U62" s="217" t="n">
        <f aca="false">U61*U60</f>
        <v>-3747.61425693202</v>
      </c>
      <c r="V62" s="217" t="n">
        <f aca="false">V61*V60</f>
        <v>-5856.78385284781</v>
      </c>
      <c r="W62" s="217" t="n">
        <f aca="false">W61*W60</f>
        <v>-6554.65226550903</v>
      </c>
      <c r="X62" s="217" t="n">
        <f aca="false">X61*X60</f>
        <v>-5787.30643845963</v>
      </c>
      <c r="Y62" s="217" t="n">
        <f aca="false">Y61*Y60</f>
        <v>-1551.73744280891</v>
      </c>
      <c r="Z62" s="574" t="n">
        <f aca="false">SUM(D62:Y62)</f>
        <v>47418.5347120968</v>
      </c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</row>
    <row r="63" customFormat="false" ht="12.75" hidden="false" customHeight="false" outlineLevel="0" collapsed="false">
      <c r="A63" s="823"/>
      <c r="B63" s="315"/>
      <c r="C63" s="215"/>
      <c r="D63" s="553"/>
      <c r="E63" s="553"/>
      <c r="F63" s="553"/>
      <c r="G63" s="553"/>
      <c r="H63" s="553"/>
      <c r="I63" s="553"/>
      <c r="J63" s="553"/>
      <c r="K63" s="553"/>
      <c r="L63" s="553"/>
      <c r="M63" s="553"/>
      <c r="N63" s="553"/>
      <c r="O63" s="553"/>
      <c r="P63" s="553"/>
      <c r="Q63" s="553"/>
      <c r="R63" s="553"/>
      <c r="S63" s="553"/>
      <c r="T63" s="553"/>
      <c r="U63" s="553"/>
      <c r="V63" s="553"/>
      <c r="W63" s="553"/>
      <c r="X63" s="553"/>
      <c r="Y63" s="553"/>
      <c r="Z63" s="554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5"/>
      <c r="BN63" s="215"/>
      <c r="BO63" s="215"/>
      <c r="BP63" s="215"/>
      <c r="BQ63" s="215"/>
      <c r="BR63" s="215"/>
      <c r="BS63" s="215"/>
      <c r="BT63" s="215"/>
      <c r="BU63" s="215"/>
      <c r="BV63" s="215"/>
      <c r="BW63" s="215"/>
      <c r="BX63" s="215"/>
      <c r="BY63" s="215"/>
      <c r="BZ63" s="215"/>
      <c r="CA63" s="215"/>
      <c r="CB63" s="215"/>
      <c r="CC63" s="215"/>
      <c r="CD63" s="215"/>
      <c r="CE63" s="215"/>
      <c r="CF63" s="215"/>
      <c r="CG63" s="215"/>
      <c r="CH63" s="215"/>
      <c r="CI63" s="215"/>
      <c r="CJ63" s="215"/>
      <c r="CK63" s="215"/>
      <c r="CL63" s="215"/>
      <c r="CM63" s="215"/>
      <c r="CN63" s="215"/>
      <c r="CO63" s="215"/>
      <c r="CP63" s="215"/>
      <c r="CQ63" s="215"/>
      <c r="CR63" s="215"/>
      <c r="CS63" s="215"/>
      <c r="CT63" s="215"/>
      <c r="CU63" s="215"/>
      <c r="CV63" s="215"/>
      <c r="CW63" s="215"/>
      <c r="CX63" s="215"/>
      <c r="CY63" s="215"/>
      <c r="CZ63" s="215"/>
      <c r="DA63" s="215"/>
      <c r="DB63" s="215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  <c r="EY63" s="215"/>
      <c r="EZ63" s="215"/>
      <c r="FA63" s="215"/>
      <c r="FB63" s="215"/>
      <c r="FC63" s="215"/>
      <c r="FD63" s="215"/>
      <c r="FE63" s="215"/>
      <c r="FF63" s="215"/>
      <c r="FG63" s="215"/>
      <c r="FH63" s="215"/>
      <c r="FI63" s="215"/>
      <c r="FJ63" s="215"/>
      <c r="FK63" s="215"/>
      <c r="FL63" s="215"/>
      <c r="FM63" s="215"/>
      <c r="FN63" s="215"/>
      <c r="FO63" s="215"/>
      <c r="FP63" s="215"/>
      <c r="FQ63" s="215"/>
      <c r="FR63" s="215"/>
      <c r="FS63" s="215"/>
      <c r="FT63" s="215"/>
      <c r="FU63" s="215"/>
      <c r="FV63" s="215"/>
      <c r="FW63" s="215"/>
      <c r="FX63" s="215"/>
      <c r="FY63" s="215"/>
      <c r="FZ63" s="215"/>
      <c r="GA63" s="215"/>
      <c r="GB63" s="215"/>
      <c r="GC63" s="215"/>
      <c r="GD63" s="215"/>
      <c r="GE63" s="215"/>
      <c r="GF63" s="215"/>
      <c r="GG63" s="215"/>
      <c r="GH63" s="215"/>
      <c r="GI63" s="215"/>
      <c r="GJ63" s="215"/>
      <c r="GK63" s="215"/>
      <c r="GL63" s="215"/>
      <c r="GM63" s="215"/>
      <c r="GN63" s="215"/>
      <c r="GO63" s="215"/>
      <c r="GP63" s="215"/>
      <c r="GQ63" s="215"/>
      <c r="GR63" s="215"/>
      <c r="GS63" s="215"/>
      <c r="GT63" s="215"/>
      <c r="GU63" s="215"/>
      <c r="GV63" s="215"/>
      <c r="GW63" s="215"/>
      <c r="GX63" s="215"/>
      <c r="GY63" s="215"/>
      <c r="GZ63" s="215"/>
      <c r="HA63" s="215"/>
      <c r="HB63" s="215"/>
      <c r="HC63" s="215"/>
      <c r="HD63" s="215"/>
      <c r="HE63" s="215"/>
      <c r="HF63" s="215"/>
      <c r="HG63" s="215"/>
      <c r="HH63" s="215"/>
      <c r="HI63" s="215"/>
      <c r="HJ63" s="215"/>
      <c r="HK63" s="215"/>
      <c r="HL63" s="215"/>
      <c r="HM63" s="215"/>
      <c r="HN63" s="215"/>
      <c r="HO63" s="215"/>
      <c r="HP63" s="215"/>
      <c r="HQ63" s="215"/>
      <c r="HR63" s="215"/>
      <c r="HS63" s="215"/>
      <c r="HT63" s="215"/>
      <c r="HU63" s="215"/>
      <c r="HV63" s="215"/>
      <c r="HW63" s="215"/>
      <c r="HX63" s="215"/>
      <c r="HY63" s="215"/>
      <c r="HZ63" s="215"/>
      <c r="IA63" s="215"/>
      <c r="IB63" s="215"/>
      <c r="IC63" s="215"/>
      <c r="ID63" s="215"/>
      <c r="IE63" s="215"/>
      <c r="IF63" s="215"/>
      <c r="IG63" s="215"/>
      <c r="IH63" s="215"/>
      <c r="II63" s="215"/>
      <c r="IJ63" s="215"/>
      <c r="IK63" s="215"/>
      <c r="IL63" s="215"/>
      <c r="IM63" s="215"/>
      <c r="IN63" s="215"/>
      <c r="IO63" s="215"/>
      <c r="IP63" s="215"/>
      <c r="IQ63" s="215"/>
      <c r="IR63" s="215"/>
      <c r="IS63" s="215"/>
      <c r="IT63" s="215"/>
      <c r="IU63" s="215"/>
      <c r="IV63" s="215"/>
      <c r="IW63" s="215"/>
    </row>
    <row r="64" customFormat="false" ht="13.5" hidden="false" customHeight="false" outlineLevel="0" collapsed="false">
      <c r="A64" s="70" t="s">
        <v>1450</v>
      </c>
      <c r="B64" s="1171" t="s">
        <v>1451</v>
      </c>
      <c r="C64" s="1172"/>
      <c r="D64" s="1173" t="n">
        <f aca="false">IF(D62&gt;D58,D58,MAX(D62,0))</f>
        <v>0</v>
      </c>
      <c r="E64" s="1173" t="n">
        <f aca="false">IF(E62&gt;E58,E58,MAX(E62,0))</f>
        <v>0</v>
      </c>
      <c r="F64" s="1173" t="n">
        <f aca="false">IF(F62&gt;F58,F58,MAX(F62,0))</f>
        <v>0</v>
      </c>
      <c r="G64" s="1173" t="n">
        <f aca="false">IF(G62&gt;G58,G58,MAX(G62,0))</f>
        <v>0</v>
      </c>
      <c r="H64" s="1173" t="n">
        <f aca="false">IF(H62&gt;H58,H58,MAX(H62,0))</f>
        <v>0</v>
      </c>
      <c r="I64" s="1173" t="n">
        <f aca="false">IF(I62&gt;I58,I58,MAX(I62,0))</f>
        <v>2042.89183669435</v>
      </c>
      <c r="J64" s="1173" t="n">
        <f aca="false">IF(J62&gt;J58,J58,MAX(J62,0))</f>
        <v>0</v>
      </c>
      <c r="K64" s="1173" t="n">
        <f aca="false">IF(K62&gt;K58,K58,MAX(K62,0))</f>
        <v>7865.571578684</v>
      </c>
      <c r="L64" s="1173" t="n">
        <f aca="false">IF(L62&gt;L58,L58,MAX(L62,0))</f>
        <v>8917.34191599675</v>
      </c>
      <c r="M64" s="1173" t="n">
        <f aca="false">IF(M62&gt;M58,M58,MAX(M62,0))</f>
        <v>8656.03734334056</v>
      </c>
      <c r="N64" s="1173" t="n">
        <f aca="false">IF(N62&gt;N58,N58,MAX(N62,0))</f>
        <v>7717.72673158535</v>
      </c>
      <c r="O64" s="1173" t="n">
        <f aca="false">IF(O62&gt;O58,O58,MAX(O62,0))</f>
        <v>8069.96215435123</v>
      </c>
      <c r="P64" s="1173" t="n">
        <f aca="false">IF(P62&gt;P58,P58,MAX(P62,0))</f>
        <v>9279.35702049191</v>
      </c>
      <c r="Q64" s="1173" t="n">
        <f aca="false">IF(Q62&gt;Q58,Q58,MAX(Q62,0))</f>
        <v>9279.35702049191</v>
      </c>
      <c r="R64" s="1173" t="n">
        <f aca="false">IF(R62&gt;R58,R58,MAX(R62,0))</f>
        <v>7154.66177092837</v>
      </c>
      <c r="S64" s="1173" t="n">
        <f aca="false">IF(S62&gt;S58,S58,MAX(S62,0))</f>
        <v>9279.35702049191</v>
      </c>
      <c r="T64" s="1173" t="n">
        <f aca="false">IF(T62&gt;T58,T58,MAX(T62,0))</f>
        <v>3584.93109373236</v>
      </c>
      <c r="U64" s="1173" t="n">
        <f aca="false">IF(U62&gt;U58,U58,MAX(U62,0))</f>
        <v>0</v>
      </c>
      <c r="V64" s="1173" t="n">
        <f aca="false">IF(V62&gt;V58,V58,MAX(V62,0))</f>
        <v>0</v>
      </c>
      <c r="W64" s="1173" t="n">
        <f aca="false">IF(W62&gt;W58,W58,MAX(W62,0))</f>
        <v>0</v>
      </c>
      <c r="X64" s="1173" t="n">
        <f aca="false">IF(X62&gt;X58,X58,MAX(X62,0))</f>
        <v>0</v>
      </c>
      <c r="Y64" s="1173" t="n">
        <f aca="false">IF(Y62&gt;Y58,Y58,MAX(Y62,0))</f>
        <v>0</v>
      </c>
      <c r="Z64" s="1174" t="n">
        <f aca="false">SUM(D64:Y64)</f>
        <v>81847.1954867887</v>
      </c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0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J28" activeCellId="0" sqref="J2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8" width="30.7"/>
    <col collapsed="false" customWidth="true" hidden="false" outlineLevel="0" max="2" min="2" style="38" width="18.7"/>
    <col collapsed="false" customWidth="true" hidden="false" outlineLevel="0" max="3" min="3" style="38" width="3.7"/>
    <col collapsed="false" customWidth="true" hidden="false" outlineLevel="0" max="25" min="4" style="38" width="10.71"/>
    <col collapsed="false" customWidth="true" hidden="false" outlineLevel="0" max="26" min="26" style="38" width="11.7"/>
    <col collapsed="false" customWidth="true" hidden="false" outlineLevel="0" max="27" min="27" style="1" width="11.56"/>
    <col collapsed="false" customWidth="false" hidden="false" outlineLevel="0" max="257" min="28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"/>
      <c r="AE1" s="3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"/>
      <c r="AE2" s="3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"/>
      <c r="AE3" s="3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1452</v>
      </c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"/>
      <c r="AE4" s="3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C5" s="388"/>
      <c r="Z5" s="388"/>
      <c r="AA5" s="388"/>
      <c r="AB5" s="388"/>
      <c r="AC5" s="388"/>
      <c r="AD5" s="38"/>
      <c r="AE5" s="38"/>
      <c r="AF5" s="388"/>
      <c r="AG5" s="388"/>
      <c r="AH5" s="388"/>
      <c r="AI5" s="388"/>
      <c r="AJ5" s="388"/>
      <c r="AK5" s="388"/>
      <c r="AL5" s="388"/>
      <c r="AM5" s="388"/>
      <c r="AN5" s="388"/>
      <c r="AO5" s="388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763</v>
      </c>
      <c r="B6" s="28"/>
      <c r="C6" s="28"/>
      <c r="D6" s="28" t="n">
        <f aca="false">Rev_Exp!D6</f>
        <v>1</v>
      </c>
      <c r="E6" s="28" t="n">
        <f aca="false">Rev_Exp!E6</f>
        <v>2</v>
      </c>
      <c r="F6" s="28" t="n">
        <f aca="false">Rev_Exp!F6</f>
        <v>3</v>
      </c>
      <c r="G6" s="28" t="n">
        <f aca="false">Rev_Exp!G6</f>
        <v>4</v>
      </c>
      <c r="H6" s="28" t="n">
        <f aca="false">Rev_Exp!H6</f>
        <v>5</v>
      </c>
      <c r="I6" s="28" t="n">
        <f aca="false">Rev_Exp!I6</f>
        <v>6</v>
      </c>
      <c r="J6" s="28" t="n">
        <f aca="false">Rev_Exp!J6</f>
        <v>7</v>
      </c>
      <c r="K6" s="28" t="n">
        <f aca="false">Rev_Exp!K6</f>
        <v>8</v>
      </c>
      <c r="L6" s="28" t="n">
        <f aca="false">Rev_Exp!L6</f>
        <v>9</v>
      </c>
      <c r="M6" s="28" t="n">
        <f aca="false">Rev_Exp!M6</f>
        <v>10</v>
      </c>
      <c r="N6" s="28" t="n">
        <f aca="false">Rev_Exp!N6</f>
        <v>11</v>
      </c>
      <c r="O6" s="28" t="n">
        <f aca="false">Rev_Exp!O6</f>
        <v>12</v>
      </c>
      <c r="P6" s="28" t="n">
        <f aca="false">Rev_Exp!P6</f>
        <v>13</v>
      </c>
      <c r="Q6" s="28" t="n">
        <f aca="false">Rev_Exp!Q6</f>
        <v>14</v>
      </c>
      <c r="R6" s="28" t="n">
        <f aca="false">Rev_Exp!R6</f>
        <v>15</v>
      </c>
      <c r="S6" s="28" t="n">
        <f aca="false">Rev_Exp!S6</f>
        <v>16</v>
      </c>
      <c r="T6" s="28" t="n">
        <f aca="false">Rev_Exp!T6</f>
        <v>17</v>
      </c>
      <c r="U6" s="28" t="n">
        <f aca="false">Rev_Exp!U6</f>
        <v>18</v>
      </c>
      <c r="V6" s="28" t="n">
        <f aca="false">Rev_Exp!V6</f>
        <v>19</v>
      </c>
      <c r="W6" s="28" t="n">
        <f aca="false">Rev_Exp!W6</f>
        <v>20</v>
      </c>
      <c r="X6" s="28" t="n">
        <f aca="false">Rev_Exp!X6</f>
        <v>21</v>
      </c>
      <c r="Y6" s="28" t="n">
        <f aca="false">Rev_Exp!Y6</f>
        <v>22</v>
      </c>
      <c r="Z6" s="539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634" t="s">
        <v>765</v>
      </c>
      <c r="B7" s="71"/>
      <c r="C7" s="71"/>
      <c r="D7" s="1160" t="n">
        <f aca="false">Rev_Exp!D7</f>
        <v>1998</v>
      </c>
      <c r="E7" s="1160" t="n">
        <f aca="false">Rev_Exp!E7</f>
        <v>1999</v>
      </c>
      <c r="F7" s="1160" t="n">
        <f aca="false">Rev_Exp!F7</f>
        <v>2000</v>
      </c>
      <c r="G7" s="1160" t="n">
        <f aca="false">Rev_Exp!G7</f>
        <v>2001</v>
      </c>
      <c r="H7" s="1160" t="n">
        <f aca="false">Rev_Exp!H7</f>
        <v>2002</v>
      </c>
      <c r="I7" s="1160" t="n">
        <f aca="false">Rev_Exp!I7</f>
        <v>2003</v>
      </c>
      <c r="J7" s="1160" t="n">
        <f aca="false">Rev_Exp!J7</f>
        <v>2004</v>
      </c>
      <c r="K7" s="1160" t="n">
        <f aca="false">Rev_Exp!K7</f>
        <v>2005</v>
      </c>
      <c r="L7" s="1160" t="n">
        <f aca="false">Rev_Exp!L7</f>
        <v>2006</v>
      </c>
      <c r="M7" s="1160" t="n">
        <f aca="false">Rev_Exp!M7</f>
        <v>2007</v>
      </c>
      <c r="N7" s="1160" t="n">
        <f aca="false">Rev_Exp!N7</f>
        <v>2008</v>
      </c>
      <c r="O7" s="1160" t="n">
        <f aca="false">Rev_Exp!O7</f>
        <v>2009</v>
      </c>
      <c r="P7" s="1160" t="n">
        <f aca="false">Rev_Exp!P7</f>
        <v>2010</v>
      </c>
      <c r="Q7" s="1160" t="n">
        <f aca="false">Rev_Exp!Q7</f>
        <v>2011</v>
      </c>
      <c r="R7" s="1160" t="n">
        <f aca="false">Rev_Exp!R7</f>
        <v>2012</v>
      </c>
      <c r="S7" s="1160" t="n">
        <f aca="false">Rev_Exp!S7</f>
        <v>2013</v>
      </c>
      <c r="T7" s="1160" t="n">
        <f aca="false">Rev_Exp!T7</f>
        <v>2014</v>
      </c>
      <c r="U7" s="1160" t="n">
        <f aca="false">Rev_Exp!U7</f>
        <v>2015</v>
      </c>
      <c r="V7" s="1160" t="n">
        <f aca="false">Rev_Exp!V7</f>
        <v>2016</v>
      </c>
      <c r="W7" s="1160" t="n">
        <f aca="false">Rev_Exp!W7</f>
        <v>2017</v>
      </c>
      <c r="X7" s="1160" t="n">
        <f aca="false">Rev_Exp!X7</f>
        <v>2018</v>
      </c>
      <c r="Y7" s="1160" t="n">
        <f aca="false">Rev_Exp!Y7</f>
        <v>2019</v>
      </c>
      <c r="Z7" s="544" t="s">
        <v>1380</v>
      </c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23"/>
      <c r="C8" s="388"/>
      <c r="Z8" s="614"/>
      <c r="AA8" s="388"/>
      <c r="AB8" s="388"/>
      <c r="AC8" s="388"/>
      <c r="AD8" s="38"/>
      <c r="AE8" s="38"/>
      <c r="AF8" s="388"/>
      <c r="AG8" s="388"/>
      <c r="AH8" s="388"/>
      <c r="AI8" s="388"/>
      <c r="AJ8" s="388"/>
      <c r="AK8" s="388"/>
      <c r="AL8" s="388"/>
      <c r="AM8" s="388"/>
      <c r="AN8" s="388"/>
      <c r="AO8" s="388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12.75" hidden="false" customHeight="false" outlineLevel="0" collapsed="false">
      <c r="A9" s="37" t="s">
        <v>1061</v>
      </c>
      <c r="D9" s="556" t="n">
        <f aca="false">Rev_Exp!D12</f>
        <v>0</v>
      </c>
      <c r="E9" s="556" t="n">
        <f aca="false">Rev_Exp!E12</f>
        <v>9</v>
      </c>
      <c r="F9" s="556" t="n">
        <f aca="false">Rev_Exp!F12</f>
        <v>12</v>
      </c>
      <c r="G9" s="556" t="n">
        <f aca="false">Rev_Exp!G12</f>
        <v>12</v>
      </c>
      <c r="H9" s="556" t="n">
        <f aca="false">Rev_Exp!H12</f>
        <v>12</v>
      </c>
      <c r="I9" s="556" t="n">
        <f aca="false">Rev_Exp!I12</f>
        <v>12</v>
      </c>
      <c r="J9" s="556" t="n">
        <f aca="false">Rev_Exp!J12</f>
        <v>12</v>
      </c>
      <c r="K9" s="556" t="n">
        <f aca="false">Rev_Exp!K12</f>
        <v>12</v>
      </c>
      <c r="L9" s="556" t="n">
        <f aca="false">Rev_Exp!L12</f>
        <v>12</v>
      </c>
      <c r="M9" s="556" t="n">
        <f aca="false">Rev_Exp!M12</f>
        <v>12</v>
      </c>
      <c r="N9" s="556" t="n">
        <f aca="false">Rev_Exp!N12</f>
        <v>12</v>
      </c>
      <c r="O9" s="556" t="n">
        <f aca="false">Rev_Exp!O12</f>
        <v>12</v>
      </c>
      <c r="P9" s="556" t="n">
        <f aca="false">Rev_Exp!P12</f>
        <v>12</v>
      </c>
      <c r="Q9" s="556" t="n">
        <f aca="false">Rev_Exp!Q12</f>
        <v>12</v>
      </c>
      <c r="R9" s="556" t="n">
        <f aca="false">Rev_Exp!R12</f>
        <v>12</v>
      </c>
      <c r="S9" s="556" t="n">
        <f aca="false">Rev_Exp!S12</f>
        <v>12</v>
      </c>
      <c r="T9" s="556" t="n">
        <f aca="false">Rev_Exp!T12</f>
        <v>12</v>
      </c>
      <c r="U9" s="556" t="n">
        <f aca="false">Rev_Exp!U12</f>
        <v>12</v>
      </c>
      <c r="V9" s="556" t="n">
        <f aca="false">Rev_Exp!V12</f>
        <v>12</v>
      </c>
      <c r="W9" s="556" t="n">
        <f aca="false">Rev_Exp!W12</f>
        <v>12</v>
      </c>
      <c r="X9" s="556" t="n">
        <f aca="false">Rev_Exp!X12</f>
        <v>12</v>
      </c>
      <c r="Y9" s="556" t="n">
        <f aca="false">Rev_Exp!Y12</f>
        <v>4</v>
      </c>
      <c r="Z9" s="557" t="n">
        <f aca="false">SUM(D9:Y9)</f>
        <v>241</v>
      </c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37"/>
      <c r="Z10" s="555"/>
    </row>
    <row r="11" customFormat="false" ht="12.75" hidden="false" customHeight="false" outlineLevel="0" collapsed="false">
      <c r="A11" s="55" t="s">
        <v>1453</v>
      </c>
      <c r="B11" s="62"/>
      <c r="Z11" s="555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</row>
    <row r="12" customFormat="false" ht="12.75" hidden="false" customHeight="false" outlineLevel="0" collapsed="false">
      <c r="A12" s="130" t="s">
        <v>1454</v>
      </c>
      <c r="B12" s="62"/>
      <c r="Z12" s="555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</row>
    <row r="13" customFormat="false" ht="12.75" hidden="false" customHeight="false" outlineLevel="0" collapsed="false">
      <c r="A13" s="37" t="s">
        <v>1455</v>
      </c>
      <c r="D13" s="217" t="n">
        <f aca="false">CF!D40</f>
        <v>0</v>
      </c>
      <c r="E13" s="217" t="n">
        <f aca="false">CF!E40</f>
        <v>-1884.6838151903</v>
      </c>
      <c r="F13" s="217" t="n">
        <f aca="false">CF!F40</f>
        <v>3833.74712967368</v>
      </c>
      <c r="G13" s="217" t="n">
        <f aca="false">CF!G40</f>
        <v>24853.0197201171</v>
      </c>
      <c r="H13" s="217" t="n">
        <f aca="false">CF!H40</f>
        <v>38790.7275667574</v>
      </c>
      <c r="I13" s="217" t="n">
        <f aca="false">CF!I40</f>
        <v>43280.3400438581</v>
      </c>
      <c r="J13" s="217" t="n">
        <f aca="false">CF!J40</f>
        <v>29847.3477043082</v>
      </c>
      <c r="K13" s="217" t="n">
        <f aca="false">CF!K40</f>
        <v>51952.4098857647</v>
      </c>
      <c r="L13" s="217" t="n">
        <f aca="false">CF!L40</f>
        <v>52322.0480752249</v>
      </c>
      <c r="M13" s="217" t="n">
        <f aca="false">CF!M40</f>
        <v>49934.0316145643</v>
      </c>
      <c r="N13" s="217" t="n">
        <f aca="false">CF!N40</f>
        <v>46089.9747587696</v>
      </c>
      <c r="O13" s="217" t="n">
        <f aca="false">CF!O40</f>
        <v>44888.8101807472</v>
      </c>
      <c r="P13" s="217" t="n">
        <f aca="false">CF!P40</f>
        <v>45356.3852692199</v>
      </c>
      <c r="Q13" s="217" t="n">
        <f aca="false">CF!Q40</f>
        <v>44074.7339724755</v>
      </c>
      <c r="R13" s="217" t="n">
        <f aca="false">CF!R40</f>
        <v>36792.506934077</v>
      </c>
      <c r="S13" s="217" t="n">
        <f aca="false">CF!S40</f>
        <v>39497.5760432047</v>
      </c>
      <c r="T13" s="217" t="n">
        <f aca="false">CF!T40</f>
        <v>26755.4236569239</v>
      </c>
      <c r="U13" s="217" t="n">
        <f aca="false">CF!U40</f>
        <v>11005.8168680975</v>
      </c>
      <c r="V13" s="217" t="n">
        <f aca="false">CF!V40</f>
        <v>6085.65046383107</v>
      </c>
      <c r="W13" s="217" t="n">
        <f aca="false">CF!W40</f>
        <v>4689.91363850864</v>
      </c>
      <c r="X13" s="217" t="n">
        <f aca="false">CF!X40</f>
        <v>6224.60529260744</v>
      </c>
      <c r="Y13" s="217" t="n">
        <f aca="false">CF!Y40</f>
        <v>2417.95222089096</v>
      </c>
      <c r="Z13" s="574" t="n">
        <f aca="false">SUM(D13:Y13)</f>
        <v>606808.337224432</v>
      </c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</row>
    <row r="14" customFormat="false" ht="12.75" hidden="false" customHeight="false" outlineLevel="0" collapsed="false">
      <c r="A14" s="37" t="s">
        <v>1456</v>
      </c>
      <c r="D14" s="217" t="n">
        <f aca="false">Trapped!F71</f>
        <v>0</v>
      </c>
      <c r="E14" s="217" t="n">
        <f aca="false">Trapped!G71</f>
        <v>6980.67768026105</v>
      </c>
      <c r="F14" s="217" t="n">
        <f aca="false">Trapped!H71</f>
        <v>6871.23129264479</v>
      </c>
      <c r="G14" s="217" t="n">
        <f aca="false">Trapped!I71</f>
        <v>-6051.31070612839</v>
      </c>
      <c r="H14" s="217" t="n">
        <f aca="false">Trapped!J71</f>
        <v>-1119.68990582771</v>
      </c>
      <c r="I14" s="217" t="n">
        <f aca="false">Trapped!K71</f>
        <v>-1214.35002490065</v>
      </c>
      <c r="J14" s="217" t="n">
        <f aca="false">Trapped!L71</f>
        <v>5918.40186511833</v>
      </c>
      <c r="K14" s="217" t="n">
        <f aca="false">Trapped!M71</f>
        <v>-1407.10242808418</v>
      </c>
      <c r="L14" s="217" t="n">
        <f aca="false">Trapped!N71</f>
        <v>-3778.22231372641</v>
      </c>
      <c r="M14" s="217" t="n">
        <f aca="false">Trapped!O71</f>
        <v>6730.3349227414</v>
      </c>
      <c r="N14" s="217" t="n">
        <f aca="false">Trapped!P71</f>
        <v>6723.63749154843</v>
      </c>
      <c r="O14" s="217" t="n">
        <f aca="false">Trapped!Q71</f>
        <v>-5855.54125785729</v>
      </c>
      <c r="P14" s="217" t="n">
        <f aca="false">Trapped!R71</f>
        <v>-6006.18783817729</v>
      </c>
      <c r="Q14" s="217" t="n">
        <f aca="false">Trapped!S71</f>
        <v>6703.17396699853</v>
      </c>
      <c r="R14" s="217" t="n">
        <f aca="false">Trapped!T71</f>
        <v>6696.1765469125</v>
      </c>
      <c r="S14" s="217" t="n">
        <f aca="false">Trapped!U71</f>
        <v>-15731.4069024175</v>
      </c>
      <c r="T14" s="217" t="n">
        <f aca="false">Trapped!V71</f>
        <v>6681.66372865824</v>
      </c>
      <c r="U14" s="217" t="n">
        <f aca="false">Trapped!W71</f>
        <v>6673.99684077322</v>
      </c>
      <c r="V14" s="217" t="n">
        <f aca="false">Trapped!X71</f>
        <v>-3831.08541807155</v>
      </c>
      <c r="W14" s="217" t="n">
        <f aca="false">Trapped!Y71</f>
        <v>-14984.3975404655</v>
      </c>
      <c r="X14" s="217" t="n">
        <f aca="false">Trapped!Z71</f>
        <v>0</v>
      </c>
      <c r="Y14" s="217" t="n">
        <f aca="false">Trapped!AA71</f>
        <v>0</v>
      </c>
      <c r="Z14" s="574" t="n">
        <f aca="false">SUM(D14:Y14)</f>
        <v>0</v>
      </c>
      <c r="AA14" s="1161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</row>
    <row r="15" customFormat="false" ht="12.75" hidden="false" customHeight="false" outlineLevel="0" collapsed="false">
      <c r="A15" s="37" t="s">
        <v>1457</v>
      </c>
      <c r="D15" s="217" t="n">
        <f aca="false">Trapped!F87</f>
        <v>0</v>
      </c>
      <c r="E15" s="217" t="n">
        <f aca="false">Trapped!G87</f>
        <v>282.928225151282</v>
      </c>
      <c r="F15" s="217" t="n">
        <f aca="false">Trapped!H87</f>
        <v>258.788957587103</v>
      </c>
      <c r="G15" s="217" t="n">
        <f aca="false">Trapped!I87</f>
        <v>228.319914434693</v>
      </c>
      <c r="H15" s="217" t="n">
        <f aca="false">Trapped!J87</f>
        <v>-121.785661588399</v>
      </c>
      <c r="I15" s="217" t="n">
        <f aca="false">Trapped!K87</f>
        <v>-59.7559355884701</v>
      </c>
      <c r="J15" s="217" t="n">
        <f aca="false">Trapped!L87</f>
        <v>225.520917007249</v>
      </c>
      <c r="K15" s="217" t="n">
        <f aca="false">Trapped!M87</f>
        <v>-234.573807642782</v>
      </c>
      <c r="L15" s="217" t="n">
        <f aca="false">Trapped!N87</f>
        <v>74.6734834010675</v>
      </c>
      <c r="M15" s="217" t="n">
        <f aca="false">Trapped!O87</f>
        <v>217.546966326638</v>
      </c>
      <c r="N15" s="217" t="n">
        <f aca="false">Trapped!P87</f>
        <v>214.52779623529</v>
      </c>
      <c r="O15" s="217" t="n">
        <f aca="false">Trapped!Q87</f>
        <v>-236.483937763877</v>
      </c>
      <c r="P15" s="217" t="n">
        <f aca="false">Trapped!R87</f>
        <v>-177.447316020937</v>
      </c>
      <c r="Q15" s="217" t="n">
        <f aca="false">Trapped!S87</f>
        <v>204.604605654439</v>
      </c>
      <c r="R15" s="217" t="n">
        <f aca="false">Trapped!T87</f>
        <v>200.789369623464</v>
      </c>
      <c r="S15" s="217" t="n">
        <f aca="false">Trapped!U87</f>
        <v>-662.070694503381</v>
      </c>
      <c r="T15" s="217" t="n">
        <f aca="false">Trapped!V87</f>
        <v>192.472981069959</v>
      </c>
      <c r="U15" s="217" t="n">
        <f aca="false">Trapped!W87</f>
        <v>188.073669587783</v>
      </c>
      <c r="V15" s="217" t="n">
        <f aca="false">Trapped!X87</f>
        <v>-438.962493236169</v>
      </c>
      <c r="W15" s="217" t="n">
        <f aca="false">Trapped!Y87</f>
        <v>-357.167039734952</v>
      </c>
      <c r="X15" s="217" t="n">
        <f aca="false">Trapped!Z87</f>
        <v>0</v>
      </c>
      <c r="Y15" s="217" t="n">
        <f aca="false">Trapped!AA87</f>
        <v>0</v>
      </c>
      <c r="Z15" s="574" t="n">
        <f aca="false">SUM(D15:Y15)</f>
        <v>0</v>
      </c>
      <c r="AA15" s="1161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</row>
    <row r="16" customFormat="false" ht="12.75" hidden="false" customHeight="false" outlineLevel="0" collapsed="false">
      <c r="A16" s="823" t="s">
        <v>1458</v>
      </c>
      <c r="B16" s="215"/>
      <c r="C16" s="215"/>
      <c r="D16" s="217" t="n">
        <f aca="false">-Depr!G29</f>
        <v>-0</v>
      </c>
      <c r="E16" s="217" t="n">
        <f aca="false">-Depr!H29</f>
        <v>-3704.81055000091</v>
      </c>
      <c r="F16" s="217" t="n">
        <f aca="false">-Depr!I29</f>
        <v>-4939.74740000121</v>
      </c>
      <c r="G16" s="217" t="n">
        <f aca="false">-Depr!J29</f>
        <v>-12563.7993949493</v>
      </c>
      <c r="H16" s="217" t="n">
        <f aca="false">-Depr!K29</f>
        <v>-17799.2181695267</v>
      </c>
      <c r="I16" s="217" t="n">
        <f aca="false">-Depr!L29</f>
        <v>-17799.2181695267</v>
      </c>
      <c r="J16" s="217" t="n">
        <f aca="false">-Depr!M29</f>
        <v>-17799.2181695267</v>
      </c>
      <c r="K16" s="217" t="n">
        <f aca="false">-Depr!N29</f>
        <v>-17799.2181695267</v>
      </c>
      <c r="L16" s="217" t="n">
        <f aca="false">-Depr!O29</f>
        <v>-17799.2181695267</v>
      </c>
      <c r="M16" s="217" t="n">
        <f aca="false">-Depr!P29</f>
        <v>-17799.2181695267</v>
      </c>
      <c r="N16" s="217" t="n">
        <f aca="false">-Depr!Q29</f>
        <v>-17799.2181695267</v>
      </c>
      <c r="O16" s="217" t="n">
        <f aca="false">-Depr!R29</f>
        <v>-17799.2181695267</v>
      </c>
      <c r="P16" s="217" t="n">
        <f aca="false">-Depr!S29</f>
        <v>-17799.2181695267</v>
      </c>
      <c r="Q16" s="217" t="n">
        <f aca="false">-Depr!T29</f>
        <v>-17799.2181695267</v>
      </c>
      <c r="R16" s="217" t="n">
        <f aca="false">-Depr!U29</f>
        <v>-17799.2181695267</v>
      </c>
      <c r="S16" s="217" t="n">
        <f aca="false">-Depr!V29</f>
        <v>-17799.2181695267</v>
      </c>
      <c r="T16" s="217" t="n">
        <f aca="false">-Depr!W29</f>
        <v>-17799.2181695267</v>
      </c>
      <c r="U16" s="217" t="n">
        <f aca="false">-Depr!X29</f>
        <v>-17799.2181695267</v>
      </c>
      <c r="V16" s="217" t="n">
        <f aca="false">-Depr!Y29</f>
        <v>-17799.2181695267</v>
      </c>
      <c r="W16" s="217" t="n">
        <f aca="false">-Depr!Z29</f>
        <v>-17799.2181695267</v>
      </c>
      <c r="X16" s="217" t="n">
        <f aca="false">-Depr!AA29</f>
        <v>-17799.2181695267</v>
      </c>
      <c r="Y16" s="217" t="n">
        <f aca="false">-Depr!AB29</f>
        <v>-5521.42710650878</v>
      </c>
      <c r="Z16" s="574" t="n">
        <f aca="false">SUM(D16:Y16)</f>
        <v>-329316.493333414</v>
      </c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  <c r="BI16" s="215"/>
      <c r="BJ16" s="215"/>
      <c r="BK16" s="215"/>
      <c r="BL16" s="215"/>
      <c r="BM16" s="215"/>
      <c r="BN16" s="215"/>
      <c r="BO16" s="215"/>
      <c r="BP16" s="215"/>
      <c r="BQ16" s="215"/>
      <c r="BR16" s="215"/>
      <c r="BS16" s="215"/>
      <c r="BT16" s="215"/>
      <c r="BU16" s="215"/>
      <c r="BV16" s="215"/>
      <c r="BW16" s="215"/>
      <c r="BX16" s="215"/>
      <c r="BY16" s="215"/>
      <c r="BZ16" s="215"/>
      <c r="CA16" s="215"/>
      <c r="CB16" s="215"/>
      <c r="CC16" s="215"/>
      <c r="CD16" s="215"/>
      <c r="CE16" s="215"/>
      <c r="CF16" s="215"/>
      <c r="CG16" s="215"/>
      <c r="CH16" s="215"/>
      <c r="CI16" s="215"/>
      <c r="CJ16" s="215"/>
      <c r="CK16" s="215"/>
      <c r="CL16" s="215"/>
      <c r="CM16" s="215"/>
      <c r="CN16" s="215"/>
      <c r="CO16" s="215"/>
      <c r="CP16" s="215"/>
      <c r="CQ16" s="215"/>
      <c r="CR16" s="215"/>
      <c r="CS16" s="215"/>
      <c r="CT16" s="215"/>
      <c r="CU16" s="215"/>
      <c r="CV16" s="215"/>
      <c r="CW16" s="215"/>
      <c r="CX16" s="215"/>
      <c r="CY16" s="215"/>
      <c r="CZ16" s="215"/>
      <c r="DA16" s="215"/>
      <c r="DB16" s="215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  <c r="EY16" s="215"/>
      <c r="EZ16" s="215"/>
      <c r="FA16" s="215"/>
      <c r="FB16" s="215"/>
      <c r="FC16" s="215"/>
      <c r="FD16" s="215"/>
      <c r="FE16" s="215"/>
      <c r="FF16" s="215"/>
      <c r="FG16" s="215"/>
      <c r="FH16" s="215"/>
      <c r="FI16" s="215"/>
      <c r="FJ16" s="215"/>
      <c r="FK16" s="215"/>
      <c r="FL16" s="215"/>
      <c r="FM16" s="215"/>
      <c r="FN16" s="215"/>
      <c r="FO16" s="215"/>
      <c r="FP16" s="215"/>
      <c r="FQ16" s="215"/>
      <c r="FR16" s="215"/>
      <c r="FS16" s="215"/>
      <c r="FT16" s="215"/>
      <c r="FU16" s="215"/>
      <c r="FV16" s="215"/>
      <c r="FW16" s="215"/>
      <c r="FX16" s="215"/>
      <c r="FY16" s="215"/>
      <c r="FZ16" s="215"/>
      <c r="GA16" s="215"/>
      <c r="GB16" s="215"/>
      <c r="GC16" s="215"/>
      <c r="GD16" s="215"/>
      <c r="GE16" s="215"/>
      <c r="GF16" s="215"/>
      <c r="GG16" s="215"/>
      <c r="GH16" s="215"/>
      <c r="GI16" s="215"/>
      <c r="GJ16" s="215"/>
      <c r="GK16" s="215"/>
      <c r="GL16" s="215"/>
      <c r="GM16" s="215"/>
      <c r="GN16" s="215"/>
      <c r="GO16" s="215"/>
      <c r="GP16" s="215"/>
      <c r="GQ16" s="215"/>
      <c r="GR16" s="215"/>
      <c r="GS16" s="215"/>
      <c r="GT16" s="215"/>
      <c r="GU16" s="215"/>
      <c r="GV16" s="215"/>
      <c r="GW16" s="215"/>
      <c r="GX16" s="215"/>
      <c r="GY16" s="215"/>
      <c r="GZ16" s="215"/>
      <c r="HA16" s="215"/>
      <c r="HB16" s="215"/>
      <c r="HC16" s="215"/>
      <c r="HD16" s="215"/>
      <c r="HE16" s="215"/>
      <c r="HF16" s="215"/>
      <c r="HG16" s="215"/>
      <c r="HH16" s="215"/>
      <c r="HI16" s="215"/>
      <c r="HJ16" s="215"/>
      <c r="HK16" s="215"/>
      <c r="HL16" s="215"/>
      <c r="HM16" s="215"/>
      <c r="HN16" s="215"/>
      <c r="HO16" s="215"/>
      <c r="HP16" s="215"/>
      <c r="HQ16" s="215"/>
      <c r="HR16" s="215"/>
      <c r="HS16" s="215"/>
      <c r="HT16" s="215"/>
      <c r="HU16" s="215"/>
      <c r="HV16" s="215"/>
      <c r="HW16" s="215"/>
      <c r="HX16" s="215"/>
      <c r="HY16" s="215"/>
      <c r="HZ16" s="215"/>
      <c r="IA16" s="215"/>
      <c r="IB16" s="215"/>
      <c r="IC16" s="215"/>
      <c r="ID16" s="215"/>
      <c r="IE16" s="215"/>
      <c r="IF16" s="215"/>
      <c r="IG16" s="215"/>
      <c r="IH16" s="215"/>
      <c r="II16" s="215"/>
      <c r="IJ16" s="215"/>
      <c r="IK16" s="215"/>
      <c r="IL16" s="215"/>
      <c r="IM16" s="215"/>
      <c r="IN16" s="215"/>
      <c r="IO16" s="215"/>
      <c r="IP16" s="215"/>
      <c r="IQ16" s="215"/>
      <c r="IR16" s="215"/>
      <c r="IS16" s="215"/>
      <c r="IT16" s="215"/>
      <c r="IU16" s="215"/>
      <c r="IV16" s="215"/>
      <c r="IW16" s="215"/>
    </row>
    <row r="17" customFormat="false" ht="12.75" hidden="false" customHeight="false" outlineLevel="0" collapsed="false">
      <c r="A17" s="37" t="s">
        <v>851</v>
      </c>
      <c r="B17" s="215"/>
      <c r="C17" s="215"/>
      <c r="D17" s="217" t="n">
        <f aca="false">CF!D44</f>
        <v>-0</v>
      </c>
      <c r="E17" s="217" t="n">
        <f aca="false">CF!E44</f>
        <v>-0</v>
      </c>
      <c r="F17" s="217" t="n">
        <f aca="false">CF!F44</f>
        <v>-0</v>
      </c>
      <c r="G17" s="217" t="n">
        <f aca="false">CF!G44</f>
        <v>-6866.1388759198</v>
      </c>
      <c r="H17" s="217" t="n">
        <f aca="false">CF!H44</f>
        <v>-16245.849069511</v>
      </c>
      <c r="I17" s="217" t="n">
        <f aca="false">CF!I44</f>
        <v>-15297.1145543459</v>
      </c>
      <c r="J17" s="217" t="n">
        <f aca="false">CF!J44</f>
        <v>-14256.7267686017</v>
      </c>
      <c r="K17" s="217" t="n">
        <f aca="false">CF!K44</f>
        <v>-13047.8739914031</v>
      </c>
      <c r="L17" s="217" t="n">
        <f aca="false">CF!L44</f>
        <v>-11750.4132012332</v>
      </c>
      <c r="M17" s="217" t="n">
        <f aca="false">CF!M44</f>
        <v>-10380.0289673911</v>
      </c>
      <c r="N17" s="217" t="n">
        <f aca="false">CF!N44</f>
        <v>-8974.06088972822</v>
      </c>
      <c r="O17" s="217" t="n">
        <f aca="false">CF!O44</f>
        <v>-7705.25600331445</v>
      </c>
      <c r="P17" s="217" t="n">
        <f aca="false">CF!P44</f>
        <v>-6465.01759721142</v>
      </c>
      <c r="Q17" s="217" t="n">
        <f aca="false">CF!Q44</f>
        <v>-5197.77633917085</v>
      </c>
      <c r="R17" s="217" t="n">
        <f aca="false">CF!R44</f>
        <v>-3910.35006902801</v>
      </c>
      <c r="S17" s="217" t="n">
        <f aca="false">CF!S44</f>
        <v>-2848.34668448025</v>
      </c>
      <c r="T17" s="217" t="n">
        <f aca="false">CF!T44</f>
        <v>-1786.34329993249</v>
      </c>
      <c r="U17" s="217" t="n">
        <f aca="false">CF!U44</f>
        <v>-701.827212434818</v>
      </c>
      <c r="V17" s="217" t="n">
        <f aca="false">CF!V44</f>
        <v>-0</v>
      </c>
      <c r="W17" s="217" t="n">
        <f aca="false">CF!W44</f>
        <v>-0</v>
      </c>
      <c r="X17" s="217" t="n">
        <f aca="false">CF!X44</f>
        <v>-0</v>
      </c>
      <c r="Y17" s="217" t="n">
        <f aca="false">CF!Y44</f>
        <v>-0</v>
      </c>
      <c r="Z17" s="574" t="n">
        <f aca="false">SUM(D17:Y17)</f>
        <v>-125433.123523706</v>
      </c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  <c r="BI17" s="215"/>
      <c r="BJ17" s="215"/>
      <c r="BK17" s="215"/>
      <c r="BL17" s="215"/>
      <c r="BM17" s="215"/>
      <c r="BN17" s="215"/>
      <c r="BO17" s="215"/>
      <c r="BP17" s="215"/>
      <c r="BQ17" s="215"/>
      <c r="BR17" s="215"/>
      <c r="BS17" s="215"/>
      <c r="BT17" s="215"/>
      <c r="BU17" s="215"/>
      <c r="BV17" s="215"/>
      <c r="BW17" s="215"/>
      <c r="BX17" s="215"/>
      <c r="BY17" s="215"/>
      <c r="BZ17" s="215"/>
      <c r="CA17" s="215"/>
      <c r="CB17" s="215"/>
      <c r="CC17" s="215"/>
      <c r="CD17" s="215"/>
      <c r="CE17" s="215"/>
      <c r="CF17" s="215"/>
      <c r="CG17" s="215"/>
      <c r="CH17" s="215"/>
      <c r="CI17" s="215"/>
      <c r="CJ17" s="215"/>
      <c r="CK17" s="215"/>
      <c r="CL17" s="215"/>
      <c r="CM17" s="215"/>
      <c r="CN17" s="215"/>
      <c r="CO17" s="215"/>
      <c r="CP17" s="215"/>
      <c r="CQ17" s="215"/>
      <c r="CR17" s="215"/>
      <c r="CS17" s="215"/>
      <c r="CT17" s="215"/>
      <c r="CU17" s="215"/>
      <c r="CV17" s="215"/>
      <c r="CW17" s="215"/>
      <c r="CX17" s="215"/>
      <c r="CY17" s="215"/>
      <c r="CZ17" s="215"/>
      <c r="DA17" s="215"/>
      <c r="DB17" s="215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  <c r="EY17" s="215"/>
      <c r="EZ17" s="215"/>
      <c r="FA17" s="215"/>
      <c r="FB17" s="215"/>
      <c r="FC17" s="215"/>
      <c r="FD17" s="215"/>
      <c r="FE17" s="215"/>
      <c r="FF17" s="215"/>
      <c r="FG17" s="215"/>
      <c r="FH17" s="215"/>
      <c r="FI17" s="215"/>
      <c r="FJ17" s="215"/>
      <c r="FK17" s="215"/>
      <c r="FL17" s="215"/>
      <c r="FM17" s="215"/>
      <c r="FN17" s="215"/>
      <c r="FO17" s="215"/>
      <c r="FP17" s="215"/>
      <c r="FQ17" s="215"/>
      <c r="FR17" s="215"/>
      <c r="FS17" s="215"/>
      <c r="FT17" s="215"/>
      <c r="FU17" s="215"/>
      <c r="FV17" s="215"/>
      <c r="FW17" s="215"/>
      <c r="FX17" s="215"/>
      <c r="FY17" s="215"/>
      <c r="FZ17" s="215"/>
      <c r="GA17" s="215"/>
      <c r="GB17" s="215"/>
      <c r="GC17" s="215"/>
      <c r="GD17" s="215"/>
      <c r="GE17" s="215"/>
      <c r="GF17" s="215"/>
      <c r="GG17" s="215"/>
      <c r="GH17" s="215"/>
      <c r="GI17" s="215"/>
      <c r="GJ17" s="215"/>
      <c r="GK17" s="215"/>
      <c r="GL17" s="215"/>
      <c r="GM17" s="215"/>
      <c r="GN17" s="215"/>
      <c r="GO17" s="215"/>
      <c r="GP17" s="215"/>
      <c r="GQ17" s="215"/>
      <c r="GR17" s="215"/>
      <c r="GS17" s="215"/>
      <c r="GT17" s="215"/>
      <c r="GU17" s="215"/>
      <c r="GV17" s="215"/>
      <c r="GW17" s="215"/>
      <c r="GX17" s="215"/>
      <c r="GY17" s="215"/>
      <c r="GZ17" s="215"/>
      <c r="HA17" s="215"/>
      <c r="HB17" s="215"/>
      <c r="HC17" s="215"/>
      <c r="HD17" s="215"/>
      <c r="HE17" s="215"/>
      <c r="HF17" s="215"/>
      <c r="HG17" s="215"/>
      <c r="HH17" s="215"/>
      <c r="HI17" s="215"/>
      <c r="HJ17" s="215"/>
      <c r="HK17" s="215"/>
      <c r="HL17" s="215"/>
      <c r="HM17" s="215"/>
      <c r="HN17" s="215"/>
      <c r="HO17" s="215"/>
      <c r="HP17" s="215"/>
      <c r="HQ17" s="215"/>
      <c r="HR17" s="215"/>
      <c r="HS17" s="215"/>
      <c r="HT17" s="215"/>
      <c r="HU17" s="215"/>
      <c r="HV17" s="215"/>
      <c r="HW17" s="215"/>
      <c r="HX17" s="215"/>
      <c r="HY17" s="215"/>
      <c r="HZ17" s="215"/>
      <c r="IA17" s="215"/>
      <c r="IB17" s="215"/>
      <c r="IC17" s="215"/>
      <c r="ID17" s="215"/>
      <c r="IE17" s="215"/>
      <c r="IF17" s="215"/>
      <c r="IG17" s="215"/>
      <c r="IH17" s="215"/>
      <c r="II17" s="215"/>
      <c r="IJ17" s="215"/>
      <c r="IK17" s="215"/>
      <c r="IL17" s="215"/>
      <c r="IM17" s="215"/>
      <c r="IN17" s="215"/>
      <c r="IO17" s="215"/>
      <c r="IP17" s="215"/>
      <c r="IQ17" s="215"/>
      <c r="IR17" s="215"/>
      <c r="IS17" s="215"/>
      <c r="IT17" s="215"/>
      <c r="IU17" s="215"/>
      <c r="IV17" s="215"/>
      <c r="IW17" s="215"/>
    </row>
    <row r="18" customFormat="false" ht="12.75" hidden="false" customHeight="false" outlineLevel="0" collapsed="false">
      <c r="A18" s="37" t="s">
        <v>852</v>
      </c>
      <c r="B18" s="215"/>
      <c r="C18" s="215"/>
      <c r="D18" s="217" t="n">
        <f aca="false">CF!D45</f>
        <v>-0</v>
      </c>
      <c r="E18" s="217" t="n">
        <f aca="false">CF!E45</f>
        <v>-0</v>
      </c>
      <c r="F18" s="217" t="n">
        <f aca="false">CF!F45</f>
        <v>-0</v>
      </c>
      <c r="G18" s="217" t="n">
        <f aca="false">CF!G45</f>
        <v>-2694.78154144109</v>
      </c>
      <c r="H18" s="217" t="n">
        <f aca="false">CF!H45</f>
        <v>-6397.33203104365</v>
      </c>
      <c r="I18" s="217" t="n">
        <f aca="false">CF!I45</f>
        <v>-6098.22364659681</v>
      </c>
      <c r="J18" s="217" t="n">
        <f aca="false">CF!J45</f>
        <v>-5758.9674392476</v>
      </c>
      <c r="K18" s="217" t="n">
        <f aca="false">CF!K45</f>
        <v>-5374.17456746693</v>
      </c>
      <c r="L18" s="217" t="n">
        <f aca="false">CF!L45</f>
        <v>-4937.7328724715</v>
      </c>
      <c r="M18" s="217" t="n">
        <f aca="false">CF!M45</f>
        <v>-4442.70979096531</v>
      </c>
      <c r="N18" s="217" t="n">
        <f aca="false">CF!N45</f>
        <v>-3881.24223634396</v>
      </c>
      <c r="O18" s="217" t="n">
        <f aca="false">CF!O45</f>
        <v>-3244.41169920355</v>
      </c>
      <c r="P18" s="217" t="n">
        <f aca="false">CF!P45</f>
        <v>-2522.10258321547</v>
      </c>
      <c r="Q18" s="217" t="n">
        <f aca="false">CF!Q45</f>
        <v>-1702.84152613389</v>
      </c>
      <c r="R18" s="217" t="n">
        <f aca="false">CF!R45</f>
        <v>-773.615153665539</v>
      </c>
      <c r="S18" s="217" t="n">
        <f aca="false">CF!S45</f>
        <v>-0</v>
      </c>
      <c r="T18" s="217" t="n">
        <f aca="false">CF!T45</f>
        <v>-0</v>
      </c>
      <c r="U18" s="217" t="n">
        <f aca="false">CF!U45</f>
        <v>-0</v>
      </c>
      <c r="V18" s="217" t="n">
        <f aca="false">CF!V45</f>
        <v>-0</v>
      </c>
      <c r="W18" s="217" t="n">
        <f aca="false">CF!W45</f>
        <v>-0</v>
      </c>
      <c r="X18" s="217" t="n">
        <f aca="false">CF!X45</f>
        <v>-0</v>
      </c>
      <c r="Y18" s="217" t="n">
        <f aca="false">CF!Y45</f>
        <v>-0</v>
      </c>
      <c r="Z18" s="574" t="n">
        <f aca="false">SUM(D18:Y18)</f>
        <v>-47828.1350877953</v>
      </c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  <c r="CF18" s="215"/>
      <c r="CG18" s="215"/>
      <c r="CH18" s="215"/>
      <c r="CI18" s="215"/>
      <c r="CJ18" s="215"/>
      <c r="CK18" s="215"/>
      <c r="CL18" s="215"/>
      <c r="CM18" s="215"/>
      <c r="CN18" s="215"/>
      <c r="CO18" s="215"/>
      <c r="CP18" s="215"/>
      <c r="CQ18" s="215"/>
      <c r="CR18" s="215"/>
      <c r="CS18" s="215"/>
      <c r="CT18" s="215"/>
      <c r="CU18" s="215"/>
      <c r="CV18" s="215"/>
      <c r="CW18" s="215"/>
      <c r="CX18" s="215"/>
      <c r="CY18" s="215"/>
      <c r="CZ18" s="215"/>
      <c r="DA18" s="215"/>
      <c r="DB18" s="215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  <c r="EY18" s="215"/>
      <c r="EZ18" s="215"/>
      <c r="FA18" s="215"/>
      <c r="FB18" s="215"/>
      <c r="FC18" s="215"/>
      <c r="FD18" s="215"/>
      <c r="FE18" s="215"/>
      <c r="FF18" s="215"/>
      <c r="FG18" s="215"/>
      <c r="FH18" s="215"/>
      <c r="FI18" s="215"/>
      <c r="FJ18" s="215"/>
      <c r="FK18" s="215"/>
      <c r="FL18" s="215"/>
      <c r="FM18" s="215"/>
      <c r="FN18" s="215"/>
      <c r="FO18" s="215"/>
      <c r="FP18" s="215"/>
      <c r="FQ18" s="215"/>
      <c r="FR18" s="215"/>
      <c r="FS18" s="215"/>
      <c r="FT18" s="215"/>
      <c r="FU18" s="215"/>
      <c r="FV18" s="215"/>
      <c r="FW18" s="215"/>
      <c r="FX18" s="215"/>
      <c r="FY18" s="215"/>
      <c r="FZ18" s="215"/>
      <c r="GA18" s="215"/>
      <c r="GB18" s="215"/>
      <c r="GC18" s="215"/>
      <c r="GD18" s="215"/>
      <c r="GE18" s="215"/>
      <c r="GF18" s="215"/>
      <c r="GG18" s="215"/>
      <c r="GH18" s="215"/>
      <c r="GI18" s="215"/>
      <c r="GJ18" s="215"/>
      <c r="GK18" s="215"/>
      <c r="GL18" s="215"/>
      <c r="GM18" s="215"/>
      <c r="GN18" s="215"/>
      <c r="GO18" s="215"/>
      <c r="GP18" s="215"/>
      <c r="GQ18" s="215"/>
      <c r="GR18" s="215"/>
      <c r="GS18" s="215"/>
      <c r="GT18" s="215"/>
      <c r="GU18" s="215"/>
      <c r="GV18" s="215"/>
      <c r="GW18" s="215"/>
      <c r="GX18" s="215"/>
      <c r="GY18" s="215"/>
      <c r="GZ18" s="215"/>
      <c r="HA18" s="215"/>
      <c r="HB18" s="215"/>
      <c r="HC18" s="215"/>
      <c r="HD18" s="215"/>
      <c r="HE18" s="215"/>
      <c r="HF18" s="215"/>
      <c r="HG18" s="215"/>
      <c r="HH18" s="215"/>
      <c r="HI18" s="215"/>
      <c r="HJ18" s="215"/>
      <c r="HK18" s="215"/>
      <c r="HL18" s="215"/>
      <c r="HM18" s="215"/>
      <c r="HN18" s="215"/>
      <c r="HO18" s="215"/>
      <c r="HP18" s="215"/>
      <c r="HQ18" s="215"/>
      <c r="HR18" s="215"/>
      <c r="HS18" s="215"/>
      <c r="HT18" s="215"/>
      <c r="HU18" s="215"/>
      <c r="HV18" s="215"/>
      <c r="HW18" s="215"/>
      <c r="HX18" s="215"/>
      <c r="HY18" s="215"/>
      <c r="HZ18" s="215"/>
      <c r="IA18" s="215"/>
      <c r="IB18" s="215"/>
      <c r="IC18" s="215"/>
      <c r="ID18" s="215"/>
      <c r="IE18" s="215"/>
      <c r="IF18" s="215"/>
      <c r="IG18" s="215"/>
      <c r="IH18" s="215"/>
      <c r="II18" s="215"/>
      <c r="IJ18" s="215"/>
      <c r="IK18" s="215"/>
      <c r="IL18" s="215"/>
      <c r="IM18" s="215"/>
      <c r="IN18" s="215"/>
      <c r="IO18" s="215"/>
      <c r="IP18" s="215"/>
      <c r="IQ18" s="215"/>
      <c r="IR18" s="215"/>
      <c r="IS18" s="215"/>
      <c r="IT18" s="215"/>
      <c r="IU18" s="215"/>
      <c r="IV18" s="215"/>
      <c r="IW18" s="215"/>
    </row>
    <row r="19" customFormat="false" ht="12.75" hidden="false" customHeight="false" outlineLevel="0" collapsed="false">
      <c r="A19" s="37" t="s">
        <v>853</v>
      </c>
      <c r="B19" s="215"/>
      <c r="C19" s="215"/>
      <c r="D19" s="217" t="n">
        <f aca="false">CF!D46</f>
        <v>-0</v>
      </c>
      <c r="E19" s="217" t="n">
        <f aca="false">CF!E46</f>
        <v>-988.566582744534</v>
      </c>
      <c r="F19" s="217" t="n">
        <f aca="false">CF!F46</f>
        <v>-2665.13260186675</v>
      </c>
      <c r="G19" s="217" t="n">
        <f aca="false">CF!G46</f>
        <v>-5739.81667071093</v>
      </c>
      <c r="H19" s="217" t="n">
        <f aca="false">CF!H46</f>
        <v>0</v>
      </c>
      <c r="I19" s="217" t="n">
        <f aca="false">CF!I46</f>
        <v>0</v>
      </c>
      <c r="J19" s="217" t="n">
        <f aca="false">CF!J46</f>
        <v>0</v>
      </c>
      <c r="K19" s="217" t="n">
        <f aca="false">CF!K46</f>
        <v>0</v>
      </c>
      <c r="L19" s="217" t="n">
        <f aca="false">CF!L46</f>
        <v>0</v>
      </c>
      <c r="M19" s="217" t="n">
        <f aca="false">CF!M46</f>
        <v>0</v>
      </c>
      <c r="N19" s="217" t="n">
        <f aca="false">CF!N46</f>
        <v>0</v>
      </c>
      <c r="O19" s="217" t="n">
        <f aca="false">CF!O46</f>
        <v>0</v>
      </c>
      <c r="P19" s="217" t="n">
        <f aca="false">CF!P46</f>
        <v>0</v>
      </c>
      <c r="Q19" s="217" t="n">
        <f aca="false">CF!Q46</f>
        <v>0</v>
      </c>
      <c r="R19" s="217" t="n">
        <f aca="false">CF!R46</f>
        <v>0</v>
      </c>
      <c r="S19" s="217" t="n">
        <f aca="false">CF!S46</f>
        <v>0</v>
      </c>
      <c r="T19" s="217" t="n">
        <f aca="false">CF!T46</f>
        <v>0</v>
      </c>
      <c r="U19" s="217" t="n">
        <f aca="false">CF!U46</f>
        <v>0</v>
      </c>
      <c r="V19" s="217" t="n">
        <f aca="false">CF!V46</f>
        <v>0</v>
      </c>
      <c r="W19" s="217" t="n">
        <f aca="false">CF!W46</f>
        <v>0</v>
      </c>
      <c r="X19" s="217" t="n">
        <f aca="false">CF!X46</f>
        <v>0</v>
      </c>
      <c r="Y19" s="217" t="n">
        <f aca="false">CF!Y46</f>
        <v>0</v>
      </c>
      <c r="Z19" s="574" t="n">
        <f aca="false">SUM(D19:Y19)</f>
        <v>-9393.51585532221</v>
      </c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  <c r="CF19" s="215"/>
      <c r="CG19" s="215"/>
      <c r="CH19" s="215"/>
      <c r="CI19" s="215"/>
      <c r="CJ19" s="215"/>
      <c r="CK19" s="215"/>
      <c r="CL19" s="215"/>
      <c r="CM19" s="215"/>
      <c r="CN19" s="215"/>
      <c r="CO19" s="215"/>
      <c r="CP19" s="215"/>
      <c r="CQ19" s="215"/>
      <c r="CR19" s="215"/>
      <c r="CS19" s="215"/>
      <c r="CT19" s="215"/>
      <c r="CU19" s="215"/>
      <c r="CV19" s="215"/>
      <c r="CW19" s="215"/>
      <c r="CX19" s="215"/>
      <c r="CY19" s="215"/>
      <c r="CZ19" s="215"/>
      <c r="DA19" s="215"/>
      <c r="DB19" s="215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  <c r="EY19" s="215"/>
      <c r="EZ19" s="215"/>
      <c r="FA19" s="215"/>
      <c r="FB19" s="215"/>
      <c r="FC19" s="215"/>
      <c r="FD19" s="215"/>
      <c r="FE19" s="215"/>
      <c r="FF19" s="215"/>
      <c r="FG19" s="215"/>
      <c r="FH19" s="215"/>
      <c r="FI19" s="215"/>
      <c r="FJ19" s="215"/>
      <c r="FK19" s="215"/>
      <c r="FL19" s="215"/>
      <c r="FM19" s="215"/>
      <c r="FN19" s="215"/>
      <c r="FO19" s="215"/>
      <c r="FP19" s="215"/>
      <c r="FQ19" s="215"/>
      <c r="FR19" s="215"/>
      <c r="FS19" s="215"/>
      <c r="FT19" s="215"/>
      <c r="FU19" s="215"/>
      <c r="FV19" s="215"/>
      <c r="FW19" s="215"/>
      <c r="FX19" s="215"/>
      <c r="FY19" s="215"/>
      <c r="FZ19" s="215"/>
      <c r="GA19" s="215"/>
      <c r="GB19" s="215"/>
      <c r="GC19" s="215"/>
      <c r="GD19" s="215"/>
      <c r="GE19" s="215"/>
      <c r="GF19" s="215"/>
      <c r="GG19" s="215"/>
      <c r="GH19" s="215"/>
      <c r="GI19" s="215"/>
      <c r="GJ19" s="215"/>
      <c r="GK19" s="215"/>
      <c r="GL19" s="215"/>
      <c r="GM19" s="215"/>
      <c r="GN19" s="215"/>
      <c r="GO19" s="215"/>
      <c r="GP19" s="215"/>
      <c r="GQ19" s="215"/>
      <c r="GR19" s="215"/>
      <c r="GS19" s="215"/>
      <c r="GT19" s="215"/>
      <c r="GU19" s="215"/>
      <c r="GV19" s="215"/>
      <c r="GW19" s="215"/>
      <c r="GX19" s="215"/>
      <c r="GY19" s="215"/>
      <c r="GZ19" s="215"/>
      <c r="HA19" s="215"/>
      <c r="HB19" s="215"/>
      <c r="HC19" s="215"/>
      <c r="HD19" s="215"/>
      <c r="HE19" s="215"/>
      <c r="HF19" s="215"/>
      <c r="HG19" s="215"/>
      <c r="HH19" s="215"/>
      <c r="HI19" s="215"/>
      <c r="HJ19" s="215"/>
      <c r="HK19" s="215"/>
      <c r="HL19" s="215"/>
      <c r="HM19" s="215"/>
      <c r="HN19" s="215"/>
      <c r="HO19" s="215"/>
      <c r="HP19" s="215"/>
      <c r="HQ19" s="215"/>
      <c r="HR19" s="215"/>
      <c r="HS19" s="215"/>
      <c r="HT19" s="215"/>
      <c r="HU19" s="215"/>
      <c r="HV19" s="215"/>
      <c r="HW19" s="215"/>
      <c r="HX19" s="215"/>
      <c r="HY19" s="215"/>
      <c r="HZ19" s="215"/>
      <c r="IA19" s="215"/>
      <c r="IB19" s="215"/>
      <c r="IC19" s="215"/>
      <c r="ID19" s="215"/>
      <c r="IE19" s="215"/>
      <c r="IF19" s="215"/>
      <c r="IG19" s="215"/>
      <c r="IH19" s="215"/>
      <c r="II19" s="215"/>
      <c r="IJ19" s="215"/>
      <c r="IK19" s="215"/>
      <c r="IL19" s="215"/>
      <c r="IM19" s="215"/>
      <c r="IN19" s="215"/>
      <c r="IO19" s="215"/>
      <c r="IP19" s="215"/>
      <c r="IQ19" s="215"/>
      <c r="IR19" s="215"/>
      <c r="IS19" s="215"/>
      <c r="IT19" s="215"/>
      <c r="IU19" s="215"/>
      <c r="IV19" s="215"/>
      <c r="IW19" s="215"/>
    </row>
    <row r="20" customFormat="false" ht="12.75" hidden="false" customHeight="false" outlineLevel="0" collapsed="false">
      <c r="A20" s="37" t="s">
        <v>855</v>
      </c>
      <c r="B20" s="215"/>
      <c r="C20" s="215"/>
      <c r="D20" s="220" t="n">
        <f aca="false">CF!D49</f>
        <v>-0</v>
      </c>
      <c r="E20" s="220" t="n">
        <f aca="false">CF!E49</f>
        <v>-0</v>
      </c>
      <c r="F20" s="220" t="n">
        <f aca="false">CF!F49</f>
        <v>-0</v>
      </c>
      <c r="G20" s="220" t="n">
        <f aca="false">CF!G49</f>
        <v>-0</v>
      </c>
      <c r="H20" s="220" t="n">
        <f aca="false">CF!H49</f>
        <v>-0</v>
      </c>
      <c r="I20" s="220" t="n">
        <f aca="false">CF!I49</f>
        <v>-2042.89183669435</v>
      </c>
      <c r="J20" s="220" t="n">
        <f aca="false">CF!J49</f>
        <v>-0</v>
      </c>
      <c r="K20" s="220" t="n">
        <f aca="false">CF!K49</f>
        <v>-7865.571578684</v>
      </c>
      <c r="L20" s="220" t="n">
        <f aca="false">CF!L49</f>
        <v>-8917.34191599675</v>
      </c>
      <c r="M20" s="220" t="n">
        <f aca="false">CF!M49</f>
        <v>-8656.03734334056</v>
      </c>
      <c r="N20" s="220" t="n">
        <f aca="false">CF!N49</f>
        <v>-7717.72673158535</v>
      </c>
      <c r="O20" s="220" t="n">
        <f aca="false">CF!O49</f>
        <v>-8069.96215435123</v>
      </c>
      <c r="P20" s="220" t="n">
        <f aca="false">CF!P49</f>
        <v>-9279.35702049191</v>
      </c>
      <c r="Q20" s="220" t="n">
        <f aca="false">CF!Q49</f>
        <v>-9279.35702049191</v>
      </c>
      <c r="R20" s="220" t="n">
        <f aca="false">CF!R49</f>
        <v>-7154.66177092837</v>
      </c>
      <c r="S20" s="220" t="n">
        <f aca="false">CF!S49</f>
        <v>-9279.35702049191</v>
      </c>
      <c r="T20" s="220" t="n">
        <f aca="false">CF!T49</f>
        <v>-3584.93109373236</v>
      </c>
      <c r="U20" s="220" t="n">
        <f aca="false">CF!U49</f>
        <v>-0</v>
      </c>
      <c r="V20" s="220" t="n">
        <f aca="false">CF!V49</f>
        <v>-0</v>
      </c>
      <c r="W20" s="220" t="n">
        <f aca="false">CF!W49</f>
        <v>-0</v>
      </c>
      <c r="X20" s="220" t="n">
        <f aca="false">CF!X49</f>
        <v>-0</v>
      </c>
      <c r="Y20" s="220" t="n">
        <f aca="false">CF!Y49</f>
        <v>-0</v>
      </c>
      <c r="Z20" s="576" t="n">
        <f aca="false">SUM(D20:Y20)</f>
        <v>-81847.1954867887</v>
      </c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  <c r="CF20" s="215"/>
      <c r="CG20" s="215"/>
      <c r="CH20" s="215"/>
      <c r="CI20" s="215"/>
      <c r="CJ20" s="215"/>
      <c r="CK20" s="215"/>
      <c r="CL20" s="215"/>
      <c r="CM20" s="215"/>
      <c r="CN20" s="215"/>
      <c r="CO20" s="215"/>
      <c r="CP20" s="215"/>
      <c r="CQ20" s="215"/>
      <c r="CR20" s="215"/>
      <c r="CS20" s="215"/>
      <c r="CT20" s="215"/>
      <c r="CU20" s="215"/>
      <c r="CV20" s="215"/>
      <c r="CW20" s="215"/>
      <c r="CX20" s="215"/>
      <c r="CY20" s="215"/>
      <c r="CZ20" s="215"/>
      <c r="DA20" s="215"/>
      <c r="DB20" s="215"/>
      <c r="DC20" s="215"/>
      <c r="DD20" s="215"/>
      <c r="DE20" s="215"/>
      <c r="DF20" s="215"/>
      <c r="DG20" s="215"/>
      <c r="DH20" s="215"/>
      <c r="DI20" s="215"/>
      <c r="DJ20" s="215"/>
      <c r="DK20" s="215"/>
      <c r="DL20" s="215"/>
      <c r="DM20" s="215"/>
      <c r="DN20" s="215"/>
      <c r="DO20" s="215"/>
      <c r="DP20" s="215"/>
      <c r="DQ20" s="215"/>
      <c r="DR20" s="215"/>
      <c r="DS20" s="215"/>
      <c r="DT20" s="215"/>
      <c r="DU20" s="215"/>
      <c r="DV20" s="215"/>
      <c r="DW20" s="215"/>
      <c r="DX20" s="215"/>
      <c r="DY20" s="215"/>
      <c r="DZ20" s="215"/>
      <c r="EA20" s="215"/>
      <c r="EB20" s="215"/>
      <c r="EC20" s="215"/>
      <c r="ED20" s="215"/>
      <c r="EE20" s="215"/>
      <c r="EF20" s="215"/>
      <c r="EG20" s="215"/>
      <c r="EH20" s="215"/>
      <c r="EI20" s="215"/>
      <c r="EJ20" s="215"/>
      <c r="EK20" s="215"/>
      <c r="EL20" s="215"/>
      <c r="EM20" s="215"/>
      <c r="EN20" s="215"/>
      <c r="EO20" s="215"/>
      <c r="EP20" s="215"/>
      <c r="EQ20" s="215"/>
      <c r="ER20" s="215"/>
      <c r="ES20" s="215"/>
      <c r="ET20" s="215"/>
      <c r="EU20" s="215"/>
      <c r="EV20" s="215"/>
      <c r="EW20" s="215"/>
      <c r="EX20" s="215"/>
      <c r="EY20" s="215"/>
      <c r="EZ20" s="215"/>
      <c r="FA20" s="215"/>
      <c r="FB20" s="215"/>
      <c r="FC20" s="215"/>
      <c r="FD20" s="215"/>
      <c r="FE20" s="215"/>
      <c r="FF20" s="215"/>
      <c r="FG20" s="215"/>
      <c r="FH20" s="215"/>
      <c r="FI20" s="215"/>
      <c r="FJ20" s="215"/>
      <c r="FK20" s="215"/>
      <c r="FL20" s="215"/>
      <c r="FM20" s="215"/>
      <c r="FN20" s="215"/>
      <c r="FO20" s="215"/>
      <c r="FP20" s="215"/>
      <c r="FQ20" s="215"/>
      <c r="FR20" s="215"/>
      <c r="FS20" s="215"/>
      <c r="FT20" s="215"/>
      <c r="FU20" s="215"/>
      <c r="FV20" s="215"/>
      <c r="FW20" s="215"/>
      <c r="FX20" s="215"/>
      <c r="FY20" s="215"/>
      <c r="FZ20" s="215"/>
      <c r="GA20" s="215"/>
      <c r="GB20" s="215"/>
      <c r="GC20" s="215"/>
      <c r="GD20" s="215"/>
      <c r="GE20" s="215"/>
      <c r="GF20" s="215"/>
      <c r="GG20" s="215"/>
      <c r="GH20" s="215"/>
      <c r="GI20" s="215"/>
      <c r="GJ20" s="215"/>
      <c r="GK20" s="215"/>
      <c r="GL20" s="215"/>
      <c r="GM20" s="215"/>
      <c r="GN20" s="215"/>
      <c r="GO20" s="215"/>
      <c r="GP20" s="215"/>
      <c r="GQ20" s="215"/>
      <c r="GR20" s="215"/>
      <c r="GS20" s="215"/>
      <c r="GT20" s="215"/>
      <c r="GU20" s="215"/>
      <c r="GV20" s="215"/>
      <c r="GW20" s="215"/>
      <c r="GX20" s="215"/>
      <c r="GY20" s="215"/>
      <c r="GZ20" s="215"/>
      <c r="HA20" s="215"/>
      <c r="HB20" s="215"/>
      <c r="HC20" s="215"/>
      <c r="HD20" s="215"/>
      <c r="HE20" s="215"/>
      <c r="HF20" s="215"/>
      <c r="HG20" s="215"/>
      <c r="HH20" s="215"/>
      <c r="HI20" s="215"/>
      <c r="HJ20" s="215"/>
      <c r="HK20" s="215"/>
      <c r="HL20" s="215"/>
      <c r="HM20" s="215"/>
      <c r="HN20" s="215"/>
      <c r="HO20" s="215"/>
      <c r="HP20" s="215"/>
      <c r="HQ20" s="215"/>
      <c r="HR20" s="215"/>
      <c r="HS20" s="215"/>
      <c r="HT20" s="215"/>
      <c r="HU20" s="215"/>
      <c r="HV20" s="215"/>
      <c r="HW20" s="215"/>
      <c r="HX20" s="215"/>
      <c r="HY20" s="215"/>
      <c r="HZ20" s="215"/>
      <c r="IA20" s="215"/>
      <c r="IB20" s="215"/>
      <c r="IC20" s="215"/>
      <c r="ID20" s="215"/>
      <c r="IE20" s="215"/>
      <c r="IF20" s="215"/>
      <c r="IG20" s="215"/>
      <c r="IH20" s="215"/>
      <c r="II20" s="215"/>
      <c r="IJ20" s="215"/>
      <c r="IK20" s="215"/>
      <c r="IL20" s="215"/>
      <c r="IM20" s="215"/>
      <c r="IN20" s="215"/>
      <c r="IO20" s="215"/>
      <c r="IP20" s="215"/>
      <c r="IQ20" s="215"/>
      <c r="IR20" s="215"/>
      <c r="IS20" s="215"/>
      <c r="IT20" s="215"/>
      <c r="IU20" s="215"/>
      <c r="IV20" s="215"/>
      <c r="IW20" s="215"/>
    </row>
    <row r="21" customFormat="false" ht="12.75" hidden="false" customHeight="false" outlineLevel="0" collapsed="false">
      <c r="A21" s="37" t="s">
        <v>1459</v>
      </c>
      <c r="D21" s="217" t="n">
        <f aca="false">SUM(D13:D20)</f>
        <v>0</v>
      </c>
      <c r="E21" s="217" t="n">
        <f aca="false">SUM(E13:E20)</f>
        <v>685.544957476587</v>
      </c>
      <c r="F21" s="217" t="n">
        <f aca="false">SUM(F13:F20)</f>
        <v>3358.88737803762</v>
      </c>
      <c r="G21" s="217" t="n">
        <f aca="false">SUM(G13:G20)</f>
        <v>-8834.50755459771</v>
      </c>
      <c r="H21" s="217" t="n">
        <f aca="false">SUM(H13:H20)</f>
        <v>-2893.14727074005</v>
      </c>
      <c r="I21" s="217" t="n">
        <f aca="false">SUM(I13:I20)</f>
        <v>768.785876205233</v>
      </c>
      <c r="J21" s="217" t="n">
        <f aca="false">SUM(J13:J20)</f>
        <v>-1823.64189094216</v>
      </c>
      <c r="K21" s="217" t="n">
        <f aca="false">SUM(K13:K20)</f>
        <v>6223.89534295705</v>
      </c>
      <c r="L21" s="217" t="n">
        <f aca="false">SUM(L13:L20)</f>
        <v>5213.7930856714</v>
      </c>
      <c r="M21" s="217" t="n">
        <f aca="false">SUM(M13:M20)</f>
        <v>15603.9192324086</v>
      </c>
      <c r="N21" s="217" t="n">
        <f aca="false">SUM(N13:N20)</f>
        <v>14655.8920193691</v>
      </c>
      <c r="O21" s="217" t="n">
        <f aca="false">SUM(O13:O20)</f>
        <v>1977.93695873006</v>
      </c>
      <c r="P21" s="217" t="n">
        <f aca="false">SUM(P13:P20)</f>
        <v>3107.05474457616</v>
      </c>
      <c r="Q21" s="217" t="n">
        <f aca="false">SUM(Q13:Q20)</f>
        <v>17003.3194898051</v>
      </c>
      <c r="R21" s="217" t="n">
        <f aca="false">SUM(R13:R20)</f>
        <v>14051.6276874643</v>
      </c>
      <c r="S21" s="217" t="n">
        <f aca="false">SUM(S13:S20)</f>
        <v>-6822.82342821505</v>
      </c>
      <c r="T21" s="217" t="n">
        <f aca="false">SUM(T13:T20)</f>
        <v>10459.0678034606</v>
      </c>
      <c r="U21" s="217" t="n">
        <f aca="false">SUM(U13:U20)</f>
        <v>-633.158003503032</v>
      </c>
      <c r="V21" s="217" t="n">
        <f aca="false">SUM(V13:V20)</f>
        <v>-15983.6156170033</v>
      </c>
      <c r="W21" s="217" t="n">
        <f aca="false">SUM(W13:W20)</f>
        <v>-28450.8691112185</v>
      </c>
      <c r="X21" s="217" t="n">
        <f aca="false">SUM(X13:X20)</f>
        <v>-11574.6128769193</v>
      </c>
      <c r="Y21" s="217" t="n">
        <f aca="false">SUM(Y13:Y20)</f>
        <v>-3103.47488561782</v>
      </c>
      <c r="Z21" s="574" t="n">
        <f aca="false">SUM(D21:Y21)</f>
        <v>12989.8739374049</v>
      </c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</row>
    <row r="22" customFormat="false" ht="12.75" hidden="false" customHeight="false" outlineLevel="0" collapsed="false">
      <c r="A22" s="37" t="s">
        <v>1460</v>
      </c>
      <c r="B22" s="175" t="s">
        <v>1461</v>
      </c>
      <c r="D22" s="220" t="n">
        <f aca="false">-D28</f>
        <v>-0</v>
      </c>
      <c r="E22" s="220" t="n">
        <f aca="false">-E28</f>
        <v>0</v>
      </c>
      <c r="F22" s="220" t="n">
        <f aca="false">-F28</f>
        <v>0</v>
      </c>
      <c r="G22" s="220" t="n">
        <f aca="false">-G28</f>
        <v>-0</v>
      </c>
      <c r="H22" s="220" t="n">
        <f aca="false">-H28</f>
        <v>-0</v>
      </c>
      <c r="I22" s="220" t="n">
        <f aca="false">-I28</f>
        <v>-230.63576286157</v>
      </c>
      <c r="J22" s="220" t="n">
        <f aca="false">-J28</f>
        <v>-0</v>
      </c>
      <c r="K22" s="220" t="n">
        <f aca="false">-K28</f>
        <v>-1867.16860288711</v>
      </c>
      <c r="L22" s="220" t="n">
        <f aca="false">-L28</f>
        <v>-1564.13792570142</v>
      </c>
      <c r="M22" s="220" t="n">
        <f aca="false">-M28</f>
        <v>-4681.17576972258</v>
      </c>
      <c r="N22" s="220" t="n">
        <f aca="false">-N28</f>
        <v>-4396.76760581072</v>
      </c>
      <c r="O22" s="220" t="n">
        <f aca="false">-O28</f>
        <v>-593.381087619019</v>
      </c>
      <c r="P22" s="220" t="n">
        <f aca="false">-P28</f>
        <v>-218.029961677491</v>
      </c>
      <c r="Q22" s="220" t="n">
        <f aca="false">-Q28</f>
        <v>0</v>
      </c>
      <c r="R22" s="220" t="n">
        <f aca="false">-R28</f>
        <v>0</v>
      </c>
      <c r="S22" s="220" t="n">
        <f aca="false">-S28</f>
        <v>-0</v>
      </c>
      <c r="T22" s="220" t="n">
        <f aca="false">-T28</f>
        <v>-3137.72034103817</v>
      </c>
      <c r="U22" s="220" t="n">
        <f aca="false">-U28</f>
        <v>-0</v>
      </c>
      <c r="V22" s="220" t="n">
        <f aca="false">-V28</f>
        <v>-0</v>
      </c>
      <c r="W22" s="220" t="n">
        <f aca="false">-W28</f>
        <v>-0</v>
      </c>
      <c r="X22" s="220" t="n">
        <f aca="false">-X28</f>
        <v>-0</v>
      </c>
      <c r="Y22" s="220" t="n">
        <f aca="false">-Y28</f>
        <v>-0</v>
      </c>
      <c r="Z22" s="576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</row>
    <row r="23" customFormat="false" ht="12.75" hidden="false" customHeight="false" outlineLevel="0" collapsed="false">
      <c r="A23" s="37" t="s">
        <v>1462</v>
      </c>
      <c r="D23" s="217" t="n">
        <f aca="false">IF(D21&lt;0,0,SUM(D21:D22))</f>
        <v>0</v>
      </c>
      <c r="E23" s="217" t="n">
        <f aca="false">IF(E21&lt;0,0,SUM(E21:E22))</f>
        <v>685.544957476587</v>
      </c>
      <c r="F23" s="217" t="n">
        <f aca="false">IF(F21&lt;0,0,SUM(F21:F22))</f>
        <v>3358.88737803762</v>
      </c>
      <c r="G23" s="217" t="n">
        <f aca="false">IF(G21&lt;0,0,SUM(G21:G22))</f>
        <v>0</v>
      </c>
      <c r="H23" s="217" t="n">
        <f aca="false">IF(H21&lt;0,0,SUM(H21:H22))</f>
        <v>0</v>
      </c>
      <c r="I23" s="217" t="n">
        <f aca="false">IF(I21&lt;0,0,SUM(I21:I22))</f>
        <v>538.150113343663</v>
      </c>
      <c r="J23" s="217" t="n">
        <f aca="false">IF(J21&lt;0,0,SUM(J21:J22))</f>
        <v>0</v>
      </c>
      <c r="K23" s="217" t="n">
        <f aca="false">IF(K21&lt;0,0,SUM(K21:K22))</f>
        <v>4356.72674006993</v>
      </c>
      <c r="L23" s="217" t="n">
        <f aca="false">IF(L21&lt;0,0,SUM(L21:L22))</f>
        <v>3649.65515996998</v>
      </c>
      <c r="M23" s="217" t="n">
        <f aca="false">IF(M21&lt;0,0,SUM(M21:M22))</f>
        <v>10922.743462686</v>
      </c>
      <c r="N23" s="217" t="n">
        <f aca="false">IF(N21&lt;0,0,SUM(N21:N22))</f>
        <v>10259.1244135584</v>
      </c>
      <c r="O23" s="217" t="n">
        <f aca="false">IF(O21&lt;0,0,SUM(O21:O22))</f>
        <v>1384.55587111104</v>
      </c>
      <c r="P23" s="217" t="n">
        <f aca="false">IF(P21&lt;0,0,SUM(P21:P22))</f>
        <v>2889.02478289867</v>
      </c>
      <c r="Q23" s="217" t="n">
        <f aca="false">IF(Q21&lt;0,0,SUM(Q21:Q22))</f>
        <v>17003.3194898051</v>
      </c>
      <c r="R23" s="217" t="n">
        <f aca="false">IF(R21&lt;0,0,SUM(R21:R22))</f>
        <v>14051.6276874643</v>
      </c>
      <c r="S23" s="217" t="n">
        <f aca="false">IF(S21&lt;0,0,SUM(S21:S22))</f>
        <v>0</v>
      </c>
      <c r="T23" s="217" t="n">
        <f aca="false">IF(T21&lt;0,0,SUM(T21:T22))</f>
        <v>7321.34746242239</v>
      </c>
      <c r="U23" s="217" t="n">
        <f aca="false">IF(U21&lt;0,0,SUM(U21:U22))</f>
        <v>0</v>
      </c>
      <c r="V23" s="217" t="n">
        <f aca="false">IF(V21&lt;0,0,SUM(V21:V22))</f>
        <v>0</v>
      </c>
      <c r="W23" s="217" t="n">
        <f aca="false">IF(W21&lt;0,0,SUM(W21:W22))</f>
        <v>0</v>
      </c>
      <c r="X23" s="217" t="n">
        <f aca="false">IF(X21&lt;0,0,SUM(X21:X22))</f>
        <v>0</v>
      </c>
      <c r="Y23" s="217" t="n">
        <f aca="false">IF(Y21&lt;0,0,SUM(Y21:Y22))</f>
        <v>0</v>
      </c>
      <c r="Z23" s="574" t="n">
        <f aca="false">SUM(D23:Y23)</f>
        <v>76420.7075188437</v>
      </c>
      <c r="AA23" s="215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</row>
    <row r="24" customFormat="false" ht="12.75" hidden="false" customHeight="false" outlineLevel="0" collapsed="false">
      <c r="A24" s="823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550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  <c r="CF24" s="215"/>
      <c r="CG24" s="215"/>
      <c r="CH24" s="215"/>
      <c r="CI24" s="215"/>
      <c r="CJ24" s="215"/>
      <c r="CK24" s="215"/>
      <c r="CL24" s="215"/>
      <c r="CM24" s="215"/>
      <c r="CN24" s="215"/>
      <c r="CO24" s="215"/>
      <c r="CP24" s="215"/>
      <c r="CQ24" s="215"/>
      <c r="CR24" s="215"/>
      <c r="CS24" s="215"/>
      <c r="CT24" s="215"/>
      <c r="CU24" s="215"/>
      <c r="CV24" s="215"/>
      <c r="CW24" s="215"/>
      <c r="CX24" s="215"/>
      <c r="CY24" s="215"/>
      <c r="CZ24" s="215"/>
      <c r="DA24" s="215"/>
      <c r="DB24" s="215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  <c r="EY24" s="215"/>
      <c r="EZ24" s="215"/>
      <c r="FA24" s="215"/>
      <c r="FB24" s="215"/>
      <c r="FC24" s="215"/>
      <c r="FD24" s="215"/>
      <c r="FE24" s="215"/>
      <c r="FF24" s="215"/>
      <c r="FG24" s="215"/>
      <c r="FH24" s="215"/>
      <c r="FI24" s="215"/>
      <c r="FJ24" s="215"/>
      <c r="FK24" s="215"/>
      <c r="FL24" s="215"/>
      <c r="FM24" s="215"/>
      <c r="FN24" s="215"/>
      <c r="FO24" s="215"/>
      <c r="FP24" s="215"/>
      <c r="FQ24" s="215"/>
      <c r="FR24" s="215"/>
      <c r="FS24" s="215"/>
      <c r="FT24" s="215"/>
      <c r="FU24" s="215"/>
      <c r="FV24" s="215"/>
      <c r="FW24" s="215"/>
      <c r="FX24" s="215"/>
      <c r="FY24" s="215"/>
      <c r="FZ24" s="215"/>
      <c r="GA24" s="215"/>
      <c r="GB24" s="215"/>
      <c r="GC24" s="215"/>
      <c r="GD24" s="215"/>
      <c r="GE24" s="215"/>
      <c r="GF24" s="215"/>
      <c r="GG24" s="215"/>
      <c r="GH24" s="215"/>
      <c r="GI24" s="215"/>
      <c r="GJ24" s="215"/>
      <c r="GK24" s="215"/>
      <c r="GL24" s="215"/>
      <c r="GM24" s="215"/>
      <c r="GN24" s="215"/>
      <c r="GO24" s="215"/>
      <c r="GP24" s="215"/>
      <c r="GQ24" s="215"/>
      <c r="GR24" s="215"/>
      <c r="GS24" s="215"/>
      <c r="GT24" s="215"/>
      <c r="GU24" s="215"/>
      <c r="GV24" s="215"/>
      <c r="GW24" s="215"/>
      <c r="GX24" s="215"/>
      <c r="GY24" s="215"/>
      <c r="GZ24" s="215"/>
      <c r="HA24" s="215"/>
      <c r="HB24" s="215"/>
      <c r="HC24" s="215"/>
      <c r="HD24" s="215"/>
      <c r="HE24" s="215"/>
      <c r="HF24" s="215"/>
      <c r="HG24" s="215"/>
      <c r="HH24" s="215"/>
      <c r="HI24" s="215"/>
      <c r="HJ24" s="215"/>
      <c r="HK24" s="215"/>
      <c r="HL24" s="215"/>
      <c r="HM24" s="215"/>
      <c r="HN24" s="215"/>
      <c r="HO24" s="215"/>
      <c r="HP24" s="215"/>
      <c r="HQ24" s="215"/>
      <c r="HR24" s="215"/>
      <c r="HS24" s="215"/>
      <c r="HT24" s="215"/>
      <c r="HU24" s="215"/>
      <c r="HV24" s="215"/>
      <c r="HW24" s="215"/>
      <c r="HX24" s="215"/>
      <c r="HY24" s="215"/>
      <c r="HZ24" s="215"/>
      <c r="IA24" s="215"/>
      <c r="IB24" s="215"/>
      <c r="IC24" s="215"/>
      <c r="ID24" s="215"/>
      <c r="IE24" s="215"/>
      <c r="IF24" s="215"/>
      <c r="IG24" s="215"/>
      <c r="IH24" s="215"/>
      <c r="II24" s="215"/>
      <c r="IJ24" s="215"/>
      <c r="IK24" s="215"/>
      <c r="IL24" s="215"/>
      <c r="IM24" s="215"/>
      <c r="IN24" s="215"/>
      <c r="IO24" s="215"/>
      <c r="IP24" s="215"/>
      <c r="IQ24" s="215"/>
      <c r="IR24" s="215"/>
      <c r="IS24" s="215"/>
      <c r="IT24" s="215"/>
      <c r="IU24" s="215"/>
      <c r="IV24" s="215"/>
      <c r="IW24" s="215"/>
    </row>
    <row r="25" customFormat="false" ht="12.75" hidden="false" customHeight="false" outlineLevel="0" collapsed="false">
      <c r="A25" s="1175" t="s">
        <v>1463</v>
      </c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550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  <c r="CF25" s="215"/>
      <c r="CG25" s="215"/>
      <c r="CH25" s="215"/>
      <c r="CI25" s="215"/>
      <c r="CJ25" s="215"/>
      <c r="CK25" s="215"/>
      <c r="CL25" s="215"/>
      <c r="CM25" s="215"/>
      <c r="CN25" s="215"/>
      <c r="CO25" s="215"/>
      <c r="CP25" s="215"/>
      <c r="CQ25" s="215"/>
      <c r="CR25" s="215"/>
      <c r="CS25" s="215"/>
      <c r="CT25" s="215"/>
      <c r="CU25" s="215"/>
      <c r="CV25" s="215"/>
      <c r="CW25" s="215"/>
      <c r="CX25" s="215"/>
      <c r="CY25" s="215"/>
      <c r="CZ25" s="215"/>
      <c r="DA25" s="215"/>
      <c r="DB25" s="215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  <c r="EY25" s="215"/>
      <c r="EZ25" s="215"/>
      <c r="FA25" s="215"/>
      <c r="FB25" s="215"/>
      <c r="FC25" s="215"/>
      <c r="FD25" s="215"/>
      <c r="FE25" s="215"/>
      <c r="FF25" s="215"/>
      <c r="FG25" s="215"/>
      <c r="FH25" s="215"/>
      <c r="FI25" s="215"/>
      <c r="FJ25" s="215"/>
      <c r="FK25" s="215"/>
      <c r="FL25" s="215"/>
      <c r="FM25" s="215"/>
      <c r="FN25" s="215"/>
      <c r="FO25" s="215"/>
      <c r="FP25" s="215"/>
      <c r="FQ25" s="215"/>
      <c r="FR25" s="215"/>
      <c r="FS25" s="215"/>
      <c r="FT25" s="215"/>
      <c r="FU25" s="215"/>
      <c r="FV25" s="215"/>
      <c r="FW25" s="215"/>
      <c r="FX25" s="215"/>
      <c r="FY25" s="215"/>
      <c r="FZ25" s="215"/>
      <c r="GA25" s="215"/>
      <c r="GB25" s="215"/>
      <c r="GC25" s="215"/>
      <c r="GD25" s="215"/>
      <c r="GE25" s="215"/>
      <c r="GF25" s="215"/>
      <c r="GG25" s="215"/>
      <c r="GH25" s="215"/>
      <c r="GI25" s="215"/>
      <c r="GJ25" s="215"/>
      <c r="GK25" s="215"/>
      <c r="GL25" s="215"/>
      <c r="GM25" s="215"/>
      <c r="GN25" s="215"/>
      <c r="GO25" s="215"/>
      <c r="GP25" s="215"/>
      <c r="GQ25" s="215"/>
      <c r="GR25" s="215"/>
      <c r="GS25" s="215"/>
      <c r="GT25" s="215"/>
      <c r="GU25" s="215"/>
      <c r="GV25" s="215"/>
      <c r="GW25" s="215"/>
      <c r="GX25" s="215"/>
      <c r="GY25" s="215"/>
      <c r="GZ25" s="215"/>
      <c r="HA25" s="215"/>
      <c r="HB25" s="215"/>
      <c r="HC25" s="215"/>
      <c r="HD25" s="215"/>
      <c r="HE25" s="215"/>
      <c r="HF25" s="215"/>
      <c r="HG25" s="215"/>
      <c r="HH25" s="215"/>
      <c r="HI25" s="215"/>
      <c r="HJ25" s="215"/>
      <c r="HK25" s="215"/>
      <c r="HL25" s="215"/>
      <c r="HM25" s="215"/>
      <c r="HN25" s="215"/>
      <c r="HO25" s="215"/>
      <c r="HP25" s="215"/>
      <c r="HQ25" s="215"/>
      <c r="HR25" s="215"/>
      <c r="HS25" s="215"/>
      <c r="HT25" s="215"/>
      <c r="HU25" s="215"/>
      <c r="HV25" s="215"/>
      <c r="HW25" s="215"/>
      <c r="HX25" s="215"/>
      <c r="HY25" s="215"/>
      <c r="HZ25" s="215"/>
      <c r="IA25" s="215"/>
      <c r="IB25" s="215"/>
      <c r="IC25" s="215"/>
      <c r="ID25" s="215"/>
      <c r="IE25" s="215"/>
      <c r="IF25" s="215"/>
      <c r="IG25" s="215"/>
      <c r="IH25" s="215"/>
      <c r="II25" s="215"/>
      <c r="IJ25" s="215"/>
      <c r="IK25" s="215"/>
      <c r="IL25" s="215"/>
      <c r="IM25" s="215"/>
      <c r="IN25" s="215"/>
      <c r="IO25" s="215"/>
      <c r="IP25" s="215"/>
      <c r="IQ25" s="215"/>
      <c r="IR25" s="215"/>
      <c r="IS25" s="215"/>
      <c r="IT25" s="215"/>
      <c r="IU25" s="215"/>
      <c r="IV25" s="215"/>
      <c r="IW25" s="215"/>
    </row>
    <row r="26" customFormat="false" ht="12.75" hidden="false" customHeight="false" outlineLevel="0" collapsed="false">
      <c r="A26" s="37" t="s">
        <v>1464</v>
      </c>
      <c r="D26" s="189" t="n">
        <v>0</v>
      </c>
      <c r="E26" s="217" t="n">
        <f aca="false">D29</f>
        <v>0</v>
      </c>
      <c r="F26" s="217" t="n">
        <f aca="false">E29</f>
        <v>0</v>
      </c>
      <c r="G26" s="217" t="n">
        <f aca="false">F29</f>
        <v>0</v>
      </c>
      <c r="H26" s="217" t="n">
        <f aca="false">G29</f>
        <v>0</v>
      </c>
      <c r="I26" s="217" t="n">
        <f aca="false">H29</f>
        <v>-8834.50755459771</v>
      </c>
      <c r="J26" s="217" t="n">
        <f aca="false">I29</f>
        <v>-11497.0190624762</v>
      </c>
      <c r="K26" s="217" t="n">
        <f aca="false">J29</f>
        <v>-11497.0190624762</v>
      </c>
      <c r="L26" s="217" t="n">
        <f aca="false">K29</f>
        <v>-11453.4923505312</v>
      </c>
      <c r="M26" s="217" t="n">
        <f aca="false">L29</f>
        <v>-9889.35442482981</v>
      </c>
      <c r="N26" s="217" t="n">
        <f aca="false">M29</f>
        <v>-5208.17865510723</v>
      </c>
      <c r="O26" s="217" t="n">
        <f aca="false">N29</f>
        <v>-811.41104929651</v>
      </c>
      <c r="P26" s="217" t="n">
        <f aca="false">O29</f>
        <v>-218.029961677491</v>
      </c>
      <c r="Q26" s="217" t="n">
        <f aca="false">P29</f>
        <v>0</v>
      </c>
      <c r="R26" s="217" t="n">
        <f aca="false">Q29</f>
        <v>0</v>
      </c>
      <c r="S26" s="217" t="n">
        <f aca="false">R29</f>
        <v>0</v>
      </c>
      <c r="T26" s="217" t="n">
        <f aca="false">S29</f>
        <v>0</v>
      </c>
      <c r="U26" s="217" t="n">
        <f aca="false">T29</f>
        <v>-3685.10308717688</v>
      </c>
      <c r="V26" s="217" t="n">
        <f aca="false">U29</f>
        <v>-3685.10308717688</v>
      </c>
      <c r="W26" s="217" t="n">
        <f aca="false">V29</f>
        <v>-4318.26109067991</v>
      </c>
      <c r="X26" s="217" t="n">
        <f aca="false">W29</f>
        <v>-20301.8767076833</v>
      </c>
      <c r="Y26" s="217" t="n">
        <f aca="false">X29</f>
        <v>-48752.7458189018</v>
      </c>
      <c r="Z26" s="574" t="n">
        <f aca="false">D26</f>
        <v>0</v>
      </c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</row>
    <row r="27" customFormat="false" ht="12.75" hidden="false" customHeight="false" outlineLevel="0" collapsed="false">
      <c r="A27" s="37" t="s">
        <v>1465</v>
      </c>
      <c r="D27" s="217" t="n">
        <f aca="false">IF(C21&lt;0,C21,0)</f>
        <v>0</v>
      </c>
      <c r="E27" s="217" t="n">
        <f aca="false">IF(D21&lt;0,D21,0)</f>
        <v>0</v>
      </c>
      <c r="F27" s="217" t="n">
        <f aca="false">IF(E21&lt;0,E21,0)</f>
        <v>0</v>
      </c>
      <c r="G27" s="217" t="n">
        <f aca="false">IF(F21&lt;0,F21,0)</f>
        <v>0</v>
      </c>
      <c r="H27" s="217" t="n">
        <f aca="false">IF(G21&lt;0,G21,0)</f>
        <v>-8834.50755459771</v>
      </c>
      <c r="I27" s="217" t="n">
        <f aca="false">IF(H21&lt;0,H21,0)</f>
        <v>-2893.14727074005</v>
      </c>
      <c r="J27" s="217" t="n">
        <f aca="false">IF(I21&lt;0,I21,0)</f>
        <v>0</v>
      </c>
      <c r="K27" s="217" t="n">
        <f aca="false">IF(J21&lt;0,J21,0)</f>
        <v>-1823.64189094216</v>
      </c>
      <c r="L27" s="217" t="n">
        <f aca="false">IF(K21&lt;0,K21,0)</f>
        <v>0</v>
      </c>
      <c r="M27" s="217" t="n">
        <f aca="false">IF(L21&lt;0,L21,0)</f>
        <v>0</v>
      </c>
      <c r="N27" s="217" t="n">
        <f aca="false">IF(M21&lt;0,M21,0)</f>
        <v>0</v>
      </c>
      <c r="O27" s="217" t="n">
        <f aca="false">IF(N21&lt;0,N21,0)</f>
        <v>0</v>
      </c>
      <c r="P27" s="217" t="n">
        <f aca="false">IF(O21&lt;0,O21,0)</f>
        <v>0</v>
      </c>
      <c r="Q27" s="217" t="n">
        <f aca="false">IF(P21&lt;0,P21,0)</f>
        <v>0</v>
      </c>
      <c r="R27" s="217" t="n">
        <f aca="false">IF(Q21&lt;0,Q21,0)</f>
        <v>0</v>
      </c>
      <c r="S27" s="217" t="n">
        <f aca="false">IF(R21&lt;0,R21,0)</f>
        <v>0</v>
      </c>
      <c r="T27" s="217" t="n">
        <f aca="false">IF(S21&lt;0,S21,0)</f>
        <v>-6822.82342821505</v>
      </c>
      <c r="U27" s="217" t="n">
        <f aca="false">IF(T21&lt;0,T21,0)</f>
        <v>0</v>
      </c>
      <c r="V27" s="217" t="n">
        <f aca="false">IF(U21&lt;0,U21,0)</f>
        <v>-633.158003503032</v>
      </c>
      <c r="W27" s="217" t="n">
        <f aca="false">IF(V21&lt;0,V21,0)</f>
        <v>-15983.6156170033</v>
      </c>
      <c r="X27" s="217" t="n">
        <f aca="false">IF(W21&lt;0,W21,0)</f>
        <v>-28450.8691112185</v>
      </c>
      <c r="Y27" s="217" t="n">
        <f aca="false">IF(X21&lt;0,X21,0)</f>
        <v>-11574.6128769193</v>
      </c>
      <c r="Z27" s="574" t="n">
        <f aca="false">SUM(D27:Y27)</f>
        <v>-77016.3757531391</v>
      </c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</row>
    <row r="28" customFormat="false" ht="12.75" hidden="false" customHeight="false" outlineLevel="0" collapsed="false">
      <c r="A28" s="37" t="s">
        <v>1460</v>
      </c>
      <c r="B28" s="175" t="str">
        <f aca="false">CONCATENATE("Capped @ ",TEXT(Nol,"0%"))</f>
        <v>Capped @ 30%</v>
      </c>
      <c r="D28" s="220" t="n">
        <f aca="false">IF(D21&gt;0,-MAX(-Nol*D21,SUM(D26:D27)),0)</f>
        <v>0</v>
      </c>
      <c r="E28" s="220" t="n">
        <f aca="false">IF(E21&gt;0,-MAX(-Nol*E21,SUM(E26:E27)),0)</f>
        <v>-0</v>
      </c>
      <c r="F28" s="220" t="n">
        <f aca="false">IF(F21&gt;0,-MAX(-Nol*F21,SUM(F26:F27)),0)</f>
        <v>-0</v>
      </c>
      <c r="G28" s="220" t="n">
        <f aca="false">IF(G21&gt;0,-MAX(-Nol*G21,SUM(G26:G27)),0)</f>
        <v>0</v>
      </c>
      <c r="H28" s="220" t="n">
        <f aca="false">IF(H21&gt;0,-MAX(-Nol*H21,SUM(H26:H27)),0)</f>
        <v>0</v>
      </c>
      <c r="I28" s="220" t="n">
        <f aca="false">IF(I21&gt;0,-MAX(-Nol*I21,SUM(I26:I27)),0)</f>
        <v>230.63576286157</v>
      </c>
      <c r="J28" s="220" t="n">
        <f aca="false">IF(J21&gt;0,-MAX(-Nol*J21,SUM(J26:J27)),0)</f>
        <v>0</v>
      </c>
      <c r="K28" s="220" t="n">
        <f aca="false">IF(K21&gt;0,-MAX(-Nol*K21,SUM(K26:K27)),0)</f>
        <v>1867.16860288711</v>
      </c>
      <c r="L28" s="220" t="n">
        <f aca="false">IF(L21&gt;0,-MAX(-Nol*L21,SUM(L26:L27)),0)</f>
        <v>1564.13792570142</v>
      </c>
      <c r="M28" s="220" t="n">
        <f aca="false">IF(M21&gt;0,-MAX(-Nol*M21,SUM(M26:M27)),0)</f>
        <v>4681.17576972258</v>
      </c>
      <c r="N28" s="220" t="n">
        <f aca="false">IF(N21&gt;0,-MAX(-Nol*N21,SUM(N26:N27)),0)</f>
        <v>4396.76760581072</v>
      </c>
      <c r="O28" s="220" t="n">
        <f aca="false">IF(O21&gt;0,-MAX(-Nol*O21,SUM(O26:O27)),0)</f>
        <v>593.381087619019</v>
      </c>
      <c r="P28" s="220" t="n">
        <f aca="false">IF(P21&gt;0,-MAX(-Nol*P21,SUM(P26:P27)),0)</f>
        <v>218.029961677491</v>
      </c>
      <c r="Q28" s="220" t="n">
        <f aca="false">IF(Q21&gt;0,-MAX(-Nol*Q21,SUM(Q26:Q27)),0)</f>
        <v>-0</v>
      </c>
      <c r="R28" s="220" t="n">
        <f aca="false">IF(R21&gt;0,-MAX(-Nol*R21,SUM(R26:R27)),0)</f>
        <v>-0</v>
      </c>
      <c r="S28" s="220" t="n">
        <f aca="false">IF(S21&gt;0,-MAX(-Nol*S21,SUM(S26:S27)),0)</f>
        <v>0</v>
      </c>
      <c r="T28" s="220" t="n">
        <f aca="false">IF(T21&gt;0,-MAX(-Nol*T21,SUM(T26:T27)),0)</f>
        <v>3137.72034103817</v>
      </c>
      <c r="U28" s="220" t="n">
        <f aca="false">IF(U21&gt;0,-MAX(-Nol*U21,SUM(U26:U27)),0)</f>
        <v>0</v>
      </c>
      <c r="V28" s="220" t="n">
        <f aca="false">IF(V21&gt;0,-MAX(-Nol*V21,SUM(V26:V27)),0)</f>
        <v>0</v>
      </c>
      <c r="W28" s="220" t="n">
        <f aca="false">IF(W21&gt;0,-MAX(-Nol*W21,SUM(W26:W27)),0)</f>
        <v>0</v>
      </c>
      <c r="X28" s="220" t="n">
        <f aca="false">IF(X21&gt;0,-MAX(-Nol*X21,SUM(X26:X27)),0)</f>
        <v>0</v>
      </c>
      <c r="Y28" s="220" t="n">
        <f aca="false">IF(Y21&gt;0,-MAX(-Nol*Y21,SUM(Y26:Y27)),0)</f>
        <v>0</v>
      </c>
      <c r="Z28" s="576" t="n">
        <f aca="false">SUM(D28:Y28)</f>
        <v>16689.0170573181</v>
      </c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</row>
    <row r="29" customFormat="false" ht="12.75" hidden="false" customHeight="false" outlineLevel="0" collapsed="false">
      <c r="A29" s="37" t="s">
        <v>1466</v>
      </c>
      <c r="C29" s="607"/>
      <c r="D29" s="217" t="n">
        <f aca="false">SUM(D26:D28)</f>
        <v>0</v>
      </c>
      <c r="E29" s="217" t="n">
        <f aca="false">SUM(E26:E28)</f>
        <v>0</v>
      </c>
      <c r="F29" s="217" t="n">
        <f aca="false">SUM(F26:F28)</f>
        <v>0</v>
      </c>
      <c r="G29" s="217" t="n">
        <f aca="false">SUM(G26:G28)</f>
        <v>0</v>
      </c>
      <c r="H29" s="217" t="n">
        <f aca="false">SUM(H26:H28)</f>
        <v>-8834.50755459771</v>
      </c>
      <c r="I29" s="217" t="n">
        <f aca="false">SUM(I26:I28)</f>
        <v>-11497.0190624762</v>
      </c>
      <c r="J29" s="217" t="n">
        <f aca="false">SUM(J26:J28)</f>
        <v>-11497.0190624762</v>
      </c>
      <c r="K29" s="217" t="n">
        <f aca="false">SUM(K26:K28)</f>
        <v>-11453.4923505312</v>
      </c>
      <c r="L29" s="217" t="n">
        <f aca="false">SUM(L26:L28)</f>
        <v>-9889.35442482981</v>
      </c>
      <c r="M29" s="217" t="n">
        <f aca="false">SUM(M26:M28)</f>
        <v>-5208.17865510723</v>
      </c>
      <c r="N29" s="217" t="n">
        <f aca="false">SUM(N26:N28)</f>
        <v>-811.41104929651</v>
      </c>
      <c r="O29" s="217" t="n">
        <f aca="false">SUM(O26:O28)</f>
        <v>-218.029961677491</v>
      </c>
      <c r="P29" s="217" t="n">
        <f aca="false">SUM(P26:P28)</f>
        <v>0</v>
      </c>
      <c r="Q29" s="217" t="n">
        <f aca="false">SUM(Q26:Q28)</f>
        <v>0</v>
      </c>
      <c r="R29" s="217" t="n">
        <f aca="false">SUM(R26:R28)</f>
        <v>0</v>
      </c>
      <c r="S29" s="217" t="n">
        <f aca="false">SUM(S26:S28)</f>
        <v>0</v>
      </c>
      <c r="T29" s="217" t="n">
        <f aca="false">SUM(T26:T28)</f>
        <v>-3685.10308717688</v>
      </c>
      <c r="U29" s="217" t="n">
        <f aca="false">SUM(U26:U28)</f>
        <v>-3685.10308717688</v>
      </c>
      <c r="V29" s="217" t="n">
        <f aca="false">SUM(V26:V28)</f>
        <v>-4318.26109067991</v>
      </c>
      <c r="W29" s="217" t="n">
        <f aca="false">SUM(W26:W28)</f>
        <v>-20301.8767076833</v>
      </c>
      <c r="X29" s="217" t="n">
        <f aca="false">SUM(X26:X28)</f>
        <v>-48752.7458189018</v>
      </c>
      <c r="Y29" s="217" t="n">
        <f aca="false">SUM(Y26:Y28)</f>
        <v>-60327.358695821</v>
      </c>
      <c r="Z29" s="574" t="n">
        <f aca="false">SUM(Z26:Z28)</f>
        <v>-60327.3586958211</v>
      </c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</row>
    <row r="30" customFormat="false" ht="12.75" hidden="false" customHeight="false" outlineLevel="0" collapsed="false">
      <c r="A30" s="37"/>
      <c r="Z30" s="555"/>
    </row>
    <row r="31" customFormat="false" ht="12.75" hidden="false" customHeight="false" outlineLevel="0" collapsed="false">
      <c r="A31" s="130" t="s">
        <v>71</v>
      </c>
      <c r="C31" s="607"/>
      <c r="D31" s="556"/>
      <c r="E31" s="556"/>
      <c r="F31" s="556"/>
      <c r="G31" s="556"/>
      <c r="H31" s="556"/>
      <c r="I31" s="556"/>
      <c r="J31" s="556"/>
      <c r="K31" s="556"/>
      <c r="L31" s="556"/>
      <c r="M31" s="556"/>
      <c r="N31" s="556"/>
      <c r="O31" s="556"/>
      <c r="P31" s="556"/>
      <c r="Q31" s="556"/>
      <c r="R31" s="556"/>
      <c r="S31" s="556"/>
      <c r="T31" s="556"/>
      <c r="U31" s="556"/>
      <c r="V31" s="556"/>
      <c r="W31" s="556"/>
      <c r="X31" s="556"/>
      <c r="Y31" s="556"/>
      <c r="Z31" s="557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</row>
    <row r="32" customFormat="false" ht="12.75" hidden="false" customHeight="false" outlineLevel="0" collapsed="false">
      <c r="A32" s="37" t="s">
        <v>1467</v>
      </c>
      <c r="C32" s="607"/>
      <c r="D32" s="217" t="n">
        <f aca="false">D$23</f>
        <v>0</v>
      </c>
      <c r="E32" s="217" t="n">
        <f aca="false">E$23</f>
        <v>685.544957476587</v>
      </c>
      <c r="F32" s="217" t="n">
        <f aca="false">F$23</f>
        <v>3358.88737803762</v>
      </c>
      <c r="G32" s="217" t="n">
        <f aca="false">G$23</f>
        <v>0</v>
      </c>
      <c r="H32" s="217" t="n">
        <f aca="false">H$23</f>
        <v>0</v>
      </c>
      <c r="I32" s="217" t="n">
        <f aca="false">I$23</f>
        <v>538.150113343663</v>
      </c>
      <c r="J32" s="217" t="n">
        <f aca="false">J$23</f>
        <v>0</v>
      </c>
      <c r="K32" s="217" t="n">
        <f aca="false">K$23</f>
        <v>4356.72674006993</v>
      </c>
      <c r="L32" s="217" t="n">
        <f aca="false">L$23</f>
        <v>3649.65515996998</v>
      </c>
      <c r="M32" s="217" t="n">
        <f aca="false">M$23</f>
        <v>10922.743462686</v>
      </c>
      <c r="N32" s="217" t="n">
        <f aca="false">N$23</f>
        <v>10259.1244135584</v>
      </c>
      <c r="O32" s="217" t="n">
        <f aca="false">O$23</f>
        <v>1384.55587111104</v>
      </c>
      <c r="P32" s="217" t="n">
        <f aca="false">P$23</f>
        <v>2889.02478289867</v>
      </c>
      <c r="Q32" s="217" t="n">
        <f aca="false">Q$23</f>
        <v>17003.3194898051</v>
      </c>
      <c r="R32" s="217" t="n">
        <f aca="false">R$23</f>
        <v>14051.6276874643</v>
      </c>
      <c r="S32" s="217" t="n">
        <f aca="false">S$23</f>
        <v>0</v>
      </c>
      <c r="T32" s="217" t="n">
        <f aca="false">T$23</f>
        <v>7321.34746242239</v>
      </c>
      <c r="U32" s="217" t="n">
        <f aca="false">U$23</f>
        <v>0</v>
      </c>
      <c r="V32" s="217" t="n">
        <f aca="false">V$23</f>
        <v>0</v>
      </c>
      <c r="W32" s="217" t="n">
        <f aca="false">W$23</f>
        <v>0</v>
      </c>
      <c r="X32" s="217" t="n">
        <f aca="false">X$23</f>
        <v>0</v>
      </c>
      <c r="Y32" s="217" t="n">
        <f aca="false">Y$23</f>
        <v>0</v>
      </c>
      <c r="Z32" s="574" t="n">
        <f aca="false">SUM(D32:Y32)</f>
        <v>76420.7075188437</v>
      </c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</row>
    <row r="33" customFormat="false" ht="12.75" hidden="false" customHeight="false" outlineLevel="0" collapsed="false">
      <c r="A33" s="37" t="s">
        <v>1431</v>
      </c>
      <c r="C33" s="607"/>
      <c r="D33" s="772" t="n">
        <f aca="false">Tax</f>
        <v>0.15</v>
      </c>
      <c r="E33" s="772" t="n">
        <f aca="false">Tax</f>
        <v>0.15</v>
      </c>
      <c r="F33" s="772" t="n">
        <f aca="false">Tax</f>
        <v>0.15</v>
      </c>
      <c r="G33" s="772" t="n">
        <f aca="false">Tax</f>
        <v>0.15</v>
      </c>
      <c r="H33" s="772" t="n">
        <f aca="false">Tax</f>
        <v>0.15</v>
      </c>
      <c r="I33" s="772" t="n">
        <f aca="false">Tax</f>
        <v>0.15</v>
      </c>
      <c r="J33" s="772" t="n">
        <f aca="false">Tax</f>
        <v>0.15</v>
      </c>
      <c r="K33" s="772" t="n">
        <f aca="false">Tax</f>
        <v>0.15</v>
      </c>
      <c r="L33" s="772" t="n">
        <f aca="false">Tax</f>
        <v>0.15</v>
      </c>
      <c r="M33" s="772" t="n">
        <f aca="false">Tax</f>
        <v>0.15</v>
      </c>
      <c r="N33" s="772" t="n">
        <f aca="false">Tax</f>
        <v>0.15</v>
      </c>
      <c r="O33" s="772" t="n">
        <f aca="false">Tax</f>
        <v>0.15</v>
      </c>
      <c r="P33" s="772" t="n">
        <f aca="false">Tax</f>
        <v>0.15</v>
      </c>
      <c r="Q33" s="772" t="n">
        <f aca="false">Tax</f>
        <v>0.15</v>
      </c>
      <c r="R33" s="772" t="n">
        <f aca="false">Tax</f>
        <v>0.15</v>
      </c>
      <c r="S33" s="772" t="n">
        <f aca="false">Tax</f>
        <v>0.15</v>
      </c>
      <c r="T33" s="772" t="n">
        <f aca="false">Tax</f>
        <v>0.15</v>
      </c>
      <c r="U33" s="772" t="n">
        <f aca="false">Tax</f>
        <v>0.15</v>
      </c>
      <c r="V33" s="772" t="n">
        <f aca="false">Tax</f>
        <v>0.15</v>
      </c>
      <c r="W33" s="772" t="n">
        <f aca="false">Tax</f>
        <v>0.15</v>
      </c>
      <c r="X33" s="772" t="n">
        <f aca="false">Tax</f>
        <v>0.15</v>
      </c>
      <c r="Y33" s="772" t="n">
        <f aca="false">Tax</f>
        <v>0.15</v>
      </c>
      <c r="Z33" s="557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</row>
    <row r="34" customFormat="false" ht="12.75" hidden="false" customHeight="false" outlineLevel="0" collapsed="false">
      <c r="A34" s="37" t="s">
        <v>1432</v>
      </c>
      <c r="C34" s="607"/>
      <c r="D34" s="217" t="n">
        <f aca="false">D32*D33</f>
        <v>0</v>
      </c>
      <c r="E34" s="217" t="n">
        <f aca="false">E32*E33</f>
        <v>102.831743621488</v>
      </c>
      <c r="F34" s="217" t="n">
        <f aca="false">F32*F33</f>
        <v>503.833106705643</v>
      </c>
      <c r="G34" s="217" t="n">
        <f aca="false">G32*G33</f>
        <v>0</v>
      </c>
      <c r="H34" s="217" t="n">
        <f aca="false">H32*H33</f>
        <v>0</v>
      </c>
      <c r="I34" s="217" t="n">
        <f aca="false">I32*I33</f>
        <v>80.7225170015495</v>
      </c>
      <c r="J34" s="217" t="n">
        <f aca="false">J32*J33</f>
        <v>0</v>
      </c>
      <c r="K34" s="217" t="n">
        <f aca="false">K32*K33</f>
        <v>653.50901101049</v>
      </c>
      <c r="L34" s="217" t="n">
        <f aca="false">L32*L33</f>
        <v>547.448273995497</v>
      </c>
      <c r="M34" s="217" t="n">
        <f aca="false">M32*M33</f>
        <v>1638.4115194029</v>
      </c>
      <c r="N34" s="217" t="n">
        <f aca="false">N32*N33</f>
        <v>1538.86866203375</v>
      </c>
      <c r="O34" s="217" t="n">
        <f aca="false">O32*O33</f>
        <v>207.683380666657</v>
      </c>
      <c r="P34" s="217" t="n">
        <f aca="false">P32*P33</f>
        <v>433.353717434801</v>
      </c>
      <c r="Q34" s="217" t="n">
        <f aca="false">Q32*Q33</f>
        <v>2550.49792347077</v>
      </c>
      <c r="R34" s="217" t="n">
        <f aca="false">R32*R33</f>
        <v>2107.74415311965</v>
      </c>
      <c r="S34" s="217" t="n">
        <f aca="false">S32*S33</f>
        <v>0</v>
      </c>
      <c r="T34" s="217" t="n">
        <f aca="false">T32*T33</f>
        <v>1098.20211936336</v>
      </c>
      <c r="U34" s="217" t="n">
        <f aca="false">U32*U33</f>
        <v>0</v>
      </c>
      <c r="V34" s="217" t="n">
        <f aca="false">V32*V33</f>
        <v>0</v>
      </c>
      <c r="W34" s="217" t="n">
        <f aca="false">W32*W33</f>
        <v>0</v>
      </c>
      <c r="X34" s="217" t="n">
        <f aca="false">X32*X33</f>
        <v>0</v>
      </c>
      <c r="Y34" s="217" t="n">
        <f aca="false">Y32*Y33</f>
        <v>0</v>
      </c>
      <c r="Z34" s="574" t="n">
        <f aca="false">SUM(D34:Y34)</f>
        <v>11463.1061278266</v>
      </c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</row>
    <row r="35" customFormat="false" ht="12.75" hidden="false" customHeight="false" outlineLevel="0" collapsed="false">
      <c r="A35" s="823"/>
      <c r="B35" s="215"/>
      <c r="C35" s="1163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550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5"/>
      <c r="BN35" s="215"/>
      <c r="BO35" s="215"/>
      <c r="BP35" s="215"/>
      <c r="BQ35" s="215"/>
      <c r="BR35" s="215"/>
      <c r="BS35" s="215"/>
      <c r="BT35" s="215"/>
      <c r="BU35" s="215"/>
      <c r="BV35" s="215"/>
      <c r="BW35" s="215"/>
      <c r="BX35" s="215"/>
      <c r="BY35" s="215"/>
      <c r="BZ35" s="215"/>
      <c r="CA35" s="215"/>
      <c r="CB35" s="215"/>
      <c r="CC35" s="215"/>
      <c r="CD35" s="215"/>
      <c r="CE35" s="215"/>
      <c r="CF35" s="215"/>
      <c r="CG35" s="215"/>
      <c r="CH35" s="215"/>
      <c r="CI35" s="215"/>
      <c r="CJ35" s="215"/>
      <c r="CK35" s="215"/>
      <c r="CL35" s="215"/>
      <c r="CM35" s="215"/>
      <c r="CN35" s="215"/>
      <c r="CO35" s="215"/>
      <c r="CP35" s="215"/>
      <c r="CQ35" s="215"/>
      <c r="CR35" s="215"/>
      <c r="CS35" s="215"/>
      <c r="CT35" s="215"/>
      <c r="CU35" s="215"/>
      <c r="CV35" s="215"/>
      <c r="CW35" s="215"/>
      <c r="CX35" s="215"/>
      <c r="CY35" s="215"/>
      <c r="CZ35" s="215"/>
      <c r="DA35" s="215"/>
      <c r="DB35" s="215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  <c r="EY35" s="215"/>
      <c r="EZ35" s="215"/>
      <c r="FA35" s="215"/>
      <c r="FB35" s="215"/>
      <c r="FC35" s="215"/>
      <c r="FD35" s="215"/>
      <c r="FE35" s="215"/>
      <c r="FF35" s="215"/>
      <c r="FG35" s="215"/>
      <c r="FH35" s="215"/>
      <c r="FI35" s="215"/>
      <c r="FJ35" s="215"/>
      <c r="FK35" s="215"/>
      <c r="FL35" s="215"/>
      <c r="FM35" s="215"/>
      <c r="FN35" s="215"/>
      <c r="FO35" s="215"/>
      <c r="FP35" s="215"/>
      <c r="FQ35" s="215"/>
      <c r="FR35" s="215"/>
      <c r="FS35" s="215"/>
      <c r="FT35" s="215"/>
      <c r="FU35" s="215"/>
      <c r="FV35" s="215"/>
      <c r="FW35" s="215"/>
      <c r="FX35" s="215"/>
      <c r="FY35" s="215"/>
      <c r="FZ35" s="215"/>
      <c r="GA35" s="215"/>
      <c r="GB35" s="215"/>
      <c r="GC35" s="215"/>
      <c r="GD35" s="215"/>
      <c r="GE35" s="215"/>
      <c r="GF35" s="215"/>
      <c r="GG35" s="215"/>
      <c r="GH35" s="215"/>
      <c r="GI35" s="215"/>
      <c r="GJ35" s="215"/>
      <c r="GK35" s="215"/>
      <c r="GL35" s="215"/>
      <c r="GM35" s="215"/>
      <c r="GN35" s="215"/>
      <c r="GO35" s="215"/>
      <c r="GP35" s="215"/>
      <c r="GQ35" s="215"/>
      <c r="GR35" s="215"/>
      <c r="GS35" s="215"/>
      <c r="GT35" s="215"/>
      <c r="GU35" s="215"/>
      <c r="GV35" s="215"/>
      <c r="GW35" s="215"/>
      <c r="GX35" s="215"/>
      <c r="GY35" s="215"/>
      <c r="GZ35" s="215"/>
      <c r="HA35" s="215"/>
      <c r="HB35" s="215"/>
      <c r="HC35" s="215"/>
      <c r="HD35" s="215"/>
      <c r="HE35" s="215"/>
      <c r="HF35" s="215"/>
      <c r="HG35" s="215"/>
      <c r="HH35" s="215"/>
      <c r="HI35" s="215"/>
      <c r="HJ35" s="215"/>
      <c r="HK35" s="215"/>
      <c r="HL35" s="215"/>
      <c r="HM35" s="215"/>
      <c r="HN35" s="215"/>
      <c r="HO35" s="215"/>
      <c r="HP35" s="215"/>
      <c r="HQ35" s="215"/>
      <c r="HR35" s="215"/>
      <c r="HS35" s="215"/>
      <c r="HT35" s="215"/>
      <c r="HU35" s="215"/>
      <c r="HV35" s="215"/>
      <c r="HW35" s="215"/>
      <c r="HX35" s="215"/>
      <c r="HY35" s="215"/>
      <c r="HZ35" s="215"/>
      <c r="IA35" s="215"/>
      <c r="IB35" s="215"/>
      <c r="IC35" s="215"/>
      <c r="ID35" s="215"/>
      <c r="IE35" s="215"/>
      <c r="IF35" s="215"/>
      <c r="IG35" s="215"/>
      <c r="IH35" s="215"/>
      <c r="II35" s="215"/>
      <c r="IJ35" s="215"/>
      <c r="IK35" s="215"/>
      <c r="IL35" s="215"/>
      <c r="IM35" s="215"/>
      <c r="IN35" s="215"/>
      <c r="IO35" s="215"/>
      <c r="IP35" s="215"/>
      <c r="IQ35" s="215"/>
      <c r="IR35" s="215"/>
      <c r="IS35" s="215"/>
      <c r="IT35" s="215"/>
      <c r="IU35" s="215"/>
      <c r="IV35" s="215"/>
      <c r="IW35" s="215"/>
    </row>
    <row r="36" customFormat="false" ht="12.75" hidden="false" customHeight="false" outlineLevel="0" collapsed="false">
      <c r="A36" s="130" t="s">
        <v>78</v>
      </c>
      <c r="C36" s="607"/>
      <c r="D36" s="556"/>
      <c r="E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6"/>
      <c r="Q36" s="556"/>
      <c r="R36" s="556"/>
      <c r="S36" s="556"/>
      <c r="T36" s="556"/>
      <c r="U36" s="556"/>
      <c r="V36" s="556"/>
      <c r="W36" s="556"/>
      <c r="X36" s="556"/>
      <c r="Y36" s="556"/>
      <c r="Z36" s="557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</row>
    <row r="37" customFormat="false" ht="12.75" hidden="false" customHeight="false" outlineLevel="0" collapsed="false">
      <c r="A37" s="37" t="s">
        <v>1467</v>
      </c>
      <c r="D37" s="217" t="n">
        <f aca="false">D$23</f>
        <v>0</v>
      </c>
      <c r="E37" s="217" t="n">
        <f aca="false">E$23</f>
        <v>685.544957476587</v>
      </c>
      <c r="F37" s="217" t="n">
        <f aca="false">F$23</f>
        <v>3358.88737803762</v>
      </c>
      <c r="G37" s="217" t="n">
        <f aca="false">G$23</f>
        <v>0</v>
      </c>
      <c r="H37" s="217" t="n">
        <f aca="false">H$23</f>
        <v>0</v>
      </c>
      <c r="I37" s="217" t="n">
        <f aca="false">I$23</f>
        <v>538.150113343663</v>
      </c>
      <c r="J37" s="217" t="n">
        <f aca="false">J$23</f>
        <v>0</v>
      </c>
      <c r="K37" s="217" t="n">
        <f aca="false">K$23</f>
        <v>4356.72674006993</v>
      </c>
      <c r="L37" s="217" t="n">
        <f aca="false">L$23</f>
        <v>3649.65515996998</v>
      </c>
      <c r="M37" s="217" t="n">
        <f aca="false">M$23</f>
        <v>10922.743462686</v>
      </c>
      <c r="N37" s="217" t="n">
        <f aca="false">N$23</f>
        <v>10259.1244135584</v>
      </c>
      <c r="O37" s="217" t="n">
        <f aca="false">O$23</f>
        <v>1384.55587111104</v>
      </c>
      <c r="P37" s="217" t="n">
        <f aca="false">P$23</f>
        <v>2889.02478289867</v>
      </c>
      <c r="Q37" s="217" t="n">
        <f aca="false">Q$23</f>
        <v>17003.3194898051</v>
      </c>
      <c r="R37" s="217" t="n">
        <f aca="false">R$23</f>
        <v>14051.6276874643</v>
      </c>
      <c r="S37" s="217" t="n">
        <f aca="false">S$23</f>
        <v>0</v>
      </c>
      <c r="T37" s="217" t="n">
        <f aca="false">T$23</f>
        <v>7321.34746242239</v>
      </c>
      <c r="U37" s="217" t="n">
        <f aca="false">U$23</f>
        <v>0</v>
      </c>
      <c r="V37" s="217" t="n">
        <f aca="false">V$23</f>
        <v>0</v>
      </c>
      <c r="W37" s="217" t="n">
        <f aca="false">W$23</f>
        <v>0</v>
      </c>
      <c r="X37" s="217" t="n">
        <f aca="false">X$23</f>
        <v>0</v>
      </c>
      <c r="Y37" s="217" t="n">
        <f aca="false">Y$23</f>
        <v>0</v>
      </c>
      <c r="Z37" s="574" t="n">
        <f aca="false">SUM(D37:Y37)</f>
        <v>76420.7075188437</v>
      </c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</row>
    <row r="38" customFormat="false" ht="12.75" hidden="false" customHeight="false" outlineLevel="0" collapsed="false">
      <c r="A38" s="37" t="s">
        <v>1433</v>
      </c>
      <c r="C38" s="607"/>
      <c r="D38" s="220" t="n">
        <f aca="false">-IF(D37&lt;=0,0,MIN(D37,Assm!$L$9/Rev_Exp!D$27*D$9/12))</f>
        <v>-0</v>
      </c>
      <c r="E38" s="220" t="n">
        <f aca="false">-IF(E37&lt;=0,0,MIN(E37,Assm!$L$9/Rev_Exp!E$27*E$9/12))</f>
        <v>-154.635854040936</v>
      </c>
      <c r="F38" s="220" t="n">
        <f aca="false">-IF(F37&lt;=0,0,MIN(F37,Assm!$L$9/Rev_Exp!F$27*F$9/12))</f>
        <v>-129.324861357462</v>
      </c>
      <c r="G38" s="220" t="n">
        <f aca="false">-IF(G37&lt;=0,0,MIN(G37,Assm!$L$9/Rev_Exp!G$27*G$9/12))</f>
        <v>-0</v>
      </c>
      <c r="H38" s="220" t="n">
        <f aca="false">-IF(H37&lt;=0,0,MIN(H37,Assm!$L$9/Rev_Exp!H$27*H$9/12))</f>
        <v>-0</v>
      </c>
      <c r="I38" s="220" t="n">
        <f aca="false">-IF(I37&lt;=0,0,MIN(I37,Assm!$L$9/Rev_Exp!I$27*I$9/12))</f>
        <v>-116.329960827261</v>
      </c>
      <c r="J38" s="220" t="n">
        <f aca="false">-IF(J37&lt;=0,0,MIN(J37,Assm!$L$9/Rev_Exp!J$27*J$9/12))</f>
        <v>-0</v>
      </c>
      <c r="K38" s="220" t="n">
        <f aca="false">-IF(K37&lt;=0,0,MIN(K37,Assm!$L$9/Rev_Exp!K$27*K$9/12))</f>
        <v>-107.329331839699</v>
      </c>
      <c r="L38" s="220" t="n">
        <f aca="false">-IF(L37&lt;=0,0,MIN(L37,Assm!$L$9/Rev_Exp!L$27*L$9/12))</f>
        <v>-104.221572108998</v>
      </c>
      <c r="M38" s="220" t="n">
        <f aca="false">-IF(M37&lt;=0,0,MIN(M37,Assm!$L$9/Rev_Exp!M$27*M$9/12))</f>
        <v>-101.362658338312</v>
      </c>
      <c r="N38" s="220" t="n">
        <f aca="false">-IF(N37&lt;=0,0,MIN(N37,Assm!$L$9/Rev_Exp!N$27*N$9/12))</f>
        <v>-98.6449994151227</v>
      </c>
      <c r="O38" s="220" t="n">
        <f aca="false">-IF(O37&lt;=0,0,MIN(O37,Assm!$L$9/Rev_Exp!O$27*O$9/12))</f>
        <v>-96.1117150761202</v>
      </c>
      <c r="P38" s="220" t="n">
        <f aca="false">-IF(P37&lt;=0,0,MIN(P37,Assm!$L$9/Rev_Exp!P$27*P$9/12))</f>
        <v>-93.7393818185871</v>
      </c>
      <c r="Q38" s="220" t="n">
        <f aca="false">-IF(Q37&lt;=0,0,MIN(Q37,Assm!$L$9/Rev_Exp!Q$27*Q$9/12))</f>
        <v>-91.5198970894185</v>
      </c>
      <c r="R38" s="220" t="n">
        <f aca="false">-IF(R37&lt;=0,0,MIN(R37,Assm!$L$9/Rev_Exp!R$27*R$9/12))</f>
        <v>-89.5316598796252</v>
      </c>
      <c r="S38" s="220" t="n">
        <f aca="false">-IF(S37&lt;=0,0,MIN(S37,Assm!$L$9/Rev_Exp!S$27*S$9/12))</f>
        <v>-0</v>
      </c>
      <c r="T38" s="220" t="n">
        <f aca="false">-IF(T37&lt;=0,0,MIN(T37,Assm!$L$9/Rev_Exp!T$27*T$9/12))</f>
        <v>-86.010903858653</v>
      </c>
      <c r="U38" s="220" t="n">
        <f aca="false">-IF(U37&lt;=0,0,MIN(U37,Assm!$L$9/Rev_Exp!U$27*U$9/12))</f>
        <v>-0</v>
      </c>
      <c r="V38" s="220" t="n">
        <f aca="false">-IF(V37&lt;=0,0,MIN(V37,Assm!$L$9/Rev_Exp!V$27*V$9/12))</f>
        <v>-0</v>
      </c>
      <c r="W38" s="220" t="n">
        <f aca="false">-IF(W37&lt;=0,0,MIN(W37,Assm!$L$9/Rev_Exp!W$27*W$9/12))</f>
        <v>-0</v>
      </c>
      <c r="X38" s="220" t="n">
        <f aca="false">-IF(X37&lt;=0,0,MIN(X37,Assm!$L$9/Rev_Exp!X$27*X$9/12))</f>
        <v>-0</v>
      </c>
      <c r="Y38" s="220" t="n">
        <f aca="false">-IF(Y37&lt;=0,0,MIN(Y37,Assm!$L$9/Rev_Exp!Y$27*Y$9/12))</f>
        <v>-0</v>
      </c>
      <c r="Z38" s="576" t="n">
        <f aca="false">SUM(D38:Y38)</f>
        <v>-1268.7627956502</v>
      </c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</row>
    <row r="39" customFormat="false" ht="12.75" hidden="false" customHeight="false" outlineLevel="0" collapsed="false">
      <c r="A39" s="37" t="s">
        <v>1434</v>
      </c>
      <c r="C39" s="607"/>
      <c r="D39" s="217" t="n">
        <f aca="false">SUM(D37:D38)</f>
        <v>0</v>
      </c>
      <c r="E39" s="217" t="n">
        <f aca="false">SUM(E37:E38)</f>
        <v>530.909103435651</v>
      </c>
      <c r="F39" s="217" t="n">
        <f aca="false">SUM(F37:F38)</f>
        <v>3229.56251668016</v>
      </c>
      <c r="G39" s="217" t="n">
        <f aca="false">SUM(G37:G38)</f>
        <v>0</v>
      </c>
      <c r="H39" s="217" t="n">
        <f aca="false">SUM(H37:H38)</f>
        <v>0</v>
      </c>
      <c r="I39" s="217" t="n">
        <f aca="false">SUM(I37:I38)</f>
        <v>421.820152516402</v>
      </c>
      <c r="J39" s="217" t="n">
        <f aca="false">SUM(J37:J38)</f>
        <v>0</v>
      </c>
      <c r="K39" s="217" t="n">
        <f aca="false">SUM(K37:K38)</f>
        <v>4249.39740823023</v>
      </c>
      <c r="L39" s="217" t="n">
        <f aca="false">SUM(L37:L38)</f>
        <v>3545.43358786098</v>
      </c>
      <c r="M39" s="217" t="n">
        <f aca="false">SUM(M37:M38)</f>
        <v>10821.3808043477</v>
      </c>
      <c r="N39" s="217" t="n">
        <f aca="false">SUM(N37:N38)</f>
        <v>10160.4794141432</v>
      </c>
      <c r="O39" s="217" t="n">
        <f aca="false">SUM(O37:O38)</f>
        <v>1288.44415603492</v>
      </c>
      <c r="P39" s="217" t="n">
        <f aca="false">SUM(P37:P38)</f>
        <v>2795.28540108009</v>
      </c>
      <c r="Q39" s="217" t="n">
        <f aca="false">SUM(Q37:Q38)</f>
        <v>16911.7995927157</v>
      </c>
      <c r="R39" s="217" t="n">
        <f aca="false">SUM(R37:R38)</f>
        <v>13962.0960275847</v>
      </c>
      <c r="S39" s="217" t="n">
        <f aca="false">SUM(S37:S38)</f>
        <v>0</v>
      </c>
      <c r="T39" s="217" t="n">
        <f aca="false">SUM(T37:T38)</f>
        <v>7235.33655856374</v>
      </c>
      <c r="U39" s="217" t="n">
        <f aca="false">SUM(U37:U38)</f>
        <v>0</v>
      </c>
      <c r="V39" s="217" t="n">
        <f aca="false">SUM(V37:V38)</f>
        <v>0</v>
      </c>
      <c r="W39" s="217" t="n">
        <f aca="false">SUM(W37:W38)</f>
        <v>0</v>
      </c>
      <c r="X39" s="217" t="n">
        <f aca="false">SUM(X37:X38)</f>
        <v>0</v>
      </c>
      <c r="Y39" s="217" t="n">
        <f aca="false">SUM(Y37:Y38)</f>
        <v>0</v>
      </c>
      <c r="Z39" s="574" t="n">
        <f aca="false">SUM(D39:Y39)</f>
        <v>75151.9447231936</v>
      </c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</row>
    <row r="40" customFormat="false" ht="12.75" hidden="false" customHeight="false" outlineLevel="0" collapsed="false">
      <c r="A40" s="37" t="s">
        <v>1435</v>
      </c>
      <c r="C40" s="607"/>
      <c r="D40" s="772" t="n">
        <f aca="false">AddTax</f>
        <v>0.1</v>
      </c>
      <c r="E40" s="772" t="n">
        <f aca="false">AddTax</f>
        <v>0.1</v>
      </c>
      <c r="F40" s="772" t="n">
        <f aca="false">AddTax</f>
        <v>0.1</v>
      </c>
      <c r="G40" s="772" t="n">
        <f aca="false">AddTax</f>
        <v>0.1</v>
      </c>
      <c r="H40" s="772" t="n">
        <f aca="false">AddTax</f>
        <v>0.1</v>
      </c>
      <c r="I40" s="772" t="n">
        <f aca="false">AddTax</f>
        <v>0.1</v>
      </c>
      <c r="J40" s="772" t="n">
        <f aca="false">AddTax</f>
        <v>0.1</v>
      </c>
      <c r="K40" s="772" t="n">
        <f aca="false">AddTax</f>
        <v>0.1</v>
      </c>
      <c r="L40" s="772" t="n">
        <f aca="false">AddTax</f>
        <v>0.1</v>
      </c>
      <c r="M40" s="772" t="n">
        <f aca="false">AddTax</f>
        <v>0.1</v>
      </c>
      <c r="N40" s="772" t="n">
        <f aca="false">AddTax</f>
        <v>0.1</v>
      </c>
      <c r="O40" s="772" t="n">
        <f aca="false">AddTax</f>
        <v>0.1</v>
      </c>
      <c r="P40" s="772" t="n">
        <f aca="false">AddTax</f>
        <v>0.1</v>
      </c>
      <c r="Q40" s="772" t="n">
        <f aca="false">AddTax</f>
        <v>0.1</v>
      </c>
      <c r="R40" s="772" t="n">
        <f aca="false">AddTax</f>
        <v>0.1</v>
      </c>
      <c r="S40" s="772" t="n">
        <f aca="false">AddTax</f>
        <v>0.1</v>
      </c>
      <c r="T40" s="772" t="n">
        <f aca="false">AddTax</f>
        <v>0.1</v>
      </c>
      <c r="U40" s="772" t="n">
        <f aca="false">AddTax</f>
        <v>0.1</v>
      </c>
      <c r="V40" s="772" t="n">
        <f aca="false">AddTax</f>
        <v>0.1</v>
      </c>
      <c r="W40" s="772" t="n">
        <f aca="false">AddTax</f>
        <v>0.1</v>
      </c>
      <c r="X40" s="772" t="n">
        <f aca="false">AddTax</f>
        <v>0.1</v>
      </c>
      <c r="Y40" s="772" t="n">
        <f aca="false">AddTax</f>
        <v>0.1</v>
      </c>
      <c r="Z40" s="557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</row>
    <row r="41" customFormat="false" ht="12.75" hidden="false" customHeight="false" outlineLevel="0" collapsed="false">
      <c r="A41" s="37" t="s">
        <v>1436</v>
      </c>
      <c r="C41" s="607"/>
      <c r="D41" s="217" t="n">
        <f aca="false">D39*D40</f>
        <v>0</v>
      </c>
      <c r="E41" s="217" t="n">
        <f aca="false">E39*E40</f>
        <v>53.0909103435651</v>
      </c>
      <c r="F41" s="217" t="n">
        <f aca="false">F39*F40</f>
        <v>322.956251668016</v>
      </c>
      <c r="G41" s="217" t="n">
        <f aca="false">G39*G40</f>
        <v>0</v>
      </c>
      <c r="H41" s="217" t="n">
        <f aca="false">H39*H40</f>
        <v>0</v>
      </c>
      <c r="I41" s="217" t="n">
        <f aca="false">I39*I40</f>
        <v>42.1820152516402</v>
      </c>
      <c r="J41" s="217" t="n">
        <f aca="false">J39*J40</f>
        <v>0</v>
      </c>
      <c r="K41" s="217" t="n">
        <f aca="false">K39*K40</f>
        <v>424.939740823023</v>
      </c>
      <c r="L41" s="217" t="n">
        <f aca="false">L39*L40</f>
        <v>354.543358786098</v>
      </c>
      <c r="M41" s="217" t="n">
        <f aca="false">M39*M40</f>
        <v>1082.13808043477</v>
      </c>
      <c r="N41" s="217" t="n">
        <f aca="false">N39*N40</f>
        <v>1016.04794141432</v>
      </c>
      <c r="O41" s="217" t="n">
        <f aca="false">O39*O40</f>
        <v>128.844415603492</v>
      </c>
      <c r="P41" s="217" t="n">
        <f aca="false">P39*P40</f>
        <v>279.528540108009</v>
      </c>
      <c r="Q41" s="217" t="n">
        <f aca="false">Q39*Q40</f>
        <v>1691.17995927157</v>
      </c>
      <c r="R41" s="217" t="n">
        <f aca="false">R39*R40</f>
        <v>1396.20960275847</v>
      </c>
      <c r="S41" s="217" t="n">
        <f aca="false">S39*S40</f>
        <v>0</v>
      </c>
      <c r="T41" s="217" t="n">
        <f aca="false">T39*T40</f>
        <v>723.533655856374</v>
      </c>
      <c r="U41" s="217" t="n">
        <f aca="false">U39*U40</f>
        <v>0</v>
      </c>
      <c r="V41" s="217" t="n">
        <f aca="false">V39*V40</f>
        <v>0</v>
      </c>
      <c r="W41" s="217" t="n">
        <f aca="false">W39*W40</f>
        <v>0</v>
      </c>
      <c r="X41" s="217" t="n">
        <f aca="false">X39*X40</f>
        <v>0</v>
      </c>
      <c r="Y41" s="217" t="n">
        <f aca="false">Y39*Y40</f>
        <v>0</v>
      </c>
      <c r="Z41" s="574" t="n">
        <f aca="false">SUM(D41:Y41)</f>
        <v>7515.19447231936</v>
      </c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</row>
    <row r="42" customFormat="false" ht="12.75" hidden="false" customHeight="false" outlineLevel="0" collapsed="false">
      <c r="A42" s="37"/>
      <c r="Z42" s="555"/>
    </row>
    <row r="43" customFormat="false" ht="12.75" hidden="false" customHeight="false" outlineLevel="0" collapsed="false">
      <c r="A43" s="37" t="s">
        <v>1468</v>
      </c>
      <c r="D43" s="217" t="n">
        <f aca="false">SUM(D34,D41)</f>
        <v>0</v>
      </c>
      <c r="E43" s="217" t="n">
        <f aca="false">SUM(E34,E41)</f>
        <v>155.922653965053</v>
      </c>
      <c r="F43" s="217" t="n">
        <f aca="false">SUM(F34,F41)</f>
        <v>826.789358373659</v>
      </c>
      <c r="G43" s="217" t="n">
        <f aca="false">SUM(G34,G41)</f>
        <v>0</v>
      </c>
      <c r="H43" s="217" t="n">
        <f aca="false">SUM(H34,H41)</f>
        <v>0</v>
      </c>
      <c r="I43" s="217" t="n">
        <f aca="false">SUM(I34,I41)</f>
        <v>122.90453225319</v>
      </c>
      <c r="J43" s="217" t="n">
        <f aca="false">SUM(J34,J41)</f>
        <v>0</v>
      </c>
      <c r="K43" s="217" t="n">
        <f aca="false">SUM(K34,K41)</f>
        <v>1078.44875183351</v>
      </c>
      <c r="L43" s="217" t="n">
        <f aca="false">SUM(L34,L41)</f>
        <v>901.991632781596</v>
      </c>
      <c r="M43" s="217" t="n">
        <f aca="false">SUM(M34,M41)</f>
        <v>2720.54959983767</v>
      </c>
      <c r="N43" s="217" t="n">
        <f aca="false">SUM(N34,N41)</f>
        <v>2554.91660344808</v>
      </c>
      <c r="O43" s="217" t="n">
        <f aca="false">SUM(O34,O41)</f>
        <v>336.527796270149</v>
      </c>
      <c r="P43" s="217" t="n">
        <f aca="false">SUM(P34,P41)</f>
        <v>712.88225754281</v>
      </c>
      <c r="Q43" s="217" t="n">
        <f aca="false">SUM(Q34,Q41)</f>
        <v>4241.67788274234</v>
      </c>
      <c r="R43" s="217" t="n">
        <f aca="false">SUM(R34,R41)</f>
        <v>3503.95375587812</v>
      </c>
      <c r="S43" s="217" t="n">
        <f aca="false">SUM(S34,S41)</f>
        <v>0</v>
      </c>
      <c r="T43" s="217" t="n">
        <f aca="false">SUM(T34,T41)</f>
        <v>1821.73577521973</v>
      </c>
      <c r="U43" s="217" t="n">
        <f aca="false">SUM(U34,U41)</f>
        <v>0</v>
      </c>
      <c r="V43" s="217" t="n">
        <f aca="false">SUM(V34,V41)</f>
        <v>0</v>
      </c>
      <c r="W43" s="217" t="n">
        <f aca="false">SUM(W34,W41)</f>
        <v>0</v>
      </c>
      <c r="X43" s="217" t="n">
        <f aca="false">SUM(X34,X41)</f>
        <v>0</v>
      </c>
      <c r="Y43" s="217" t="n">
        <f aca="false">SUM(Y34,Y41)</f>
        <v>0</v>
      </c>
      <c r="Z43" s="574" t="n">
        <f aca="false">SUM(D43:Y43)</f>
        <v>18978.3006001459</v>
      </c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</row>
    <row r="44" customFormat="false" ht="12.75" hidden="false" customHeight="false" outlineLevel="0" collapsed="false">
      <c r="A44" s="37" t="s">
        <v>1469</v>
      </c>
      <c r="D44" s="220" t="n">
        <f aca="false">-Sudam!D51</f>
        <v>-0</v>
      </c>
      <c r="E44" s="220" t="n">
        <f aca="false">-Sudam!E51</f>
        <v>-116.94199047379</v>
      </c>
      <c r="F44" s="220" t="n">
        <f aca="false">-Sudam!F51</f>
        <v>-620.092018780245</v>
      </c>
      <c r="G44" s="220" t="n">
        <f aca="false">-Sudam!G51</f>
        <v>-0</v>
      </c>
      <c r="H44" s="220" t="n">
        <f aca="false">-Sudam!H51</f>
        <v>-0</v>
      </c>
      <c r="I44" s="220" t="n">
        <f aca="false">-Sudam!I51</f>
        <v>-137.766354726436</v>
      </c>
      <c r="J44" s="220" t="n">
        <f aca="false">-Sudam!J51</f>
        <v>-0</v>
      </c>
      <c r="K44" s="220" t="n">
        <f aca="false">-Sudam!K51</f>
        <v>-774.182951277645</v>
      </c>
      <c r="L44" s="220" t="n">
        <f aca="false">-Sudam!L51</f>
        <v>-648.075557103475</v>
      </c>
      <c r="M44" s="220" t="n">
        <f aca="false">-Sudam!M51</f>
        <v>-1946.98427113416</v>
      </c>
      <c r="N44" s="220" t="n">
        <f aca="false">-Sudam!N51</f>
        <v>-1828.61675245038</v>
      </c>
      <c r="O44" s="220" t="n">
        <f aca="false">-Sudam!O51</f>
        <v>-121.999517043726</v>
      </c>
      <c r="P44" s="220" t="n">
        <f aca="false">-Sudam!P51</f>
        <v>-192.628686990545</v>
      </c>
      <c r="Q44" s="220" t="n">
        <f aca="false">-Sudam!Q51</f>
        <v>-1061.20072068559</v>
      </c>
      <c r="R44" s="220" t="n">
        <f aca="false">-Sudam!R51</f>
        <v>-876.76968896953</v>
      </c>
      <c r="S44" s="220" t="n">
        <f aca="false">-Sudam!S51</f>
        <v>-0</v>
      </c>
      <c r="T44" s="220" t="n">
        <f aca="false">-Sudam!T51</f>
        <v>-0</v>
      </c>
      <c r="U44" s="220" t="n">
        <f aca="false">-Sudam!U51</f>
        <v>-0</v>
      </c>
      <c r="V44" s="220" t="n">
        <f aca="false">-Sudam!V51</f>
        <v>-0</v>
      </c>
      <c r="W44" s="220" t="n">
        <f aca="false">-Sudam!W51</f>
        <v>-0</v>
      </c>
      <c r="X44" s="220" t="n">
        <f aca="false">-Sudam!X51</f>
        <v>-0</v>
      </c>
      <c r="Y44" s="220" t="n">
        <f aca="false">-Sudam!Y51</f>
        <v>-0</v>
      </c>
      <c r="Z44" s="576" t="n">
        <f aca="false">SUM(D44:Y44)</f>
        <v>-8325.25850963551</v>
      </c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</row>
    <row r="45" customFormat="false" ht="12.75" hidden="false" customHeight="false" outlineLevel="0" collapsed="false">
      <c r="A45" s="37" t="s">
        <v>1470</v>
      </c>
      <c r="D45" s="217" t="n">
        <f aca="false">SUM(D43:D44)</f>
        <v>0</v>
      </c>
      <c r="E45" s="217" t="n">
        <f aca="false">SUM(E43:E44)</f>
        <v>38.9806634912633</v>
      </c>
      <c r="F45" s="217" t="n">
        <f aca="false">SUM(F43:F44)</f>
        <v>206.697339593415</v>
      </c>
      <c r="G45" s="217" t="n">
        <f aca="false">SUM(G43:G44)</f>
        <v>0</v>
      </c>
      <c r="H45" s="217" t="n">
        <f aca="false">SUM(H43:H44)</f>
        <v>0</v>
      </c>
      <c r="I45" s="217" t="n">
        <f aca="false">SUM(I43:I44)</f>
        <v>-14.8618224732458</v>
      </c>
      <c r="J45" s="217" t="n">
        <f aca="false">SUM(J43:J44)</f>
        <v>0</v>
      </c>
      <c r="K45" s="217" t="n">
        <f aca="false">SUM(K43:K44)</f>
        <v>304.265800555868</v>
      </c>
      <c r="L45" s="217" t="n">
        <f aca="false">SUM(L43:L44)</f>
        <v>253.91607567812</v>
      </c>
      <c r="M45" s="217" t="n">
        <f aca="false">SUM(M43:M44)</f>
        <v>773.565328703516</v>
      </c>
      <c r="N45" s="217" t="n">
        <f aca="false">SUM(N43:N44)</f>
        <v>726.299850997698</v>
      </c>
      <c r="O45" s="217" t="n">
        <f aca="false">SUM(O43:O44)</f>
        <v>214.528279226423</v>
      </c>
      <c r="P45" s="217" t="n">
        <f aca="false">SUM(P43:P44)</f>
        <v>520.253570552264</v>
      </c>
      <c r="Q45" s="217" t="n">
        <f aca="false">SUM(Q43:Q44)</f>
        <v>3180.47716205676</v>
      </c>
      <c r="R45" s="217" t="n">
        <f aca="false">SUM(R43:R44)</f>
        <v>2627.18406690859</v>
      </c>
      <c r="S45" s="217" t="n">
        <f aca="false">SUM(S43:S44)</f>
        <v>0</v>
      </c>
      <c r="T45" s="217" t="n">
        <f aca="false">SUM(T43:T44)</f>
        <v>1821.73577521973</v>
      </c>
      <c r="U45" s="217" t="n">
        <f aca="false">SUM(U43:U44)</f>
        <v>0</v>
      </c>
      <c r="V45" s="217" t="n">
        <f aca="false">SUM(V43:V44)</f>
        <v>0</v>
      </c>
      <c r="W45" s="217" t="n">
        <f aca="false">SUM(W43:W44)</f>
        <v>0</v>
      </c>
      <c r="X45" s="217" t="n">
        <f aca="false">SUM(X43:X44)</f>
        <v>0</v>
      </c>
      <c r="Y45" s="217" t="n">
        <f aca="false">SUM(Y43:Y44)</f>
        <v>0</v>
      </c>
      <c r="Z45" s="574" t="n">
        <f aca="false">SUM(D45:Y45)</f>
        <v>10653.0420905104</v>
      </c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</row>
    <row r="46" customFormat="false" ht="12.75" hidden="false" customHeight="false" outlineLevel="0" collapsed="false">
      <c r="A46" s="37"/>
      <c r="Z46" s="555"/>
    </row>
    <row r="47" customFormat="false" ht="12.75" hidden="false" customHeight="false" outlineLevel="0" collapsed="false">
      <c r="A47" s="130" t="s">
        <v>1471</v>
      </c>
      <c r="C47" s="607"/>
      <c r="D47" s="1176"/>
      <c r="E47" s="1176"/>
      <c r="F47" s="1176"/>
      <c r="G47" s="1176"/>
      <c r="H47" s="1176"/>
      <c r="I47" s="1176"/>
      <c r="J47" s="1176"/>
      <c r="K47" s="1176"/>
      <c r="L47" s="1176"/>
      <c r="M47" s="1176"/>
      <c r="N47" s="1176"/>
      <c r="O47" s="1176"/>
      <c r="P47" s="1176"/>
      <c r="Q47" s="1176"/>
      <c r="R47" s="1176"/>
      <c r="S47" s="1176"/>
      <c r="T47" s="1176"/>
      <c r="U47" s="1176"/>
      <c r="V47" s="1176"/>
      <c r="W47" s="1176"/>
      <c r="X47" s="1176"/>
      <c r="Y47" s="1176"/>
      <c r="Z47" s="1177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</row>
    <row r="48" customFormat="false" ht="12.75" hidden="false" customHeight="false" outlineLevel="0" collapsed="false">
      <c r="A48" s="37" t="s">
        <v>1467</v>
      </c>
      <c r="C48" s="607"/>
      <c r="D48" s="217" t="n">
        <f aca="false">D$23</f>
        <v>0</v>
      </c>
      <c r="E48" s="217" t="n">
        <f aca="false">E$23</f>
        <v>685.544957476587</v>
      </c>
      <c r="F48" s="217" t="n">
        <f aca="false">F$23</f>
        <v>3358.88737803762</v>
      </c>
      <c r="G48" s="217" t="n">
        <f aca="false">G$23</f>
        <v>0</v>
      </c>
      <c r="H48" s="217" t="n">
        <f aca="false">H$23</f>
        <v>0</v>
      </c>
      <c r="I48" s="217" t="n">
        <f aca="false">I$23</f>
        <v>538.150113343663</v>
      </c>
      <c r="J48" s="217" t="n">
        <f aca="false">J$23</f>
        <v>0</v>
      </c>
      <c r="K48" s="217" t="n">
        <f aca="false">K$23</f>
        <v>4356.72674006993</v>
      </c>
      <c r="L48" s="217" t="n">
        <f aca="false">L$23</f>
        <v>3649.65515996998</v>
      </c>
      <c r="M48" s="217" t="n">
        <f aca="false">M$23</f>
        <v>10922.743462686</v>
      </c>
      <c r="N48" s="217" t="n">
        <f aca="false">N$23</f>
        <v>10259.1244135584</v>
      </c>
      <c r="O48" s="217" t="n">
        <f aca="false">O$23</f>
        <v>1384.55587111104</v>
      </c>
      <c r="P48" s="217" t="n">
        <f aca="false">P$23</f>
        <v>2889.02478289867</v>
      </c>
      <c r="Q48" s="217" t="n">
        <f aca="false">Q$23</f>
        <v>17003.3194898051</v>
      </c>
      <c r="R48" s="217" t="n">
        <f aca="false">R$23</f>
        <v>14051.6276874643</v>
      </c>
      <c r="S48" s="217" t="n">
        <f aca="false">S$23</f>
        <v>0</v>
      </c>
      <c r="T48" s="217" t="n">
        <f aca="false">T$23</f>
        <v>7321.34746242239</v>
      </c>
      <c r="U48" s="217" t="n">
        <f aca="false">U$23</f>
        <v>0</v>
      </c>
      <c r="V48" s="217" t="n">
        <f aca="false">V$23</f>
        <v>0</v>
      </c>
      <c r="W48" s="217" t="n">
        <f aca="false">W$23</f>
        <v>0</v>
      </c>
      <c r="X48" s="217" t="n">
        <f aca="false">X$23</f>
        <v>0</v>
      </c>
      <c r="Y48" s="217" t="n">
        <f aca="false">Y$23</f>
        <v>0</v>
      </c>
      <c r="Z48" s="574" t="n">
        <f aca="false">SUM(D48:Y48)</f>
        <v>76420.7075188437</v>
      </c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</row>
    <row r="49" customFormat="false" ht="12.75" hidden="false" customHeight="false" outlineLevel="0" collapsed="false">
      <c r="A49" s="37" t="s">
        <v>1472</v>
      </c>
      <c r="C49" s="607"/>
      <c r="D49" s="772" t="n">
        <f aca="false">Social</f>
        <v>0.08</v>
      </c>
      <c r="E49" s="772" t="n">
        <f aca="false">Social</f>
        <v>0.08</v>
      </c>
      <c r="F49" s="772" t="n">
        <f aca="false">Social</f>
        <v>0.08</v>
      </c>
      <c r="G49" s="772" t="n">
        <f aca="false">Social</f>
        <v>0.08</v>
      </c>
      <c r="H49" s="772" t="n">
        <f aca="false">Social</f>
        <v>0.08</v>
      </c>
      <c r="I49" s="772" t="n">
        <f aca="false">Social</f>
        <v>0.08</v>
      </c>
      <c r="J49" s="772" t="n">
        <f aca="false">Social</f>
        <v>0.08</v>
      </c>
      <c r="K49" s="772" t="n">
        <f aca="false">Social</f>
        <v>0.08</v>
      </c>
      <c r="L49" s="772" t="n">
        <f aca="false">Social</f>
        <v>0.08</v>
      </c>
      <c r="M49" s="772" t="n">
        <f aca="false">Social</f>
        <v>0.08</v>
      </c>
      <c r="N49" s="772" t="n">
        <f aca="false">Social</f>
        <v>0.08</v>
      </c>
      <c r="O49" s="772" t="n">
        <f aca="false">Social</f>
        <v>0.08</v>
      </c>
      <c r="P49" s="772" t="n">
        <f aca="false">Social</f>
        <v>0.08</v>
      </c>
      <c r="Q49" s="772" t="n">
        <f aca="false">Social</f>
        <v>0.08</v>
      </c>
      <c r="R49" s="772" t="n">
        <f aca="false">Social</f>
        <v>0.08</v>
      </c>
      <c r="S49" s="772" t="n">
        <f aca="false">Social</f>
        <v>0.08</v>
      </c>
      <c r="T49" s="772" t="n">
        <f aca="false">Social</f>
        <v>0.08</v>
      </c>
      <c r="U49" s="772" t="n">
        <f aca="false">Social</f>
        <v>0.08</v>
      </c>
      <c r="V49" s="772" t="n">
        <f aca="false">Social</f>
        <v>0.08</v>
      </c>
      <c r="W49" s="772" t="n">
        <f aca="false">Social</f>
        <v>0.08</v>
      </c>
      <c r="X49" s="772" t="n">
        <f aca="false">Social</f>
        <v>0.08</v>
      </c>
      <c r="Y49" s="772" t="n">
        <f aca="false">Social</f>
        <v>0.08</v>
      </c>
      <c r="Z49" s="559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</row>
    <row r="50" customFormat="false" ht="12.75" hidden="false" customHeight="false" outlineLevel="0" collapsed="false">
      <c r="A50" s="37" t="s">
        <v>1473</v>
      </c>
      <c r="C50" s="607"/>
      <c r="D50" s="217" t="n">
        <f aca="false">D48*D49</f>
        <v>0</v>
      </c>
      <c r="E50" s="217" t="n">
        <f aca="false">E48*E49</f>
        <v>54.8435965981269</v>
      </c>
      <c r="F50" s="217" t="n">
        <f aca="false">F48*F49</f>
        <v>268.71099024301</v>
      </c>
      <c r="G50" s="217" t="n">
        <f aca="false">G48*G49</f>
        <v>0</v>
      </c>
      <c r="H50" s="217" t="n">
        <f aca="false">H48*H49</f>
        <v>0</v>
      </c>
      <c r="I50" s="217" t="n">
        <f aca="false">I48*I49</f>
        <v>43.0520090674931</v>
      </c>
      <c r="J50" s="217" t="n">
        <f aca="false">J48*J49</f>
        <v>0</v>
      </c>
      <c r="K50" s="217" t="n">
        <f aca="false">K48*K49</f>
        <v>348.538139205595</v>
      </c>
      <c r="L50" s="217" t="n">
        <f aca="false">L48*L49</f>
        <v>291.972412797599</v>
      </c>
      <c r="M50" s="217" t="n">
        <f aca="false">M48*M49</f>
        <v>873.819477014882</v>
      </c>
      <c r="N50" s="217" t="n">
        <f aca="false">N48*N49</f>
        <v>820.729953084668</v>
      </c>
      <c r="O50" s="217" t="n">
        <f aca="false">O48*O49</f>
        <v>110.764469688884</v>
      </c>
      <c r="P50" s="217" t="n">
        <f aca="false">P48*P49</f>
        <v>231.121982631894</v>
      </c>
      <c r="Q50" s="217" t="n">
        <f aca="false">Q48*Q49</f>
        <v>1360.26555918441</v>
      </c>
      <c r="R50" s="217" t="n">
        <f aca="false">R48*R49</f>
        <v>1124.13021499715</v>
      </c>
      <c r="S50" s="217" t="n">
        <f aca="false">S48*S49</f>
        <v>0</v>
      </c>
      <c r="T50" s="217" t="n">
        <f aca="false">T48*T49</f>
        <v>585.707796993792</v>
      </c>
      <c r="U50" s="217" t="n">
        <f aca="false">U48*U49</f>
        <v>0</v>
      </c>
      <c r="V50" s="217" t="n">
        <f aca="false">V48*V49</f>
        <v>0</v>
      </c>
      <c r="W50" s="217" t="n">
        <f aca="false">W48*W49</f>
        <v>0</v>
      </c>
      <c r="X50" s="217" t="n">
        <f aca="false">X48*X49</f>
        <v>0</v>
      </c>
      <c r="Y50" s="217" t="n">
        <f aca="false">Y48*Y49</f>
        <v>0</v>
      </c>
      <c r="Z50" s="574" t="n">
        <f aca="false">SUM(D50:Y50)</f>
        <v>6113.6566015075</v>
      </c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</row>
    <row r="51" customFormat="false" ht="12.75" hidden="false" customHeight="false" outlineLevel="0" collapsed="false">
      <c r="A51" s="37"/>
      <c r="Z51" s="555"/>
    </row>
    <row r="52" customFormat="false" ht="12.75" hidden="false" customHeight="false" outlineLevel="0" collapsed="false">
      <c r="A52" s="65" t="s">
        <v>1474</v>
      </c>
      <c r="B52" s="67"/>
      <c r="C52" s="67"/>
      <c r="D52" s="628" t="n">
        <f aca="false">SUM(D34,D41,D50)</f>
        <v>0</v>
      </c>
      <c r="E52" s="628" t="n">
        <f aca="false">SUM(E34,E41,E50)</f>
        <v>210.76625056318</v>
      </c>
      <c r="F52" s="628" t="n">
        <f aca="false">SUM(F34,F41,F50)</f>
        <v>1095.50034861667</v>
      </c>
      <c r="G52" s="628" t="n">
        <f aca="false">SUM(G34,G41,G50)</f>
        <v>0</v>
      </c>
      <c r="H52" s="628" t="n">
        <f aca="false">SUM(H34,H41,H50)</f>
        <v>0</v>
      </c>
      <c r="I52" s="628" t="n">
        <f aca="false">SUM(I34,I41,I50)</f>
        <v>165.956541320683</v>
      </c>
      <c r="J52" s="628" t="n">
        <f aca="false">SUM(J34,J41,J50)</f>
        <v>0</v>
      </c>
      <c r="K52" s="628" t="n">
        <f aca="false">SUM(K34,K41,K50)</f>
        <v>1426.98689103911</v>
      </c>
      <c r="L52" s="628" t="n">
        <f aca="false">SUM(L34,L41,L50)</f>
        <v>1193.96404557919</v>
      </c>
      <c r="M52" s="628" t="n">
        <f aca="false">SUM(M34,M41,M50)</f>
        <v>3594.36907685256</v>
      </c>
      <c r="N52" s="628" t="n">
        <f aca="false">SUM(N34,N41,N50)</f>
        <v>3375.64655653274</v>
      </c>
      <c r="O52" s="628" t="n">
        <f aca="false">SUM(O34,O41,O50)</f>
        <v>447.292265959032</v>
      </c>
      <c r="P52" s="628" t="n">
        <f aca="false">SUM(P34,P41,P50)</f>
        <v>944.004240174703</v>
      </c>
      <c r="Q52" s="628" t="n">
        <f aca="false">SUM(Q34,Q41,Q50)</f>
        <v>5601.94344192676</v>
      </c>
      <c r="R52" s="628" t="n">
        <f aca="false">SUM(R34,R41,R50)</f>
        <v>4628.08397087527</v>
      </c>
      <c r="S52" s="628" t="n">
        <f aca="false">SUM(S34,S41,S50)</f>
        <v>0</v>
      </c>
      <c r="T52" s="628" t="n">
        <f aca="false">SUM(T34,T41,T50)</f>
        <v>2407.44357221352</v>
      </c>
      <c r="U52" s="628" t="n">
        <f aca="false">SUM(U34,U41,U50)</f>
        <v>0</v>
      </c>
      <c r="V52" s="628" t="n">
        <f aca="false">SUM(V34,V41,V50)</f>
        <v>0</v>
      </c>
      <c r="W52" s="628" t="n">
        <f aca="false">SUM(W34,W41,W50)</f>
        <v>0</v>
      </c>
      <c r="X52" s="628" t="n">
        <f aca="false">SUM(X34,X41,X50)</f>
        <v>0</v>
      </c>
      <c r="Y52" s="628" t="n">
        <f aca="false">SUM(Y34,Y41,Y50)</f>
        <v>0</v>
      </c>
      <c r="Z52" s="629" t="n">
        <f aca="false">SUM(D52:Y52)</f>
        <v>25091.9572016534</v>
      </c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  <c r="EO52" s="67"/>
      <c r="EP52" s="67"/>
      <c r="EQ52" s="67"/>
      <c r="ER52" s="67"/>
      <c r="ES52" s="67"/>
      <c r="ET52" s="67"/>
      <c r="EU52" s="67"/>
      <c r="EV52" s="67"/>
      <c r="EW52" s="67"/>
      <c r="EX52" s="67"/>
      <c r="EY52" s="67"/>
      <c r="EZ52" s="67"/>
      <c r="FA52" s="67"/>
      <c r="FB52" s="67"/>
      <c r="FC52" s="67"/>
      <c r="FD52" s="67"/>
      <c r="FE52" s="67"/>
      <c r="FF52" s="67"/>
      <c r="FG52" s="67"/>
      <c r="FH52" s="67"/>
      <c r="FI52" s="67"/>
      <c r="FJ52" s="67"/>
      <c r="FK52" s="67"/>
      <c r="FL52" s="67"/>
      <c r="FM52" s="67"/>
      <c r="FN52" s="67"/>
      <c r="FO52" s="67"/>
      <c r="FP52" s="67"/>
      <c r="FQ52" s="67"/>
      <c r="FR52" s="67"/>
      <c r="FS52" s="67"/>
      <c r="FT52" s="67"/>
      <c r="FU52" s="67"/>
      <c r="FV52" s="67"/>
      <c r="FW52" s="67"/>
      <c r="FX52" s="67"/>
      <c r="FY52" s="67"/>
      <c r="FZ52" s="67"/>
      <c r="GA52" s="67"/>
      <c r="GB52" s="67"/>
      <c r="GC52" s="67"/>
      <c r="GD52" s="67"/>
      <c r="GE52" s="67"/>
      <c r="GF52" s="67"/>
      <c r="GG52" s="67"/>
      <c r="GH52" s="67"/>
      <c r="GI52" s="67"/>
      <c r="GJ52" s="67"/>
      <c r="GK52" s="67"/>
      <c r="GL52" s="67"/>
      <c r="GM52" s="67"/>
      <c r="GN52" s="67"/>
      <c r="GO52" s="67"/>
      <c r="GP52" s="67"/>
      <c r="GQ52" s="67"/>
      <c r="GR52" s="67"/>
      <c r="GS52" s="67"/>
      <c r="GT52" s="67"/>
      <c r="GU52" s="67"/>
      <c r="GV52" s="67"/>
      <c r="GW52" s="67"/>
      <c r="GX52" s="67"/>
      <c r="GY52" s="67"/>
      <c r="GZ52" s="67"/>
      <c r="HA52" s="67"/>
      <c r="HB52" s="67"/>
      <c r="HC52" s="67"/>
      <c r="HD52" s="67"/>
      <c r="HE52" s="67"/>
      <c r="HF52" s="67"/>
      <c r="HG52" s="67"/>
      <c r="HH52" s="67"/>
      <c r="HI52" s="67"/>
      <c r="HJ52" s="67"/>
      <c r="HK52" s="67"/>
      <c r="HL52" s="67"/>
      <c r="HM52" s="67"/>
      <c r="HN52" s="67"/>
      <c r="HO52" s="67"/>
      <c r="HP52" s="67"/>
      <c r="HQ52" s="67"/>
      <c r="HR52" s="67"/>
      <c r="HS52" s="67"/>
      <c r="HT52" s="67"/>
      <c r="HU52" s="67"/>
      <c r="HV52" s="67"/>
      <c r="HW52" s="67"/>
      <c r="HX52" s="67"/>
      <c r="HY52" s="67"/>
      <c r="HZ52" s="67"/>
      <c r="IA52" s="67"/>
      <c r="IB52" s="67"/>
      <c r="IC52" s="67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</row>
    <row r="53" customFormat="false" ht="12.75" hidden="false" customHeight="false" outlineLevel="0" collapsed="false">
      <c r="A53" s="65" t="s">
        <v>1475</v>
      </c>
      <c r="B53" s="67"/>
      <c r="C53" s="67"/>
      <c r="D53" s="628" t="n">
        <f aca="false">D44</f>
        <v>-0</v>
      </c>
      <c r="E53" s="628" t="n">
        <f aca="false">E44</f>
        <v>-116.94199047379</v>
      </c>
      <c r="F53" s="628" t="n">
        <f aca="false">F44</f>
        <v>-620.092018780245</v>
      </c>
      <c r="G53" s="628" t="n">
        <f aca="false">G44</f>
        <v>-0</v>
      </c>
      <c r="H53" s="628" t="n">
        <f aca="false">H44</f>
        <v>-0</v>
      </c>
      <c r="I53" s="628" t="n">
        <f aca="false">I44</f>
        <v>-137.766354726436</v>
      </c>
      <c r="J53" s="628" t="n">
        <f aca="false">J44</f>
        <v>-0</v>
      </c>
      <c r="K53" s="628" t="n">
        <f aca="false">K44</f>
        <v>-774.182951277645</v>
      </c>
      <c r="L53" s="628" t="n">
        <f aca="false">L44</f>
        <v>-648.075557103475</v>
      </c>
      <c r="M53" s="628" t="n">
        <f aca="false">M44</f>
        <v>-1946.98427113416</v>
      </c>
      <c r="N53" s="628" t="n">
        <f aca="false">N44</f>
        <v>-1828.61675245038</v>
      </c>
      <c r="O53" s="628" t="n">
        <f aca="false">O44</f>
        <v>-121.999517043726</v>
      </c>
      <c r="P53" s="628" t="n">
        <f aca="false">P44</f>
        <v>-192.628686990545</v>
      </c>
      <c r="Q53" s="628" t="n">
        <f aca="false">Q44</f>
        <v>-1061.20072068559</v>
      </c>
      <c r="R53" s="628" t="n">
        <f aca="false">R44</f>
        <v>-876.76968896953</v>
      </c>
      <c r="S53" s="628" t="n">
        <f aca="false">S44</f>
        <v>-0</v>
      </c>
      <c r="T53" s="628" t="n">
        <f aca="false">T44</f>
        <v>-0</v>
      </c>
      <c r="U53" s="628" t="n">
        <f aca="false">U44</f>
        <v>-0</v>
      </c>
      <c r="V53" s="628" t="n">
        <f aca="false">V44</f>
        <v>-0</v>
      </c>
      <c r="W53" s="628" t="n">
        <f aca="false">W44</f>
        <v>-0</v>
      </c>
      <c r="X53" s="628" t="n">
        <f aca="false">X44</f>
        <v>-0</v>
      </c>
      <c r="Y53" s="628" t="n">
        <f aca="false">Y44</f>
        <v>-0</v>
      </c>
      <c r="Z53" s="629" t="n">
        <f aca="false">SUM(D53:Y53)</f>
        <v>-8325.25850963551</v>
      </c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  <c r="EO53" s="67"/>
      <c r="EP53" s="67"/>
      <c r="EQ53" s="67"/>
      <c r="ER53" s="67"/>
      <c r="ES53" s="67"/>
      <c r="ET53" s="67"/>
      <c r="EU53" s="67"/>
      <c r="EV53" s="67"/>
      <c r="EW53" s="67"/>
      <c r="EX53" s="67"/>
      <c r="EY53" s="67"/>
      <c r="EZ53" s="67"/>
      <c r="FA53" s="67"/>
      <c r="FB53" s="67"/>
      <c r="FC53" s="67"/>
      <c r="FD53" s="67"/>
      <c r="FE53" s="67"/>
      <c r="FF53" s="67"/>
      <c r="FG53" s="67"/>
      <c r="FH53" s="67"/>
      <c r="FI53" s="67"/>
      <c r="FJ53" s="67"/>
      <c r="FK53" s="67"/>
      <c r="FL53" s="67"/>
      <c r="FM53" s="67"/>
      <c r="FN53" s="67"/>
      <c r="FO53" s="67"/>
      <c r="FP53" s="67"/>
      <c r="FQ53" s="67"/>
      <c r="FR53" s="67"/>
      <c r="FS53" s="67"/>
      <c r="FT53" s="67"/>
      <c r="FU53" s="67"/>
      <c r="FV53" s="67"/>
      <c r="FW53" s="67"/>
      <c r="FX53" s="67"/>
      <c r="FY53" s="67"/>
      <c r="FZ53" s="67"/>
      <c r="GA53" s="67"/>
      <c r="GB53" s="67"/>
      <c r="GC53" s="67"/>
      <c r="GD53" s="67"/>
      <c r="GE53" s="67"/>
      <c r="GF53" s="67"/>
      <c r="GG53" s="67"/>
      <c r="GH53" s="67"/>
      <c r="GI53" s="67"/>
      <c r="GJ53" s="67"/>
      <c r="GK53" s="67"/>
      <c r="GL53" s="67"/>
      <c r="GM53" s="67"/>
      <c r="GN53" s="67"/>
      <c r="GO53" s="67"/>
      <c r="GP53" s="67"/>
      <c r="GQ53" s="67"/>
      <c r="GR53" s="67"/>
      <c r="GS53" s="67"/>
      <c r="GT53" s="67"/>
      <c r="GU53" s="67"/>
      <c r="GV53" s="67"/>
      <c r="GW53" s="67"/>
      <c r="GX53" s="67"/>
      <c r="GY53" s="67"/>
      <c r="GZ53" s="67"/>
      <c r="HA53" s="67"/>
      <c r="HB53" s="67"/>
      <c r="HC53" s="67"/>
      <c r="HD53" s="67"/>
      <c r="HE53" s="67"/>
      <c r="HF53" s="67"/>
      <c r="HG53" s="67"/>
      <c r="HH53" s="67"/>
      <c r="HI53" s="67"/>
      <c r="HJ53" s="67"/>
      <c r="HK53" s="67"/>
      <c r="HL53" s="67"/>
      <c r="HM53" s="67"/>
      <c r="HN53" s="67"/>
      <c r="HO53" s="67"/>
      <c r="HP53" s="67"/>
      <c r="HQ53" s="67"/>
      <c r="HR53" s="67"/>
      <c r="HS53" s="67"/>
      <c r="HT53" s="67"/>
      <c r="HU53" s="67"/>
      <c r="HV53" s="67"/>
      <c r="HW53" s="67"/>
      <c r="HX53" s="67"/>
      <c r="HY53" s="67"/>
      <c r="HZ53" s="67"/>
      <c r="IA53" s="67"/>
      <c r="IB53" s="67"/>
      <c r="IC53" s="67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</row>
    <row r="54" customFormat="false" ht="12.75" hidden="false" customHeight="false" outlineLevel="0" collapsed="false">
      <c r="A54" s="583" t="s">
        <v>1476</v>
      </c>
      <c r="B54" s="585"/>
      <c r="C54" s="1178"/>
      <c r="D54" s="586" t="n">
        <f aca="false">SUM(D52:D53)</f>
        <v>0</v>
      </c>
      <c r="E54" s="586" t="n">
        <f aca="false">SUM(E52:E53)</f>
        <v>93.8242600893902</v>
      </c>
      <c r="F54" s="586" t="n">
        <f aca="false">SUM(F52:F53)</f>
        <v>475.408329836425</v>
      </c>
      <c r="G54" s="586" t="n">
        <f aca="false">SUM(G52:G53)</f>
        <v>0</v>
      </c>
      <c r="H54" s="586" t="n">
        <f aca="false">SUM(H52:H53)</f>
        <v>0</v>
      </c>
      <c r="I54" s="586" t="n">
        <f aca="false">SUM(I52:I53)</f>
        <v>28.1901865942473</v>
      </c>
      <c r="J54" s="586" t="n">
        <f aca="false">SUM(J52:J53)</f>
        <v>0</v>
      </c>
      <c r="K54" s="586" t="n">
        <f aca="false">SUM(K52:K53)</f>
        <v>652.803939761463</v>
      </c>
      <c r="L54" s="586" t="n">
        <f aca="false">SUM(L52:L53)</f>
        <v>545.888488475719</v>
      </c>
      <c r="M54" s="586" t="n">
        <f aca="false">SUM(M52:M53)</f>
        <v>1647.3848057184</v>
      </c>
      <c r="N54" s="586" t="n">
        <f aca="false">SUM(N52:N53)</f>
        <v>1547.02980408237</v>
      </c>
      <c r="O54" s="586" t="n">
        <f aca="false">SUM(O52:O53)</f>
        <v>325.292748915306</v>
      </c>
      <c r="P54" s="586" t="n">
        <f aca="false">SUM(P52:P53)</f>
        <v>751.375553184158</v>
      </c>
      <c r="Q54" s="586" t="n">
        <f aca="false">SUM(Q52:Q53)</f>
        <v>4540.74272124117</v>
      </c>
      <c r="R54" s="586" t="n">
        <f aca="false">SUM(R52:R53)</f>
        <v>3751.31428190574</v>
      </c>
      <c r="S54" s="586" t="n">
        <f aca="false">SUM(S52:S53)</f>
        <v>0</v>
      </c>
      <c r="T54" s="586" t="n">
        <f aca="false">SUM(T52:T53)</f>
        <v>2407.44357221352</v>
      </c>
      <c r="U54" s="586" t="n">
        <f aca="false">SUM(U52:U53)</f>
        <v>0</v>
      </c>
      <c r="V54" s="586" t="n">
        <f aca="false">SUM(V52:V53)</f>
        <v>0</v>
      </c>
      <c r="W54" s="586" t="n">
        <f aca="false">SUM(W52:W53)</f>
        <v>0</v>
      </c>
      <c r="X54" s="586" t="n">
        <f aca="false">SUM(X52:X53)</f>
        <v>0</v>
      </c>
      <c r="Y54" s="586" t="n">
        <f aca="false">SUM(Y52:Y53)</f>
        <v>0</v>
      </c>
      <c r="Z54" s="587" t="n">
        <f aca="false">SUM(D54:Y54)</f>
        <v>16766.6986920179</v>
      </c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</row>
    <row r="55" customFormat="false" ht="12.75" hidden="false" customHeight="false" outlineLevel="0" collapsed="false">
      <c r="A55" s="37"/>
      <c r="Z55" s="555"/>
    </row>
    <row r="56" customFormat="false" ht="12.75" hidden="false" customHeight="false" outlineLevel="0" collapsed="false">
      <c r="A56" s="55" t="s">
        <v>1477</v>
      </c>
      <c r="Z56" s="555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</row>
    <row r="57" customFormat="false" ht="12.75" hidden="false" customHeight="false" outlineLevel="0" collapsed="false">
      <c r="A57" s="37" t="s">
        <v>1478</v>
      </c>
      <c r="D57" s="217" t="n">
        <f aca="false">CF!D51</f>
        <v>0</v>
      </c>
      <c r="E57" s="217" t="n">
        <f aca="false">CF!E51</f>
        <v>-6578.06094793574</v>
      </c>
      <c r="F57" s="217" t="n">
        <f aca="false">CF!F51</f>
        <v>-3771.13287219427</v>
      </c>
      <c r="G57" s="217" t="n">
        <f aca="false">CF!G51</f>
        <v>-3011.51676290401</v>
      </c>
      <c r="H57" s="217" t="n">
        <f aca="false">CF!H51</f>
        <v>-1651.67170332394</v>
      </c>
      <c r="I57" s="217" t="n">
        <f aca="false">CF!I51</f>
        <v>2042.89183669435</v>
      </c>
      <c r="J57" s="217" t="n">
        <f aca="false">CF!J51</f>
        <v>-7967.56467306774</v>
      </c>
      <c r="K57" s="217" t="n">
        <f aca="false">CF!K51</f>
        <v>7865.571578684</v>
      </c>
      <c r="L57" s="217" t="n">
        <f aca="false">CF!L51</f>
        <v>8917.34191599675</v>
      </c>
      <c r="M57" s="217" t="n">
        <f aca="false">CF!M51</f>
        <v>8656.03734334056</v>
      </c>
      <c r="N57" s="217" t="n">
        <f aca="false">CF!N51</f>
        <v>7717.72673158535</v>
      </c>
      <c r="O57" s="217" t="n">
        <f aca="false">CF!O51</f>
        <v>8069.96215435123</v>
      </c>
      <c r="P57" s="217" t="n">
        <f aca="false">CF!P51</f>
        <v>9290.68989877439</v>
      </c>
      <c r="Q57" s="217" t="n">
        <f aca="false">CF!Q51</f>
        <v>10095.5409171522</v>
      </c>
      <c r="R57" s="217" t="n">
        <f aca="false">CF!R51</f>
        <v>7154.66177092837</v>
      </c>
      <c r="S57" s="217" t="n">
        <f aca="false">CF!S51</f>
        <v>9570.65416870583</v>
      </c>
      <c r="T57" s="217" t="n">
        <f aca="false">CF!T51</f>
        <v>3584.93109373236</v>
      </c>
      <c r="U57" s="217" t="n">
        <f aca="false">CF!U51</f>
        <v>-7495.22851386404</v>
      </c>
      <c r="V57" s="217" t="n">
        <f aca="false">CF!V51</f>
        <v>-11713.5677056956</v>
      </c>
      <c r="W57" s="217" t="n">
        <f aca="false">CF!W51</f>
        <v>-13109.3045310181</v>
      </c>
      <c r="X57" s="217" t="n">
        <f aca="false">CF!X51</f>
        <v>-11574.6128769193</v>
      </c>
      <c r="Y57" s="217" t="n">
        <f aca="false">CF!Y51</f>
        <v>-3103.47488561782</v>
      </c>
      <c r="Z57" s="574" t="n">
        <f aca="false">SUM(D57:Y57)</f>
        <v>12989.8739374049</v>
      </c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</row>
    <row r="58" customFormat="false" ht="12.75" hidden="false" customHeight="false" outlineLevel="0" collapsed="false">
      <c r="A58" s="37" t="s">
        <v>1460</v>
      </c>
      <c r="B58" s="175" t="s">
        <v>1461</v>
      </c>
      <c r="D58" s="220" t="n">
        <f aca="false">-D64</f>
        <v>-0</v>
      </c>
      <c r="E58" s="220" t="n">
        <f aca="false">-E64</f>
        <v>-0</v>
      </c>
      <c r="F58" s="220" t="n">
        <f aca="false">-F64</f>
        <v>-0</v>
      </c>
      <c r="G58" s="220" t="n">
        <f aca="false">-G64</f>
        <v>-0</v>
      </c>
      <c r="H58" s="220" t="n">
        <f aca="false">-H64</f>
        <v>-0</v>
      </c>
      <c r="I58" s="220" t="n">
        <f aca="false">-I64</f>
        <v>-612.867551008306</v>
      </c>
      <c r="J58" s="220" t="n">
        <f aca="false">-J64</f>
        <v>-0</v>
      </c>
      <c r="K58" s="220" t="n">
        <f aca="false">-K64</f>
        <v>-2359.6714736052</v>
      </c>
      <c r="L58" s="220" t="n">
        <f aca="false">-L64</f>
        <v>-2675.20257479902</v>
      </c>
      <c r="M58" s="220" t="n">
        <f aca="false">-M64</f>
        <v>-2596.81120300217</v>
      </c>
      <c r="N58" s="220" t="n">
        <f aca="false">-N64</f>
        <v>-2315.31801947561</v>
      </c>
      <c r="O58" s="220" t="n">
        <f aca="false">-O64</f>
        <v>-2420.98864630537</v>
      </c>
      <c r="P58" s="220" t="n">
        <f aca="false">-P64</f>
        <v>-2787.20696963232</v>
      </c>
      <c r="Q58" s="220" t="n">
        <f aca="false">-Q64</f>
        <v>-3028.66227514565</v>
      </c>
      <c r="R58" s="220" t="n">
        <f aca="false">-R64</f>
        <v>-2146.39853127851</v>
      </c>
      <c r="S58" s="220" t="n">
        <f aca="false">-S64</f>
        <v>-2036.81971517355</v>
      </c>
      <c r="T58" s="220" t="n">
        <f aca="false">-T64</f>
        <v>0</v>
      </c>
      <c r="U58" s="220" t="n">
        <f aca="false">-U64</f>
        <v>-0</v>
      </c>
      <c r="V58" s="220" t="n">
        <f aca="false">-V64</f>
        <v>-0</v>
      </c>
      <c r="W58" s="220" t="n">
        <f aca="false">-W64</f>
        <v>-0</v>
      </c>
      <c r="X58" s="220" t="n">
        <f aca="false">-X64</f>
        <v>-0</v>
      </c>
      <c r="Y58" s="220" t="n">
        <f aca="false">-Y64</f>
        <v>-0</v>
      </c>
      <c r="Z58" s="576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</row>
    <row r="59" customFormat="false" ht="12.75" hidden="false" customHeight="false" outlineLevel="0" collapsed="false">
      <c r="A59" s="37" t="s">
        <v>1479</v>
      </c>
      <c r="D59" s="217" t="n">
        <f aca="false">IF(D57&lt;0,0,SUM(D57:D58))</f>
        <v>0</v>
      </c>
      <c r="E59" s="217" t="n">
        <f aca="false">IF(E57&lt;0,0,SUM(E57:E58))</f>
        <v>0</v>
      </c>
      <c r="F59" s="217" t="n">
        <f aca="false">IF(F57&lt;0,0,SUM(F57:F58))</f>
        <v>0</v>
      </c>
      <c r="G59" s="217" t="n">
        <f aca="false">IF(G57&lt;0,0,SUM(G57:G58))</f>
        <v>0</v>
      </c>
      <c r="H59" s="217" t="n">
        <f aca="false">IF(H57&lt;0,0,SUM(H57:H58))</f>
        <v>0</v>
      </c>
      <c r="I59" s="217" t="n">
        <f aca="false">IF(I57&lt;0,0,SUM(I57:I58))</f>
        <v>1430.02428568605</v>
      </c>
      <c r="J59" s="217" t="n">
        <f aca="false">IF(J57&lt;0,0,SUM(J57:J58))</f>
        <v>0</v>
      </c>
      <c r="K59" s="217" t="n">
        <f aca="false">IF(K57&lt;0,0,SUM(K57:K58))</f>
        <v>5505.9001050788</v>
      </c>
      <c r="L59" s="217" t="n">
        <f aca="false">IF(L57&lt;0,0,SUM(L57:L58))</f>
        <v>6242.13934119772</v>
      </c>
      <c r="M59" s="217" t="n">
        <f aca="false">IF(M57&lt;0,0,SUM(M57:M58))</f>
        <v>6059.22614033839</v>
      </c>
      <c r="N59" s="217" t="n">
        <f aca="false">IF(N57&lt;0,0,SUM(N57:N58))</f>
        <v>5402.40871210975</v>
      </c>
      <c r="O59" s="217" t="n">
        <f aca="false">IF(O57&lt;0,0,SUM(O57:O58))</f>
        <v>5648.97350804586</v>
      </c>
      <c r="P59" s="217" t="n">
        <f aca="false">IF(P57&lt;0,0,SUM(P57:P58))</f>
        <v>6503.48292914207</v>
      </c>
      <c r="Q59" s="217" t="n">
        <f aca="false">IF(Q57&lt;0,0,SUM(Q57:Q58))</f>
        <v>7066.87864200652</v>
      </c>
      <c r="R59" s="217" t="n">
        <f aca="false">IF(R57&lt;0,0,SUM(R57:R58))</f>
        <v>5008.26323964986</v>
      </c>
      <c r="S59" s="217" t="n">
        <f aca="false">IF(S57&lt;0,0,SUM(S57:S58))</f>
        <v>7533.83445353228</v>
      </c>
      <c r="T59" s="217" t="n">
        <f aca="false">IF(T57&lt;0,0,SUM(T57:T58))</f>
        <v>3584.93109373236</v>
      </c>
      <c r="U59" s="217" t="n">
        <f aca="false">IF(U57&lt;0,0,SUM(U57:U58))</f>
        <v>0</v>
      </c>
      <c r="V59" s="217" t="n">
        <f aca="false">IF(V57&lt;0,0,SUM(V57:V58))</f>
        <v>0</v>
      </c>
      <c r="W59" s="217" t="n">
        <f aca="false">IF(W57&lt;0,0,SUM(W57:W58))</f>
        <v>0</v>
      </c>
      <c r="X59" s="217" t="n">
        <f aca="false">IF(X57&lt;0,0,SUM(X57:X58))</f>
        <v>0</v>
      </c>
      <c r="Y59" s="217" t="n">
        <f aca="false">IF(Y57&lt;0,0,SUM(Y57:Y58))</f>
        <v>0</v>
      </c>
      <c r="Z59" s="574" t="n">
        <f aca="false">SUM(D59:Y59)</f>
        <v>59986.0624505197</v>
      </c>
      <c r="AA59" s="215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</row>
    <row r="60" customFormat="false" ht="12.75" hidden="false" customHeight="false" outlineLevel="0" collapsed="false">
      <c r="A60" s="823"/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550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  <c r="BI60" s="215"/>
      <c r="BJ60" s="215"/>
      <c r="BK60" s="215"/>
      <c r="BL60" s="215"/>
      <c r="BM60" s="215"/>
      <c r="BN60" s="215"/>
      <c r="BO60" s="215"/>
      <c r="BP60" s="215"/>
      <c r="BQ60" s="215"/>
      <c r="BR60" s="215"/>
      <c r="BS60" s="215"/>
      <c r="BT60" s="215"/>
      <c r="BU60" s="215"/>
      <c r="BV60" s="215"/>
      <c r="BW60" s="215"/>
      <c r="BX60" s="215"/>
      <c r="BY60" s="215"/>
      <c r="BZ60" s="215"/>
      <c r="CA60" s="215"/>
      <c r="CB60" s="215"/>
      <c r="CC60" s="215"/>
      <c r="CD60" s="215"/>
      <c r="CE60" s="215"/>
      <c r="CF60" s="215"/>
      <c r="CG60" s="215"/>
      <c r="CH60" s="215"/>
      <c r="CI60" s="215"/>
      <c r="CJ60" s="215"/>
      <c r="CK60" s="215"/>
      <c r="CL60" s="215"/>
      <c r="CM60" s="215"/>
      <c r="CN60" s="215"/>
      <c r="CO60" s="215"/>
      <c r="CP60" s="215"/>
      <c r="CQ60" s="215"/>
      <c r="CR60" s="215"/>
      <c r="CS60" s="215"/>
      <c r="CT60" s="215"/>
      <c r="CU60" s="215"/>
      <c r="CV60" s="215"/>
      <c r="CW60" s="215"/>
      <c r="CX60" s="215"/>
      <c r="CY60" s="215"/>
      <c r="CZ60" s="215"/>
      <c r="DA60" s="215"/>
      <c r="DB60" s="215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  <c r="EY60" s="215"/>
      <c r="EZ60" s="215"/>
      <c r="FA60" s="215"/>
      <c r="FB60" s="215"/>
      <c r="FC60" s="215"/>
      <c r="FD60" s="215"/>
      <c r="FE60" s="215"/>
      <c r="FF60" s="215"/>
      <c r="FG60" s="215"/>
      <c r="FH60" s="215"/>
      <c r="FI60" s="215"/>
      <c r="FJ60" s="215"/>
      <c r="FK60" s="215"/>
      <c r="FL60" s="215"/>
      <c r="FM60" s="215"/>
      <c r="FN60" s="215"/>
      <c r="FO60" s="215"/>
      <c r="FP60" s="215"/>
      <c r="FQ60" s="215"/>
      <c r="FR60" s="215"/>
      <c r="FS60" s="215"/>
      <c r="FT60" s="215"/>
      <c r="FU60" s="215"/>
      <c r="FV60" s="215"/>
      <c r="FW60" s="215"/>
      <c r="FX60" s="215"/>
      <c r="FY60" s="215"/>
      <c r="FZ60" s="215"/>
      <c r="GA60" s="215"/>
      <c r="GB60" s="215"/>
      <c r="GC60" s="215"/>
      <c r="GD60" s="215"/>
      <c r="GE60" s="215"/>
      <c r="GF60" s="215"/>
      <c r="GG60" s="215"/>
      <c r="GH60" s="215"/>
      <c r="GI60" s="215"/>
      <c r="GJ60" s="215"/>
      <c r="GK60" s="215"/>
      <c r="GL60" s="215"/>
      <c r="GM60" s="215"/>
      <c r="GN60" s="215"/>
      <c r="GO60" s="215"/>
      <c r="GP60" s="215"/>
      <c r="GQ60" s="215"/>
      <c r="GR60" s="215"/>
      <c r="GS60" s="215"/>
      <c r="GT60" s="215"/>
      <c r="GU60" s="215"/>
      <c r="GV60" s="215"/>
      <c r="GW60" s="215"/>
      <c r="GX60" s="215"/>
      <c r="GY60" s="215"/>
      <c r="GZ60" s="215"/>
      <c r="HA60" s="215"/>
      <c r="HB60" s="215"/>
      <c r="HC60" s="215"/>
      <c r="HD60" s="215"/>
      <c r="HE60" s="215"/>
      <c r="HF60" s="215"/>
      <c r="HG60" s="215"/>
      <c r="HH60" s="215"/>
      <c r="HI60" s="215"/>
      <c r="HJ60" s="215"/>
      <c r="HK60" s="215"/>
      <c r="HL60" s="215"/>
      <c r="HM60" s="215"/>
      <c r="HN60" s="215"/>
      <c r="HO60" s="215"/>
      <c r="HP60" s="215"/>
      <c r="HQ60" s="215"/>
      <c r="HR60" s="215"/>
      <c r="HS60" s="215"/>
      <c r="HT60" s="215"/>
      <c r="HU60" s="215"/>
      <c r="HV60" s="215"/>
      <c r="HW60" s="215"/>
      <c r="HX60" s="215"/>
      <c r="HY60" s="215"/>
      <c r="HZ60" s="215"/>
      <c r="IA60" s="215"/>
      <c r="IB60" s="215"/>
      <c r="IC60" s="215"/>
      <c r="ID60" s="215"/>
      <c r="IE60" s="215"/>
      <c r="IF60" s="215"/>
      <c r="IG60" s="215"/>
      <c r="IH60" s="215"/>
      <c r="II60" s="215"/>
      <c r="IJ60" s="215"/>
      <c r="IK60" s="215"/>
      <c r="IL60" s="215"/>
      <c r="IM60" s="215"/>
      <c r="IN60" s="215"/>
      <c r="IO60" s="215"/>
      <c r="IP60" s="215"/>
      <c r="IQ60" s="215"/>
      <c r="IR60" s="215"/>
      <c r="IS60" s="215"/>
      <c r="IT60" s="215"/>
      <c r="IU60" s="215"/>
      <c r="IV60" s="215"/>
      <c r="IW60" s="215"/>
    </row>
    <row r="61" customFormat="false" ht="12.75" hidden="false" customHeight="false" outlineLevel="0" collapsed="false">
      <c r="A61" s="1175" t="s">
        <v>1480</v>
      </c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550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215"/>
      <c r="BV61" s="215"/>
      <c r="BW61" s="215"/>
      <c r="BX61" s="215"/>
      <c r="BY61" s="215"/>
      <c r="BZ61" s="215"/>
      <c r="CA61" s="215"/>
      <c r="CB61" s="215"/>
      <c r="CC61" s="215"/>
      <c r="CD61" s="215"/>
      <c r="CE61" s="215"/>
      <c r="CF61" s="215"/>
      <c r="CG61" s="215"/>
      <c r="CH61" s="215"/>
      <c r="CI61" s="215"/>
      <c r="CJ61" s="215"/>
      <c r="CK61" s="215"/>
      <c r="CL61" s="215"/>
      <c r="CM61" s="215"/>
      <c r="CN61" s="215"/>
      <c r="CO61" s="215"/>
      <c r="CP61" s="215"/>
      <c r="CQ61" s="215"/>
      <c r="CR61" s="215"/>
      <c r="CS61" s="215"/>
      <c r="CT61" s="215"/>
      <c r="CU61" s="215"/>
      <c r="CV61" s="215"/>
      <c r="CW61" s="215"/>
      <c r="CX61" s="215"/>
      <c r="CY61" s="215"/>
      <c r="CZ61" s="215"/>
      <c r="DA61" s="215"/>
      <c r="DB61" s="215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  <c r="EY61" s="215"/>
      <c r="EZ61" s="215"/>
      <c r="FA61" s="215"/>
      <c r="FB61" s="215"/>
      <c r="FC61" s="215"/>
      <c r="FD61" s="215"/>
      <c r="FE61" s="215"/>
      <c r="FF61" s="215"/>
      <c r="FG61" s="215"/>
      <c r="FH61" s="215"/>
      <c r="FI61" s="215"/>
      <c r="FJ61" s="215"/>
      <c r="FK61" s="215"/>
      <c r="FL61" s="215"/>
      <c r="FM61" s="215"/>
      <c r="FN61" s="215"/>
      <c r="FO61" s="215"/>
      <c r="FP61" s="215"/>
      <c r="FQ61" s="215"/>
      <c r="FR61" s="215"/>
      <c r="FS61" s="215"/>
      <c r="FT61" s="215"/>
      <c r="FU61" s="215"/>
      <c r="FV61" s="215"/>
      <c r="FW61" s="215"/>
      <c r="FX61" s="215"/>
      <c r="FY61" s="215"/>
      <c r="FZ61" s="215"/>
      <c r="GA61" s="215"/>
      <c r="GB61" s="215"/>
      <c r="GC61" s="215"/>
      <c r="GD61" s="215"/>
      <c r="GE61" s="215"/>
      <c r="GF61" s="215"/>
      <c r="GG61" s="215"/>
      <c r="GH61" s="215"/>
      <c r="GI61" s="215"/>
      <c r="GJ61" s="215"/>
      <c r="GK61" s="215"/>
      <c r="GL61" s="215"/>
      <c r="GM61" s="215"/>
      <c r="GN61" s="215"/>
      <c r="GO61" s="215"/>
      <c r="GP61" s="215"/>
      <c r="GQ61" s="215"/>
      <c r="GR61" s="215"/>
      <c r="GS61" s="215"/>
      <c r="GT61" s="215"/>
      <c r="GU61" s="215"/>
      <c r="GV61" s="215"/>
      <c r="GW61" s="215"/>
      <c r="GX61" s="215"/>
      <c r="GY61" s="215"/>
      <c r="GZ61" s="215"/>
      <c r="HA61" s="215"/>
      <c r="HB61" s="215"/>
      <c r="HC61" s="215"/>
      <c r="HD61" s="215"/>
      <c r="HE61" s="215"/>
      <c r="HF61" s="215"/>
      <c r="HG61" s="215"/>
      <c r="HH61" s="215"/>
      <c r="HI61" s="215"/>
      <c r="HJ61" s="215"/>
      <c r="HK61" s="215"/>
      <c r="HL61" s="215"/>
      <c r="HM61" s="215"/>
      <c r="HN61" s="215"/>
      <c r="HO61" s="215"/>
      <c r="HP61" s="215"/>
      <c r="HQ61" s="215"/>
      <c r="HR61" s="215"/>
      <c r="HS61" s="215"/>
      <c r="HT61" s="215"/>
      <c r="HU61" s="215"/>
      <c r="HV61" s="215"/>
      <c r="HW61" s="215"/>
      <c r="HX61" s="215"/>
      <c r="HY61" s="215"/>
      <c r="HZ61" s="215"/>
      <c r="IA61" s="215"/>
      <c r="IB61" s="215"/>
      <c r="IC61" s="215"/>
      <c r="ID61" s="215"/>
      <c r="IE61" s="215"/>
      <c r="IF61" s="215"/>
      <c r="IG61" s="215"/>
      <c r="IH61" s="215"/>
      <c r="II61" s="215"/>
      <c r="IJ61" s="215"/>
      <c r="IK61" s="215"/>
      <c r="IL61" s="215"/>
      <c r="IM61" s="215"/>
      <c r="IN61" s="215"/>
      <c r="IO61" s="215"/>
      <c r="IP61" s="215"/>
      <c r="IQ61" s="215"/>
      <c r="IR61" s="215"/>
      <c r="IS61" s="215"/>
      <c r="IT61" s="215"/>
      <c r="IU61" s="215"/>
      <c r="IV61" s="215"/>
      <c r="IW61" s="215"/>
    </row>
    <row r="62" customFormat="false" ht="12.75" hidden="false" customHeight="false" outlineLevel="0" collapsed="false">
      <c r="A62" s="37" t="s">
        <v>1464</v>
      </c>
      <c r="D62" s="189" t="n">
        <v>0</v>
      </c>
      <c r="E62" s="217" t="n">
        <f aca="false">D65</f>
        <v>0</v>
      </c>
      <c r="F62" s="217" t="n">
        <f aca="false">E65</f>
        <v>0</v>
      </c>
      <c r="G62" s="217" t="n">
        <f aca="false">F65</f>
        <v>-6578.06094793574</v>
      </c>
      <c r="H62" s="217" t="n">
        <f aca="false">G65</f>
        <v>-10349.19382013</v>
      </c>
      <c r="I62" s="217" t="n">
        <f aca="false">H65</f>
        <v>-13360.710583034</v>
      </c>
      <c r="J62" s="217" t="n">
        <f aca="false">I65</f>
        <v>-14399.5147353497</v>
      </c>
      <c r="K62" s="217" t="n">
        <f aca="false">J65</f>
        <v>-14399.5147353497</v>
      </c>
      <c r="L62" s="217" t="n">
        <f aca="false">K65</f>
        <v>-20007.4079348122</v>
      </c>
      <c r="M62" s="217" t="n">
        <f aca="false">L65</f>
        <v>-17332.2053600132</v>
      </c>
      <c r="N62" s="217" t="n">
        <f aca="false">M65</f>
        <v>-14735.394157011</v>
      </c>
      <c r="O62" s="217" t="n">
        <f aca="false">N65</f>
        <v>-12420.0761375354</v>
      </c>
      <c r="P62" s="217" t="n">
        <f aca="false">O65</f>
        <v>-9999.08749123004</v>
      </c>
      <c r="Q62" s="217" t="n">
        <f aca="false">P65</f>
        <v>-7211.88052159772</v>
      </c>
      <c r="R62" s="217" t="n">
        <f aca="false">Q65</f>
        <v>-4183.21824645207</v>
      </c>
      <c r="S62" s="217" t="n">
        <f aca="false">R65</f>
        <v>-2036.81971517355</v>
      </c>
      <c r="T62" s="217" t="n">
        <f aca="false">S65</f>
        <v>0</v>
      </c>
      <c r="U62" s="217" t="n">
        <f aca="false">T65</f>
        <v>0</v>
      </c>
      <c r="V62" s="217" t="n">
        <f aca="false">U65</f>
        <v>0</v>
      </c>
      <c r="W62" s="217" t="n">
        <f aca="false">V65</f>
        <v>-7495.22851386404</v>
      </c>
      <c r="X62" s="217" t="n">
        <f aca="false">W65</f>
        <v>-19208.7962195597</v>
      </c>
      <c r="Y62" s="217" t="n">
        <f aca="false">X65</f>
        <v>-32318.1007505777</v>
      </c>
      <c r="Z62" s="574" t="n">
        <f aca="false">D62</f>
        <v>0</v>
      </c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</row>
    <row r="63" customFormat="false" ht="12.75" hidden="false" customHeight="false" outlineLevel="0" collapsed="false">
      <c r="A63" s="37" t="s">
        <v>1465</v>
      </c>
      <c r="D63" s="217" t="n">
        <f aca="false">IF(C57&lt;0,C57,0)</f>
        <v>0</v>
      </c>
      <c r="E63" s="217" t="n">
        <f aca="false">IF(D57&lt;0,D57,0)</f>
        <v>0</v>
      </c>
      <c r="F63" s="217" t="n">
        <f aca="false">IF(E57&lt;0,E57,0)</f>
        <v>-6578.06094793574</v>
      </c>
      <c r="G63" s="217" t="n">
        <f aca="false">IF(F57&lt;0,F57,0)</f>
        <v>-3771.13287219427</v>
      </c>
      <c r="H63" s="217" t="n">
        <f aca="false">IF(G57&lt;0,G57,0)</f>
        <v>-3011.51676290401</v>
      </c>
      <c r="I63" s="217" t="n">
        <f aca="false">IF(H57&lt;0,H57,0)</f>
        <v>-1651.67170332394</v>
      </c>
      <c r="J63" s="217" t="n">
        <f aca="false">IF(I57&lt;0,I57,0)</f>
        <v>0</v>
      </c>
      <c r="K63" s="217" t="n">
        <f aca="false">IF(J57&lt;0,J57,0)</f>
        <v>-7967.56467306774</v>
      </c>
      <c r="L63" s="217" t="n">
        <f aca="false">IF(K57&lt;0,K57,0)</f>
        <v>0</v>
      </c>
      <c r="M63" s="217" t="n">
        <f aca="false">IF(L57&lt;0,L57,0)</f>
        <v>0</v>
      </c>
      <c r="N63" s="217" t="n">
        <f aca="false">IF(M57&lt;0,M57,0)</f>
        <v>0</v>
      </c>
      <c r="O63" s="217" t="n">
        <f aca="false">IF(N57&lt;0,N57,0)</f>
        <v>0</v>
      </c>
      <c r="P63" s="217" t="n">
        <f aca="false">IF(O57&lt;0,O57,0)</f>
        <v>0</v>
      </c>
      <c r="Q63" s="217" t="n">
        <f aca="false">IF(P57&lt;0,P57,0)</f>
        <v>0</v>
      </c>
      <c r="R63" s="217" t="n">
        <f aca="false">IF(Q57&lt;0,Q57,0)</f>
        <v>0</v>
      </c>
      <c r="S63" s="217" t="n">
        <f aca="false">IF(R57&lt;0,R57,0)</f>
        <v>0</v>
      </c>
      <c r="T63" s="217" t="n">
        <f aca="false">IF(S57&lt;0,S57,0)</f>
        <v>0</v>
      </c>
      <c r="U63" s="217" t="n">
        <f aca="false">IF(T57&lt;0,T57,0)</f>
        <v>0</v>
      </c>
      <c r="V63" s="217" t="n">
        <f aca="false">IF(U57&lt;0,U57,0)</f>
        <v>-7495.22851386404</v>
      </c>
      <c r="W63" s="217" t="n">
        <f aca="false">IF(V57&lt;0,V57,0)</f>
        <v>-11713.5677056956</v>
      </c>
      <c r="X63" s="217" t="n">
        <f aca="false">IF(W57&lt;0,W57,0)</f>
        <v>-13109.3045310181</v>
      </c>
      <c r="Y63" s="217" t="n">
        <f aca="false">IF(X57&lt;0,X57,0)</f>
        <v>-11574.6128769193</v>
      </c>
      <c r="Z63" s="574" t="n">
        <f aca="false">SUM(D63:Y63)</f>
        <v>-66872.6605869227</v>
      </c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</row>
    <row r="64" customFormat="false" ht="12.75" hidden="false" customHeight="false" outlineLevel="0" collapsed="false">
      <c r="A64" s="37" t="s">
        <v>1460</v>
      </c>
      <c r="B64" s="175" t="str">
        <f aca="false">CONCATENATE("Capped @ ",TEXT(Nol,"0%"))</f>
        <v>Capped @ 30%</v>
      </c>
      <c r="D64" s="220" t="n">
        <f aca="false">IF(D57&gt;0,-MAX(-Nol*D57,SUM(D62:D63)),0)</f>
        <v>0</v>
      </c>
      <c r="E64" s="220" t="n">
        <f aca="false">IF(E57&gt;0,-MAX(-Nol*E57,SUM(E62:E63)),0)</f>
        <v>0</v>
      </c>
      <c r="F64" s="220" t="n">
        <f aca="false">IF(F57&gt;0,-MAX(-Nol*F57,SUM(F62:F63)),0)</f>
        <v>0</v>
      </c>
      <c r="G64" s="220" t="n">
        <f aca="false">IF(G57&gt;0,-MAX(-Nol*G57,SUM(G62:G63)),0)</f>
        <v>0</v>
      </c>
      <c r="H64" s="220" t="n">
        <f aca="false">IF(H57&gt;0,-MAX(-Nol*H57,SUM(H62:H63)),0)</f>
        <v>0</v>
      </c>
      <c r="I64" s="220" t="n">
        <f aca="false">IF(I57&gt;0,-MAX(-Nol*I57,SUM(I62:I63)),0)</f>
        <v>612.867551008306</v>
      </c>
      <c r="J64" s="220" t="n">
        <f aca="false">IF(J57&gt;0,-MAX(-Nol*J57,SUM(J62:J63)),0)</f>
        <v>0</v>
      </c>
      <c r="K64" s="220" t="n">
        <f aca="false">IF(K57&gt;0,-MAX(-Nol*K57,SUM(K62:K63)),0)</f>
        <v>2359.6714736052</v>
      </c>
      <c r="L64" s="220" t="n">
        <f aca="false">IF(L57&gt;0,-MAX(-Nol*L57,SUM(L62:L63)),0)</f>
        <v>2675.20257479902</v>
      </c>
      <c r="M64" s="220" t="n">
        <f aca="false">IF(M57&gt;0,-MAX(-Nol*M57,SUM(M62:M63)),0)</f>
        <v>2596.81120300217</v>
      </c>
      <c r="N64" s="220" t="n">
        <f aca="false">IF(N57&gt;0,-MAX(-Nol*N57,SUM(N62:N63)),0)</f>
        <v>2315.31801947561</v>
      </c>
      <c r="O64" s="220" t="n">
        <f aca="false">IF(O57&gt;0,-MAX(-Nol*O57,SUM(O62:O63)),0)</f>
        <v>2420.98864630537</v>
      </c>
      <c r="P64" s="220" t="n">
        <f aca="false">IF(P57&gt;0,-MAX(-Nol*P57,SUM(P62:P63)),0)</f>
        <v>2787.20696963232</v>
      </c>
      <c r="Q64" s="220" t="n">
        <f aca="false">IF(Q57&gt;0,-MAX(-Nol*Q57,SUM(Q62:Q63)),0)</f>
        <v>3028.66227514565</v>
      </c>
      <c r="R64" s="220" t="n">
        <f aca="false">IF(R57&gt;0,-MAX(-Nol*R57,SUM(R62:R63)),0)</f>
        <v>2146.39853127851</v>
      </c>
      <c r="S64" s="220" t="n">
        <f aca="false">IF(S57&gt;0,-MAX(-Nol*S57,SUM(S62:S63)),0)</f>
        <v>2036.81971517355</v>
      </c>
      <c r="T64" s="220" t="n">
        <f aca="false">IF(T57&gt;0,-MAX(-Nol*T57,SUM(T62:T63)),0)</f>
        <v>-0</v>
      </c>
      <c r="U64" s="220" t="n">
        <f aca="false">IF(U57&gt;0,-MAX(-Nol*U57,SUM(U62:U63)),0)</f>
        <v>0</v>
      </c>
      <c r="V64" s="220" t="n">
        <f aca="false">IF(V57&gt;0,-MAX(-Nol*V57,SUM(V62:V63)),0)</f>
        <v>0</v>
      </c>
      <c r="W64" s="220" t="n">
        <f aca="false">IF(W57&gt;0,-MAX(-Nol*W57,SUM(W62:W63)),0)</f>
        <v>0</v>
      </c>
      <c r="X64" s="220" t="n">
        <f aca="false">IF(X57&gt;0,-MAX(-Nol*X57,SUM(X62:X63)),0)</f>
        <v>0</v>
      </c>
      <c r="Y64" s="220" t="n">
        <f aca="false">IF(Y57&gt;0,-MAX(-Nol*Y57,SUM(Y62:Y63)),0)</f>
        <v>0</v>
      </c>
      <c r="Z64" s="576" t="n">
        <f aca="false">SUM(D64:Y64)</f>
        <v>22979.9469594257</v>
      </c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</row>
    <row r="65" customFormat="false" ht="12.75" hidden="false" customHeight="false" outlineLevel="0" collapsed="false">
      <c r="A65" s="37" t="s">
        <v>1466</v>
      </c>
      <c r="C65" s="607"/>
      <c r="D65" s="217" t="n">
        <f aca="false">SUM(D62:D64)</f>
        <v>0</v>
      </c>
      <c r="E65" s="217" t="n">
        <f aca="false">SUM(E62:E64)</f>
        <v>0</v>
      </c>
      <c r="F65" s="217" t="n">
        <f aca="false">SUM(F62:F64)</f>
        <v>-6578.06094793574</v>
      </c>
      <c r="G65" s="217" t="n">
        <f aca="false">SUM(G62:G64)</f>
        <v>-10349.19382013</v>
      </c>
      <c r="H65" s="217" t="n">
        <f aca="false">SUM(H62:H64)</f>
        <v>-13360.710583034</v>
      </c>
      <c r="I65" s="217" t="n">
        <f aca="false">SUM(I62:I64)</f>
        <v>-14399.5147353497</v>
      </c>
      <c r="J65" s="217" t="n">
        <f aca="false">SUM(J62:J64)</f>
        <v>-14399.5147353497</v>
      </c>
      <c r="K65" s="217" t="n">
        <f aca="false">SUM(K62:K64)</f>
        <v>-20007.4079348122</v>
      </c>
      <c r="L65" s="217" t="n">
        <f aca="false">SUM(L62:L64)</f>
        <v>-17332.2053600132</v>
      </c>
      <c r="M65" s="217" t="n">
        <f aca="false">SUM(M62:M64)</f>
        <v>-14735.394157011</v>
      </c>
      <c r="N65" s="217" t="n">
        <f aca="false">SUM(N62:N64)</f>
        <v>-12420.0761375354</v>
      </c>
      <c r="O65" s="217" t="n">
        <f aca="false">SUM(O62:O64)</f>
        <v>-9999.08749123004</v>
      </c>
      <c r="P65" s="217" t="n">
        <f aca="false">SUM(P62:P64)</f>
        <v>-7211.88052159772</v>
      </c>
      <c r="Q65" s="217" t="n">
        <f aca="false">SUM(Q62:Q64)</f>
        <v>-4183.21824645207</v>
      </c>
      <c r="R65" s="217" t="n">
        <f aca="false">SUM(R62:R64)</f>
        <v>-2036.81971517355</v>
      </c>
      <c r="S65" s="217" t="n">
        <f aca="false">SUM(S62:S64)</f>
        <v>0</v>
      </c>
      <c r="T65" s="217" t="n">
        <f aca="false">SUM(T62:T64)</f>
        <v>0</v>
      </c>
      <c r="U65" s="217" t="n">
        <f aca="false">SUM(U62:U64)</f>
        <v>0</v>
      </c>
      <c r="V65" s="217" t="n">
        <f aca="false">SUM(V62:V64)</f>
        <v>-7495.22851386404</v>
      </c>
      <c r="W65" s="217" t="n">
        <f aca="false">SUM(W62:W64)</f>
        <v>-19208.7962195597</v>
      </c>
      <c r="X65" s="217" t="n">
        <f aca="false">SUM(X62:X64)</f>
        <v>-32318.1007505777</v>
      </c>
      <c r="Y65" s="217" t="n">
        <f aca="false">SUM(Y62:Y64)</f>
        <v>-43892.713627497</v>
      </c>
      <c r="Z65" s="574" t="n">
        <f aca="false">SUM(Z62:Z64)</f>
        <v>-43892.713627497</v>
      </c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</row>
    <row r="66" customFormat="false" ht="12.75" hidden="false" customHeight="false" outlineLevel="0" collapsed="false">
      <c r="A66" s="37"/>
      <c r="Z66" s="555"/>
    </row>
    <row r="67" customFormat="false" ht="12.75" hidden="false" customHeight="false" outlineLevel="0" collapsed="false">
      <c r="A67" s="130" t="s">
        <v>71</v>
      </c>
      <c r="C67" s="607"/>
      <c r="D67" s="556"/>
      <c r="E67" s="556"/>
      <c r="F67" s="556"/>
      <c r="G67" s="556"/>
      <c r="H67" s="556"/>
      <c r="I67" s="556"/>
      <c r="J67" s="556"/>
      <c r="K67" s="556"/>
      <c r="L67" s="556"/>
      <c r="M67" s="556"/>
      <c r="N67" s="556"/>
      <c r="O67" s="556"/>
      <c r="P67" s="556"/>
      <c r="Q67" s="556"/>
      <c r="R67" s="556"/>
      <c r="S67" s="556"/>
      <c r="T67" s="556"/>
      <c r="U67" s="556"/>
      <c r="V67" s="556"/>
      <c r="W67" s="556"/>
      <c r="X67" s="556"/>
      <c r="Y67" s="556"/>
      <c r="Z67" s="557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</row>
    <row r="68" customFormat="false" ht="12.75" hidden="false" customHeight="false" outlineLevel="0" collapsed="false">
      <c r="A68" s="37" t="s">
        <v>1479</v>
      </c>
      <c r="C68" s="607"/>
      <c r="D68" s="217" t="n">
        <f aca="false">D$59</f>
        <v>0</v>
      </c>
      <c r="E68" s="217" t="n">
        <f aca="false">E$59</f>
        <v>0</v>
      </c>
      <c r="F68" s="217" t="n">
        <f aca="false">F$59</f>
        <v>0</v>
      </c>
      <c r="G68" s="217" t="n">
        <f aca="false">G$59</f>
        <v>0</v>
      </c>
      <c r="H68" s="217" t="n">
        <f aca="false">H$59</f>
        <v>0</v>
      </c>
      <c r="I68" s="217" t="n">
        <f aca="false">I$59</f>
        <v>1430.02428568605</v>
      </c>
      <c r="J68" s="217" t="n">
        <f aca="false">J$59</f>
        <v>0</v>
      </c>
      <c r="K68" s="217" t="n">
        <f aca="false">K$59</f>
        <v>5505.9001050788</v>
      </c>
      <c r="L68" s="217" t="n">
        <f aca="false">L$59</f>
        <v>6242.13934119772</v>
      </c>
      <c r="M68" s="217" t="n">
        <f aca="false">M$59</f>
        <v>6059.22614033839</v>
      </c>
      <c r="N68" s="217" t="n">
        <f aca="false">N$59</f>
        <v>5402.40871210975</v>
      </c>
      <c r="O68" s="217" t="n">
        <f aca="false">O$59</f>
        <v>5648.97350804586</v>
      </c>
      <c r="P68" s="217" t="n">
        <f aca="false">P$59</f>
        <v>6503.48292914207</v>
      </c>
      <c r="Q68" s="217" t="n">
        <f aca="false">Q$59</f>
        <v>7066.87864200652</v>
      </c>
      <c r="R68" s="217" t="n">
        <f aca="false">R$59</f>
        <v>5008.26323964986</v>
      </c>
      <c r="S68" s="217" t="n">
        <f aca="false">S$59</f>
        <v>7533.83445353228</v>
      </c>
      <c r="T68" s="217" t="n">
        <f aca="false">T$59</f>
        <v>3584.93109373236</v>
      </c>
      <c r="U68" s="217" t="n">
        <f aca="false">U$59</f>
        <v>0</v>
      </c>
      <c r="V68" s="217" t="n">
        <f aca="false">V$59</f>
        <v>0</v>
      </c>
      <c r="W68" s="217" t="n">
        <f aca="false">W$59</f>
        <v>0</v>
      </c>
      <c r="X68" s="217" t="n">
        <f aca="false">X$59</f>
        <v>0</v>
      </c>
      <c r="Y68" s="217" t="n">
        <f aca="false">Y$59</f>
        <v>0</v>
      </c>
      <c r="Z68" s="574" t="n">
        <f aca="false">SUM(D68:Y68)</f>
        <v>59986.0624505197</v>
      </c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</row>
    <row r="69" customFormat="false" ht="12.75" hidden="false" customHeight="false" outlineLevel="0" collapsed="false">
      <c r="A69" s="37" t="s">
        <v>1431</v>
      </c>
      <c r="C69" s="607"/>
      <c r="D69" s="772" t="n">
        <f aca="false">Tax</f>
        <v>0.15</v>
      </c>
      <c r="E69" s="772" t="n">
        <f aca="false">Tax</f>
        <v>0.15</v>
      </c>
      <c r="F69" s="772" t="n">
        <f aca="false">Tax</f>
        <v>0.15</v>
      </c>
      <c r="G69" s="772" t="n">
        <f aca="false">Tax</f>
        <v>0.15</v>
      </c>
      <c r="H69" s="772" t="n">
        <f aca="false">Tax</f>
        <v>0.15</v>
      </c>
      <c r="I69" s="772" t="n">
        <f aca="false">Tax</f>
        <v>0.15</v>
      </c>
      <c r="J69" s="772" t="n">
        <f aca="false">Tax</f>
        <v>0.15</v>
      </c>
      <c r="K69" s="772" t="n">
        <f aca="false">Tax</f>
        <v>0.15</v>
      </c>
      <c r="L69" s="772" t="n">
        <f aca="false">Tax</f>
        <v>0.15</v>
      </c>
      <c r="M69" s="772" t="n">
        <f aca="false">Tax</f>
        <v>0.15</v>
      </c>
      <c r="N69" s="772" t="n">
        <f aca="false">Tax</f>
        <v>0.15</v>
      </c>
      <c r="O69" s="772" t="n">
        <f aca="false">Tax</f>
        <v>0.15</v>
      </c>
      <c r="P69" s="772" t="n">
        <f aca="false">Tax</f>
        <v>0.15</v>
      </c>
      <c r="Q69" s="772" t="n">
        <f aca="false">Tax</f>
        <v>0.15</v>
      </c>
      <c r="R69" s="772" t="n">
        <f aca="false">Tax</f>
        <v>0.15</v>
      </c>
      <c r="S69" s="772" t="n">
        <f aca="false">Tax</f>
        <v>0.15</v>
      </c>
      <c r="T69" s="772" t="n">
        <f aca="false">Tax</f>
        <v>0.15</v>
      </c>
      <c r="U69" s="772" t="n">
        <f aca="false">Tax</f>
        <v>0.15</v>
      </c>
      <c r="V69" s="772" t="n">
        <f aca="false">Tax</f>
        <v>0.15</v>
      </c>
      <c r="W69" s="772" t="n">
        <f aca="false">Tax</f>
        <v>0.15</v>
      </c>
      <c r="X69" s="772" t="n">
        <f aca="false">Tax</f>
        <v>0.15</v>
      </c>
      <c r="Y69" s="772" t="n">
        <f aca="false">Tax</f>
        <v>0.15</v>
      </c>
      <c r="Z69" s="557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</row>
    <row r="70" customFormat="false" ht="12.75" hidden="false" customHeight="false" outlineLevel="0" collapsed="false">
      <c r="A70" s="37" t="s">
        <v>1432</v>
      </c>
      <c r="C70" s="607"/>
      <c r="D70" s="217" t="n">
        <f aca="false">D68*D69</f>
        <v>0</v>
      </c>
      <c r="E70" s="217" t="n">
        <f aca="false">E68*E69</f>
        <v>0</v>
      </c>
      <c r="F70" s="217" t="n">
        <f aca="false">F68*F69</f>
        <v>0</v>
      </c>
      <c r="G70" s="217" t="n">
        <f aca="false">G68*G69</f>
        <v>0</v>
      </c>
      <c r="H70" s="217" t="n">
        <f aca="false">H68*H69</f>
        <v>0</v>
      </c>
      <c r="I70" s="217" t="n">
        <f aca="false">I68*I69</f>
        <v>214.503642852907</v>
      </c>
      <c r="J70" s="217" t="n">
        <f aca="false">J68*J69</f>
        <v>0</v>
      </c>
      <c r="K70" s="217" t="n">
        <f aca="false">K68*K69</f>
        <v>825.885015761821</v>
      </c>
      <c r="L70" s="217" t="n">
        <f aca="false">L68*L69</f>
        <v>936.320901179659</v>
      </c>
      <c r="M70" s="217" t="n">
        <f aca="false">M68*M69</f>
        <v>908.883921050759</v>
      </c>
      <c r="N70" s="217" t="n">
        <f aca="false">N68*N69</f>
        <v>810.361306816462</v>
      </c>
      <c r="O70" s="217" t="n">
        <f aca="false">O68*O69</f>
        <v>847.346026206879</v>
      </c>
      <c r="P70" s="217" t="n">
        <f aca="false">P68*P69</f>
        <v>975.522439371311</v>
      </c>
      <c r="Q70" s="217" t="n">
        <f aca="false">Q68*Q69</f>
        <v>1060.03179630098</v>
      </c>
      <c r="R70" s="217" t="n">
        <f aca="false">R68*R69</f>
        <v>751.239485947479</v>
      </c>
      <c r="S70" s="217" t="n">
        <f aca="false">S68*S69</f>
        <v>1130.07516802984</v>
      </c>
      <c r="T70" s="217" t="n">
        <f aca="false">T68*T69</f>
        <v>537.739664059855</v>
      </c>
      <c r="U70" s="217" t="n">
        <f aca="false">U68*U69</f>
        <v>0</v>
      </c>
      <c r="V70" s="217" t="n">
        <f aca="false">V68*V69</f>
        <v>0</v>
      </c>
      <c r="W70" s="217" t="n">
        <f aca="false">W68*W69</f>
        <v>0</v>
      </c>
      <c r="X70" s="217" t="n">
        <f aca="false">X68*X69</f>
        <v>0</v>
      </c>
      <c r="Y70" s="217" t="n">
        <f aca="false">Y68*Y69</f>
        <v>0</v>
      </c>
      <c r="Z70" s="574" t="n">
        <f aca="false">SUM(D70:Y70)</f>
        <v>8997.90936757795</v>
      </c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</row>
    <row r="71" customFormat="false" ht="12.75" hidden="false" customHeight="false" outlineLevel="0" collapsed="false">
      <c r="A71" s="823"/>
      <c r="B71" s="215"/>
      <c r="C71" s="1163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550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  <c r="EY71" s="215"/>
      <c r="EZ71" s="215"/>
      <c r="FA71" s="215"/>
      <c r="FB71" s="215"/>
      <c r="FC71" s="215"/>
      <c r="FD71" s="215"/>
      <c r="FE71" s="215"/>
      <c r="FF71" s="215"/>
      <c r="FG71" s="215"/>
      <c r="FH71" s="215"/>
      <c r="FI71" s="215"/>
      <c r="FJ71" s="215"/>
      <c r="FK71" s="215"/>
      <c r="FL71" s="215"/>
      <c r="FM71" s="215"/>
      <c r="FN71" s="215"/>
      <c r="FO71" s="215"/>
      <c r="FP71" s="215"/>
      <c r="FQ71" s="215"/>
      <c r="FR71" s="215"/>
      <c r="FS71" s="215"/>
      <c r="FT71" s="215"/>
      <c r="FU71" s="215"/>
      <c r="FV71" s="215"/>
      <c r="FW71" s="215"/>
      <c r="FX71" s="215"/>
      <c r="FY71" s="215"/>
      <c r="FZ71" s="215"/>
      <c r="GA71" s="215"/>
      <c r="GB71" s="215"/>
      <c r="GC71" s="215"/>
      <c r="GD71" s="215"/>
      <c r="GE71" s="215"/>
      <c r="GF71" s="215"/>
      <c r="GG71" s="215"/>
      <c r="GH71" s="215"/>
      <c r="GI71" s="215"/>
      <c r="GJ71" s="215"/>
      <c r="GK71" s="215"/>
      <c r="GL71" s="215"/>
      <c r="GM71" s="215"/>
      <c r="GN71" s="215"/>
      <c r="GO71" s="215"/>
      <c r="GP71" s="215"/>
      <c r="GQ71" s="215"/>
      <c r="GR71" s="215"/>
      <c r="GS71" s="215"/>
      <c r="GT71" s="215"/>
      <c r="GU71" s="215"/>
      <c r="GV71" s="215"/>
      <c r="GW71" s="215"/>
      <c r="GX71" s="215"/>
      <c r="GY71" s="215"/>
      <c r="GZ71" s="215"/>
      <c r="HA71" s="215"/>
      <c r="HB71" s="215"/>
      <c r="HC71" s="215"/>
      <c r="HD71" s="215"/>
      <c r="HE71" s="215"/>
      <c r="HF71" s="215"/>
      <c r="HG71" s="215"/>
      <c r="HH71" s="215"/>
      <c r="HI71" s="215"/>
      <c r="HJ71" s="215"/>
      <c r="HK71" s="215"/>
      <c r="HL71" s="215"/>
      <c r="HM71" s="215"/>
      <c r="HN71" s="215"/>
      <c r="HO71" s="215"/>
      <c r="HP71" s="215"/>
      <c r="HQ71" s="215"/>
      <c r="HR71" s="215"/>
      <c r="HS71" s="215"/>
      <c r="HT71" s="215"/>
      <c r="HU71" s="215"/>
      <c r="HV71" s="215"/>
      <c r="HW71" s="215"/>
      <c r="HX71" s="215"/>
      <c r="HY71" s="215"/>
      <c r="HZ71" s="215"/>
      <c r="IA71" s="215"/>
      <c r="IB71" s="215"/>
      <c r="IC71" s="215"/>
      <c r="ID71" s="215"/>
      <c r="IE71" s="215"/>
      <c r="IF71" s="215"/>
      <c r="IG71" s="215"/>
      <c r="IH71" s="215"/>
      <c r="II71" s="215"/>
      <c r="IJ71" s="215"/>
      <c r="IK71" s="215"/>
      <c r="IL71" s="215"/>
      <c r="IM71" s="215"/>
      <c r="IN71" s="215"/>
      <c r="IO71" s="215"/>
      <c r="IP71" s="215"/>
      <c r="IQ71" s="215"/>
      <c r="IR71" s="215"/>
      <c r="IS71" s="215"/>
      <c r="IT71" s="215"/>
      <c r="IU71" s="215"/>
      <c r="IV71" s="215"/>
      <c r="IW71" s="215"/>
    </row>
    <row r="72" customFormat="false" ht="12.75" hidden="false" customHeight="false" outlineLevel="0" collapsed="false">
      <c r="A72" s="130" t="s">
        <v>78</v>
      </c>
      <c r="C72" s="607"/>
      <c r="D72" s="556"/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6"/>
      <c r="Q72" s="556"/>
      <c r="R72" s="556"/>
      <c r="S72" s="556"/>
      <c r="T72" s="556"/>
      <c r="U72" s="556"/>
      <c r="V72" s="556"/>
      <c r="W72" s="556"/>
      <c r="X72" s="556"/>
      <c r="Y72" s="556"/>
      <c r="Z72" s="557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</row>
    <row r="73" customFormat="false" ht="12.75" hidden="false" customHeight="false" outlineLevel="0" collapsed="false">
      <c r="A73" s="37" t="s">
        <v>1479</v>
      </c>
      <c r="D73" s="217" t="n">
        <f aca="false">D$59</f>
        <v>0</v>
      </c>
      <c r="E73" s="217" t="n">
        <f aca="false">E$59</f>
        <v>0</v>
      </c>
      <c r="F73" s="217" t="n">
        <f aca="false">F$59</f>
        <v>0</v>
      </c>
      <c r="G73" s="217" t="n">
        <f aca="false">G$59</f>
        <v>0</v>
      </c>
      <c r="H73" s="217" t="n">
        <f aca="false">H$59</f>
        <v>0</v>
      </c>
      <c r="I73" s="217" t="n">
        <f aca="false">I$59</f>
        <v>1430.02428568605</v>
      </c>
      <c r="J73" s="217" t="n">
        <f aca="false">J$59</f>
        <v>0</v>
      </c>
      <c r="K73" s="217" t="n">
        <f aca="false">K$59</f>
        <v>5505.9001050788</v>
      </c>
      <c r="L73" s="217" t="n">
        <f aca="false">L$59</f>
        <v>6242.13934119772</v>
      </c>
      <c r="M73" s="217" t="n">
        <f aca="false">M$59</f>
        <v>6059.22614033839</v>
      </c>
      <c r="N73" s="217" t="n">
        <f aca="false">N$59</f>
        <v>5402.40871210975</v>
      </c>
      <c r="O73" s="217" t="n">
        <f aca="false">O$59</f>
        <v>5648.97350804586</v>
      </c>
      <c r="P73" s="217" t="n">
        <f aca="false">P$59</f>
        <v>6503.48292914207</v>
      </c>
      <c r="Q73" s="217" t="n">
        <f aca="false">Q$59</f>
        <v>7066.87864200652</v>
      </c>
      <c r="R73" s="217" t="n">
        <f aca="false">R$59</f>
        <v>5008.26323964986</v>
      </c>
      <c r="S73" s="217" t="n">
        <f aca="false">S$59</f>
        <v>7533.83445353228</v>
      </c>
      <c r="T73" s="217" t="n">
        <f aca="false">T$59</f>
        <v>3584.93109373236</v>
      </c>
      <c r="U73" s="217" t="n">
        <f aca="false">U$59</f>
        <v>0</v>
      </c>
      <c r="V73" s="217" t="n">
        <f aca="false">V$59</f>
        <v>0</v>
      </c>
      <c r="W73" s="217" t="n">
        <f aca="false">W$59</f>
        <v>0</v>
      </c>
      <c r="X73" s="217" t="n">
        <f aca="false">X$59</f>
        <v>0</v>
      </c>
      <c r="Y73" s="217" t="n">
        <f aca="false">Y$59</f>
        <v>0</v>
      </c>
      <c r="Z73" s="574" t="n">
        <f aca="false">SUM(D73:Y73)</f>
        <v>59986.0624505197</v>
      </c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</row>
    <row r="74" customFormat="false" ht="12.75" hidden="false" customHeight="false" outlineLevel="0" collapsed="false">
      <c r="A74" s="37" t="s">
        <v>1433</v>
      </c>
      <c r="C74" s="607"/>
      <c r="D74" s="220" t="n">
        <f aca="false">-IF(D73&lt;=0,0,MIN(D73,Assm!$L$9/Rev_Exp!D$27*D$9/12))</f>
        <v>-0</v>
      </c>
      <c r="E74" s="220" t="n">
        <f aca="false">-IF(E73&lt;=0,0,MIN(E73,Assm!$L$9/Rev_Exp!E$27*E$9/12))</f>
        <v>-0</v>
      </c>
      <c r="F74" s="220" t="n">
        <f aca="false">-IF(F73&lt;=0,0,MIN(F73,Assm!$L$9/Rev_Exp!F$27*F$9/12))</f>
        <v>-0</v>
      </c>
      <c r="G74" s="220" t="n">
        <f aca="false">-IF(G73&lt;=0,0,MIN(G73,Assm!$L$9/Rev_Exp!G$27*G$9/12))</f>
        <v>-0</v>
      </c>
      <c r="H74" s="220" t="n">
        <f aca="false">-IF(H73&lt;=0,0,MIN(H73,Assm!$L$9/Rev_Exp!H$27*H$9/12))</f>
        <v>-0</v>
      </c>
      <c r="I74" s="220" t="n">
        <f aca="false">-IF(I73&lt;=0,0,MIN(I73,Assm!$L$9/Rev_Exp!I$27*I$9/12))</f>
        <v>-116.329960827261</v>
      </c>
      <c r="J74" s="220" t="n">
        <f aca="false">-IF(J73&lt;=0,0,MIN(J73,Assm!$L$9/Rev_Exp!J$27*J$9/12))</f>
        <v>-0</v>
      </c>
      <c r="K74" s="220" t="n">
        <f aca="false">-IF(K73&lt;=0,0,MIN(K73,Assm!$L$9/Rev_Exp!K$27*K$9/12))</f>
        <v>-107.329331839699</v>
      </c>
      <c r="L74" s="220" t="n">
        <f aca="false">-IF(L73&lt;=0,0,MIN(L73,Assm!$L$9/Rev_Exp!L$27*L$9/12))</f>
        <v>-104.221572108998</v>
      </c>
      <c r="M74" s="220" t="n">
        <f aca="false">-IF(M73&lt;=0,0,MIN(M73,Assm!$L$9/Rev_Exp!M$27*M$9/12))</f>
        <v>-101.362658338312</v>
      </c>
      <c r="N74" s="220" t="n">
        <f aca="false">-IF(N73&lt;=0,0,MIN(N73,Assm!$L$9/Rev_Exp!N$27*N$9/12))</f>
        <v>-98.6449994151227</v>
      </c>
      <c r="O74" s="220" t="n">
        <f aca="false">-IF(O73&lt;=0,0,MIN(O73,Assm!$L$9/Rev_Exp!O$27*O$9/12))</f>
        <v>-96.1117150761202</v>
      </c>
      <c r="P74" s="220" t="n">
        <f aca="false">-IF(P73&lt;=0,0,MIN(P73,Assm!$L$9/Rev_Exp!P$27*P$9/12))</f>
        <v>-93.7393818185871</v>
      </c>
      <c r="Q74" s="220" t="n">
        <f aca="false">-IF(Q73&lt;=0,0,MIN(Q73,Assm!$L$9/Rev_Exp!Q$27*Q$9/12))</f>
        <v>-91.5198970894185</v>
      </c>
      <c r="R74" s="220" t="n">
        <f aca="false">-IF(R73&lt;=0,0,MIN(R73,Assm!$L$9/Rev_Exp!R$27*R$9/12))</f>
        <v>-89.5316598796252</v>
      </c>
      <c r="S74" s="220" t="n">
        <f aca="false">-IF(S73&lt;=0,0,MIN(S73,Assm!$L$9/Rev_Exp!S$27*S$9/12))</f>
        <v>-87.7366572209877</v>
      </c>
      <c r="T74" s="220" t="n">
        <f aca="false">-IF(T73&lt;=0,0,MIN(T73,Assm!$L$9/Rev_Exp!T$27*T$9/12))</f>
        <v>-86.010903858653</v>
      </c>
      <c r="U74" s="220" t="n">
        <f aca="false">-IF(U73&lt;=0,0,MIN(U73,Assm!$L$9/Rev_Exp!U$27*U$9/12))</f>
        <v>-0</v>
      </c>
      <c r="V74" s="220" t="n">
        <f aca="false">-IF(V73&lt;=0,0,MIN(V73,Assm!$L$9/Rev_Exp!V$27*V$9/12))</f>
        <v>-0</v>
      </c>
      <c r="W74" s="220" t="n">
        <f aca="false">-IF(W73&lt;=0,0,MIN(W73,Assm!$L$9/Rev_Exp!W$27*W$9/12))</f>
        <v>-0</v>
      </c>
      <c r="X74" s="220" t="n">
        <f aca="false">-IF(X73&lt;=0,0,MIN(X73,Assm!$L$9/Rev_Exp!X$27*X$9/12))</f>
        <v>-0</v>
      </c>
      <c r="Y74" s="220" t="n">
        <f aca="false">-IF(Y73&lt;=0,0,MIN(Y73,Assm!$L$9/Rev_Exp!Y$27*Y$9/12))</f>
        <v>-0</v>
      </c>
      <c r="Z74" s="576" t="n">
        <f aca="false">SUM(D74:Y74)</f>
        <v>-1072.53873747279</v>
      </c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</row>
    <row r="75" customFormat="false" ht="12.75" hidden="false" customHeight="false" outlineLevel="0" collapsed="false">
      <c r="A75" s="37" t="s">
        <v>1434</v>
      </c>
      <c r="C75" s="607"/>
      <c r="D75" s="217" t="n">
        <f aca="false">SUM(D73:D74)</f>
        <v>0</v>
      </c>
      <c r="E75" s="217" t="n">
        <f aca="false">SUM(E73:E74)</f>
        <v>0</v>
      </c>
      <c r="F75" s="217" t="n">
        <f aca="false">SUM(F73:F74)</f>
        <v>0</v>
      </c>
      <c r="G75" s="217" t="n">
        <f aca="false">SUM(G73:G74)</f>
        <v>0</v>
      </c>
      <c r="H75" s="217" t="n">
        <f aca="false">SUM(H73:H74)</f>
        <v>0</v>
      </c>
      <c r="I75" s="217" t="n">
        <f aca="false">SUM(I73:I74)</f>
        <v>1313.69432485879</v>
      </c>
      <c r="J75" s="217" t="n">
        <f aca="false">SUM(J73:J74)</f>
        <v>0</v>
      </c>
      <c r="K75" s="217" t="n">
        <f aca="false">SUM(K73:K74)</f>
        <v>5398.5707732391</v>
      </c>
      <c r="L75" s="217" t="n">
        <f aca="false">SUM(L73:L74)</f>
        <v>6137.91776908873</v>
      </c>
      <c r="M75" s="217" t="n">
        <f aca="false">SUM(M73:M74)</f>
        <v>5957.86348200008</v>
      </c>
      <c r="N75" s="217" t="n">
        <f aca="false">SUM(N73:N74)</f>
        <v>5303.76371269462</v>
      </c>
      <c r="O75" s="217" t="n">
        <f aca="false">SUM(O73:O74)</f>
        <v>5552.86179296974</v>
      </c>
      <c r="P75" s="217" t="n">
        <f aca="false">SUM(P73:P74)</f>
        <v>6409.74354732349</v>
      </c>
      <c r="Q75" s="217" t="n">
        <f aca="false">SUM(Q73:Q74)</f>
        <v>6975.3587449171</v>
      </c>
      <c r="R75" s="217" t="n">
        <f aca="false">SUM(R73:R74)</f>
        <v>4918.73157977023</v>
      </c>
      <c r="S75" s="217" t="n">
        <f aca="false">SUM(S73:S74)</f>
        <v>7446.09779631129</v>
      </c>
      <c r="T75" s="217" t="n">
        <f aca="false">SUM(T73:T74)</f>
        <v>3498.92018987371</v>
      </c>
      <c r="U75" s="217" t="n">
        <f aca="false">SUM(U73:U74)</f>
        <v>0</v>
      </c>
      <c r="V75" s="217" t="n">
        <f aca="false">SUM(V73:V74)</f>
        <v>0</v>
      </c>
      <c r="W75" s="217" t="n">
        <f aca="false">SUM(W73:W74)</f>
        <v>0</v>
      </c>
      <c r="X75" s="217" t="n">
        <f aca="false">SUM(X73:X74)</f>
        <v>0</v>
      </c>
      <c r="Y75" s="217" t="n">
        <f aca="false">SUM(Y73:Y74)</f>
        <v>0</v>
      </c>
      <c r="Z75" s="574" t="n">
        <f aca="false">SUM(D75:Y75)</f>
        <v>58913.5237130469</v>
      </c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</row>
    <row r="76" customFormat="false" ht="12.75" hidden="false" customHeight="false" outlineLevel="0" collapsed="false">
      <c r="A76" s="37" t="s">
        <v>1435</v>
      </c>
      <c r="C76" s="607"/>
      <c r="D76" s="772" t="n">
        <f aca="false">AddTax</f>
        <v>0.1</v>
      </c>
      <c r="E76" s="772" t="n">
        <f aca="false">AddTax</f>
        <v>0.1</v>
      </c>
      <c r="F76" s="772" t="n">
        <f aca="false">AddTax</f>
        <v>0.1</v>
      </c>
      <c r="G76" s="772" t="n">
        <f aca="false">AddTax</f>
        <v>0.1</v>
      </c>
      <c r="H76" s="772" t="n">
        <f aca="false">AddTax</f>
        <v>0.1</v>
      </c>
      <c r="I76" s="772" t="n">
        <f aca="false">AddTax</f>
        <v>0.1</v>
      </c>
      <c r="J76" s="772" t="n">
        <f aca="false">AddTax</f>
        <v>0.1</v>
      </c>
      <c r="K76" s="772" t="n">
        <f aca="false">AddTax</f>
        <v>0.1</v>
      </c>
      <c r="L76" s="772" t="n">
        <f aca="false">AddTax</f>
        <v>0.1</v>
      </c>
      <c r="M76" s="772" t="n">
        <f aca="false">AddTax</f>
        <v>0.1</v>
      </c>
      <c r="N76" s="772" t="n">
        <f aca="false">AddTax</f>
        <v>0.1</v>
      </c>
      <c r="O76" s="772" t="n">
        <f aca="false">AddTax</f>
        <v>0.1</v>
      </c>
      <c r="P76" s="772" t="n">
        <f aca="false">AddTax</f>
        <v>0.1</v>
      </c>
      <c r="Q76" s="772" t="n">
        <f aca="false">AddTax</f>
        <v>0.1</v>
      </c>
      <c r="R76" s="772" t="n">
        <f aca="false">AddTax</f>
        <v>0.1</v>
      </c>
      <c r="S76" s="772" t="n">
        <f aca="false">AddTax</f>
        <v>0.1</v>
      </c>
      <c r="T76" s="772" t="n">
        <f aca="false">AddTax</f>
        <v>0.1</v>
      </c>
      <c r="U76" s="772" t="n">
        <f aca="false">AddTax</f>
        <v>0.1</v>
      </c>
      <c r="V76" s="772" t="n">
        <f aca="false">AddTax</f>
        <v>0.1</v>
      </c>
      <c r="W76" s="772" t="n">
        <f aca="false">AddTax</f>
        <v>0.1</v>
      </c>
      <c r="X76" s="772" t="n">
        <f aca="false">AddTax</f>
        <v>0.1</v>
      </c>
      <c r="Y76" s="772" t="n">
        <f aca="false">AddTax</f>
        <v>0.1</v>
      </c>
      <c r="Z76" s="557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</row>
    <row r="77" customFormat="false" ht="12.75" hidden="false" customHeight="false" outlineLevel="0" collapsed="false">
      <c r="A77" s="37" t="s">
        <v>1436</v>
      </c>
      <c r="C77" s="607"/>
      <c r="D77" s="217" t="n">
        <f aca="false">D75*D76</f>
        <v>0</v>
      </c>
      <c r="E77" s="217" t="n">
        <f aca="false">E75*E76</f>
        <v>0</v>
      </c>
      <c r="F77" s="217" t="n">
        <f aca="false">F75*F76</f>
        <v>0</v>
      </c>
      <c r="G77" s="217" t="n">
        <f aca="false">G75*G76</f>
        <v>0</v>
      </c>
      <c r="H77" s="217" t="n">
        <f aca="false">H75*H76</f>
        <v>0</v>
      </c>
      <c r="I77" s="217" t="n">
        <f aca="false">I75*I76</f>
        <v>131.369432485879</v>
      </c>
      <c r="J77" s="217" t="n">
        <f aca="false">J75*J76</f>
        <v>0</v>
      </c>
      <c r="K77" s="217" t="n">
        <f aca="false">K75*K76</f>
        <v>539.85707732391</v>
      </c>
      <c r="L77" s="217" t="n">
        <f aca="false">L75*L76</f>
        <v>613.791776908873</v>
      </c>
      <c r="M77" s="217" t="n">
        <f aca="false">M75*M76</f>
        <v>595.786348200008</v>
      </c>
      <c r="N77" s="217" t="n">
        <f aca="false">N75*N76</f>
        <v>530.376371269462</v>
      </c>
      <c r="O77" s="217" t="n">
        <f aca="false">O75*O76</f>
        <v>555.286179296974</v>
      </c>
      <c r="P77" s="217" t="n">
        <f aca="false">P75*P76</f>
        <v>640.974354732349</v>
      </c>
      <c r="Q77" s="217" t="n">
        <f aca="false">Q75*Q76</f>
        <v>697.53587449171</v>
      </c>
      <c r="R77" s="217" t="n">
        <f aca="false">R75*R76</f>
        <v>491.873157977023</v>
      </c>
      <c r="S77" s="217" t="n">
        <f aca="false">S75*S76</f>
        <v>744.609779631129</v>
      </c>
      <c r="T77" s="217" t="n">
        <f aca="false">T75*T76</f>
        <v>349.892018987371</v>
      </c>
      <c r="U77" s="217" t="n">
        <f aca="false">U75*U76</f>
        <v>0</v>
      </c>
      <c r="V77" s="217" t="n">
        <f aca="false">V75*V76</f>
        <v>0</v>
      </c>
      <c r="W77" s="217" t="n">
        <f aca="false">W75*W76</f>
        <v>0</v>
      </c>
      <c r="X77" s="217" t="n">
        <f aca="false">X75*X76</f>
        <v>0</v>
      </c>
      <c r="Y77" s="217" t="n">
        <f aca="false">Y75*Y76</f>
        <v>0</v>
      </c>
      <c r="Z77" s="574" t="n">
        <f aca="false">SUM(D77:Y77)</f>
        <v>5891.35237130469</v>
      </c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</row>
    <row r="78" customFormat="false" ht="12.75" hidden="false" customHeight="false" outlineLevel="0" collapsed="false">
      <c r="A78" s="37"/>
      <c r="Z78" s="555"/>
    </row>
    <row r="79" customFormat="false" ht="12.75" hidden="false" customHeight="false" outlineLevel="0" collapsed="false">
      <c r="A79" s="130" t="s">
        <v>1471</v>
      </c>
      <c r="C79" s="607"/>
      <c r="D79" s="1176"/>
      <c r="E79" s="1176"/>
      <c r="F79" s="1176"/>
      <c r="G79" s="1176"/>
      <c r="H79" s="1176"/>
      <c r="I79" s="1176"/>
      <c r="J79" s="1176"/>
      <c r="K79" s="1176"/>
      <c r="L79" s="1176"/>
      <c r="M79" s="1176"/>
      <c r="N79" s="1176"/>
      <c r="O79" s="1176"/>
      <c r="P79" s="1176"/>
      <c r="Q79" s="1176"/>
      <c r="R79" s="1176"/>
      <c r="S79" s="1176"/>
      <c r="T79" s="1176"/>
      <c r="U79" s="1176"/>
      <c r="V79" s="1176"/>
      <c r="W79" s="1176"/>
      <c r="X79" s="1176"/>
      <c r="Y79" s="1176"/>
      <c r="Z79" s="1177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</row>
    <row r="80" customFormat="false" ht="12.75" hidden="false" customHeight="false" outlineLevel="0" collapsed="false">
      <c r="A80" s="37" t="s">
        <v>1479</v>
      </c>
      <c r="C80" s="607"/>
      <c r="D80" s="217" t="n">
        <f aca="false">D$59</f>
        <v>0</v>
      </c>
      <c r="E80" s="217" t="n">
        <f aca="false">E$59</f>
        <v>0</v>
      </c>
      <c r="F80" s="217" t="n">
        <f aca="false">F$59</f>
        <v>0</v>
      </c>
      <c r="G80" s="217" t="n">
        <f aca="false">G$59</f>
        <v>0</v>
      </c>
      <c r="H80" s="217" t="n">
        <f aca="false">H$59</f>
        <v>0</v>
      </c>
      <c r="I80" s="217" t="n">
        <f aca="false">I$59</f>
        <v>1430.02428568605</v>
      </c>
      <c r="J80" s="217" t="n">
        <f aca="false">J$59</f>
        <v>0</v>
      </c>
      <c r="K80" s="217" t="n">
        <f aca="false">K$59</f>
        <v>5505.9001050788</v>
      </c>
      <c r="L80" s="217" t="n">
        <f aca="false">L$59</f>
        <v>6242.13934119772</v>
      </c>
      <c r="M80" s="217" t="n">
        <f aca="false">M$59</f>
        <v>6059.22614033839</v>
      </c>
      <c r="N80" s="217" t="n">
        <f aca="false">N$59</f>
        <v>5402.40871210975</v>
      </c>
      <c r="O80" s="217" t="n">
        <f aca="false">O$59</f>
        <v>5648.97350804586</v>
      </c>
      <c r="P80" s="217" t="n">
        <f aca="false">P$59</f>
        <v>6503.48292914207</v>
      </c>
      <c r="Q80" s="217" t="n">
        <f aca="false">Q$59</f>
        <v>7066.87864200652</v>
      </c>
      <c r="R80" s="217" t="n">
        <f aca="false">R$59</f>
        <v>5008.26323964986</v>
      </c>
      <c r="S80" s="217" t="n">
        <f aca="false">S$59</f>
        <v>7533.83445353228</v>
      </c>
      <c r="T80" s="217" t="n">
        <f aca="false">T$59</f>
        <v>3584.93109373236</v>
      </c>
      <c r="U80" s="217" t="n">
        <f aca="false">U$59</f>
        <v>0</v>
      </c>
      <c r="V80" s="217" t="n">
        <f aca="false">V$59</f>
        <v>0</v>
      </c>
      <c r="W80" s="217" t="n">
        <f aca="false">W$59</f>
        <v>0</v>
      </c>
      <c r="X80" s="217" t="n">
        <f aca="false">X$59</f>
        <v>0</v>
      </c>
      <c r="Y80" s="217" t="n">
        <f aca="false">Y$59</f>
        <v>0</v>
      </c>
      <c r="Z80" s="574" t="n">
        <f aca="false">SUM(D80:Y80)</f>
        <v>59986.0624505197</v>
      </c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</row>
    <row r="81" customFormat="false" ht="12.75" hidden="false" customHeight="false" outlineLevel="0" collapsed="false">
      <c r="A81" s="37" t="s">
        <v>1472</v>
      </c>
      <c r="C81" s="607"/>
      <c r="D81" s="772" t="n">
        <f aca="false">Social</f>
        <v>0.08</v>
      </c>
      <c r="E81" s="772" t="n">
        <f aca="false">Social</f>
        <v>0.08</v>
      </c>
      <c r="F81" s="772" t="n">
        <f aca="false">Social</f>
        <v>0.08</v>
      </c>
      <c r="G81" s="772" t="n">
        <f aca="false">Social</f>
        <v>0.08</v>
      </c>
      <c r="H81" s="772" t="n">
        <f aca="false">Social</f>
        <v>0.08</v>
      </c>
      <c r="I81" s="772" t="n">
        <f aca="false">Social</f>
        <v>0.08</v>
      </c>
      <c r="J81" s="772" t="n">
        <f aca="false">Social</f>
        <v>0.08</v>
      </c>
      <c r="K81" s="772" t="n">
        <f aca="false">Social</f>
        <v>0.08</v>
      </c>
      <c r="L81" s="772" t="n">
        <f aca="false">Social</f>
        <v>0.08</v>
      </c>
      <c r="M81" s="772" t="n">
        <f aca="false">Social</f>
        <v>0.08</v>
      </c>
      <c r="N81" s="772" t="n">
        <f aca="false">Social</f>
        <v>0.08</v>
      </c>
      <c r="O81" s="772" t="n">
        <f aca="false">Social</f>
        <v>0.08</v>
      </c>
      <c r="P81" s="772" t="n">
        <f aca="false">Social</f>
        <v>0.08</v>
      </c>
      <c r="Q81" s="772" t="n">
        <f aca="false">Social</f>
        <v>0.08</v>
      </c>
      <c r="R81" s="772" t="n">
        <f aca="false">Social</f>
        <v>0.08</v>
      </c>
      <c r="S81" s="772" t="n">
        <f aca="false">Social</f>
        <v>0.08</v>
      </c>
      <c r="T81" s="772" t="n">
        <f aca="false">Social</f>
        <v>0.08</v>
      </c>
      <c r="U81" s="772" t="n">
        <f aca="false">Social</f>
        <v>0.08</v>
      </c>
      <c r="V81" s="772" t="n">
        <f aca="false">Social</f>
        <v>0.08</v>
      </c>
      <c r="W81" s="772" t="n">
        <f aca="false">Social</f>
        <v>0.08</v>
      </c>
      <c r="X81" s="772" t="n">
        <f aca="false">Social</f>
        <v>0.08</v>
      </c>
      <c r="Y81" s="772" t="n">
        <f aca="false">Social</f>
        <v>0.08</v>
      </c>
      <c r="Z81" s="559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</row>
    <row r="82" customFormat="false" ht="12.75" hidden="false" customHeight="false" outlineLevel="0" collapsed="false">
      <c r="A82" s="37" t="s">
        <v>1473</v>
      </c>
      <c r="C82" s="607"/>
      <c r="D82" s="217" t="n">
        <f aca="false">D80*D81</f>
        <v>0</v>
      </c>
      <c r="E82" s="217" t="n">
        <f aca="false">E80*E81</f>
        <v>0</v>
      </c>
      <c r="F82" s="217" t="n">
        <f aca="false">F80*F81</f>
        <v>0</v>
      </c>
      <c r="G82" s="217" t="n">
        <f aca="false">G80*G81</f>
        <v>0</v>
      </c>
      <c r="H82" s="217" t="n">
        <f aca="false">H80*H81</f>
        <v>0</v>
      </c>
      <c r="I82" s="217" t="n">
        <f aca="false">I80*I81</f>
        <v>114.401942854884</v>
      </c>
      <c r="J82" s="217" t="n">
        <f aca="false">J80*J81</f>
        <v>0</v>
      </c>
      <c r="K82" s="217" t="n">
        <f aca="false">K80*K81</f>
        <v>440.472008406304</v>
      </c>
      <c r="L82" s="217" t="n">
        <f aca="false">L80*L81</f>
        <v>499.371147295818</v>
      </c>
      <c r="M82" s="217" t="n">
        <f aca="false">M80*M81</f>
        <v>484.738091227071</v>
      </c>
      <c r="N82" s="217" t="n">
        <f aca="false">N80*N81</f>
        <v>432.19269696878</v>
      </c>
      <c r="O82" s="217" t="n">
        <f aca="false">O80*O81</f>
        <v>451.917880643669</v>
      </c>
      <c r="P82" s="217" t="n">
        <f aca="false">P80*P81</f>
        <v>520.278634331366</v>
      </c>
      <c r="Q82" s="217" t="n">
        <f aca="false">Q80*Q81</f>
        <v>565.350291360522</v>
      </c>
      <c r="R82" s="217" t="n">
        <f aca="false">R80*R81</f>
        <v>400.661059171989</v>
      </c>
      <c r="S82" s="217" t="n">
        <f aca="false">S80*S81</f>
        <v>602.706756282582</v>
      </c>
      <c r="T82" s="217" t="n">
        <f aca="false">T80*T81</f>
        <v>286.794487498589</v>
      </c>
      <c r="U82" s="217" t="n">
        <f aca="false">U80*U81</f>
        <v>0</v>
      </c>
      <c r="V82" s="217" t="n">
        <f aca="false">V80*V81</f>
        <v>0</v>
      </c>
      <c r="W82" s="217" t="n">
        <f aca="false">W80*W81</f>
        <v>0</v>
      </c>
      <c r="X82" s="217" t="n">
        <f aca="false">X80*X81</f>
        <v>0</v>
      </c>
      <c r="Y82" s="217" t="n">
        <f aca="false">Y80*Y81</f>
        <v>0</v>
      </c>
      <c r="Z82" s="574" t="n">
        <f aca="false">SUM(D82:Y82)</f>
        <v>4798.88499604157</v>
      </c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</row>
    <row r="83" customFormat="false" ht="12.75" hidden="false" customHeight="false" outlineLevel="0" collapsed="false">
      <c r="A83" s="37"/>
      <c r="Z83" s="555"/>
    </row>
    <row r="84" customFormat="false" ht="12.75" hidden="false" customHeight="false" outlineLevel="0" collapsed="false">
      <c r="A84" s="583" t="s">
        <v>1481</v>
      </c>
      <c r="B84" s="585"/>
      <c r="C84" s="1178"/>
      <c r="D84" s="586" t="n">
        <f aca="false">SUM(D70,D77,D82)</f>
        <v>0</v>
      </c>
      <c r="E84" s="586" t="n">
        <f aca="false">SUM(E70,E77,E82)</f>
        <v>0</v>
      </c>
      <c r="F84" s="586" t="n">
        <f aca="false">SUM(F70,F77,F82)</f>
        <v>0</v>
      </c>
      <c r="G84" s="586" t="n">
        <f aca="false">SUM(G70,G77,G82)</f>
        <v>0</v>
      </c>
      <c r="H84" s="586" t="n">
        <f aca="false">SUM(H70,H77,H82)</f>
        <v>0</v>
      </c>
      <c r="I84" s="586" t="n">
        <f aca="false">SUM(I70,I77,I82)</f>
        <v>460.275018193669</v>
      </c>
      <c r="J84" s="586" t="n">
        <f aca="false">SUM(J70,J77,J82)</f>
        <v>0</v>
      </c>
      <c r="K84" s="586" t="n">
        <f aca="false">SUM(K70,K77,K82)</f>
        <v>1806.21410149204</v>
      </c>
      <c r="L84" s="586" t="n">
        <f aca="false">SUM(L70,L77,L82)</f>
        <v>2049.48382538435</v>
      </c>
      <c r="M84" s="586" t="n">
        <f aca="false">SUM(M70,M77,M82)</f>
        <v>1989.40836047784</v>
      </c>
      <c r="N84" s="586" t="n">
        <f aca="false">SUM(N70,N77,N82)</f>
        <v>1772.9303750547</v>
      </c>
      <c r="O84" s="586" t="n">
        <f aca="false">SUM(O70,O77,O82)</f>
        <v>1854.55008614752</v>
      </c>
      <c r="P84" s="586" t="n">
        <f aca="false">SUM(P70,P77,P82)</f>
        <v>2136.77542843503</v>
      </c>
      <c r="Q84" s="586" t="n">
        <f aca="false">SUM(Q70,Q77,Q82)</f>
        <v>2322.91796215321</v>
      </c>
      <c r="R84" s="586" t="n">
        <f aca="false">SUM(R70,R77,R82)</f>
        <v>1643.77370309649</v>
      </c>
      <c r="S84" s="586" t="n">
        <f aca="false">SUM(S70,S77,S82)</f>
        <v>2477.39170394355</v>
      </c>
      <c r="T84" s="586" t="n">
        <f aca="false">SUM(T70,T77,T82)</f>
        <v>1174.42617054581</v>
      </c>
      <c r="U84" s="586" t="n">
        <f aca="false">SUM(U70,U77,U82)</f>
        <v>0</v>
      </c>
      <c r="V84" s="586" t="n">
        <f aca="false">SUM(V70,V77,V82)</f>
        <v>0</v>
      </c>
      <c r="W84" s="586" t="n">
        <f aca="false">SUM(W70,W77,W82)</f>
        <v>0</v>
      </c>
      <c r="X84" s="586" t="n">
        <f aca="false">SUM(X70,X77,X82)</f>
        <v>0</v>
      </c>
      <c r="Y84" s="586" t="n">
        <f aca="false">SUM(Y70,Y77,Y82)</f>
        <v>0</v>
      </c>
      <c r="Z84" s="587" t="n">
        <f aca="false">SUM(D84:Y84)</f>
        <v>19688.1467349242</v>
      </c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</row>
    <row r="85" customFormat="false" ht="12.75" hidden="false" customHeight="false" outlineLevel="0" collapsed="false">
      <c r="A85" s="1179"/>
      <c r="B85" s="215"/>
      <c r="C85" s="215"/>
      <c r="D85" s="553"/>
      <c r="E85" s="553"/>
      <c r="F85" s="553"/>
      <c r="G85" s="553"/>
      <c r="H85" s="553"/>
      <c r="I85" s="553"/>
      <c r="J85" s="553"/>
      <c r="K85" s="553"/>
      <c r="L85" s="553"/>
      <c r="M85" s="553"/>
      <c r="N85" s="553"/>
      <c r="O85" s="553"/>
      <c r="P85" s="553"/>
      <c r="Q85" s="553"/>
      <c r="R85" s="553"/>
      <c r="S85" s="553"/>
      <c r="T85" s="553"/>
      <c r="U85" s="553"/>
      <c r="V85" s="553"/>
      <c r="W85" s="553"/>
      <c r="X85" s="553"/>
      <c r="Y85" s="553"/>
      <c r="Z85" s="554"/>
      <c r="AA85" s="1180"/>
      <c r="AB85" s="1180"/>
      <c r="AC85" s="1180"/>
      <c r="AD85" s="1180"/>
      <c r="AE85" s="1180"/>
      <c r="AF85" s="1180"/>
      <c r="AG85" s="1180"/>
      <c r="AH85" s="1180"/>
      <c r="AI85" s="1180"/>
      <c r="AJ85" s="1180"/>
      <c r="AK85" s="1180"/>
      <c r="AL85" s="1180"/>
      <c r="AM85" s="1180"/>
      <c r="AN85" s="1180"/>
      <c r="AO85" s="1180"/>
      <c r="AP85" s="1180"/>
      <c r="AQ85" s="1180"/>
      <c r="AR85" s="1180"/>
      <c r="AS85" s="1180"/>
      <c r="AT85" s="1180"/>
      <c r="AU85" s="1180"/>
      <c r="AV85" s="1180"/>
      <c r="AW85" s="1180"/>
      <c r="AX85" s="1180"/>
      <c r="AY85" s="1180"/>
      <c r="AZ85" s="1180"/>
      <c r="BA85" s="1180"/>
      <c r="BB85" s="1180"/>
      <c r="BC85" s="1180"/>
      <c r="BD85" s="1180"/>
      <c r="BE85" s="1180"/>
      <c r="BF85" s="1180"/>
      <c r="BG85" s="1180"/>
      <c r="BH85" s="1180"/>
      <c r="BI85" s="1180"/>
      <c r="BJ85" s="1180"/>
      <c r="BK85" s="1180"/>
      <c r="BL85" s="1180"/>
      <c r="BM85" s="1180"/>
      <c r="BN85" s="1180"/>
      <c r="BO85" s="1180"/>
      <c r="BP85" s="1180"/>
      <c r="BQ85" s="1180"/>
      <c r="BR85" s="1180"/>
      <c r="BS85" s="1180"/>
      <c r="BT85" s="1180"/>
      <c r="BU85" s="1180"/>
      <c r="BV85" s="1180"/>
      <c r="BW85" s="1180"/>
      <c r="BX85" s="1180"/>
      <c r="BY85" s="1180"/>
      <c r="BZ85" s="1180"/>
      <c r="CA85" s="1180"/>
      <c r="CB85" s="1180"/>
      <c r="CC85" s="1180"/>
      <c r="CD85" s="1180"/>
      <c r="CE85" s="1180"/>
      <c r="CF85" s="1180"/>
      <c r="CG85" s="1180"/>
      <c r="CH85" s="1180"/>
      <c r="CI85" s="1180"/>
      <c r="CJ85" s="1180"/>
      <c r="CK85" s="1180"/>
      <c r="CL85" s="1180"/>
      <c r="CM85" s="1180"/>
      <c r="CN85" s="1180"/>
      <c r="CO85" s="1180"/>
      <c r="CP85" s="1180"/>
      <c r="CQ85" s="1180"/>
      <c r="CR85" s="1180"/>
      <c r="CS85" s="1180"/>
      <c r="CT85" s="1180"/>
      <c r="CU85" s="1180"/>
      <c r="CV85" s="1180"/>
      <c r="CW85" s="1180"/>
      <c r="CX85" s="1180"/>
      <c r="CY85" s="1180"/>
      <c r="CZ85" s="1180"/>
      <c r="DA85" s="1180"/>
      <c r="DB85" s="1180"/>
      <c r="DC85" s="1180"/>
      <c r="DD85" s="1180"/>
      <c r="DE85" s="1180"/>
      <c r="DF85" s="1180"/>
      <c r="DG85" s="1180"/>
      <c r="DH85" s="1180"/>
      <c r="DI85" s="1180"/>
      <c r="DJ85" s="1180"/>
      <c r="DK85" s="1180"/>
      <c r="DL85" s="1180"/>
      <c r="DM85" s="1180"/>
      <c r="DN85" s="1180"/>
      <c r="DO85" s="1180"/>
      <c r="DP85" s="1180"/>
      <c r="DQ85" s="1180"/>
      <c r="DR85" s="1180"/>
      <c r="DS85" s="1180"/>
      <c r="DT85" s="1180"/>
      <c r="DU85" s="1180"/>
      <c r="DV85" s="1180"/>
      <c r="DW85" s="1180"/>
      <c r="DX85" s="1180"/>
      <c r="DY85" s="1180"/>
      <c r="DZ85" s="1180"/>
      <c r="EA85" s="1180"/>
      <c r="EB85" s="1180"/>
      <c r="EC85" s="1180"/>
      <c r="ED85" s="1180"/>
      <c r="EE85" s="1180"/>
      <c r="EF85" s="1180"/>
      <c r="EG85" s="1180"/>
      <c r="EH85" s="1180"/>
      <c r="EI85" s="1180"/>
      <c r="EJ85" s="1180"/>
      <c r="EK85" s="1180"/>
      <c r="EL85" s="1180"/>
      <c r="EM85" s="1180"/>
      <c r="EN85" s="1180"/>
      <c r="EO85" s="1180"/>
      <c r="EP85" s="1180"/>
      <c r="EQ85" s="1180"/>
      <c r="ER85" s="1180"/>
      <c r="ES85" s="1180"/>
      <c r="ET85" s="1180"/>
      <c r="EU85" s="1180"/>
      <c r="EV85" s="1180"/>
      <c r="EW85" s="1180"/>
      <c r="EX85" s="1180"/>
      <c r="EY85" s="1180"/>
      <c r="EZ85" s="1180"/>
      <c r="FA85" s="1180"/>
      <c r="FB85" s="1180"/>
      <c r="FC85" s="1180"/>
      <c r="FD85" s="1180"/>
      <c r="FE85" s="1180"/>
      <c r="FF85" s="1180"/>
      <c r="FG85" s="1180"/>
      <c r="FH85" s="1180"/>
      <c r="FI85" s="1180"/>
      <c r="FJ85" s="1180"/>
      <c r="FK85" s="1180"/>
      <c r="FL85" s="1180"/>
      <c r="FM85" s="1180"/>
      <c r="FN85" s="1180"/>
      <c r="FO85" s="1180"/>
      <c r="FP85" s="1180"/>
      <c r="FQ85" s="1180"/>
      <c r="FR85" s="1180"/>
      <c r="FS85" s="1180"/>
      <c r="FT85" s="1180"/>
      <c r="FU85" s="1180"/>
      <c r="FV85" s="1180"/>
      <c r="FW85" s="1180"/>
      <c r="FX85" s="1180"/>
      <c r="FY85" s="1180"/>
      <c r="FZ85" s="1180"/>
      <c r="GA85" s="1180"/>
      <c r="GB85" s="1180"/>
      <c r="GC85" s="1180"/>
      <c r="GD85" s="1180"/>
      <c r="GE85" s="1180"/>
      <c r="GF85" s="1180"/>
      <c r="GG85" s="1180"/>
      <c r="GH85" s="1180"/>
      <c r="GI85" s="1180"/>
      <c r="GJ85" s="1180"/>
      <c r="GK85" s="1180"/>
      <c r="GL85" s="1180"/>
      <c r="GM85" s="1180"/>
      <c r="GN85" s="1180"/>
      <c r="GO85" s="1180"/>
      <c r="GP85" s="1180"/>
      <c r="GQ85" s="1180"/>
      <c r="GR85" s="1180"/>
      <c r="GS85" s="1180"/>
      <c r="GT85" s="1180"/>
      <c r="GU85" s="1180"/>
      <c r="GV85" s="1180"/>
      <c r="GW85" s="1180"/>
      <c r="GX85" s="1180"/>
      <c r="GY85" s="1180"/>
      <c r="GZ85" s="1180"/>
      <c r="HA85" s="1180"/>
      <c r="HB85" s="1180"/>
      <c r="HC85" s="1180"/>
      <c r="HD85" s="1180"/>
      <c r="HE85" s="1180"/>
      <c r="HF85" s="1180"/>
      <c r="HG85" s="1180"/>
      <c r="HH85" s="1180"/>
      <c r="HI85" s="1180"/>
      <c r="HJ85" s="1180"/>
      <c r="HK85" s="1180"/>
      <c r="HL85" s="1180"/>
      <c r="HM85" s="1180"/>
      <c r="HN85" s="1180"/>
      <c r="HO85" s="1180"/>
      <c r="HP85" s="1180"/>
      <c r="HQ85" s="1180"/>
      <c r="HR85" s="1180"/>
      <c r="HS85" s="1180"/>
      <c r="HT85" s="1180"/>
      <c r="HU85" s="1180"/>
      <c r="HV85" s="1180"/>
      <c r="HW85" s="1180"/>
      <c r="HX85" s="1180"/>
      <c r="HY85" s="1180"/>
      <c r="HZ85" s="1180"/>
      <c r="IA85" s="1180"/>
      <c r="IB85" s="1180"/>
      <c r="IC85" s="1180"/>
      <c r="ID85" s="1180"/>
      <c r="IE85" s="1180"/>
      <c r="IF85" s="1180"/>
      <c r="IG85" s="1180"/>
      <c r="IH85" s="1180"/>
      <c r="II85" s="1180"/>
      <c r="IJ85" s="1180"/>
      <c r="IK85" s="1180"/>
      <c r="IL85" s="1180"/>
      <c r="IM85" s="1180"/>
      <c r="IN85" s="1180"/>
      <c r="IO85" s="1180"/>
      <c r="IP85" s="1180"/>
      <c r="IQ85" s="1180"/>
      <c r="IR85" s="1180"/>
      <c r="IS85" s="1180"/>
      <c r="IT85" s="1180"/>
      <c r="IU85" s="1180"/>
      <c r="IV85" s="1180"/>
      <c r="IW85" s="1180"/>
    </row>
    <row r="86" customFormat="false" ht="12.75" hidden="false" customHeight="false" outlineLevel="0" collapsed="false">
      <c r="A86" s="130" t="s">
        <v>1482</v>
      </c>
      <c r="D86" s="560"/>
      <c r="E86" s="560"/>
      <c r="F86" s="560"/>
      <c r="G86" s="560"/>
      <c r="H86" s="560"/>
      <c r="I86" s="560"/>
      <c r="J86" s="560"/>
      <c r="K86" s="560"/>
      <c r="L86" s="560"/>
      <c r="M86" s="560"/>
      <c r="N86" s="560"/>
      <c r="O86" s="560"/>
      <c r="P86" s="560"/>
      <c r="Q86" s="560"/>
      <c r="R86" s="560"/>
      <c r="S86" s="560"/>
      <c r="T86" s="560"/>
      <c r="U86" s="560"/>
      <c r="V86" s="560"/>
      <c r="W86" s="560"/>
      <c r="X86" s="560"/>
      <c r="Y86" s="560"/>
      <c r="Z86" s="561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  <c r="IV86" s="38"/>
      <c r="IW86" s="38"/>
    </row>
    <row r="87" customFormat="false" ht="12.75" hidden="false" customHeight="false" outlineLevel="0" collapsed="false">
      <c r="A87" s="37" t="s">
        <v>1483</v>
      </c>
      <c r="D87" s="189" t="n">
        <v>0</v>
      </c>
      <c r="E87" s="217" t="n">
        <f aca="false">D90</f>
        <v>0</v>
      </c>
      <c r="F87" s="217" t="n">
        <f aca="false">E90</f>
        <v>210.76625056318</v>
      </c>
      <c r="G87" s="217" t="n">
        <f aca="false">F90</f>
        <v>1306.26659917985</v>
      </c>
      <c r="H87" s="217" t="n">
        <f aca="false">G90</f>
        <v>1306.26659917985</v>
      </c>
      <c r="I87" s="217" t="n">
        <f aca="false">H90</f>
        <v>1306.26659917985</v>
      </c>
      <c r="J87" s="217" t="n">
        <f aca="false">I90</f>
        <v>1011.94812230686</v>
      </c>
      <c r="K87" s="217" t="n">
        <f aca="false">J90</f>
        <v>1011.94812230686</v>
      </c>
      <c r="L87" s="217" t="n">
        <f aca="false">K90</f>
        <v>632.720911853936</v>
      </c>
      <c r="M87" s="217" t="n">
        <f aca="false">L90</f>
        <v>-222.798867951219</v>
      </c>
      <c r="N87" s="217" t="n">
        <f aca="false">M90</f>
        <v>1382.1618484235</v>
      </c>
      <c r="O87" s="217" t="n">
        <f aca="false">N90</f>
        <v>2984.87802990154</v>
      </c>
      <c r="P87" s="217" t="n">
        <f aca="false">O90</f>
        <v>1577.62020971305</v>
      </c>
      <c r="Q87" s="217" t="n">
        <f aca="false">P90</f>
        <v>384.849021452726</v>
      </c>
      <c r="R87" s="217" t="n">
        <f aca="false">Q90</f>
        <v>3663.87450122627</v>
      </c>
      <c r="S87" s="217" t="n">
        <f aca="false">R90</f>
        <v>6648.18476900505</v>
      </c>
      <c r="T87" s="217" t="n">
        <f aca="false">S90</f>
        <v>4170.79306506149</v>
      </c>
      <c r="U87" s="217" t="n">
        <f aca="false">T90</f>
        <v>5403.8104667292</v>
      </c>
      <c r="V87" s="217" t="n">
        <f aca="false">U90</f>
        <v>5403.8104667292</v>
      </c>
      <c r="W87" s="217" t="n">
        <f aca="false">V90</f>
        <v>5403.8104667292</v>
      </c>
      <c r="X87" s="217" t="n">
        <f aca="false">W90</f>
        <v>5403.8104667292</v>
      </c>
      <c r="Y87" s="217" t="n">
        <f aca="false">X90</f>
        <v>5403.8104667292</v>
      </c>
      <c r="Z87" s="574" t="n">
        <f aca="false">D87</f>
        <v>0</v>
      </c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</row>
    <row r="88" customFormat="false" ht="12.75" hidden="false" customHeight="false" outlineLevel="0" collapsed="false">
      <c r="A88" s="37" t="s">
        <v>1484</v>
      </c>
      <c r="D88" s="217" t="n">
        <f aca="false">D52</f>
        <v>0</v>
      </c>
      <c r="E88" s="217" t="n">
        <f aca="false">E52</f>
        <v>210.76625056318</v>
      </c>
      <c r="F88" s="217" t="n">
        <f aca="false">F52</f>
        <v>1095.50034861667</v>
      </c>
      <c r="G88" s="217" t="n">
        <f aca="false">G52</f>
        <v>0</v>
      </c>
      <c r="H88" s="217" t="n">
        <f aca="false">H52</f>
        <v>0</v>
      </c>
      <c r="I88" s="217" t="n">
        <f aca="false">I52</f>
        <v>165.956541320683</v>
      </c>
      <c r="J88" s="217" t="n">
        <f aca="false">J52</f>
        <v>0</v>
      </c>
      <c r="K88" s="217" t="n">
        <f aca="false">K52</f>
        <v>1426.98689103911</v>
      </c>
      <c r="L88" s="217" t="n">
        <f aca="false">L52</f>
        <v>1193.96404557919</v>
      </c>
      <c r="M88" s="217" t="n">
        <f aca="false">M52</f>
        <v>3594.36907685256</v>
      </c>
      <c r="N88" s="217" t="n">
        <f aca="false">N52</f>
        <v>3375.64655653274</v>
      </c>
      <c r="O88" s="217" t="n">
        <f aca="false">O52</f>
        <v>447.292265959032</v>
      </c>
      <c r="P88" s="217" t="n">
        <f aca="false">P52</f>
        <v>944.004240174703</v>
      </c>
      <c r="Q88" s="217" t="n">
        <f aca="false">Q52</f>
        <v>5601.94344192676</v>
      </c>
      <c r="R88" s="217" t="n">
        <f aca="false">R52</f>
        <v>4628.08397087527</v>
      </c>
      <c r="S88" s="217" t="n">
        <f aca="false">S52</f>
        <v>0</v>
      </c>
      <c r="T88" s="217" t="n">
        <f aca="false">T52</f>
        <v>2407.44357221352</v>
      </c>
      <c r="U88" s="217" t="n">
        <f aca="false">U52</f>
        <v>0</v>
      </c>
      <c r="V88" s="217" t="n">
        <f aca="false">V52</f>
        <v>0</v>
      </c>
      <c r="W88" s="217" t="n">
        <f aca="false">W52</f>
        <v>0</v>
      </c>
      <c r="X88" s="217" t="n">
        <f aca="false">X52</f>
        <v>0</v>
      </c>
      <c r="Y88" s="217" t="n">
        <f aca="false">Y52</f>
        <v>0</v>
      </c>
      <c r="Z88" s="574" t="n">
        <f aca="false">SUM(D88:Y88)</f>
        <v>25091.9572016534</v>
      </c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</row>
    <row r="89" customFormat="false" ht="12.75" hidden="false" customHeight="false" outlineLevel="0" collapsed="false">
      <c r="A89" s="37" t="s">
        <v>1485</v>
      </c>
      <c r="D89" s="220" t="n">
        <f aca="false">-D84</f>
        <v>-0</v>
      </c>
      <c r="E89" s="220" t="n">
        <f aca="false">-E84</f>
        <v>-0</v>
      </c>
      <c r="F89" s="220" t="n">
        <f aca="false">-F84</f>
        <v>-0</v>
      </c>
      <c r="G89" s="220" t="n">
        <f aca="false">-G84</f>
        <v>-0</v>
      </c>
      <c r="H89" s="220" t="n">
        <f aca="false">-H84</f>
        <v>-0</v>
      </c>
      <c r="I89" s="220" t="n">
        <f aca="false">-I84</f>
        <v>-460.275018193669</v>
      </c>
      <c r="J89" s="220" t="n">
        <f aca="false">-J84</f>
        <v>-0</v>
      </c>
      <c r="K89" s="220" t="n">
        <f aca="false">-K84</f>
        <v>-1806.21410149204</v>
      </c>
      <c r="L89" s="220" t="n">
        <f aca="false">-L84</f>
        <v>-2049.48382538435</v>
      </c>
      <c r="M89" s="220" t="n">
        <f aca="false">-M84</f>
        <v>-1989.40836047784</v>
      </c>
      <c r="N89" s="220" t="n">
        <f aca="false">-N84</f>
        <v>-1772.9303750547</v>
      </c>
      <c r="O89" s="220" t="n">
        <f aca="false">-O84</f>
        <v>-1854.55008614752</v>
      </c>
      <c r="P89" s="220" t="n">
        <f aca="false">-P84</f>
        <v>-2136.77542843503</v>
      </c>
      <c r="Q89" s="220" t="n">
        <f aca="false">-Q84</f>
        <v>-2322.91796215321</v>
      </c>
      <c r="R89" s="220" t="n">
        <f aca="false">-R84</f>
        <v>-1643.77370309649</v>
      </c>
      <c r="S89" s="220" t="n">
        <f aca="false">-S84</f>
        <v>-2477.39170394355</v>
      </c>
      <c r="T89" s="220" t="n">
        <f aca="false">-T84</f>
        <v>-1174.42617054581</v>
      </c>
      <c r="U89" s="220" t="n">
        <f aca="false">-U84</f>
        <v>-0</v>
      </c>
      <c r="V89" s="220" t="n">
        <f aca="false">-V84</f>
        <v>-0</v>
      </c>
      <c r="W89" s="220" t="n">
        <f aca="false">-W84</f>
        <v>-0</v>
      </c>
      <c r="X89" s="220" t="n">
        <f aca="false">-X84</f>
        <v>-0</v>
      </c>
      <c r="Y89" s="220" t="n">
        <f aca="false">-Y84</f>
        <v>-0</v>
      </c>
      <c r="Z89" s="576" t="n">
        <f aca="false">SUM(D89:Y89)</f>
        <v>-19688.1467349242</v>
      </c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</row>
    <row r="90" customFormat="false" ht="12.75" hidden="false" customHeight="false" outlineLevel="0" collapsed="false">
      <c r="A90" s="563" t="s">
        <v>1486</v>
      </c>
      <c r="B90" s="464"/>
      <c r="C90" s="464"/>
      <c r="D90" s="777" t="n">
        <f aca="false">SUM(D87:D89)</f>
        <v>0</v>
      </c>
      <c r="E90" s="777" t="n">
        <f aca="false">SUM(E87:E89)</f>
        <v>210.76625056318</v>
      </c>
      <c r="F90" s="777" t="n">
        <f aca="false">SUM(F87:F89)</f>
        <v>1306.26659917985</v>
      </c>
      <c r="G90" s="777" t="n">
        <f aca="false">SUM(G87:G89)</f>
        <v>1306.26659917985</v>
      </c>
      <c r="H90" s="777" t="n">
        <f aca="false">SUM(H87:H89)</f>
        <v>1306.26659917985</v>
      </c>
      <c r="I90" s="777" t="n">
        <f aca="false">SUM(I87:I89)</f>
        <v>1011.94812230686</v>
      </c>
      <c r="J90" s="777" t="n">
        <f aca="false">SUM(J87:J89)</f>
        <v>1011.94812230686</v>
      </c>
      <c r="K90" s="777" t="n">
        <f aca="false">SUM(K87:K89)</f>
        <v>632.720911853936</v>
      </c>
      <c r="L90" s="777" t="n">
        <f aca="false">SUM(L87:L89)</f>
        <v>-222.798867951219</v>
      </c>
      <c r="M90" s="777" t="n">
        <f aca="false">SUM(M87:M89)</f>
        <v>1382.1618484235</v>
      </c>
      <c r="N90" s="777" t="n">
        <f aca="false">SUM(N87:N89)</f>
        <v>2984.87802990154</v>
      </c>
      <c r="O90" s="777" t="n">
        <f aca="false">SUM(O87:O89)</f>
        <v>1577.62020971305</v>
      </c>
      <c r="P90" s="777" t="n">
        <f aca="false">SUM(P87:P89)</f>
        <v>384.849021452726</v>
      </c>
      <c r="Q90" s="777" t="n">
        <f aca="false">SUM(Q87:Q89)</f>
        <v>3663.87450122627</v>
      </c>
      <c r="R90" s="777" t="n">
        <f aca="false">SUM(R87:R89)</f>
        <v>6648.18476900505</v>
      </c>
      <c r="S90" s="777" t="n">
        <f aca="false">SUM(S87:S89)</f>
        <v>4170.79306506149</v>
      </c>
      <c r="T90" s="777" t="n">
        <f aca="false">SUM(T87:T89)</f>
        <v>5403.8104667292</v>
      </c>
      <c r="U90" s="777" t="n">
        <f aca="false">SUM(U87:U89)</f>
        <v>5403.8104667292</v>
      </c>
      <c r="V90" s="777" t="n">
        <f aca="false">SUM(V87:V89)</f>
        <v>5403.8104667292</v>
      </c>
      <c r="W90" s="777" t="n">
        <f aca="false">SUM(W87:W89)</f>
        <v>5403.8104667292</v>
      </c>
      <c r="X90" s="777" t="n">
        <f aca="false">SUM(X87:X89)</f>
        <v>5403.8104667292</v>
      </c>
      <c r="Y90" s="777" t="n">
        <f aca="false">SUM(Y87:Y89)</f>
        <v>5403.8104667292</v>
      </c>
      <c r="Z90" s="778" t="n">
        <f aca="false">SUM(Z87:Z89)</f>
        <v>5403.8104667292</v>
      </c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G122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55" activeCellId="0" sqref="A5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34.99"/>
    <col collapsed="false" customWidth="true" hidden="false" outlineLevel="0" max="2" min="2" style="1" width="13.14"/>
    <col collapsed="false" customWidth="true" hidden="false" outlineLevel="0" max="3" min="3" style="1" width="14.28"/>
    <col collapsed="false" customWidth="true" hidden="false" outlineLevel="0" max="6" min="4" style="1" width="10.71"/>
    <col collapsed="false" customWidth="true" hidden="false" outlineLevel="0" max="7" min="7" style="1" width="3.7"/>
    <col collapsed="false" customWidth="true" hidden="false" outlineLevel="0" max="8" min="8" style="1" width="34.85"/>
    <col collapsed="false" customWidth="true" hidden="false" outlineLevel="0" max="9" min="9" style="1" width="13.7"/>
    <col collapsed="false" customWidth="true" hidden="false" outlineLevel="0" max="10" min="10" style="1" width="24.28"/>
    <col collapsed="false" customWidth="true" hidden="false" outlineLevel="0" max="11" min="11" style="1" width="19.85"/>
    <col collapsed="false" customWidth="true" hidden="false" outlineLevel="0" max="12" min="12" style="1" width="14.7"/>
    <col collapsed="false" customWidth="true" hidden="false" outlineLevel="0" max="13" min="13" style="1" width="3.7"/>
    <col collapsed="false" customWidth="true" hidden="false" outlineLevel="0" max="14" min="14" style="1" width="25.7"/>
    <col collapsed="false" customWidth="true" hidden="false" outlineLevel="0" max="22" min="15" style="1" width="10.71"/>
    <col collapsed="false" customWidth="true" hidden="false" outlineLevel="0" max="23" min="23" style="1" width="3.7"/>
    <col collapsed="false" customWidth="true" hidden="false" outlineLevel="0" max="24" min="24" style="1" width="32.56"/>
    <col collapsed="false" customWidth="true" hidden="false" outlineLevel="0" max="28" min="25" style="1" width="12.7"/>
    <col collapsed="false" customWidth="false" hidden="false" outlineLevel="0" max="29" min="29" style="1" width="9.14"/>
    <col collapsed="false" customWidth="true" hidden="false" outlineLevel="0" max="30" min="30" style="1" width="30.7"/>
    <col collapsed="false" customWidth="true" hidden="false" outlineLevel="0" max="33" min="31" style="1" width="10.71"/>
    <col collapsed="false" customWidth="false" hidden="false" outlineLevel="0" max="257" min="34" style="1" width="9.14"/>
  </cols>
  <sheetData>
    <row r="1" customFormat="false" ht="15.75" hidden="false" customHeight="false" outlineLevel="0" collapsed="false">
      <c r="A1" s="14" t="str">
        <f aca="false">CONCATENATE(TOC!B2," ",TOC!B6)</f>
        <v>EMPRESSA PRODUTORA DE ENERGÍA LTDA (EPE) *** DRAFT COPY ***</v>
      </c>
      <c r="B1" s="15"/>
      <c r="C1" s="15"/>
      <c r="E1" s="16"/>
      <c r="I1" s="17" t="str">
        <f aca="false">IF(Loopfactor=0," ","WARNING: MODEL HAS NOT BEEN CONVERGED")</f>
        <v> </v>
      </c>
      <c r="N1" s="17" t="str">
        <f aca="false">IF(ABS(SUM(BS_IS!F36:AC36))&lt;0.5," ","WARNING: BALANCE SHEET IS NOT BALANCED")</f>
        <v> </v>
      </c>
    </row>
    <row r="2" customFormat="false" ht="15.75" hidden="false" customHeight="false" outlineLevel="0" collapsed="false">
      <c r="A2" s="18" t="str">
        <f aca="false">TOC!B3</f>
        <v>480 MW POWER PLANT (CUIABA, BRAZIL)</v>
      </c>
      <c r="B2" s="15"/>
      <c r="C2" s="15"/>
      <c r="E2" s="16"/>
      <c r="I2" s="17" t="str">
        <f aca="false">IF(Commit_Factor=0," ","WARNING: COMMITMENT FEE HAS NOT BEEN CONVERGED")</f>
        <v> </v>
      </c>
      <c r="N2" s="17" t="str">
        <f aca="false">IF(ABS(SUM(AB9,AB18,AB27,AB36,AB45)-Tot_Debt)&lt;0.1," ","WARNING: THE SUM OF THE DEBT LISTED IN THE TRANCHES DOES NOT EQUAL TOTAL DEBT")</f>
        <v> </v>
      </c>
    </row>
    <row r="3" customFormat="false" ht="15.75" hidden="false" customHeight="false" outlineLevel="0" collapsed="false">
      <c r="A3" s="19" t="str">
        <f aca="false">TOC!B4</f>
        <v>ENRON INTERNATIONAL</v>
      </c>
      <c r="B3" s="15"/>
      <c r="C3" s="15"/>
      <c r="E3" s="16"/>
      <c r="I3" s="17" t="str">
        <f aca="false">IF(Trapped!AC70="check","WARNING: CHECK MAINTENANCE RESERVE"," ")</f>
        <v> </v>
      </c>
      <c r="N3" s="17" t="str">
        <f aca="false">IF(ABS('Project &amp; Investor Returns'!AB13+Tot_Equity)&lt;0.1," ","WARNING: EQUITY DISTRIBUTED IN THE RETURNS CALC DOES NOT EQUAL TOTAL EQUITY")</f>
        <v> </v>
      </c>
      <c r="X3" s="20" t="s">
        <v>46</v>
      </c>
      <c r="Y3" s="20"/>
    </row>
    <row r="4" customFormat="false" ht="15.75" hidden="false" customHeight="false" outlineLevel="0" collapsed="false">
      <c r="A4" s="21" t="s">
        <v>47</v>
      </c>
      <c r="B4" s="15"/>
      <c r="C4" s="15"/>
      <c r="E4" s="16"/>
      <c r="I4" s="17" t="str">
        <f aca="false">IF(AA79&lt;AB79,"WARNING: A-TAX TARGET MINIMUM DCR HAS NOT BEEN MET"," ")</f>
        <v>WARNING: A-TAX TARGET MINIMUM DCR HAS NOT BEEN MET</v>
      </c>
      <c r="N4" s="17" t="str">
        <f aca="false">IF(AA80&lt;AB80,"WARNING: A-TAX TARGET AVERAGE DCR HAS NOT BEEN MET"," ")</f>
        <v> </v>
      </c>
    </row>
    <row r="5" customFormat="false" ht="13.5" hidden="false" customHeight="false" outlineLevel="0" collapsed="false">
      <c r="A5" s="1" t="s">
        <v>48</v>
      </c>
      <c r="I5" s="17" t="str">
        <f aca="false">IF($AB$37=3,IF(Subloop=1,"WARNING: RECALC SUBDEBT PRINCIPAL TO MATCH CASHFLOWS"," ")," ")</f>
        <v> </v>
      </c>
      <c r="S5" s="22" t="n">
        <v>0.3</v>
      </c>
      <c r="T5" s="22" t="n">
        <v>0.3</v>
      </c>
      <c r="U5" s="22" t="n">
        <v>0.4</v>
      </c>
      <c r="X5" s="23"/>
      <c r="AD5" s="1" t="s">
        <v>49</v>
      </c>
    </row>
    <row r="6" customFormat="false" ht="13.5" hidden="false" customHeight="false" outlineLevel="0" collapsed="false">
      <c r="A6" s="24" t="s">
        <v>50</v>
      </c>
      <c r="B6" s="25"/>
      <c r="C6" s="26" t="s">
        <v>51</v>
      </c>
      <c r="D6" s="26" t="s">
        <v>52</v>
      </c>
      <c r="E6" s="26" t="s">
        <v>53</v>
      </c>
      <c r="F6" s="27"/>
      <c r="H6" s="24" t="s">
        <v>54</v>
      </c>
      <c r="I6" s="25"/>
      <c r="J6" s="28"/>
      <c r="K6" s="29" t="s">
        <v>55</v>
      </c>
      <c r="L6" s="30" t="s">
        <v>56</v>
      </c>
      <c r="N6" s="24" t="s">
        <v>57</v>
      </c>
      <c r="O6" s="28"/>
      <c r="P6" s="28"/>
      <c r="Q6" s="28"/>
      <c r="R6" s="28"/>
      <c r="S6" s="31" t="s">
        <v>51</v>
      </c>
      <c r="T6" s="31" t="s">
        <v>52</v>
      </c>
      <c r="U6" s="31" t="s">
        <v>53</v>
      </c>
      <c r="V6" s="32"/>
      <c r="X6" s="24" t="s">
        <v>58</v>
      </c>
      <c r="Y6" s="33"/>
      <c r="Z6" s="28"/>
      <c r="AA6" s="33"/>
      <c r="AB6" s="27"/>
      <c r="AD6" s="34" t="s">
        <v>59</v>
      </c>
      <c r="AE6" s="35" t="s">
        <v>60</v>
      </c>
      <c r="AF6" s="35" t="s">
        <v>61</v>
      </c>
      <c r="AG6" s="36" t="s">
        <v>62</v>
      </c>
    </row>
    <row r="7" customFormat="false" ht="12.75" hidden="false" customHeight="false" outlineLevel="0" collapsed="false">
      <c r="A7" s="37" t="s">
        <v>63</v>
      </c>
      <c r="B7" s="38"/>
      <c r="C7" s="39" t="n">
        <f aca="false">Tariff!R11</f>
        <v>150</v>
      </c>
      <c r="D7" s="39" t="n">
        <f aca="false">Tariff!R14</f>
        <v>237.779371584699</v>
      </c>
      <c r="E7" s="39" t="n">
        <f aca="false">Tariff!R15</f>
        <v>480</v>
      </c>
      <c r="F7" s="40" t="s">
        <v>64</v>
      </c>
      <c r="H7" s="41" t="s">
        <v>65</v>
      </c>
      <c r="I7" s="38"/>
      <c r="J7" s="42"/>
      <c r="K7" s="38"/>
      <c r="L7" s="43"/>
      <c r="N7" s="37"/>
      <c r="O7" s="38"/>
      <c r="P7" s="44"/>
      <c r="Q7" s="38"/>
      <c r="R7" s="38"/>
      <c r="S7" s="45" t="n">
        <f aca="false">YEAR(Startconst)</f>
        <v>1997</v>
      </c>
      <c r="T7" s="45" t="n">
        <f aca="false">S7+1</f>
        <v>1998</v>
      </c>
      <c r="U7" s="45" t="n">
        <f aca="false">T7+1</f>
        <v>1999</v>
      </c>
      <c r="V7" s="46" t="s">
        <v>66</v>
      </c>
      <c r="X7" s="37"/>
      <c r="Y7" s="47" t="s">
        <v>67</v>
      </c>
      <c r="Z7" s="47" t="s">
        <v>68</v>
      </c>
      <c r="AA7" s="23"/>
      <c r="AB7" s="43"/>
      <c r="AD7" s="37"/>
      <c r="AE7" s="48"/>
      <c r="AF7" s="48"/>
      <c r="AG7" s="49"/>
    </row>
    <row r="8" customFormat="false" ht="12.75" hidden="false" customHeight="false" outlineLevel="0" collapsed="false">
      <c r="A8" s="37" t="s">
        <v>69</v>
      </c>
      <c r="B8" s="38"/>
      <c r="C8" s="50" t="s">
        <v>70</v>
      </c>
      <c r="D8" s="50"/>
      <c r="E8" s="50"/>
      <c r="F8" s="43"/>
      <c r="H8" s="37" t="s">
        <v>71</v>
      </c>
      <c r="I8" s="38"/>
      <c r="J8" s="51" t="n">
        <v>0.15</v>
      </c>
      <c r="K8" s="52" t="s">
        <v>72</v>
      </c>
      <c r="L8" s="43"/>
      <c r="N8" s="37" t="s">
        <v>73</v>
      </c>
      <c r="O8" s="38"/>
      <c r="Q8" s="38"/>
      <c r="R8" s="38"/>
      <c r="S8" s="53" t="n">
        <f aca="false">$V8*S$5</f>
        <v>71539.9149</v>
      </c>
      <c r="T8" s="53" t="n">
        <f aca="false">$V8*T$5</f>
        <v>71539.9149</v>
      </c>
      <c r="U8" s="53" t="n">
        <f aca="false">$V8*U$5</f>
        <v>95386.5532</v>
      </c>
      <c r="V8" s="54" t="n">
        <f aca="false">Turnkey!G39</f>
        <v>238466.383</v>
      </c>
      <c r="X8" s="55" t="s">
        <v>74</v>
      </c>
      <c r="AA8" s="23"/>
      <c r="AB8" s="43"/>
      <c r="AD8" s="37" t="s">
        <v>75</v>
      </c>
      <c r="AE8" s="56" t="n">
        <f aca="false">AF8</f>
        <v>343894.503188736</v>
      </c>
      <c r="AF8" s="57" t="n">
        <f aca="false">Tot_Cost</f>
        <v>343894.503188736</v>
      </c>
      <c r="AG8" s="58" t="n">
        <f aca="false">AF8-AE8</f>
        <v>0</v>
      </c>
    </row>
    <row r="9" customFormat="false" ht="12.75" hidden="false" customHeight="false" outlineLevel="0" collapsed="false">
      <c r="A9" s="37" t="s">
        <v>76</v>
      </c>
      <c r="B9" s="38"/>
      <c r="C9" s="59" t="n">
        <f aca="false">10100*RAROC!B142</f>
        <v>10100</v>
      </c>
      <c r="D9" s="59" t="n">
        <f aca="false">10100*RAROC!B142</f>
        <v>10100</v>
      </c>
      <c r="E9" s="59" t="n">
        <f aca="false">7000*RAROC!B142</f>
        <v>7000</v>
      </c>
      <c r="F9" s="60" t="s">
        <v>77</v>
      </c>
      <c r="H9" s="37" t="s">
        <v>78</v>
      </c>
      <c r="I9" s="38"/>
      <c r="J9" s="51" t="n">
        <v>0.1</v>
      </c>
      <c r="K9" s="52" t="s">
        <v>79</v>
      </c>
      <c r="L9" s="61" t="n">
        <v>240</v>
      </c>
      <c r="N9" s="37" t="s">
        <v>80</v>
      </c>
      <c r="O9" s="38"/>
      <c r="Q9" s="62"/>
      <c r="R9" s="38"/>
      <c r="S9" s="53" t="n">
        <f aca="false">$V9*S$5</f>
        <v>3960.1374</v>
      </c>
      <c r="T9" s="53" t="n">
        <f aca="false">$V9*T$5</f>
        <v>3960.1374</v>
      </c>
      <c r="U9" s="53" t="n">
        <f aca="false">$V9*U$5</f>
        <v>5280.1832</v>
      </c>
      <c r="V9" s="54" t="n">
        <f aca="false">Turnkey!S30</f>
        <v>13200.458</v>
      </c>
      <c r="X9" s="37" t="s">
        <v>81</v>
      </c>
      <c r="Y9" s="23"/>
      <c r="Z9" s="23"/>
      <c r="AA9" s="63" t="n">
        <f aca="false">AB9/Est_Cost1</f>
        <v>0.203914279960195</v>
      </c>
      <c r="AB9" s="64" t="n">
        <v>70125</v>
      </c>
      <c r="AD9" s="37" t="s">
        <v>82</v>
      </c>
      <c r="AE9" s="56" t="n">
        <f aca="false">AF9</f>
        <v>23757.5965400157</v>
      </c>
      <c r="AF9" s="57" t="n">
        <f aca="false">IDC!C86</f>
        <v>23757.5965400157</v>
      </c>
      <c r="AG9" s="58" t="n">
        <f aca="false">AF9-AE9</f>
        <v>0</v>
      </c>
    </row>
    <row r="10" customFormat="false" ht="12.75" hidden="false" customHeight="false" outlineLevel="0" collapsed="false">
      <c r="A10" s="37" t="s">
        <v>83</v>
      </c>
      <c r="B10" s="38"/>
      <c r="C10" s="50" t="s">
        <v>84</v>
      </c>
      <c r="D10" s="50"/>
      <c r="E10" s="50"/>
      <c r="F10" s="43"/>
      <c r="H10" s="37" t="s">
        <v>85</v>
      </c>
      <c r="I10" s="38"/>
      <c r="J10" s="51" t="n">
        <v>0.08</v>
      </c>
      <c r="K10" s="52" t="s">
        <v>72</v>
      </c>
      <c r="L10" s="43"/>
      <c r="N10" s="65" t="s">
        <v>86</v>
      </c>
      <c r="O10" s="66"/>
      <c r="P10" s="66"/>
      <c r="Q10" s="67"/>
      <c r="R10" s="66"/>
      <c r="S10" s="53" t="n">
        <f aca="false">$V10*S$5</f>
        <v>1221.9</v>
      </c>
      <c r="T10" s="53" t="n">
        <f aca="false">$V10*T$5</f>
        <v>1221.9</v>
      </c>
      <c r="U10" s="53" t="n">
        <f aca="false">$V10*U$5</f>
        <v>1629.2</v>
      </c>
      <c r="V10" s="68" t="n">
        <f aca="false">Turnkey!S37</f>
        <v>4073</v>
      </c>
      <c r="X10" s="37" t="s">
        <v>87</v>
      </c>
      <c r="Y10" s="23"/>
      <c r="Z10" s="23"/>
      <c r="AA10" s="23"/>
      <c r="AB10" s="69" t="n">
        <v>1</v>
      </c>
      <c r="AD10" s="37" t="s">
        <v>88</v>
      </c>
      <c r="AE10" s="56" t="n">
        <f aca="false">AF10</f>
        <v>2168.19824822887</v>
      </c>
      <c r="AF10" s="57" t="n">
        <f aca="false">IDC!C87</f>
        <v>2168.19824822887</v>
      </c>
      <c r="AG10" s="58" t="n">
        <f aca="false">AF10-AE10</f>
        <v>0</v>
      </c>
    </row>
    <row r="11" customFormat="false" ht="13.5" hidden="false" customHeight="false" outlineLevel="0" collapsed="false">
      <c r="A11" s="70" t="s">
        <v>89</v>
      </c>
      <c r="B11" s="71"/>
      <c r="C11" s="72" t="s">
        <v>90</v>
      </c>
      <c r="D11" s="73"/>
      <c r="E11" s="73"/>
      <c r="F11" s="74"/>
      <c r="H11" s="37" t="s">
        <v>91</v>
      </c>
      <c r="I11" s="38"/>
      <c r="J11" s="51" t="n">
        <v>0.3</v>
      </c>
      <c r="K11" s="52" t="s">
        <v>92</v>
      </c>
      <c r="L11" s="43"/>
      <c r="N11" s="37" t="s">
        <v>93</v>
      </c>
      <c r="O11" s="38"/>
      <c r="Q11" s="38"/>
      <c r="R11" s="38"/>
      <c r="S11" s="53" t="n">
        <f aca="false">$V11*S$5</f>
        <v>-2302.57016695694</v>
      </c>
      <c r="T11" s="53" t="n">
        <f aca="false">$V11*T$5</f>
        <v>-2302.57016695694</v>
      </c>
      <c r="U11" s="53" t="n">
        <f aca="false">$V11*U$5</f>
        <v>-3070.09355594259</v>
      </c>
      <c r="V11" s="75" t="n">
        <f aca="false">-7675233.88985648/1000</f>
        <v>-7675.23388985648</v>
      </c>
      <c r="X11" s="37" t="s">
        <v>94</v>
      </c>
      <c r="Y11" s="76" t="n">
        <v>15</v>
      </c>
      <c r="Z11" s="23"/>
      <c r="AA11" s="77" t="s">
        <v>95</v>
      </c>
      <c r="AB11" s="43" t="n">
        <f aca="false">IF(Y11=0,0,Y11-ROUND(((Startops3-Fin_Close)/365),0)+AB12/2)*2</f>
        <v>29</v>
      </c>
      <c r="AD11" s="37" t="s">
        <v>96</v>
      </c>
      <c r="AE11" s="56" t="n">
        <f aca="false">AF11</f>
        <v>29527.5167986659</v>
      </c>
      <c r="AF11" s="57" t="n">
        <f aca="false">Tot_Cost*Debtperc*AB$75</f>
        <v>29527.5167986659</v>
      </c>
      <c r="AG11" s="58" t="n">
        <f aca="false">AF11-AE11</f>
        <v>0</v>
      </c>
    </row>
    <row r="12" customFormat="false" ht="13.5" hidden="false" customHeight="false" outlineLevel="0" collapsed="false">
      <c r="H12" s="37" t="s">
        <v>97</v>
      </c>
      <c r="I12" s="38"/>
      <c r="J12" s="51" t="n">
        <v>0</v>
      </c>
      <c r="K12" s="52" t="s">
        <v>98</v>
      </c>
      <c r="L12" s="43"/>
      <c r="N12" s="37" t="s">
        <v>99</v>
      </c>
      <c r="O12" s="38"/>
      <c r="Q12" s="78" t="n">
        <v>1</v>
      </c>
      <c r="S12" s="53" t="n">
        <f aca="false">$V12*S$5</f>
        <v>-2254.1505054</v>
      </c>
      <c r="T12" s="53" t="n">
        <f aca="false">$V12*T$5</f>
        <v>-2254.1505054</v>
      </c>
      <c r="U12" s="53" t="n">
        <f aca="false">$V12*U$5</f>
        <v>-3005.5340072</v>
      </c>
      <c r="V12" s="54" t="n">
        <f aca="false">Turnkey!W50</f>
        <v>-7513.835018</v>
      </c>
      <c r="X12" s="37" t="s">
        <v>100</v>
      </c>
      <c r="Y12" s="79" t="n">
        <f aca="false">IF(AB12=0,0,AB12+ROUND(((Startops3-Fin_Close)/365),2))</f>
        <v>1.92</v>
      </c>
      <c r="Z12" s="23"/>
      <c r="AA12" s="77" t="s">
        <v>101</v>
      </c>
      <c r="AB12" s="80" t="n">
        <v>1</v>
      </c>
      <c r="AD12" s="37" t="s">
        <v>102</v>
      </c>
      <c r="AE12" s="56" t="n">
        <f aca="false">AF12</f>
        <v>166.016722148875</v>
      </c>
      <c r="AF12" s="57" t="n">
        <f aca="false">IDC!C109</f>
        <v>166.016722148875</v>
      </c>
      <c r="AG12" s="58" t="n">
        <f aca="false">AF12-AE12</f>
        <v>0</v>
      </c>
    </row>
    <row r="13" customFormat="false" ht="13.5" hidden="false" customHeight="false" outlineLevel="0" collapsed="false">
      <c r="A13" s="24" t="s">
        <v>103</v>
      </c>
      <c r="B13" s="81"/>
      <c r="C13" s="26" t="s">
        <v>51</v>
      </c>
      <c r="D13" s="26" t="s">
        <v>52</v>
      </c>
      <c r="E13" s="26" t="s">
        <v>53</v>
      </c>
      <c r="F13" s="82" t="s">
        <v>104</v>
      </c>
      <c r="H13" s="37" t="s">
        <v>105</v>
      </c>
      <c r="I13" s="38"/>
      <c r="J13" s="51" t="n">
        <v>0.15</v>
      </c>
      <c r="K13" s="52" t="s">
        <v>106</v>
      </c>
      <c r="L13" s="43"/>
      <c r="N13" s="37" t="s">
        <v>107</v>
      </c>
      <c r="O13" s="38"/>
      <c r="Q13" s="78" t="n">
        <v>1</v>
      </c>
      <c r="R13" s="38"/>
      <c r="S13" s="83" t="n">
        <f aca="false">$V13*S$5</f>
        <v>-2190.4065</v>
      </c>
      <c r="T13" s="83" t="n">
        <f aca="false">$V13*T$5</f>
        <v>-2190.4065</v>
      </c>
      <c r="U13" s="83" t="n">
        <f aca="false">$V13*U$5</f>
        <v>-2920.542</v>
      </c>
      <c r="V13" s="84" t="n">
        <f aca="false">-R66</f>
        <v>-7301.355</v>
      </c>
      <c r="X13" s="37" t="s">
        <v>108</v>
      </c>
      <c r="Y13" s="23"/>
      <c r="Z13" s="23"/>
      <c r="AA13" s="23" t="n">
        <v>0.035</v>
      </c>
      <c r="AB13" s="43" t="n">
        <f aca="false">IF(AB9=0,0,ROUND(Y11/2+(Term_C3/12),1))</f>
        <v>11.2</v>
      </c>
      <c r="AD13" s="37"/>
      <c r="AE13" s="85"/>
      <c r="AF13" s="85"/>
      <c r="AG13" s="86"/>
    </row>
    <row r="14" customFormat="false" ht="13.5" hidden="false" customHeight="false" outlineLevel="0" collapsed="false">
      <c r="A14" s="37" t="s">
        <v>109</v>
      </c>
      <c r="B14" s="38"/>
      <c r="C14" s="87" t="n">
        <v>35765</v>
      </c>
      <c r="D14" s="88" t="n">
        <f aca="false">Startconst</f>
        <v>35765</v>
      </c>
      <c r="E14" s="88" t="n">
        <f aca="false">Startconst</f>
        <v>35765</v>
      </c>
      <c r="F14" s="89" t="n">
        <f aca="false">Startconst</f>
        <v>35765</v>
      </c>
      <c r="H14" s="37" t="s">
        <v>110</v>
      </c>
      <c r="I14" s="38"/>
      <c r="J14" s="51" t="n">
        <v>0.25</v>
      </c>
      <c r="K14" s="52" t="s">
        <v>111</v>
      </c>
      <c r="L14" s="43"/>
      <c r="N14" s="90" t="s">
        <v>112</v>
      </c>
      <c r="O14" s="66"/>
      <c r="P14" s="66"/>
      <c r="Q14" s="66"/>
      <c r="R14" s="66"/>
      <c r="S14" s="91" t="n">
        <f aca="false">SUM(S8:S13)</f>
        <v>69974.8251276431</v>
      </c>
      <c r="T14" s="91" t="n">
        <f aca="false">SUM(T8:T13)</f>
        <v>69974.8251276431</v>
      </c>
      <c r="U14" s="91" t="n">
        <f aca="false">SUM(U8:U13)</f>
        <v>93299.7668368574</v>
      </c>
      <c r="V14" s="92" t="n">
        <f aca="false">SUM(V8:V13)</f>
        <v>233249.417092144</v>
      </c>
      <c r="X14" s="37" t="s">
        <v>113</v>
      </c>
      <c r="Y14" s="93" t="n">
        <v>0.0684</v>
      </c>
      <c r="Z14" s="93" t="n">
        <v>0.002</v>
      </c>
      <c r="AA14" s="23"/>
      <c r="AB14" s="94" t="n">
        <f aca="false">RAROC!B92</f>
        <v>0.0704</v>
      </c>
      <c r="AD14" s="95" t="s">
        <v>114</v>
      </c>
      <c r="AE14" s="96"/>
      <c r="AF14" s="96"/>
      <c r="AG14" s="97" t="n">
        <f aca="false">SUM(AG7:AG13)</f>
        <v>0</v>
      </c>
    </row>
    <row r="15" customFormat="false" ht="13.5" hidden="false" customHeight="false" outlineLevel="0" collapsed="false">
      <c r="A15" s="37" t="s">
        <v>115</v>
      </c>
      <c r="B15" s="38"/>
      <c r="C15" s="38" t="n">
        <f aca="false">ROUND((Startops1-Startconst)/(365/12),0)</f>
        <v>16</v>
      </c>
      <c r="D15" s="38" t="n">
        <f aca="false">ROUND((Startops2-Startconst)/(365/12),0)</f>
        <v>39</v>
      </c>
      <c r="E15" s="38" t="n">
        <f aca="false">ROUND((Startops3-Startconst)/(365/12),0)</f>
        <v>44</v>
      </c>
      <c r="F15" s="43"/>
      <c r="H15" s="37" t="s">
        <v>116</v>
      </c>
      <c r="I15" s="38"/>
      <c r="J15" s="51" t="n">
        <v>0.15</v>
      </c>
      <c r="K15" s="52" t="s">
        <v>117</v>
      </c>
      <c r="L15" s="43"/>
      <c r="N15" s="65"/>
      <c r="O15" s="67"/>
      <c r="P15" s="67"/>
      <c r="Q15" s="67"/>
      <c r="R15" s="67"/>
      <c r="S15" s="98"/>
      <c r="T15" s="98"/>
      <c r="U15" s="98"/>
      <c r="V15" s="68"/>
      <c r="X15" s="37" t="s">
        <v>96</v>
      </c>
      <c r="Y15" s="23"/>
      <c r="Z15" s="23"/>
      <c r="AA15" s="23"/>
      <c r="AB15" s="99" t="n">
        <f aca="false">0.5%+19.9%</f>
        <v>0.204</v>
      </c>
    </row>
    <row r="16" customFormat="false" ht="12.75" hidden="false" customHeight="false" outlineLevel="0" collapsed="false">
      <c r="A16" s="37" t="s">
        <v>118</v>
      </c>
      <c r="B16" s="38"/>
      <c r="C16" s="87" t="n">
        <f aca="false">[1]RAC_ASSUMP!$G$5</f>
        <v>36251</v>
      </c>
      <c r="D16" s="87" t="n">
        <f aca="false">RAROC!J51</f>
        <v>36951</v>
      </c>
      <c r="E16" s="87" t="n">
        <f aca="false">RAROC!J52</f>
        <v>37104</v>
      </c>
      <c r="F16" s="100" t="n">
        <f aca="false">RAROC!J53</f>
        <v>37377</v>
      </c>
      <c r="H16" s="37" t="s">
        <v>119</v>
      </c>
      <c r="I16" s="38"/>
      <c r="J16" s="51" t="n">
        <v>0.0065</v>
      </c>
      <c r="K16" s="52" t="s">
        <v>120</v>
      </c>
      <c r="L16" s="43"/>
      <c r="N16" s="37" t="s">
        <v>121</v>
      </c>
      <c r="O16" s="101" t="n">
        <v>4</v>
      </c>
      <c r="P16" s="79" t="s">
        <v>122</v>
      </c>
      <c r="Q16" s="102" t="n">
        <f aca="false">(1735/O16)</f>
        <v>433.75</v>
      </c>
      <c r="R16" s="38" t="s">
        <v>123</v>
      </c>
      <c r="S16" s="53" t="n">
        <f aca="false">$V16*S$5</f>
        <v>520.5</v>
      </c>
      <c r="T16" s="53" t="n">
        <f aca="false">$V16*T$5</f>
        <v>520.5</v>
      </c>
      <c r="U16" s="53" t="n">
        <f aca="false">$V16*U$5</f>
        <v>694</v>
      </c>
      <c r="V16" s="54" t="n">
        <f aca="false">O16*Q16</f>
        <v>1735</v>
      </c>
      <c r="X16" s="103" t="s">
        <v>102</v>
      </c>
      <c r="Y16" s="104"/>
      <c r="Z16" s="104"/>
      <c r="AA16" s="104"/>
      <c r="AB16" s="105" t="n">
        <v>0.00375</v>
      </c>
      <c r="AD16" s="106" t="s">
        <v>124</v>
      </c>
    </row>
    <row r="17" customFormat="false" ht="13.5" hidden="false" customHeight="false" outlineLevel="0" collapsed="false">
      <c r="A17" s="37" t="s">
        <v>125</v>
      </c>
      <c r="B17" s="38"/>
      <c r="C17" s="38" t="n">
        <f aca="false">ROUND((Startops2-Startops1)/(365/12),0)</f>
        <v>23</v>
      </c>
      <c r="D17" s="38" t="n">
        <f aca="false">ROUND((Startops3-Startops2)/(365/12),0)</f>
        <v>5</v>
      </c>
      <c r="E17" s="38" t="n">
        <f aca="false">ROUND((Startops4-Startops3)/(365/12),0)</f>
        <v>9</v>
      </c>
      <c r="F17" s="43" t="n">
        <f aca="false">(Term*12)-E17-D17-C17</f>
        <v>203</v>
      </c>
      <c r="H17" s="37" t="s">
        <v>126</v>
      </c>
      <c r="I17" s="38"/>
      <c r="J17" s="51" t="n">
        <v>0.02</v>
      </c>
      <c r="K17" s="52" t="s">
        <v>120</v>
      </c>
      <c r="L17" s="43"/>
      <c r="N17" s="37" t="s">
        <v>127</v>
      </c>
      <c r="O17" s="38"/>
      <c r="P17" s="107"/>
      <c r="Q17" s="108"/>
      <c r="R17" s="107"/>
      <c r="S17" s="53" t="n">
        <f aca="false">$V17*S$5</f>
        <v>162</v>
      </c>
      <c r="T17" s="53" t="n">
        <f aca="false">$V17*T$5</f>
        <v>162</v>
      </c>
      <c r="U17" s="53" t="n">
        <f aca="false">$V17*U$5</f>
        <v>216</v>
      </c>
      <c r="V17" s="75" t="n">
        <v>540</v>
      </c>
      <c r="X17" s="90" t="s">
        <v>128</v>
      </c>
      <c r="Y17" s="109"/>
      <c r="Z17" s="109"/>
      <c r="AA17" s="109"/>
      <c r="AB17" s="110"/>
      <c r="AD17" s="111" t="n">
        <f aca="false">IF(ABS(AG14)&lt;0.05,0,1)</f>
        <v>0</v>
      </c>
    </row>
    <row r="18" customFormat="false" ht="12.75" hidden="false" customHeight="false" outlineLevel="0" collapsed="false">
      <c r="A18" s="37" t="s">
        <v>129</v>
      </c>
      <c r="B18" s="38"/>
      <c r="C18" s="38"/>
      <c r="D18" s="38"/>
      <c r="E18" s="38"/>
      <c r="F18" s="100" t="n">
        <v>36678</v>
      </c>
      <c r="H18" s="37" t="s">
        <v>130</v>
      </c>
      <c r="I18" s="38"/>
      <c r="J18" s="51" t="n">
        <v>0.29</v>
      </c>
      <c r="K18" s="52" t="s">
        <v>131</v>
      </c>
      <c r="L18" s="43"/>
      <c r="N18" s="37" t="s">
        <v>132</v>
      </c>
      <c r="O18" s="38"/>
      <c r="P18" s="38"/>
      <c r="Q18" s="38"/>
      <c r="R18" s="38"/>
      <c r="S18" s="53" t="n">
        <f aca="false">$V18*S$5</f>
        <v>577.5</v>
      </c>
      <c r="T18" s="53" t="n">
        <f aca="false">$V18*T$5</f>
        <v>577.5</v>
      </c>
      <c r="U18" s="53" t="n">
        <f aca="false">$V18*U$5</f>
        <v>770</v>
      </c>
      <c r="V18" s="75" t="n">
        <v>1925</v>
      </c>
      <c r="X18" s="65" t="s">
        <v>81</v>
      </c>
      <c r="Y18" s="109"/>
      <c r="Z18" s="109"/>
      <c r="AA18" s="63" t="n">
        <f aca="false">AB18/Est_Cost1</f>
        <v>0.203914279960195</v>
      </c>
      <c r="AB18" s="64" t="n">
        <v>70125</v>
      </c>
    </row>
    <row r="19" customFormat="false" ht="12.75" hidden="false" customHeight="false" outlineLevel="0" collapsed="false">
      <c r="A19" s="112" t="s">
        <v>133</v>
      </c>
      <c r="B19" s="113"/>
      <c r="C19" s="114" t="s">
        <v>134</v>
      </c>
      <c r="D19" s="114"/>
      <c r="E19" s="114"/>
      <c r="F19" s="115" t="n">
        <v>20</v>
      </c>
      <c r="H19" s="37" t="s">
        <v>135</v>
      </c>
      <c r="I19" s="38"/>
      <c r="J19" s="51" t="n">
        <v>0.08</v>
      </c>
      <c r="K19" s="52" t="s">
        <v>131</v>
      </c>
      <c r="L19" s="43"/>
      <c r="N19" s="37" t="s">
        <v>136</v>
      </c>
      <c r="O19" s="38"/>
      <c r="P19" s="38"/>
      <c r="Q19" s="38"/>
      <c r="R19" s="38"/>
      <c r="S19" s="53" t="n">
        <f aca="false">$V19*S$5</f>
        <v>377.026716</v>
      </c>
      <c r="T19" s="53" t="n">
        <f aca="false">$V19*T$5</f>
        <v>377.026716</v>
      </c>
      <c r="U19" s="53" t="n">
        <f aca="false">$V19*U$5</f>
        <v>502.702288</v>
      </c>
      <c r="V19" s="75" t="n">
        <v>1256.75572</v>
      </c>
      <c r="X19" s="65" t="s">
        <v>87</v>
      </c>
      <c r="Y19" s="109"/>
      <c r="Z19" s="109"/>
      <c r="AA19" s="109"/>
      <c r="AB19" s="69" t="n">
        <v>1</v>
      </c>
    </row>
    <row r="20" customFormat="false" ht="12.75" hidden="false" customHeight="false" outlineLevel="0" collapsed="false">
      <c r="A20" s="37" t="s">
        <v>137</v>
      </c>
      <c r="B20" s="38"/>
      <c r="C20" s="79"/>
      <c r="D20" s="79"/>
      <c r="E20" s="79"/>
      <c r="F20" s="100" t="n">
        <v>43585</v>
      </c>
      <c r="H20" s="37" t="s">
        <v>138</v>
      </c>
      <c r="I20" s="38"/>
      <c r="J20" s="51" t="n">
        <v>0.025</v>
      </c>
      <c r="K20" s="52" t="s">
        <v>131</v>
      </c>
      <c r="L20" s="43"/>
      <c r="N20" s="37" t="s">
        <v>139</v>
      </c>
      <c r="O20" s="102" t="n">
        <v>2642</v>
      </c>
      <c r="P20" s="116" t="s">
        <v>140</v>
      </c>
      <c r="Q20" s="102" t="n">
        <v>0</v>
      </c>
      <c r="R20" s="38"/>
      <c r="S20" s="83" t="n">
        <f aca="false">$V20*S$5</f>
        <v>792.6</v>
      </c>
      <c r="T20" s="83" t="n">
        <f aca="false">$V20*T$5</f>
        <v>792.6</v>
      </c>
      <c r="U20" s="83" t="n">
        <f aca="false">$V20*U$5</f>
        <v>1056.8</v>
      </c>
      <c r="V20" s="84" t="n">
        <f aca="false">SUM(O20,Q20)</f>
        <v>2642</v>
      </c>
      <c r="X20" s="37" t="s">
        <v>94</v>
      </c>
      <c r="Y20" s="76" t="n">
        <v>15</v>
      </c>
      <c r="Z20" s="23"/>
      <c r="AA20" s="77" t="s">
        <v>95</v>
      </c>
      <c r="AB20" s="43" t="n">
        <f aca="false">IF(Y20=0,0,Y20-ROUND(((Startops3-Fin_Close)/365),0)+AB21/2)*2</f>
        <v>29</v>
      </c>
      <c r="AE20" s="117" t="n">
        <f aca="false">Est_Cost1-Est_Idc1-Est_Wh1-Est_Commit1</f>
        <v>317802.691678343</v>
      </c>
    </row>
    <row r="21" customFormat="false" ht="13.5" hidden="false" customHeight="false" outlineLevel="0" collapsed="false">
      <c r="A21" s="70" t="n">
        <v>0</v>
      </c>
      <c r="B21" s="71"/>
      <c r="C21" s="71"/>
      <c r="D21" s="71"/>
      <c r="E21" s="71"/>
      <c r="F21" s="118" t="s">
        <v>141</v>
      </c>
      <c r="H21" s="37" t="s">
        <v>142</v>
      </c>
      <c r="I21" s="38"/>
      <c r="J21" s="51" t="n">
        <v>0</v>
      </c>
      <c r="K21" s="52" t="s">
        <v>143</v>
      </c>
      <c r="L21" s="43"/>
      <c r="N21" s="90" t="s">
        <v>144</v>
      </c>
      <c r="O21" s="66"/>
      <c r="P21" s="66"/>
      <c r="Q21" s="66"/>
      <c r="R21" s="66"/>
      <c r="S21" s="91" t="n">
        <f aca="false">SUM(S16:S20)</f>
        <v>2429.626716</v>
      </c>
      <c r="T21" s="91" t="n">
        <f aca="false">SUM(T16:T20)</f>
        <v>2429.626716</v>
      </c>
      <c r="U21" s="91" t="n">
        <f aca="false">SUM(U16:U20)</f>
        <v>3239.502288</v>
      </c>
      <c r="V21" s="92" t="n">
        <f aca="false">SUM(V16:V20)</f>
        <v>8098.75572</v>
      </c>
      <c r="X21" s="37" t="s">
        <v>100</v>
      </c>
      <c r="Y21" s="79" t="n">
        <f aca="false">IF(AB21=0,0,AB21+ROUND(((Startops3-Fin_Close)/365),2))</f>
        <v>1.92</v>
      </c>
      <c r="Z21" s="23"/>
      <c r="AA21" s="77" t="s">
        <v>101</v>
      </c>
      <c r="AB21" s="80" t="n">
        <v>1</v>
      </c>
    </row>
    <row r="22" customFormat="false" ht="13.5" hidden="false" customHeight="false" outlineLevel="0" collapsed="false">
      <c r="H22" s="37" t="s">
        <v>145</v>
      </c>
      <c r="I22" s="38"/>
      <c r="J22" s="51" t="n">
        <v>0</v>
      </c>
      <c r="K22" s="52" t="s">
        <v>143</v>
      </c>
      <c r="L22" s="43"/>
      <c r="N22" s="37"/>
      <c r="O22" s="119"/>
      <c r="P22" s="23"/>
      <c r="Q22" s="53"/>
      <c r="R22" s="38"/>
      <c r="S22" s="53"/>
      <c r="T22" s="53"/>
      <c r="U22" s="53"/>
      <c r="V22" s="54"/>
      <c r="X22" s="65" t="s">
        <v>108</v>
      </c>
      <c r="Y22" s="109"/>
      <c r="Z22" s="109"/>
      <c r="AA22" s="109" t="n">
        <v>0.035</v>
      </c>
      <c r="AB22" s="43" t="n">
        <f aca="false">IF(AB18=0,0,ROUND(Y20/2+(Term_C3/12),1))</f>
        <v>11.2</v>
      </c>
    </row>
    <row r="23" customFormat="false" ht="13.5" hidden="false" customHeight="false" outlineLevel="0" collapsed="false">
      <c r="A23" s="24" t="s">
        <v>146</v>
      </c>
      <c r="B23" s="28"/>
      <c r="C23" s="28"/>
      <c r="D23" s="28"/>
      <c r="E23" s="28"/>
      <c r="F23" s="27"/>
      <c r="H23" s="37" t="s">
        <v>147</v>
      </c>
      <c r="I23" s="38"/>
      <c r="J23" s="51" t="n">
        <v>0</v>
      </c>
      <c r="K23" s="52" t="s">
        <v>143</v>
      </c>
      <c r="L23" s="43"/>
      <c r="N23" s="37" t="s">
        <v>148</v>
      </c>
      <c r="O23" s="38"/>
      <c r="P23" s="38"/>
      <c r="Q23" s="38"/>
      <c r="R23" s="38"/>
      <c r="S23" s="53" t="n">
        <f aca="false">$V23*S$5</f>
        <v>7127.2789620047</v>
      </c>
      <c r="T23" s="53" t="n">
        <f aca="false">$V23*T$5</f>
        <v>7127.2789620047</v>
      </c>
      <c r="U23" s="53" t="n">
        <f aca="false">$V23*U$5</f>
        <v>9503.03861600627</v>
      </c>
      <c r="V23" s="54" t="n">
        <f aca="false">Est_Idc1</f>
        <v>23757.5965400157</v>
      </c>
      <c r="X23" s="65" t="s">
        <v>113</v>
      </c>
      <c r="Y23" s="93" t="n">
        <v>0.0683</v>
      </c>
      <c r="Z23" s="93" t="n">
        <v>0.0065</v>
      </c>
      <c r="AA23" s="109"/>
      <c r="AB23" s="120" t="n">
        <f aca="false">RAROC!C92</f>
        <v>0.0748</v>
      </c>
    </row>
    <row r="24" customFormat="false" ht="12.75" hidden="false" customHeight="false" outlineLevel="0" collapsed="false">
      <c r="A24" s="37" t="s">
        <v>149</v>
      </c>
      <c r="B24" s="38"/>
      <c r="C24" s="38"/>
      <c r="D24" s="38"/>
      <c r="E24" s="38"/>
      <c r="F24" s="100" t="n">
        <f aca="false">[1]RAC_ASSUMP!$C$15</f>
        <v>36770</v>
      </c>
      <c r="H24" s="37" t="s">
        <v>150</v>
      </c>
      <c r="I24" s="38"/>
      <c r="J24" s="51" t="n">
        <v>0</v>
      </c>
      <c r="K24" s="52" t="s">
        <v>151</v>
      </c>
      <c r="L24" s="43"/>
      <c r="N24" s="37" t="s">
        <v>152</v>
      </c>
      <c r="O24" s="38"/>
      <c r="P24" s="38"/>
      <c r="Q24" s="38"/>
      <c r="R24" s="38"/>
      <c r="S24" s="53" t="n">
        <f aca="false">$V24*S$5</f>
        <v>650.45947446866</v>
      </c>
      <c r="T24" s="53" t="n">
        <f aca="false">$V24*T$5</f>
        <v>650.45947446866</v>
      </c>
      <c r="U24" s="53" t="n">
        <f aca="false">$V24*U$5</f>
        <v>867.279299291547</v>
      </c>
      <c r="V24" s="54" t="n">
        <f aca="false">Est_Wh1</f>
        <v>2168.19824822887</v>
      </c>
      <c r="X24" s="65" t="s">
        <v>96</v>
      </c>
      <c r="Y24" s="109"/>
      <c r="Z24" s="109"/>
      <c r="AA24" s="109"/>
      <c r="AB24" s="99" t="n">
        <f aca="false">0.5%+19.9%</f>
        <v>0.204</v>
      </c>
      <c r="AD24" s="1" t="s">
        <v>49</v>
      </c>
      <c r="AE24" s="1" t="s">
        <v>49</v>
      </c>
    </row>
    <row r="25" customFormat="false" ht="12.75" hidden="false" customHeight="false" outlineLevel="0" collapsed="false">
      <c r="A25" s="37" t="s">
        <v>153</v>
      </c>
      <c r="B25" s="38"/>
      <c r="C25" s="38"/>
      <c r="D25" s="38"/>
      <c r="E25" s="38"/>
      <c r="F25" s="121" t="n">
        <f aca="false">ROUND((Fin_Close-Startconst)/(365/12),0)</f>
        <v>33</v>
      </c>
      <c r="H25" s="37" t="s">
        <v>154</v>
      </c>
      <c r="I25" s="38"/>
      <c r="J25" s="51" t="n">
        <v>1</v>
      </c>
      <c r="K25" s="52" t="s">
        <v>155</v>
      </c>
      <c r="L25" s="43"/>
      <c r="N25" s="37" t="s">
        <v>102</v>
      </c>
      <c r="O25" s="38"/>
      <c r="P25" s="38"/>
      <c r="Q25" s="38"/>
      <c r="R25" s="38"/>
      <c r="S25" s="53" t="n">
        <f aca="false">$V25*S$5</f>
        <v>49.8050166446624</v>
      </c>
      <c r="T25" s="53" t="n">
        <f aca="false">$V25*T$5</f>
        <v>49.8050166446624</v>
      </c>
      <c r="U25" s="53" t="n">
        <f aca="false">$V25*U$5</f>
        <v>66.4066888595498</v>
      </c>
      <c r="V25" s="54" t="n">
        <f aca="false">Est_Commit1</f>
        <v>166.016722148875</v>
      </c>
      <c r="X25" s="122" t="s">
        <v>102</v>
      </c>
      <c r="Y25" s="123"/>
      <c r="Z25" s="123"/>
      <c r="AA25" s="123"/>
      <c r="AB25" s="105" t="n">
        <v>0.0025</v>
      </c>
    </row>
    <row r="26" customFormat="false" ht="13.5" hidden="false" customHeight="false" outlineLevel="0" collapsed="false">
      <c r="A26" s="70" t="s">
        <v>156</v>
      </c>
      <c r="B26" s="71"/>
      <c r="C26" s="71"/>
      <c r="D26" s="71"/>
      <c r="E26" s="71"/>
      <c r="F26" s="124" t="n">
        <f aca="false">EDATE(Startops3,6)</f>
        <v>37288</v>
      </c>
      <c r="H26" s="37" t="s">
        <v>157</v>
      </c>
      <c r="I26" s="38"/>
      <c r="J26" s="51" t="n">
        <v>0.1</v>
      </c>
      <c r="K26" s="52" t="s">
        <v>158</v>
      </c>
      <c r="L26" s="43"/>
      <c r="N26" s="37" t="s">
        <v>96</v>
      </c>
      <c r="O26" s="38"/>
      <c r="P26" s="38"/>
      <c r="Q26" s="38"/>
      <c r="R26" s="38"/>
      <c r="S26" s="53" t="n">
        <f aca="false">$V26*S$5</f>
        <v>8858.25503959976</v>
      </c>
      <c r="T26" s="53" t="n">
        <f aca="false">$V26*T$5</f>
        <v>8858.25503959976</v>
      </c>
      <c r="U26" s="53" t="n">
        <f aca="false">$V26*U$5</f>
        <v>11811.0067194664</v>
      </c>
      <c r="V26" s="54" t="n">
        <f aca="false">AE11</f>
        <v>29527.5167986659</v>
      </c>
      <c r="X26" s="90" t="s">
        <v>159</v>
      </c>
      <c r="Y26" s="109"/>
      <c r="Z26" s="23"/>
      <c r="AA26" s="109"/>
      <c r="AB26" s="43"/>
    </row>
    <row r="27" customFormat="false" ht="13.5" hidden="false" customHeight="false" outlineLevel="0" collapsed="false">
      <c r="H27" s="37" t="s">
        <v>160</v>
      </c>
      <c r="I27" s="38"/>
      <c r="J27" s="51" t="n">
        <v>0</v>
      </c>
      <c r="K27" s="52" t="s">
        <v>161</v>
      </c>
      <c r="L27" s="43"/>
      <c r="N27" s="37" t="s">
        <v>162</v>
      </c>
      <c r="O27" s="38"/>
      <c r="P27" s="38"/>
      <c r="Q27" s="38"/>
      <c r="R27" s="38"/>
      <c r="S27" s="53" t="n">
        <f aca="false">$V27*S$5</f>
        <v>2225.9625</v>
      </c>
      <c r="T27" s="53" t="n">
        <f aca="false">$V27*T$5</f>
        <v>2225.9625</v>
      </c>
      <c r="U27" s="53" t="n">
        <f aca="false">$V27*U$5</f>
        <v>2967.95</v>
      </c>
      <c r="V27" s="75" t="n">
        <v>7419.875</v>
      </c>
      <c r="X27" s="37" t="s">
        <v>81</v>
      </c>
      <c r="Y27" s="109"/>
      <c r="Z27" s="109"/>
      <c r="AA27" s="63" t="n">
        <f aca="false">AB27/Est_Cost1</f>
        <v>0.071969745868304</v>
      </c>
      <c r="AB27" s="64" t="n">
        <f aca="false">16750+8000</f>
        <v>24750</v>
      </c>
    </row>
    <row r="28" customFormat="false" ht="13.5" hidden="false" customHeight="false" outlineLevel="0" collapsed="false">
      <c r="A28" s="24" t="s">
        <v>163</v>
      </c>
      <c r="B28" s="28"/>
      <c r="C28" s="125"/>
      <c r="D28" s="125"/>
      <c r="E28" s="126" t="s">
        <v>164</v>
      </c>
      <c r="F28" s="127" t="n">
        <v>1997</v>
      </c>
      <c r="H28" s="37" t="s">
        <v>165</v>
      </c>
      <c r="I28" s="38"/>
      <c r="J28" s="51" t="n">
        <v>0</v>
      </c>
      <c r="K28" s="52" t="s">
        <v>166</v>
      </c>
      <c r="L28" s="43"/>
      <c r="N28" s="37" t="s">
        <v>167</v>
      </c>
      <c r="O28" s="38"/>
      <c r="P28" s="38"/>
      <c r="Q28" s="38"/>
      <c r="R28" s="38"/>
      <c r="S28" s="53" t="n">
        <f aca="false">$V28*S$5</f>
        <v>0</v>
      </c>
      <c r="T28" s="53" t="n">
        <f aca="false">$V28*T$5</f>
        <v>0</v>
      </c>
      <c r="U28" s="53" t="n">
        <f aca="false">$V28*U$5</f>
        <v>0</v>
      </c>
      <c r="V28" s="75" t="n">
        <v>0</v>
      </c>
      <c r="X28" s="37" t="s">
        <v>87</v>
      </c>
      <c r="Y28" s="109"/>
      <c r="Z28" s="109"/>
      <c r="AA28" s="23"/>
      <c r="AB28" s="69" t="n">
        <v>2</v>
      </c>
    </row>
    <row r="29" customFormat="false" ht="12.75" hidden="false" customHeight="false" outlineLevel="0" collapsed="false">
      <c r="A29" s="37"/>
      <c r="B29" s="38"/>
      <c r="C29" s="38"/>
      <c r="D29" s="38"/>
      <c r="E29" s="128" t="s">
        <v>168</v>
      </c>
      <c r="F29" s="129" t="n">
        <v>1</v>
      </c>
      <c r="H29" s="130" t="s">
        <v>169</v>
      </c>
      <c r="I29" s="38"/>
      <c r="J29" s="107"/>
      <c r="K29" s="52"/>
      <c r="L29" s="43"/>
      <c r="N29" s="37" t="s">
        <v>170</v>
      </c>
      <c r="O29" s="38"/>
      <c r="P29" s="131" t="s">
        <v>49</v>
      </c>
      <c r="Q29" s="131"/>
      <c r="R29" s="38"/>
      <c r="S29" s="53" t="n">
        <f aca="false">$V29*S$5</f>
        <v>1286.4375</v>
      </c>
      <c r="T29" s="53" t="n">
        <f aca="false">$V29*T$5</f>
        <v>1286.4375</v>
      </c>
      <c r="U29" s="53" t="n">
        <f aca="false">$V29*U$5</f>
        <v>1715.25</v>
      </c>
      <c r="V29" s="75" t="n">
        <v>4288.125</v>
      </c>
      <c r="X29" s="37" t="s">
        <v>94</v>
      </c>
      <c r="Y29" s="76" t="n">
        <v>11</v>
      </c>
      <c r="Z29" s="23"/>
      <c r="AA29" s="77" t="s">
        <v>95</v>
      </c>
      <c r="AB29" s="43" t="n">
        <f aca="false">IF(Y29=0,0,Y29-ROUND(((Startops3-Fin_Close)/365),0)+AB30/2)*2</f>
        <v>21</v>
      </c>
    </row>
    <row r="30" customFormat="false" ht="12.75" hidden="false" customHeight="false" outlineLevel="0" collapsed="false">
      <c r="A30" s="132" t="s">
        <v>171</v>
      </c>
      <c r="B30" s="38"/>
      <c r="C30" s="45" t="s">
        <v>51</v>
      </c>
      <c r="D30" s="45" t="s">
        <v>52</v>
      </c>
      <c r="E30" s="45" t="s">
        <v>53</v>
      </c>
      <c r="F30" s="133" t="s">
        <v>172</v>
      </c>
      <c r="H30" s="37" t="s">
        <v>173</v>
      </c>
      <c r="I30" s="38"/>
      <c r="J30" s="51" t="n">
        <v>0.17</v>
      </c>
      <c r="K30" s="52" t="s">
        <v>174</v>
      </c>
      <c r="L30" s="43"/>
      <c r="N30" s="37" t="s">
        <v>175</v>
      </c>
      <c r="O30" s="38"/>
      <c r="P30" s="38" t="s">
        <v>49</v>
      </c>
      <c r="Q30" s="38"/>
      <c r="R30" s="38"/>
      <c r="S30" s="83" t="n">
        <f aca="false">$V30*S$5</f>
        <v>1710.654</v>
      </c>
      <c r="T30" s="83" t="n">
        <f aca="false">$V30*T$5</f>
        <v>1710.654</v>
      </c>
      <c r="U30" s="83" t="n">
        <f aca="false">$V30*U$5</f>
        <v>2280.872</v>
      </c>
      <c r="V30" s="134" t="n">
        <f aca="false">709.984+4992.196</f>
        <v>5702.18</v>
      </c>
      <c r="X30" s="37" t="s">
        <v>100</v>
      </c>
      <c r="Y30" s="79" t="n">
        <f aca="false">IF(AB30=0,0,AB30+ROUND(((Startops3-Fin_Close)/365),2))</f>
        <v>1.92</v>
      </c>
      <c r="Z30" s="23"/>
      <c r="AA30" s="77" t="s">
        <v>101</v>
      </c>
      <c r="AB30" s="80" t="n">
        <v>1</v>
      </c>
    </row>
    <row r="31" customFormat="false" ht="12.75" hidden="false" customHeight="false" outlineLevel="0" collapsed="false">
      <c r="A31" s="37" t="s">
        <v>176</v>
      </c>
      <c r="B31" s="38"/>
      <c r="C31" s="135" t="s">
        <v>177</v>
      </c>
      <c r="D31" s="135"/>
      <c r="E31" s="135"/>
      <c r="F31" s="136" t="s">
        <v>178</v>
      </c>
      <c r="H31" s="37" t="s">
        <v>179</v>
      </c>
      <c r="I31" s="38"/>
      <c r="J31" s="51" t="n">
        <v>0.15</v>
      </c>
      <c r="K31" s="52" t="s">
        <v>174</v>
      </c>
      <c r="L31" s="43"/>
      <c r="N31" s="90" t="s">
        <v>180</v>
      </c>
      <c r="O31" s="66"/>
      <c r="P31" s="66"/>
      <c r="Q31" s="66"/>
      <c r="R31" s="66"/>
      <c r="S31" s="91" t="n">
        <f aca="false">SUM(S23:S30)</f>
        <v>21908.8524927178</v>
      </c>
      <c r="T31" s="91" t="n">
        <f aca="false">SUM(T23:T30)</f>
        <v>21908.8524927178</v>
      </c>
      <c r="U31" s="91" t="n">
        <f aca="false">SUM(U23:U30)</f>
        <v>29211.8033236237</v>
      </c>
      <c r="V31" s="92" t="n">
        <f aca="false">SUM(S31:U31)</f>
        <v>73029.5083090593</v>
      </c>
      <c r="X31" s="37" t="s">
        <v>108</v>
      </c>
      <c r="Y31" s="109"/>
      <c r="Z31" s="109"/>
      <c r="AA31" s="23" t="n">
        <v>0</v>
      </c>
      <c r="AB31" s="43" t="n">
        <f aca="false">IF(AB27=0,0,ROUND(Y29/2+(Term_C3/12),1))</f>
        <v>9.2</v>
      </c>
    </row>
    <row r="32" customFormat="false" ht="12.75" hidden="false" customHeight="false" outlineLevel="0" collapsed="false">
      <c r="A32" s="37" t="s">
        <v>181</v>
      </c>
      <c r="B32" s="38"/>
      <c r="C32" s="135" t="s">
        <v>177</v>
      </c>
      <c r="D32" s="135"/>
      <c r="E32" s="135"/>
      <c r="F32" s="136" t="s">
        <v>182</v>
      </c>
      <c r="H32" s="37" t="s">
        <v>183</v>
      </c>
      <c r="I32" s="38"/>
      <c r="J32" s="51" t="n">
        <v>0.1</v>
      </c>
      <c r="K32" s="52" t="s">
        <v>184</v>
      </c>
      <c r="L32" s="43"/>
      <c r="N32" s="65"/>
      <c r="O32" s="67"/>
      <c r="P32" s="67"/>
      <c r="Q32" s="67"/>
      <c r="R32" s="67"/>
      <c r="S32" s="98"/>
      <c r="T32" s="98"/>
      <c r="U32" s="98"/>
      <c r="V32" s="68"/>
      <c r="X32" s="37" t="s">
        <v>113</v>
      </c>
      <c r="Y32" s="93" t="n">
        <v>0.0677</v>
      </c>
      <c r="Z32" s="93" t="n">
        <v>0.025</v>
      </c>
      <c r="AA32" s="23"/>
      <c r="AB32" s="94" t="n">
        <f aca="false">RAROC!D92</f>
        <v>0.0927</v>
      </c>
    </row>
    <row r="33" customFormat="false" ht="13.5" hidden="false" customHeight="false" outlineLevel="0" collapsed="false">
      <c r="A33" s="37" t="s">
        <v>185</v>
      </c>
      <c r="B33" s="38"/>
      <c r="C33" s="135" t="s">
        <v>177</v>
      </c>
      <c r="D33" s="135"/>
      <c r="E33" s="135"/>
      <c r="F33" s="137" t="s">
        <v>186</v>
      </c>
      <c r="H33" s="70" t="s">
        <v>187</v>
      </c>
      <c r="I33" s="71"/>
      <c r="J33" s="138" t="n">
        <v>0.087</v>
      </c>
      <c r="K33" s="139" t="s">
        <v>188</v>
      </c>
      <c r="L33" s="74"/>
      <c r="N33" s="37" t="s">
        <v>189</v>
      </c>
      <c r="O33" s="102" t="n">
        <v>14055.9197342</v>
      </c>
      <c r="P33" s="116" t="s">
        <v>140</v>
      </c>
      <c r="Q33" s="102" t="n">
        <v>0</v>
      </c>
      <c r="R33" s="67"/>
      <c r="S33" s="53" t="n">
        <f aca="false">$V33*S$5</f>
        <v>4216.77592026</v>
      </c>
      <c r="T33" s="53" t="n">
        <f aca="false">$V33*T$5</f>
        <v>4216.77592026</v>
      </c>
      <c r="U33" s="53" t="n">
        <f aca="false">$V33*U$5</f>
        <v>5622.36789368</v>
      </c>
      <c r="V33" s="54" t="n">
        <f aca="false">SUM(O33,Q33)</f>
        <v>14055.9197342</v>
      </c>
      <c r="X33" s="37" t="s">
        <v>96</v>
      </c>
      <c r="Y33" s="109"/>
      <c r="Z33" s="109"/>
      <c r="AA33" s="23"/>
      <c r="AB33" s="99" t="n">
        <v>0.015</v>
      </c>
    </row>
    <row r="34" customFormat="false" ht="13.5" hidden="false" customHeight="false" outlineLevel="0" collapsed="false">
      <c r="A34" s="132" t="s">
        <v>190</v>
      </c>
      <c r="B34" s="38"/>
      <c r="C34" s="38"/>
      <c r="D34" s="38"/>
      <c r="E34" s="38"/>
      <c r="F34" s="140"/>
      <c r="N34" s="37" t="s">
        <v>191</v>
      </c>
      <c r="O34" s="141"/>
      <c r="P34" s="141"/>
      <c r="Q34" s="38"/>
      <c r="R34" s="38"/>
      <c r="S34" s="53" t="n">
        <f aca="false">$V34*S$5</f>
        <v>1962</v>
      </c>
      <c r="T34" s="53" t="n">
        <f aca="false">$V34*T$5</f>
        <v>1962</v>
      </c>
      <c r="U34" s="53" t="n">
        <f aca="false">$V34*U$5</f>
        <v>2616</v>
      </c>
      <c r="V34" s="75" t="n">
        <f aca="false">7918-2883+1505</f>
        <v>6540</v>
      </c>
      <c r="X34" s="103" t="s">
        <v>102</v>
      </c>
      <c r="Y34" s="123"/>
      <c r="Z34" s="123"/>
      <c r="AA34" s="104"/>
      <c r="AB34" s="105" t="n">
        <v>0.0025</v>
      </c>
    </row>
    <row r="35" customFormat="false" ht="13.5" hidden="false" customHeight="false" outlineLevel="0" collapsed="false">
      <c r="A35" s="37" t="s">
        <v>192</v>
      </c>
      <c r="B35" s="38"/>
      <c r="C35" s="135" t="s">
        <v>177</v>
      </c>
      <c r="D35" s="135"/>
      <c r="E35" s="135"/>
      <c r="F35" s="137" t="s">
        <v>186</v>
      </c>
      <c r="H35" s="24" t="s">
        <v>193</v>
      </c>
      <c r="I35" s="28"/>
      <c r="J35" s="28"/>
      <c r="K35" s="126" t="s">
        <v>194</v>
      </c>
      <c r="L35" s="142" t="n">
        <v>1</v>
      </c>
      <c r="N35" s="37" t="s">
        <v>195</v>
      </c>
      <c r="O35" s="141"/>
      <c r="P35" s="141"/>
      <c r="Q35" s="38"/>
      <c r="R35" s="38"/>
      <c r="S35" s="83" t="n">
        <f aca="false">$V35*S$5</f>
        <v>29.1</v>
      </c>
      <c r="T35" s="83" t="n">
        <f aca="false">$V35*T$5</f>
        <v>29.1</v>
      </c>
      <c r="U35" s="83" t="n">
        <f aca="false">$V35*U$5</f>
        <v>38.8</v>
      </c>
      <c r="V35" s="134" t="n">
        <v>97</v>
      </c>
      <c r="X35" s="90" t="s">
        <v>196</v>
      </c>
      <c r="Y35" s="109" t="s">
        <v>197</v>
      </c>
      <c r="Z35" s="76" t="n">
        <v>0</v>
      </c>
      <c r="AB35" s="110"/>
    </row>
    <row r="36" customFormat="false" ht="13.5" hidden="false" customHeight="false" outlineLevel="0" collapsed="false">
      <c r="A36" s="70" t="s">
        <v>198</v>
      </c>
      <c r="B36" s="71"/>
      <c r="C36" s="143" t="s">
        <v>177</v>
      </c>
      <c r="D36" s="143"/>
      <c r="E36" s="143"/>
      <c r="F36" s="144" t="s">
        <v>199</v>
      </c>
      <c r="H36" s="37" t="s">
        <v>200</v>
      </c>
      <c r="I36" s="38"/>
      <c r="J36" s="38"/>
      <c r="K36" s="38"/>
      <c r="L36" s="43"/>
      <c r="N36" s="90" t="s">
        <v>201</v>
      </c>
      <c r="O36" s="66"/>
      <c r="P36" s="66"/>
      <c r="Q36" s="66"/>
      <c r="R36" s="66"/>
      <c r="S36" s="91" t="n">
        <f aca="false">SUM(S33:S35)</f>
        <v>6207.87592026</v>
      </c>
      <c r="T36" s="91" t="n">
        <f aca="false">SUM(T33:T35)</f>
        <v>6207.87592026</v>
      </c>
      <c r="U36" s="91" t="n">
        <f aca="false">SUM(U33:U35)</f>
        <v>8277.16789368</v>
      </c>
      <c r="V36" s="92" t="n">
        <f aca="false">SUM(S36:U36)</f>
        <v>20692.9197342</v>
      </c>
      <c r="X36" s="65" t="s">
        <v>81</v>
      </c>
      <c r="Y36" s="109"/>
      <c r="Z36" s="109"/>
      <c r="AA36" s="63" t="n">
        <f aca="false">AB36/Est_Cost1</f>
        <v>0</v>
      </c>
      <c r="AB36" s="145" t="n">
        <f aca="false">(Est_Cost1*(100%-Equityperc)-SUM(AB$9,AB$18,AB$27,AB$45))*Z$35</f>
        <v>0</v>
      </c>
    </row>
    <row r="37" customFormat="false" ht="13.5" hidden="false" customHeight="false" outlineLevel="0" collapsed="false">
      <c r="H37" s="37" t="s">
        <v>202</v>
      </c>
      <c r="I37" s="38"/>
      <c r="J37" s="38"/>
      <c r="K37" s="38"/>
      <c r="L37" s="43"/>
      <c r="N37" s="65"/>
      <c r="O37" s="67"/>
      <c r="P37" s="67"/>
      <c r="Q37" s="67"/>
      <c r="R37" s="67"/>
      <c r="S37" s="98"/>
      <c r="T37" s="98"/>
      <c r="U37" s="98"/>
      <c r="V37" s="68"/>
      <c r="X37" s="65" t="s">
        <v>87</v>
      </c>
      <c r="Y37" s="109"/>
      <c r="Z37" s="109"/>
      <c r="AA37" s="109"/>
      <c r="AB37" s="69" t="n">
        <v>2</v>
      </c>
    </row>
    <row r="38" customFormat="false" ht="13.5" hidden="false" customHeight="false" outlineLevel="0" collapsed="false">
      <c r="A38" s="24" t="s">
        <v>203</v>
      </c>
      <c r="B38" s="28"/>
      <c r="C38" s="28"/>
      <c r="D38" s="28"/>
      <c r="E38" s="126" t="s">
        <v>204</v>
      </c>
      <c r="F38" s="127" t="n">
        <v>1998</v>
      </c>
      <c r="H38" s="37" t="s">
        <v>205</v>
      </c>
      <c r="I38" s="38"/>
      <c r="J38" s="38"/>
      <c r="K38" s="38"/>
      <c r="L38" s="43"/>
      <c r="N38" s="37" t="s">
        <v>206</v>
      </c>
      <c r="O38" s="52"/>
      <c r="P38" s="116" t="str">
        <f aca="false">IF($F$79=0,"Included In Project Costs","Funded Through W/C Facility")</f>
        <v>Included In Project Costs</v>
      </c>
      <c r="Q38" s="38"/>
      <c r="R38" s="38"/>
      <c r="S38" s="53" t="n">
        <f aca="false">$V38*S$5</f>
        <v>0</v>
      </c>
      <c r="T38" s="53" t="n">
        <f aca="false">$V38*T$5</f>
        <v>0</v>
      </c>
      <c r="U38" s="53" t="n">
        <f aca="false">$V38*U$5</f>
        <v>0</v>
      </c>
      <c r="V38" s="54" t="n">
        <f aca="false">IF($F$79=0,C86,IF($F$79=2,-C88,0))</f>
        <v>0</v>
      </c>
      <c r="X38" s="37" t="s">
        <v>94</v>
      </c>
      <c r="Y38" s="76" t="n">
        <v>16</v>
      </c>
      <c r="Z38" s="23"/>
      <c r="AA38" s="77" t="s">
        <v>95</v>
      </c>
      <c r="AB38" s="43" t="n">
        <f aca="false">IF(Y38=0,0,Y38-ROUND(((Startops3-Fin_Close)/365),0)+AB39/2)*2</f>
        <v>31</v>
      </c>
    </row>
    <row r="39" customFormat="false" ht="12.75" hidden="false" customHeight="false" outlineLevel="0" collapsed="false">
      <c r="A39" s="37"/>
      <c r="B39" s="38"/>
      <c r="C39" s="38"/>
      <c r="D39" s="38"/>
      <c r="E39" s="38"/>
      <c r="F39" s="43"/>
      <c r="H39" s="146" t="s">
        <v>207</v>
      </c>
      <c r="I39" s="76" t="n">
        <v>2013</v>
      </c>
      <c r="K39" s="38"/>
      <c r="L39" s="43"/>
      <c r="N39" s="37" t="s">
        <v>208</v>
      </c>
      <c r="O39" s="52"/>
      <c r="P39" s="131" t="s">
        <v>49</v>
      </c>
      <c r="Q39" s="131"/>
      <c r="R39" s="38"/>
      <c r="S39" s="53" t="n">
        <f aca="false">$V39*S$5</f>
        <v>1363.3482</v>
      </c>
      <c r="T39" s="53" t="n">
        <f aca="false">$V39*T$5</f>
        <v>1363.3482</v>
      </c>
      <c r="U39" s="53" t="n">
        <f aca="false">$V39*U$5</f>
        <v>1817.7976</v>
      </c>
      <c r="V39" s="75" t="n">
        <v>4544.494</v>
      </c>
      <c r="X39" s="37" t="s">
        <v>100</v>
      </c>
      <c r="Y39" s="79" t="n">
        <f aca="false">IF(AB39=0,0,AB39+ROUND(((Startops3-Fin_Close)/365),2))</f>
        <v>1.92</v>
      </c>
      <c r="Z39" s="23"/>
      <c r="AA39" s="77" t="s">
        <v>101</v>
      </c>
      <c r="AB39" s="80" t="n">
        <v>1</v>
      </c>
    </row>
    <row r="40" customFormat="false" ht="12.75" hidden="false" customHeight="false" outlineLevel="0" collapsed="false">
      <c r="A40" s="130" t="s">
        <v>209</v>
      </c>
      <c r="B40" s="38"/>
      <c r="C40" s="38"/>
      <c r="D40" s="38"/>
      <c r="E40" s="38"/>
      <c r="F40" s="133" t="s">
        <v>172</v>
      </c>
      <c r="H40" s="37"/>
      <c r="I40" s="38"/>
      <c r="J40" s="38"/>
      <c r="K40" s="38"/>
      <c r="L40" s="43"/>
      <c r="M40" s="147" t="n">
        <v>1</v>
      </c>
      <c r="N40" s="37" t="s">
        <v>210</v>
      </c>
      <c r="O40" s="52"/>
      <c r="P40" s="131" t="s">
        <v>49</v>
      </c>
      <c r="Q40" s="131"/>
      <c r="R40" s="38"/>
      <c r="S40" s="83" t="n">
        <f aca="false">$V40*S$5</f>
        <v>30</v>
      </c>
      <c r="T40" s="83" t="n">
        <f aca="false">$V40*T$5</f>
        <v>30</v>
      </c>
      <c r="U40" s="83" t="n">
        <f aca="false">$V40*U$5</f>
        <v>40</v>
      </c>
      <c r="V40" s="134" t="n">
        <v>100</v>
      </c>
      <c r="X40" s="65" t="s">
        <v>108</v>
      </c>
      <c r="Y40" s="109"/>
      <c r="Z40" s="109"/>
      <c r="AA40" s="109" t="n">
        <v>0</v>
      </c>
      <c r="AB40" s="43" t="n">
        <f aca="false">IF(AB36=0,0,ROUND(Y38/2+(Term_C3/12),1))</f>
        <v>0</v>
      </c>
    </row>
    <row r="41" customFormat="false" ht="12.75" hidden="false" customHeight="false" outlineLevel="0" collapsed="false">
      <c r="A41" s="37" t="s">
        <v>211</v>
      </c>
      <c r="B41" s="148" t="n">
        <v>10400</v>
      </c>
      <c r="C41" s="23" t="s">
        <v>212</v>
      </c>
      <c r="D41" s="38"/>
      <c r="E41" s="101" t="n">
        <v>360.4</v>
      </c>
      <c r="F41" s="136" t="s">
        <v>213</v>
      </c>
      <c r="H41" s="37" t="s">
        <v>214</v>
      </c>
      <c r="I41" s="149" t="n">
        <v>1998</v>
      </c>
      <c r="J41" s="149" t="n">
        <v>2004</v>
      </c>
      <c r="K41" s="149" t="n">
        <v>2009</v>
      </c>
      <c r="L41" s="43"/>
      <c r="M41" s="147" t="n">
        <f aca="false">M40+1</f>
        <v>2</v>
      </c>
      <c r="N41" s="90" t="s">
        <v>215</v>
      </c>
      <c r="O41" s="66"/>
      <c r="P41" s="66"/>
      <c r="Q41" s="66"/>
      <c r="R41" s="66"/>
      <c r="S41" s="91" t="n">
        <f aca="false">SUM(S38:S40)</f>
        <v>1393.3482</v>
      </c>
      <c r="T41" s="91" t="n">
        <f aca="false">SUM(T38:T40)</f>
        <v>1393.3482</v>
      </c>
      <c r="U41" s="91" t="n">
        <f aca="false">SUM(U38:U40)</f>
        <v>1857.7976</v>
      </c>
      <c r="V41" s="92" t="n">
        <f aca="false">SUM(S41:U41)</f>
        <v>4644.494</v>
      </c>
      <c r="X41" s="65" t="s">
        <v>113</v>
      </c>
      <c r="Y41" s="93" t="n">
        <v>0.1168</v>
      </c>
      <c r="Z41" s="93" t="n">
        <v>0.035</v>
      </c>
      <c r="AA41" s="109"/>
      <c r="AB41" s="120" t="n">
        <f aca="false">Z41+Y41</f>
        <v>0.1518</v>
      </c>
    </row>
    <row r="42" customFormat="false" ht="13.5" hidden="false" customHeight="false" outlineLevel="0" collapsed="false">
      <c r="A42" s="37" t="s">
        <v>216</v>
      </c>
      <c r="B42" s="148" t="n">
        <v>850</v>
      </c>
      <c r="C42" s="23" t="s">
        <v>217</v>
      </c>
      <c r="D42" s="38"/>
      <c r="E42" s="150" t="n">
        <f aca="false">1/B44</f>
        <v>0.0285064566554195</v>
      </c>
      <c r="F42" s="43"/>
      <c r="H42" s="70" t="s">
        <v>218</v>
      </c>
      <c r="I42" s="138" t="n">
        <v>0.75</v>
      </c>
      <c r="J42" s="138" t="n">
        <v>0.5</v>
      </c>
      <c r="K42" s="138" t="n">
        <v>0.25</v>
      </c>
      <c r="L42" s="74"/>
      <c r="N42" s="65"/>
      <c r="O42" s="67"/>
      <c r="P42" s="67"/>
      <c r="Q42" s="67"/>
      <c r="R42" s="67"/>
      <c r="S42" s="98"/>
      <c r="T42" s="98"/>
      <c r="U42" s="98"/>
      <c r="V42" s="68"/>
      <c r="X42" s="65" t="s">
        <v>96</v>
      </c>
      <c r="Y42" s="109"/>
      <c r="Z42" s="109"/>
      <c r="AA42" s="109"/>
      <c r="AB42" s="99" t="n">
        <v>0.01</v>
      </c>
    </row>
    <row r="43" customFormat="false" ht="13.5" hidden="false" customHeight="false" outlineLevel="0" collapsed="false">
      <c r="A43" s="37" t="s">
        <v>219</v>
      </c>
      <c r="B43" s="151" t="n">
        <f aca="false">3.9683</f>
        <v>3.9683</v>
      </c>
      <c r="C43" s="23" t="s">
        <v>220</v>
      </c>
      <c r="D43" s="38"/>
      <c r="E43" s="67" t="n">
        <f aca="false">E41*E42</f>
        <v>10.2737269786132</v>
      </c>
      <c r="F43" s="43"/>
      <c r="N43" s="37" t="s">
        <v>221</v>
      </c>
      <c r="O43" s="67"/>
      <c r="P43" s="141"/>
      <c r="Q43" s="38"/>
      <c r="R43" s="38"/>
      <c r="S43" s="53" t="n">
        <f aca="false">$V43*S$5</f>
        <v>0</v>
      </c>
      <c r="T43" s="53" t="n">
        <f aca="false">$V43*T$5</f>
        <v>0</v>
      </c>
      <c r="U43" s="53" t="n">
        <f aca="false">$V43*U$5</f>
        <v>0</v>
      </c>
      <c r="V43" s="75" t="n">
        <v>0</v>
      </c>
      <c r="X43" s="122" t="s">
        <v>102</v>
      </c>
      <c r="Y43" s="123"/>
      <c r="Z43" s="123"/>
      <c r="AA43" s="123"/>
      <c r="AB43" s="105" t="n">
        <v>0</v>
      </c>
    </row>
    <row r="44" customFormat="false" ht="13.5" hidden="false" customHeight="false" outlineLevel="0" collapsed="false">
      <c r="A44" s="37" t="s">
        <v>222</v>
      </c>
      <c r="B44" s="79" t="n">
        <f aca="false">B41*B42*B43/1000000</f>
        <v>35.079772</v>
      </c>
      <c r="C44" s="23" t="s">
        <v>223</v>
      </c>
      <c r="D44" s="38"/>
      <c r="E44" s="152" t="n">
        <f aca="false">E43/Exch</f>
        <v>9.64669199869784</v>
      </c>
      <c r="F44" s="136" t="s">
        <v>224</v>
      </c>
      <c r="H44" s="24" t="s">
        <v>225</v>
      </c>
      <c r="I44" s="28"/>
      <c r="J44" s="28"/>
      <c r="K44" s="28"/>
      <c r="L44" s="27"/>
      <c r="N44" s="37" t="s">
        <v>226</v>
      </c>
      <c r="O44" s="67"/>
      <c r="P44" s="116"/>
      <c r="Q44" s="38"/>
      <c r="R44" s="38"/>
      <c r="S44" s="53" t="n">
        <f aca="false">$V44*S$5</f>
        <v>1253.8225</v>
      </c>
      <c r="T44" s="53" t="n">
        <f aca="false">$V44*T$5</f>
        <v>1253.8225</v>
      </c>
      <c r="U44" s="53" t="n">
        <f aca="false">$V44*U$5</f>
        <v>1671.76333333333</v>
      </c>
      <c r="V44" s="75" t="n">
        <v>4179.40833333333</v>
      </c>
      <c r="X44" s="90" t="s">
        <v>227</v>
      </c>
      <c r="Y44" s="109"/>
      <c r="Z44" s="23"/>
      <c r="AA44" s="109"/>
      <c r="AB44" s="43"/>
    </row>
    <row r="45" customFormat="false" ht="12.75" hidden="false" customHeight="false" outlineLevel="0" collapsed="false">
      <c r="A45" s="37"/>
      <c r="B45" s="38"/>
      <c r="C45" s="23" t="s">
        <v>228</v>
      </c>
      <c r="D45" s="38"/>
      <c r="E45" s="38" t="n">
        <f aca="false">E44*Hr_I/1000000</f>
        <v>0.0974315891868482</v>
      </c>
      <c r="F45" s="43"/>
      <c r="H45" s="37" t="s">
        <v>229</v>
      </c>
      <c r="I45" s="38"/>
      <c r="J45" s="153" t="s">
        <v>230</v>
      </c>
      <c r="K45" s="38"/>
      <c r="L45" s="43"/>
      <c r="N45" s="37" t="s">
        <v>231</v>
      </c>
      <c r="O45" s="67"/>
      <c r="P45" s="116"/>
      <c r="Q45" s="38"/>
      <c r="R45" s="38"/>
      <c r="S45" s="83" t="n">
        <f aca="false">$V45*S$5</f>
        <v>0</v>
      </c>
      <c r="T45" s="83" t="n">
        <f aca="false">$V45*T$5</f>
        <v>0</v>
      </c>
      <c r="U45" s="83" t="n">
        <f aca="false">$V45*U$5</f>
        <v>0</v>
      </c>
      <c r="V45" s="134" t="n">
        <v>0</v>
      </c>
      <c r="X45" s="37" t="s">
        <v>81</v>
      </c>
      <c r="Y45" s="109"/>
      <c r="Z45" s="109"/>
      <c r="AA45" s="63" t="n">
        <f aca="false">AB45/Est_Cost1</f>
        <v>0.105704277253621</v>
      </c>
      <c r="AB45" s="154" t="n">
        <f aca="false">200000-[2]Assm!$X$9-[3]Assm!$X$9</f>
        <v>36351.1199110583</v>
      </c>
    </row>
    <row r="46" customFormat="false" ht="13.5" hidden="false" customHeight="false" outlineLevel="0" collapsed="false">
      <c r="A46" s="130" t="s">
        <v>232</v>
      </c>
      <c r="B46" s="38"/>
      <c r="C46" s="128"/>
      <c r="D46" s="38"/>
      <c r="E46" s="38"/>
      <c r="F46" s="155"/>
      <c r="H46" s="70" t="s">
        <v>233</v>
      </c>
      <c r="I46" s="71"/>
      <c r="J46" s="138" t="n">
        <v>0.37</v>
      </c>
      <c r="K46" s="71"/>
      <c r="L46" s="74"/>
      <c r="N46" s="90" t="s">
        <v>234</v>
      </c>
      <c r="O46" s="66"/>
      <c r="P46" s="66"/>
      <c r="Q46" s="66"/>
      <c r="R46" s="66"/>
      <c r="S46" s="91" t="n">
        <f aca="false">SUM(S43:S45)</f>
        <v>1253.8225</v>
      </c>
      <c r="T46" s="91" t="n">
        <f aca="false">SUM(T43:T45)</f>
        <v>1253.8225</v>
      </c>
      <c r="U46" s="91" t="n">
        <f aca="false">SUM(U43:U45)</f>
        <v>1671.76333333333</v>
      </c>
      <c r="V46" s="92" t="n">
        <f aca="false">SUM(S46:U46)</f>
        <v>4179.40833333333</v>
      </c>
      <c r="X46" s="37" t="s">
        <v>87</v>
      </c>
      <c r="Y46" s="109"/>
      <c r="Z46" s="109"/>
      <c r="AA46" s="23"/>
      <c r="AB46" s="69" t="n">
        <v>3</v>
      </c>
    </row>
    <row r="47" customFormat="false" ht="13.5" hidden="false" customHeight="false" outlineLevel="0" collapsed="false">
      <c r="A47" s="37" t="s">
        <v>235</v>
      </c>
      <c r="B47" s="38"/>
      <c r="C47" s="156" t="n">
        <v>1.21</v>
      </c>
      <c r="D47" s="38" t="s">
        <v>236</v>
      </c>
      <c r="E47" s="157"/>
      <c r="F47" s="137" t="s">
        <v>186</v>
      </c>
      <c r="N47" s="90"/>
      <c r="O47" s="66"/>
      <c r="P47" s="66"/>
      <c r="Q47" s="66"/>
      <c r="R47" s="66"/>
      <c r="S47" s="91"/>
      <c r="T47" s="91"/>
      <c r="U47" s="91"/>
      <c r="V47" s="92"/>
      <c r="X47" s="37" t="s">
        <v>94</v>
      </c>
      <c r="Y47" s="76" t="n">
        <v>15</v>
      </c>
      <c r="Z47" s="23"/>
      <c r="AA47" s="77" t="s">
        <v>95</v>
      </c>
      <c r="AB47" s="43" t="n">
        <f aca="false">IF(Y47=0,0,Y47-ROUND(((Startops3-Fin_Close)/365),0)+AB48/2)*2</f>
        <v>29</v>
      </c>
    </row>
    <row r="48" customFormat="false" ht="13.5" hidden="false" customHeight="false" outlineLevel="0" collapsed="false">
      <c r="A48" s="37" t="s">
        <v>237</v>
      </c>
      <c r="B48" s="38"/>
      <c r="C48" s="156" t="n">
        <v>0.25</v>
      </c>
      <c r="D48" s="38" t="s">
        <v>236</v>
      </c>
      <c r="E48" s="77"/>
      <c r="F48" s="136" t="s">
        <v>238</v>
      </c>
      <c r="H48" s="24" t="s">
        <v>239</v>
      </c>
      <c r="I48" s="28"/>
      <c r="J48" s="158" t="s">
        <v>240</v>
      </c>
      <c r="K48" s="158" t="s">
        <v>241</v>
      </c>
      <c r="L48" s="159" t="s">
        <v>242</v>
      </c>
      <c r="N48" s="160" t="s">
        <v>243</v>
      </c>
      <c r="O48" s="161"/>
      <c r="P48" s="161"/>
      <c r="Q48" s="162"/>
      <c r="R48" s="163"/>
      <c r="S48" s="164" t="n">
        <f aca="false">SUM(S14,S21,S31,S36,S41,S46)</f>
        <v>103168.350956621</v>
      </c>
      <c r="T48" s="164" t="n">
        <f aca="false">SUM(T14,T21,T31,T36,T41,T46)</f>
        <v>103168.350956621</v>
      </c>
      <c r="U48" s="164" t="n">
        <f aca="false">SUM(U14,U21,U31,U36,U41,U46)</f>
        <v>137557.801275494</v>
      </c>
      <c r="V48" s="165" t="n">
        <f aca="false">SUM(V14,V21,V31,V36,V41,V46)</f>
        <v>343894.503188736</v>
      </c>
      <c r="X48" s="37" t="s">
        <v>100</v>
      </c>
      <c r="Y48" s="79" t="n">
        <f aca="false">IF(AB48=0,0,AB48+ROUND(((Startops3-Fin_Close)/365),2))</f>
        <v>1.92</v>
      </c>
      <c r="Z48" s="23"/>
      <c r="AA48" s="77" t="s">
        <v>101</v>
      </c>
      <c r="AB48" s="80" t="n">
        <v>1</v>
      </c>
    </row>
    <row r="49" customFormat="false" ht="13.5" hidden="false" customHeight="false" outlineLevel="0" collapsed="false">
      <c r="A49" s="166" t="s">
        <v>244</v>
      </c>
      <c r="B49" s="38"/>
      <c r="C49" s="128"/>
      <c r="D49" s="38"/>
      <c r="E49" s="77"/>
      <c r="F49" s="155"/>
      <c r="H49" s="37"/>
      <c r="I49" s="38"/>
      <c r="J49" s="38"/>
      <c r="K49" s="38"/>
      <c r="L49" s="43"/>
      <c r="N49" s="95" t="s">
        <v>245</v>
      </c>
      <c r="O49" s="96"/>
      <c r="P49" s="96"/>
      <c r="Q49" s="96"/>
      <c r="R49" s="96"/>
      <c r="S49" s="167" t="n">
        <f aca="false">Cost_I/Capacity_I</f>
        <v>687.789006377472</v>
      </c>
      <c r="T49" s="167" t="n">
        <f aca="false">Cost_II/Capacity_II</f>
        <v>433.882679851693</v>
      </c>
      <c r="U49" s="167" t="n">
        <f aca="false">Cost_III/Capacity_III</f>
        <v>286.57875265728</v>
      </c>
      <c r="V49" s="168" t="n">
        <f aca="false">Tot_Cost/Capacity_III</f>
        <v>716.4468816432</v>
      </c>
      <c r="X49" s="37" t="s">
        <v>108</v>
      </c>
      <c r="Y49" s="109"/>
      <c r="Z49" s="109"/>
      <c r="AA49" s="23" t="n">
        <v>0</v>
      </c>
      <c r="AB49" s="43" t="n">
        <f aca="false">IF(AB45=0,0,ROUND(Y47/2+(Term_C3/12),1))</f>
        <v>11.2</v>
      </c>
    </row>
    <row r="50" customFormat="false" ht="13.5" hidden="false" customHeight="false" outlineLevel="0" collapsed="false">
      <c r="A50" s="37"/>
      <c r="B50" s="38"/>
      <c r="C50" s="128"/>
      <c r="D50" s="38"/>
      <c r="E50" s="77"/>
      <c r="F50" s="155"/>
      <c r="H50" s="37" t="s">
        <v>246</v>
      </c>
      <c r="I50" s="38" t="s">
        <v>51</v>
      </c>
      <c r="J50" s="169" t="n">
        <f aca="false">Depr!G21</f>
        <v>98794.9480000242</v>
      </c>
      <c r="K50" s="170" t="n">
        <v>20</v>
      </c>
      <c r="L50" s="171" t="s">
        <v>247</v>
      </c>
      <c r="X50" s="37" t="s">
        <v>113</v>
      </c>
      <c r="Y50" s="93" t="n">
        <v>0.063125</v>
      </c>
      <c r="Z50" s="93" t="n">
        <v>0.047</v>
      </c>
      <c r="AA50" s="23"/>
      <c r="AB50" s="94" t="n">
        <f aca="false">RAROC!E92</f>
        <v>0.1101</v>
      </c>
    </row>
    <row r="51" customFormat="false" ht="13.5" hidden="false" customHeight="false" outlineLevel="0" collapsed="false">
      <c r="A51" s="37" t="s">
        <v>248</v>
      </c>
      <c r="B51" s="38"/>
      <c r="C51" s="101" t="s">
        <v>249</v>
      </c>
      <c r="D51" s="172"/>
      <c r="E51" s="157"/>
      <c r="F51" s="136" t="s">
        <v>182</v>
      </c>
      <c r="H51" s="37"/>
      <c r="I51" s="38" t="s">
        <v>52</v>
      </c>
      <c r="J51" s="169" t="n">
        <f aca="false">Depr!H21</f>
        <v>98794.9480000242</v>
      </c>
      <c r="K51" s="170" t="n">
        <v>20</v>
      </c>
      <c r="L51" s="171" t="s">
        <v>247</v>
      </c>
      <c r="N51" s="173" t="s">
        <v>250</v>
      </c>
      <c r="O51" s="174"/>
      <c r="P51" s="28"/>
      <c r="Q51" s="28"/>
      <c r="R51" s="33"/>
      <c r="S51" s="33"/>
      <c r="T51" s="28"/>
      <c r="U51" s="28"/>
      <c r="V51" s="27"/>
      <c r="X51" s="37" t="s">
        <v>96</v>
      </c>
      <c r="Y51" s="109"/>
      <c r="Z51" s="109"/>
      <c r="AA51" s="23"/>
      <c r="AB51" s="99" t="n">
        <v>0.015</v>
      </c>
    </row>
    <row r="52" customFormat="false" ht="12.75" hidden="false" customHeight="false" outlineLevel="0" collapsed="false">
      <c r="A52" s="37"/>
      <c r="B52" s="38"/>
      <c r="C52" s="128"/>
      <c r="D52" s="38"/>
      <c r="E52" s="77"/>
      <c r="F52" s="155"/>
      <c r="H52" s="37"/>
      <c r="I52" s="38" t="s">
        <v>53</v>
      </c>
      <c r="J52" s="169" t="n">
        <f aca="false">Depr!I21</f>
        <v>131726.597333366</v>
      </c>
      <c r="K52" s="170" t="n">
        <v>20</v>
      </c>
      <c r="L52" s="171" t="s">
        <v>247</v>
      </c>
      <c r="N52" s="37"/>
      <c r="O52" s="38"/>
      <c r="P52" s="38"/>
      <c r="Q52" s="128" t="s">
        <v>251</v>
      </c>
      <c r="R52" s="175" t="s">
        <v>252</v>
      </c>
      <c r="S52" s="175" t="s">
        <v>66</v>
      </c>
      <c r="T52" s="175" t="s">
        <v>253</v>
      </c>
      <c r="U52" s="175" t="s">
        <v>254</v>
      </c>
      <c r="V52" s="176" t="s">
        <v>251</v>
      </c>
      <c r="X52" s="103" t="s">
        <v>102</v>
      </c>
      <c r="Y52" s="123"/>
      <c r="Z52" s="123"/>
      <c r="AA52" s="104"/>
      <c r="AB52" s="105" t="n">
        <v>0.005</v>
      </c>
    </row>
    <row r="53" customFormat="false" ht="12.75" hidden="false" customHeight="false" outlineLevel="0" collapsed="false">
      <c r="A53" s="130" t="s">
        <v>255</v>
      </c>
      <c r="B53" s="38"/>
      <c r="C53" s="128" t="s">
        <v>256</v>
      </c>
      <c r="D53" s="128" t="s">
        <v>257</v>
      </c>
      <c r="E53" s="128"/>
      <c r="F53" s="177"/>
      <c r="H53" s="65"/>
      <c r="I53" s="67"/>
      <c r="J53" s="67"/>
      <c r="K53" s="67"/>
      <c r="L53" s="178"/>
      <c r="N53" s="179"/>
      <c r="O53" s="180" t="s">
        <v>258</v>
      </c>
      <c r="P53" s="180" t="s">
        <v>259</v>
      </c>
      <c r="Q53" s="181" t="s">
        <v>260</v>
      </c>
      <c r="R53" s="180" t="s">
        <v>261</v>
      </c>
      <c r="S53" s="180" t="s">
        <v>262</v>
      </c>
      <c r="T53" s="180" t="s">
        <v>262</v>
      </c>
      <c r="U53" s="180" t="s">
        <v>262</v>
      </c>
      <c r="V53" s="182" t="s">
        <v>263</v>
      </c>
      <c r="W53" s="183"/>
      <c r="X53" s="90" t="s">
        <v>264</v>
      </c>
      <c r="Y53" s="109"/>
      <c r="Z53" s="109"/>
      <c r="AA53" s="109"/>
      <c r="AB53" s="110"/>
    </row>
    <row r="54" customFormat="false" ht="12.75" hidden="false" customHeight="false" outlineLevel="0" collapsed="false">
      <c r="A54" s="184" t="s">
        <v>261</v>
      </c>
      <c r="B54" s="181" t="s">
        <v>265</v>
      </c>
      <c r="C54" s="181" t="s">
        <v>262</v>
      </c>
      <c r="D54" s="181" t="s">
        <v>265</v>
      </c>
      <c r="E54" s="181" t="s">
        <v>266</v>
      </c>
      <c r="F54" s="185" t="s">
        <v>267</v>
      </c>
      <c r="H54" s="65" t="s">
        <v>268</v>
      </c>
      <c r="I54" s="38" t="s">
        <v>51</v>
      </c>
      <c r="J54" s="186" t="n">
        <f aca="false">Depr!J21</f>
        <v>98794.9480000242</v>
      </c>
      <c r="K54" s="170" t="n">
        <v>20</v>
      </c>
      <c r="L54" s="187" t="s">
        <v>247</v>
      </c>
      <c r="N54" s="37" t="s">
        <v>269</v>
      </c>
      <c r="O54" s="188" t="n">
        <v>36064</v>
      </c>
      <c r="P54" s="188" t="n">
        <v>36284</v>
      </c>
      <c r="Q54" s="189" t="n">
        <v>49577</v>
      </c>
      <c r="R54" s="188" t="n">
        <v>36255</v>
      </c>
      <c r="S54" s="190" t="n">
        <f aca="false">IF(R54&lt;O54,0,IF(R54&gt;P54,P54-O54,R54-O54))</f>
        <v>191</v>
      </c>
      <c r="T54" s="170" t="n">
        <f aca="false">-76</f>
        <v>-76</v>
      </c>
      <c r="U54" s="190" t="n">
        <f aca="false">SUM(S54:T54)</f>
        <v>115</v>
      </c>
      <c r="V54" s="191" t="n">
        <f aca="false">U54*$Q54/1000</f>
        <v>5701.355</v>
      </c>
      <c r="X54" s="65" t="s">
        <v>81</v>
      </c>
      <c r="Y54" s="109"/>
      <c r="Z54" s="109"/>
      <c r="AA54" s="63" t="n">
        <f aca="false">AB54/Est_Cost1</f>
        <v>0.14466591530675</v>
      </c>
      <c r="AB54" s="189" t="n">
        <f aca="false">IF(AB91=0,AB69,SUM(AB69:AB70)-AB95)</f>
        <v>49749.8130727587</v>
      </c>
      <c r="AC54" s="145" t="s">
        <v>270</v>
      </c>
    </row>
    <row r="55" customFormat="false" ht="13.5" hidden="false" customHeight="false" outlineLevel="0" collapsed="false">
      <c r="A55" s="192" t="n">
        <f aca="false">Startops3</f>
        <v>37104</v>
      </c>
      <c r="B55" s="193" t="n">
        <v>80800</v>
      </c>
      <c r="C55" s="193" t="n">
        <v>32</v>
      </c>
      <c r="D55" s="194" t="n">
        <f aca="false">B55*((365-C55)/365)</f>
        <v>73716.1643835616</v>
      </c>
      <c r="E55" s="195" t="n">
        <v>0.8</v>
      </c>
      <c r="F55" s="196" t="n">
        <f aca="false">D55*E55</f>
        <v>58972.9315068493</v>
      </c>
      <c r="H55" s="65"/>
      <c r="I55" s="38" t="s">
        <v>52</v>
      </c>
      <c r="J55" s="186" t="n">
        <f aca="false">Depr!K21</f>
        <v>98794.9480000242</v>
      </c>
      <c r="K55" s="170" t="n">
        <v>20</v>
      </c>
      <c r="L55" s="187" t="s">
        <v>247</v>
      </c>
      <c r="N55" s="37"/>
      <c r="O55" s="197" t="n">
        <f aca="false">P54+1</f>
        <v>36285</v>
      </c>
      <c r="P55" s="197" t="n">
        <f aca="false">EDATE(P54,12)</f>
        <v>36650</v>
      </c>
      <c r="Q55" s="189" t="n">
        <v>105948</v>
      </c>
      <c r="R55" s="198" t="n">
        <f aca="false">R54</f>
        <v>36255</v>
      </c>
      <c r="S55" s="190" t="n">
        <f aca="false">IF(R55&lt;O55,0,IF(R55&gt;P55,P55-O55,R55-O55))</f>
        <v>0</v>
      </c>
      <c r="T55" s="170" t="n">
        <v>0</v>
      </c>
      <c r="U55" s="190" t="n">
        <f aca="false">SUM(S55:T55)</f>
        <v>0</v>
      </c>
      <c r="V55" s="191" t="n">
        <f aca="false">U55*$Q55/1000</f>
        <v>0</v>
      </c>
      <c r="X55" s="65" t="s">
        <v>87</v>
      </c>
      <c r="Y55" s="109"/>
      <c r="Z55" s="109"/>
      <c r="AA55" s="109"/>
      <c r="AB55" s="69" t="n">
        <v>2</v>
      </c>
    </row>
    <row r="56" customFormat="false" ht="13.5" hidden="false" customHeight="false" outlineLevel="0" collapsed="false">
      <c r="H56" s="65"/>
      <c r="I56" s="38" t="s">
        <v>53</v>
      </c>
      <c r="J56" s="186" t="n">
        <f aca="false">Depr!L21</f>
        <v>131726.597333366</v>
      </c>
      <c r="K56" s="170" t="n">
        <v>20</v>
      </c>
      <c r="L56" s="187" t="s">
        <v>247</v>
      </c>
      <c r="N56" s="37"/>
      <c r="O56" s="38"/>
      <c r="P56" s="38"/>
      <c r="Q56" s="38"/>
      <c r="R56" s="38"/>
      <c r="S56" s="38"/>
      <c r="T56" s="38"/>
      <c r="U56" s="38"/>
      <c r="V56" s="199"/>
      <c r="X56" s="37" t="s">
        <v>94</v>
      </c>
      <c r="Y56" s="76" t="n">
        <v>12</v>
      </c>
      <c r="Z56" s="23"/>
      <c r="AA56" s="77" t="s">
        <v>95</v>
      </c>
      <c r="AB56" s="43" t="n">
        <f aca="false">IF(Y56=0,0,Y56-ROUND(((Startops3-Fin_Close)/365),0)+AB57/2)*2</f>
        <v>23</v>
      </c>
    </row>
    <row r="57" customFormat="false" ht="13.5" hidden="false" customHeight="false" outlineLevel="0" collapsed="false">
      <c r="A57" s="24" t="s">
        <v>271</v>
      </c>
      <c r="B57" s="28"/>
      <c r="C57" s="28"/>
      <c r="D57" s="28"/>
      <c r="E57" s="126" t="s">
        <v>272</v>
      </c>
      <c r="F57" s="200" t="n">
        <v>1998</v>
      </c>
      <c r="H57" s="65"/>
      <c r="I57" s="67"/>
      <c r="J57" s="119"/>
      <c r="K57" s="119"/>
      <c r="L57" s="178"/>
      <c r="N57" s="37" t="s">
        <v>273</v>
      </c>
      <c r="O57" s="188" t="n">
        <v>36737</v>
      </c>
      <c r="P57" s="188" t="n">
        <f aca="false">O57+154</f>
        <v>36891</v>
      </c>
      <c r="Q57" s="189" t="n">
        <v>140000</v>
      </c>
      <c r="R57" s="188" t="n">
        <v>36496</v>
      </c>
      <c r="S57" s="190" t="n">
        <f aca="false">IF(R57&lt;O57,0,IF(R57&gt;P57,P57-O57,R57-O57))</f>
        <v>0</v>
      </c>
      <c r="T57" s="170" t="n">
        <v>0</v>
      </c>
      <c r="U57" s="190" t="n">
        <f aca="false">SUM(S57:T57)</f>
        <v>0</v>
      </c>
      <c r="V57" s="191" t="n">
        <f aca="false">U57*$Q57/1000</f>
        <v>0</v>
      </c>
      <c r="X57" s="37" t="s">
        <v>100</v>
      </c>
      <c r="Y57" s="79" t="n">
        <f aca="false">IF(AB57=0,0,AB57+ROUND(((Startops3-Fin_Close)/365),2))</f>
        <v>1.92</v>
      </c>
      <c r="Z57" s="23"/>
      <c r="AA57" s="77" t="s">
        <v>101</v>
      </c>
      <c r="AB57" s="80" t="n">
        <v>1</v>
      </c>
      <c r="AD57" s="201"/>
    </row>
    <row r="58" customFormat="false" ht="12.75" hidden="false" customHeight="false" outlineLevel="0" collapsed="false">
      <c r="A58" s="37"/>
      <c r="C58" s="202"/>
      <c r="D58" s="79"/>
      <c r="E58" s="38"/>
      <c r="F58" s="43"/>
      <c r="G58" s="203" t="n">
        <v>1</v>
      </c>
      <c r="H58" s="65" t="s">
        <v>274</v>
      </c>
      <c r="I58" s="38" t="s">
        <v>51</v>
      </c>
      <c r="J58" s="186" t="n">
        <f aca="false">Depr!M21</f>
        <v>98794.9480000242</v>
      </c>
      <c r="K58" s="170" t="n">
        <v>20</v>
      </c>
      <c r="L58" s="187" t="s">
        <v>247</v>
      </c>
      <c r="N58" s="37"/>
      <c r="O58" s="197" t="n">
        <f aca="false">EDATE(O57,7)</f>
        <v>36950</v>
      </c>
      <c r="P58" s="197" t="n">
        <f aca="false">EDATE(P57,12)</f>
        <v>37256</v>
      </c>
      <c r="Q58" s="189" t="n">
        <v>386009</v>
      </c>
      <c r="R58" s="198" t="n">
        <f aca="false">R57</f>
        <v>36496</v>
      </c>
      <c r="S58" s="190" t="n">
        <f aca="false">IF(R58&lt;O58,0,IF(R58&gt;P58,P58-O58,R58-O58))</f>
        <v>0</v>
      </c>
      <c r="T58" s="170" t="n">
        <v>0</v>
      </c>
      <c r="U58" s="190" t="n">
        <f aca="false">SUM(S58:T58)</f>
        <v>0</v>
      </c>
      <c r="V58" s="191" t="n">
        <f aca="false">U58*$Q58/1000</f>
        <v>0</v>
      </c>
      <c r="X58" s="65" t="s">
        <v>108</v>
      </c>
      <c r="Y58" s="109"/>
      <c r="Z58" s="109"/>
      <c r="AA58" s="109" t="n">
        <v>0</v>
      </c>
      <c r="AB58" s="110" t="n">
        <f aca="false">IF(AB54=0,0,ROUND(AB56/2+(Term_C3/12),1))</f>
        <v>15.2</v>
      </c>
    </row>
    <row r="59" customFormat="false" ht="12.75" hidden="false" customHeight="false" outlineLevel="0" collapsed="false">
      <c r="A59" s="130" t="s">
        <v>275</v>
      </c>
      <c r="C59" s="45" t="n">
        <f aca="false">YEAR(Startops1)</f>
        <v>1999</v>
      </c>
      <c r="D59" s="45" t="n">
        <f aca="false">YEAR(Startops3)</f>
        <v>2001</v>
      </c>
      <c r="E59" s="45" t="n">
        <f aca="false">YEAR(Startops4)</f>
        <v>2002</v>
      </c>
      <c r="F59" s="133" t="s">
        <v>172</v>
      </c>
      <c r="G59" s="203" t="n">
        <f aca="false">G58+1</f>
        <v>2</v>
      </c>
      <c r="H59" s="65"/>
      <c r="I59" s="38" t="s">
        <v>52</v>
      </c>
      <c r="J59" s="186" t="n">
        <f aca="false">Depr!N21</f>
        <v>98794.9480000242</v>
      </c>
      <c r="K59" s="170" t="n">
        <v>20</v>
      </c>
      <c r="L59" s="187" t="s">
        <v>247</v>
      </c>
      <c r="N59" s="37"/>
      <c r="O59" s="38"/>
      <c r="P59" s="38"/>
      <c r="Q59" s="38"/>
      <c r="R59" s="38"/>
      <c r="S59" s="38"/>
      <c r="T59" s="38"/>
      <c r="U59" s="38"/>
      <c r="V59" s="199"/>
      <c r="X59" s="65" t="s">
        <v>276</v>
      </c>
      <c r="Y59" s="109"/>
      <c r="Z59" s="109"/>
      <c r="AA59" s="109"/>
      <c r="AB59" s="99" t="n">
        <v>0.13</v>
      </c>
    </row>
    <row r="60" customFormat="false" ht="13.5" hidden="false" customHeight="false" outlineLevel="0" collapsed="false">
      <c r="A60" s="37" t="s">
        <v>277</v>
      </c>
      <c r="C60" s="189" t="n">
        <f aca="false">1623.035*RAROC!$D$78</f>
        <v>1623.035</v>
      </c>
      <c r="D60" s="189" t="n">
        <f aca="false">(2000.28+120)*RAROC!$D$78</f>
        <v>2120.28</v>
      </c>
      <c r="E60" s="189" t="n">
        <f aca="false">(1645.57+120)*RAROC!$D$78</f>
        <v>1765.57</v>
      </c>
      <c r="F60" s="136" t="s">
        <v>278</v>
      </c>
      <c r="G60" s="203" t="n">
        <f aca="false">G59+1</f>
        <v>3</v>
      </c>
      <c r="H60" s="204"/>
      <c r="I60" s="205" t="s">
        <v>53</v>
      </c>
      <c r="J60" s="206" t="n">
        <f aca="false">Depr!O21</f>
        <v>131726.597333366</v>
      </c>
      <c r="K60" s="207" t="n">
        <v>20</v>
      </c>
      <c r="L60" s="208" t="s">
        <v>247</v>
      </c>
      <c r="N60" s="37" t="s">
        <v>279</v>
      </c>
      <c r="O60" s="188" t="n">
        <f aca="false">O57+155</f>
        <v>36892</v>
      </c>
      <c r="P60" s="188" t="n">
        <v>37015</v>
      </c>
      <c r="Q60" s="189" t="n">
        <v>115000</v>
      </c>
      <c r="R60" s="188" t="n">
        <v>36648</v>
      </c>
      <c r="S60" s="190" t="n">
        <f aca="false">IF(R60&lt;O60,0,IF(R60&gt;P60,P60-O60,R60-O60))</f>
        <v>0</v>
      </c>
      <c r="T60" s="170" t="n">
        <v>0</v>
      </c>
      <c r="U60" s="190" t="n">
        <f aca="false">SUM(S60:T60)</f>
        <v>0</v>
      </c>
      <c r="V60" s="191" t="n">
        <f aca="false">U60*$Q60/1000</f>
        <v>0</v>
      </c>
      <c r="X60" s="65" t="s">
        <v>96</v>
      </c>
      <c r="Y60" s="109"/>
      <c r="Z60" s="109"/>
      <c r="AA60" s="109"/>
      <c r="AB60" s="99" t="n">
        <v>0</v>
      </c>
    </row>
    <row r="61" customFormat="false" ht="13.5" hidden="false" customHeight="false" outlineLevel="0" collapsed="false">
      <c r="A61" s="37" t="s">
        <v>280</v>
      </c>
      <c r="C61" s="189" t="n">
        <f aca="false">692.502*RAROC!$D$78</f>
        <v>692.502</v>
      </c>
      <c r="D61" s="189" t="n">
        <f aca="false">706.359*RAROC!$D$78</f>
        <v>706.359</v>
      </c>
      <c r="E61" s="189" t="n">
        <f aca="false">727.959*RAROC!$D$78</f>
        <v>727.959</v>
      </c>
      <c r="F61" s="136" t="s">
        <v>278</v>
      </c>
      <c r="G61" s="203" t="n">
        <f aca="false">G60+1</f>
        <v>4</v>
      </c>
      <c r="N61" s="37"/>
      <c r="O61" s="197" t="n">
        <f aca="false">P60+1</f>
        <v>37016</v>
      </c>
      <c r="P61" s="197" t="n">
        <f aca="false">EDATE(P60,12)</f>
        <v>37380</v>
      </c>
      <c r="Q61" s="189" t="n">
        <v>181221</v>
      </c>
      <c r="R61" s="198" t="n">
        <f aca="false">R60</f>
        <v>36648</v>
      </c>
      <c r="S61" s="190" t="n">
        <f aca="false">IF(R61&lt;O61,0,IF(R61&gt;P61,P61-O61,R61-O61))</f>
        <v>0</v>
      </c>
      <c r="T61" s="170" t="n">
        <v>0</v>
      </c>
      <c r="U61" s="190" t="n">
        <f aca="false">SUM(S61:T61)</f>
        <v>0</v>
      </c>
      <c r="V61" s="191" t="n">
        <f aca="false">U61*$Q61/1000</f>
        <v>0</v>
      </c>
      <c r="X61" s="204" t="s">
        <v>102</v>
      </c>
      <c r="Y61" s="209"/>
      <c r="Z61" s="209"/>
      <c r="AA61" s="209"/>
      <c r="AB61" s="210" t="n">
        <v>0</v>
      </c>
    </row>
    <row r="62" customFormat="false" ht="13.5" hidden="false" customHeight="false" outlineLevel="0" collapsed="false">
      <c r="A62" s="37" t="s">
        <v>281</v>
      </c>
      <c r="C62" s="189" t="n">
        <f aca="false">874.148*RAROC!$D$78</f>
        <v>874.148</v>
      </c>
      <c r="D62" s="189" t="n">
        <f aca="false">874.148*RAROC!$D$78</f>
        <v>874.148</v>
      </c>
      <c r="E62" s="189" t="n">
        <f aca="false">874.148*RAROC!$D$78</f>
        <v>874.148</v>
      </c>
      <c r="F62" s="136" t="s">
        <v>278</v>
      </c>
      <c r="G62" s="203" t="n">
        <f aca="false">G61+1</f>
        <v>5</v>
      </c>
      <c r="H62" s="24" t="s">
        <v>282</v>
      </c>
      <c r="I62" s="28"/>
      <c r="J62" s="28"/>
      <c r="K62" s="28"/>
      <c r="L62" s="27"/>
      <c r="N62" s="37"/>
      <c r="O62" s="38"/>
      <c r="P62" s="38"/>
      <c r="Q62" s="38"/>
      <c r="R62" s="38"/>
      <c r="S62" s="38"/>
      <c r="T62" s="38"/>
      <c r="U62" s="38"/>
      <c r="V62" s="199"/>
    </row>
    <row r="63" customFormat="false" ht="13.5" hidden="false" customHeight="false" outlineLevel="0" collapsed="false">
      <c r="A63" s="37" t="s">
        <v>283</v>
      </c>
      <c r="C63" s="189" t="n">
        <f aca="false">0*RAROC!$D$78</f>
        <v>0</v>
      </c>
      <c r="D63" s="189" t="n">
        <f aca="false">337.5*RAROC!$D$78</f>
        <v>337.5</v>
      </c>
      <c r="E63" s="189" t="n">
        <f aca="false">337.5*RAROC!$D$78</f>
        <v>337.5</v>
      </c>
      <c r="F63" s="136" t="s">
        <v>278</v>
      </c>
      <c r="G63" s="203" t="n">
        <f aca="false">G62+1</f>
        <v>6</v>
      </c>
      <c r="H63" s="37" t="s">
        <v>284</v>
      </c>
      <c r="I63" s="38"/>
      <c r="J63" s="38"/>
      <c r="K63" s="38"/>
      <c r="L63" s="43"/>
      <c r="N63" s="37"/>
      <c r="O63" s="38"/>
      <c r="P63" s="38"/>
      <c r="Q63" s="38"/>
      <c r="R63" s="211" t="s">
        <v>285</v>
      </c>
      <c r="S63" s="38"/>
      <c r="T63" s="211" t="s">
        <v>286</v>
      </c>
      <c r="U63" s="38"/>
      <c r="V63" s="212" t="s">
        <v>287</v>
      </c>
      <c r="X63" s="24" t="s">
        <v>288</v>
      </c>
      <c r="Y63" s="28" t="s">
        <v>289</v>
      </c>
      <c r="Z63" s="28"/>
      <c r="AA63" s="28"/>
      <c r="AB63" s="213" t="n">
        <v>25</v>
      </c>
    </row>
    <row r="64" customFormat="false" ht="12.75" hidden="false" customHeight="false" outlineLevel="0" collapsed="false">
      <c r="A64" s="37" t="s">
        <v>290</v>
      </c>
      <c r="B64" s="214" t="n">
        <v>0.7</v>
      </c>
      <c r="C64" s="189" t="n">
        <f aca="false">286.375*$B64*RAROC!$D$78</f>
        <v>200.4625</v>
      </c>
      <c r="D64" s="189" t="n">
        <f aca="false">((1381.56+36.804)*$B64)*RAROC!$D$78</f>
        <v>992.8548</v>
      </c>
      <c r="E64" s="189" t="n">
        <f aca="false">(1597.595+36.804)*$B64*RAROC!$D$78</f>
        <v>1144.0793</v>
      </c>
      <c r="F64" s="136" t="s">
        <v>278</v>
      </c>
      <c r="G64" s="203" t="n">
        <f aca="false">G63+1</f>
        <v>7</v>
      </c>
      <c r="H64" s="37" t="s">
        <v>291</v>
      </c>
      <c r="I64" s="38"/>
      <c r="J64" s="215"/>
      <c r="K64" s="215"/>
      <c r="L64" s="216" t="n">
        <v>0</v>
      </c>
      <c r="N64" s="37" t="s">
        <v>292</v>
      </c>
      <c r="O64" s="38"/>
      <c r="Q64" s="38"/>
      <c r="R64" s="217" t="n">
        <f aca="false">MIN(T64,V64)</f>
        <v>5701.355</v>
      </c>
      <c r="S64" s="38"/>
      <c r="T64" s="189" t="n">
        <v>60000</v>
      </c>
      <c r="U64" s="23"/>
      <c r="V64" s="191" t="n">
        <f aca="false">SUM(V54:V61)</f>
        <v>5701.355</v>
      </c>
      <c r="X64" s="37"/>
      <c r="Y64" s="38" t="s">
        <v>293</v>
      </c>
      <c r="Z64" s="38"/>
      <c r="AA64" s="50" t="n">
        <v>0.5</v>
      </c>
      <c r="AB64" s="218" t="n">
        <f aca="false">AA64*AB63</f>
        <v>12.5</v>
      </c>
    </row>
    <row r="65" customFormat="false" ht="13.5" hidden="false" customHeight="false" outlineLevel="0" collapsed="false">
      <c r="A65" s="37" t="s">
        <v>294</v>
      </c>
      <c r="C65" s="219" t="n">
        <f aca="false">AVERAGE(Trapped!$F$61:$AA$61)</f>
        <v>215.768345454545</v>
      </c>
      <c r="D65" s="219" t="n">
        <f aca="false">AVERAGE(Trapped!$F$61:$AA$61)</f>
        <v>215.768345454545</v>
      </c>
      <c r="E65" s="219" t="n">
        <f aca="false">AVERAGE(Trapped!$F$61:$AA$61)</f>
        <v>215.768345454545</v>
      </c>
      <c r="F65" s="136" t="s">
        <v>278</v>
      </c>
      <c r="G65" s="203" t="n">
        <f aca="false">G64+1</f>
        <v>8</v>
      </c>
      <c r="H65" s="37" t="s">
        <v>295</v>
      </c>
      <c r="I65" s="38"/>
      <c r="J65" s="215"/>
      <c r="K65" s="215"/>
      <c r="L65" s="216" t="n">
        <v>1</v>
      </c>
      <c r="N65" s="37" t="s">
        <v>296</v>
      </c>
      <c r="O65" s="38"/>
      <c r="Q65" s="38"/>
      <c r="R65" s="220" t="n">
        <f aca="false">MIN(T65,V65)</f>
        <v>1600</v>
      </c>
      <c r="S65" s="38"/>
      <c r="T65" s="189" t="n">
        <v>53600</v>
      </c>
      <c r="U65" s="23"/>
      <c r="V65" s="221" t="n">
        <v>1600</v>
      </c>
      <c r="X65" s="70"/>
      <c r="Y65" s="71" t="s">
        <v>297</v>
      </c>
      <c r="Z65" s="71"/>
      <c r="AA65" s="222" t="n">
        <f aca="false">YEAR(Fin_Close)+$Y$47</f>
        <v>2015</v>
      </c>
      <c r="AB65" s="223"/>
    </row>
    <row r="66" customFormat="false" ht="13.5" hidden="false" customHeight="false" outlineLevel="0" collapsed="false">
      <c r="A66" s="37"/>
      <c r="C66" s="38"/>
      <c r="D66" s="38"/>
      <c r="E66" s="38"/>
      <c r="F66" s="224"/>
      <c r="G66" s="203" t="n">
        <f aca="false">G65+1</f>
        <v>9</v>
      </c>
      <c r="H66" s="37" t="s">
        <v>298</v>
      </c>
      <c r="I66" s="38"/>
      <c r="J66" s="215"/>
      <c r="K66" s="215"/>
      <c r="L66" s="216" t="n">
        <v>1</v>
      </c>
      <c r="N66" s="70" t="s">
        <v>299</v>
      </c>
      <c r="O66" s="71"/>
      <c r="P66" s="71"/>
      <c r="Q66" s="71"/>
      <c r="R66" s="225" t="n">
        <f aca="false">SUM(R64:R65)</f>
        <v>7301.355</v>
      </c>
      <c r="S66" s="71"/>
      <c r="T66" s="71"/>
      <c r="U66" s="226"/>
      <c r="V66" s="74"/>
    </row>
    <row r="67" customFormat="false" ht="13.5" hidden="false" customHeight="false" outlineLevel="0" collapsed="false">
      <c r="A67" s="130" t="s">
        <v>300</v>
      </c>
      <c r="C67" s="38"/>
      <c r="D67" s="38"/>
      <c r="E67" s="38"/>
      <c r="F67" s="224"/>
      <c r="G67" s="203" t="n">
        <f aca="false">G66+1</f>
        <v>10</v>
      </c>
      <c r="H67" s="37"/>
      <c r="I67" s="38"/>
      <c r="J67" s="215"/>
      <c r="K67" s="215"/>
      <c r="L67" s="227"/>
      <c r="X67" s="24" t="s">
        <v>301</v>
      </c>
      <c r="Y67" s="28"/>
      <c r="Z67" s="28"/>
      <c r="AA67" s="28"/>
      <c r="AB67" s="27"/>
    </row>
    <row r="68" customFormat="false" ht="13.5" hidden="false" customHeight="false" outlineLevel="0" collapsed="false">
      <c r="A68" s="37" t="s">
        <v>302</v>
      </c>
      <c r="C68" s="189" t="n">
        <f aca="false">450*RAROC!$D$78</f>
        <v>450</v>
      </c>
      <c r="D68" s="189" t="n">
        <f aca="false">900*RAROC!$D$78</f>
        <v>900</v>
      </c>
      <c r="E68" s="189" t="n">
        <f aca="false">900*RAROC!$D$78</f>
        <v>900</v>
      </c>
      <c r="F68" s="136" t="s">
        <v>182</v>
      </c>
      <c r="G68" s="203" t="n">
        <f aca="false">G67+1</f>
        <v>11</v>
      </c>
      <c r="H68" s="37" t="s">
        <v>303</v>
      </c>
      <c r="I68" s="38"/>
      <c r="J68" s="215"/>
      <c r="K68" s="215"/>
      <c r="L68" s="228" t="n">
        <v>0.05</v>
      </c>
      <c r="N68" s="173" t="s">
        <v>304</v>
      </c>
      <c r="O68" s="28"/>
      <c r="P68" s="28"/>
      <c r="Q68" s="28"/>
      <c r="R68" s="28"/>
      <c r="S68" s="28"/>
      <c r="T68" s="28"/>
      <c r="U68" s="28"/>
      <c r="V68" s="27"/>
      <c r="X68" s="37" t="s">
        <v>305</v>
      </c>
      <c r="Y68" s="38"/>
      <c r="Z68" s="53" t="n">
        <f aca="false">Tot_Cost*AA68</f>
        <v>201351.119911058</v>
      </c>
      <c r="AA68" s="229" t="n">
        <f aca="false">AB68/Est_Cost1</f>
        <v>0.585502583042314</v>
      </c>
      <c r="AB68" s="218" t="n">
        <f aca="false">SUM(AB9,AB18,AB27,AB36,AB45)</f>
        <v>201351.119911058</v>
      </c>
      <c r="AC68" s="230"/>
    </row>
    <row r="69" customFormat="false" ht="13.5" hidden="false" customHeight="false" outlineLevel="0" collapsed="false">
      <c r="A69" s="37" t="s">
        <v>306</v>
      </c>
      <c r="C69" s="189" t="n">
        <f aca="false">75*RAROC!$D$78</f>
        <v>75</v>
      </c>
      <c r="D69" s="189" t="n">
        <f aca="false">150*RAROC!$D$78</f>
        <v>150</v>
      </c>
      <c r="E69" s="189" t="n">
        <f aca="false">150*RAROC!$D$78</f>
        <v>150</v>
      </c>
      <c r="F69" s="136" t="s">
        <v>182</v>
      </c>
      <c r="G69" s="203" t="n">
        <f aca="false">G68+1</f>
        <v>12</v>
      </c>
      <c r="H69" s="70" t="s">
        <v>307</v>
      </c>
      <c r="I69" s="71"/>
      <c r="J69" s="231"/>
      <c r="K69" s="231"/>
      <c r="L69" s="232" t="n">
        <v>0.06</v>
      </c>
      <c r="N69" s="37"/>
      <c r="O69" s="38"/>
      <c r="P69" s="38"/>
      <c r="Q69" s="38"/>
      <c r="R69" s="38"/>
      <c r="S69" s="38"/>
      <c r="T69" s="44" t="s">
        <v>308</v>
      </c>
      <c r="U69" s="44" t="s">
        <v>309</v>
      </c>
      <c r="V69" s="233" t="s">
        <v>310</v>
      </c>
      <c r="X69" s="37" t="s">
        <v>311</v>
      </c>
      <c r="Y69" s="38"/>
      <c r="Z69" s="53" t="n">
        <f aca="false">Tot_Cost*AA69</f>
        <v>49749.8130727587</v>
      </c>
      <c r="AA69" s="229" t="n">
        <f aca="false">AB69/Est_Cost1</f>
        <v>0.14466591530675</v>
      </c>
      <c r="AB69" s="218" t="n">
        <f aca="false">Tot_Cost-AB68-AB70-AB71</f>
        <v>49749.8130727587</v>
      </c>
      <c r="AC69" s="230"/>
      <c r="AD69" s="1" t="n">
        <f aca="false">137.4*0.38</f>
        <v>52.212</v>
      </c>
    </row>
    <row r="70" customFormat="false" ht="13.5" hidden="false" customHeight="false" outlineLevel="0" collapsed="false">
      <c r="A70" s="37" t="s">
        <v>312</v>
      </c>
      <c r="C70" s="189" t="n">
        <v>0</v>
      </c>
      <c r="D70" s="189" t="n">
        <f aca="false">1390.002*RAROC!$D$78</f>
        <v>1390.002</v>
      </c>
      <c r="E70" s="189" t="n">
        <f aca="false">1390.002*RAROC!$D$78</f>
        <v>1390.002</v>
      </c>
      <c r="F70" s="136" t="s">
        <v>182</v>
      </c>
      <c r="G70" s="203" t="n">
        <f aca="false">G69+1</f>
        <v>13</v>
      </c>
      <c r="N70" s="55" t="s">
        <v>313</v>
      </c>
      <c r="O70" s="38"/>
      <c r="P70" s="38"/>
      <c r="Q70" s="38"/>
      <c r="R70" s="38"/>
      <c r="S70" s="38"/>
      <c r="T70" s="234" t="n">
        <f aca="false">[1]!EPE_Disc</f>
        <v>0.19</v>
      </c>
      <c r="U70" s="235" t="e">
        <f aca="false">'Project &amp; Investor Returns'!$C$23</f>
        <v>#N/A</v>
      </c>
      <c r="V70" s="236" t="n">
        <f aca="false">'Project &amp; Investor Returns'!$C$22</f>
        <v>-60978.6521944217</v>
      </c>
      <c r="X70" s="37" t="s">
        <v>314</v>
      </c>
      <c r="Y70" s="38"/>
      <c r="Z70" s="53" t="n">
        <f aca="false">Tot_Cost*AA70</f>
        <v>0</v>
      </c>
      <c r="AA70" s="229" t="n">
        <f aca="false">AB70/Est_Cost1</f>
        <v>0</v>
      </c>
      <c r="AB70" s="218" t="n">
        <f aca="false">AB95</f>
        <v>0</v>
      </c>
    </row>
    <row r="71" customFormat="false" ht="13.5" hidden="false" customHeight="false" outlineLevel="0" collapsed="false">
      <c r="A71" s="37" t="s">
        <v>290</v>
      </c>
      <c r="B71" s="237" t="n">
        <f aca="false">100%-B64</f>
        <v>0.3</v>
      </c>
      <c r="C71" s="189" t="n">
        <f aca="false">286.375*$B71*RAROC!$D$78</f>
        <v>85.9125</v>
      </c>
      <c r="D71" s="189" t="n">
        <f aca="false">(1381.56+36.804)*$B71*RAROC!$D$78</f>
        <v>425.5092</v>
      </c>
      <c r="E71" s="189" t="n">
        <f aca="false">(1597.595+36.804)*$B71*RAROC!$D$78</f>
        <v>490.3197</v>
      </c>
      <c r="F71" s="136" t="s">
        <v>182</v>
      </c>
      <c r="G71" s="203" t="n">
        <f aca="false">G70+1</f>
        <v>14</v>
      </c>
      <c r="H71" s="24" t="s">
        <v>315</v>
      </c>
      <c r="I71" s="28"/>
      <c r="J71" s="28"/>
      <c r="K71" s="28"/>
      <c r="L71" s="27"/>
      <c r="N71" s="37"/>
      <c r="O71" s="38"/>
      <c r="P71" s="38"/>
      <c r="Q71" s="38"/>
      <c r="R71" s="38"/>
      <c r="S71" s="38"/>
      <c r="T71" s="79"/>
      <c r="U71" s="93" t="n">
        <v>0.15</v>
      </c>
      <c r="V71" s="238" t="s">
        <v>316</v>
      </c>
      <c r="X71" s="37" t="s">
        <v>317</v>
      </c>
      <c r="Y71" s="38"/>
      <c r="Z71" s="83" t="n">
        <f aca="false">Tot_Cost*AA71</f>
        <v>92793.5702049191</v>
      </c>
      <c r="AA71" s="239" t="n">
        <f aca="false">IDC!$BA$77/Tot_Cost</f>
        <v>0.269831501650936</v>
      </c>
      <c r="AB71" s="240" t="n">
        <f aca="false">Tot_Cost*Equityperc</f>
        <v>92793.5702049191</v>
      </c>
    </row>
    <row r="72" customFormat="false" ht="12.75" hidden="false" customHeight="false" outlineLevel="0" collapsed="false">
      <c r="A72" s="37" t="s">
        <v>294</v>
      </c>
      <c r="C72" s="219" t="n">
        <f aca="false">AVERAGE(Trapped!$F$62:$AA$62)*(1+Duties_Maint)</f>
        <v>4409.70482</v>
      </c>
      <c r="D72" s="219" t="n">
        <f aca="false">AVERAGE(Trapped!$F$62:$AA$62)*(1+Duties_Maint)</f>
        <v>4409.70482</v>
      </c>
      <c r="E72" s="219" t="n">
        <f aca="false">AVERAGE(Trapped!$F$62:$AA$62)*(1+Duties_Maint)</f>
        <v>4409.70482</v>
      </c>
      <c r="F72" s="136" t="s">
        <v>182</v>
      </c>
      <c r="G72" s="203" t="n">
        <f aca="false">G71+1</f>
        <v>15</v>
      </c>
      <c r="H72" s="37" t="s">
        <v>318</v>
      </c>
      <c r="I72" s="38"/>
      <c r="J72" s="38"/>
      <c r="K72" s="38"/>
      <c r="L72" s="241" t="n">
        <v>1.065</v>
      </c>
      <c r="N72" s="37"/>
      <c r="O72" s="38"/>
      <c r="P72" s="38"/>
      <c r="Q72" s="38"/>
      <c r="R72" s="38"/>
      <c r="S72" s="38"/>
      <c r="T72" s="79"/>
      <c r="U72" s="79"/>
      <c r="V72" s="43"/>
      <c r="X72" s="103" t="s">
        <v>319</v>
      </c>
      <c r="Y72" s="242"/>
      <c r="Z72" s="243" t="n">
        <f aca="false">SUM(Z68:Z71)</f>
        <v>343894.503188736</v>
      </c>
      <c r="AA72" s="244" t="n">
        <f aca="false">SUM(AA68:AA71)</f>
        <v>1</v>
      </c>
      <c r="AB72" s="245" t="n">
        <f aca="false">SUM(AB68:AB71)</f>
        <v>343894.503188736</v>
      </c>
    </row>
    <row r="73" customFormat="false" ht="12.75" hidden="false" customHeight="false" outlineLevel="0" collapsed="false">
      <c r="A73" s="37"/>
      <c r="C73" s="38"/>
      <c r="D73" s="38"/>
      <c r="E73" s="38"/>
      <c r="F73" s="224"/>
      <c r="G73" s="203" t="n">
        <f aca="false">G72+1</f>
        <v>16</v>
      </c>
      <c r="H73" s="37" t="s">
        <v>320</v>
      </c>
      <c r="I73" s="38"/>
      <c r="J73" s="38"/>
      <c r="K73" s="38"/>
      <c r="L73" s="246" t="n">
        <v>36404</v>
      </c>
      <c r="N73" s="37" t="str">
        <f aca="false">H85</f>
        <v>Enron</v>
      </c>
      <c r="O73" s="38"/>
      <c r="P73" s="38"/>
      <c r="Q73" s="38"/>
      <c r="R73" s="38"/>
      <c r="S73" s="38"/>
      <c r="T73" s="229" t="n">
        <f aca="false">Disc</f>
        <v>0.19</v>
      </c>
      <c r="U73" s="229" t="e">
        <f aca="false">'Enron Returns'!C81</f>
        <v>#N/A</v>
      </c>
      <c r="V73" s="218" t="n">
        <f aca="false">'Enron Returns'!C80</f>
        <v>-53668.2258219276</v>
      </c>
      <c r="X73" s="247" t="s">
        <v>321</v>
      </c>
      <c r="Y73" s="248"/>
      <c r="Z73" s="248"/>
      <c r="AA73" s="248"/>
      <c r="AB73" s="249" t="n">
        <f aca="false">MAX(AB11,AB20,AB38,AB47)</f>
        <v>31</v>
      </c>
    </row>
    <row r="74" customFormat="false" ht="12.75" hidden="false" customHeight="false" outlineLevel="0" collapsed="false">
      <c r="A74" s="130" t="s">
        <v>322</v>
      </c>
      <c r="C74" s="38"/>
      <c r="D74" s="38"/>
      <c r="E74" s="38"/>
      <c r="F74" s="224"/>
      <c r="G74" s="203" t="n">
        <f aca="false">G73+1</f>
        <v>17</v>
      </c>
      <c r="H74" s="37" t="s">
        <v>323</v>
      </c>
      <c r="I74" s="38"/>
      <c r="J74" s="38"/>
      <c r="K74" s="38"/>
      <c r="L74" s="241" t="n">
        <v>0</v>
      </c>
      <c r="N74" s="37" t="str">
        <f aca="false">H86</f>
        <v>Shell</v>
      </c>
      <c r="O74" s="38"/>
      <c r="P74" s="38"/>
      <c r="Q74" s="38"/>
      <c r="R74" s="38"/>
      <c r="S74" s="38"/>
      <c r="T74" s="229" t="n">
        <f aca="false">Disc</f>
        <v>0.19</v>
      </c>
      <c r="U74" s="229" t="e">
        <f aca="false">'Shell &amp; Trans Returns'!C52</f>
        <v>#N/A</v>
      </c>
      <c r="V74" s="218" t="n">
        <f aca="false">'Shell &amp; Trans Returns'!C51</f>
        <v>-20458.8026783121</v>
      </c>
      <c r="X74" s="146" t="s">
        <v>324</v>
      </c>
      <c r="Z74" s="250" t="n">
        <f aca="false">IF(Tot_Debt=0,0,(($AB9*Y14)+($AB18*Y23)+($AB27*Y32)+($AB36*Y41)+($AB45*Y50))/Tot_Debt)</f>
        <v>0.0673268018095639</v>
      </c>
      <c r="AA74" s="250" t="n">
        <f aca="false">IF(Tot_Debt=0,0,(($AB9*Z14)+($AB18*Z23)+($AB27*Z32)+($AB36*Z41)+($AB45*Z50))/Tot_Debt)</f>
        <v>0.014518494543815</v>
      </c>
      <c r="AB74" s="251" t="n">
        <f aca="false">SUM(Z74:AA74)</f>
        <v>0.0818452963533789</v>
      </c>
    </row>
    <row r="75" customFormat="false" ht="13.5" hidden="false" customHeight="false" outlineLevel="0" collapsed="false">
      <c r="A75" s="37" t="s">
        <v>325</v>
      </c>
      <c r="C75" s="189" t="n">
        <f aca="false">75*RAROC!$D$78</f>
        <v>75</v>
      </c>
      <c r="D75" s="189" t="n">
        <f aca="false">(616.96+109.111)*RAROC!$D$78</f>
        <v>726.071</v>
      </c>
      <c r="E75" s="189" t="n">
        <f aca="false">(616.96+109.111)*RAROC!$D$78</f>
        <v>726.071</v>
      </c>
      <c r="F75" s="136" t="s">
        <v>278</v>
      </c>
      <c r="G75" s="203" t="n">
        <f aca="false">G74+1</f>
        <v>18</v>
      </c>
      <c r="H75" s="70" t="s">
        <v>326</v>
      </c>
      <c r="I75" s="71"/>
      <c r="J75" s="71"/>
      <c r="K75" s="71"/>
      <c r="L75" s="144" t="n">
        <v>1</v>
      </c>
      <c r="N75" s="37" t="str">
        <f aca="false">H87</f>
        <v>Transredes</v>
      </c>
      <c r="O75" s="38"/>
      <c r="P75" s="38"/>
      <c r="Q75" s="38"/>
      <c r="R75" s="38"/>
      <c r="S75" s="38"/>
      <c r="T75" s="229" t="n">
        <f aca="false">Disc</f>
        <v>0.19</v>
      </c>
      <c r="U75" s="229" t="e">
        <f aca="false">'Shell &amp; Trans Returns'!C97</f>
        <v>#N/A</v>
      </c>
      <c r="V75" s="218" t="n">
        <f aca="false">'Shell &amp; Trans Returns'!C96</f>
        <v>-11690.7443876069</v>
      </c>
      <c r="X75" s="37" t="s">
        <v>327</v>
      </c>
      <c r="Y75" s="38"/>
      <c r="Z75" s="38"/>
      <c r="AA75" s="38"/>
      <c r="AB75" s="252" t="n">
        <f aca="false">IF(Tot_Debt=0,0,(($AB$9*$AB15)+($AB$18*$AB24)+($AB$27*$AB33)+($AB$36*$AB42)+($AB$45*$AB51))/Tot_Debt)</f>
        <v>0.146646896285995</v>
      </c>
    </row>
    <row r="76" customFormat="false" ht="13.5" hidden="false" customHeight="false" outlineLevel="0" collapsed="false">
      <c r="A76" s="37" t="s">
        <v>328</v>
      </c>
      <c r="C76" s="253" t="n">
        <f aca="false">150*8760*92%*39.67%</f>
        <v>479562.696</v>
      </c>
      <c r="D76" s="253" t="n">
        <f aca="false">480*8760*92%*90.6%</f>
        <v>3504784.896</v>
      </c>
      <c r="E76" s="253" t="n">
        <f aca="false">480*8760*92%*90.6%</f>
        <v>3504784.896</v>
      </c>
      <c r="F76" s="254"/>
      <c r="G76" s="203" t="n">
        <f aca="false">G75+1</f>
        <v>19</v>
      </c>
      <c r="H76" s="67"/>
      <c r="I76" s="67"/>
      <c r="J76" s="67"/>
      <c r="K76" s="67"/>
      <c r="L76" s="255"/>
      <c r="N76" s="37" t="str">
        <f aca="false">H98</f>
        <v>New Investor Equity % (LJM)</v>
      </c>
      <c r="O76" s="38"/>
      <c r="P76" s="38"/>
      <c r="Q76" s="38"/>
      <c r="R76" s="38"/>
      <c r="S76" s="38"/>
      <c r="T76" s="229" t="n">
        <f aca="false">Disc</f>
        <v>0.19</v>
      </c>
      <c r="U76" s="229" t="e">
        <f aca="false">'Project &amp; Investor Returns'!C58</f>
        <v>#N/A</v>
      </c>
      <c r="V76" s="256" t="n">
        <f aca="false">'Project &amp; Investor Returns'!C57</f>
        <v>-5677.82198428831</v>
      </c>
      <c r="X76" s="70" t="s">
        <v>329</v>
      </c>
      <c r="Y76" s="71"/>
      <c r="Z76" s="71"/>
      <c r="AA76" s="71"/>
      <c r="AB76" s="257" t="n">
        <f aca="false">IF(Tot_Debt=0,0,(($AB$9*$AB16)+($AB$18*$AB25)+($AB$27*$AB34)+($AB$36*$AB43)+($AB$45*$AB52))/Tot_Debt)</f>
        <v>0.00338668019257359</v>
      </c>
    </row>
    <row r="77" customFormat="false" ht="13.5" hidden="false" customHeight="false" outlineLevel="0" collapsed="false">
      <c r="A77" s="70" t="s">
        <v>330</v>
      </c>
      <c r="B77" s="71"/>
      <c r="C77" s="72" t="n">
        <f aca="false">C75/C76</f>
        <v>0.000156392481370152</v>
      </c>
      <c r="D77" s="72" t="n">
        <f aca="false">D75/D76</f>
        <v>0.000207165638276022</v>
      </c>
      <c r="E77" s="72" t="n">
        <f aca="false">E75/E76</f>
        <v>0.000207165638276022</v>
      </c>
      <c r="F77" s="232" t="s">
        <v>278</v>
      </c>
      <c r="H77" s="24" t="s">
        <v>331</v>
      </c>
      <c r="I77" s="258"/>
      <c r="J77" s="258"/>
      <c r="K77" s="258"/>
      <c r="L77" s="259"/>
      <c r="N77" s="37" t="s">
        <v>332</v>
      </c>
      <c r="O77" s="38"/>
      <c r="P77" s="38"/>
      <c r="Q77" s="38"/>
      <c r="R77" s="38"/>
      <c r="S77" s="38"/>
      <c r="T77" s="260"/>
      <c r="U77" s="260"/>
      <c r="V77" s="218" t="n">
        <f aca="false">SUM(V73:V76)</f>
        <v>-91495.594872135</v>
      </c>
    </row>
    <row r="78" customFormat="false" ht="13.5" hidden="false" customHeight="false" outlineLevel="0" collapsed="false">
      <c r="H78" s="204" t="s">
        <v>333</v>
      </c>
      <c r="I78" s="205"/>
      <c r="J78" s="205"/>
      <c r="K78" s="205"/>
      <c r="L78" s="208" t="n">
        <f aca="false">'[4]Monthly Curve Calc.'!$F$12</f>
        <v>0</v>
      </c>
      <c r="N78" s="37"/>
      <c r="O78" s="260"/>
      <c r="P78" s="38"/>
      <c r="Q78" s="38"/>
      <c r="R78" s="38"/>
      <c r="S78" s="38"/>
      <c r="T78" s="217"/>
      <c r="U78" s="217"/>
      <c r="V78" s="218"/>
      <c r="X78" s="24" t="s">
        <v>334</v>
      </c>
      <c r="Y78" s="28"/>
      <c r="Z78" s="26" t="s">
        <v>335</v>
      </c>
      <c r="AA78" s="26" t="s">
        <v>336</v>
      </c>
      <c r="AB78" s="82" t="s">
        <v>337</v>
      </c>
    </row>
    <row r="79" customFormat="false" ht="13.5" hidden="false" customHeight="false" outlineLevel="0" collapsed="false">
      <c r="A79" s="24" t="s">
        <v>338</v>
      </c>
      <c r="B79" s="28"/>
      <c r="C79" s="28"/>
      <c r="D79" s="28"/>
      <c r="E79" s="261" t="s">
        <v>339</v>
      </c>
      <c r="F79" s="262" t="n">
        <v>0</v>
      </c>
      <c r="N79" s="37" t="s">
        <v>340</v>
      </c>
      <c r="O79" s="38"/>
      <c r="Q79" s="263" t="s">
        <v>341</v>
      </c>
      <c r="R79" s="38"/>
      <c r="S79" s="38"/>
      <c r="U79" s="217"/>
      <c r="V79" s="145" t="n">
        <f aca="false">-('Enron Returns'!AC33)</f>
        <v>2995.07582288789</v>
      </c>
      <c r="X79" s="264" t="s">
        <v>342</v>
      </c>
      <c r="Y79" s="38"/>
      <c r="Z79" s="265" t="n">
        <f aca="false">MIN(PLRisk!F83:Z83)</f>
        <v>0.846912059443333</v>
      </c>
      <c r="AA79" s="265" t="n">
        <f aca="false">MIN(PLRisk!F89:Z89)</f>
        <v>0.846912059443333</v>
      </c>
      <c r="AB79" s="266" t="n">
        <v>1.4</v>
      </c>
    </row>
    <row r="80" customFormat="false" ht="13.5" hidden="false" customHeight="false" outlineLevel="0" collapsed="false">
      <c r="A80" s="37"/>
      <c r="B80" s="38"/>
      <c r="C80" s="38"/>
      <c r="D80" s="38"/>
      <c r="E80" s="38"/>
      <c r="F80" s="177" t="str">
        <f aca="false">IF($F$79=0,"Included In Project Costs","Funded Through W/C Facility")</f>
        <v>Included In Project Costs</v>
      </c>
      <c r="H80" s="24" t="s">
        <v>343</v>
      </c>
      <c r="I80" s="28"/>
      <c r="J80" s="28"/>
      <c r="K80" s="28"/>
      <c r="L80" s="27"/>
      <c r="N80" s="37" t="s">
        <v>344</v>
      </c>
      <c r="O80" s="267"/>
      <c r="Q80" s="263" t="s">
        <v>341</v>
      </c>
      <c r="R80" s="38"/>
      <c r="S80" s="38"/>
      <c r="U80" s="217"/>
      <c r="V80" s="145" t="n">
        <f aca="false">-('Enron Returns'!AC19+'Shell &amp; Trans Returns'!AC13+'Shell &amp; Trans Returns'!AC58+'Project &amp; Investor Returns'!AC34)</f>
        <v>4108.48110739104</v>
      </c>
      <c r="X80" s="268" t="s">
        <v>345</v>
      </c>
      <c r="Y80" s="71"/>
      <c r="Z80" s="269" t="n">
        <f aca="false">AVERAGE(PLRisk!F83:T83)</f>
        <v>1.93921397170952</v>
      </c>
      <c r="AA80" s="269" t="n">
        <f aca="false">AVERAGE(PLRisk!F89:Y89)</f>
        <v>1.83862730761926</v>
      </c>
      <c r="AB80" s="270" t="n">
        <v>1.8</v>
      </c>
    </row>
    <row r="81" customFormat="false" ht="13.5" hidden="false" customHeight="false" outlineLevel="0" collapsed="false">
      <c r="A81" s="130" t="s">
        <v>346</v>
      </c>
      <c r="B81" s="38"/>
      <c r="C81" s="38"/>
      <c r="D81" s="38"/>
      <c r="E81" s="45" t="s">
        <v>347</v>
      </c>
      <c r="F81" s="133" t="s">
        <v>348</v>
      </c>
      <c r="H81" s="37" t="s">
        <v>349</v>
      </c>
      <c r="I81" s="51" t="n">
        <v>0.5</v>
      </c>
      <c r="J81" s="38" t="s">
        <v>350</v>
      </c>
      <c r="K81" s="38"/>
      <c r="L81" s="43"/>
      <c r="N81" s="37" t="s">
        <v>351</v>
      </c>
      <c r="O81" s="38"/>
      <c r="Q81" s="263" t="s">
        <v>341</v>
      </c>
      <c r="R81" s="38"/>
      <c r="S81" s="38"/>
      <c r="U81" s="217"/>
      <c r="V81" s="218" t="n">
        <f aca="false">-('Enron Returns'!AC21+'Shell &amp; Trans Returns'!AC15+'Shell &amp; Trans Returns'!AC60+'Project &amp; Investor Returns'!AC36)</f>
        <v>1749.31350659033</v>
      </c>
    </row>
    <row r="82" customFormat="false" ht="13.5" hidden="false" customHeight="false" outlineLevel="0" collapsed="false">
      <c r="A82" s="37" t="s">
        <v>352</v>
      </c>
      <c r="B82" s="76" t="n">
        <v>0</v>
      </c>
      <c r="C82" s="217" t="n">
        <f aca="false">((C47+C48)*Capacity_III*Hr_III*24*B82*92%*91%/1000)/1000</f>
        <v>0</v>
      </c>
      <c r="D82" s="77" t="s">
        <v>67</v>
      </c>
      <c r="E82" s="271" t="n">
        <v>0.015</v>
      </c>
      <c r="F82" s="272" t="n">
        <v>0.0575</v>
      </c>
      <c r="H82" s="273"/>
      <c r="I82" s="274" t="n">
        <f aca="false">Tjlp</f>
        <v>0.1</v>
      </c>
      <c r="J82" s="71" t="s">
        <v>353</v>
      </c>
      <c r="K82" s="71"/>
      <c r="L82" s="74"/>
      <c r="N82" s="37" t="s">
        <v>354</v>
      </c>
      <c r="O82" s="267"/>
      <c r="Q82" s="263" t="s">
        <v>341</v>
      </c>
      <c r="R82" s="38"/>
      <c r="S82" s="38"/>
      <c r="U82" s="217"/>
      <c r="V82" s="218" t="n">
        <f aca="false">-('Enron Returns'!AC34)</f>
        <v>-7138.39239846017</v>
      </c>
      <c r="X82" s="24" t="s">
        <v>355</v>
      </c>
      <c r="Y82" s="28"/>
      <c r="Z82" s="275" t="s">
        <v>356</v>
      </c>
      <c r="AA82" s="142" t="s">
        <v>357</v>
      </c>
      <c r="AB82" s="142"/>
    </row>
    <row r="83" customFormat="false" ht="13.5" hidden="false" customHeight="false" outlineLevel="0" collapsed="false">
      <c r="A83" s="37" t="s">
        <v>358</v>
      </c>
      <c r="B83" s="76" t="n">
        <v>0</v>
      </c>
      <c r="C83" s="217" t="n">
        <f aca="false">VLOOKUP(Startops3,Tariff_Table,Tariff!$O$33)*B83/30</f>
        <v>0</v>
      </c>
      <c r="D83" s="77" t="s">
        <v>359</v>
      </c>
      <c r="E83" s="276" t="n">
        <v>0.5</v>
      </c>
      <c r="F83" s="277" t="n">
        <f aca="false">100%-50%</f>
        <v>0.5</v>
      </c>
      <c r="N83" s="37" t="s">
        <v>360</v>
      </c>
      <c r="O83" s="267"/>
      <c r="Q83" s="263" t="s">
        <v>341</v>
      </c>
      <c r="R83" s="38"/>
      <c r="S83" s="38"/>
      <c r="U83" s="217"/>
      <c r="V83" s="218" t="n">
        <f aca="false">-('Enron Returns'!AC35)</f>
        <v>1259.92625832822</v>
      </c>
      <c r="X83" s="37"/>
      <c r="Y83" s="59" t="n">
        <v>6</v>
      </c>
      <c r="Z83" s="38" t="s">
        <v>361</v>
      </c>
      <c r="AA83" s="38"/>
      <c r="AB83" s="43"/>
    </row>
    <row r="84" customFormat="false" ht="13.5" hidden="false" customHeight="false" outlineLevel="0" collapsed="false">
      <c r="A84" s="37" t="s">
        <v>362</v>
      </c>
      <c r="B84" s="76" t="n">
        <v>0</v>
      </c>
      <c r="C84" s="217" t="n">
        <f aca="false">SUM(D60:D64,D68:D69,D71,D75)/365*B84</f>
        <v>0</v>
      </c>
      <c r="D84" s="77" t="s">
        <v>363</v>
      </c>
      <c r="E84" s="278" t="n">
        <f aca="false">E82*E83</f>
        <v>0.0075</v>
      </c>
      <c r="F84" s="279" t="n">
        <f aca="false">F82*F83</f>
        <v>0.02875</v>
      </c>
      <c r="H84" s="24" t="s">
        <v>364</v>
      </c>
      <c r="I84" s="28"/>
      <c r="J84" s="26" t="s">
        <v>365</v>
      </c>
      <c r="K84" s="26" t="s">
        <v>366</v>
      </c>
      <c r="L84" s="82" t="s">
        <v>367</v>
      </c>
      <c r="N84" s="37" t="s">
        <v>368</v>
      </c>
      <c r="O84" s="267"/>
      <c r="Q84" s="263" t="s">
        <v>341</v>
      </c>
      <c r="R84" s="38"/>
      <c r="S84" s="38"/>
      <c r="U84" s="217"/>
      <c r="V84" s="218" t="n">
        <f aca="false">-'Enron Returns'!AC37</f>
        <v>293.551440645753</v>
      </c>
      <c r="X84" s="70"/>
      <c r="Y84" s="138" t="n">
        <v>0.025</v>
      </c>
      <c r="Z84" s="71" t="s">
        <v>369</v>
      </c>
      <c r="AA84" s="71"/>
      <c r="AB84" s="74"/>
    </row>
    <row r="85" customFormat="false" ht="13.5" hidden="false" customHeight="false" outlineLevel="0" collapsed="false">
      <c r="A85" s="37" t="s">
        <v>370</v>
      </c>
      <c r="B85" s="76" t="n">
        <v>0</v>
      </c>
      <c r="C85" s="220" t="n">
        <f aca="false">D70*B85</f>
        <v>0</v>
      </c>
      <c r="D85" s="38"/>
      <c r="E85" s="77" t="s">
        <v>371</v>
      </c>
      <c r="F85" s="279" t="n">
        <f aca="false">SUM(E84:F84)</f>
        <v>0.03625</v>
      </c>
      <c r="H85" s="37" t="s">
        <v>372</v>
      </c>
      <c r="I85" s="38"/>
      <c r="J85" s="217" t="n">
        <f aca="false">K85*Tot_Equity</f>
        <v>60895.7804469782</v>
      </c>
      <c r="K85" s="38" t="n">
        <f aca="false">1-SUM(K86:K87)</f>
        <v>0.65625</v>
      </c>
      <c r="L85" s="110" t="n">
        <f aca="false">K85</f>
        <v>0.65625</v>
      </c>
      <c r="N85" s="37" t="s">
        <v>373</v>
      </c>
      <c r="O85" s="267"/>
      <c r="Q85" s="263" t="s">
        <v>341</v>
      </c>
      <c r="R85" s="38"/>
      <c r="S85" s="38"/>
      <c r="U85" s="217"/>
      <c r="V85" s="218" t="n">
        <f aca="false">-'Enron Returns'!AC38</f>
        <v>1347.22654529485</v>
      </c>
    </row>
    <row r="86" customFormat="false" ht="13.5" hidden="false" customHeight="false" outlineLevel="0" collapsed="false">
      <c r="A86" s="280" t="s">
        <v>374</v>
      </c>
      <c r="B86" s="38"/>
      <c r="C86" s="217" t="n">
        <f aca="false">SUM(C82:C85)</f>
        <v>0</v>
      </c>
      <c r="D86" s="38"/>
      <c r="E86" s="77" t="s">
        <v>375</v>
      </c>
      <c r="F86" s="191" t="n">
        <f aca="false">C86*F85*F79</f>
        <v>0</v>
      </c>
      <c r="H86" s="37" t="s">
        <v>376</v>
      </c>
      <c r="I86" s="38"/>
      <c r="J86" s="217" t="n">
        <f aca="false">K86*Tot_Equity</f>
        <v>20298.5934823261</v>
      </c>
      <c r="K86" s="101" t="n">
        <v>0.21875</v>
      </c>
      <c r="L86" s="110" t="n">
        <f aca="false">K86</f>
        <v>0.21875</v>
      </c>
      <c r="N86" s="37" t="s">
        <v>377</v>
      </c>
      <c r="O86" s="267"/>
      <c r="Q86" s="263" t="s">
        <v>341</v>
      </c>
      <c r="R86" s="38"/>
      <c r="S86" s="38"/>
      <c r="U86" s="217"/>
      <c r="V86" s="218" t="n">
        <f aca="false">-('Enron Returns'!AC36)</f>
        <v>-4651.6193315858</v>
      </c>
      <c r="X86" s="24" t="s">
        <v>378</v>
      </c>
      <c r="Y86" s="28"/>
      <c r="Z86" s="28"/>
      <c r="AA86" s="28"/>
      <c r="AB86" s="27"/>
    </row>
    <row r="87" customFormat="false" ht="12.75" hidden="false" customHeight="false" outlineLevel="0" collapsed="false">
      <c r="A87" s="280"/>
      <c r="B87" s="38"/>
      <c r="C87" s="217"/>
      <c r="D87" s="38"/>
      <c r="E87" s="77"/>
      <c r="F87" s="191"/>
      <c r="H87" s="37" t="s">
        <v>379</v>
      </c>
      <c r="I87" s="38"/>
      <c r="J87" s="220" t="n">
        <f aca="false">K87*Tot_Equity</f>
        <v>11599.1962756149</v>
      </c>
      <c r="K87" s="149" t="n">
        <v>0.125</v>
      </c>
      <c r="L87" s="281" t="n">
        <f aca="false">K87</f>
        <v>0.125</v>
      </c>
      <c r="N87" s="37" t="s">
        <v>380</v>
      </c>
      <c r="O87" s="260"/>
      <c r="Q87" s="38"/>
      <c r="R87" s="38"/>
      <c r="S87" s="38"/>
      <c r="T87" s="217"/>
      <c r="U87" s="217"/>
      <c r="V87" s="218" t="n">
        <f aca="false">-('Enron Returns'!AC22+'Enron Returns'!AC39+'Shell &amp; Trans Returns'!AC16+'Shell &amp; Trans Returns'!AC61+'Project &amp; Investor Returns'!AC37)</f>
        <v>858.345646799851</v>
      </c>
      <c r="X87" s="37" t="s">
        <v>381</v>
      </c>
      <c r="Y87" s="217" t="n">
        <f aca="false">HLOOKUP(Fin_Close,Idc_Table,IDC!$BB$92)</f>
        <v>130448.469060994</v>
      </c>
      <c r="Z87" s="38"/>
      <c r="AA87" s="77" t="s">
        <v>276</v>
      </c>
      <c r="AB87" s="99" t="n">
        <v>0.06</v>
      </c>
    </row>
    <row r="88" customFormat="false" ht="13.5" hidden="false" customHeight="false" outlineLevel="0" collapsed="false">
      <c r="A88" s="282" t="s">
        <v>382</v>
      </c>
      <c r="B88" s="71"/>
      <c r="C88" s="283" t="n">
        <v>0</v>
      </c>
      <c r="D88" s="71"/>
      <c r="E88" s="284"/>
      <c r="F88" s="285"/>
      <c r="H88" s="70" t="s">
        <v>383</v>
      </c>
      <c r="I88" s="71"/>
      <c r="J88" s="286" t="n">
        <f aca="false">SUM(J85:J87)</f>
        <v>92793.5702049191</v>
      </c>
      <c r="K88" s="287" t="n">
        <f aca="false">SUM(K85:K87)</f>
        <v>1</v>
      </c>
      <c r="L88" s="288" t="n">
        <f aca="false">SUM(L85:L87)</f>
        <v>1</v>
      </c>
      <c r="N88" s="37" t="s">
        <v>384</v>
      </c>
      <c r="O88" s="267"/>
      <c r="Q88" s="263"/>
      <c r="R88" s="38"/>
      <c r="S88" s="38"/>
      <c r="U88" s="217"/>
      <c r="V88" s="218" t="n">
        <f aca="false">-SUM('Enron Returns'!AC50,'Shell &amp; Trans Returns'!AC26,'Shell &amp; Trans Returns'!AC71)</f>
        <v>100768.09913309</v>
      </c>
      <c r="X88" s="70"/>
      <c r="Y88" s="71"/>
      <c r="Z88" s="71"/>
      <c r="AA88" s="284" t="s">
        <v>385</v>
      </c>
      <c r="AB88" s="210" t="n">
        <v>0.065</v>
      </c>
    </row>
    <row r="89" customFormat="false" ht="13.5" hidden="false" customHeight="false" outlineLevel="0" collapsed="false">
      <c r="H89" s="38"/>
      <c r="I89" s="38"/>
      <c r="J89" s="217"/>
      <c r="K89" s="289"/>
      <c r="L89" s="289"/>
      <c r="N89" s="37" t="s">
        <v>386</v>
      </c>
      <c r="O89" s="260"/>
      <c r="Q89" s="38"/>
      <c r="R89" s="38"/>
      <c r="S89" s="38"/>
      <c r="T89" s="217"/>
      <c r="U89" s="217"/>
      <c r="V89" s="218" t="n">
        <f aca="false">-SUM('Enron Returns'!AC51,'Shell &amp; Trans Returns'!AC27,'Shell &amp; Trans Returns'!AC72)</f>
        <v>-85650.829523089</v>
      </c>
      <c r="AA89" s="38"/>
    </row>
    <row r="90" customFormat="false" ht="13.5" hidden="false" customHeight="false" outlineLevel="0" collapsed="false">
      <c r="A90" s="24" t="s">
        <v>387</v>
      </c>
      <c r="B90" s="28"/>
      <c r="C90" s="158" t="s">
        <v>388</v>
      </c>
      <c r="D90" s="158" t="s">
        <v>81</v>
      </c>
      <c r="E90" s="158" t="s">
        <v>67</v>
      </c>
      <c r="F90" s="159" t="s">
        <v>389</v>
      </c>
      <c r="H90" s="24" t="s">
        <v>390</v>
      </c>
      <c r="I90" s="28"/>
      <c r="J90" s="26" t="s">
        <v>365</v>
      </c>
      <c r="K90" s="26" t="s">
        <v>366</v>
      </c>
      <c r="L90" s="82" t="s">
        <v>367</v>
      </c>
      <c r="N90" s="37" t="s">
        <v>391</v>
      </c>
      <c r="O90" s="260"/>
      <c r="Q90" s="263" t="s">
        <v>392</v>
      </c>
      <c r="R90" s="38"/>
      <c r="S90" s="38"/>
      <c r="T90" s="217"/>
      <c r="U90" s="217"/>
      <c r="V90" s="218" t="n">
        <f aca="false">-SUM('Enron Returns'!AC52,'Shell &amp; Trans Returns'!AC28,'Shell &amp; Trans Returns'!AC73)</f>
        <v>-6036.79808993727</v>
      </c>
      <c r="X90" s="24" t="s">
        <v>393</v>
      </c>
      <c r="Y90" s="28"/>
      <c r="Z90" s="28"/>
      <c r="AA90" s="28"/>
      <c r="AB90" s="27"/>
    </row>
    <row r="91" customFormat="false" ht="13.5" hidden="false" customHeight="false" outlineLevel="0" collapsed="false">
      <c r="A91" s="70" t="s">
        <v>394</v>
      </c>
      <c r="B91" s="71"/>
      <c r="C91" s="207" t="n">
        <v>20</v>
      </c>
      <c r="D91" s="290" t="n">
        <v>22000</v>
      </c>
      <c r="E91" s="291" t="n">
        <v>0.005</v>
      </c>
      <c r="F91" s="292" t="n">
        <f aca="false">D91*E91</f>
        <v>110</v>
      </c>
      <c r="H91" s="37" t="s">
        <v>372</v>
      </c>
      <c r="I91" s="38"/>
      <c r="J91" s="217" t="n">
        <f aca="false">J85-J94</f>
        <v>60857.7804469782</v>
      </c>
      <c r="K91" s="293" t="n">
        <f aca="false">1-SUM(K92:K94)</f>
        <v>0.52625</v>
      </c>
      <c r="L91" s="252" t="n">
        <f aca="false">K91</f>
        <v>0.52625</v>
      </c>
      <c r="N91" s="37" t="s">
        <v>395</v>
      </c>
      <c r="O91" s="260"/>
      <c r="Q91" s="263" t="s">
        <v>392</v>
      </c>
      <c r="R91" s="38"/>
      <c r="S91" s="38"/>
      <c r="T91" s="217"/>
      <c r="U91" s="217"/>
      <c r="V91" s="218" t="n">
        <f aca="false">-('Enron Returns'!AC54)</f>
        <v>713.936783350771</v>
      </c>
      <c r="X91" s="37" t="s">
        <v>396</v>
      </c>
      <c r="Y91" s="38"/>
      <c r="Z91" s="38"/>
      <c r="AA91" s="38"/>
      <c r="AB91" s="294" t="n">
        <v>0</v>
      </c>
    </row>
    <row r="92" customFormat="false" ht="13.5" hidden="false" customHeight="false" outlineLevel="0" collapsed="false">
      <c r="H92" s="37" t="s">
        <v>376</v>
      </c>
      <c r="I92" s="38"/>
      <c r="J92" s="217" t="n">
        <f aca="false">J86</f>
        <v>20298.5934823261</v>
      </c>
      <c r="K92" s="293" t="n">
        <f aca="false">K86</f>
        <v>0.21875</v>
      </c>
      <c r="L92" s="252" t="n">
        <f aca="false">K92</f>
        <v>0.21875</v>
      </c>
      <c r="N92" s="37" t="s">
        <v>397</v>
      </c>
      <c r="O92" s="260"/>
      <c r="P92" s="38"/>
      <c r="Q92" s="38"/>
      <c r="R92" s="38"/>
      <c r="S92" s="38"/>
      <c r="T92" s="217"/>
      <c r="U92" s="217"/>
      <c r="V92" s="218" t="n">
        <f aca="false">-SUM('Enron Returns'!AC55,'Shell &amp; Trans Returns'!AC30,'Shell &amp; Trans Returns'!AC75)</f>
        <v>1487.8353858242</v>
      </c>
      <c r="X92" s="37" t="s">
        <v>398</v>
      </c>
      <c r="Y92" s="38"/>
      <c r="Z92" s="38"/>
      <c r="AA92" s="38"/>
      <c r="AB92" s="100" t="n">
        <v>36678</v>
      </c>
    </row>
    <row r="93" customFormat="false" ht="13.5" hidden="false" customHeight="false" outlineLevel="0" collapsed="false">
      <c r="A93" s="24" t="s">
        <v>399</v>
      </c>
      <c r="B93" s="28"/>
      <c r="C93" s="28"/>
      <c r="D93" s="295" t="n">
        <v>12500</v>
      </c>
      <c r="E93" s="28" t="s">
        <v>400</v>
      </c>
      <c r="F93" s="27"/>
      <c r="H93" s="37" t="s">
        <v>379</v>
      </c>
      <c r="I93" s="38"/>
      <c r="J93" s="217" t="n">
        <f aca="false">J87</f>
        <v>11599.1962756149</v>
      </c>
      <c r="K93" s="293" t="n">
        <f aca="false">K87</f>
        <v>0.125</v>
      </c>
      <c r="L93" s="252" t="n">
        <f aca="false">K93</f>
        <v>0.125</v>
      </c>
      <c r="N93" s="37" t="s">
        <v>401</v>
      </c>
      <c r="O93" s="267"/>
      <c r="Q93" s="263"/>
      <c r="R93" s="38"/>
      <c r="S93" s="38"/>
      <c r="U93" s="217"/>
      <c r="V93" s="218" t="n">
        <f aca="false">-SUM('Enron Returns'!AC65,'Shell &amp; Trans Returns'!AC40,'Shell &amp; Trans Returns'!AC85)</f>
        <v>33735.6162706506</v>
      </c>
      <c r="X93" s="37" t="s">
        <v>402</v>
      </c>
      <c r="Y93" s="38"/>
      <c r="Z93" s="38"/>
      <c r="AA93" s="38"/>
      <c r="AB93" s="294" t="n">
        <v>2</v>
      </c>
    </row>
    <row r="94" customFormat="false" ht="13.5" hidden="false" customHeight="false" outlineLevel="0" collapsed="false">
      <c r="A94" s="70"/>
      <c r="B94" s="71"/>
      <c r="C94" s="71"/>
      <c r="D94" s="138" t="n">
        <v>0.025</v>
      </c>
      <c r="E94" s="71" t="s">
        <v>369</v>
      </c>
      <c r="F94" s="74"/>
      <c r="H94" s="37" t="s">
        <v>403</v>
      </c>
      <c r="I94" s="38"/>
      <c r="J94" s="220" t="n">
        <f aca="false">L107</f>
        <v>38</v>
      </c>
      <c r="K94" s="296" t="n">
        <f aca="false">New_Investor_Equity</f>
        <v>0.13</v>
      </c>
      <c r="L94" s="297" t="n">
        <f aca="false">K94</f>
        <v>0.13</v>
      </c>
      <c r="N94" s="37" t="s">
        <v>404</v>
      </c>
      <c r="O94" s="260"/>
      <c r="Q94" s="38"/>
      <c r="R94" s="38"/>
      <c r="S94" s="38"/>
      <c r="T94" s="217"/>
      <c r="U94" s="217"/>
      <c r="V94" s="218" t="n">
        <f aca="false">-SUM('Project &amp; Investor Returns'!AC48,'Enron Returns'!AC67,'Shell &amp; Trans Returns'!AC41,'Shell &amp; Trans Returns'!AC86)</f>
        <v>-9726.42985846738</v>
      </c>
      <c r="X94" s="37" t="s">
        <v>405</v>
      </c>
      <c r="Y94" s="38"/>
      <c r="Z94" s="38"/>
      <c r="AA94" s="38"/>
      <c r="AB94" s="89" t="n">
        <f aca="false">EDATE(Startops3,AB93)</f>
        <v>37165</v>
      </c>
    </row>
    <row r="95" customFormat="false" ht="13.5" hidden="false" customHeight="false" outlineLevel="0" collapsed="false">
      <c r="H95" s="70" t="s">
        <v>383</v>
      </c>
      <c r="I95" s="71"/>
      <c r="J95" s="286" t="n">
        <f aca="false">SUM(J91:J94)</f>
        <v>92793.5702049191</v>
      </c>
      <c r="K95" s="298" t="n">
        <f aca="false">SUM(K91:K94)</f>
        <v>1</v>
      </c>
      <c r="L95" s="257" t="n">
        <f aca="false">SUM(L91:L94)</f>
        <v>1</v>
      </c>
      <c r="N95" s="37" t="s">
        <v>406</v>
      </c>
      <c r="O95" s="260"/>
      <c r="Q95" s="263" t="s">
        <v>407</v>
      </c>
      <c r="R95" s="38"/>
      <c r="S95" s="38"/>
      <c r="T95" s="217"/>
      <c r="U95" s="217"/>
      <c r="V95" s="218" t="n">
        <f aca="false">-SUM('Project &amp; Investor Returns'!AC49,'Enron Returns'!AC68,'Shell &amp; Trans Returns'!AC42,'Shell &amp; Trans Returns'!AC87)</f>
        <v>-14837.5275746668</v>
      </c>
      <c r="X95" s="37" t="s">
        <v>408</v>
      </c>
      <c r="Y95" s="38"/>
      <c r="Z95" s="38"/>
      <c r="AA95" s="102" t="n">
        <v>30000</v>
      </c>
      <c r="AB95" s="218" t="n">
        <f aca="false">AA95*AB91</f>
        <v>0</v>
      </c>
    </row>
    <row r="96" customFormat="false" ht="13.5" hidden="false" customHeight="false" outlineLevel="0" collapsed="false">
      <c r="A96" s="24" t="s">
        <v>409</v>
      </c>
      <c r="B96" s="28"/>
      <c r="C96" s="28"/>
      <c r="D96" s="28"/>
      <c r="E96" s="28"/>
      <c r="F96" s="27"/>
      <c r="N96" s="37" t="s">
        <v>410</v>
      </c>
      <c r="O96" s="260"/>
      <c r="Q96" s="263" t="s">
        <v>407</v>
      </c>
      <c r="R96" s="38"/>
      <c r="S96" s="38"/>
      <c r="T96" s="217"/>
      <c r="U96" s="217"/>
      <c r="V96" s="218" t="n">
        <f aca="false">-('Enron Returns'!AC70)</f>
        <v>976.857983447004</v>
      </c>
      <c r="X96" s="37" t="s">
        <v>411</v>
      </c>
      <c r="Y96" s="38"/>
      <c r="Z96" s="38"/>
      <c r="AA96" s="299" t="n">
        <v>0.45</v>
      </c>
      <c r="AB96" s="218" t="n">
        <f aca="false">AB95*AA96</f>
        <v>0</v>
      </c>
    </row>
    <row r="97" customFormat="false" ht="13.5" hidden="false" customHeight="false" outlineLevel="0" collapsed="false">
      <c r="A97" s="70"/>
      <c r="B97" s="71"/>
      <c r="C97" s="71"/>
      <c r="D97" s="71"/>
      <c r="E97" s="284" t="s">
        <v>412</v>
      </c>
      <c r="F97" s="210" t="n">
        <v>0.05</v>
      </c>
      <c r="H97" s="24" t="s">
        <v>413</v>
      </c>
      <c r="I97" s="28"/>
      <c r="J97" s="28"/>
      <c r="K97" s="26" t="s">
        <v>366</v>
      </c>
      <c r="L97" s="82" t="s">
        <v>367</v>
      </c>
      <c r="N97" s="37" t="s">
        <v>414</v>
      </c>
      <c r="O97" s="260"/>
      <c r="P97" s="38"/>
      <c r="Q97" s="38"/>
      <c r="R97" s="38"/>
      <c r="S97" s="38"/>
      <c r="T97" s="217"/>
      <c r="U97" s="217"/>
      <c r="V97" s="218" t="n">
        <f aca="false">-SUM('Project &amp; Investor Returns'!AC51,'Enron Returns'!AC73,'Shell &amp; Trans Returns'!AC45,'Shell &amp; Trans Returns'!AC90)</f>
        <v>4304.96496835733</v>
      </c>
      <c r="X97" s="37" t="s">
        <v>415</v>
      </c>
      <c r="Y97" s="38"/>
      <c r="Z97" s="38"/>
      <c r="AA97" s="299" t="n">
        <v>0.03</v>
      </c>
      <c r="AB97" s="218" t="n">
        <f aca="false">AB95*AA97</f>
        <v>0</v>
      </c>
    </row>
    <row r="98" customFormat="false" ht="13.5" hidden="false" customHeight="false" outlineLevel="0" collapsed="false">
      <c r="H98" s="37" t="s">
        <v>416</v>
      </c>
      <c r="I98" s="38"/>
      <c r="J98" s="38"/>
      <c r="K98" s="300" t="n">
        <v>0.13</v>
      </c>
      <c r="L98" s="301" t="n">
        <f aca="false">K98</f>
        <v>0.13</v>
      </c>
      <c r="N98" s="37" t="s">
        <v>417</v>
      </c>
      <c r="O98" s="260"/>
      <c r="P98" s="38"/>
      <c r="Q98" s="38"/>
      <c r="R98" s="38"/>
      <c r="S98" s="38"/>
      <c r="T98" s="217"/>
      <c r="U98" s="217"/>
      <c r="V98" s="218" t="n">
        <f aca="false">-('Enron Returns'!AC71+'Shell &amp; Trans Returns'!AC44+'Shell &amp; Trans Returns'!AC89+'Project &amp; Investor Returns'!AC50)</f>
        <v>-0</v>
      </c>
      <c r="X98" s="302" t="s">
        <v>418</v>
      </c>
      <c r="Y98" s="38"/>
      <c r="Z98" s="303" t="s">
        <v>419</v>
      </c>
      <c r="AA98" s="150" t="s">
        <v>420</v>
      </c>
      <c r="AB98" s="212" t="s">
        <v>421</v>
      </c>
    </row>
    <row r="99" customFormat="false" ht="13.5" hidden="false" customHeight="false" outlineLevel="0" collapsed="false">
      <c r="A99" s="173" t="s">
        <v>422</v>
      </c>
      <c r="B99" s="304"/>
      <c r="C99" s="28"/>
      <c r="D99" s="28"/>
      <c r="E99" s="28"/>
      <c r="F99" s="305"/>
      <c r="H99" s="37" t="s">
        <v>423</v>
      </c>
      <c r="I99" s="38"/>
      <c r="J99" s="38"/>
      <c r="K99" s="300" t="n">
        <v>0</v>
      </c>
      <c r="L99" s="301"/>
      <c r="N99" s="37" t="s">
        <v>424</v>
      </c>
      <c r="O99" s="260"/>
      <c r="P99" s="38"/>
      <c r="Q99" s="263" t="s">
        <v>425</v>
      </c>
      <c r="R99" s="38"/>
      <c r="S99" s="38"/>
      <c r="T99" s="217"/>
      <c r="U99" s="217"/>
      <c r="V99" s="218" t="n">
        <f aca="false">-'Enron Returns'!AC72</f>
        <v>-0</v>
      </c>
      <c r="X99" s="37" t="s">
        <v>372</v>
      </c>
      <c r="Y99" s="38"/>
      <c r="Z99" s="38"/>
      <c r="AA99" s="306" t="n">
        <f aca="false">100%-SUM(AA100:AA102)</f>
        <v>0.65625</v>
      </c>
      <c r="AB99" s="218" t="n">
        <f aca="false">AA99*SUM(AB$96:AB$97)</f>
        <v>0</v>
      </c>
    </row>
    <row r="100" customFormat="false" ht="12.75" hidden="false" customHeight="false" outlineLevel="0" collapsed="false">
      <c r="A100" s="37" t="s">
        <v>426</v>
      </c>
      <c r="C100" s="38"/>
      <c r="D100" s="38"/>
      <c r="E100" s="38"/>
      <c r="F100" s="307" t="n">
        <f aca="false">Tariff!D31</f>
        <v>1291.01851851852</v>
      </c>
      <c r="H100" s="37" t="s">
        <v>427</v>
      </c>
      <c r="I100" s="38"/>
      <c r="J100" s="38"/>
      <c r="K100" s="308" t="n">
        <f aca="false">K85-K98</f>
        <v>0.52625</v>
      </c>
      <c r="L100" s="309" t="n">
        <f aca="false">K100</f>
        <v>0.52625</v>
      </c>
      <c r="N100" s="37" t="s">
        <v>428</v>
      </c>
      <c r="O100" s="260"/>
      <c r="P100" s="38"/>
      <c r="Q100" s="38"/>
      <c r="R100" s="38"/>
      <c r="S100" s="38"/>
      <c r="T100" s="217"/>
      <c r="U100" s="217"/>
      <c r="V100" s="256" t="n">
        <f aca="false">-'Enron Returns'!AC74</f>
        <v>-0</v>
      </c>
      <c r="X100" s="37" t="s">
        <v>376</v>
      </c>
      <c r="Y100" s="38"/>
      <c r="Z100" s="170" t="n">
        <v>1</v>
      </c>
      <c r="AA100" s="306" t="n">
        <f aca="false">K86*Z100</f>
        <v>0.21875</v>
      </c>
      <c r="AB100" s="218" t="n">
        <f aca="false">AA100*SUM(AB$96:AB$97)</f>
        <v>0</v>
      </c>
    </row>
    <row r="101" customFormat="false" ht="12.75" hidden="false" customHeight="false" outlineLevel="0" collapsed="false">
      <c r="A101" s="37" t="s">
        <v>429</v>
      </c>
      <c r="C101" s="38"/>
      <c r="D101" s="38"/>
      <c r="E101" s="38"/>
      <c r="F101" s="310" t="n">
        <f aca="false">Capacity_III</f>
        <v>480</v>
      </c>
      <c r="H101" s="37" t="s">
        <v>430</v>
      </c>
      <c r="I101" s="38"/>
      <c r="J101" s="38"/>
      <c r="K101" s="38"/>
      <c r="L101" s="64" t="n">
        <v>11300</v>
      </c>
      <c r="N101" s="37" t="s">
        <v>431</v>
      </c>
      <c r="O101" s="260"/>
      <c r="P101" s="38"/>
      <c r="Q101" s="38"/>
      <c r="R101" s="38"/>
      <c r="S101" s="38"/>
      <c r="T101" s="217"/>
      <c r="U101" s="217"/>
      <c r="V101" s="218" t="n">
        <f aca="false">SUM(V79:V100)</f>
        <v>26557.6340764512</v>
      </c>
      <c r="X101" s="37" t="s">
        <v>379</v>
      </c>
      <c r="Y101" s="38"/>
      <c r="Z101" s="170" t="n">
        <v>1</v>
      </c>
      <c r="AA101" s="306" t="n">
        <f aca="false">K87*Z101</f>
        <v>0.125</v>
      </c>
      <c r="AB101" s="218" t="n">
        <f aca="false">AA101*SUM(AB$96:AB$97)</f>
        <v>0</v>
      </c>
    </row>
    <row r="102" customFormat="false" ht="12.75" hidden="false" customHeight="false" outlineLevel="0" collapsed="false">
      <c r="A102" s="37" t="s">
        <v>432</v>
      </c>
      <c r="B102" s="299" t="n">
        <v>0.01</v>
      </c>
      <c r="D102" s="77" t="s">
        <v>433</v>
      </c>
      <c r="E102" s="76" t="n">
        <v>240</v>
      </c>
      <c r="F102" s="311" t="n">
        <f aca="false">B102*E102</f>
        <v>2.4</v>
      </c>
      <c r="H102" s="37" t="s">
        <v>434</v>
      </c>
      <c r="I102" s="38"/>
      <c r="J102" s="38"/>
      <c r="K102" s="38"/>
      <c r="L102" s="312" t="n">
        <v>36434</v>
      </c>
      <c r="N102" s="37"/>
      <c r="O102" s="260"/>
      <c r="P102" s="38"/>
      <c r="Q102" s="38"/>
      <c r="R102" s="38"/>
      <c r="S102" s="38"/>
      <c r="T102" s="217"/>
      <c r="U102" s="217"/>
      <c r="V102" s="218"/>
      <c r="X102" s="37" t="s">
        <v>403</v>
      </c>
      <c r="Y102" s="38"/>
      <c r="Z102" s="170" t="n">
        <v>0</v>
      </c>
      <c r="AA102" s="313" t="n">
        <f aca="false">K94*Z102</f>
        <v>0</v>
      </c>
      <c r="AB102" s="256" t="n">
        <f aca="false">AA102*SUM(AB$96:AB$97)</f>
        <v>0</v>
      </c>
    </row>
    <row r="103" customFormat="false" ht="12.75" hidden="false" customHeight="false" outlineLevel="0" collapsed="false">
      <c r="A103" s="37" t="s">
        <v>435</v>
      </c>
      <c r="C103" s="38"/>
      <c r="D103" s="38"/>
      <c r="E103" s="38"/>
      <c r="F103" s="178" t="n">
        <f aca="false">F100*F101*F102/1000</f>
        <v>1487.25333333333</v>
      </c>
      <c r="H103" s="37" t="s">
        <v>436</v>
      </c>
      <c r="I103" s="38"/>
      <c r="J103" s="38"/>
      <c r="K103" s="38"/>
      <c r="L103" s="272" t="n">
        <v>0.13</v>
      </c>
      <c r="N103" s="37" t="s">
        <v>437</v>
      </c>
      <c r="O103" s="260"/>
      <c r="P103" s="38"/>
      <c r="Q103" s="38"/>
      <c r="R103" s="38"/>
      <c r="S103" s="38"/>
      <c r="T103" s="217"/>
      <c r="U103" s="217"/>
      <c r="V103" s="256" t="n">
        <f aca="false">V101+V77</f>
        <v>-64937.9607956838</v>
      </c>
      <c r="X103" s="314" t="s">
        <v>438</v>
      </c>
      <c r="Y103" s="215"/>
      <c r="Z103" s="215"/>
      <c r="AA103" s="315" t="s">
        <v>439</v>
      </c>
      <c r="AB103" s="218" t="n">
        <f aca="false">SUM(AB99:AB102)</f>
        <v>0</v>
      </c>
    </row>
    <row r="104" customFormat="false" ht="13.5" hidden="false" customHeight="false" outlineLevel="0" collapsed="false">
      <c r="A104" s="70" t="s">
        <v>440</v>
      </c>
      <c r="B104" s="71"/>
      <c r="C104" s="71"/>
      <c r="D104" s="71"/>
      <c r="E104" s="71"/>
      <c r="F104" s="316" t="n">
        <f aca="false">F103/Exch</f>
        <v>1396.48200312989</v>
      </c>
      <c r="H104" s="37" t="s">
        <v>441</v>
      </c>
      <c r="I104" s="38"/>
      <c r="J104" s="317" t="s">
        <v>442</v>
      </c>
      <c r="K104" s="76" t="n">
        <v>1</v>
      </c>
      <c r="L104" s="318" t="n">
        <f aca="false">(L105-L102)/365*L103*L101*K104</f>
        <v>611.74794520548</v>
      </c>
      <c r="N104" s="70" t="s">
        <v>443</v>
      </c>
      <c r="O104" s="274"/>
      <c r="P104" s="71"/>
      <c r="Q104" s="71"/>
      <c r="R104" s="71"/>
      <c r="S104" s="71"/>
      <c r="T104" s="286"/>
      <c r="U104" s="286"/>
      <c r="V104" s="319" t="n">
        <f aca="false">Npv-V103</f>
        <v>3959.30860126207</v>
      </c>
      <c r="X104" s="70" t="s">
        <v>444</v>
      </c>
      <c r="Y104" s="71"/>
      <c r="Z104" s="71"/>
      <c r="AA104" s="71"/>
      <c r="AB104" s="319" t="n">
        <f aca="false">AB96</f>
        <v>0</v>
      </c>
    </row>
    <row r="105" customFormat="false" ht="13.5" hidden="false" customHeight="false" outlineLevel="0" collapsed="false">
      <c r="H105" s="146" t="s">
        <v>445</v>
      </c>
      <c r="I105" s="38"/>
      <c r="J105" s="38"/>
      <c r="K105" s="38"/>
      <c r="L105" s="312" t="n">
        <v>36586</v>
      </c>
    </row>
    <row r="106" customFormat="false" ht="13.5" hidden="false" customHeight="false" outlineLevel="0" collapsed="false">
      <c r="H106" s="146" t="s">
        <v>446</v>
      </c>
      <c r="I106" s="38"/>
      <c r="J106" s="38"/>
      <c r="K106" s="38"/>
      <c r="L106" s="312" t="n">
        <v>36586</v>
      </c>
      <c r="N106" s="24" t="s">
        <v>16</v>
      </c>
      <c r="O106" s="81"/>
      <c r="P106" s="28"/>
      <c r="Q106" s="28"/>
      <c r="R106" s="28"/>
      <c r="S106" s="28"/>
      <c r="T106" s="28"/>
      <c r="U106" s="28"/>
      <c r="V106" s="27"/>
    </row>
    <row r="107" customFormat="false" ht="12.75" hidden="false" customHeight="false" outlineLevel="0" collapsed="false">
      <c r="H107" s="146" t="s">
        <v>447</v>
      </c>
      <c r="I107" s="38"/>
      <c r="J107" s="38"/>
      <c r="K107" s="38"/>
      <c r="L107" s="64" t="n">
        <v>38</v>
      </c>
      <c r="N107" s="37" t="s">
        <v>448</v>
      </c>
      <c r="R107" s="53"/>
      <c r="S107" s="53"/>
      <c r="T107" s="53"/>
      <c r="U107" s="53"/>
      <c r="V107" s="221" t="n">
        <f aca="false">(3029.823/4775.883)*775.883</f>
        <v>492.220634112896</v>
      </c>
    </row>
    <row r="108" customFormat="false" ht="12.75" hidden="false" customHeight="false" outlineLevel="0" collapsed="false">
      <c r="H108" s="320" t="s">
        <v>449</v>
      </c>
      <c r="I108" s="119"/>
      <c r="J108" s="67"/>
      <c r="K108" s="67"/>
      <c r="L108" s="321" t="n">
        <v>0.13</v>
      </c>
      <c r="N108" s="37" t="s">
        <v>450</v>
      </c>
      <c r="R108" s="53"/>
      <c r="S108" s="53"/>
      <c r="T108" s="53"/>
      <c r="U108" s="53"/>
      <c r="V108" s="221" t="n">
        <v>2259</v>
      </c>
    </row>
    <row r="109" customFormat="false" ht="12.75" hidden="false" customHeight="false" outlineLevel="0" collapsed="false">
      <c r="H109" s="37" t="s">
        <v>451</v>
      </c>
      <c r="I109" s="119"/>
      <c r="J109" s="67"/>
      <c r="K109" s="67"/>
      <c r="L109" s="309" t="n">
        <f aca="false">K85-New_Investor_Equity</f>
        <v>0.52625</v>
      </c>
      <c r="N109" s="37"/>
      <c r="R109" s="53"/>
      <c r="S109" s="53"/>
      <c r="T109" s="53"/>
      <c r="U109" s="53"/>
      <c r="V109" s="191"/>
    </row>
    <row r="110" customFormat="false" ht="12.75" hidden="false" customHeight="false" outlineLevel="0" collapsed="false">
      <c r="H110" s="146" t="s">
        <v>452</v>
      </c>
      <c r="I110" s="119"/>
      <c r="J110" s="317" t="s">
        <v>442</v>
      </c>
      <c r="K110" s="38"/>
      <c r="L110" s="294" t="n">
        <v>0</v>
      </c>
      <c r="N110" s="37"/>
      <c r="R110" s="322" t="n">
        <v>1998</v>
      </c>
      <c r="S110" s="322" t="n">
        <v>1999</v>
      </c>
      <c r="T110" s="322" t="n">
        <v>2000</v>
      </c>
      <c r="U110" s="322" t="n">
        <v>2001</v>
      </c>
      <c r="V110" s="323" t="n">
        <v>2002</v>
      </c>
    </row>
    <row r="111" customFormat="false" ht="13.5" hidden="false" customHeight="false" outlineLevel="0" collapsed="false">
      <c r="H111" s="324" t="s">
        <v>453</v>
      </c>
      <c r="I111" s="325"/>
      <c r="J111" s="326"/>
      <c r="K111" s="205"/>
      <c r="L111" s="327" t="n">
        <f aca="false">IF($L$110=1,L108*AB54,0)</f>
        <v>0</v>
      </c>
      <c r="N111" s="37" t="s">
        <v>454</v>
      </c>
      <c r="R111" s="53" t="n">
        <f aca="false">EINC!F58</f>
        <v>648.30756775828</v>
      </c>
      <c r="S111" s="53" t="n">
        <f aca="false">EINC!G58</f>
        <v>-9223.59193020348</v>
      </c>
      <c r="T111" s="53" t="n">
        <f aca="false">EINC!H58</f>
        <v>2449.49638601931</v>
      </c>
      <c r="U111" s="53" t="n">
        <f aca="false">EINC!I58</f>
        <v>-125.913819977978</v>
      </c>
      <c r="V111" s="191" t="n">
        <f aca="false">EINC!J58</f>
        <v>1179.97501101433</v>
      </c>
    </row>
    <row r="112" customFormat="false" ht="13.5" hidden="false" customHeight="false" outlineLevel="0" collapsed="false">
      <c r="N112" s="37" t="s">
        <v>455</v>
      </c>
      <c r="R112" s="79"/>
      <c r="S112" s="79"/>
      <c r="T112" s="79"/>
      <c r="U112" s="79"/>
      <c r="V112" s="191" t="n">
        <f aca="false">EINC!D64</f>
        <v>-4.75130601670894</v>
      </c>
    </row>
    <row r="113" customFormat="false" ht="13.5" hidden="false" customHeight="false" outlineLevel="0" collapsed="false">
      <c r="H113" s="24" t="s">
        <v>456</v>
      </c>
      <c r="I113" s="28"/>
      <c r="J113" s="28"/>
      <c r="K113" s="328" t="s">
        <v>457</v>
      </c>
      <c r="L113" s="27"/>
      <c r="N113" s="70" t="s">
        <v>458</v>
      </c>
      <c r="O113" s="71"/>
      <c r="P113" s="71"/>
      <c r="Q113" s="71"/>
      <c r="R113" s="329"/>
      <c r="S113" s="329"/>
      <c r="T113" s="329"/>
      <c r="U113" s="329"/>
      <c r="V113" s="285" t="n">
        <f aca="false">EINC!D65</f>
        <v>2149.46830815851</v>
      </c>
    </row>
    <row r="114" customFormat="false" ht="13.5" hidden="false" customHeight="false" outlineLevel="0" collapsed="false">
      <c r="H114" s="70" t="s">
        <v>459</v>
      </c>
      <c r="I114" s="71"/>
      <c r="J114" s="291" t="n">
        <v>0.01</v>
      </c>
      <c r="K114" s="71" t="s">
        <v>460</v>
      </c>
      <c r="L114" s="74"/>
    </row>
    <row r="122" customFormat="false" ht="12.75" hidden="false" customHeight="false" outlineLevel="0" collapsed="false">
      <c r="P122" s="201"/>
    </row>
  </sheetData>
  <mergeCells count="10">
    <mergeCell ref="X3:Y3"/>
    <mergeCell ref="C8:E8"/>
    <mergeCell ref="C10:E10"/>
    <mergeCell ref="C19:E19"/>
    <mergeCell ref="C31:E31"/>
    <mergeCell ref="C32:E32"/>
    <mergeCell ref="C33:E33"/>
    <mergeCell ref="C35:E35"/>
    <mergeCell ref="C36:E36"/>
    <mergeCell ref="AA82:AB82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4" name="Button 93">
              <controlPr defaultSize="0" print="false" autoFill="0" autoPict="0" macro="xls.Converge.Converge_Model">
                <anchor moveWithCells="true" sizeWithCells="false">
                  <from>
                    <xdr:col>0</xdr:col>
                    <xdr:colOff>1792080</xdr:colOff>
                    <xdr:row>2</xdr:row>
                    <xdr:rowOff>38520</xdr:rowOff>
                  </from>
                  <to>
                    <xdr:col>2</xdr:col>
                    <xdr:colOff>232920</xdr:colOff>
                    <xdr:row>4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5" name="Button 95">
              <controlPr defaultSize="0" print="false" autoFill="0" autoPict="0" macro="xls.Commit.Converge_Commit">
                <anchor moveWithCells="true" sizeWithCells="false">
                  <from>
                    <xdr:col>2</xdr:col>
                    <xdr:colOff>291960</xdr:colOff>
                    <xdr:row>2</xdr:row>
                    <xdr:rowOff>38520</xdr:rowOff>
                  </from>
                  <to>
                    <xdr:col>3</xdr:col>
                    <xdr:colOff>554040</xdr:colOff>
                    <xdr:row>4</xdr:row>
                    <xdr:rowOff>47520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6" name="Button 96">
              <controlPr defaultSize="0" print="false" autoFill="0" autoPict="0" macro="xls.Print_All.Print_Model">
                <anchor moveWithCells="true" sizeWithCells="false">
                  <from>
                    <xdr:col>3</xdr:col>
                    <xdr:colOff>633600</xdr:colOff>
                    <xdr:row>2</xdr:row>
                    <xdr:rowOff>29160</xdr:rowOff>
                  </from>
                  <to>
                    <xdr:col>5</xdr:col>
                    <xdr:colOff>232200</xdr:colOff>
                    <xdr:row>4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7" name="Button 97">
              <controlPr defaultSize="0" print="false" autoFill="0" autoPict="0" macro="xls.Print_Append.Print_Appendix">
                <anchor moveWithCells="true" sizeWithCells="false">
                  <from>
                    <xdr:col>5</xdr:col>
                    <xdr:colOff>311760</xdr:colOff>
                    <xdr:row>2</xdr:row>
                    <xdr:rowOff>38520</xdr:rowOff>
                  </from>
                  <to>
                    <xdr:col>7</xdr:col>
                    <xdr:colOff>405360</xdr:colOff>
                    <xdr:row>4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8" name="Button 393">
              <controlPr defaultSize="0" print="false" autoFill="0" autoPict="0" macro="xls.Subdebt.Subdebtloop_Model">
                <anchor moveWithCells="true" sizeWithCells="false">
                  <from>
                    <xdr:col>7</xdr:col>
                    <xdr:colOff>462960</xdr:colOff>
                    <xdr:row>2</xdr:row>
                    <xdr:rowOff>38520</xdr:rowOff>
                  </from>
                  <to>
                    <xdr:col>8</xdr:col>
                    <xdr:colOff>-882720</xdr:colOff>
                    <xdr:row>4</xdr:row>
                    <xdr:rowOff>56880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3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K30" activeCellId="0" sqref="K3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3.7"/>
    <col collapsed="false" customWidth="true" hidden="false" outlineLevel="0" max="2" min="2" style="1" width="27.7"/>
    <col collapsed="false" customWidth="true" hidden="false" outlineLevel="0" max="3" min="3" style="1" width="1.7"/>
    <col collapsed="false" customWidth="true" hidden="false" outlineLevel="0" max="4" min="4" style="1" width="10.71"/>
    <col collapsed="false" customWidth="true" hidden="false" outlineLevel="0" max="5" min="5" style="0" width="10.71"/>
    <col collapsed="false" customWidth="true" hidden="false" outlineLevel="0" max="6" min="6" style="1" width="1.7"/>
    <col collapsed="false" customWidth="true" hidden="false" outlineLevel="0" max="29" min="7" style="1" width="10.71"/>
    <col collapsed="false" customWidth="false" hidden="false" outlineLevel="0" max="257" min="30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"/>
      <c r="AE1" s="3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"/>
      <c r="AE2" s="3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"/>
      <c r="AE3" s="3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1487</v>
      </c>
      <c r="B4" s="632"/>
      <c r="C4" s="632"/>
      <c r="D4" s="632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"/>
      <c r="AE4" s="3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38"/>
      <c r="C5" s="388"/>
      <c r="E5" s="1"/>
      <c r="Z5" s="388"/>
      <c r="AA5" s="388"/>
      <c r="AB5" s="388"/>
      <c r="AC5" s="388"/>
      <c r="AD5" s="38"/>
      <c r="AE5" s="38"/>
      <c r="AF5" s="388"/>
      <c r="AG5" s="388"/>
      <c r="AH5" s="388"/>
      <c r="AI5" s="388"/>
      <c r="AJ5" s="388"/>
      <c r="AK5" s="388"/>
      <c r="AL5" s="388"/>
      <c r="AM5" s="388"/>
      <c r="AN5" s="388"/>
      <c r="AO5" s="388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763</v>
      </c>
      <c r="B6" s="28"/>
      <c r="C6" s="28"/>
      <c r="D6" s="28"/>
      <c r="E6" s="1181"/>
      <c r="F6" s="28"/>
      <c r="G6" s="538" t="n">
        <f aca="false">Rev_Exp!D6</f>
        <v>1</v>
      </c>
      <c r="H6" s="538" t="n">
        <f aca="false">Rev_Exp!E6</f>
        <v>2</v>
      </c>
      <c r="I6" s="538" t="n">
        <f aca="false">Rev_Exp!F6</f>
        <v>3</v>
      </c>
      <c r="J6" s="538" t="n">
        <f aca="false">Rev_Exp!G6</f>
        <v>4</v>
      </c>
      <c r="K6" s="538" t="n">
        <f aca="false">Rev_Exp!H6</f>
        <v>5</v>
      </c>
      <c r="L6" s="538" t="n">
        <f aca="false">Rev_Exp!I6</f>
        <v>6</v>
      </c>
      <c r="M6" s="538" t="n">
        <f aca="false">Rev_Exp!J6</f>
        <v>7</v>
      </c>
      <c r="N6" s="538" t="n">
        <f aca="false">Rev_Exp!K6</f>
        <v>8</v>
      </c>
      <c r="O6" s="538" t="n">
        <f aca="false">Rev_Exp!L6</f>
        <v>9</v>
      </c>
      <c r="P6" s="538" t="n">
        <f aca="false">Rev_Exp!M6</f>
        <v>10</v>
      </c>
      <c r="Q6" s="538" t="n">
        <f aca="false">Rev_Exp!N6</f>
        <v>11</v>
      </c>
      <c r="R6" s="538" t="n">
        <f aca="false">Rev_Exp!O6</f>
        <v>12</v>
      </c>
      <c r="S6" s="538" t="n">
        <f aca="false">Rev_Exp!P6</f>
        <v>13</v>
      </c>
      <c r="T6" s="538" t="n">
        <f aca="false">Rev_Exp!Q6</f>
        <v>14</v>
      </c>
      <c r="U6" s="538" t="n">
        <f aca="false">Rev_Exp!R6</f>
        <v>15</v>
      </c>
      <c r="V6" s="538" t="n">
        <f aca="false">Rev_Exp!S6</f>
        <v>16</v>
      </c>
      <c r="W6" s="538" t="n">
        <f aca="false">Rev_Exp!T6</f>
        <v>17</v>
      </c>
      <c r="X6" s="538" t="n">
        <f aca="false">Rev_Exp!U6</f>
        <v>18</v>
      </c>
      <c r="Y6" s="538" t="n">
        <f aca="false">Rev_Exp!V6</f>
        <v>19</v>
      </c>
      <c r="Z6" s="538" t="n">
        <f aca="false">Rev_Exp!W6</f>
        <v>20</v>
      </c>
      <c r="AA6" s="538" t="n">
        <f aca="false">Rev_Exp!X6</f>
        <v>21</v>
      </c>
      <c r="AB6" s="538" t="n">
        <f aca="false">Rev_Exp!Y6</f>
        <v>22</v>
      </c>
      <c r="AC6" s="539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541" t="s">
        <v>765</v>
      </c>
      <c r="B7" s="71"/>
      <c r="C7" s="71"/>
      <c r="D7" s="71"/>
      <c r="E7" s="373"/>
      <c r="F7" s="71"/>
      <c r="G7" s="543" t="n">
        <f aca="false">Rev_Exp!D7</f>
        <v>1998</v>
      </c>
      <c r="H7" s="543" t="n">
        <f aca="false">Rev_Exp!E7</f>
        <v>1999</v>
      </c>
      <c r="I7" s="543" t="n">
        <f aca="false">Rev_Exp!F7</f>
        <v>2000</v>
      </c>
      <c r="J7" s="543" t="n">
        <f aca="false">Rev_Exp!G7</f>
        <v>2001</v>
      </c>
      <c r="K7" s="543" t="n">
        <f aca="false">Rev_Exp!H7</f>
        <v>2002</v>
      </c>
      <c r="L7" s="543" t="n">
        <f aca="false">Rev_Exp!I7</f>
        <v>2003</v>
      </c>
      <c r="M7" s="543" t="n">
        <f aca="false">Rev_Exp!J7</f>
        <v>2004</v>
      </c>
      <c r="N7" s="543" t="n">
        <f aca="false">Rev_Exp!K7</f>
        <v>2005</v>
      </c>
      <c r="O7" s="543" t="n">
        <f aca="false">Rev_Exp!L7</f>
        <v>2006</v>
      </c>
      <c r="P7" s="543" t="n">
        <f aca="false">Rev_Exp!M7</f>
        <v>2007</v>
      </c>
      <c r="Q7" s="543" t="n">
        <f aca="false">Rev_Exp!N7</f>
        <v>2008</v>
      </c>
      <c r="R7" s="543" t="n">
        <f aca="false">Rev_Exp!O7</f>
        <v>2009</v>
      </c>
      <c r="S7" s="543" t="n">
        <f aca="false">Rev_Exp!P7</f>
        <v>2010</v>
      </c>
      <c r="T7" s="543" t="n">
        <f aca="false">Rev_Exp!Q7</f>
        <v>2011</v>
      </c>
      <c r="U7" s="543" t="n">
        <f aca="false">Rev_Exp!R7</f>
        <v>2012</v>
      </c>
      <c r="V7" s="543" t="n">
        <f aca="false">Rev_Exp!S7</f>
        <v>2013</v>
      </c>
      <c r="W7" s="543" t="n">
        <f aca="false">Rev_Exp!T7</f>
        <v>2014</v>
      </c>
      <c r="X7" s="543" t="n">
        <f aca="false">Rev_Exp!U7</f>
        <v>2015</v>
      </c>
      <c r="Y7" s="543" t="n">
        <f aca="false">Rev_Exp!V7</f>
        <v>2016</v>
      </c>
      <c r="Z7" s="543" t="n">
        <f aca="false">Rev_Exp!W7</f>
        <v>2017</v>
      </c>
      <c r="AA7" s="543" t="n">
        <f aca="false">Rev_Exp!X7</f>
        <v>2018</v>
      </c>
      <c r="AB7" s="543" t="n">
        <f aca="false">Rev_Exp!Y7</f>
        <v>2019</v>
      </c>
      <c r="AC7" s="544" t="s">
        <v>766</v>
      </c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45"/>
      <c r="B8" s="38"/>
      <c r="C8" s="38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8"/>
      <c r="AA8" s="388"/>
      <c r="AB8" s="388"/>
      <c r="AC8" s="614"/>
      <c r="AD8" s="38"/>
      <c r="AE8" s="38"/>
      <c r="AF8" s="388"/>
      <c r="AG8" s="388"/>
      <c r="AH8" s="388"/>
      <c r="AI8" s="388"/>
      <c r="AJ8" s="388"/>
      <c r="AK8" s="388"/>
      <c r="AL8" s="388"/>
      <c r="AM8" s="388"/>
      <c r="AN8" s="388"/>
      <c r="AO8" s="388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12.75" hidden="false" customHeight="false" outlineLevel="0" collapsed="false">
      <c r="A9" s="37" t="s">
        <v>1488</v>
      </c>
      <c r="B9" s="38"/>
      <c r="C9" s="38"/>
      <c r="D9" s="38"/>
      <c r="E9" s="388"/>
      <c r="F9" s="38"/>
      <c r="G9" s="215" t="n">
        <f aca="false">IF(G$7&lt;YEAR(Startops1),0,IF(G$7=YEAR(Startops1),13-MONTH(Startops1)-SUM(G10:G11),IF(G$7=2019,4,12)))</f>
        <v>0</v>
      </c>
      <c r="H9" s="215" t="n">
        <f aca="false">IF(H$7&lt;YEAR(Startops1),0,IF(H$7=YEAR(Startops1),13-MONTH(Startops1)-SUM(H10:H11),IF(H$7=2019,4,12)))</f>
        <v>9</v>
      </c>
      <c r="I9" s="215" t="n">
        <f aca="false">IF(I$7&lt;YEAR(Startops1),0,IF(I$7=YEAR(Startops1),13-MONTH(Startops1)-SUM(I10:I11),IF(I$7=2019,4,12)))</f>
        <v>12</v>
      </c>
      <c r="J9" s="215" t="n">
        <f aca="false">IF(J$7&lt;YEAR(Startops1),0,IF(J$7=YEAR(Startops1),13-MONTH(Startops1)-SUM(J10:J11),IF(J$7=2019,4,12)))</f>
        <v>12</v>
      </c>
      <c r="K9" s="215" t="n">
        <f aca="false">IF(K$7&lt;YEAR(Startops1),0,IF(K$7=YEAR(Startops1),13-MONTH(Startops1)-SUM(K10:K11),IF(K$7=2019,4,12)))</f>
        <v>12</v>
      </c>
      <c r="L9" s="215" t="n">
        <f aca="false">IF(L$7&lt;YEAR(Startops1),0,IF(L$7=YEAR(Startops1),13-MONTH(Startops1)-SUM(L10:L11),IF(L$7=2019,4,12)))</f>
        <v>12</v>
      </c>
      <c r="M9" s="215" t="n">
        <f aca="false">IF(M$7&lt;YEAR(Startops1),0,IF(M$7=YEAR(Startops1),13-MONTH(Startops1)-SUM(M10:M11),IF(M$7=2019,4,12)))</f>
        <v>12</v>
      </c>
      <c r="N9" s="215" t="n">
        <f aca="false">IF(N$7&lt;YEAR(Startops1),0,IF(N$7=YEAR(Startops1),13-MONTH(Startops1)-SUM(N10:N11),IF(N$7=2019,4,12)))</f>
        <v>12</v>
      </c>
      <c r="O9" s="215" t="n">
        <f aca="false">IF(O$7&lt;YEAR(Startops1),0,IF(O$7=YEAR(Startops1),13-MONTH(Startops1)-SUM(O10:O11),IF(O$7=2019,4,12)))</f>
        <v>12</v>
      </c>
      <c r="P9" s="215" t="n">
        <f aca="false">IF(P$7&lt;YEAR(Startops1),0,IF(P$7=YEAR(Startops1),13-MONTH(Startops1)-SUM(P10:P11),IF(P$7=2019,4,12)))</f>
        <v>12</v>
      </c>
      <c r="Q9" s="215" t="n">
        <f aca="false">IF(Q$7&lt;YEAR(Startops1),0,IF(Q$7=YEAR(Startops1),13-MONTH(Startops1)-SUM(Q10:Q11),IF(Q$7=2019,4,12)))</f>
        <v>12</v>
      </c>
      <c r="R9" s="215" t="n">
        <f aca="false">IF(R$7&lt;YEAR(Startops1),0,IF(R$7=YEAR(Startops1),13-MONTH(Startops1)-SUM(R10:R11),IF(R$7=2019,4,12)))</f>
        <v>12</v>
      </c>
      <c r="S9" s="215" t="n">
        <f aca="false">IF(S$7&lt;YEAR(Startops1),0,IF(S$7=YEAR(Startops1),13-MONTH(Startops1)-SUM(S10:S11),IF(S$7=2019,4,12)))</f>
        <v>12</v>
      </c>
      <c r="T9" s="215" t="n">
        <f aca="false">IF(T$7&lt;YEAR(Startops1),0,IF(T$7=YEAR(Startops1),13-MONTH(Startops1)-SUM(T10:T11),IF(T$7=2019,4,12)))</f>
        <v>12</v>
      </c>
      <c r="U9" s="215" t="n">
        <f aca="false">IF(U$7&lt;YEAR(Startops1),0,IF(U$7=YEAR(Startops1),13-MONTH(Startops1)-SUM(U10:U11),IF(U$7=2019,4,12)))</f>
        <v>12</v>
      </c>
      <c r="V9" s="215" t="n">
        <f aca="false">IF(V$7&lt;YEAR(Startops1),0,IF(V$7=YEAR(Startops1),13-MONTH(Startops1)-SUM(V10:V11),IF(V$7=2019,4,12)))</f>
        <v>12</v>
      </c>
      <c r="W9" s="215" t="n">
        <f aca="false">IF(W$7&lt;YEAR(Startops1),0,IF(W$7=YEAR(Startops1),13-MONTH(Startops1)-SUM(W10:W11),IF(W$7=2019,4,12)))</f>
        <v>12</v>
      </c>
      <c r="X9" s="215" t="n">
        <f aca="false">IF(X$7&lt;YEAR(Startops1),0,IF(X$7=YEAR(Startops1),13-MONTH(Startops1)-SUM(X10:X11),IF(X$7=2019,4,12)))</f>
        <v>12</v>
      </c>
      <c r="Y9" s="215" t="n">
        <f aca="false">IF(Y$7&lt;YEAR(Startops1),0,IF(Y$7=YEAR(Startops1),13-MONTH(Startops1)-SUM(Y10:Y11),IF(Y$7=2019,4,12)))</f>
        <v>12</v>
      </c>
      <c r="Z9" s="215" t="n">
        <f aca="false">IF(Z$7&lt;YEAR(Startops1),0,IF(Z$7=YEAR(Startops1),13-MONTH(Startops1)-SUM(Z10:Z11),IF(Z$7=2019,4,12)))</f>
        <v>12</v>
      </c>
      <c r="AA9" s="215" t="n">
        <f aca="false">IF(AA$7&lt;YEAR(Startops1),0,IF(AA$7=YEAR(Startops1),13-MONTH(Startops1)-SUM(AA10:AA11),IF(AA$7=2019,4,12)))</f>
        <v>12</v>
      </c>
      <c r="AB9" s="215" t="n">
        <f aca="false">IF(AB$7&lt;YEAR(Startops1),0,IF(AB$7=YEAR(Startops1),13-MONTH(Startops1)-SUM(AB10:AB11),IF(AB$7=2019,4,12)))</f>
        <v>4</v>
      </c>
      <c r="AC9" s="555" t="n">
        <f aca="false">SUM(G9:AB9)</f>
        <v>241</v>
      </c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37" t="s">
        <v>1489</v>
      </c>
      <c r="B10" s="38"/>
      <c r="C10" s="38"/>
      <c r="D10" s="38"/>
      <c r="E10" s="388"/>
      <c r="F10" s="38"/>
      <c r="G10" s="215" t="n">
        <f aca="false">IF(G$7&lt;YEAR(Startops2),0,IF(G$7=YEAR(Startops2),13-MONTH(Startops2),IF(G$7=2019,4,12)))</f>
        <v>0</v>
      </c>
      <c r="H10" s="215" t="n">
        <f aca="false">IF(H$7&lt;YEAR(Startops2),0,IF(H$7=YEAR(Startops2),13-MONTH(Startops2),IF(H$7=2019,4,12)))</f>
        <v>0</v>
      </c>
      <c r="I10" s="215" t="n">
        <f aca="false">IF(I$7&lt;YEAR(Startops2),0,IF(I$7=YEAR(Startops2),13-MONTH(Startops2),IF(I$7=2019,4,12)))</f>
        <v>0</v>
      </c>
      <c r="J10" s="215" t="n">
        <f aca="false">IF(J$7&lt;YEAR(Startops2),0,IF(J$7=YEAR(Startops2),13-MONTH(Startops2),IF(J$7=2019,4,12)))</f>
        <v>10</v>
      </c>
      <c r="K10" s="215" t="n">
        <f aca="false">IF(K$7&lt;YEAR(Startops2),0,IF(K$7=YEAR(Startops2),13-MONTH(Startops2),IF(K$7=2019,4,12)))</f>
        <v>12</v>
      </c>
      <c r="L10" s="215" t="n">
        <f aca="false">IF(L$7&lt;YEAR(Startops2),0,IF(L$7=YEAR(Startops2),13-MONTH(Startops2),IF(L$7=2019,4,12)))</f>
        <v>12</v>
      </c>
      <c r="M10" s="215" t="n">
        <f aca="false">IF(M$7&lt;YEAR(Startops2),0,IF(M$7=YEAR(Startops2),13-MONTH(Startops2),IF(M$7=2019,4,12)))</f>
        <v>12</v>
      </c>
      <c r="N10" s="215" t="n">
        <f aca="false">IF(N$7&lt;YEAR(Startops2),0,IF(N$7=YEAR(Startops2),13-MONTH(Startops2),IF(N$7=2019,4,12)))</f>
        <v>12</v>
      </c>
      <c r="O10" s="215" t="n">
        <f aca="false">IF(O$7&lt;YEAR(Startops2),0,IF(O$7=YEAR(Startops2),13-MONTH(Startops2),IF(O$7=2019,4,12)))</f>
        <v>12</v>
      </c>
      <c r="P10" s="215" t="n">
        <f aca="false">IF(P$7&lt;YEAR(Startops2),0,IF(P$7=YEAR(Startops2),13-MONTH(Startops2),IF(P$7=2019,4,12)))</f>
        <v>12</v>
      </c>
      <c r="Q10" s="215" t="n">
        <f aca="false">IF(Q$7&lt;YEAR(Startops2),0,IF(Q$7=YEAR(Startops2),13-MONTH(Startops2),IF(Q$7=2019,4,12)))</f>
        <v>12</v>
      </c>
      <c r="R10" s="215" t="n">
        <f aca="false">IF(R$7&lt;YEAR(Startops2),0,IF(R$7=YEAR(Startops2),13-MONTH(Startops2),IF(R$7=2019,4,12)))</f>
        <v>12</v>
      </c>
      <c r="S10" s="215" t="n">
        <f aca="false">IF(S$7&lt;YEAR(Startops2),0,IF(S$7=YEAR(Startops2),13-MONTH(Startops2),IF(S$7=2019,4,12)))</f>
        <v>12</v>
      </c>
      <c r="T10" s="215" t="n">
        <f aca="false">IF(T$7&lt;YEAR(Startops2),0,IF(T$7=YEAR(Startops2),13-MONTH(Startops2),IF(T$7=2019,4,12)))</f>
        <v>12</v>
      </c>
      <c r="U10" s="215" t="n">
        <f aca="false">IF(U$7&lt;YEAR(Startops2),0,IF(U$7=YEAR(Startops2),13-MONTH(Startops2),IF(U$7=2019,4,12)))</f>
        <v>12</v>
      </c>
      <c r="V10" s="215" t="n">
        <f aca="false">IF(V$7&lt;YEAR(Startops2),0,IF(V$7=YEAR(Startops2),13-MONTH(Startops2),IF(V$7=2019,4,12)))</f>
        <v>12</v>
      </c>
      <c r="W10" s="215" t="n">
        <f aca="false">IF(W$7&lt;YEAR(Startops2),0,IF(W$7=YEAR(Startops2),13-MONTH(Startops2),IF(W$7=2019,4,12)))</f>
        <v>12</v>
      </c>
      <c r="X10" s="215" t="n">
        <f aca="false">IF(X$7&lt;YEAR(Startops2),0,IF(X$7=YEAR(Startops2),13-MONTH(Startops2),IF(X$7=2019,4,12)))</f>
        <v>12</v>
      </c>
      <c r="Y10" s="215" t="n">
        <f aca="false">IF(Y$7&lt;YEAR(Startops2),0,IF(Y$7=YEAR(Startops2),13-MONTH(Startops2),IF(Y$7=2019,4,12)))</f>
        <v>12</v>
      </c>
      <c r="Z10" s="215" t="n">
        <f aca="false">IF(Z$7&lt;YEAR(Startops2),0,IF(Z$7=YEAR(Startops2),13-MONTH(Startops2),IF(Z$7=2019,4,12)))</f>
        <v>12</v>
      </c>
      <c r="AA10" s="215" t="n">
        <f aca="false">IF(AA$7&lt;YEAR(Startops2),0,IF(AA$7=YEAR(Startops2),13-MONTH(Startops2),IF(AA$7=2019,4,12)))</f>
        <v>12</v>
      </c>
      <c r="AB10" s="215" t="n">
        <f aca="false">IF(AB$7&lt;YEAR(Startops2),0,IF(AB$7=YEAR(Startops2),13-MONTH(Startops2),IF(AB$7=2019,4,12)))</f>
        <v>4</v>
      </c>
      <c r="AC10" s="555" t="n">
        <f aca="false">SUM(G10:AB10)</f>
        <v>218</v>
      </c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</row>
    <row r="11" customFormat="false" ht="12.75" hidden="false" customHeight="false" outlineLevel="0" collapsed="false">
      <c r="A11" s="37" t="s">
        <v>1490</v>
      </c>
      <c r="B11" s="38"/>
      <c r="C11" s="38"/>
      <c r="D11" s="38"/>
      <c r="E11" s="38"/>
      <c r="F11" s="38"/>
      <c r="G11" s="551" t="n">
        <f aca="false">IF(G$7&lt;YEAR(Startops3),0,IF(G$7=YEAR(Startops3),13-MONTH(Startops3),IF(G$7=2019,4,12)))</f>
        <v>0</v>
      </c>
      <c r="H11" s="551" t="n">
        <f aca="false">IF(H$7&lt;YEAR(Startops3),0,IF(H$7=YEAR(Startops3),13-MONTH(Startops3),IF(H$7=2019,4,12)))</f>
        <v>0</v>
      </c>
      <c r="I11" s="551" t="n">
        <f aca="false">IF(I$7&lt;YEAR(Startops3),0,IF(I$7=YEAR(Startops3),13-MONTH(Startops3),IF(I$7=2019,4,12)))</f>
        <v>0</v>
      </c>
      <c r="J11" s="551" t="n">
        <f aca="false">IF(J$7&lt;YEAR(Startops3),0,IF(J$7=YEAR(Startops3),13-MONTH(Startops3),IF(J$7=2019,4,12)))</f>
        <v>5</v>
      </c>
      <c r="K11" s="551" t="n">
        <f aca="false">IF(K$7&lt;YEAR(Startops3),0,IF(K$7=YEAR(Startops3),13-MONTH(Startops3),IF(K$7=2019,4,12)))</f>
        <v>12</v>
      </c>
      <c r="L11" s="551" t="n">
        <f aca="false">IF(L$7&lt;YEAR(Startops3),0,IF(L$7=YEAR(Startops3),13-MONTH(Startops3),IF(L$7=2019,4,12)))</f>
        <v>12</v>
      </c>
      <c r="M11" s="551" t="n">
        <f aca="false">IF(M$7&lt;YEAR(Startops3),0,IF(M$7=YEAR(Startops3),13-MONTH(Startops3),IF(M$7=2019,4,12)))</f>
        <v>12</v>
      </c>
      <c r="N11" s="551" t="n">
        <f aca="false">IF(N$7&lt;YEAR(Startops3),0,IF(N$7=YEAR(Startops3),13-MONTH(Startops3),IF(N$7=2019,4,12)))</f>
        <v>12</v>
      </c>
      <c r="O11" s="551" t="n">
        <f aca="false">IF(O$7&lt;YEAR(Startops3),0,IF(O$7=YEAR(Startops3),13-MONTH(Startops3),IF(O$7=2019,4,12)))</f>
        <v>12</v>
      </c>
      <c r="P11" s="551" t="n">
        <f aca="false">IF(P$7&lt;YEAR(Startops3),0,IF(P$7=YEAR(Startops3),13-MONTH(Startops3),IF(P$7=2019,4,12)))</f>
        <v>12</v>
      </c>
      <c r="Q11" s="551" t="n">
        <f aca="false">IF(Q$7&lt;YEAR(Startops3),0,IF(Q$7=YEAR(Startops3),13-MONTH(Startops3),IF(Q$7=2019,4,12)))</f>
        <v>12</v>
      </c>
      <c r="R11" s="551" t="n">
        <f aca="false">IF(R$7&lt;YEAR(Startops3),0,IF(R$7=YEAR(Startops3),13-MONTH(Startops3),IF(R$7=2019,4,12)))</f>
        <v>12</v>
      </c>
      <c r="S11" s="551" t="n">
        <f aca="false">IF(S$7&lt;YEAR(Startops3),0,IF(S$7=YEAR(Startops3),13-MONTH(Startops3),IF(S$7=2019,4,12)))</f>
        <v>12</v>
      </c>
      <c r="T11" s="551" t="n">
        <f aca="false">IF(T$7&lt;YEAR(Startops3),0,IF(T$7=YEAR(Startops3),13-MONTH(Startops3),IF(T$7=2019,4,12)))</f>
        <v>12</v>
      </c>
      <c r="U11" s="551" t="n">
        <f aca="false">IF(U$7&lt;YEAR(Startops3),0,IF(U$7=YEAR(Startops3),13-MONTH(Startops3),IF(U$7=2019,4,12)))</f>
        <v>12</v>
      </c>
      <c r="V11" s="551" t="n">
        <f aca="false">IF(V$7&lt;YEAR(Startops3),0,IF(V$7=YEAR(Startops3),13-MONTH(Startops3),IF(V$7=2019,4,12)))</f>
        <v>12</v>
      </c>
      <c r="W11" s="551" t="n">
        <f aca="false">IF(W$7&lt;YEAR(Startops3),0,IF(W$7=YEAR(Startops3),13-MONTH(Startops3),IF(W$7=2019,4,12)))</f>
        <v>12</v>
      </c>
      <c r="X11" s="551" t="n">
        <f aca="false">IF(X$7&lt;YEAR(Startops3),0,IF(X$7=YEAR(Startops3),13-MONTH(Startops3),IF(X$7=2019,4,12)))</f>
        <v>12</v>
      </c>
      <c r="Y11" s="551" t="n">
        <f aca="false">IF(Y$7&lt;YEAR(Startops3),0,IF(Y$7=YEAR(Startops3),13-MONTH(Startops3),IF(Y$7=2019,4,12)))</f>
        <v>12</v>
      </c>
      <c r="Z11" s="551" t="n">
        <f aca="false">IF(Z$7&lt;YEAR(Startops3),0,IF(Z$7=YEAR(Startops3),13-MONTH(Startops3),IF(Z$7=2019,4,12)))</f>
        <v>12</v>
      </c>
      <c r="AA11" s="551" t="n">
        <f aca="false">IF(AA$7&lt;YEAR(Startops3),0,IF(AA$7=YEAR(Startops3),13-MONTH(Startops3),IF(AA$7=2019,4,12)))</f>
        <v>12</v>
      </c>
      <c r="AB11" s="551" t="n">
        <f aca="false">IF(AB$7&lt;YEAR(Startops3),0,IF(AB$7=YEAR(Startops3),13-MONTH(Startops3),IF(AB$7=2019,4,12)))</f>
        <v>4</v>
      </c>
      <c r="AC11" s="740" t="n">
        <f aca="false">SUM(G11:AB11)</f>
        <v>213</v>
      </c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</row>
    <row r="12" customFormat="false" ht="12.75" hidden="false" customHeight="false" outlineLevel="0" collapsed="false">
      <c r="A12" s="55" t="s">
        <v>1491</v>
      </c>
      <c r="B12" s="62"/>
      <c r="C12" s="62"/>
      <c r="D12" s="62"/>
      <c r="E12" s="38"/>
      <c r="F12" s="62"/>
      <c r="G12" s="553" t="n">
        <f aca="false">Rev_Exp!D12</f>
        <v>0</v>
      </c>
      <c r="H12" s="553" t="n">
        <f aca="false">Rev_Exp!E12</f>
        <v>9</v>
      </c>
      <c r="I12" s="553" t="n">
        <f aca="false">Rev_Exp!F12</f>
        <v>12</v>
      </c>
      <c r="J12" s="553" t="n">
        <f aca="false">Rev_Exp!G12</f>
        <v>12</v>
      </c>
      <c r="K12" s="553" t="n">
        <f aca="false">Rev_Exp!H12</f>
        <v>12</v>
      </c>
      <c r="L12" s="553" t="n">
        <f aca="false">Rev_Exp!I12</f>
        <v>12</v>
      </c>
      <c r="M12" s="553" t="n">
        <f aca="false">Rev_Exp!J12</f>
        <v>12</v>
      </c>
      <c r="N12" s="553" t="n">
        <f aca="false">Rev_Exp!K12</f>
        <v>12</v>
      </c>
      <c r="O12" s="553" t="n">
        <f aca="false">Rev_Exp!L12</f>
        <v>12</v>
      </c>
      <c r="P12" s="553" t="n">
        <f aca="false">Rev_Exp!M12</f>
        <v>12</v>
      </c>
      <c r="Q12" s="553" t="n">
        <f aca="false">Rev_Exp!N12</f>
        <v>12</v>
      </c>
      <c r="R12" s="553" t="n">
        <f aca="false">Rev_Exp!O12</f>
        <v>12</v>
      </c>
      <c r="S12" s="553" t="n">
        <f aca="false">Rev_Exp!P12</f>
        <v>12</v>
      </c>
      <c r="T12" s="553" t="n">
        <f aca="false">Rev_Exp!Q12</f>
        <v>12</v>
      </c>
      <c r="U12" s="553" t="n">
        <f aca="false">Rev_Exp!R12</f>
        <v>12</v>
      </c>
      <c r="V12" s="553" t="n">
        <f aca="false">Rev_Exp!S12</f>
        <v>12</v>
      </c>
      <c r="W12" s="553" t="n">
        <f aca="false">Rev_Exp!T12</f>
        <v>12</v>
      </c>
      <c r="X12" s="553" t="n">
        <f aca="false">Rev_Exp!U12</f>
        <v>12</v>
      </c>
      <c r="Y12" s="553" t="n">
        <f aca="false">Rev_Exp!V12</f>
        <v>12</v>
      </c>
      <c r="Z12" s="553" t="n">
        <f aca="false">Rev_Exp!W12</f>
        <v>12</v>
      </c>
      <c r="AA12" s="553" t="n">
        <f aca="false">Rev_Exp!X12</f>
        <v>12</v>
      </c>
      <c r="AB12" s="553" t="n">
        <f aca="false">Rev_Exp!Y12</f>
        <v>4</v>
      </c>
      <c r="AC12" s="741" t="n">
        <f aca="false">SUM(G12:AB12)</f>
        <v>241</v>
      </c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</row>
    <row r="13" customFormat="false" ht="12.75" hidden="false" customHeight="false" outlineLevel="0" collapsed="false">
      <c r="A13" s="37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555"/>
    </row>
    <row r="14" customFormat="false" ht="12.75" hidden="false" customHeight="false" outlineLevel="0" collapsed="false">
      <c r="A14" s="37"/>
      <c r="B14" s="38"/>
      <c r="C14" s="38"/>
      <c r="D14" s="1182"/>
      <c r="E14" s="1183"/>
      <c r="F14" s="756"/>
      <c r="G14" s="1184" t="s">
        <v>1492</v>
      </c>
      <c r="H14" s="1184"/>
      <c r="I14" s="1184"/>
      <c r="J14" s="1184" t="s">
        <v>268</v>
      </c>
      <c r="K14" s="1184"/>
      <c r="L14" s="1184"/>
      <c r="M14" s="1185" t="s">
        <v>274</v>
      </c>
      <c r="N14" s="1185"/>
      <c r="O14" s="1185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555"/>
    </row>
    <row r="15" customFormat="false" ht="12.75" hidden="false" customHeight="false" outlineLevel="0" collapsed="false">
      <c r="A15" s="37"/>
      <c r="B15" s="38"/>
      <c r="C15" s="38"/>
      <c r="D15" s="1186"/>
      <c r="E15" s="1187"/>
      <c r="F15" s="595"/>
      <c r="G15" s="1188" t="s">
        <v>51</v>
      </c>
      <c r="H15" s="1189" t="s">
        <v>52</v>
      </c>
      <c r="I15" s="1189" t="s">
        <v>53</v>
      </c>
      <c r="J15" s="1188" t="s">
        <v>51</v>
      </c>
      <c r="K15" s="1189" t="s">
        <v>52</v>
      </c>
      <c r="L15" s="1189" t="s">
        <v>53</v>
      </c>
      <c r="M15" s="1188" t="s">
        <v>51</v>
      </c>
      <c r="N15" s="1189" t="s">
        <v>52</v>
      </c>
      <c r="O15" s="1190" t="s">
        <v>53</v>
      </c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555"/>
    </row>
    <row r="16" customFormat="false" ht="12.75" hidden="false" customHeight="false" outlineLevel="0" collapsed="false">
      <c r="A16" s="37"/>
      <c r="B16" s="38"/>
      <c r="C16" s="38"/>
      <c r="D16" s="1186" t="s">
        <v>1493</v>
      </c>
      <c r="E16" s="1187"/>
      <c r="F16" s="595"/>
      <c r="G16" s="1191" t="n">
        <f aca="false">Cost_I</f>
        <v>103168.350956621</v>
      </c>
      <c r="H16" s="788" t="n">
        <f aca="false">Cost_II</f>
        <v>103168.350956621</v>
      </c>
      <c r="I16" s="1192" t="n">
        <f aca="false">Cost_III</f>
        <v>137557.801275494</v>
      </c>
      <c r="J16" s="1191" t="n">
        <f aca="false">G16</f>
        <v>103168.350956621</v>
      </c>
      <c r="K16" s="788" t="n">
        <f aca="false">H16</f>
        <v>103168.350956621</v>
      </c>
      <c r="L16" s="788" t="n">
        <f aca="false">I16</f>
        <v>137557.801275494</v>
      </c>
      <c r="M16" s="1191" t="n">
        <f aca="false">G16</f>
        <v>103168.350956621</v>
      </c>
      <c r="N16" s="788" t="n">
        <f aca="false">H16</f>
        <v>103168.350956621</v>
      </c>
      <c r="O16" s="1037" t="n">
        <f aca="false">I16</f>
        <v>137557.801275494</v>
      </c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555"/>
    </row>
    <row r="17" customFormat="false" ht="12.75" hidden="false" customHeight="false" outlineLevel="0" collapsed="false">
      <c r="A17" s="37"/>
      <c r="B17" s="38"/>
      <c r="C17" s="38"/>
      <c r="D17" s="1186" t="s">
        <v>1494</v>
      </c>
      <c r="E17" s="1187"/>
      <c r="F17" s="595"/>
      <c r="G17" s="1191" t="n">
        <f aca="false">-IDC!$BA$62*Assm!S$5</f>
        <v>-2818.05475659666</v>
      </c>
      <c r="H17" s="788" t="n">
        <f aca="false">-IDC!$BA$62*Assm!T$5</f>
        <v>-2818.05475659666</v>
      </c>
      <c r="I17" s="788" t="n">
        <f aca="false">-IDC!$BA$62*Assm!U$5</f>
        <v>-3757.40634212889</v>
      </c>
      <c r="J17" s="1191" t="n">
        <f aca="false">G17</f>
        <v>-2818.05475659666</v>
      </c>
      <c r="K17" s="788" t="n">
        <f aca="false">H17</f>
        <v>-2818.05475659666</v>
      </c>
      <c r="L17" s="788" t="n">
        <f aca="false">I17</f>
        <v>-3757.40634212889</v>
      </c>
      <c r="M17" s="1191" t="n">
        <f aca="false">G17</f>
        <v>-2818.05475659666</v>
      </c>
      <c r="N17" s="788" t="n">
        <f aca="false">H17</f>
        <v>-2818.05475659666</v>
      </c>
      <c r="O17" s="1037" t="n">
        <f aca="false">I17</f>
        <v>-3757.40634212889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555"/>
    </row>
    <row r="18" customFormat="false" ht="11.25" hidden="false" customHeight="true" outlineLevel="0" collapsed="false">
      <c r="A18" s="37"/>
      <c r="B18" s="38"/>
      <c r="C18" s="38"/>
      <c r="D18" s="1186" t="s">
        <v>1495</v>
      </c>
      <c r="E18" s="1187"/>
      <c r="F18" s="595"/>
      <c r="G18" s="1191" t="n">
        <f aca="false">-Land1</f>
        <v>-162</v>
      </c>
      <c r="H18" s="788" t="n">
        <f aca="false">-Land2</f>
        <v>-162</v>
      </c>
      <c r="I18" s="788" t="n">
        <f aca="false">-Land3</f>
        <v>-216</v>
      </c>
      <c r="J18" s="1191" t="n">
        <f aca="false">G18</f>
        <v>-162</v>
      </c>
      <c r="K18" s="788" t="n">
        <f aca="false">H18</f>
        <v>-162</v>
      </c>
      <c r="L18" s="788" t="n">
        <f aca="false">I18</f>
        <v>-216</v>
      </c>
      <c r="M18" s="1191" t="n">
        <f aca="false">G18</f>
        <v>-162</v>
      </c>
      <c r="N18" s="788" t="n">
        <f aca="false">H18</f>
        <v>-162</v>
      </c>
      <c r="O18" s="1037" t="n">
        <f aca="false">I18</f>
        <v>-216</v>
      </c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555"/>
    </row>
    <row r="19" customFormat="false" ht="12.75" hidden="false" customHeight="false" outlineLevel="0" collapsed="false">
      <c r="A19" s="37"/>
      <c r="B19" s="38"/>
      <c r="C19" s="38"/>
      <c r="D19" s="1186" t="s">
        <v>1496</v>
      </c>
      <c r="E19" s="1187"/>
      <c r="F19" s="595"/>
      <c r="G19" s="1191" t="n">
        <f aca="false">-Wcap1</f>
        <v>-0</v>
      </c>
      <c r="H19" s="788" t="n">
        <f aca="false">-Wcap2</f>
        <v>-0</v>
      </c>
      <c r="I19" s="788" t="n">
        <f aca="false">-Wcap3</f>
        <v>-0</v>
      </c>
      <c r="J19" s="1191" t="n">
        <f aca="false">G19</f>
        <v>-0</v>
      </c>
      <c r="K19" s="788" t="n">
        <f aca="false">H19</f>
        <v>-0</v>
      </c>
      <c r="L19" s="788" t="n">
        <f aca="false">I19</f>
        <v>-0</v>
      </c>
      <c r="M19" s="1191" t="n">
        <f aca="false">G19</f>
        <v>-0</v>
      </c>
      <c r="N19" s="788" t="n">
        <f aca="false">H19</f>
        <v>-0</v>
      </c>
      <c r="O19" s="1037" t="n">
        <f aca="false">I19</f>
        <v>-0</v>
      </c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555"/>
    </row>
    <row r="20" customFormat="false" ht="12.75" hidden="false" customHeight="false" outlineLevel="0" collapsed="false">
      <c r="A20" s="37"/>
      <c r="B20" s="38"/>
      <c r="C20" s="38"/>
      <c r="D20" s="1186" t="s">
        <v>1497</v>
      </c>
      <c r="E20" s="1187"/>
      <c r="F20" s="595"/>
      <c r="G20" s="1193" t="n">
        <f aca="false">-Spares1-Assm!S40</f>
        <v>-1393.3482</v>
      </c>
      <c r="H20" s="1193" t="n">
        <f aca="false">-Spares2-Assm!T40</f>
        <v>-1393.3482</v>
      </c>
      <c r="I20" s="1193" t="n">
        <f aca="false">-Spares3-Assm!U40</f>
        <v>-1857.7976</v>
      </c>
      <c r="J20" s="1193" t="n">
        <f aca="false">G20</f>
        <v>-1393.3482</v>
      </c>
      <c r="K20" s="1194" t="n">
        <f aca="false">H20</f>
        <v>-1393.3482</v>
      </c>
      <c r="L20" s="1194" t="n">
        <f aca="false">I20</f>
        <v>-1857.7976</v>
      </c>
      <c r="M20" s="1193" t="n">
        <f aca="false">G20</f>
        <v>-1393.3482</v>
      </c>
      <c r="N20" s="1194" t="n">
        <f aca="false">H20</f>
        <v>-1393.3482</v>
      </c>
      <c r="O20" s="1195" t="n">
        <f aca="false">I20</f>
        <v>-1857.7976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555"/>
    </row>
    <row r="21" customFormat="false" ht="12.75" hidden="false" customHeight="false" outlineLevel="0" collapsed="false">
      <c r="A21" s="37"/>
      <c r="B21" s="38"/>
      <c r="C21" s="38"/>
      <c r="D21" s="1196" t="s">
        <v>1498</v>
      </c>
      <c r="E21" s="1197"/>
      <c r="F21" s="602"/>
      <c r="G21" s="1198" t="n">
        <f aca="false">SUM(G16:G20)</f>
        <v>98794.9480000242</v>
      </c>
      <c r="H21" s="792" t="n">
        <f aca="false">SUM(H16:H20)</f>
        <v>98794.9480000242</v>
      </c>
      <c r="I21" s="792" t="n">
        <f aca="false">SUM(I16:I20)</f>
        <v>131726.597333366</v>
      </c>
      <c r="J21" s="1198" t="n">
        <f aca="false">SUM(J16:J20)</f>
        <v>98794.9480000242</v>
      </c>
      <c r="K21" s="792" t="n">
        <f aca="false">SUM(K16:K20)</f>
        <v>98794.9480000242</v>
      </c>
      <c r="L21" s="792" t="n">
        <f aca="false">SUM(L16:L20)</f>
        <v>131726.597333366</v>
      </c>
      <c r="M21" s="1198" t="n">
        <f aca="false">SUM(M16:M20)</f>
        <v>98794.9480000242</v>
      </c>
      <c r="N21" s="792" t="n">
        <f aca="false">SUM(N16:N20)</f>
        <v>98794.9480000242</v>
      </c>
      <c r="O21" s="1199" t="n">
        <f aca="false">SUM(O16:O20)</f>
        <v>131726.597333366</v>
      </c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555"/>
    </row>
    <row r="22" customFormat="false" ht="12.75" hidden="false" customHeight="false" outlineLevel="0" collapsed="false">
      <c r="A22" s="37"/>
      <c r="B22" s="38"/>
      <c r="C22" s="38"/>
      <c r="D22" s="38"/>
      <c r="E22" s="38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555"/>
    </row>
    <row r="23" customFormat="false" ht="12.75" hidden="false" customHeight="false" outlineLevel="0" collapsed="false">
      <c r="A23" s="563"/>
      <c r="B23" s="38"/>
      <c r="C23" s="38"/>
      <c r="D23" s="38"/>
      <c r="E23" s="38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665"/>
    </row>
    <row r="24" customFormat="false" ht="12.75" hidden="false" customHeight="false" outlineLevel="0" collapsed="false">
      <c r="A24" s="1200" t="s">
        <v>1499</v>
      </c>
      <c r="B24" s="1201"/>
      <c r="C24" s="455"/>
      <c r="D24" s="456" t="s">
        <v>1500</v>
      </c>
      <c r="E24" s="456" t="s">
        <v>1500</v>
      </c>
      <c r="F24" s="455"/>
      <c r="G24" s="455"/>
      <c r="H24" s="455"/>
      <c r="I24" s="455"/>
      <c r="J24" s="455"/>
      <c r="K24" s="455"/>
      <c r="L24" s="455"/>
      <c r="M24" s="455"/>
      <c r="N24" s="455"/>
      <c r="O24" s="455"/>
      <c r="P24" s="455"/>
      <c r="Q24" s="455"/>
      <c r="R24" s="455"/>
      <c r="S24" s="455"/>
      <c r="T24" s="455"/>
      <c r="U24" s="455"/>
      <c r="V24" s="455"/>
      <c r="W24" s="455"/>
      <c r="X24" s="455"/>
      <c r="Y24" s="455"/>
      <c r="Z24" s="455"/>
      <c r="AA24" s="455"/>
      <c r="AB24" s="455"/>
      <c r="AC24" s="1202"/>
    </row>
    <row r="25" customFormat="false" ht="12.75" hidden="false" customHeight="false" outlineLevel="0" collapsed="false">
      <c r="A25" s="37" t="s">
        <v>1501</v>
      </c>
      <c r="B25" s="38"/>
      <c r="C25" s="38"/>
      <c r="D25" s="1203" t="s">
        <v>1502</v>
      </c>
      <c r="E25" s="1203" t="s">
        <v>1503</v>
      </c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555"/>
    </row>
    <row r="26" customFormat="false" ht="12.75" hidden="false" customHeight="false" outlineLevel="0" collapsed="false">
      <c r="A26" s="37"/>
      <c r="B26" s="38" t="s">
        <v>1504</v>
      </c>
      <c r="C26" s="38"/>
      <c r="D26" s="1204" t="n">
        <f aca="false">Assm!K50</f>
        <v>20</v>
      </c>
      <c r="E26" s="875" t="n">
        <f aca="false">Assm!J50</f>
        <v>98794.9480000242</v>
      </c>
      <c r="F26" s="38"/>
      <c r="G26" s="217" t="n">
        <f aca="false">IF(G$7&lt;YEAR(Startops1),0,IF($D26*12&gt;$AC$9,$E26*G$9/$AC$9,IF(SUM($G$9:G$9)&gt;=$D26*12,$E26-SUM($F26:F26),$E26/$D26*G$9/12)))</f>
        <v>0</v>
      </c>
      <c r="H26" s="217" t="n">
        <f aca="false">IF(H$7&lt;YEAR(Startops1),0,IF($D26*12&gt;$AC$9,$E26*H$9/$AC$9,IF(SUM($G$9:H$9)&gt;=$D26*12,$E26-SUM($F26:G26),$E26/$D26*H$9/12)))</f>
        <v>3704.81055000091</v>
      </c>
      <c r="I26" s="217" t="n">
        <f aca="false">IF(I$7&lt;YEAR(Startops1),0,IF($D26*12&gt;$AC$9,$E26*I$9/$AC$9,IF(SUM($G$9:I$9)&gt;=$D26*12,$E26-SUM($F26:H26),$E26/$D26*I$9/12)))</f>
        <v>4939.74740000121</v>
      </c>
      <c r="J26" s="217" t="n">
        <f aca="false">IF(J$7&lt;YEAR(Startops1),0,IF($D26*12&gt;$AC$9,$E26*J$9/$AC$9,IF(SUM($G$9:J$9)&gt;=$D26*12,$E26-SUM($F26:I26),$E26/$D26*J$9/12)))</f>
        <v>4939.74740000121</v>
      </c>
      <c r="K26" s="217" t="n">
        <f aca="false">IF(K$7&lt;YEAR(Startops1),0,IF($D26*12&gt;$AC$9,$E26*K$9/$AC$9,IF(SUM($G$9:K$9)&gt;=$D26*12,$E26-SUM($F26:J26),$E26/$D26*K$9/12)))</f>
        <v>4939.74740000121</v>
      </c>
      <c r="L26" s="217" t="n">
        <f aca="false">IF(L$7&lt;YEAR(Startops1),0,IF($D26*12&gt;$AC$9,$E26*L$9/$AC$9,IF(SUM($G$9:L$9)&gt;=$D26*12,$E26-SUM($F26:K26),$E26/$D26*L$9/12)))</f>
        <v>4939.74740000121</v>
      </c>
      <c r="M26" s="217" t="n">
        <f aca="false">IF(M$7&lt;YEAR(Startops1),0,IF($D26*12&gt;$AC$9,$E26*M$9/$AC$9,IF(SUM($G$9:M$9)&gt;=$D26*12,$E26-SUM($F26:L26),$E26/$D26*M$9/12)))</f>
        <v>4939.74740000121</v>
      </c>
      <c r="N26" s="217" t="n">
        <f aca="false">IF(N$7&lt;YEAR(Startops1),0,IF($D26*12&gt;$AC$9,$E26*N$9/$AC$9,IF(SUM($G$9:N$9)&gt;=$D26*12,$E26-SUM($F26:M26),$E26/$D26*N$9/12)))</f>
        <v>4939.74740000121</v>
      </c>
      <c r="O26" s="217" t="n">
        <f aca="false">IF(O$7&lt;YEAR(Startops1),0,IF($D26*12&gt;$AC$9,$E26*O$9/$AC$9,IF(SUM($G$9:O$9)&gt;=$D26*12,$E26-SUM($F26:N26),$E26/$D26*O$9/12)))</f>
        <v>4939.74740000121</v>
      </c>
      <c r="P26" s="217" t="n">
        <f aca="false">IF(P$7&lt;YEAR(Startops1),0,IF($D26*12&gt;$AC$9,$E26*P$9/$AC$9,IF(SUM($G$9:P$9)&gt;=$D26*12,$E26-SUM($F26:O26),$E26/$D26*P$9/12)))</f>
        <v>4939.74740000121</v>
      </c>
      <c r="Q26" s="217" t="n">
        <f aca="false">IF(Q$7&lt;YEAR(Startops1),0,IF($D26*12&gt;$AC$9,$E26*Q$9/$AC$9,IF(SUM($G$9:Q$9)&gt;=$D26*12,$E26-SUM($F26:P26),$E26/$D26*Q$9/12)))</f>
        <v>4939.74740000121</v>
      </c>
      <c r="R26" s="217" t="n">
        <f aca="false">IF(R$7&lt;YEAR(Startops1),0,IF($D26*12&gt;$AC$9,$E26*R$9/$AC$9,IF(SUM($G$9:R$9)&gt;=$D26*12,$E26-SUM($F26:Q26),$E26/$D26*R$9/12)))</f>
        <v>4939.74740000121</v>
      </c>
      <c r="S26" s="217" t="n">
        <f aca="false">IF(S$7&lt;YEAR(Startops1),0,IF($D26*12&gt;$AC$9,$E26*S$9/$AC$9,IF(SUM($G$9:S$9)&gt;=$D26*12,$E26-SUM($F26:R26),$E26/$D26*S$9/12)))</f>
        <v>4939.74740000121</v>
      </c>
      <c r="T26" s="217" t="n">
        <f aca="false">IF(T$7&lt;YEAR(Startops1),0,IF($D26*12&gt;$AC$9,$E26*T$9/$AC$9,IF(SUM($G$9:T$9)&gt;=$D26*12,$E26-SUM($F26:S26),$E26/$D26*T$9/12)))</f>
        <v>4939.74740000121</v>
      </c>
      <c r="U26" s="217" t="n">
        <f aca="false">IF(U$7&lt;YEAR(Startops1),0,IF($D26*12&gt;$AC$9,$E26*U$9/$AC$9,IF(SUM($G$9:U$9)&gt;=$D26*12,$E26-SUM($F26:T26),$E26/$D26*U$9/12)))</f>
        <v>4939.74740000121</v>
      </c>
      <c r="V26" s="217" t="n">
        <f aca="false">IF(V$7&lt;YEAR(Startops1),0,IF($D26*12&gt;$AC$9,$E26*V$9/$AC$9,IF(SUM($G$9:V$9)&gt;=$D26*12,$E26-SUM($F26:U26),$E26/$D26*V$9/12)))</f>
        <v>4939.74740000121</v>
      </c>
      <c r="W26" s="217" t="n">
        <f aca="false">IF(W$7&lt;YEAR(Startops1),0,IF($D26*12&gt;$AC$9,$E26*W$9/$AC$9,IF(SUM($G$9:W$9)&gt;=$D26*12,$E26-SUM($F26:V26),$E26/$D26*W$9/12)))</f>
        <v>4939.74740000121</v>
      </c>
      <c r="X26" s="217" t="n">
        <f aca="false">IF(X$7&lt;YEAR(Startops1),0,IF($D26*12&gt;$AC$9,$E26*X$9/$AC$9,IF(SUM($G$9:X$9)&gt;=$D26*12,$E26-SUM($F26:W26),$E26/$D26*X$9/12)))</f>
        <v>4939.74740000121</v>
      </c>
      <c r="Y26" s="217" t="n">
        <f aca="false">IF(Y$7&lt;YEAR(Startops1),0,IF($D26*12&gt;$AC$9,$E26*Y$9/$AC$9,IF(SUM($G$9:Y$9)&gt;=$D26*12,$E26-SUM($F26:X26),$E26/$D26*Y$9/12)))</f>
        <v>4939.74740000121</v>
      </c>
      <c r="Z26" s="217" t="n">
        <f aca="false">IF(Z$7&lt;YEAR(Startops1),0,IF($D26*12&gt;$AC$9,$E26*Z$9/$AC$9,IF(SUM($G$9:Z$9)&gt;=$D26*12,$E26-SUM($F26:Y26),$E26/$D26*Z$9/12)))</f>
        <v>4939.74740000121</v>
      </c>
      <c r="AA26" s="217" t="n">
        <f aca="false">IF(AA$7&lt;YEAR(Startops1),0,IF($D26*12&gt;$AC$9,$E26*AA$9/$AC$9,IF(SUM($G$9:AA$9)&gt;=$D26*12,$E26-SUM($F26:Z26),$E26/$D26*AA$9/12)))</f>
        <v>4939.74740000121</v>
      </c>
      <c r="AB26" s="217" t="n">
        <f aca="false">IF(AB$7&lt;YEAR(Startops1),0,IF($D26*12&gt;$AC$9,$E26*AB$9/$AC$9,IF(SUM($G$9:AB$9)&gt;=$D26*12,$E26-SUM($F26:AA26),$E26/$D26*AB$9/12)))</f>
        <v>1234.93685000029</v>
      </c>
      <c r="AC26" s="574" t="n">
        <f aca="false">SUM(G26:AB26)</f>
        <v>98794.9480000242</v>
      </c>
    </row>
    <row r="27" customFormat="false" ht="12.75" hidden="false" customHeight="false" outlineLevel="0" collapsed="false">
      <c r="A27" s="37"/>
      <c r="B27" s="38" t="s">
        <v>1505</v>
      </c>
      <c r="C27" s="38"/>
      <c r="D27" s="1204" t="n">
        <f aca="false">Assm!K51</f>
        <v>20</v>
      </c>
      <c r="E27" s="875" t="n">
        <f aca="false">Assm!J51</f>
        <v>98794.9480000242</v>
      </c>
      <c r="F27" s="38"/>
      <c r="G27" s="217" t="n">
        <f aca="false">IF(G$7&lt;YEAR(Startops1),0,IF($D27*12&gt;$AC$10,$E27*G$10/$AC$10,IF(SUM($G$10:G$10)&gt;=$D27*12,$E27-SUM($F27:F27),$E27/$D27*G$10/12)))</f>
        <v>0</v>
      </c>
      <c r="H27" s="217" t="n">
        <f aca="false">IF(H$7&lt;YEAR(Startops1),0,IF($D27*12&gt;$AC$10,$E27*H$10/$AC$10,IF(SUM($G$10:H$10)&gt;=$D27*12,$E27-SUM($F27:G27),$E27/$D27*H$10/12)))</f>
        <v>0</v>
      </c>
      <c r="I27" s="217" t="n">
        <f aca="false">IF(I$7&lt;YEAR(Startops1),0,IF($D27*12&gt;$AC$10,$E27*I$10/$AC$10,IF(SUM($G$10:I$10)&gt;=$D27*12,$E27-SUM($F27:H27),$E27/$D27*I$10/12)))</f>
        <v>0</v>
      </c>
      <c r="J27" s="217" t="n">
        <f aca="false">IF(J$7&lt;YEAR(Startops1),0,IF($D27*12&gt;$AC$10,$E27*J$10/$AC$10,IF(SUM($G$10:J$10)&gt;=$D27*12,$E27-SUM($F27:I27),$E27/$D27*J$10/12)))</f>
        <v>4531.87834862496</v>
      </c>
      <c r="K27" s="217" t="n">
        <f aca="false">IF(K$7&lt;YEAR(Startops1),0,IF($D27*12&gt;$AC$10,$E27*K$10/$AC$10,IF(SUM($G$10:K$10)&gt;=$D27*12,$E27-SUM($F27:J27),$E27/$D27*K$10/12)))</f>
        <v>5438.25401834996</v>
      </c>
      <c r="L27" s="217" t="n">
        <f aca="false">IF(L$7&lt;YEAR(Startops1),0,IF($D27*12&gt;$AC$10,$E27*L$10/$AC$10,IF(SUM($G$10:L$10)&gt;=$D27*12,$E27-SUM($F27:K27),$E27/$D27*L$10/12)))</f>
        <v>5438.25401834996</v>
      </c>
      <c r="M27" s="217" t="n">
        <f aca="false">IF(M$7&lt;YEAR(Startops1),0,IF($D27*12&gt;$AC$10,$E27*M$10/$AC$10,IF(SUM($G$10:M$10)&gt;=$D27*12,$E27-SUM($F27:L27),$E27/$D27*M$10/12)))</f>
        <v>5438.25401834996</v>
      </c>
      <c r="N27" s="217" t="n">
        <f aca="false">IF(N$7&lt;YEAR(Startops1),0,IF($D27*12&gt;$AC$10,$E27*N$10/$AC$10,IF(SUM($G$10:N$10)&gt;=$D27*12,$E27-SUM($F27:M27),$E27/$D27*N$10/12)))</f>
        <v>5438.25401834996</v>
      </c>
      <c r="O27" s="217" t="n">
        <f aca="false">IF(O$7&lt;YEAR(Startops1),0,IF($D27*12&gt;$AC$10,$E27*O$10/$AC$10,IF(SUM($G$10:O$10)&gt;=$D27*12,$E27-SUM($F27:N27),$E27/$D27*O$10/12)))</f>
        <v>5438.25401834996</v>
      </c>
      <c r="P27" s="217" t="n">
        <f aca="false">IF(P$7&lt;YEAR(Startops1),0,IF($D27*12&gt;$AC$10,$E27*P$10/$AC$10,IF(SUM($G$10:P$10)&gt;=$D27*12,$E27-SUM($F27:O27),$E27/$D27*P$10/12)))</f>
        <v>5438.25401834996</v>
      </c>
      <c r="Q27" s="217" t="n">
        <f aca="false">IF(Q$7&lt;YEAR(Startops1),0,IF($D27*12&gt;$AC$10,$E27*Q$10/$AC$10,IF(SUM($G$10:Q$10)&gt;=$D27*12,$E27-SUM($F27:P27),$E27/$D27*Q$10/12)))</f>
        <v>5438.25401834996</v>
      </c>
      <c r="R27" s="217" t="n">
        <f aca="false">IF(R$7&lt;YEAR(Startops1),0,IF($D27*12&gt;$AC$10,$E27*R$10/$AC$10,IF(SUM($G$10:R$10)&gt;=$D27*12,$E27-SUM($F27:Q27),$E27/$D27*R$10/12)))</f>
        <v>5438.25401834996</v>
      </c>
      <c r="S27" s="217" t="n">
        <f aca="false">IF(S$7&lt;YEAR(Startops1),0,IF($D27*12&gt;$AC$10,$E27*S$10/$AC$10,IF(SUM($G$10:S$10)&gt;=$D27*12,$E27-SUM($F27:R27),$E27/$D27*S$10/12)))</f>
        <v>5438.25401834996</v>
      </c>
      <c r="T27" s="217" t="n">
        <f aca="false">IF(T$7&lt;YEAR(Startops1),0,IF($D27*12&gt;$AC$10,$E27*T$10/$AC$10,IF(SUM($G$10:T$10)&gt;=$D27*12,$E27-SUM($F27:S27),$E27/$D27*T$10/12)))</f>
        <v>5438.25401834996</v>
      </c>
      <c r="U27" s="217" t="n">
        <f aca="false">IF(U$7&lt;YEAR(Startops1),0,IF($D27*12&gt;$AC$10,$E27*U$10/$AC$10,IF(SUM($G$10:U$10)&gt;=$D27*12,$E27-SUM($F27:T27),$E27/$D27*U$10/12)))</f>
        <v>5438.25401834996</v>
      </c>
      <c r="V27" s="217" t="n">
        <f aca="false">IF(V$7&lt;YEAR(Startops1),0,IF($D27*12&gt;$AC$10,$E27*V$10/$AC$10,IF(SUM($G$10:V$10)&gt;=$D27*12,$E27-SUM($F27:U27),$E27/$D27*V$10/12)))</f>
        <v>5438.25401834996</v>
      </c>
      <c r="W27" s="217" t="n">
        <f aca="false">IF(W$7&lt;YEAR(Startops1),0,IF($D27*12&gt;$AC$10,$E27*W$10/$AC$10,IF(SUM($G$10:W$10)&gt;=$D27*12,$E27-SUM($F27:V27),$E27/$D27*W$10/12)))</f>
        <v>5438.25401834996</v>
      </c>
      <c r="X27" s="217" t="n">
        <f aca="false">IF(X$7&lt;YEAR(Startops1),0,IF($D27*12&gt;$AC$10,$E27*X$10/$AC$10,IF(SUM($G$10:X$10)&gt;=$D27*12,$E27-SUM($F27:W27),$E27/$D27*X$10/12)))</f>
        <v>5438.25401834996</v>
      </c>
      <c r="Y27" s="217" t="n">
        <f aca="false">IF(Y$7&lt;YEAR(Startops1),0,IF($D27*12&gt;$AC$10,$E27*Y$10/$AC$10,IF(SUM($G$10:Y$10)&gt;=$D27*12,$E27-SUM($F27:X27),$E27/$D27*Y$10/12)))</f>
        <v>5438.25401834996</v>
      </c>
      <c r="Z27" s="217" t="n">
        <f aca="false">IF(Z$7&lt;YEAR(Startops1),0,IF($D27*12&gt;$AC$10,$E27*Z$10/$AC$10,IF(SUM($G$10:Z$10)&gt;=$D27*12,$E27-SUM($F27:Y27),$E27/$D27*Z$10/12)))</f>
        <v>5438.25401834996</v>
      </c>
      <c r="AA27" s="217" t="n">
        <f aca="false">IF(AA$7&lt;YEAR(Startops1),0,IF($D27*12&gt;$AC$10,$E27*AA$10/$AC$10,IF(SUM($G$10:AA$10)&gt;=$D27*12,$E27-SUM($F27:Z27),$E27/$D27*AA$10/12)))</f>
        <v>5438.25401834996</v>
      </c>
      <c r="AB27" s="217" t="n">
        <f aca="false">IF(AB$7&lt;YEAR(Startops1),0,IF($D27*12&gt;$AC$10,$E27*AB$10/$AC$10,IF(SUM($G$10:AB$10)&gt;=$D27*12,$E27-SUM($F27:AA27),$E27/$D27*AB$10/12)))</f>
        <v>1812.75133944999</v>
      </c>
      <c r="AC27" s="574" t="n">
        <f aca="false">SUM(G27:AB27)</f>
        <v>98794.9480000242</v>
      </c>
    </row>
    <row r="28" customFormat="false" ht="12.75" hidden="false" customHeight="false" outlineLevel="0" collapsed="false">
      <c r="A28" s="37"/>
      <c r="B28" s="38" t="s">
        <v>1506</v>
      </c>
      <c r="C28" s="38"/>
      <c r="D28" s="1204" t="n">
        <f aca="false">Assm!K52</f>
        <v>20</v>
      </c>
      <c r="E28" s="1205" t="n">
        <f aca="false">Assm!J52</f>
        <v>131726.597333366</v>
      </c>
      <c r="F28" s="38"/>
      <c r="G28" s="220" t="n">
        <f aca="false">IF(G$7&lt;YEAR(Startops1),0,IF($D28*12&gt;$AC$11,$E28*G$11/$AC$11,IF(SUM($G$11:G$11)&gt;=$D28*12,$E28-SUM($F28:F28),$E28/$D28*G$11/12)))</f>
        <v>0</v>
      </c>
      <c r="H28" s="220" t="n">
        <f aca="false">IF(H$7&lt;YEAR(Startops1),0,IF($D28*12&gt;$AC$11,$E28*H$11/$AC$11,IF(SUM($G$11:H$11)&gt;=$D28*12,$E28-SUM($F28:G28),$E28/$D28*H$11/12)))</f>
        <v>0</v>
      </c>
      <c r="I28" s="220" t="n">
        <f aca="false">IF(I$7&lt;YEAR(Startops1),0,IF($D28*12&gt;$AC$11,$E28*I$11/$AC$11,IF(SUM($G$11:I$11)&gt;=$D28*12,$E28-SUM($F28:H28),$E28/$D28*I$11/12)))</f>
        <v>0</v>
      </c>
      <c r="J28" s="220" t="n">
        <f aca="false">IF(J$7&lt;YEAR(Startops1),0,IF($D28*12&gt;$AC$11,$E28*J$11/$AC$11,IF(SUM($G$11:J$11)&gt;=$D28*12,$E28-SUM($F28:I28),$E28/$D28*J$11/12)))</f>
        <v>3092.17364632314</v>
      </c>
      <c r="K28" s="220" t="n">
        <f aca="false">IF(K$7&lt;YEAR(Startops1),0,IF($D28*12&gt;$AC$11,$E28*K$11/$AC$11,IF(SUM($G$11:K$11)&gt;=$D28*12,$E28-SUM($F28:J28),$E28/$D28*K$11/12)))</f>
        <v>7421.21675117553</v>
      </c>
      <c r="L28" s="220" t="n">
        <f aca="false">IF(L$7&lt;YEAR(Startops1),0,IF($D28*12&gt;$AC$11,$E28*L$11/$AC$11,IF(SUM($G$11:L$11)&gt;=$D28*12,$E28-SUM($F28:K28),$E28/$D28*L$11/12)))</f>
        <v>7421.21675117553</v>
      </c>
      <c r="M28" s="220" t="n">
        <f aca="false">IF(M$7&lt;YEAR(Startops1),0,IF($D28*12&gt;$AC$11,$E28*M$11/$AC$11,IF(SUM($G$11:M$11)&gt;=$D28*12,$E28-SUM($F28:L28),$E28/$D28*M$11/12)))</f>
        <v>7421.21675117553</v>
      </c>
      <c r="N28" s="220" t="n">
        <f aca="false">IF(N$7&lt;YEAR(Startops1),0,IF($D28*12&gt;$AC$11,$E28*N$11/$AC$11,IF(SUM($G$11:N$11)&gt;=$D28*12,$E28-SUM($F28:M28),$E28/$D28*N$11/12)))</f>
        <v>7421.21675117553</v>
      </c>
      <c r="O28" s="220" t="n">
        <f aca="false">IF(O$7&lt;YEAR(Startops1),0,IF($D28*12&gt;$AC$11,$E28*O$11/$AC$11,IF(SUM($G$11:O$11)&gt;=$D28*12,$E28-SUM($F28:N28),$E28/$D28*O$11/12)))</f>
        <v>7421.21675117553</v>
      </c>
      <c r="P28" s="220" t="n">
        <f aca="false">IF(P$7&lt;YEAR(Startops1),0,IF($D28*12&gt;$AC$11,$E28*P$11/$AC$11,IF(SUM($G$11:P$11)&gt;=$D28*12,$E28-SUM($F28:O28),$E28/$D28*P$11/12)))</f>
        <v>7421.21675117553</v>
      </c>
      <c r="Q28" s="220" t="n">
        <f aca="false">IF(Q$7&lt;YEAR(Startops1),0,IF($D28*12&gt;$AC$11,$E28*Q$11/$AC$11,IF(SUM($G$11:Q$11)&gt;=$D28*12,$E28-SUM($F28:P28),$E28/$D28*Q$11/12)))</f>
        <v>7421.21675117553</v>
      </c>
      <c r="R28" s="220" t="n">
        <f aca="false">IF(R$7&lt;YEAR(Startops1),0,IF($D28*12&gt;$AC$11,$E28*R$11/$AC$11,IF(SUM($G$11:R$11)&gt;=$D28*12,$E28-SUM($F28:Q28),$E28/$D28*R$11/12)))</f>
        <v>7421.21675117553</v>
      </c>
      <c r="S28" s="220" t="n">
        <f aca="false">IF(S$7&lt;YEAR(Startops1),0,IF($D28*12&gt;$AC$11,$E28*S$11/$AC$11,IF(SUM($G$11:S$11)&gt;=$D28*12,$E28-SUM($F28:R28),$E28/$D28*S$11/12)))</f>
        <v>7421.21675117553</v>
      </c>
      <c r="T28" s="220" t="n">
        <f aca="false">IF(T$7&lt;YEAR(Startops1),0,IF($D28*12&gt;$AC$11,$E28*T$11/$AC$11,IF(SUM($G$11:T$11)&gt;=$D28*12,$E28-SUM($F28:S28),$E28/$D28*T$11/12)))</f>
        <v>7421.21675117553</v>
      </c>
      <c r="U28" s="220" t="n">
        <f aca="false">IF(U$7&lt;YEAR(Startops1),0,IF($D28*12&gt;$AC$11,$E28*U$11/$AC$11,IF(SUM($G$11:U$11)&gt;=$D28*12,$E28-SUM($F28:T28),$E28/$D28*U$11/12)))</f>
        <v>7421.21675117553</v>
      </c>
      <c r="V28" s="220" t="n">
        <f aca="false">IF(V$7&lt;YEAR(Startops1),0,IF($D28*12&gt;$AC$11,$E28*V$11/$AC$11,IF(SUM($G$11:V$11)&gt;=$D28*12,$E28-SUM($F28:U28),$E28/$D28*V$11/12)))</f>
        <v>7421.21675117553</v>
      </c>
      <c r="W28" s="220" t="n">
        <f aca="false">IF(W$7&lt;YEAR(Startops1),0,IF($D28*12&gt;$AC$11,$E28*W$11/$AC$11,IF(SUM($G$11:W$11)&gt;=$D28*12,$E28-SUM($F28:V28),$E28/$D28*W$11/12)))</f>
        <v>7421.21675117553</v>
      </c>
      <c r="X28" s="220" t="n">
        <f aca="false">IF(X$7&lt;YEAR(Startops1),0,IF($D28*12&gt;$AC$11,$E28*X$11/$AC$11,IF(SUM($G$11:X$11)&gt;=$D28*12,$E28-SUM($F28:W28),$E28/$D28*X$11/12)))</f>
        <v>7421.21675117553</v>
      </c>
      <c r="Y28" s="220" t="n">
        <f aca="false">IF(Y$7&lt;YEAR(Startops1),0,IF($D28*12&gt;$AC$11,$E28*Y$11/$AC$11,IF(SUM($G$11:Y$11)&gt;=$D28*12,$E28-SUM($F28:X28),$E28/$D28*Y$11/12)))</f>
        <v>7421.21675117553</v>
      </c>
      <c r="Z28" s="220" t="n">
        <f aca="false">IF(Z$7&lt;YEAR(Startops1),0,IF($D28*12&gt;$AC$11,$E28*Z$11/$AC$11,IF(SUM($G$11:Z$11)&gt;=$D28*12,$E28-SUM($F28:Y28),$E28/$D28*Z$11/12)))</f>
        <v>7421.21675117553</v>
      </c>
      <c r="AA28" s="220" t="n">
        <f aca="false">IF(AA$7&lt;YEAR(Startops1),0,IF($D28*12&gt;$AC$11,$E28*AA$11/$AC$11,IF(SUM($G$11:AA$11)&gt;=$D28*12,$E28-SUM($F28:Z28),$E28/$D28*AA$11/12)))</f>
        <v>7421.21675117553</v>
      </c>
      <c r="AB28" s="220" t="n">
        <f aca="false">IF(AB$7&lt;YEAR(Startops1),0,IF($D28*12&gt;$AC$11,$E28*AB$11/$AC$11,IF(SUM($G$11:AB$11)&gt;=$D28*12,$E28-SUM($F28:AA28),$E28/$D28*AB$11/12)))</f>
        <v>2473.73891705851</v>
      </c>
      <c r="AC28" s="576" t="n">
        <f aca="false">SUM(G28:AB28)</f>
        <v>131726.597333366</v>
      </c>
    </row>
    <row r="29" customFormat="false" ht="12.75" hidden="false" customHeight="false" outlineLevel="0" collapsed="false">
      <c r="A29" s="37"/>
      <c r="B29" s="38" t="s">
        <v>1507</v>
      </c>
      <c r="C29" s="38"/>
      <c r="D29" s="1206"/>
      <c r="E29" s="875" t="n">
        <f aca="false">SUM(E26:E28)</f>
        <v>329316.493333414</v>
      </c>
      <c r="F29" s="38"/>
      <c r="G29" s="217" t="n">
        <f aca="false">SUM(G26:G28)</f>
        <v>0</v>
      </c>
      <c r="H29" s="217" t="n">
        <f aca="false">SUM(H26:H28)</f>
        <v>3704.81055000091</v>
      </c>
      <c r="I29" s="217" t="n">
        <f aca="false">SUM(I26:I28)</f>
        <v>4939.74740000121</v>
      </c>
      <c r="J29" s="217" t="n">
        <f aca="false">SUM(J26:J28)</f>
        <v>12563.7993949493</v>
      </c>
      <c r="K29" s="217" t="n">
        <f aca="false">SUM(K26:K28)</f>
        <v>17799.2181695267</v>
      </c>
      <c r="L29" s="217" t="n">
        <f aca="false">SUM(L26:L28)</f>
        <v>17799.2181695267</v>
      </c>
      <c r="M29" s="217" t="n">
        <f aca="false">SUM(M26:M28)</f>
        <v>17799.2181695267</v>
      </c>
      <c r="N29" s="217" t="n">
        <f aca="false">SUM(N26:N28)</f>
        <v>17799.2181695267</v>
      </c>
      <c r="O29" s="217" t="n">
        <f aca="false">SUM(O26:O28)</f>
        <v>17799.2181695267</v>
      </c>
      <c r="P29" s="217" t="n">
        <f aca="false">SUM(P26:P28)</f>
        <v>17799.2181695267</v>
      </c>
      <c r="Q29" s="217" t="n">
        <f aca="false">SUM(Q26:Q28)</f>
        <v>17799.2181695267</v>
      </c>
      <c r="R29" s="217" t="n">
        <f aca="false">SUM(R26:R28)</f>
        <v>17799.2181695267</v>
      </c>
      <c r="S29" s="217" t="n">
        <f aca="false">SUM(S26:S28)</f>
        <v>17799.2181695267</v>
      </c>
      <c r="T29" s="217" t="n">
        <f aca="false">SUM(T26:T28)</f>
        <v>17799.2181695267</v>
      </c>
      <c r="U29" s="217" t="n">
        <f aca="false">SUM(U26:U28)</f>
        <v>17799.2181695267</v>
      </c>
      <c r="V29" s="217" t="n">
        <f aca="false">SUM(V26:V28)</f>
        <v>17799.2181695267</v>
      </c>
      <c r="W29" s="217" t="n">
        <f aca="false">SUM(W26:W28)</f>
        <v>17799.2181695267</v>
      </c>
      <c r="X29" s="217" t="n">
        <f aca="false">SUM(X26:X28)</f>
        <v>17799.2181695267</v>
      </c>
      <c r="Y29" s="217" t="n">
        <f aca="false">SUM(Y26:Y28)</f>
        <v>17799.2181695267</v>
      </c>
      <c r="Z29" s="217" t="n">
        <f aca="false">SUM(Z26:Z28)</f>
        <v>17799.2181695267</v>
      </c>
      <c r="AA29" s="217" t="n">
        <f aca="false">SUM(AA26:AA28)</f>
        <v>17799.2181695267</v>
      </c>
      <c r="AB29" s="217" t="n">
        <f aca="false">SUM(AB26:AB28)</f>
        <v>5521.42710650878</v>
      </c>
      <c r="AC29" s="574" t="n">
        <f aca="false">SUM(AC26:AC28)</f>
        <v>329316.493333414</v>
      </c>
    </row>
    <row r="30" customFormat="false" ht="12.75" hidden="false" customHeight="false" outlineLevel="0" collapsed="false">
      <c r="A30" s="166"/>
      <c r="B30" s="131" t="s">
        <v>1508</v>
      </c>
      <c r="C30" s="38"/>
      <c r="D30" s="1206"/>
      <c r="E30" s="1206"/>
      <c r="F30" s="38"/>
      <c r="G30" s="754" t="n">
        <f aca="false">G29</f>
        <v>0</v>
      </c>
      <c r="H30" s="754" t="n">
        <f aca="false">G30+H29</f>
        <v>3704.81055000091</v>
      </c>
      <c r="I30" s="754" t="n">
        <f aca="false">H30+I29</f>
        <v>8644.55795000212</v>
      </c>
      <c r="J30" s="754" t="n">
        <f aca="false">I30+J29</f>
        <v>21208.3573449514</v>
      </c>
      <c r="K30" s="754" t="n">
        <f aca="false">J30+K29</f>
        <v>39007.5755144781</v>
      </c>
      <c r="L30" s="754" t="n">
        <f aca="false">K30+L29</f>
        <v>56806.7936840048</v>
      </c>
      <c r="M30" s="754" t="n">
        <f aca="false">L30+M29</f>
        <v>74606.0118535315</v>
      </c>
      <c r="N30" s="754" t="n">
        <f aca="false">M30+N29</f>
        <v>92405.2300230582</v>
      </c>
      <c r="O30" s="754" t="n">
        <f aca="false">N30+O29</f>
        <v>110204.448192585</v>
      </c>
      <c r="P30" s="754" t="n">
        <f aca="false">O30+P29</f>
        <v>128003.666362112</v>
      </c>
      <c r="Q30" s="754" t="n">
        <f aca="false">P30+Q29</f>
        <v>145802.884531638</v>
      </c>
      <c r="R30" s="754" t="n">
        <f aca="false">Q30+R29</f>
        <v>163602.102701165</v>
      </c>
      <c r="S30" s="754" t="n">
        <f aca="false">R30+S29</f>
        <v>181401.320870692</v>
      </c>
      <c r="T30" s="754" t="n">
        <f aca="false">S30+T29</f>
        <v>199200.539040218</v>
      </c>
      <c r="U30" s="754" t="n">
        <f aca="false">T30+U29</f>
        <v>216999.757209745</v>
      </c>
      <c r="V30" s="754" t="n">
        <f aca="false">U30+V29</f>
        <v>234798.975379272</v>
      </c>
      <c r="W30" s="754" t="n">
        <f aca="false">V30+W29</f>
        <v>252598.193548798</v>
      </c>
      <c r="X30" s="754" t="n">
        <f aca="false">W30+X29</f>
        <v>270397.411718325</v>
      </c>
      <c r="Y30" s="754" t="n">
        <f aca="false">X30+Y29</f>
        <v>288196.629887852</v>
      </c>
      <c r="Z30" s="754" t="n">
        <f aca="false">Y30+Z29</f>
        <v>305995.848057378</v>
      </c>
      <c r="AA30" s="754" t="n">
        <f aca="false">Z30+AA29</f>
        <v>323795.066226905</v>
      </c>
      <c r="AB30" s="754" t="n">
        <f aca="false">AA30+AB29</f>
        <v>329316.493333414</v>
      </c>
      <c r="AC30" s="574"/>
    </row>
    <row r="31" customFormat="false" ht="12.75" hidden="false" customHeight="false" outlineLevel="0" collapsed="false">
      <c r="A31" s="37"/>
      <c r="B31" s="38"/>
      <c r="C31" s="38"/>
      <c r="D31" s="1207"/>
      <c r="E31" s="1207"/>
      <c r="F31" s="38"/>
      <c r="G31" s="556"/>
      <c r="H31" s="556"/>
      <c r="I31" s="556"/>
      <c r="J31" s="556"/>
      <c r="K31" s="556"/>
      <c r="L31" s="556"/>
      <c r="M31" s="556"/>
      <c r="N31" s="556"/>
      <c r="O31" s="556"/>
      <c r="P31" s="556"/>
      <c r="Q31" s="556"/>
      <c r="R31" s="556"/>
      <c r="S31" s="556"/>
      <c r="T31" s="556"/>
      <c r="U31" s="556"/>
      <c r="V31" s="556"/>
      <c r="W31" s="556"/>
      <c r="X31" s="556"/>
      <c r="Y31" s="556"/>
      <c r="Z31" s="556"/>
      <c r="AA31" s="556"/>
      <c r="AB31" s="556"/>
      <c r="AC31" s="557"/>
    </row>
    <row r="32" customFormat="false" ht="12.75" hidden="false" customHeight="false" outlineLevel="0" collapsed="false">
      <c r="A32" s="37"/>
      <c r="B32" s="38" t="s">
        <v>1509</v>
      </c>
      <c r="C32" s="38"/>
      <c r="D32" s="1207"/>
      <c r="E32" s="1207"/>
      <c r="F32" s="38"/>
      <c r="G32" s="189" t="n">
        <v>0</v>
      </c>
      <c r="H32" s="217" t="n">
        <f aca="false">G35</f>
        <v>0</v>
      </c>
      <c r="I32" s="217" t="n">
        <f aca="false">H35</f>
        <v>95090.1374500233</v>
      </c>
      <c r="J32" s="217" t="n">
        <f aca="false">I35</f>
        <v>90150.3900500221</v>
      </c>
      <c r="K32" s="217" t="n">
        <f aca="false">J35</f>
        <v>308108.135988463</v>
      </c>
      <c r="L32" s="217" t="n">
        <f aca="false">K35</f>
        <v>290308.917818936</v>
      </c>
      <c r="M32" s="217" t="n">
        <f aca="false">L35</f>
        <v>272509.699649409</v>
      </c>
      <c r="N32" s="217" t="n">
        <f aca="false">M35</f>
        <v>254710.481479882</v>
      </c>
      <c r="O32" s="217" t="n">
        <f aca="false">N35</f>
        <v>236911.263310356</v>
      </c>
      <c r="P32" s="217" t="n">
        <f aca="false">O35</f>
        <v>219112.045140829</v>
      </c>
      <c r="Q32" s="217" t="n">
        <f aca="false">P35</f>
        <v>201312.826971302</v>
      </c>
      <c r="R32" s="217" t="n">
        <f aca="false">Q35</f>
        <v>183513.608801776</v>
      </c>
      <c r="S32" s="217" t="n">
        <f aca="false">R35</f>
        <v>165714.390632249</v>
      </c>
      <c r="T32" s="217" t="n">
        <f aca="false">S35</f>
        <v>147915.172462722</v>
      </c>
      <c r="U32" s="217" t="n">
        <f aca="false">T35</f>
        <v>130115.954293196</v>
      </c>
      <c r="V32" s="217" t="n">
        <f aca="false">U35</f>
        <v>112316.736123669</v>
      </c>
      <c r="W32" s="217" t="n">
        <f aca="false">V35</f>
        <v>94517.5179541422</v>
      </c>
      <c r="X32" s="217" t="n">
        <f aca="false">W35</f>
        <v>76718.2997846156</v>
      </c>
      <c r="Y32" s="217" t="n">
        <f aca="false">X35</f>
        <v>58919.0816150889</v>
      </c>
      <c r="Z32" s="217" t="n">
        <f aca="false">Y35</f>
        <v>41119.8634455622</v>
      </c>
      <c r="AA32" s="217" t="n">
        <f aca="false">Z35</f>
        <v>23320.6452760355</v>
      </c>
      <c r="AB32" s="217" t="n">
        <f aca="false">AA35</f>
        <v>5521.42710650878</v>
      </c>
      <c r="AC32" s="574"/>
    </row>
    <row r="33" customFormat="false" ht="12.75" hidden="false" customHeight="false" outlineLevel="0" collapsed="false">
      <c r="A33" s="37"/>
      <c r="B33" s="38" t="s">
        <v>1510</v>
      </c>
      <c r="C33" s="38"/>
      <c r="D33" s="1207"/>
      <c r="E33" s="1207"/>
      <c r="F33" s="38"/>
      <c r="G33" s="217" t="n">
        <f aca="false">IF(G$7=YEAR(Startops1),$E26,0)+IF(G$7=YEAR(Startops2),$E27,0)+IF(G$7=YEAR(Startops3),$E28,0)</f>
        <v>0</v>
      </c>
      <c r="H33" s="217" t="n">
        <f aca="false">IF(H$7=YEAR(Startops1),$E26,0)+IF(H$7=YEAR(Startops2),$E27,0)+IF(H$7=YEAR(Startops3),$E28,0)</f>
        <v>98794.9480000242</v>
      </c>
      <c r="I33" s="217" t="n">
        <f aca="false">IF(I$7=YEAR(Startops1),$E26,0)+IF(I$7=YEAR(Startops2),$E27,0)+IF(I$7=YEAR(Startops3),$E28,0)</f>
        <v>0</v>
      </c>
      <c r="J33" s="217" t="n">
        <f aca="false">IF(J$7=YEAR(Startops1),$E26,0)+IF(J$7=YEAR(Startops2),$E27,0)+IF(J$7=YEAR(Startops3),$E28,0)</f>
        <v>230521.54533339</v>
      </c>
      <c r="K33" s="217" t="n">
        <f aca="false">IF(K$7=YEAR(Startops1),$E26,0)+IF(K$7=YEAR(Startops2),$E27,0)+IF(K$7=YEAR(Startops3),$E28,0)</f>
        <v>0</v>
      </c>
      <c r="L33" s="217" t="n">
        <f aca="false">IF(L$7=YEAR(Startops1),$E26,0)+IF(L$7=YEAR(Startops2),$E27,0)+IF(L$7=YEAR(Startops3),$E28,0)</f>
        <v>0</v>
      </c>
      <c r="M33" s="217" t="n">
        <f aca="false">IF(M$7=YEAR(Startops1),$E26,0)+IF(M$7=YEAR(Startops2),$E27,0)+IF(M$7=YEAR(Startops3),$E28,0)</f>
        <v>0</v>
      </c>
      <c r="N33" s="217" t="n">
        <f aca="false">IF(N$7=YEAR(Startops1),$E26,0)+IF(N$7=YEAR(Startops2),$E27,0)+IF(N$7=YEAR(Startops3),$E28,0)</f>
        <v>0</v>
      </c>
      <c r="O33" s="217" t="n">
        <f aca="false">IF(O$7=YEAR(Startops1),$E26,0)+IF(O$7=YEAR(Startops2),$E27,0)+IF(O$7=YEAR(Startops3),$E28,0)</f>
        <v>0</v>
      </c>
      <c r="P33" s="217" t="n">
        <f aca="false">IF(P$7=YEAR(Startops1),$E26,0)+IF(P$7=YEAR(Startops2),$E27,0)+IF(P$7=YEAR(Startops3),$E28,0)</f>
        <v>0</v>
      </c>
      <c r="Q33" s="217" t="n">
        <f aca="false">IF(Q$7=YEAR(Startops1),$E26,0)+IF(Q$7=YEAR(Startops2),$E27,0)+IF(Q$7=YEAR(Startops3),$E28,0)</f>
        <v>0</v>
      </c>
      <c r="R33" s="217" t="n">
        <f aca="false">IF(R$7=YEAR(Startops1),$E26,0)+IF(R$7=YEAR(Startops2),$E27,0)+IF(R$7=YEAR(Startops3),$E28,0)</f>
        <v>0</v>
      </c>
      <c r="S33" s="217" t="n">
        <f aca="false">IF(S$7=YEAR(Startops1),$E26,0)+IF(S$7=YEAR(Startops2),$E27,0)+IF(S$7=YEAR(Startops3),$E28,0)</f>
        <v>0</v>
      </c>
      <c r="T33" s="217" t="n">
        <f aca="false">IF(T$7=YEAR(Startops1),$E26,0)+IF(T$7=YEAR(Startops2),$E27,0)+IF(T$7=YEAR(Startops3),$E28,0)</f>
        <v>0</v>
      </c>
      <c r="U33" s="217" t="n">
        <f aca="false">IF(U$7=YEAR(Startops1),$E26,0)+IF(U$7=YEAR(Startops2),$E27,0)+IF(U$7=YEAR(Startops3),$E28,0)</f>
        <v>0</v>
      </c>
      <c r="V33" s="217" t="n">
        <f aca="false">IF(V$7=YEAR(Startops1),$E26,0)+IF(V$7=YEAR(Startops2),$E27,0)+IF(V$7=YEAR(Startops3),$E28,0)</f>
        <v>0</v>
      </c>
      <c r="W33" s="217" t="n">
        <f aca="false">IF(W$7=YEAR(Startops1),$E26,0)+IF(W$7=YEAR(Startops2),$E27,0)+IF(W$7=YEAR(Startops3),$E28,0)</f>
        <v>0</v>
      </c>
      <c r="X33" s="217" t="n">
        <f aca="false">IF(X$7=YEAR(Startops1),$E26,0)+IF(X$7=YEAR(Startops2),$E27,0)+IF(X$7=YEAR(Startops3),$E28,0)</f>
        <v>0</v>
      </c>
      <c r="Y33" s="217" t="n">
        <f aca="false">IF(Y$7=YEAR(Startops1),$E26,0)+IF(Y$7=YEAR(Startops2),$E27,0)+IF(Y$7=YEAR(Startops3),$E28,0)</f>
        <v>0</v>
      </c>
      <c r="Z33" s="217" t="n">
        <f aca="false">IF(Z$7=YEAR(Startops1),$E26,0)+IF(Z$7=YEAR(Startops2),$E27,0)+IF(Z$7=YEAR(Startops3),$E28,0)</f>
        <v>0</v>
      </c>
      <c r="AA33" s="217" t="n">
        <f aca="false">IF(AA$7=YEAR(Startops1),$E26,0)+IF(AA$7=YEAR(Startops2),$E27,0)+IF(AA$7=YEAR(Startops3),$E28,0)</f>
        <v>0</v>
      </c>
      <c r="AB33" s="217" t="n">
        <f aca="false">IF(AB$7=YEAR(Startops1),$E26,0)+IF(AB$7=YEAR(Startops2),$E27,0)+IF(AB$7=YEAR(Startops3),$E28,0)</f>
        <v>0</v>
      </c>
      <c r="AC33" s="574" t="n">
        <f aca="false">SUM(G33:AB33)</f>
        <v>329316.493333414</v>
      </c>
    </row>
    <row r="34" customFormat="false" ht="12.75" hidden="false" customHeight="false" outlineLevel="0" collapsed="false">
      <c r="A34" s="37"/>
      <c r="B34" s="38" t="s">
        <v>1511</v>
      </c>
      <c r="C34" s="38"/>
      <c r="D34" s="1207"/>
      <c r="E34" s="1207"/>
      <c r="F34" s="38"/>
      <c r="G34" s="220" t="n">
        <f aca="false">-G29</f>
        <v>-0</v>
      </c>
      <c r="H34" s="220" t="n">
        <f aca="false">-H29</f>
        <v>-3704.81055000091</v>
      </c>
      <c r="I34" s="220" t="n">
        <f aca="false">-I29</f>
        <v>-4939.74740000121</v>
      </c>
      <c r="J34" s="220" t="n">
        <f aca="false">-J29</f>
        <v>-12563.7993949493</v>
      </c>
      <c r="K34" s="220" t="n">
        <f aca="false">-K29</f>
        <v>-17799.2181695267</v>
      </c>
      <c r="L34" s="220" t="n">
        <f aca="false">-L29</f>
        <v>-17799.2181695267</v>
      </c>
      <c r="M34" s="220" t="n">
        <f aca="false">-M29</f>
        <v>-17799.2181695267</v>
      </c>
      <c r="N34" s="220" t="n">
        <f aca="false">-N29</f>
        <v>-17799.2181695267</v>
      </c>
      <c r="O34" s="220" t="n">
        <f aca="false">-O29</f>
        <v>-17799.2181695267</v>
      </c>
      <c r="P34" s="220" t="n">
        <f aca="false">-P29</f>
        <v>-17799.2181695267</v>
      </c>
      <c r="Q34" s="220" t="n">
        <f aca="false">-Q29</f>
        <v>-17799.2181695267</v>
      </c>
      <c r="R34" s="220" t="n">
        <f aca="false">-R29</f>
        <v>-17799.2181695267</v>
      </c>
      <c r="S34" s="220" t="n">
        <f aca="false">-S29</f>
        <v>-17799.2181695267</v>
      </c>
      <c r="T34" s="220" t="n">
        <f aca="false">-T29</f>
        <v>-17799.2181695267</v>
      </c>
      <c r="U34" s="220" t="n">
        <f aca="false">-U29</f>
        <v>-17799.2181695267</v>
      </c>
      <c r="V34" s="220" t="n">
        <f aca="false">-V29</f>
        <v>-17799.2181695267</v>
      </c>
      <c r="W34" s="220" t="n">
        <f aca="false">-W29</f>
        <v>-17799.2181695267</v>
      </c>
      <c r="X34" s="220" t="n">
        <f aca="false">-X29</f>
        <v>-17799.2181695267</v>
      </c>
      <c r="Y34" s="220" t="n">
        <f aca="false">-Y29</f>
        <v>-17799.2181695267</v>
      </c>
      <c r="Z34" s="220" t="n">
        <f aca="false">-Z29</f>
        <v>-17799.2181695267</v>
      </c>
      <c r="AA34" s="220" t="n">
        <f aca="false">-AA29</f>
        <v>-17799.2181695267</v>
      </c>
      <c r="AB34" s="220" t="n">
        <f aca="false">-AB29</f>
        <v>-5521.42710650878</v>
      </c>
      <c r="AC34" s="576" t="n">
        <f aca="false">SUM(G34:AB34)</f>
        <v>-329316.493333414</v>
      </c>
    </row>
    <row r="35" customFormat="false" ht="12.75" hidden="false" customHeight="false" outlineLevel="0" collapsed="false">
      <c r="A35" s="563"/>
      <c r="B35" s="464" t="s">
        <v>1512</v>
      </c>
      <c r="C35" s="464"/>
      <c r="D35" s="1208"/>
      <c r="E35" s="1208"/>
      <c r="F35" s="464"/>
      <c r="G35" s="777" t="n">
        <f aca="false">SUM(G32:G34)</f>
        <v>0</v>
      </c>
      <c r="H35" s="777" t="n">
        <f aca="false">SUM(H32:H34)</f>
        <v>95090.1374500233</v>
      </c>
      <c r="I35" s="777" t="n">
        <f aca="false">SUM(I32:I34)</f>
        <v>90150.3900500221</v>
      </c>
      <c r="J35" s="777" t="n">
        <f aca="false">SUM(J32:J34)</f>
        <v>308108.135988463</v>
      </c>
      <c r="K35" s="777" t="n">
        <f aca="false">SUM(K32:K34)</f>
        <v>290308.917818936</v>
      </c>
      <c r="L35" s="777" t="n">
        <f aca="false">SUM(L32:L34)</f>
        <v>272509.699649409</v>
      </c>
      <c r="M35" s="777" t="n">
        <f aca="false">SUM(M32:M34)</f>
        <v>254710.481479882</v>
      </c>
      <c r="N35" s="777" t="n">
        <f aca="false">SUM(N32:N34)</f>
        <v>236911.263310356</v>
      </c>
      <c r="O35" s="777" t="n">
        <f aca="false">SUM(O32:O34)</f>
        <v>219112.045140829</v>
      </c>
      <c r="P35" s="777" t="n">
        <f aca="false">SUM(P32:P34)</f>
        <v>201312.826971302</v>
      </c>
      <c r="Q35" s="777" t="n">
        <f aca="false">SUM(Q32:Q34)</f>
        <v>183513.608801776</v>
      </c>
      <c r="R35" s="777" t="n">
        <f aca="false">SUM(R32:R34)</f>
        <v>165714.390632249</v>
      </c>
      <c r="S35" s="777" t="n">
        <f aca="false">SUM(S32:S34)</f>
        <v>147915.172462722</v>
      </c>
      <c r="T35" s="777" t="n">
        <f aca="false">SUM(T32:T34)</f>
        <v>130115.954293196</v>
      </c>
      <c r="U35" s="777" t="n">
        <f aca="false">SUM(U32:U34)</f>
        <v>112316.736123669</v>
      </c>
      <c r="V35" s="777" t="n">
        <f aca="false">SUM(V32:V34)</f>
        <v>94517.5179541422</v>
      </c>
      <c r="W35" s="777" t="n">
        <f aca="false">SUM(W32:W34)</f>
        <v>76718.2997846156</v>
      </c>
      <c r="X35" s="777" t="n">
        <f aca="false">SUM(X32:X34)</f>
        <v>58919.0816150889</v>
      </c>
      <c r="Y35" s="777" t="n">
        <f aca="false">SUM(Y32:Y34)</f>
        <v>41119.8634455622</v>
      </c>
      <c r="Z35" s="777" t="n">
        <f aca="false">SUM(Z32:Z34)</f>
        <v>23320.6452760355</v>
      </c>
      <c r="AA35" s="777" t="n">
        <f aca="false">SUM(AA32:AA34)</f>
        <v>5521.42710650878</v>
      </c>
      <c r="AB35" s="777" t="n">
        <f aca="false">SUM(AB32:AB34)</f>
        <v>0</v>
      </c>
      <c r="AC35" s="778"/>
    </row>
    <row r="36" customFormat="false" ht="12.75" hidden="false" customHeight="false" outlineLevel="0" collapsed="false">
      <c r="A36" s="37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555"/>
    </row>
    <row r="37" customFormat="false" ht="12.75" hidden="false" customHeight="false" outlineLevel="0" collapsed="false">
      <c r="A37" s="37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555"/>
    </row>
    <row r="38" customFormat="false" ht="12.75" hidden="false" customHeight="false" outlineLevel="0" collapsed="false">
      <c r="A38" s="1200" t="s">
        <v>1513</v>
      </c>
      <c r="B38" s="1201"/>
      <c r="C38" s="1201"/>
      <c r="D38" s="456" t="s">
        <v>1500</v>
      </c>
      <c r="E38" s="456" t="s">
        <v>1500</v>
      </c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1202"/>
    </row>
    <row r="39" customFormat="false" ht="12.75" hidden="false" customHeight="false" outlineLevel="0" collapsed="false">
      <c r="A39" s="37" t="s">
        <v>1514</v>
      </c>
      <c r="B39" s="38"/>
      <c r="C39" s="38"/>
      <c r="D39" s="1203" t="s">
        <v>1502</v>
      </c>
      <c r="E39" s="1203" t="s">
        <v>1503</v>
      </c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555"/>
    </row>
    <row r="40" customFormat="false" ht="12.75" hidden="false" customHeight="false" outlineLevel="0" collapsed="false">
      <c r="A40" s="37"/>
      <c r="B40" s="38" t="s">
        <v>1504</v>
      </c>
      <c r="C40" s="38"/>
      <c r="D40" s="1204" t="n">
        <f aca="false">Assm!K54</f>
        <v>20</v>
      </c>
      <c r="E40" s="875" t="n">
        <f aca="false">Assm!J54</f>
        <v>98794.9480000242</v>
      </c>
      <c r="F40" s="38"/>
      <c r="G40" s="217" t="n">
        <f aca="false">IF(G$7&lt;YEAR(Startops1),0,IF($D40*12&gt;$AC$9,$E40*G$9/$AC$9,IF(SUM($G$9:G$9)&gt;=$D40*12,$E40-SUM($F40:F40),$E40/$D40*G$9/12)))</f>
        <v>0</v>
      </c>
      <c r="H40" s="217" t="n">
        <f aca="false">IF(H$7&lt;YEAR(Startops1),0,IF($D40*12&gt;$AC$9,$E40*H$9/$AC$9,IF(SUM($G$9:H$9)&gt;=$D40*12,$E40-SUM($F40:G40),$E40/$D40*H$9/12)))</f>
        <v>3704.81055000091</v>
      </c>
      <c r="I40" s="217" t="n">
        <f aca="false">IF(I$7&lt;YEAR(Startops1),0,IF($D40*12&gt;$AC$9,$E40*I$9/$AC$9,IF(SUM($G$9:I$9)&gt;=$D40*12,$E40-SUM($F40:H40),$E40/$D40*I$9/12)))</f>
        <v>4939.74740000121</v>
      </c>
      <c r="J40" s="217" t="n">
        <f aca="false">IF(J$7&lt;YEAR(Startops1),0,IF($D40*12&gt;$AC$9,$E40*J$9/$AC$9,IF(SUM($G$9:J$9)&gt;=$D40*12,$E40-SUM($F40:I40),$E40/$D40*J$9/12)))</f>
        <v>4939.74740000121</v>
      </c>
      <c r="K40" s="217" t="n">
        <f aca="false">IF(K$7&lt;YEAR(Startops1),0,IF($D40*12&gt;$AC$9,$E40*K$9/$AC$9,IF(SUM($G$9:K$9)&gt;=$D40*12,$E40-SUM($F40:J40),$E40/$D40*K$9/12)))</f>
        <v>4939.74740000121</v>
      </c>
      <c r="L40" s="217" t="n">
        <f aca="false">IF(L$7&lt;YEAR(Startops1),0,IF($D40*12&gt;$AC$9,$E40*L$9/$AC$9,IF(SUM($G$9:L$9)&gt;=$D40*12,$E40-SUM($F40:K40),$E40/$D40*L$9/12)))</f>
        <v>4939.74740000121</v>
      </c>
      <c r="M40" s="217" t="n">
        <f aca="false">IF(M$7&lt;YEAR(Startops1),0,IF($D40*12&gt;$AC$9,$E40*M$9/$AC$9,IF(SUM($G$9:M$9)&gt;=$D40*12,$E40-SUM($F40:L40),$E40/$D40*M$9/12)))</f>
        <v>4939.74740000121</v>
      </c>
      <c r="N40" s="217" t="n">
        <f aca="false">IF(N$7&lt;YEAR(Startops1),0,IF($D40*12&gt;$AC$9,$E40*N$9/$AC$9,IF(SUM($G$9:N$9)&gt;=$D40*12,$E40-SUM($F40:M40),$E40/$D40*N$9/12)))</f>
        <v>4939.74740000121</v>
      </c>
      <c r="O40" s="217" t="n">
        <f aca="false">IF(O$7&lt;YEAR(Startops1),0,IF($D40*12&gt;$AC$9,$E40*O$9/$AC$9,IF(SUM($G$9:O$9)&gt;=$D40*12,$E40-SUM($F40:N40),$E40/$D40*O$9/12)))</f>
        <v>4939.74740000121</v>
      </c>
      <c r="P40" s="217" t="n">
        <f aca="false">IF(P$7&lt;YEAR(Startops1),0,IF($D40*12&gt;$AC$9,$E40*P$9/$AC$9,IF(SUM($G$9:P$9)&gt;=$D40*12,$E40-SUM($F40:O40),$E40/$D40*P$9/12)))</f>
        <v>4939.74740000121</v>
      </c>
      <c r="Q40" s="217" t="n">
        <f aca="false">IF(Q$7&lt;YEAR(Startops1),0,IF($D40*12&gt;$AC$9,$E40*Q$9/$AC$9,IF(SUM($G$9:Q$9)&gt;=$D40*12,$E40-SUM($F40:P40),$E40/$D40*Q$9/12)))</f>
        <v>4939.74740000121</v>
      </c>
      <c r="R40" s="217" t="n">
        <f aca="false">IF(R$7&lt;YEAR(Startops1),0,IF($D40*12&gt;$AC$9,$E40*R$9/$AC$9,IF(SUM($G$9:R$9)&gt;=$D40*12,$E40-SUM($F40:Q40),$E40/$D40*R$9/12)))</f>
        <v>4939.74740000121</v>
      </c>
      <c r="S40" s="217" t="n">
        <f aca="false">IF(S$7&lt;YEAR(Startops1),0,IF($D40*12&gt;$AC$9,$E40*S$9/$AC$9,IF(SUM($G$9:S$9)&gt;=$D40*12,$E40-SUM($F40:R40),$E40/$D40*S$9/12)))</f>
        <v>4939.74740000121</v>
      </c>
      <c r="T40" s="217" t="n">
        <f aca="false">IF(T$7&lt;YEAR(Startops1),0,IF($D40*12&gt;$AC$9,$E40*T$9/$AC$9,IF(SUM($G$9:T$9)&gt;=$D40*12,$E40-SUM($F40:S40),$E40/$D40*T$9/12)))</f>
        <v>4939.74740000121</v>
      </c>
      <c r="U40" s="217" t="n">
        <f aca="false">IF(U$7&lt;YEAR(Startops1),0,IF($D40*12&gt;$AC$9,$E40*U$9/$AC$9,IF(SUM($G$9:U$9)&gt;=$D40*12,$E40-SUM($F40:T40),$E40/$D40*U$9/12)))</f>
        <v>4939.74740000121</v>
      </c>
      <c r="V40" s="217" t="n">
        <f aca="false">IF(V$7&lt;YEAR(Startops1),0,IF($D40*12&gt;$AC$9,$E40*V$9/$AC$9,IF(SUM($G$9:V$9)&gt;=$D40*12,$E40-SUM($F40:U40),$E40/$D40*V$9/12)))</f>
        <v>4939.74740000121</v>
      </c>
      <c r="W40" s="217" t="n">
        <f aca="false">IF(W$7&lt;YEAR(Startops1),0,IF($D40*12&gt;$AC$9,$E40*W$9/$AC$9,IF(SUM($G$9:W$9)&gt;=$D40*12,$E40-SUM($F40:V40),$E40/$D40*W$9/12)))</f>
        <v>4939.74740000121</v>
      </c>
      <c r="X40" s="217" t="n">
        <f aca="false">IF(X$7&lt;YEAR(Startops1),0,IF($D40*12&gt;$AC$9,$E40*X$9/$AC$9,IF(SUM($G$9:X$9)&gt;=$D40*12,$E40-SUM($F40:W40),$E40/$D40*X$9/12)))</f>
        <v>4939.74740000121</v>
      </c>
      <c r="Y40" s="217" t="n">
        <f aca="false">IF(Y$7&lt;YEAR(Startops1),0,IF($D40*12&gt;$AC$9,$E40*Y$9/$AC$9,IF(SUM($G$9:Y$9)&gt;=$D40*12,$E40-SUM($F40:X40),$E40/$D40*Y$9/12)))</f>
        <v>4939.74740000121</v>
      </c>
      <c r="Z40" s="217" t="n">
        <f aca="false">IF(Z$7&lt;YEAR(Startops1),0,IF($D40*12&gt;$AC$9,$E40*Z$9/$AC$9,IF(SUM($G$9:Z$9)&gt;=$D40*12,$E40-SUM($F40:Y40),$E40/$D40*Z$9/12)))</f>
        <v>4939.74740000121</v>
      </c>
      <c r="AA40" s="217" t="n">
        <f aca="false">IF(AA$7&lt;YEAR(Startops1),0,IF($D40*12&gt;$AC$9,$E40*AA$9/$AC$9,IF(SUM($G$9:AA$9)&gt;=$D40*12,$E40-SUM($F40:Z40),$E40/$D40*AA$9/12)))</f>
        <v>4939.74740000121</v>
      </c>
      <c r="AB40" s="217" t="n">
        <f aca="false">IF(AB$7&lt;YEAR(Startops1),0,IF($D40*12&gt;$AC$9,$E40*AB$9/$AC$9,IF(SUM($G$9:AB$9)&gt;=$D40*12,$E40-SUM($F40:AA40),$E40/$D40*AB$9/12)))</f>
        <v>1234.93685000029</v>
      </c>
      <c r="AC40" s="574" t="n">
        <f aca="false">SUM(G40:AB40)</f>
        <v>98794.9480000242</v>
      </c>
    </row>
    <row r="41" customFormat="false" ht="12.75" hidden="false" customHeight="false" outlineLevel="0" collapsed="false">
      <c r="A41" s="37"/>
      <c r="B41" s="38" t="s">
        <v>1505</v>
      </c>
      <c r="C41" s="38"/>
      <c r="D41" s="1204" t="n">
        <f aca="false">Assm!K55</f>
        <v>20</v>
      </c>
      <c r="E41" s="875" t="n">
        <f aca="false">Assm!J55</f>
        <v>98794.9480000242</v>
      </c>
      <c r="F41" s="38"/>
      <c r="G41" s="217" t="n">
        <f aca="false">IF(G$7&lt;YEAR(Startops1),0,IF($D41*12&gt;$AC$10,$E41*G$10/$AC$10,IF(SUM($G$10:G$10)&gt;=$D41*12,$E41-SUM($F41:F41),$E41/$D41*G$10/12)))</f>
        <v>0</v>
      </c>
      <c r="H41" s="217" t="n">
        <f aca="false">IF(H$7&lt;YEAR(Startops1),0,IF($D41*12&gt;$AC$10,$E41*H$10/$AC$10,IF(SUM($G$10:H$10)&gt;=$D41*12,$E41-SUM($F41:G41),$E41/$D41*H$10/12)))</f>
        <v>0</v>
      </c>
      <c r="I41" s="217" t="n">
        <f aca="false">IF(I$7&lt;YEAR(Startops1),0,IF($D41*12&gt;$AC$10,$E41*I$10/$AC$10,IF(SUM($G$10:I$10)&gt;=$D41*12,$E41-SUM($F41:H41),$E41/$D41*I$10/12)))</f>
        <v>0</v>
      </c>
      <c r="J41" s="217" t="n">
        <f aca="false">IF(J$7&lt;YEAR(Startops1),0,IF($D41*12&gt;$AC$10,$E41*J$10/$AC$10,IF(SUM($G$10:J$10)&gt;=$D41*12,$E41-SUM($F41:I41),$E41/$D41*J$10/12)))</f>
        <v>4531.87834862496</v>
      </c>
      <c r="K41" s="217" t="n">
        <f aca="false">IF(K$7&lt;YEAR(Startops1),0,IF($D41*12&gt;$AC$10,$E41*K$10/$AC$10,IF(SUM($G$10:K$10)&gt;=$D41*12,$E41-SUM($F41:J41),$E41/$D41*K$10/12)))</f>
        <v>5438.25401834996</v>
      </c>
      <c r="L41" s="217" t="n">
        <f aca="false">IF(L$7&lt;YEAR(Startops1),0,IF($D41*12&gt;$AC$10,$E41*L$10/$AC$10,IF(SUM($G$10:L$10)&gt;=$D41*12,$E41-SUM($F41:K41),$E41/$D41*L$10/12)))</f>
        <v>5438.25401834996</v>
      </c>
      <c r="M41" s="217" t="n">
        <f aca="false">IF(M$7&lt;YEAR(Startops1),0,IF($D41*12&gt;$AC$10,$E41*M$10/$AC$10,IF(SUM($G$10:M$10)&gt;=$D41*12,$E41-SUM($F41:L41),$E41/$D41*M$10/12)))</f>
        <v>5438.25401834996</v>
      </c>
      <c r="N41" s="217" t="n">
        <f aca="false">IF(N$7&lt;YEAR(Startops1),0,IF($D41*12&gt;$AC$10,$E41*N$10/$AC$10,IF(SUM($G$10:N$10)&gt;=$D41*12,$E41-SUM($F41:M41),$E41/$D41*N$10/12)))</f>
        <v>5438.25401834996</v>
      </c>
      <c r="O41" s="217" t="n">
        <f aca="false">IF(O$7&lt;YEAR(Startops1),0,IF($D41*12&gt;$AC$10,$E41*O$10/$AC$10,IF(SUM($G$10:O$10)&gt;=$D41*12,$E41-SUM($F41:N41),$E41/$D41*O$10/12)))</f>
        <v>5438.25401834996</v>
      </c>
      <c r="P41" s="217" t="n">
        <f aca="false">IF(P$7&lt;YEAR(Startops1),0,IF($D41*12&gt;$AC$10,$E41*P$10/$AC$10,IF(SUM($G$10:P$10)&gt;=$D41*12,$E41-SUM($F41:O41),$E41/$D41*P$10/12)))</f>
        <v>5438.25401834996</v>
      </c>
      <c r="Q41" s="217" t="n">
        <f aca="false">IF(Q$7&lt;YEAR(Startops1),0,IF($D41*12&gt;$AC$10,$E41*Q$10/$AC$10,IF(SUM($G$10:Q$10)&gt;=$D41*12,$E41-SUM($F41:P41),$E41/$D41*Q$10/12)))</f>
        <v>5438.25401834996</v>
      </c>
      <c r="R41" s="217" t="n">
        <f aca="false">IF(R$7&lt;YEAR(Startops1),0,IF($D41*12&gt;$AC$10,$E41*R$10/$AC$10,IF(SUM($G$10:R$10)&gt;=$D41*12,$E41-SUM($F41:Q41),$E41/$D41*R$10/12)))</f>
        <v>5438.25401834996</v>
      </c>
      <c r="S41" s="217" t="n">
        <f aca="false">IF(S$7&lt;YEAR(Startops1),0,IF($D41*12&gt;$AC$10,$E41*S$10/$AC$10,IF(SUM($G$10:S$10)&gt;=$D41*12,$E41-SUM($F41:R41),$E41/$D41*S$10/12)))</f>
        <v>5438.25401834996</v>
      </c>
      <c r="T41" s="217" t="n">
        <f aca="false">IF(T$7&lt;YEAR(Startops1),0,IF($D41*12&gt;$AC$10,$E41*T$10/$AC$10,IF(SUM($G$10:T$10)&gt;=$D41*12,$E41-SUM($F41:S41),$E41/$D41*T$10/12)))</f>
        <v>5438.25401834996</v>
      </c>
      <c r="U41" s="217" t="n">
        <f aca="false">IF(U$7&lt;YEAR(Startops1),0,IF($D41*12&gt;$AC$10,$E41*U$10/$AC$10,IF(SUM($G$10:U$10)&gt;=$D41*12,$E41-SUM($F41:T41),$E41/$D41*U$10/12)))</f>
        <v>5438.25401834996</v>
      </c>
      <c r="V41" s="217" t="n">
        <f aca="false">IF(V$7&lt;YEAR(Startops1),0,IF($D41*12&gt;$AC$10,$E41*V$10/$AC$10,IF(SUM($G$10:V$10)&gt;=$D41*12,$E41-SUM($F41:U41),$E41/$D41*V$10/12)))</f>
        <v>5438.25401834996</v>
      </c>
      <c r="W41" s="217" t="n">
        <f aca="false">IF(W$7&lt;YEAR(Startops1),0,IF($D41*12&gt;$AC$10,$E41*W$10/$AC$10,IF(SUM($G$10:W$10)&gt;=$D41*12,$E41-SUM($F41:V41),$E41/$D41*W$10/12)))</f>
        <v>5438.25401834996</v>
      </c>
      <c r="X41" s="217" t="n">
        <f aca="false">IF(X$7&lt;YEAR(Startops1),0,IF($D41*12&gt;$AC$10,$E41*X$10/$AC$10,IF(SUM($G$10:X$10)&gt;=$D41*12,$E41-SUM($F41:W41),$E41/$D41*X$10/12)))</f>
        <v>5438.25401834996</v>
      </c>
      <c r="Y41" s="217" t="n">
        <f aca="false">IF(Y$7&lt;YEAR(Startops1),0,IF($D41*12&gt;$AC$10,$E41*Y$10/$AC$10,IF(SUM($G$10:Y$10)&gt;=$D41*12,$E41-SUM($F41:X41),$E41/$D41*Y$10/12)))</f>
        <v>5438.25401834996</v>
      </c>
      <c r="Z41" s="217" t="n">
        <f aca="false">IF(Z$7&lt;YEAR(Startops1),0,IF($D41*12&gt;$AC$10,$E41*Z$10/$AC$10,IF(SUM($G$10:Z$10)&gt;=$D41*12,$E41-SUM($F41:Y41),$E41/$D41*Z$10/12)))</f>
        <v>5438.25401834996</v>
      </c>
      <c r="AA41" s="217" t="n">
        <f aca="false">IF(AA$7&lt;YEAR(Startops1),0,IF($D41*12&gt;$AC$10,$E41*AA$10/$AC$10,IF(SUM($G$10:AA$10)&gt;=$D41*12,$E41-SUM($F41:Z41),$E41/$D41*AA$10/12)))</f>
        <v>5438.25401834996</v>
      </c>
      <c r="AB41" s="217" t="n">
        <f aca="false">IF(AB$7&lt;YEAR(Startops1),0,IF($D41*12&gt;$AC$10,$E41*AB$10/$AC$10,IF(SUM($G$10:AB$10)&gt;=$D41*12,$E41-SUM($F41:AA41),$E41/$D41*AB$10/12)))</f>
        <v>1812.75133944999</v>
      </c>
      <c r="AC41" s="574" t="n">
        <f aca="false">SUM(G41:AB41)</f>
        <v>98794.9480000242</v>
      </c>
    </row>
    <row r="42" customFormat="false" ht="12.75" hidden="false" customHeight="false" outlineLevel="0" collapsed="false">
      <c r="A42" s="37"/>
      <c r="B42" s="38" t="s">
        <v>1506</v>
      </c>
      <c r="C42" s="38"/>
      <c r="D42" s="1204" t="n">
        <f aca="false">Assm!K56</f>
        <v>20</v>
      </c>
      <c r="E42" s="1205" t="n">
        <f aca="false">Assm!J56</f>
        <v>131726.597333366</v>
      </c>
      <c r="F42" s="38"/>
      <c r="G42" s="220" t="n">
        <f aca="false">IF(G$7&lt;YEAR(Startops1),0,IF($D42*12&gt;$AC$11,$E42*G$11/$AC$11,IF(SUM($G$11:G$11)&gt;=$D42*12,$E42-SUM($F42:F42),$E42/$D42*G$11/12)))</f>
        <v>0</v>
      </c>
      <c r="H42" s="220" t="n">
        <f aca="false">IF(H$7&lt;YEAR(Startops1),0,IF($D42*12&gt;$AC$11,$E42*H$11/$AC$11,IF(SUM($G$11:H$11)&gt;=$D42*12,$E42-SUM($F42:G42),$E42/$D42*H$11/12)))</f>
        <v>0</v>
      </c>
      <c r="I42" s="220" t="n">
        <f aca="false">IF(I$7&lt;YEAR(Startops1),0,IF($D42*12&gt;$AC$11,$E42*I$11/$AC$11,IF(SUM($G$11:I$11)&gt;=$D42*12,$E42-SUM($F42:H42),$E42/$D42*I$11/12)))</f>
        <v>0</v>
      </c>
      <c r="J42" s="220" t="n">
        <f aca="false">IF(J$7&lt;YEAR(Startops1),0,IF($D42*12&gt;$AC$11,$E42*J$11/$AC$11,IF(SUM($G$11:J$11)&gt;=$D42*12,$E42-SUM($F42:I42),$E42/$D42*J$11/12)))</f>
        <v>3092.17364632314</v>
      </c>
      <c r="K42" s="220" t="n">
        <f aca="false">IF(K$7&lt;YEAR(Startops1),0,IF($D42*12&gt;$AC$11,$E42*K$11/$AC$11,IF(SUM($G$11:K$11)&gt;=$D42*12,$E42-SUM($F42:J42),$E42/$D42*K$11/12)))</f>
        <v>7421.21675117553</v>
      </c>
      <c r="L42" s="220" t="n">
        <f aca="false">IF(L$7&lt;YEAR(Startops1),0,IF($D42*12&gt;$AC$11,$E42*L$11/$AC$11,IF(SUM($G$11:L$11)&gt;=$D42*12,$E42-SUM($F42:K42),$E42/$D42*L$11/12)))</f>
        <v>7421.21675117553</v>
      </c>
      <c r="M42" s="220" t="n">
        <f aca="false">IF(M$7&lt;YEAR(Startops1),0,IF($D42*12&gt;$AC$11,$E42*M$11/$AC$11,IF(SUM($G$11:M$11)&gt;=$D42*12,$E42-SUM($F42:L42),$E42/$D42*M$11/12)))</f>
        <v>7421.21675117553</v>
      </c>
      <c r="N42" s="220" t="n">
        <f aca="false">IF(N$7&lt;YEAR(Startops1),0,IF($D42*12&gt;$AC$11,$E42*N$11/$AC$11,IF(SUM($G$11:N$11)&gt;=$D42*12,$E42-SUM($F42:M42),$E42/$D42*N$11/12)))</f>
        <v>7421.21675117553</v>
      </c>
      <c r="O42" s="220" t="n">
        <f aca="false">IF(O$7&lt;YEAR(Startops1),0,IF($D42*12&gt;$AC$11,$E42*O$11/$AC$11,IF(SUM($G$11:O$11)&gt;=$D42*12,$E42-SUM($F42:N42),$E42/$D42*O$11/12)))</f>
        <v>7421.21675117553</v>
      </c>
      <c r="P42" s="220" t="n">
        <f aca="false">IF(P$7&lt;YEAR(Startops1),0,IF($D42*12&gt;$AC$11,$E42*P$11/$AC$11,IF(SUM($G$11:P$11)&gt;=$D42*12,$E42-SUM($F42:O42),$E42/$D42*P$11/12)))</f>
        <v>7421.21675117553</v>
      </c>
      <c r="Q42" s="220" t="n">
        <f aca="false">IF(Q$7&lt;YEAR(Startops1),0,IF($D42*12&gt;$AC$11,$E42*Q$11/$AC$11,IF(SUM($G$11:Q$11)&gt;=$D42*12,$E42-SUM($F42:P42),$E42/$D42*Q$11/12)))</f>
        <v>7421.21675117553</v>
      </c>
      <c r="R42" s="220" t="n">
        <f aca="false">IF(R$7&lt;YEAR(Startops1),0,IF($D42*12&gt;$AC$11,$E42*R$11/$AC$11,IF(SUM($G$11:R$11)&gt;=$D42*12,$E42-SUM($F42:Q42),$E42/$D42*R$11/12)))</f>
        <v>7421.21675117553</v>
      </c>
      <c r="S42" s="220" t="n">
        <f aca="false">IF(S$7&lt;YEAR(Startops1),0,IF($D42*12&gt;$AC$11,$E42*S$11/$AC$11,IF(SUM($G$11:S$11)&gt;=$D42*12,$E42-SUM($F42:R42),$E42/$D42*S$11/12)))</f>
        <v>7421.21675117553</v>
      </c>
      <c r="T42" s="220" t="n">
        <f aca="false">IF(T$7&lt;YEAR(Startops1),0,IF($D42*12&gt;$AC$11,$E42*T$11/$AC$11,IF(SUM($G$11:T$11)&gt;=$D42*12,$E42-SUM($F42:S42),$E42/$D42*T$11/12)))</f>
        <v>7421.21675117553</v>
      </c>
      <c r="U42" s="220" t="n">
        <f aca="false">IF(U$7&lt;YEAR(Startops1),0,IF($D42*12&gt;$AC$11,$E42*U$11/$AC$11,IF(SUM($G$11:U$11)&gt;=$D42*12,$E42-SUM($F42:T42),$E42/$D42*U$11/12)))</f>
        <v>7421.21675117553</v>
      </c>
      <c r="V42" s="220" t="n">
        <f aca="false">IF(V$7&lt;YEAR(Startops1),0,IF($D42*12&gt;$AC$11,$E42*V$11/$AC$11,IF(SUM($G$11:V$11)&gt;=$D42*12,$E42-SUM($F42:U42),$E42/$D42*V$11/12)))</f>
        <v>7421.21675117553</v>
      </c>
      <c r="W42" s="220" t="n">
        <f aca="false">IF(W$7&lt;YEAR(Startops1),0,IF($D42*12&gt;$AC$11,$E42*W$11/$AC$11,IF(SUM($G$11:W$11)&gt;=$D42*12,$E42-SUM($F42:V42),$E42/$D42*W$11/12)))</f>
        <v>7421.21675117553</v>
      </c>
      <c r="X42" s="220" t="n">
        <f aca="false">IF(X$7&lt;YEAR(Startops1),0,IF($D42*12&gt;$AC$11,$E42*X$11/$AC$11,IF(SUM($G$11:X$11)&gt;=$D42*12,$E42-SUM($F42:W42),$E42/$D42*X$11/12)))</f>
        <v>7421.21675117553</v>
      </c>
      <c r="Y42" s="220" t="n">
        <f aca="false">IF(Y$7&lt;YEAR(Startops1),0,IF($D42*12&gt;$AC$11,$E42*Y$11/$AC$11,IF(SUM($G$11:Y$11)&gt;=$D42*12,$E42-SUM($F42:X42),$E42/$D42*Y$11/12)))</f>
        <v>7421.21675117553</v>
      </c>
      <c r="Z42" s="220" t="n">
        <f aca="false">IF(Z$7&lt;YEAR(Startops1),0,IF($D42*12&gt;$AC$11,$E42*Z$11/$AC$11,IF(SUM($G$11:Z$11)&gt;=$D42*12,$E42-SUM($F42:Y42),$E42/$D42*Z$11/12)))</f>
        <v>7421.21675117553</v>
      </c>
      <c r="AA42" s="220" t="n">
        <f aca="false">IF(AA$7&lt;YEAR(Startops1),0,IF($D42*12&gt;$AC$11,$E42*AA$11/$AC$11,IF(SUM($G$11:AA$11)&gt;=$D42*12,$E42-SUM($F42:Z42),$E42/$D42*AA$11/12)))</f>
        <v>7421.21675117553</v>
      </c>
      <c r="AB42" s="220" t="n">
        <f aca="false">IF(AB$7&lt;YEAR(Startops1),0,IF($D42*12&gt;$AC$11,$E42*AB$11/$AC$11,IF(SUM($G$11:AB$11)&gt;=$D42*12,$E42-SUM($F42:AA42),$E42/$D42*AB$11/12)))</f>
        <v>2473.73891705851</v>
      </c>
      <c r="AC42" s="576" t="n">
        <f aca="false">SUM(G42:AB42)</f>
        <v>131726.597333366</v>
      </c>
    </row>
    <row r="43" customFormat="false" ht="12.75" hidden="false" customHeight="false" outlineLevel="0" collapsed="false">
      <c r="A43" s="37"/>
      <c r="B43" s="38" t="s">
        <v>1515</v>
      </c>
      <c r="C43" s="38"/>
      <c r="D43" s="1206"/>
      <c r="E43" s="875" t="n">
        <f aca="false">SUM(E40:E42)</f>
        <v>329316.493333414</v>
      </c>
      <c r="F43" s="38"/>
      <c r="G43" s="217" t="n">
        <f aca="false">SUM(G40:G42)</f>
        <v>0</v>
      </c>
      <c r="H43" s="217" t="n">
        <f aca="false">SUM(H40:H42)</f>
        <v>3704.81055000091</v>
      </c>
      <c r="I43" s="217" t="n">
        <f aca="false">SUM(I40:I42)</f>
        <v>4939.74740000121</v>
      </c>
      <c r="J43" s="217" t="n">
        <f aca="false">SUM(J40:J42)</f>
        <v>12563.7993949493</v>
      </c>
      <c r="K43" s="217" t="n">
        <f aca="false">SUM(K40:K42)</f>
        <v>17799.2181695267</v>
      </c>
      <c r="L43" s="217" t="n">
        <f aca="false">SUM(L40:L42)</f>
        <v>17799.2181695267</v>
      </c>
      <c r="M43" s="217" t="n">
        <f aca="false">SUM(M40:M42)</f>
        <v>17799.2181695267</v>
      </c>
      <c r="N43" s="217" t="n">
        <f aca="false">SUM(N40:N42)</f>
        <v>17799.2181695267</v>
      </c>
      <c r="O43" s="217" t="n">
        <f aca="false">SUM(O40:O42)</f>
        <v>17799.2181695267</v>
      </c>
      <c r="P43" s="217" t="n">
        <f aca="false">SUM(P40:P42)</f>
        <v>17799.2181695267</v>
      </c>
      <c r="Q43" s="217" t="n">
        <f aca="false">SUM(Q40:Q42)</f>
        <v>17799.2181695267</v>
      </c>
      <c r="R43" s="217" t="n">
        <f aca="false">SUM(R40:R42)</f>
        <v>17799.2181695267</v>
      </c>
      <c r="S43" s="217" t="n">
        <f aca="false">SUM(S40:S42)</f>
        <v>17799.2181695267</v>
      </c>
      <c r="T43" s="217" t="n">
        <f aca="false">SUM(T40:T42)</f>
        <v>17799.2181695267</v>
      </c>
      <c r="U43" s="217" t="n">
        <f aca="false">SUM(U40:U42)</f>
        <v>17799.2181695267</v>
      </c>
      <c r="V43" s="217" t="n">
        <f aca="false">SUM(V40:V42)</f>
        <v>17799.2181695267</v>
      </c>
      <c r="W43" s="217" t="n">
        <f aca="false">SUM(W40:W42)</f>
        <v>17799.2181695267</v>
      </c>
      <c r="X43" s="217" t="n">
        <f aca="false">SUM(X40:X42)</f>
        <v>17799.2181695267</v>
      </c>
      <c r="Y43" s="217" t="n">
        <f aca="false">SUM(Y40:Y42)</f>
        <v>17799.2181695267</v>
      </c>
      <c r="Z43" s="217" t="n">
        <f aca="false">SUM(Z40:Z42)</f>
        <v>17799.2181695267</v>
      </c>
      <c r="AA43" s="217" t="n">
        <f aca="false">SUM(AA40:AA42)</f>
        <v>17799.2181695267</v>
      </c>
      <c r="AB43" s="217" t="n">
        <f aca="false">SUM(AB40:AB42)</f>
        <v>5521.42710650878</v>
      </c>
      <c r="AC43" s="574" t="n">
        <f aca="false">SUM(AC40:AC42)</f>
        <v>329316.493333414</v>
      </c>
    </row>
    <row r="44" customFormat="false" ht="12.75" hidden="false" customHeight="false" outlineLevel="0" collapsed="false">
      <c r="A44" s="37"/>
      <c r="B44" s="131" t="s">
        <v>1516</v>
      </c>
      <c r="C44" s="131"/>
      <c r="D44" s="1206"/>
      <c r="E44" s="1206"/>
      <c r="F44" s="38"/>
      <c r="G44" s="754" t="n">
        <f aca="false">G43</f>
        <v>0</v>
      </c>
      <c r="H44" s="754" t="n">
        <f aca="false">G44+H43</f>
        <v>3704.81055000091</v>
      </c>
      <c r="I44" s="754" t="n">
        <f aca="false">H44+I43</f>
        <v>8644.55795000212</v>
      </c>
      <c r="J44" s="754" t="n">
        <f aca="false">I44+J43</f>
        <v>21208.3573449514</v>
      </c>
      <c r="K44" s="754" t="n">
        <f aca="false">J44+K43</f>
        <v>39007.5755144781</v>
      </c>
      <c r="L44" s="754" t="n">
        <f aca="false">K44+L43</f>
        <v>56806.7936840048</v>
      </c>
      <c r="M44" s="754" t="n">
        <f aca="false">L44+M43</f>
        <v>74606.0118535315</v>
      </c>
      <c r="N44" s="754" t="n">
        <f aca="false">M44+N43</f>
        <v>92405.2300230582</v>
      </c>
      <c r="O44" s="754" t="n">
        <f aca="false">N44+O43</f>
        <v>110204.448192585</v>
      </c>
      <c r="P44" s="754" t="n">
        <f aca="false">O44+P43</f>
        <v>128003.666362112</v>
      </c>
      <c r="Q44" s="754" t="n">
        <f aca="false">P44+Q43</f>
        <v>145802.884531638</v>
      </c>
      <c r="R44" s="754" t="n">
        <f aca="false">Q44+R43</f>
        <v>163602.102701165</v>
      </c>
      <c r="S44" s="754" t="n">
        <f aca="false">R44+S43</f>
        <v>181401.320870692</v>
      </c>
      <c r="T44" s="754" t="n">
        <f aca="false">S44+T43</f>
        <v>199200.539040218</v>
      </c>
      <c r="U44" s="754" t="n">
        <f aca="false">T44+U43</f>
        <v>216999.757209745</v>
      </c>
      <c r="V44" s="754" t="n">
        <f aca="false">U44+V43</f>
        <v>234798.975379272</v>
      </c>
      <c r="W44" s="754" t="n">
        <f aca="false">V44+W43</f>
        <v>252598.193548798</v>
      </c>
      <c r="X44" s="754" t="n">
        <f aca="false">W44+X43</f>
        <v>270397.411718325</v>
      </c>
      <c r="Y44" s="754" t="n">
        <f aca="false">X44+Y43</f>
        <v>288196.629887852</v>
      </c>
      <c r="Z44" s="754" t="n">
        <f aca="false">Y44+Z43</f>
        <v>305995.848057378</v>
      </c>
      <c r="AA44" s="754" t="n">
        <f aca="false">Z44+AA43</f>
        <v>323795.066226905</v>
      </c>
      <c r="AB44" s="754" t="n">
        <f aca="false">AA44+AB43</f>
        <v>329316.493333414</v>
      </c>
      <c r="AC44" s="574"/>
    </row>
    <row r="45" customFormat="false" ht="12.75" hidden="false" customHeight="false" outlineLevel="0" collapsed="false">
      <c r="A45" s="37"/>
      <c r="B45" s="38"/>
      <c r="C45" s="38"/>
      <c r="D45" s="1207"/>
      <c r="E45" s="1207"/>
      <c r="F45" s="38"/>
      <c r="G45" s="556"/>
      <c r="H45" s="556"/>
      <c r="I45" s="556"/>
      <c r="J45" s="556"/>
      <c r="K45" s="556"/>
      <c r="L45" s="556"/>
      <c r="M45" s="556"/>
      <c r="N45" s="556"/>
      <c r="O45" s="556"/>
      <c r="P45" s="556"/>
      <c r="Q45" s="556"/>
      <c r="R45" s="556"/>
      <c r="S45" s="556"/>
      <c r="T45" s="556"/>
      <c r="U45" s="556"/>
      <c r="V45" s="556"/>
      <c r="W45" s="556"/>
      <c r="X45" s="556"/>
      <c r="Y45" s="556"/>
      <c r="Z45" s="556"/>
      <c r="AA45" s="556"/>
      <c r="AB45" s="556"/>
      <c r="AC45" s="557"/>
    </row>
    <row r="46" customFormat="false" ht="12.75" hidden="false" customHeight="false" outlineLevel="0" collapsed="false">
      <c r="A46" s="37"/>
      <c r="B46" s="38" t="s">
        <v>1517</v>
      </c>
      <c r="C46" s="38"/>
      <c r="D46" s="1207"/>
      <c r="E46" s="1207"/>
      <c r="F46" s="38"/>
      <c r="G46" s="189" t="n">
        <v>0</v>
      </c>
      <c r="H46" s="217" t="n">
        <f aca="false">G49</f>
        <v>0</v>
      </c>
      <c r="I46" s="217" t="n">
        <f aca="false">H49</f>
        <v>95090.1374500233</v>
      </c>
      <c r="J46" s="217" t="n">
        <f aca="false">I49</f>
        <v>90150.3900500221</v>
      </c>
      <c r="K46" s="217" t="n">
        <f aca="false">J49</f>
        <v>308108.135988463</v>
      </c>
      <c r="L46" s="217" t="n">
        <f aca="false">K49</f>
        <v>290308.917818936</v>
      </c>
      <c r="M46" s="217" t="n">
        <f aca="false">L49</f>
        <v>272509.699649409</v>
      </c>
      <c r="N46" s="217" t="n">
        <f aca="false">M49</f>
        <v>254710.481479882</v>
      </c>
      <c r="O46" s="217" t="n">
        <f aca="false">N49</f>
        <v>236911.263310356</v>
      </c>
      <c r="P46" s="217" t="n">
        <f aca="false">O49</f>
        <v>219112.045140829</v>
      </c>
      <c r="Q46" s="217" t="n">
        <f aca="false">P49</f>
        <v>201312.826971302</v>
      </c>
      <c r="R46" s="217" t="n">
        <f aca="false">Q49</f>
        <v>183513.608801776</v>
      </c>
      <c r="S46" s="217" t="n">
        <f aca="false">R49</f>
        <v>165714.390632249</v>
      </c>
      <c r="T46" s="217" t="n">
        <f aca="false">S49</f>
        <v>147915.172462722</v>
      </c>
      <c r="U46" s="217" t="n">
        <f aca="false">T49</f>
        <v>130115.954293196</v>
      </c>
      <c r="V46" s="217" t="n">
        <f aca="false">U49</f>
        <v>112316.736123669</v>
      </c>
      <c r="W46" s="217" t="n">
        <f aca="false">V49</f>
        <v>94517.5179541422</v>
      </c>
      <c r="X46" s="217" t="n">
        <f aca="false">W49</f>
        <v>76718.2997846156</v>
      </c>
      <c r="Y46" s="217" t="n">
        <f aca="false">X49</f>
        <v>58919.0816150889</v>
      </c>
      <c r="Z46" s="217" t="n">
        <f aca="false">Y49</f>
        <v>41119.8634455622</v>
      </c>
      <c r="AA46" s="217" t="n">
        <f aca="false">Z49</f>
        <v>23320.6452760355</v>
      </c>
      <c r="AB46" s="217" t="n">
        <f aca="false">AA49</f>
        <v>5521.42710650878</v>
      </c>
      <c r="AC46" s="574"/>
    </row>
    <row r="47" customFormat="false" ht="12.75" hidden="false" customHeight="false" outlineLevel="0" collapsed="false">
      <c r="A47" s="37"/>
      <c r="B47" s="38" t="s">
        <v>1510</v>
      </c>
      <c r="C47" s="38"/>
      <c r="D47" s="1207"/>
      <c r="E47" s="1207"/>
      <c r="F47" s="38"/>
      <c r="G47" s="217" t="n">
        <f aca="false">IF(G$7=YEAR(Startops1),$E40,0)+IF(G$7=YEAR(Startops2),$E41,0)+IF(G$7=YEAR(Startops3),$E42,0)</f>
        <v>0</v>
      </c>
      <c r="H47" s="217" t="n">
        <f aca="false">IF(H$7=YEAR(Startops1),$E40,0)+IF(H$7=YEAR(Startops2),$E41,0)+IF(H$7=YEAR(Startops3),$E42,0)</f>
        <v>98794.9480000242</v>
      </c>
      <c r="I47" s="217" t="n">
        <f aca="false">IF(I$7=YEAR(Startops1),$E40,0)+IF(I$7=YEAR(Startops2),$E41,0)+IF(I$7=YEAR(Startops3),$E42,0)</f>
        <v>0</v>
      </c>
      <c r="J47" s="217" t="n">
        <f aca="false">IF(J$7=YEAR(Startops1),$E40,0)+IF(J$7=YEAR(Startops2),$E41,0)+IF(J$7=YEAR(Startops3),$E42,0)</f>
        <v>230521.54533339</v>
      </c>
      <c r="K47" s="217" t="n">
        <f aca="false">IF(K$7=YEAR(Startops1),$E40,0)+IF(K$7=YEAR(Startops2),$E41,0)+IF(K$7=YEAR(Startops3),$E42,0)</f>
        <v>0</v>
      </c>
      <c r="L47" s="217" t="n">
        <f aca="false">IF(L$7=YEAR(Startops1),$E40,0)+IF(L$7=YEAR(Startops2),$E41,0)+IF(L$7=YEAR(Startops3),$E42,0)</f>
        <v>0</v>
      </c>
      <c r="M47" s="217" t="n">
        <f aca="false">IF(M$7=YEAR(Startops1),$E40,0)+IF(M$7=YEAR(Startops2),$E41,0)+IF(M$7=YEAR(Startops3),$E42,0)</f>
        <v>0</v>
      </c>
      <c r="N47" s="217" t="n">
        <f aca="false">IF(N$7=YEAR(Startops1),$E40,0)+IF(N$7=YEAR(Startops2),$E41,0)+IF(N$7=YEAR(Startops3),$E42,0)</f>
        <v>0</v>
      </c>
      <c r="O47" s="217" t="n">
        <f aca="false">IF(O$7=YEAR(Startops1),$E40,0)+IF(O$7=YEAR(Startops2),$E41,0)+IF(O$7=YEAR(Startops3),$E42,0)</f>
        <v>0</v>
      </c>
      <c r="P47" s="217" t="n">
        <f aca="false">IF(P$7=YEAR(Startops1),$E40,0)+IF(P$7=YEAR(Startops2),$E41,0)+IF(P$7=YEAR(Startops3),$E42,0)</f>
        <v>0</v>
      </c>
      <c r="Q47" s="217" t="n">
        <f aca="false">IF(Q$7=YEAR(Startops1),$E40,0)+IF(Q$7=YEAR(Startops2),$E41,0)+IF(Q$7=YEAR(Startops3),$E42,0)</f>
        <v>0</v>
      </c>
      <c r="R47" s="217" t="n">
        <f aca="false">IF(R$7=YEAR(Startops1),$E40,0)+IF(R$7=YEAR(Startops2),$E41,0)+IF(R$7=YEAR(Startops3),$E42,0)</f>
        <v>0</v>
      </c>
      <c r="S47" s="217" t="n">
        <f aca="false">IF(S$7=YEAR(Startops1),$E40,0)+IF(S$7=YEAR(Startops2),$E41,0)+IF(S$7=YEAR(Startops3),$E42,0)</f>
        <v>0</v>
      </c>
      <c r="T47" s="217" t="n">
        <f aca="false">IF(T$7=YEAR(Startops1),$E40,0)+IF(T$7=YEAR(Startops2),$E41,0)+IF(T$7=YEAR(Startops3),$E42,0)</f>
        <v>0</v>
      </c>
      <c r="U47" s="217" t="n">
        <f aca="false">IF(U$7=YEAR(Startops1),$E40,0)+IF(U$7=YEAR(Startops2),$E41,0)+IF(U$7=YEAR(Startops3),$E42,0)</f>
        <v>0</v>
      </c>
      <c r="V47" s="217" t="n">
        <f aca="false">IF(V$7=YEAR(Startops1),$E40,0)+IF(V$7=YEAR(Startops2),$E41,0)+IF(V$7=YEAR(Startops3),$E42,0)</f>
        <v>0</v>
      </c>
      <c r="W47" s="217" t="n">
        <f aca="false">IF(W$7=YEAR(Startops1),$E40,0)+IF(W$7=YEAR(Startops2),$E41,0)+IF(W$7=YEAR(Startops3),$E42,0)</f>
        <v>0</v>
      </c>
      <c r="X47" s="217" t="n">
        <f aca="false">IF(X$7=YEAR(Startops1),$E40,0)+IF(X$7=YEAR(Startops2),$E41,0)+IF(X$7=YEAR(Startops3),$E42,0)</f>
        <v>0</v>
      </c>
      <c r="Y47" s="217" t="n">
        <f aca="false">IF(Y$7=YEAR(Startops1),$E40,0)+IF(Y$7=YEAR(Startops2),$E41,0)+IF(Y$7=YEAR(Startops3),$E42,0)</f>
        <v>0</v>
      </c>
      <c r="Z47" s="217" t="n">
        <f aca="false">IF(Z$7=YEAR(Startops1),$E40,0)+IF(Z$7=YEAR(Startops2),$E41,0)+IF(Z$7=YEAR(Startops3),$E42,0)</f>
        <v>0</v>
      </c>
      <c r="AA47" s="217" t="n">
        <f aca="false">IF(AA$7=YEAR(Startops1),$E40,0)+IF(AA$7=YEAR(Startops2),$E41,0)+IF(AA$7=YEAR(Startops3),$E42,0)</f>
        <v>0</v>
      </c>
      <c r="AB47" s="217" t="n">
        <f aca="false">IF(AB$7=YEAR(Startops1),$E40,0)+IF(AB$7=YEAR(Startops2),$E41,0)+IF(AB$7=YEAR(Startops3),$E42,0)</f>
        <v>0</v>
      </c>
      <c r="AC47" s="574" t="n">
        <f aca="false">SUM(G47:AB47)</f>
        <v>329316.493333414</v>
      </c>
    </row>
    <row r="48" customFormat="false" ht="12.75" hidden="false" customHeight="false" outlineLevel="0" collapsed="false">
      <c r="A48" s="37"/>
      <c r="B48" s="38" t="s">
        <v>1511</v>
      </c>
      <c r="C48" s="38"/>
      <c r="D48" s="1207"/>
      <c r="E48" s="1207"/>
      <c r="F48" s="38"/>
      <c r="G48" s="220" t="n">
        <f aca="false">-G43</f>
        <v>-0</v>
      </c>
      <c r="H48" s="220" t="n">
        <f aca="false">-H43</f>
        <v>-3704.81055000091</v>
      </c>
      <c r="I48" s="220" t="n">
        <f aca="false">-I43</f>
        <v>-4939.74740000121</v>
      </c>
      <c r="J48" s="220" t="n">
        <f aca="false">-J43</f>
        <v>-12563.7993949493</v>
      </c>
      <c r="K48" s="220" t="n">
        <f aca="false">-K43</f>
        <v>-17799.2181695267</v>
      </c>
      <c r="L48" s="220" t="n">
        <f aca="false">-L43</f>
        <v>-17799.2181695267</v>
      </c>
      <c r="M48" s="220" t="n">
        <f aca="false">-M43</f>
        <v>-17799.2181695267</v>
      </c>
      <c r="N48" s="220" t="n">
        <f aca="false">-N43</f>
        <v>-17799.2181695267</v>
      </c>
      <c r="O48" s="220" t="n">
        <f aca="false">-O43</f>
        <v>-17799.2181695267</v>
      </c>
      <c r="P48" s="220" t="n">
        <f aca="false">-P43</f>
        <v>-17799.2181695267</v>
      </c>
      <c r="Q48" s="220" t="n">
        <f aca="false">-Q43</f>
        <v>-17799.2181695267</v>
      </c>
      <c r="R48" s="220" t="n">
        <f aca="false">-R43</f>
        <v>-17799.2181695267</v>
      </c>
      <c r="S48" s="220" t="n">
        <f aca="false">-S43</f>
        <v>-17799.2181695267</v>
      </c>
      <c r="T48" s="220" t="n">
        <f aca="false">-T43</f>
        <v>-17799.2181695267</v>
      </c>
      <c r="U48" s="220" t="n">
        <f aca="false">-U43</f>
        <v>-17799.2181695267</v>
      </c>
      <c r="V48" s="220" t="n">
        <f aca="false">-V43</f>
        <v>-17799.2181695267</v>
      </c>
      <c r="W48" s="220" t="n">
        <f aca="false">-W43</f>
        <v>-17799.2181695267</v>
      </c>
      <c r="X48" s="220" t="n">
        <f aca="false">-X43</f>
        <v>-17799.2181695267</v>
      </c>
      <c r="Y48" s="220" t="n">
        <f aca="false">-Y43</f>
        <v>-17799.2181695267</v>
      </c>
      <c r="Z48" s="220" t="n">
        <f aca="false">-Z43</f>
        <v>-17799.2181695267</v>
      </c>
      <c r="AA48" s="220" t="n">
        <f aca="false">-AA43</f>
        <v>-17799.2181695267</v>
      </c>
      <c r="AB48" s="220" t="n">
        <f aca="false">-AB43</f>
        <v>-5521.42710650878</v>
      </c>
      <c r="AC48" s="576" t="n">
        <f aca="false">SUM(G48:AB48)</f>
        <v>-329316.493333414</v>
      </c>
    </row>
    <row r="49" customFormat="false" ht="12.75" hidden="false" customHeight="false" outlineLevel="0" collapsed="false">
      <c r="A49" s="563"/>
      <c r="B49" s="464" t="s">
        <v>1518</v>
      </c>
      <c r="C49" s="464" t="s">
        <v>49</v>
      </c>
      <c r="D49" s="1208"/>
      <c r="E49" s="1208"/>
      <c r="F49" s="464"/>
      <c r="G49" s="777" t="n">
        <f aca="false">SUM(G46:G48)</f>
        <v>0</v>
      </c>
      <c r="H49" s="777" t="n">
        <f aca="false">SUM(H46:H48)</f>
        <v>95090.1374500233</v>
      </c>
      <c r="I49" s="777" t="n">
        <f aca="false">SUM(I46:I48)</f>
        <v>90150.3900500221</v>
      </c>
      <c r="J49" s="777" t="n">
        <f aca="false">SUM(J46:J48)</f>
        <v>308108.135988463</v>
      </c>
      <c r="K49" s="777" t="n">
        <f aca="false">SUM(K46:K48)</f>
        <v>290308.917818936</v>
      </c>
      <c r="L49" s="777" t="n">
        <f aca="false">SUM(L46:L48)</f>
        <v>272509.699649409</v>
      </c>
      <c r="M49" s="777" t="n">
        <f aca="false">SUM(M46:M48)</f>
        <v>254710.481479882</v>
      </c>
      <c r="N49" s="777" t="n">
        <f aca="false">SUM(N46:N48)</f>
        <v>236911.263310356</v>
      </c>
      <c r="O49" s="777" t="n">
        <f aca="false">SUM(O46:O48)</f>
        <v>219112.045140829</v>
      </c>
      <c r="P49" s="777" t="n">
        <f aca="false">SUM(P46:P48)</f>
        <v>201312.826971302</v>
      </c>
      <c r="Q49" s="777" t="n">
        <f aca="false">SUM(Q46:Q48)</f>
        <v>183513.608801776</v>
      </c>
      <c r="R49" s="777" t="n">
        <f aca="false">SUM(R46:R48)</f>
        <v>165714.390632249</v>
      </c>
      <c r="S49" s="777" t="n">
        <f aca="false">SUM(S46:S48)</f>
        <v>147915.172462722</v>
      </c>
      <c r="T49" s="777" t="n">
        <f aca="false">SUM(T46:T48)</f>
        <v>130115.954293196</v>
      </c>
      <c r="U49" s="777" t="n">
        <f aca="false">SUM(U46:U48)</f>
        <v>112316.736123669</v>
      </c>
      <c r="V49" s="777" t="n">
        <f aca="false">SUM(V46:V48)</f>
        <v>94517.5179541422</v>
      </c>
      <c r="W49" s="777" t="n">
        <f aca="false">SUM(W46:W48)</f>
        <v>76718.2997846156</v>
      </c>
      <c r="X49" s="777" t="n">
        <f aca="false">SUM(X46:X48)</f>
        <v>58919.0816150889</v>
      </c>
      <c r="Y49" s="777" t="n">
        <f aca="false">SUM(Y46:Y48)</f>
        <v>41119.8634455622</v>
      </c>
      <c r="Z49" s="777" t="n">
        <f aca="false">SUM(Z46:Z48)</f>
        <v>23320.6452760355</v>
      </c>
      <c r="AA49" s="777" t="n">
        <f aca="false">SUM(AA46:AA48)</f>
        <v>5521.42710650878</v>
      </c>
      <c r="AB49" s="777" t="n">
        <f aca="false">SUM(AB46:AB48)</f>
        <v>0</v>
      </c>
      <c r="AC49" s="778"/>
    </row>
    <row r="50" customFormat="false" ht="12.75" hidden="false" customHeight="false" outlineLevel="0" collapsed="false">
      <c r="A50" s="37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555"/>
    </row>
    <row r="51" customFormat="false" ht="12.75" hidden="false" customHeight="false" outlineLevel="0" collapsed="false">
      <c r="A51" s="37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555"/>
    </row>
    <row r="52" customFormat="false" ht="12.75" hidden="false" customHeight="false" outlineLevel="0" collapsed="false">
      <c r="A52" s="1200" t="s">
        <v>1519</v>
      </c>
      <c r="B52" s="1201"/>
      <c r="C52" s="1201"/>
      <c r="D52" s="456" t="s">
        <v>1500</v>
      </c>
      <c r="E52" s="456" t="s">
        <v>1500</v>
      </c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  <c r="X52" s="455"/>
      <c r="Y52" s="455"/>
      <c r="Z52" s="455"/>
      <c r="AA52" s="455"/>
      <c r="AB52" s="455"/>
      <c r="AC52" s="1202"/>
    </row>
    <row r="53" customFormat="false" ht="12.75" hidden="false" customHeight="false" outlineLevel="0" collapsed="false">
      <c r="A53" s="37" t="s">
        <v>1520</v>
      </c>
      <c r="B53" s="38"/>
      <c r="C53" s="38"/>
      <c r="D53" s="1203" t="s">
        <v>1502</v>
      </c>
      <c r="E53" s="1203" t="s">
        <v>1503</v>
      </c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555"/>
    </row>
    <row r="54" customFormat="false" ht="12.75" hidden="false" customHeight="false" outlineLevel="0" collapsed="false">
      <c r="A54" s="37"/>
      <c r="B54" s="38" t="s">
        <v>1504</v>
      </c>
      <c r="C54" s="38"/>
      <c r="D54" s="1204" t="n">
        <f aca="false">Assm!K58</f>
        <v>20</v>
      </c>
      <c r="E54" s="875" t="n">
        <f aca="false">Assm!J58</f>
        <v>98794.9480000242</v>
      </c>
      <c r="F54" s="38"/>
      <c r="G54" s="217" t="n">
        <f aca="false">IF(G$7&lt;YEAR(Startops1),0,IF($D54*12&gt;$AC$9,$E54*G$9/$AC$9,IF(SUM($G$9:G$9)&gt;=$D54*12,$E54-SUM($F54:F54),$E54/$D54*G$9/12)))</f>
        <v>0</v>
      </c>
      <c r="H54" s="217" t="n">
        <f aca="false">IF(H$7&lt;YEAR(Startops1),0,IF($D54*12&gt;$AC$9,$E54*H$9/$AC$9,IF(SUM($G$9:H$9)&gt;=$D54*12,$E54-SUM($F54:G54),$E54/$D54*H$9/12)))</f>
        <v>3704.81055000091</v>
      </c>
      <c r="I54" s="217" t="n">
        <f aca="false">IF(I$7&lt;YEAR(Startops1),0,IF($D54*12&gt;$AC$9,$E54*I$9/$AC$9,IF(SUM($G$9:I$9)&gt;=$D54*12,$E54-SUM($F54:H54),$E54/$D54*I$9/12)))</f>
        <v>4939.74740000121</v>
      </c>
      <c r="J54" s="217" t="n">
        <f aca="false">IF(J$7&lt;YEAR(Startops1),0,IF($D54*12&gt;$AC$9,$E54*J$9/$AC$9,IF(SUM($G$9:J$9)&gt;=$D54*12,$E54-SUM($F54:I54),$E54/$D54*J$9/12)))</f>
        <v>4939.74740000121</v>
      </c>
      <c r="K54" s="217" t="n">
        <f aca="false">IF(K$7&lt;YEAR(Startops1),0,IF($D54*12&gt;$AC$9,$E54*K$9/$AC$9,IF(SUM($G$9:K$9)&gt;=$D54*12,$E54-SUM($F54:J54),$E54/$D54*K$9/12)))</f>
        <v>4939.74740000121</v>
      </c>
      <c r="L54" s="217" t="n">
        <f aca="false">IF(L$7&lt;YEAR(Startops1),0,IF($D54*12&gt;$AC$9,$E54*L$9/$AC$9,IF(SUM($G$9:L$9)&gt;=$D54*12,$E54-SUM($F54:K54),$E54/$D54*L$9/12)))</f>
        <v>4939.74740000121</v>
      </c>
      <c r="M54" s="217" t="n">
        <f aca="false">IF(M$7&lt;YEAR(Startops1),0,IF($D54*12&gt;$AC$9,$E54*M$9/$AC$9,IF(SUM($G$9:M$9)&gt;=$D54*12,$E54-SUM($F54:L54),$E54/$D54*M$9/12)))</f>
        <v>4939.74740000121</v>
      </c>
      <c r="N54" s="217" t="n">
        <f aca="false">IF(N$7&lt;YEAR(Startops1),0,IF($D54*12&gt;$AC$9,$E54*N$9/$AC$9,IF(SUM($G$9:N$9)&gt;=$D54*12,$E54-SUM($F54:M54),$E54/$D54*N$9/12)))</f>
        <v>4939.74740000121</v>
      </c>
      <c r="O54" s="217" t="n">
        <f aca="false">IF(O$7&lt;YEAR(Startops1),0,IF($D54*12&gt;$AC$9,$E54*O$9/$AC$9,IF(SUM($G$9:O$9)&gt;=$D54*12,$E54-SUM($F54:N54),$E54/$D54*O$9/12)))</f>
        <v>4939.74740000121</v>
      </c>
      <c r="P54" s="217" t="n">
        <f aca="false">IF(P$7&lt;YEAR(Startops1),0,IF($D54*12&gt;$AC$9,$E54*P$9/$AC$9,IF(SUM($G$9:P$9)&gt;=$D54*12,$E54-SUM($F54:O54),$E54/$D54*P$9/12)))</f>
        <v>4939.74740000121</v>
      </c>
      <c r="Q54" s="217" t="n">
        <f aca="false">IF(Q$7&lt;YEAR(Startops1),0,IF($D54*12&gt;$AC$9,$E54*Q$9/$AC$9,IF(SUM($G$9:Q$9)&gt;=$D54*12,$E54-SUM($F54:P54),$E54/$D54*Q$9/12)))</f>
        <v>4939.74740000121</v>
      </c>
      <c r="R54" s="217" t="n">
        <f aca="false">IF(R$7&lt;YEAR(Startops1),0,IF($D54*12&gt;$AC$9,$E54*R$9/$AC$9,IF(SUM($G$9:R$9)&gt;=$D54*12,$E54-SUM($F54:Q54),$E54/$D54*R$9/12)))</f>
        <v>4939.74740000121</v>
      </c>
      <c r="S54" s="217" t="n">
        <f aca="false">IF(S$7&lt;YEAR(Startops1),0,IF($D54*12&gt;$AC$9,$E54*S$9/$AC$9,IF(SUM($G$9:S$9)&gt;=$D54*12,$E54-SUM($F54:R54),$E54/$D54*S$9/12)))</f>
        <v>4939.74740000121</v>
      </c>
      <c r="T54" s="217" t="n">
        <f aca="false">IF(T$7&lt;YEAR(Startops1),0,IF($D54*12&gt;$AC$9,$E54*T$9/$AC$9,IF(SUM($G$9:T$9)&gt;=$D54*12,$E54-SUM($F54:S54),$E54/$D54*T$9/12)))</f>
        <v>4939.74740000121</v>
      </c>
      <c r="U54" s="217" t="n">
        <f aca="false">IF(U$7&lt;YEAR(Startops1),0,IF($D54*12&gt;$AC$9,$E54*U$9/$AC$9,IF(SUM($G$9:U$9)&gt;=$D54*12,$E54-SUM($F54:T54),$E54/$D54*U$9/12)))</f>
        <v>4939.74740000121</v>
      </c>
      <c r="V54" s="217" t="n">
        <f aca="false">IF(V$7&lt;YEAR(Startops1),0,IF($D54*12&gt;$AC$9,$E54*V$9/$AC$9,IF(SUM($G$9:V$9)&gt;=$D54*12,$E54-SUM($F54:U54),$E54/$D54*V$9/12)))</f>
        <v>4939.74740000121</v>
      </c>
      <c r="W54" s="217" t="n">
        <f aca="false">IF(W$7&lt;YEAR(Startops1),0,IF($D54*12&gt;$AC$9,$E54*W$9/$AC$9,IF(SUM($G$9:W$9)&gt;=$D54*12,$E54-SUM($F54:V54),$E54/$D54*W$9/12)))</f>
        <v>4939.74740000121</v>
      </c>
      <c r="X54" s="217" t="n">
        <f aca="false">IF(X$7&lt;YEAR(Startops1),0,IF($D54*12&gt;$AC$9,$E54*X$9/$AC$9,IF(SUM($G$9:X$9)&gt;=$D54*12,$E54-SUM($F54:W54),$E54/$D54*X$9/12)))</f>
        <v>4939.74740000121</v>
      </c>
      <c r="Y54" s="217" t="n">
        <f aca="false">IF(Y$7&lt;YEAR(Startops1),0,IF($D54*12&gt;$AC$9,$E54*Y$9/$AC$9,IF(SUM($G$9:Y$9)&gt;=$D54*12,$E54-SUM($F54:X54),$E54/$D54*Y$9/12)))</f>
        <v>4939.74740000121</v>
      </c>
      <c r="Z54" s="217" t="n">
        <f aca="false">IF(Z$7&lt;YEAR(Startops1),0,IF($D54*12&gt;$AC$9,$E54*Z$9/$AC$9,IF(SUM($G$9:Z$9)&gt;=$D54*12,$E54-SUM($F54:Y54),$E54/$D54*Z$9/12)))</f>
        <v>4939.74740000121</v>
      </c>
      <c r="AA54" s="217" t="n">
        <f aca="false">IF(AA$7&lt;YEAR(Startops1),0,IF($D54*12&gt;$AC$9,$E54*AA$9/$AC$9,IF(SUM($G$9:AA$9)&gt;=$D54*12,$E54-SUM($F54:Z54),$E54/$D54*AA$9/12)))</f>
        <v>4939.74740000121</v>
      </c>
      <c r="AB54" s="217" t="n">
        <f aca="false">IF(AB$7&lt;YEAR(Startops1),0,IF($D54*12&gt;$AC$9,$E54*AB$9/$AC$9,IF(SUM($G$9:AB$9)&gt;=$D54*12,$E54-SUM($F54:AA54),$E54/$D54*AB$9/12)))</f>
        <v>1234.93685000029</v>
      </c>
      <c r="AC54" s="574" t="n">
        <f aca="false">SUM(G54:AB54)</f>
        <v>98794.9480000242</v>
      </c>
    </row>
    <row r="55" customFormat="false" ht="12.75" hidden="false" customHeight="false" outlineLevel="0" collapsed="false">
      <c r="A55" s="37"/>
      <c r="B55" s="38" t="s">
        <v>1505</v>
      </c>
      <c r="C55" s="38"/>
      <c r="D55" s="1204" t="n">
        <f aca="false">Assm!K59</f>
        <v>20</v>
      </c>
      <c r="E55" s="875" t="n">
        <f aca="false">Assm!J59</f>
        <v>98794.9480000242</v>
      </c>
      <c r="F55" s="38"/>
      <c r="G55" s="217" t="n">
        <f aca="false">IF(G$7&lt;YEAR(Startops1),0,IF($D55*12&gt;$AC$10,$E55*G$10/$AC$10,IF(SUM($G$10:G$10)&gt;=$D55*12,$E55-SUM($F55:F55),$E55/$D55*G$10/12)))</f>
        <v>0</v>
      </c>
      <c r="H55" s="217" t="n">
        <f aca="false">IF(H$7&lt;YEAR(Startops1),0,IF($D55*12&gt;$AC$10,$E55*H$10/$AC$10,IF(SUM($G$10:H$10)&gt;=$D55*12,$E55-SUM($F55:G55),$E55/$D55*H$10/12)))</f>
        <v>0</v>
      </c>
      <c r="I55" s="217" t="n">
        <f aca="false">IF(I$7&lt;YEAR(Startops1),0,IF($D55*12&gt;$AC$10,$E55*I$10/$AC$10,IF(SUM($G$10:I$10)&gt;=$D55*12,$E55-SUM($F55:H55),$E55/$D55*I$10/12)))</f>
        <v>0</v>
      </c>
      <c r="J55" s="217" t="n">
        <f aca="false">IF(J$7&lt;YEAR(Startops1),0,IF($D55*12&gt;$AC$10,$E55*J$10/$AC$10,IF(SUM($G$10:J$10)&gt;=$D55*12,$E55-SUM($F55:I55),$E55/$D55*J$10/12)))</f>
        <v>4531.87834862496</v>
      </c>
      <c r="K55" s="217" t="n">
        <f aca="false">IF(K$7&lt;YEAR(Startops1),0,IF($D55*12&gt;$AC$10,$E55*K$10/$AC$10,IF(SUM($G$10:K$10)&gt;=$D55*12,$E55-SUM($F55:J55),$E55/$D55*K$10/12)))</f>
        <v>5438.25401834996</v>
      </c>
      <c r="L55" s="217" t="n">
        <f aca="false">IF(L$7&lt;YEAR(Startops1),0,IF($D55*12&gt;$AC$10,$E55*L$10/$AC$10,IF(SUM($G$10:L$10)&gt;=$D55*12,$E55-SUM($F55:K55),$E55/$D55*L$10/12)))</f>
        <v>5438.25401834996</v>
      </c>
      <c r="M55" s="217" t="n">
        <f aca="false">IF(M$7&lt;YEAR(Startops1),0,IF($D55*12&gt;$AC$10,$E55*M$10/$AC$10,IF(SUM($G$10:M$10)&gt;=$D55*12,$E55-SUM($F55:L55),$E55/$D55*M$10/12)))</f>
        <v>5438.25401834996</v>
      </c>
      <c r="N55" s="217" t="n">
        <f aca="false">IF(N$7&lt;YEAR(Startops1),0,IF($D55*12&gt;$AC$10,$E55*N$10/$AC$10,IF(SUM($G$10:N$10)&gt;=$D55*12,$E55-SUM($F55:M55),$E55/$D55*N$10/12)))</f>
        <v>5438.25401834996</v>
      </c>
      <c r="O55" s="217" t="n">
        <f aca="false">IF(O$7&lt;YEAR(Startops1),0,IF($D55*12&gt;$AC$10,$E55*O$10/$AC$10,IF(SUM($G$10:O$10)&gt;=$D55*12,$E55-SUM($F55:N55),$E55/$D55*O$10/12)))</f>
        <v>5438.25401834996</v>
      </c>
      <c r="P55" s="217" t="n">
        <f aca="false">IF(P$7&lt;YEAR(Startops1),0,IF($D55*12&gt;$AC$10,$E55*P$10/$AC$10,IF(SUM($G$10:P$10)&gt;=$D55*12,$E55-SUM($F55:O55),$E55/$D55*P$10/12)))</f>
        <v>5438.25401834996</v>
      </c>
      <c r="Q55" s="217" t="n">
        <f aca="false">IF(Q$7&lt;YEAR(Startops1),0,IF($D55*12&gt;$AC$10,$E55*Q$10/$AC$10,IF(SUM($G$10:Q$10)&gt;=$D55*12,$E55-SUM($F55:P55),$E55/$D55*Q$10/12)))</f>
        <v>5438.25401834996</v>
      </c>
      <c r="R55" s="217" t="n">
        <f aca="false">IF(R$7&lt;YEAR(Startops1),0,IF($D55*12&gt;$AC$10,$E55*R$10/$AC$10,IF(SUM($G$10:R$10)&gt;=$D55*12,$E55-SUM($F55:Q55),$E55/$D55*R$10/12)))</f>
        <v>5438.25401834996</v>
      </c>
      <c r="S55" s="217" t="n">
        <f aca="false">IF(S$7&lt;YEAR(Startops1),0,IF($D55*12&gt;$AC$10,$E55*S$10/$AC$10,IF(SUM($G$10:S$10)&gt;=$D55*12,$E55-SUM($F55:R55),$E55/$D55*S$10/12)))</f>
        <v>5438.25401834996</v>
      </c>
      <c r="T55" s="217" t="n">
        <f aca="false">IF(T$7&lt;YEAR(Startops1),0,IF($D55*12&gt;$AC$10,$E55*T$10/$AC$10,IF(SUM($G$10:T$10)&gt;=$D55*12,$E55-SUM($F55:S55),$E55/$D55*T$10/12)))</f>
        <v>5438.25401834996</v>
      </c>
      <c r="U55" s="217" t="n">
        <f aca="false">IF(U$7&lt;YEAR(Startops1),0,IF($D55*12&gt;$AC$10,$E55*U$10/$AC$10,IF(SUM($G$10:U$10)&gt;=$D55*12,$E55-SUM($F55:T55),$E55/$D55*U$10/12)))</f>
        <v>5438.25401834996</v>
      </c>
      <c r="V55" s="217" t="n">
        <f aca="false">IF(V$7&lt;YEAR(Startops1),0,IF($D55*12&gt;$AC$10,$E55*V$10/$AC$10,IF(SUM($G$10:V$10)&gt;=$D55*12,$E55-SUM($F55:U55),$E55/$D55*V$10/12)))</f>
        <v>5438.25401834996</v>
      </c>
      <c r="W55" s="217" t="n">
        <f aca="false">IF(W$7&lt;YEAR(Startops1),0,IF($D55*12&gt;$AC$10,$E55*W$10/$AC$10,IF(SUM($G$10:W$10)&gt;=$D55*12,$E55-SUM($F55:V55),$E55/$D55*W$10/12)))</f>
        <v>5438.25401834996</v>
      </c>
      <c r="X55" s="217" t="n">
        <f aca="false">IF(X$7&lt;YEAR(Startops1),0,IF($D55*12&gt;$AC$10,$E55*X$10/$AC$10,IF(SUM($G$10:X$10)&gt;=$D55*12,$E55-SUM($F55:W55),$E55/$D55*X$10/12)))</f>
        <v>5438.25401834996</v>
      </c>
      <c r="Y55" s="217" t="n">
        <f aca="false">IF(Y$7&lt;YEAR(Startops1),0,IF($D55*12&gt;$AC$10,$E55*Y$10/$AC$10,IF(SUM($G$10:Y$10)&gt;=$D55*12,$E55-SUM($F55:X55),$E55/$D55*Y$10/12)))</f>
        <v>5438.25401834996</v>
      </c>
      <c r="Z55" s="217" t="n">
        <f aca="false">IF(Z$7&lt;YEAR(Startops1),0,IF($D55*12&gt;$AC$10,$E55*Z$10/$AC$10,IF(SUM($G$10:Z$10)&gt;=$D55*12,$E55-SUM($F55:Y55),$E55/$D55*Z$10/12)))</f>
        <v>5438.25401834996</v>
      </c>
      <c r="AA55" s="217" t="n">
        <f aca="false">IF(AA$7&lt;YEAR(Startops1),0,IF($D55*12&gt;$AC$10,$E55*AA$10/$AC$10,IF(SUM($G$10:AA$10)&gt;=$D55*12,$E55-SUM($F55:Z55),$E55/$D55*AA$10/12)))</f>
        <v>5438.25401834996</v>
      </c>
      <c r="AB55" s="217" t="n">
        <f aca="false">IF(AB$7&lt;YEAR(Startops1),0,IF($D55*12&gt;$AC$10,$E55*AB$10/$AC$10,IF(SUM($G$10:AB$10)&gt;=$D55*12,$E55-SUM($F55:AA55),$E55/$D55*AB$10/12)))</f>
        <v>1812.75133944999</v>
      </c>
      <c r="AC55" s="574" t="n">
        <f aca="false">SUM(G55:AB55)</f>
        <v>98794.9480000242</v>
      </c>
    </row>
    <row r="56" customFormat="false" ht="12.75" hidden="false" customHeight="false" outlineLevel="0" collapsed="false">
      <c r="A56" s="37"/>
      <c r="B56" s="38" t="s">
        <v>1506</v>
      </c>
      <c r="C56" s="38"/>
      <c r="D56" s="1204" t="n">
        <f aca="false">Assm!K60</f>
        <v>20</v>
      </c>
      <c r="E56" s="1205" t="n">
        <f aca="false">Assm!J60</f>
        <v>131726.597333366</v>
      </c>
      <c r="F56" s="38"/>
      <c r="G56" s="220" t="n">
        <f aca="false">IF(G$7&lt;YEAR(Startops1),0,IF($D56*12&gt;$AC$11,$E56*G$11/$AC$11,IF(SUM($G$11:G$11)&gt;=$D56*12,$E56-SUM($F56:F56),$E56/$D56*G$11/12)))</f>
        <v>0</v>
      </c>
      <c r="H56" s="220" t="n">
        <f aca="false">IF(H$7&lt;YEAR(Startops1),0,IF($D56*12&gt;$AC$11,$E56*H$11/$AC$11,IF(SUM($G$11:H$11)&gt;=$D56*12,$E56-SUM($F56:G56),$E56/$D56*H$11/12)))</f>
        <v>0</v>
      </c>
      <c r="I56" s="220" t="n">
        <f aca="false">IF(I$7&lt;YEAR(Startops1),0,IF($D56*12&gt;$AC$11,$E56*I$11/$AC$11,IF(SUM($G$11:I$11)&gt;=$D56*12,$E56-SUM($F56:H56),$E56/$D56*I$11/12)))</f>
        <v>0</v>
      </c>
      <c r="J56" s="220" t="n">
        <f aca="false">IF(J$7&lt;YEAR(Startops1),0,IF($D56*12&gt;$AC$11,$E56*J$11/$AC$11,IF(SUM($G$11:J$11)&gt;=$D56*12,$E56-SUM($F56:I56),$E56/$D56*J$11/12)))</f>
        <v>3092.17364632314</v>
      </c>
      <c r="K56" s="220" t="n">
        <f aca="false">IF(K$7&lt;YEAR(Startops1),0,IF($D56*12&gt;$AC$11,$E56*K$11/$AC$11,IF(SUM($G$11:K$11)&gt;=$D56*12,$E56-SUM($F56:J56),$E56/$D56*K$11/12)))</f>
        <v>7421.21675117553</v>
      </c>
      <c r="L56" s="220" t="n">
        <f aca="false">IF(L$7&lt;YEAR(Startops1),0,IF($D56*12&gt;$AC$11,$E56*L$11/$AC$11,IF(SUM($G$11:L$11)&gt;=$D56*12,$E56-SUM($F56:K56),$E56/$D56*L$11/12)))</f>
        <v>7421.21675117553</v>
      </c>
      <c r="M56" s="220" t="n">
        <f aca="false">IF(M$7&lt;YEAR(Startops1),0,IF($D56*12&gt;$AC$11,$E56*M$11/$AC$11,IF(SUM($G$11:M$11)&gt;=$D56*12,$E56-SUM($F56:L56),$E56/$D56*M$11/12)))</f>
        <v>7421.21675117553</v>
      </c>
      <c r="N56" s="220" t="n">
        <f aca="false">IF(N$7&lt;YEAR(Startops1),0,IF($D56*12&gt;$AC$11,$E56*N$11/$AC$11,IF(SUM($G$11:N$11)&gt;=$D56*12,$E56-SUM($F56:M56),$E56/$D56*N$11/12)))</f>
        <v>7421.21675117553</v>
      </c>
      <c r="O56" s="220" t="n">
        <f aca="false">IF(O$7&lt;YEAR(Startops1),0,IF($D56*12&gt;$AC$11,$E56*O$11/$AC$11,IF(SUM($G$11:O$11)&gt;=$D56*12,$E56-SUM($F56:N56),$E56/$D56*O$11/12)))</f>
        <v>7421.21675117553</v>
      </c>
      <c r="P56" s="220" t="n">
        <f aca="false">IF(P$7&lt;YEAR(Startops1),0,IF($D56*12&gt;$AC$11,$E56*P$11/$AC$11,IF(SUM($G$11:P$11)&gt;=$D56*12,$E56-SUM($F56:O56),$E56/$D56*P$11/12)))</f>
        <v>7421.21675117553</v>
      </c>
      <c r="Q56" s="220" t="n">
        <f aca="false">IF(Q$7&lt;YEAR(Startops1),0,IF($D56*12&gt;$AC$11,$E56*Q$11/$AC$11,IF(SUM($G$11:Q$11)&gt;=$D56*12,$E56-SUM($F56:P56),$E56/$D56*Q$11/12)))</f>
        <v>7421.21675117553</v>
      </c>
      <c r="R56" s="220" t="n">
        <f aca="false">IF(R$7&lt;YEAR(Startops1),0,IF($D56*12&gt;$AC$11,$E56*R$11/$AC$11,IF(SUM($G$11:R$11)&gt;=$D56*12,$E56-SUM($F56:Q56),$E56/$D56*R$11/12)))</f>
        <v>7421.21675117553</v>
      </c>
      <c r="S56" s="220" t="n">
        <f aca="false">IF(S$7&lt;YEAR(Startops1),0,IF($D56*12&gt;$AC$11,$E56*S$11/$AC$11,IF(SUM($G$11:S$11)&gt;=$D56*12,$E56-SUM($F56:R56),$E56/$D56*S$11/12)))</f>
        <v>7421.21675117553</v>
      </c>
      <c r="T56" s="220" t="n">
        <f aca="false">IF(T$7&lt;YEAR(Startops1),0,IF($D56*12&gt;$AC$11,$E56*T$11/$AC$11,IF(SUM($G$11:T$11)&gt;=$D56*12,$E56-SUM($F56:S56),$E56/$D56*T$11/12)))</f>
        <v>7421.21675117553</v>
      </c>
      <c r="U56" s="220" t="n">
        <f aca="false">IF(U$7&lt;YEAR(Startops1),0,IF($D56*12&gt;$AC$11,$E56*U$11/$AC$11,IF(SUM($G$11:U$11)&gt;=$D56*12,$E56-SUM($F56:T56),$E56/$D56*U$11/12)))</f>
        <v>7421.21675117553</v>
      </c>
      <c r="V56" s="220" t="n">
        <f aca="false">IF(V$7&lt;YEAR(Startops1),0,IF($D56*12&gt;$AC$11,$E56*V$11/$AC$11,IF(SUM($G$11:V$11)&gt;=$D56*12,$E56-SUM($F56:U56),$E56/$D56*V$11/12)))</f>
        <v>7421.21675117553</v>
      </c>
      <c r="W56" s="220" t="n">
        <f aca="false">IF(W$7&lt;YEAR(Startops1),0,IF($D56*12&gt;$AC$11,$E56*W$11/$AC$11,IF(SUM($G$11:W$11)&gt;=$D56*12,$E56-SUM($F56:V56),$E56/$D56*W$11/12)))</f>
        <v>7421.21675117553</v>
      </c>
      <c r="X56" s="220" t="n">
        <f aca="false">IF(X$7&lt;YEAR(Startops1),0,IF($D56*12&gt;$AC$11,$E56*X$11/$AC$11,IF(SUM($G$11:X$11)&gt;=$D56*12,$E56-SUM($F56:W56),$E56/$D56*X$11/12)))</f>
        <v>7421.21675117553</v>
      </c>
      <c r="Y56" s="220" t="n">
        <f aca="false">IF(Y$7&lt;YEAR(Startops1),0,IF($D56*12&gt;$AC$11,$E56*Y$11/$AC$11,IF(SUM($G$11:Y$11)&gt;=$D56*12,$E56-SUM($F56:X56),$E56/$D56*Y$11/12)))</f>
        <v>7421.21675117553</v>
      </c>
      <c r="Z56" s="220" t="n">
        <f aca="false">IF(Z$7&lt;YEAR(Startops1),0,IF($D56*12&gt;$AC$11,$E56*Z$11/$AC$11,IF(SUM($G$11:Z$11)&gt;=$D56*12,$E56-SUM($F56:Y56),$E56/$D56*Z$11/12)))</f>
        <v>7421.21675117553</v>
      </c>
      <c r="AA56" s="220" t="n">
        <f aca="false">IF(AA$7&lt;YEAR(Startops1),0,IF($D56*12&gt;$AC$11,$E56*AA$11/$AC$11,IF(SUM($G$11:AA$11)&gt;=$D56*12,$E56-SUM($F56:Z56),$E56/$D56*AA$11/12)))</f>
        <v>7421.21675117553</v>
      </c>
      <c r="AB56" s="220" t="n">
        <f aca="false">IF(AB$7&lt;YEAR(Startops1),0,IF($D56*12&gt;$AC$11,$E56*AB$11/$AC$11,IF(SUM($G$11:AB$11)&gt;=$D56*12,$E56-SUM($F56:AA56),$E56/$D56*AB$11/12)))</f>
        <v>2473.73891705851</v>
      </c>
      <c r="AC56" s="576" t="n">
        <f aca="false">SUM(G56:AB56)</f>
        <v>131726.597333366</v>
      </c>
    </row>
    <row r="57" customFormat="false" ht="12.75" hidden="false" customHeight="false" outlineLevel="0" collapsed="false">
      <c r="A57" s="37"/>
      <c r="B57" s="38" t="s">
        <v>1515</v>
      </c>
      <c r="C57" s="38"/>
      <c r="D57" s="876"/>
      <c r="E57" s="875" t="n">
        <f aca="false">SUM(E54:E56)</f>
        <v>329316.493333414</v>
      </c>
      <c r="F57" s="38"/>
      <c r="G57" s="217" t="n">
        <f aca="false">SUM(G54:G56)</f>
        <v>0</v>
      </c>
      <c r="H57" s="217" t="n">
        <f aca="false">SUM(H54:H56)</f>
        <v>3704.81055000091</v>
      </c>
      <c r="I57" s="217" t="n">
        <f aca="false">SUM(I54:I56)</f>
        <v>4939.74740000121</v>
      </c>
      <c r="J57" s="217" t="n">
        <f aca="false">SUM(J54:J56)</f>
        <v>12563.7993949493</v>
      </c>
      <c r="K57" s="217" t="n">
        <f aca="false">SUM(K54:K56)</f>
        <v>17799.2181695267</v>
      </c>
      <c r="L57" s="217" t="n">
        <f aca="false">SUM(L54:L56)</f>
        <v>17799.2181695267</v>
      </c>
      <c r="M57" s="217" t="n">
        <f aca="false">SUM(M54:M56)</f>
        <v>17799.2181695267</v>
      </c>
      <c r="N57" s="217" t="n">
        <f aca="false">SUM(N54:N56)</f>
        <v>17799.2181695267</v>
      </c>
      <c r="O57" s="217" t="n">
        <f aca="false">SUM(O54:O56)</f>
        <v>17799.2181695267</v>
      </c>
      <c r="P57" s="217" t="n">
        <f aca="false">SUM(P54:P56)</f>
        <v>17799.2181695267</v>
      </c>
      <c r="Q57" s="217" t="n">
        <f aca="false">SUM(Q54:Q56)</f>
        <v>17799.2181695267</v>
      </c>
      <c r="R57" s="217" t="n">
        <f aca="false">SUM(R54:R56)</f>
        <v>17799.2181695267</v>
      </c>
      <c r="S57" s="217" t="n">
        <f aca="false">SUM(S54:S56)</f>
        <v>17799.2181695267</v>
      </c>
      <c r="T57" s="217" t="n">
        <f aca="false">SUM(T54:T56)</f>
        <v>17799.2181695267</v>
      </c>
      <c r="U57" s="217" t="n">
        <f aca="false">SUM(U54:U56)</f>
        <v>17799.2181695267</v>
      </c>
      <c r="V57" s="217" t="n">
        <f aca="false">SUM(V54:V56)</f>
        <v>17799.2181695267</v>
      </c>
      <c r="W57" s="217" t="n">
        <f aca="false">SUM(W54:W56)</f>
        <v>17799.2181695267</v>
      </c>
      <c r="X57" s="217" t="n">
        <f aca="false">SUM(X54:X56)</f>
        <v>17799.2181695267</v>
      </c>
      <c r="Y57" s="217" t="n">
        <f aca="false">SUM(Y54:Y56)</f>
        <v>17799.2181695267</v>
      </c>
      <c r="Z57" s="217" t="n">
        <f aca="false">SUM(Z54:Z56)</f>
        <v>17799.2181695267</v>
      </c>
      <c r="AA57" s="217" t="n">
        <f aca="false">SUM(AA54:AA56)</f>
        <v>17799.2181695267</v>
      </c>
      <c r="AB57" s="217" t="n">
        <f aca="false">SUM(AB54:AB56)</f>
        <v>5521.42710650878</v>
      </c>
      <c r="AC57" s="574" t="n">
        <f aca="false">SUM(AC54:AC56)</f>
        <v>329316.493333414</v>
      </c>
    </row>
    <row r="58" customFormat="false" ht="12.75" hidden="false" customHeight="false" outlineLevel="0" collapsed="false">
      <c r="A58" s="37"/>
      <c r="B58" s="131" t="s">
        <v>1516</v>
      </c>
      <c r="C58" s="131"/>
      <c r="D58" s="1209"/>
      <c r="E58" s="1206"/>
      <c r="F58" s="38"/>
      <c r="G58" s="754" t="n">
        <f aca="false">G57</f>
        <v>0</v>
      </c>
      <c r="H58" s="754" t="n">
        <f aca="false">G58+H57</f>
        <v>3704.81055000091</v>
      </c>
      <c r="I58" s="754" t="n">
        <f aca="false">H58+I57</f>
        <v>8644.55795000212</v>
      </c>
      <c r="J58" s="754" t="n">
        <f aca="false">I58+J57</f>
        <v>21208.3573449514</v>
      </c>
      <c r="K58" s="754" t="n">
        <f aca="false">J58+K57</f>
        <v>39007.5755144781</v>
      </c>
      <c r="L58" s="754" t="n">
        <f aca="false">K58+L57</f>
        <v>56806.7936840048</v>
      </c>
      <c r="M58" s="754" t="n">
        <f aca="false">L58+M57</f>
        <v>74606.0118535315</v>
      </c>
      <c r="N58" s="754" t="n">
        <f aca="false">M58+N57</f>
        <v>92405.2300230582</v>
      </c>
      <c r="O58" s="754" t="n">
        <f aca="false">N58+O57</f>
        <v>110204.448192585</v>
      </c>
      <c r="P58" s="754" t="n">
        <f aca="false">O58+P57</f>
        <v>128003.666362112</v>
      </c>
      <c r="Q58" s="754" t="n">
        <f aca="false">P58+Q57</f>
        <v>145802.884531638</v>
      </c>
      <c r="R58" s="754" t="n">
        <f aca="false">Q58+R57</f>
        <v>163602.102701165</v>
      </c>
      <c r="S58" s="754" t="n">
        <f aca="false">R58+S57</f>
        <v>181401.320870692</v>
      </c>
      <c r="T58" s="754" t="n">
        <f aca="false">S58+T57</f>
        <v>199200.539040218</v>
      </c>
      <c r="U58" s="754" t="n">
        <f aca="false">T58+U57</f>
        <v>216999.757209745</v>
      </c>
      <c r="V58" s="754" t="n">
        <f aca="false">U58+V57</f>
        <v>234798.975379272</v>
      </c>
      <c r="W58" s="754" t="n">
        <f aca="false">V58+W57</f>
        <v>252598.193548798</v>
      </c>
      <c r="X58" s="754" t="n">
        <f aca="false">W58+X57</f>
        <v>270397.411718325</v>
      </c>
      <c r="Y58" s="754" t="n">
        <f aca="false">X58+Y57</f>
        <v>288196.629887852</v>
      </c>
      <c r="Z58" s="754" t="n">
        <f aca="false">Y58+Z57</f>
        <v>305995.848057378</v>
      </c>
      <c r="AA58" s="754" t="n">
        <f aca="false">Z58+AA57</f>
        <v>323795.066226905</v>
      </c>
      <c r="AB58" s="754" t="n">
        <f aca="false">AA58+AB57</f>
        <v>329316.493333414</v>
      </c>
      <c r="AC58" s="574"/>
    </row>
    <row r="59" customFormat="false" ht="12.75" hidden="false" customHeight="false" outlineLevel="0" collapsed="false">
      <c r="A59" s="37"/>
      <c r="B59" s="38"/>
      <c r="C59" s="38"/>
      <c r="D59" s="876"/>
      <c r="E59" s="1207"/>
      <c r="F59" s="38"/>
      <c r="G59" s="556"/>
      <c r="H59" s="556"/>
      <c r="I59" s="556"/>
      <c r="J59" s="556"/>
      <c r="K59" s="556"/>
      <c r="L59" s="556"/>
      <c r="M59" s="556"/>
      <c r="N59" s="556"/>
      <c r="O59" s="556"/>
      <c r="P59" s="556"/>
      <c r="Q59" s="556"/>
      <c r="R59" s="556"/>
      <c r="S59" s="556"/>
      <c r="T59" s="556"/>
      <c r="U59" s="556"/>
      <c r="V59" s="556"/>
      <c r="W59" s="556"/>
      <c r="X59" s="556"/>
      <c r="Y59" s="556"/>
      <c r="Z59" s="556"/>
      <c r="AA59" s="556"/>
      <c r="AB59" s="556"/>
      <c r="AC59" s="557"/>
    </row>
    <row r="60" customFormat="false" ht="12.75" hidden="false" customHeight="false" outlineLevel="0" collapsed="false">
      <c r="A60" s="37"/>
      <c r="B60" s="38" t="s">
        <v>1521</v>
      </c>
      <c r="C60" s="38"/>
      <c r="D60" s="876"/>
      <c r="E60" s="1207"/>
      <c r="F60" s="38"/>
      <c r="G60" s="189" t="n">
        <v>0</v>
      </c>
      <c r="H60" s="217" t="n">
        <f aca="false">G63</f>
        <v>0</v>
      </c>
      <c r="I60" s="217" t="n">
        <f aca="false">H63</f>
        <v>95090.1374500233</v>
      </c>
      <c r="J60" s="217" t="n">
        <f aca="false">I63</f>
        <v>90150.3900500221</v>
      </c>
      <c r="K60" s="217" t="n">
        <f aca="false">J63</f>
        <v>308108.135988463</v>
      </c>
      <c r="L60" s="217" t="n">
        <f aca="false">K63</f>
        <v>290308.917818936</v>
      </c>
      <c r="M60" s="217" t="n">
        <f aca="false">L63</f>
        <v>272509.699649409</v>
      </c>
      <c r="N60" s="217" t="n">
        <f aca="false">M63</f>
        <v>254710.481479882</v>
      </c>
      <c r="O60" s="217" t="n">
        <f aca="false">N63</f>
        <v>236911.263310356</v>
      </c>
      <c r="P60" s="217" t="n">
        <f aca="false">O63</f>
        <v>219112.045140829</v>
      </c>
      <c r="Q60" s="217" t="n">
        <f aca="false">P63</f>
        <v>201312.826971302</v>
      </c>
      <c r="R60" s="217" t="n">
        <f aca="false">Q63</f>
        <v>183513.608801776</v>
      </c>
      <c r="S60" s="217" t="n">
        <f aca="false">R63</f>
        <v>165714.390632249</v>
      </c>
      <c r="T60" s="217" t="n">
        <f aca="false">S63</f>
        <v>147915.172462722</v>
      </c>
      <c r="U60" s="217" t="n">
        <f aca="false">T63</f>
        <v>130115.954293196</v>
      </c>
      <c r="V60" s="217" t="n">
        <f aca="false">U63</f>
        <v>112316.736123669</v>
      </c>
      <c r="W60" s="217" t="n">
        <f aca="false">V63</f>
        <v>94517.5179541422</v>
      </c>
      <c r="X60" s="217" t="n">
        <f aca="false">W63</f>
        <v>76718.2997846156</v>
      </c>
      <c r="Y60" s="217" t="n">
        <f aca="false">X63</f>
        <v>58919.0816150889</v>
      </c>
      <c r="Z60" s="217" t="n">
        <f aca="false">Y63</f>
        <v>41119.8634455622</v>
      </c>
      <c r="AA60" s="217" t="n">
        <f aca="false">Z63</f>
        <v>23320.6452760355</v>
      </c>
      <c r="AB60" s="217" t="n">
        <f aca="false">AA63</f>
        <v>5521.42710650878</v>
      </c>
      <c r="AC60" s="574"/>
    </row>
    <row r="61" customFormat="false" ht="12.75" hidden="false" customHeight="false" outlineLevel="0" collapsed="false">
      <c r="A61" s="37"/>
      <c r="B61" s="38" t="s">
        <v>1510</v>
      </c>
      <c r="C61" s="38"/>
      <c r="D61" s="876"/>
      <c r="E61" s="1207"/>
      <c r="F61" s="38"/>
      <c r="G61" s="217" t="n">
        <f aca="false">IF(G$7=YEAR(Startops1),$E54,0)+IF(G$7=YEAR(Startops2),$E55,0)+IF(G$7=YEAR(Startops3),$E56,0)</f>
        <v>0</v>
      </c>
      <c r="H61" s="217" t="n">
        <f aca="false">IF(H$7=YEAR(Startops1),$E54,0)+IF(H$7=YEAR(Startops2),$E55,0)+IF(H$7=YEAR(Startops3),$E56,0)</f>
        <v>98794.9480000242</v>
      </c>
      <c r="I61" s="217" t="n">
        <f aca="false">IF(I$7=YEAR(Startops1),$E54,0)+IF(I$7=YEAR(Startops2),$E55,0)+IF(I$7=YEAR(Startops3),$E56,0)</f>
        <v>0</v>
      </c>
      <c r="J61" s="217" t="n">
        <f aca="false">IF(J$7=YEAR(Startops1),$E54,0)+IF(J$7=YEAR(Startops2),$E55,0)+IF(J$7=YEAR(Startops3),$E56,0)</f>
        <v>230521.54533339</v>
      </c>
      <c r="K61" s="217" t="n">
        <f aca="false">IF(K$7=YEAR(Startops1),$E54,0)+IF(K$7=YEAR(Startops2),$E55,0)+IF(K$7=YEAR(Startops3),$E56,0)</f>
        <v>0</v>
      </c>
      <c r="L61" s="217" t="n">
        <f aca="false">IF(L$7=YEAR(Startops1),$E54,0)+IF(L$7=YEAR(Startops2),$E55,0)+IF(L$7=YEAR(Startops3),$E56,0)</f>
        <v>0</v>
      </c>
      <c r="M61" s="217" t="n">
        <f aca="false">IF(M$7=YEAR(Startops1),$E54,0)+IF(M$7=YEAR(Startops2),$E55,0)+IF(M$7=YEAR(Startops3),$E56,0)</f>
        <v>0</v>
      </c>
      <c r="N61" s="217" t="n">
        <f aca="false">IF(N$7=YEAR(Startops1),$E54,0)+IF(N$7=YEAR(Startops2),$E55,0)+IF(N$7=YEAR(Startops3),$E56,0)</f>
        <v>0</v>
      </c>
      <c r="O61" s="217" t="n">
        <f aca="false">IF(O$7=YEAR(Startops1),$E54,0)+IF(O$7=YEAR(Startops2),$E55,0)+IF(O$7=YEAR(Startops3),$E56,0)</f>
        <v>0</v>
      </c>
      <c r="P61" s="217" t="n">
        <f aca="false">IF(P$7=YEAR(Startops1),$E54,0)+IF(P$7=YEAR(Startops2),$E55,0)+IF(P$7=YEAR(Startops3),$E56,0)</f>
        <v>0</v>
      </c>
      <c r="Q61" s="217" t="n">
        <f aca="false">IF(Q$7=YEAR(Startops1),$E54,0)+IF(Q$7=YEAR(Startops2),$E55,0)+IF(Q$7=YEAR(Startops3),$E56,0)</f>
        <v>0</v>
      </c>
      <c r="R61" s="217" t="n">
        <f aca="false">IF(R$7=YEAR(Startops1),$E54,0)+IF(R$7=YEAR(Startops2),$E55,0)+IF(R$7=YEAR(Startops3),$E56,0)</f>
        <v>0</v>
      </c>
      <c r="S61" s="217" t="n">
        <f aca="false">IF(S$7=YEAR(Startops1),$E54,0)+IF(S$7=YEAR(Startops2),$E55,0)+IF(S$7=YEAR(Startops3),$E56,0)</f>
        <v>0</v>
      </c>
      <c r="T61" s="217" t="n">
        <f aca="false">IF(T$7=YEAR(Startops1),$E54,0)+IF(T$7=YEAR(Startops2),$E55,0)+IF(T$7=YEAR(Startops3),$E56,0)</f>
        <v>0</v>
      </c>
      <c r="U61" s="217" t="n">
        <f aca="false">IF(U$7=YEAR(Startops1),$E54,0)+IF(U$7=YEAR(Startops2),$E55,0)+IF(U$7=YEAR(Startops3),$E56,0)</f>
        <v>0</v>
      </c>
      <c r="V61" s="217" t="n">
        <f aca="false">IF(V$7=YEAR(Startops1),$E54,0)+IF(V$7=YEAR(Startops2),$E55,0)+IF(V$7=YEAR(Startops3),$E56,0)</f>
        <v>0</v>
      </c>
      <c r="W61" s="217" t="n">
        <f aca="false">IF(W$7=YEAR(Startops1),$E54,0)+IF(W$7=YEAR(Startops2),$E55,0)+IF(W$7=YEAR(Startops3),$E56,0)</f>
        <v>0</v>
      </c>
      <c r="X61" s="217" t="n">
        <f aca="false">IF(X$7=YEAR(Startops1),$E54,0)+IF(X$7=YEAR(Startops2),$E55,0)+IF(X$7=YEAR(Startops3),$E56,0)</f>
        <v>0</v>
      </c>
      <c r="Y61" s="217" t="n">
        <f aca="false">IF(Y$7=YEAR(Startops1),$E54,0)+IF(Y$7=YEAR(Startops2),$E55,0)+IF(Y$7=YEAR(Startops3),$E56,0)</f>
        <v>0</v>
      </c>
      <c r="Z61" s="217" t="n">
        <f aca="false">IF(Z$7=YEAR(Startops1),$E54,0)+IF(Z$7=YEAR(Startops2),$E55,0)+IF(Z$7=YEAR(Startops3),$E56,0)</f>
        <v>0</v>
      </c>
      <c r="AA61" s="217" t="n">
        <f aca="false">IF(AA$7=YEAR(Startops1),$E54,0)+IF(AA$7=YEAR(Startops2),$E55,0)+IF(AA$7=YEAR(Startops3),$E56,0)</f>
        <v>0</v>
      </c>
      <c r="AB61" s="217" t="n">
        <f aca="false">IF(AB$7=YEAR(Startops1),$E54,0)+IF(AB$7=YEAR(Startops2),$E55,0)+IF(AB$7=YEAR(Startops3),$E56,0)</f>
        <v>0</v>
      </c>
      <c r="AC61" s="574" t="n">
        <f aca="false">SUM(G61:AB61)</f>
        <v>329316.493333414</v>
      </c>
    </row>
    <row r="62" customFormat="false" ht="12.75" hidden="false" customHeight="false" outlineLevel="0" collapsed="false">
      <c r="A62" s="37"/>
      <c r="B62" s="38" t="s">
        <v>1511</v>
      </c>
      <c r="C62" s="38"/>
      <c r="D62" s="876"/>
      <c r="E62" s="1207"/>
      <c r="F62" s="38"/>
      <c r="G62" s="220" t="n">
        <f aca="false">-G57</f>
        <v>-0</v>
      </c>
      <c r="H62" s="220" t="n">
        <f aca="false">-H57</f>
        <v>-3704.81055000091</v>
      </c>
      <c r="I62" s="220" t="n">
        <f aca="false">-I57</f>
        <v>-4939.74740000121</v>
      </c>
      <c r="J62" s="220" t="n">
        <f aca="false">-J57</f>
        <v>-12563.7993949493</v>
      </c>
      <c r="K62" s="220" t="n">
        <f aca="false">-K57</f>
        <v>-17799.2181695267</v>
      </c>
      <c r="L62" s="220" t="n">
        <f aca="false">-L57</f>
        <v>-17799.2181695267</v>
      </c>
      <c r="M62" s="220" t="n">
        <f aca="false">-M57</f>
        <v>-17799.2181695267</v>
      </c>
      <c r="N62" s="220" t="n">
        <f aca="false">-N57</f>
        <v>-17799.2181695267</v>
      </c>
      <c r="O62" s="220" t="n">
        <f aca="false">-O57</f>
        <v>-17799.2181695267</v>
      </c>
      <c r="P62" s="220" t="n">
        <f aca="false">-P57</f>
        <v>-17799.2181695267</v>
      </c>
      <c r="Q62" s="220" t="n">
        <f aca="false">-Q57</f>
        <v>-17799.2181695267</v>
      </c>
      <c r="R62" s="220" t="n">
        <f aca="false">-R57</f>
        <v>-17799.2181695267</v>
      </c>
      <c r="S62" s="220" t="n">
        <f aca="false">-S57</f>
        <v>-17799.2181695267</v>
      </c>
      <c r="T62" s="220" t="n">
        <f aca="false">-T57</f>
        <v>-17799.2181695267</v>
      </c>
      <c r="U62" s="220" t="n">
        <f aca="false">-U57</f>
        <v>-17799.2181695267</v>
      </c>
      <c r="V62" s="220" t="n">
        <f aca="false">-V57</f>
        <v>-17799.2181695267</v>
      </c>
      <c r="W62" s="220" t="n">
        <f aca="false">-W57</f>
        <v>-17799.2181695267</v>
      </c>
      <c r="X62" s="220" t="n">
        <f aca="false">-X57</f>
        <v>-17799.2181695267</v>
      </c>
      <c r="Y62" s="220" t="n">
        <f aca="false">-Y57</f>
        <v>-17799.2181695267</v>
      </c>
      <c r="Z62" s="220" t="n">
        <f aca="false">-Z57</f>
        <v>-17799.2181695267</v>
      </c>
      <c r="AA62" s="220" t="n">
        <f aca="false">-AA57</f>
        <v>-17799.2181695267</v>
      </c>
      <c r="AB62" s="220" t="n">
        <f aca="false">-AB57</f>
        <v>-5521.42710650878</v>
      </c>
      <c r="AC62" s="576" t="n">
        <f aca="false">SUM(G62:AB62)</f>
        <v>-329316.493333414</v>
      </c>
    </row>
    <row r="63" customFormat="false" ht="13.5" hidden="false" customHeight="false" outlineLevel="0" collapsed="false">
      <c r="A63" s="70"/>
      <c r="B63" s="71" t="s">
        <v>1522</v>
      </c>
      <c r="C63" s="71" t="s">
        <v>49</v>
      </c>
      <c r="D63" s="880"/>
      <c r="E63" s="1210"/>
      <c r="F63" s="71"/>
      <c r="G63" s="286" t="n">
        <f aca="false">SUM(G60:G62)</f>
        <v>0</v>
      </c>
      <c r="H63" s="286" t="n">
        <f aca="false">SUM(H60:H62)</f>
        <v>95090.1374500233</v>
      </c>
      <c r="I63" s="286" t="n">
        <f aca="false">SUM(I60:I62)</f>
        <v>90150.3900500221</v>
      </c>
      <c r="J63" s="286" t="n">
        <f aca="false">SUM(J60:J62)</f>
        <v>308108.135988463</v>
      </c>
      <c r="K63" s="286" t="n">
        <f aca="false">SUM(K60:K62)</f>
        <v>290308.917818936</v>
      </c>
      <c r="L63" s="286" t="n">
        <f aca="false">SUM(L60:L62)</f>
        <v>272509.699649409</v>
      </c>
      <c r="M63" s="286" t="n">
        <f aca="false">SUM(M60:M62)</f>
        <v>254710.481479882</v>
      </c>
      <c r="N63" s="286" t="n">
        <f aca="false">SUM(N60:N62)</f>
        <v>236911.263310356</v>
      </c>
      <c r="O63" s="286" t="n">
        <f aca="false">SUM(O60:O62)</f>
        <v>219112.045140829</v>
      </c>
      <c r="P63" s="286" t="n">
        <f aca="false">SUM(P60:P62)</f>
        <v>201312.826971302</v>
      </c>
      <c r="Q63" s="286" t="n">
        <f aca="false">SUM(Q60:Q62)</f>
        <v>183513.608801776</v>
      </c>
      <c r="R63" s="286" t="n">
        <f aca="false">SUM(R60:R62)</f>
        <v>165714.390632249</v>
      </c>
      <c r="S63" s="286" t="n">
        <f aca="false">SUM(S60:S62)</f>
        <v>147915.172462722</v>
      </c>
      <c r="T63" s="286" t="n">
        <f aca="false">SUM(T60:T62)</f>
        <v>130115.954293196</v>
      </c>
      <c r="U63" s="286" t="n">
        <f aca="false">SUM(U60:U62)</f>
        <v>112316.736123669</v>
      </c>
      <c r="V63" s="286" t="n">
        <f aca="false">SUM(V60:V62)</f>
        <v>94517.5179541422</v>
      </c>
      <c r="W63" s="286" t="n">
        <f aca="false">SUM(W60:W62)</f>
        <v>76718.2997846156</v>
      </c>
      <c r="X63" s="286" t="n">
        <f aca="false">SUM(X60:X62)</f>
        <v>58919.0816150889</v>
      </c>
      <c r="Y63" s="286" t="n">
        <f aca="false">SUM(Y60:Y62)</f>
        <v>41119.8634455622</v>
      </c>
      <c r="Z63" s="286" t="n">
        <f aca="false">SUM(Z60:Z62)</f>
        <v>23320.6452760355</v>
      </c>
      <c r="AA63" s="286" t="n">
        <f aca="false">SUM(AA60:AA62)</f>
        <v>5521.42710650878</v>
      </c>
      <c r="AB63" s="286" t="n">
        <f aca="false">SUM(AB60:AB62)</f>
        <v>0</v>
      </c>
      <c r="AC63" s="770"/>
    </row>
  </sheetData>
  <mergeCells count="3">
    <mergeCell ref="G14:I14"/>
    <mergeCell ref="J14:L14"/>
    <mergeCell ref="M14:O14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90"/>
  <sheetViews>
    <sheetView showFormulas="false" showGridLines="true" showRowColHeaders="true" showZeros="true" rightToLeft="false" tabSelected="false" showOutlineSymbols="true" defaultGridColor="true" view="normal" topLeftCell="A58" colorId="64" zoomScale="80" zoomScaleNormal="80" zoomScalePageLayoutView="100" workbookViewId="0">
      <selection pane="topLeft" activeCell="G90" activeCellId="0" sqref="G9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2" min="1" style="293" width="1.7"/>
    <col collapsed="false" customWidth="true" hidden="false" outlineLevel="0" max="4" min="3" style="293" width="10.71"/>
    <col collapsed="false" customWidth="true" hidden="false" outlineLevel="0" max="5" min="5" style="293" width="16.42"/>
    <col collapsed="false" customWidth="true" hidden="false" outlineLevel="0" max="6" min="6" style="425" width="12.99"/>
    <col collapsed="false" customWidth="true" hidden="false" outlineLevel="0" max="28" min="7" style="425" width="11.7"/>
    <col collapsed="false" customWidth="true" hidden="false" outlineLevel="0" max="29" min="29" style="425" width="15.13"/>
    <col collapsed="false" customWidth="false" hidden="false" outlineLevel="0" max="31" min="30" style="425" width="9.14"/>
    <col collapsed="false" customWidth="true" hidden="false" outlineLevel="0" max="32" min="32" style="425" width="9.41"/>
    <col collapsed="false" customWidth="false" hidden="false" outlineLevel="0" max="257" min="33" style="425" width="9.14"/>
  </cols>
  <sheetData>
    <row r="1" customFormat="false" ht="15.75" hidden="false" customHeight="false" outlineLevel="0" collapsed="false">
      <c r="A1" s="1211" t="s">
        <v>1523</v>
      </c>
      <c r="B1" s="425"/>
      <c r="C1" s="425"/>
      <c r="D1" s="425"/>
      <c r="E1" s="425"/>
    </row>
    <row r="2" customFormat="false" ht="15.75" hidden="false" customHeight="false" outlineLevel="0" collapsed="false">
      <c r="A2" s="1211" t="s">
        <v>1524</v>
      </c>
      <c r="B2" s="425"/>
      <c r="C2" s="425"/>
      <c r="D2" s="425"/>
      <c r="E2" s="425"/>
    </row>
    <row r="3" customFormat="false" ht="15" hidden="false" customHeight="false" outlineLevel="0" collapsed="false">
      <c r="A3" s="1212"/>
      <c r="B3" s="425"/>
      <c r="C3" s="425"/>
      <c r="D3" s="425"/>
      <c r="E3" s="425"/>
    </row>
    <row r="4" customFormat="false" ht="15" hidden="false" customHeight="false" outlineLevel="0" collapsed="false">
      <c r="A4" s="1213"/>
      <c r="B4" s="425"/>
      <c r="C4" s="425"/>
      <c r="D4" s="425"/>
      <c r="E4" s="425"/>
    </row>
    <row r="5" customFormat="false" ht="13.5" hidden="false" customHeight="false" outlineLevel="0" collapsed="false">
      <c r="C5" s="425"/>
    </row>
    <row r="6" customFormat="false" ht="12.75" hidden="false" customHeight="false" outlineLevel="0" collapsed="false">
      <c r="A6" s="1214"/>
      <c r="B6" s="1215"/>
      <c r="C6" s="1215"/>
      <c r="D6" s="1215"/>
      <c r="E6" s="1215"/>
      <c r="F6" s="1216" t="s">
        <v>1525</v>
      </c>
      <c r="G6" s="1217" t="n">
        <v>0</v>
      </c>
      <c r="H6" s="1215" t="n">
        <f aca="false">IF(H$7&lt;YEAR(Startops1),0,G$6+1)</f>
        <v>0</v>
      </c>
      <c r="I6" s="1215" t="n">
        <f aca="false">IF(I$7&lt;YEAR(Startops1),0,H$6+1)</f>
        <v>1</v>
      </c>
      <c r="J6" s="1215" t="n">
        <f aca="false">IF(J$7&lt;YEAR(Startops1),0,I$6+1)</f>
        <v>2</v>
      </c>
      <c r="K6" s="1215" t="n">
        <f aca="false">IF(K$7&lt;YEAR(Startops1),0,J$6+1)</f>
        <v>3</v>
      </c>
      <c r="L6" s="1215" t="n">
        <f aca="false">IF(L$7&lt;YEAR(Startops1),0,K$6+1)</f>
        <v>4</v>
      </c>
      <c r="M6" s="1215" t="n">
        <f aca="false">IF(M$7&lt;YEAR(Startops1),0,L$6+1)</f>
        <v>5</v>
      </c>
      <c r="N6" s="1215" t="n">
        <f aca="false">IF(N$7&lt;YEAR(Startops1),0,M$6+1)</f>
        <v>6</v>
      </c>
      <c r="O6" s="1215" t="n">
        <f aca="false">IF(O$7&lt;YEAR(Startops1),0,N$6+1)</f>
        <v>7</v>
      </c>
      <c r="P6" s="1215" t="n">
        <f aca="false">IF(P$7&lt;YEAR(Startops1),0,O$6+1)</f>
        <v>8</v>
      </c>
      <c r="Q6" s="1215" t="n">
        <f aca="false">IF(Q$7&lt;YEAR(Startops1),0,P$6+1)</f>
        <v>9</v>
      </c>
      <c r="R6" s="1215" t="n">
        <f aca="false">IF(R$7&lt;YEAR(Startops1),0,Q$6+1)</f>
        <v>10</v>
      </c>
      <c r="S6" s="1215" t="n">
        <f aca="false">IF(S$7&lt;YEAR(Startops1),0,R$6+1)</f>
        <v>11</v>
      </c>
      <c r="T6" s="1215" t="n">
        <f aca="false">IF(T$7&lt;YEAR(Startops1),0,S$6+1)</f>
        <v>12</v>
      </c>
      <c r="U6" s="1215" t="n">
        <f aca="false">IF(U$7&lt;YEAR(Startops1),0,T$6+1)</f>
        <v>13</v>
      </c>
      <c r="V6" s="1215" t="n">
        <f aca="false">IF(V$7&lt;YEAR(Startops1),0,U$6+1)</f>
        <v>14</v>
      </c>
      <c r="W6" s="1215" t="n">
        <f aca="false">IF(W$7&lt;YEAR(Startops1),0,V$6+1)</f>
        <v>15</v>
      </c>
      <c r="X6" s="1215" t="n">
        <f aca="false">IF(X$7&lt;YEAR(Startops1),0,W$6+1)</f>
        <v>16</v>
      </c>
      <c r="Y6" s="1215" t="n">
        <f aca="false">IF(Y$7&lt;YEAR(Startops1),0,X$6+1)</f>
        <v>17</v>
      </c>
      <c r="Z6" s="1215" t="n">
        <f aca="false">IF(Z$7&lt;YEAR(Startops1),0,Y$6+1)</f>
        <v>18</v>
      </c>
      <c r="AA6" s="1215" t="n">
        <f aca="false">IF(AA$7&lt;YEAR(Startops1),0,Z$6+1)</f>
        <v>19</v>
      </c>
      <c r="AB6" s="1215" t="n">
        <f aca="false">IF(AB$7&lt;YEAR(Startops1),0,AA$6+1)</f>
        <v>20</v>
      </c>
      <c r="AC6" s="1215" t="n">
        <f aca="false">IF(AC$7&lt;YEAR(Startops1),0,AB$6+1)</f>
        <v>21</v>
      </c>
      <c r="AD6" s="1218"/>
      <c r="AE6" s="1219"/>
      <c r="AF6" s="1220" t="s">
        <v>1526</v>
      </c>
      <c r="AG6" s="1219"/>
      <c r="AH6" s="1219"/>
      <c r="AI6" s="1219"/>
      <c r="AJ6" s="1219"/>
      <c r="AK6" s="1219"/>
      <c r="AL6" s="1219"/>
      <c r="AM6" s="1219"/>
      <c r="AN6" s="1219"/>
      <c r="AO6" s="1219"/>
      <c r="AP6" s="1219"/>
      <c r="AQ6" s="1219"/>
      <c r="AR6" s="1219"/>
      <c r="AS6" s="1219"/>
      <c r="AT6" s="1219"/>
      <c r="AU6" s="1219"/>
      <c r="AV6" s="1219"/>
      <c r="AW6" s="1219"/>
      <c r="AX6" s="1219"/>
      <c r="AY6" s="1219"/>
      <c r="AZ6" s="1219"/>
      <c r="BA6" s="1219"/>
      <c r="BB6" s="1219"/>
      <c r="BC6" s="1219"/>
      <c r="BD6" s="1219"/>
      <c r="BE6" s="1219"/>
      <c r="BF6" s="1219"/>
      <c r="BG6" s="1219"/>
      <c r="BH6" s="1219"/>
      <c r="BI6" s="1219"/>
      <c r="BJ6" s="1219"/>
      <c r="BK6" s="1219"/>
      <c r="BL6" s="1219"/>
      <c r="BM6" s="1219"/>
      <c r="BN6" s="1219"/>
      <c r="BO6" s="1219"/>
      <c r="BP6" s="1219"/>
      <c r="BQ6" s="1219"/>
      <c r="BR6" s="1219"/>
      <c r="BS6" s="1219"/>
      <c r="BT6" s="1219"/>
      <c r="BU6" s="1219"/>
      <c r="BV6" s="1219"/>
      <c r="BW6" s="1219"/>
      <c r="BX6" s="1219"/>
      <c r="BY6" s="1219"/>
      <c r="BZ6" s="1219"/>
      <c r="CA6" s="1219"/>
      <c r="CB6" s="1219"/>
      <c r="CC6" s="1219"/>
      <c r="CD6" s="1219"/>
      <c r="CE6" s="1219"/>
      <c r="CF6" s="1219"/>
      <c r="CG6" s="1219"/>
      <c r="CH6" s="1219"/>
      <c r="CI6" s="1219"/>
      <c r="CJ6" s="1219"/>
      <c r="CK6" s="1219"/>
      <c r="CL6" s="1219"/>
      <c r="CM6" s="1219"/>
      <c r="CN6" s="1219"/>
      <c r="CO6" s="1219"/>
      <c r="CP6" s="1219"/>
      <c r="CQ6" s="1219"/>
      <c r="CR6" s="1219"/>
      <c r="CS6" s="1219"/>
      <c r="CT6" s="1219"/>
      <c r="CU6" s="1219"/>
      <c r="CV6" s="1219"/>
      <c r="CW6" s="1219"/>
      <c r="CX6" s="1219"/>
      <c r="CY6" s="1219"/>
      <c r="CZ6" s="1219"/>
      <c r="DA6" s="1219"/>
      <c r="DB6" s="1219"/>
      <c r="DC6" s="1219"/>
      <c r="DD6" s="1219"/>
      <c r="DE6" s="1219"/>
      <c r="DF6" s="1219"/>
      <c r="DG6" s="1219"/>
      <c r="DH6" s="1219"/>
      <c r="DI6" s="1219"/>
      <c r="DJ6" s="1219"/>
      <c r="DK6" s="1219"/>
      <c r="DL6" s="1219"/>
      <c r="DM6" s="1219"/>
      <c r="DN6" s="1219"/>
      <c r="DO6" s="1219"/>
      <c r="DP6" s="1219"/>
      <c r="DQ6" s="1219"/>
      <c r="DR6" s="1219"/>
      <c r="DS6" s="1219"/>
      <c r="DT6" s="1219"/>
      <c r="DU6" s="1219"/>
      <c r="DV6" s="1219"/>
      <c r="DW6" s="1219"/>
      <c r="DX6" s="1219"/>
      <c r="DY6" s="1219"/>
      <c r="DZ6" s="1219"/>
      <c r="EA6" s="1219"/>
      <c r="EB6" s="1219"/>
      <c r="EC6" s="1219"/>
      <c r="ED6" s="1219"/>
      <c r="EE6" s="1219"/>
      <c r="EF6" s="1219"/>
      <c r="EG6" s="1219"/>
      <c r="EH6" s="1219"/>
      <c r="EI6" s="1219"/>
      <c r="EJ6" s="1219"/>
      <c r="EK6" s="1219"/>
      <c r="EL6" s="1219"/>
      <c r="EM6" s="1219"/>
      <c r="EN6" s="1219"/>
      <c r="EO6" s="1219"/>
      <c r="EP6" s="1219"/>
      <c r="EQ6" s="1219"/>
      <c r="ER6" s="1219"/>
      <c r="ES6" s="1219"/>
      <c r="ET6" s="1219"/>
      <c r="EU6" s="1219"/>
      <c r="EV6" s="1219"/>
      <c r="EW6" s="1219"/>
      <c r="EX6" s="1219"/>
      <c r="EY6" s="1219"/>
      <c r="EZ6" s="1219"/>
      <c r="FA6" s="1219"/>
      <c r="FB6" s="1219"/>
      <c r="FC6" s="1219"/>
      <c r="FD6" s="1219"/>
      <c r="FE6" s="1219"/>
      <c r="FF6" s="1219"/>
      <c r="FG6" s="1219"/>
      <c r="FH6" s="1219"/>
      <c r="FI6" s="1219"/>
      <c r="FJ6" s="1219"/>
      <c r="FK6" s="1219"/>
      <c r="FL6" s="1219"/>
      <c r="FM6" s="1219"/>
      <c r="FN6" s="1219"/>
      <c r="FO6" s="1219"/>
      <c r="FP6" s="1219"/>
      <c r="FQ6" s="1219"/>
      <c r="FR6" s="1219"/>
      <c r="FS6" s="1219"/>
      <c r="FT6" s="1219"/>
      <c r="FU6" s="1219"/>
      <c r="FV6" s="1219"/>
      <c r="FW6" s="1219"/>
      <c r="FX6" s="1219"/>
      <c r="FY6" s="1219"/>
      <c r="FZ6" s="1219"/>
      <c r="GA6" s="1219"/>
      <c r="GB6" s="1219"/>
      <c r="GC6" s="1219"/>
      <c r="GD6" s="1219"/>
      <c r="GE6" s="1219"/>
      <c r="GF6" s="1219"/>
      <c r="GG6" s="1219"/>
      <c r="GH6" s="1219"/>
      <c r="GI6" s="1219"/>
      <c r="GJ6" s="1219"/>
      <c r="GK6" s="1219"/>
      <c r="GL6" s="1219"/>
      <c r="GM6" s="1219"/>
      <c r="GN6" s="1219"/>
      <c r="GO6" s="1219"/>
      <c r="GP6" s="1219"/>
      <c r="GQ6" s="1219"/>
      <c r="GR6" s="1219"/>
      <c r="GS6" s="1219"/>
      <c r="GT6" s="1219"/>
      <c r="GU6" s="1219"/>
      <c r="GV6" s="1219"/>
      <c r="GW6" s="1219"/>
      <c r="GX6" s="1219"/>
      <c r="GY6" s="1219"/>
      <c r="GZ6" s="1219"/>
      <c r="HA6" s="1219"/>
      <c r="HB6" s="1219"/>
      <c r="HC6" s="1219"/>
      <c r="HD6" s="1219"/>
      <c r="HE6" s="1219"/>
      <c r="HF6" s="1219"/>
      <c r="HG6" s="1219"/>
      <c r="HH6" s="1219"/>
      <c r="HI6" s="1219"/>
      <c r="HJ6" s="1219"/>
      <c r="HK6" s="1219"/>
      <c r="HL6" s="1219"/>
      <c r="HM6" s="1219"/>
      <c r="HN6" s="1219"/>
      <c r="HO6" s="1219"/>
      <c r="HP6" s="1219"/>
      <c r="HQ6" s="1219"/>
      <c r="HR6" s="1219"/>
      <c r="HS6" s="1219"/>
      <c r="HT6" s="1219"/>
      <c r="HU6" s="1219"/>
      <c r="HV6" s="1219"/>
      <c r="HW6" s="1219"/>
      <c r="HX6" s="1219"/>
      <c r="HY6" s="1219"/>
      <c r="HZ6" s="1219"/>
      <c r="IA6" s="1219"/>
      <c r="IB6" s="1219"/>
      <c r="IC6" s="1219"/>
      <c r="ID6" s="1219"/>
      <c r="IE6" s="1219"/>
      <c r="IF6" s="1219"/>
      <c r="IG6" s="1219"/>
      <c r="IH6" s="1219"/>
      <c r="II6" s="1219"/>
      <c r="IJ6" s="1219"/>
      <c r="IK6" s="1219"/>
      <c r="IL6" s="1219"/>
      <c r="IM6" s="1219"/>
      <c r="IN6" s="1219"/>
      <c r="IO6" s="1219"/>
      <c r="IP6" s="1219"/>
      <c r="IQ6" s="1219"/>
      <c r="IR6" s="1219"/>
      <c r="IS6" s="1219"/>
      <c r="IT6" s="1219"/>
      <c r="IU6" s="1219"/>
      <c r="IV6" s="1219"/>
      <c r="IW6" s="1219"/>
    </row>
    <row r="7" customFormat="false" ht="13.5" hidden="false" customHeight="false" outlineLevel="0" collapsed="false">
      <c r="A7" s="1221" t="s">
        <v>1527</v>
      </c>
      <c r="B7" s="1222"/>
      <c r="C7" s="1222"/>
      <c r="D7" s="1222"/>
      <c r="E7" s="1222"/>
      <c r="F7" s="1223" t="s">
        <v>1528</v>
      </c>
      <c r="G7" s="1224" t="n">
        <f aca="false">YEAR(Startconst)</f>
        <v>1997</v>
      </c>
      <c r="H7" s="1225" t="n">
        <f aca="false">G7+1</f>
        <v>1998</v>
      </c>
      <c r="I7" s="1225" t="n">
        <f aca="false">H7+1</f>
        <v>1999</v>
      </c>
      <c r="J7" s="1225" t="n">
        <f aca="false">I7+1</f>
        <v>2000</v>
      </c>
      <c r="K7" s="1225" t="n">
        <f aca="false">J7+1</f>
        <v>2001</v>
      </c>
      <c r="L7" s="1225" t="n">
        <f aca="false">K7+1</f>
        <v>2002</v>
      </c>
      <c r="M7" s="1225" t="n">
        <f aca="false">L7+1</f>
        <v>2003</v>
      </c>
      <c r="N7" s="1225" t="n">
        <f aca="false">M7+1</f>
        <v>2004</v>
      </c>
      <c r="O7" s="1225" t="n">
        <f aca="false">N7+1</f>
        <v>2005</v>
      </c>
      <c r="P7" s="1225" t="n">
        <f aca="false">O7+1</f>
        <v>2006</v>
      </c>
      <c r="Q7" s="1225" t="n">
        <f aca="false">P7+1</f>
        <v>2007</v>
      </c>
      <c r="R7" s="1225" t="n">
        <f aca="false">Q7+1</f>
        <v>2008</v>
      </c>
      <c r="S7" s="1225" t="n">
        <f aca="false">R7+1</f>
        <v>2009</v>
      </c>
      <c r="T7" s="1225" t="n">
        <f aca="false">S7+1</f>
        <v>2010</v>
      </c>
      <c r="U7" s="1225" t="n">
        <f aca="false">T7+1</f>
        <v>2011</v>
      </c>
      <c r="V7" s="1225" t="n">
        <f aca="false">U7+1</f>
        <v>2012</v>
      </c>
      <c r="W7" s="1225" t="n">
        <f aca="false">V7+1</f>
        <v>2013</v>
      </c>
      <c r="X7" s="1225" t="n">
        <f aca="false">W7+1</f>
        <v>2014</v>
      </c>
      <c r="Y7" s="1225" t="n">
        <f aca="false">X7+1</f>
        <v>2015</v>
      </c>
      <c r="Z7" s="1225" t="n">
        <f aca="false">Y7+1</f>
        <v>2016</v>
      </c>
      <c r="AA7" s="1225" t="n">
        <f aca="false">Z7+1</f>
        <v>2017</v>
      </c>
      <c r="AB7" s="1225" t="n">
        <f aca="false">AA7+1</f>
        <v>2018</v>
      </c>
      <c r="AC7" s="1225" t="n">
        <f aca="false">AB7+1</f>
        <v>2019</v>
      </c>
      <c r="AD7" s="1226" t="s">
        <v>766</v>
      </c>
      <c r="AE7" s="1219"/>
      <c r="AF7" s="1227" t="n">
        <v>1</v>
      </c>
      <c r="AG7" s="1219"/>
      <c r="AH7" s="1219"/>
      <c r="AI7" s="1219"/>
      <c r="AJ7" s="1219"/>
      <c r="AK7" s="1219"/>
      <c r="AL7" s="1219"/>
      <c r="AM7" s="1219"/>
      <c r="AN7" s="1219"/>
      <c r="AO7" s="1219"/>
      <c r="AP7" s="1219"/>
      <c r="AQ7" s="1219"/>
      <c r="AR7" s="1219"/>
      <c r="AS7" s="1219"/>
      <c r="AT7" s="1219"/>
      <c r="AU7" s="1219"/>
      <c r="AV7" s="1219"/>
      <c r="AW7" s="1219"/>
      <c r="AX7" s="1219"/>
      <c r="AY7" s="1219"/>
      <c r="AZ7" s="1219"/>
      <c r="BA7" s="1219"/>
      <c r="BB7" s="1219"/>
      <c r="BC7" s="1219"/>
      <c r="BD7" s="1219"/>
      <c r="BE7" s="1219"/>
      <c r="BF7" s="1219"/>
      <c r="BG7" s="1219"/>
      <c r="BH7" s="1219"/>
      <c r="BI7" s="1219"/>
      <c r="BJ7" s="1219"/>
      <c r="BK7" s="1219"/>
      <c r="BL7" s="1219"/>
      <c r="BM7" s="1219"/>
      <c r="BN7" s="1219"/>
      <c r="BO7" s="1219"/>
      <c r="BP7" s="1219"/>
      <c r="BQ7" s="1219"/>
      <c r="BR7" s="1219"/>
      <c r="BS7" s="1219"/>
      <c r="BT7" s="1219"/>
      <c r="BU7" s="1219"/>
      <c r="BV7" s="1219"/>
      <c r="BW7" s="1219"/>
      <c r="BX7" s="1219"/>
      <c r="BY7" s="1219"/>
      <c r="BZ7" s="1219"/>
      <c r="CA7" s="1219"/>
      <c r="CB7" s="1219"/>
      <c r="CC7" s="1219"/>
      <c r="CD7" s="1219"/>
      <c r="CE7" s="1219"/>
      <c r="CF7" s="1219"/>
      <c r="CG7" s="1219"/>
      <c r="CH7" s="1219"/>
      <c r="CI7" s="1219"/>
      <c r="CJ7" s="1219"/>
      <c r="CK7" s="1219"/>
      <c r="CL7" s="1219"/>
      <c r="CM7" s="1219"/>
      <c r="CN7" s="1219"/>
      <c r="CO7" s="1219"/>
      <c r="CP7" s="1219"/>
      <c r="CQ7" s="1219"/>
      <c r="CR7" s="1219"/>
      <c r="CS7" s="1219"/>
      <c r="CT7" s="1219"/>
      <c r="CU7" s="1219"/>
      <c r="CV7" s="1219"/>
      <c r="CW7" s="1219"/>
      <c r="CX7" s="1219"/>
      <c r="CY7" s="1219"/>
      <c r="CZ7" s="1219"/>
      <c r="DA7" s="1219"/>
      <c r="DB7" s="1219"/>
      <c r="DC7" s="1219"/>
      <c r="DD7" s="1219"/>
      <c r="DE7" s="1219"/>
      <c r="DF7" s="1219"/>
      <c r="DG7" s="1219"/>
      <c r="DH7" s="1219"/>
      <c r="DI7" s="1219"/>
      <c r="DJ7" s="1219"/>
      <c r="DK7" s="1219"/>
      <c r="DL7" s="1219"/>
      <c r="DM7" s="1219"/>
      <c r="DN7" s="1219"/>
      <c r="DO7" s="1219"/>
      <c r="DP7" s="1219"/>
      <c r="DQ7" s="1219"/>
      <c r="DR7" s="1219"/>
      <c r="DS7" s="1219"/>
      <c r="DT7" s="1219"/>
      <c r="DU7" s="1219"/>
      <c r="DV7" s="1219"/>
      <c r="DW7" s="1219"/>
      <c r="DX7" s="1219"/>
      <c r="DY7" s="1219"/>
      <c r="DZ7" s="1219"/>
      <c r="EA7" s="1219"/>
      <c r="EB7" s="1219"/>
      <c r="EC7" s="1219"/>
      <c r="ED7" s="1219"/>
      <c r="EE7" s="1219"/>
      <c r="EF7" s="1219"/>
      <c r="EG7" s="1219"/>
      <c r="EH7" s="1219"/>
      <c r="EI7" s="1219"/>
      <c r="EJ7" s="1219"/>
      <c r="EK7" s="1219"/>
      <c r="EL7" s="1219"/>
      <c r="EM7" s="1219"/>
      <c r="EN7" s="1219"/>
      <c r="EO7" s="1219"/>
      <c r="EP7" s="1219"/>
      <c r="EQ7" s="1219"/>
      <c r="ER7" s="1219"/>
      <c r="ES7" s="1219"/>
      <c r="ET7" s="1219"/>
      <c r="EU7" s="1219"/>
      <c r="EV7" s="1219"/>
      <c r="EW7" s="1219"/>
      <c r="EX7" s="1219"/>
      <c r="EY7" s="1219"/>
      <c r="EZ7" s="1219"/>
      <c r="FA7" s="1219"/>
      <c r="FB7" s="1219"/>
      <c r="FC7" s="1219"/>
      <c r="FD7" s="1219"/>
      <c r="FE7" s="1219"/>
      <c r="FF7" s="1219"/>
      <c r="FG7" s="1219"/>
      <c r="FH7" s="1219"/>
      <c r="FI7" s="1219"/>
      <c r="FJ7" s="1219"/>
      <c r="FK7" s="1219"/>
      <c r="FL7" s="1219"/>
      <c r="FM7" s="1219"/>
      <c r="FN7" s="1219"/>
      <c r="FO7" s="1219"/>
      <c r="FP7" s="1219"/>
      <c r="FQ7" s="1219"/>
      <c r="FR7" s="1219"/>
      <c r="FS7" s="1219"/>
      <c r="FT7" s="1219"/>
      <c r="FU7" s="1219"/>
      <c r="FV7" s="1219"/>
      <c r="FW7" s="1219"/>
      <c r="FX7" s="1219"/>
      <c r="FY7" s="1219"/>
      <c r="FZ7" s="1219"/>
      <c r="GA7" s="1219"/>
      <c r="GB7" s="1219"/>
      <c r="GC7" s="1219"/>
      <c r="GD7" s="1219"/>
      <c r="GE7" s="1219"/>
      <c r="GF7" s="1219"/>
      <c r="GG7" s="1219"/>
      <c r="GH7" s="1219"/>
      <c r="GI7" s="1219"/>
      <c r="GJ7" s="1219"/>
      <c r="GK7" s="1219"/>
      <c r="GL7" s="1219"/>
      <c r="GM7" s="1219"/>
      <c r="GN7" s="1219"/>
      <c r="GO7" s="1219"/>
      <c r="GP7" s="1219"/>
      <c r="GQ7" s="1219"/>
      <c r="GR7" s="1219"/>
      <c r="GS7" s="1219"/>
      <c r="GT7" s="1219"/>
      <c r="GU7" s="1219"/>
      <c r="GV7" s="1219"/>
      <c r="GW7" s="1219"/>
      <c r="GX7" s="1219"/>
      <c r="GY7" s="1219"/>
      <c r="GZ7" s="1219"/>
      <c r="HA7" s="1219"/>
      <c r="HB7" s="1219"/>
      <c r="HC7" s="1219"/>
      <c r="HD7" s="1219"/>
      <c r="HE7" s="1219"/>
      <c r="HF7" s="1219"/>
      <c r="HG7" s="1219"/>
      <c r="HH7" s="1219"/>
      <c r="HI7" s="1219"/>
      <c r="HJ7" s="1219"/>
      <c r="HK7" s="1219"/>
      <c r="HL7" s="1219"/>
      <c r="HM7" s="1219"/>
      <c r="HN7" s="1219"/>
      <c r="HO7" s="1219"/>
      <c r="HP7" s="1219"/>
      <c r="HQ7" s="1219"/>
      <c r="HR7" s="1219"/>
      <c r="HS7" s="1219"/>
      <c r="HT7" s="1219"/>
      <c r="HU7" s="1219"/>
      <c r="HV7" s="1219"/>
      <c r="HW7" s="1219"/>
      <c r="HX7" s="1219"/>
      <c r="HY7" s="1219"/>
      <c r="HZ7" s="1219"/>
      <c r="IA7" s="1219"/>
      <c r="IB7" s="1219"/>
      <c r="IC7" s="1219"/>
      <c r="ID7" s="1219"/>
      <c r="IE7" s="1219"/>
      <c r="IF7" s="1219"/>
      <c r="IG7" s="1219"/>
      <c r="IH7" s="1219"/>
      <c r="II7" s="1219"/>
      <c r="IJ7" s="1219"/>
      <c r="IK7" s="1219"/>
      <c r="IL7" s="1219"/>
      <c r="IM7" s="1219"/>
      <c r="IN7" s="1219"/>
      <c r="IO7" s="1219"/>
      <c r="IP7" s="1219"/>
      <c r="IQ7" s="1219"/>
      <c r="IR7" s="1219"/>
      <c r="IS7" s="1219"/>
      <c r="IT7" s="1219"/>
      <c r="IU7" s="1219"/>
      <c r="IV7" s="1219"/>
      <c r="IW7" s="1219"/>
    </row>
    <row r="8" customFormat="false" ht="12.75" hidden="false" customHeight="false" outlineLevel="0" collapsed="false">
      <c r="A8" s="1228" t="s">
        <v>1529</v>
      </c>
    </row>
    <row r="9" customFormat="false" ht="12.75" hidden="false" customHeight="false" outlineLevel="0" collapsed="false">
      <c r="A9" s="1229"/>
      <c r="B9" s="293" t="s">
        <v>1530</v>
      </c>
      <c r="G9" s="425" t="n">
        <f aca="false">BS_IS!G9/BS_IS!G$18</f>
        <v>0</v>
      </c>
      <c r="H9" s="425" t="n">
        <f aca="false">BS_IS!H9/BS_IS!H$18</f>
        <v>0</v>
      </c>
      <c r="I9" s="425" t="n">
        <f aca="false">BS_IS!I9/BS_IS!I$18</f>
        <v>9.37405327827813E-017</v>
      </c>
      <c r="J9" s="425" t="n">
        <f aca="false">BS_IS!J9/BS_IS!J$18</f>
        <v>2.40096466796622E-016</v>
      </c>
      <c r="K9" s="425" t="n">
        <f aca="false">BS_IS!K9/BS_IS!K$18</f>
        <v>1.96987599297588E-016</v>
      </c>
      <c r="L9" s="425" t="n">
        <f aca="false">BS_IS!L9/BS_IS!L$18</f>
        <v>2.07007636179485E-016</v>
      </c>
      <c r="M9" s="425" t="n">
        <f aca="false">BS_IS!M9/BS_IS!M$18</f>
        <v>2.16263700479792E-016</v>
      </c>
      <c r="N9" s="425" t="n">
        <f aca="false">BS_IS!N9/BS_IS!N$18</f>
        <v>0.0699237124786177</v>
      </c>
      <c r="O9" s="425" t="n">
        <f aca="false">BS_IS!O9/BS_IS!O$18</f>
        <v>0.0728204869658923</v>
      </c>
      <c r="P9" s="425" t="n">
        <f aca="false">BS_IS!P9/BS_IS!P$18</f>
        <v>0.0760141737667946</v>
      </c>
      <c r="Q9" s="425" t="n">
        <f aca="false">BS_IS!Q9/BS_IS!Q$18</f>
        <v>0.0803088097120589</v>
      </c>
      <c r="R9" s="425" t="n">
        <f aca="false">BS_IS!R9/BS_IS!R$18</f>
        <v>0.0865707332049464</v>
      </c>
      <c r="S9" s="425" t="n">
        <f aca="false">BS_IS!S9/BS_IS!S$18</f>
        <v>0.0945912504358529</v>
      </c>
      <c r="T9" s="425" t="n">
        <f aca="false">BS_IS!T9/BS_IS!T$18</f>
        <v>0.10474173035598</v>
      </c>
      <c r="U9" s="425" t="n">
        <f aca="false">BS_IS!U9/BS_IS!U$18</f>
        <v>0.117828805159396</v>
      </c>
      <c r="V9" s="425" t="n">
        <f aca="false">BS_IS!V9/BS_IS!V$18</f>
        <v>0.132929632879989</v>
      </c>
      <c r="W9" s="425" t="n">
        <f aca="false">BS_IS!W9/BS_IS!W$18</f>
        <v>0.145046127550052</v>
      </c>
      <c r="X9" s="425" t="n">
        <f aca="false">BS_IS!X9/BS_IS!X$18</f>
        <v>0.159726762610108</v>
      </c>
      <c r="Y9" s="425" t="n">
        <f aca="false">BS_IS!Y9/BS_IS!Y$18</f>
        <v>0.188382395423144</v>
      </c>
      <c r="Z9" s="425" t="n">
        <f aca="false">BS_IS!Z9/BS_IS!Z$18</f>
        <v>0.210764632328873</v>
      </c>
      <c r="AA9" s="425" t="n">
        <f aca="false">BS_IS!AA9/BS_IS!AA$18</f>
        <v>0.243088047354387</v>
      </c>
      <c r="AB9" s="425" t="n">
        <f aca="false">BS_IS!AB9/BS_IS!AB$18</f>
        <v>0.281159463487719</v>
      </c>
      <c r="AC9" s="425" t="n">
        <f aca="false">BS_IS!AC9/BS_IS!AC$18</f>
        <v>0.793611948123184</v>
      </c>
    </row>
    <row r="10" customFormat="false" ht="12.75" hidden="false" customHeight="false" outlineLevel="0" collapsed="false">
      <c r="A10" s="1229"/>
      <c r="B10" s="293" t="s">
        <v>1531</v>
      </c>
      <c r="G10" s="425" t="n">
        <f aca="false">BS_IS!G10/BS_IS!G$18</f>
        <v>-0</v>
      </c>
      <c r="H10" s="425" t="n">
        <f aca="false">BS_IS!H10/BS_IS!H$18</f>
        <v>-0</v>
      </c>
      <c r="I10" s="425" t="n">
        <f aca="false">BS_IS!I10/BS_IS!I$18</f>
        <v>0.00791654483650803</v>
      </c>
      <c r="J10" s="425" t="n">
        <f aca="false">BS_IS!J10/BS_IS!J$18</f>
        <v>0.00501614958958921</v>
      </c>
      <c r="K10" s="425" t="n">
        <f aca="false">BS_IS!K10/BS_IS!K$18</f>
        <v>0.0140202324709939</v>
      </c>
      <c r="L10" s="425" t="n">
        <f aca="false">BS_IS!L10/BS_IS!L$18</f>
        <v>0.0147333902888112</v>
      </c>
      <c r="M10" s="425" t="n">
        <f aca="false">BS_IS!M10/BS_IS!M$18</f>
        <v>0.0153921737539609</v>
      </c>
      <c r="N10" s="425" t="n">
        <f aca="false">BS_IS!N10/BS_IS!N$18</f>
        <v>0.0156292857122173</v>
      </c>
      <c r="O10" s="425" t="n">
        <f aca="false">BS_IS!O10/BS_IS!O$18</f>
        <v>0.0162767701563438</v>
      </c>
      <c r="P10" s="425" t="n">
        <f aca="false">BS_IS!P10/BS_IS!P$18</f>
        <v>0.0169906201754185</v>
      </c>
      <c r="Q10" s="425" t="n">
        <f aca="false">BS_IS!Q10/BS_IS!Q$18</f>
        <v>0.0179505533631625</v>
      </c>
      <c r="R10" s="425" t="n">
        <f aca="false">BS_IS!R10/BS_IS!R$18</f>
        <v>0.0193502129050999</v>
      </c>
      <c r="S10" s="425" t="n">
        <f aca="false">BS_IS!S10/BS_IS!S$18</f>
        <v>0.021142951747448</v>
      </c>
      <c r="T10" s="425" t="n">
        <f aca="false">BS_IS!T10/BS_IS!T$18</f>
        <v>0.023411777946233</v>
      </c>
      <c r="U10" s="425" t="n">
        <f aca="false">BS_IS!U10/BS_IS!U$18</f>
        <v>0.0263369892084682</v>
      </c>
      <c r="V10" s="425" t="n">
        <f aca="false">BS_IS!V10/BS_IS!V$18</f>
        <v>0.0297123127227666</v>
      </c>
      <c r="W10" s="425" t="n">
        <f aca="false">BS_IS!W10/BS_IS!W$18</f>
        <v>0.0324205807811434</v>
      </c>
      <c r="X10" s="425" t="n">
        <f aca="false">BS_IS!X10/BS_IS!X$18</f>
        <v>0.0357019832075461</v>
      </c>
      <c r="Y10" s="425" t="n">
        <f aca="false">BS_IS!Y10/BS_IS!Y$18</f>
        <v>0.0421070646402045</v>
      </c>
      <c r="Z10" s="425" t="n">
        <f aca="false">BS_IS!Z10/BS_IS!Z$18</f>
        <v>0.0471099222271087</v>
      </c>
      <c r="AA10" s="425" t="n">
        <f aca="false">BS_IS!AA10/BS_IS!AA$18</f>
        <v>0.0543348230614692</v>
      </c>
      <c r="AB10" s="425" t="n">
        <f aca="false">BS_IS!AB10/BS_IS!AB$18</f>
        <v>0.0628445119656236</v>
      </c>
      <c r="AC10" s="425" t="n">
        <f aca="false">BS_IS!AC10/BS_IS!AC$18</f>
        <v>-0</v>
      </c>
    </row>
    <row r="11" customFormat="false" ht="12.75" hidden="false" customHeight="false" outlineLevel="0" collapsed="false">
      <c r="A11" s="1229"/>
      <c r="B11" s="293" t="s">
        <v>1532</v>
      </c>
      <c r="G11" s="425" t="n">
        <f aca="false">BS_IS!G11/BS_IS!G$18</f>
        <v>-0</v>
      </c>
      <c r="H11" s="425" t="n">
        <f aca="false">BS_IS!H11/BS_IS!H$18</f>
        <v>-0</v>
      </c>
      <c r="I11" s="425" t="n">
        <f aca="false">BS_IS!I11/BS_IS!I$18</f>
        <v>-0.0114885895527972</v>
      </c>
      <c r="J11" s="425" t="n">
        <f aca="false">BS_IS!J11/BS_IS!J$18</f>
        <v>0.00507679353131651</v>
      </c>
      <c r="K11" s="425" t="n">
        <f aca="false">BS_IS!K11/BS_IS!K$18</f>
        <v>0.0503271905880561</v>
      </c>
      <c r="L11" s="425" t="n">
        <f aca="false">BS_IS!L11/BS_IS!L$18</f>
        <v>0.0584839813060887</v>
      </c>
      <c r="M11" s="425" t="n">
        <f aca="false">BS_IS!M11/BS_IS!M$18</f>
        <v>0.0763486053709403</v>
      </c>
      <c r="N11" s="425" t="n">
        <f aca="false">BS_IS!N11/BS_IS!N$18</f>
        <v>0.0520928401804519</v>
      </c>
      <c r="O11" s="425" t="n">
        <f aca="false">BS_IS!O11/BS_IS!O$18</f>
        <v>0.0765301957086898</v>
      </c>
      <c r="P11" s="425" t="n">
        <f aca="false">BS_IS!P11/BS_IS!P$18</f>
        <v>0.103457841224996</v>
      </c>
      <c r="Q11" s="425" t="n">
        <f aca="false">BS_IS!Q11/BS_IS!Q$18</f>
        <v>0.116255606247546</v>
      </c>
      <c r="R11" s="425" t="n">
        <f aca="false">BS_IS!R11/BS_IS!R$18</f>
        <v>0.114826342692419</v>
      </c>
      <c r="S11" s="425" t="n">
        <f aca="false">BS_IS!S11/BS_IS!S$18</f>
        <v>0.120250577448501</v>
      </c>
      <c r="T11" s="425" t="n">
        <f aca="false">BS_IS!T11/BS_IS!T$18</f>
        <v>0.121579717211687</v>
      </c>
      <c r="U11" s="425" t="n">
        <f aca="false">BS_IS!U11/BS_IS!U$18</f>
        <v>0.0941624537810226</v>
      </c>
      <c r="V11" s="425" t="n">
        <f aca="false">BS_IS!V11/BS_IS!V$18</f>
        <v>0.072846875898012</v>
      </c>
      <c r="W11" s="425" t="n">
        <f aca="false">BS_IS!W11/BS_IS!W$18</f>
        <v>0.129876680814208</v>
      </c>
      <c r="X11" s="425" t="n">
        <f aca="false">BS_IS!X11/BS_IS!X$18</f>
        <v>0.169151922799029</v>
      </c>
      <c r="Y11" s="425" t="n">
        <f aca="false">BS_IS!Y11/BS_IS!Y$18</f>
        <v>0.181462414642548</v>
      </c>
      <c r="Z11" s="425" t="n">
        <f aca="false">BS_IS!Z11/BS_IS!Z$18</f>
        <v>0.264750295916418</v>
      </c>
      <c r="AA11" s="425" t="n">
        <f aca="false">BS_IS!AA11/BS_IS!AA$18</f>
        <v>0.360219269982365</v>
      </c>
      <c r="AB11" s="425" t="n">
        <f aca="false">BS_IS!AB11/BS_IS!AB$18</f>
        <v>0.500860231528073</v>
      </c>
      <c r="AC11" s="425" t="n">
        <f aca="false">BS_IS!AC11/BS_IS!AC$18</f>
        <v>-0</v>
      </c>
    </row>
    <row r="12" customFormat="false" ht="12.75" hidden="false" customHeight="false" outlineLevel="0" collapsed="false">
      <c r="A12" s="1229"/>
      <c r="B12" s="293" t="s">
        <v>1533</v>
      </c>
      <c r="G12" s="425" t="n">
        <f aca="false">BS_IS!G12/BS_IS!G$18</f>
        <v>0</v>
      </c>
      <c r="H12" s="425" t="n">
        <f aca="false">BS_IS!H12/BS_IS!H$18</f>
        <v>0</v>
      </c>
      <c r="I12" s="425" t="n">
        <f aca="false">BS_IS!I12/BS_IS!I$18</f>
        <v>0</v>
      </c>
      <c r="J12" s="425" t="n">
        <f aca="false">BS_IS!J12/BS_IS!J$18</f>
        <v>0</v>
      </c>
      <c r="K12" s="425" t="n">
        <f aca="false">BS_IS!K12/BS_IS!K$18</f>
        <v>0</v>
      </c>
      <c r="L12" s="425" t="n">
        <f aca="false">BS_IS!L12/BS_IS!L$18</f>
        <v>0</v>
      </c>
      <c r="M12" s="425" t="n">
        <f aca="false">BS_IS!M12/BS_IS!M$18</f>
        <v>0</v>
      </c>
      <c r="N12" s="425" t="n">
        <f aca="false">BS_IS!N12/BS_IS!N$18</f>
        <v>0</v>
      </c>
      <c r="O12" s="425" t="n">
        <f aca="false">BS_IS!O12/BS_IS!O$18</f>
        <v>0</v>
      </c>
      <c r="P12" s="425" t="n">
        <f aca="false">BS_IS!P12/BS_IS!P$18</f>
        <v>0</v>
      </c>
      <c r="Q12" s="425" t="n">
        <f aca="false">BS_IS!Q12/BS_IS!Q$18</f>
        <v>0</v>
      </c>
      <c r="R12" s="425" t="n">
        <f aca="false">BS_IS!R12/BS_IS!R$18</f>
        <v>0</v>
      </c>
      <c r="S12" s="425" t="n">
        <f aca="false">BS_IS!S12/BS_IS!S$18</f>
        <v>0</v>
      </c>
      <c r="T12" s="425" t="n">
        <f aca="false">BS_IS!T12/BS_IS!T$18</f>
        <v>0</v>
      </c>
      <c r="U12" s="425" t="n">
        <f aca="false">BS_IS!U12/BS_IS!U$18</f>
        <v>0</v>
      </c>
      <c r="V12" s="425" t="n">
        <f aca="false">BS_IS!V12/BS_IS!V$18</f>
        <v>0</v>
      </c>
      <c r="W12" s="425" t="n">
        <f aca="false">BS_IS!W12/BS_IS!W$18</f>
        <v>0</v>
      </c>
      <c r="X12" s="425" t="n">
        <f aca="false">BS_IS!X12/BS_IS!X$18</f>
        <v>0</v>
      </c>
      <c r="Y12" s="425" t="n">
        <f aca="false">BS_IS!Y12/BS_IS!Y$18</f>
        <v>0</v>
      </c>
      <c r="Z12" s="425" t="n">
        <f aca="false">BS_IS!Z12/BS_IS!Z$18</f>
        <v>0</v>
      </c>
      <c r="AA12" s="425" t="n">
        <f aca="false">BS_IS!AA12/BS_IS!AA$18</f>
        <v>0</v>
      </c>
      <c r="AB12" s="425" t="n">
        <f aca="false">BS_IS!AB12/BS_IS!AB$18</f>
        <v>0</v>
      </c>
      <c r="AC12" s="425" t="n">
        <f aca="false">BS_IS!AC12/BS_IS!AC$18</f>
        <v>0</v>
      </c>
    </row>
    <row r="13" customFormat="false" ht="12.75" hidden="false" customHeight="false" outlineLevel="0" collapsed="false">
      <c r="A13" s="1229"/>
      <c r="C13" s="293" t="s">
        <v>1534</v>
      </c>
      <c r="G13" s="425" t="n">
        <f aca="false">BS_IS!G13/BS_IS!G$18</f>
        <v>1</v>
      </c>
      <c r="H13" s="425" t="n">
        <f aca="false">BS_IS!H13/BS_IS!H$18</f>
        <v>1</v>
      </c>
      <c r="I13" s="425" t="n">
        <f aca="false">BS_IS!I13/BS_IS!I$18</f>
        <v>1.02292020397137</v>
      </c>
      <c r="J13" s="425" t="n">
        <f aca="false">BS_IS!J13/BS_IS!J$18</f>
        <v>1.01631069383274</v>
      </c>
      <c r="K13" s="425" t="n">
        <f aca="false">BS_IS!K13/BS_IS!K$18</f>
        <v>0.994100496860794</v>
      </c>
      <c r="L13" s="425" t="n">
        <f aca="false">BS_IS!L13/BS_IS!L$18</f>
        <v>1.04466674406811</v>
      </c>
      <c r="M13" s="425" t="n">
        <f aca="false">BS_IS!M13/BS_IS!M$18</f>
        <v>1.09137759364809</v>
      </c>
      <c r="N13" s="425" t="n">
        <f aca="false">BS_IS!N13/BS_IS!N$18</f>
        <v>1.10818994793694</v>
      </c>
      <c r="O13" s="425" t="n">
        <f aca="false">BS_IS!O13/BS_IS!O$18</f>
        <v>1.15409964372461</v>
      </c>
      <c r="P13" s="425" t="n">
        <f aca="false">BS_IS!P13/BS_IS!P$18</f>
        <v>1.20471497126033</v>
      </c>
      <c r="Q13" s="425" t="n">
        <f aca="false">BS_IS!Q13/BS_IS!Q$18</f>
        <v>1.27277875414437</v>
      </c>
      <c r="R13" s="425" t="n">
        <f aca="false">BS_IS!R13/BS_IS!R$18</f>
        <v>1.37202120600489</v>
      </c>
      <c r="S13" s="425" t="n">
        <f aca="false">BS_IS!S13/BS_IS!S$18</f>
        <v>1.49913483108971</v>
      </c>
      <c r="T13" s="425" t="n">
        <f aca="false">BS_IS!T13/BS_IS!T$18</f>
        <v>1.66000529141689</v>
      </c>
      <c r="U13" s="425" t="n">
        <f aca="false">BS_IS!U13/BS_IS!U$18</f>
        <v>1.86741654335062</v>
      </c>
      <c r="V13" s="425" t="n">
        <f aca="false">BS_IS!V13/BS_IS!V$18</f>
        <v>2.10674287332211</v>
      </c>
      <c r="W13" s="425" t="n">
        <f aca="false">BS_IS!W13/BS_IS!W$18</f>
        <v>2.29877183061897</v>
      </c>
      <c r="X13" s="425" t="n">
        <f aca="false">BS_IS!X13/BS_IS!X$18</f>
        <v>2.5314387132285</v>
      </c>
      <c r="Y13" s="425" t="n">
        <f aca="false">BS_IS!Y13/BS_IS!Y$18</f>
        <v>2.9855891453139</v>
      </c>
      <c r="Z13" s="425" t="n">
        <f aca="false">BS_IS!Z13/BS_IS!Z$18</f>
        <v>3.34031530432406</v>
      </c>
      <c r="AA13" s="425" t="n">
        <f aca="false">BS_IS!AA13/BS_IS!AA$18</f>
        <v>3.85259479213334</v>
      </c>
      <c r="AB13" s="425" t="n">
        <f aca="false">BS_IS!AB13/BS_IS!AB$18</f>
        <v>4.45597180355253</v>
      </c>
      <c r="AC13" s="425" t="n">
        <f aca="false">BS_IS!AC13/BS_IS!AC$18</f>
        <v>12.5776042532311</v>
      </c>
    </row>
    <row r="14" customFormat="false" ht="12.75" hidden="false" customHeight="false" outlineLevel="0" collapsed="false">
      <c r="A14" s="1230"/>
      <c r="B14" s="296"/>
      <c r="C14" s="293" t="s">
        <v>1535</v>
      </c>
      <c r="D14" s="296"/>
      <c r="E14" s="296"/>
      <c r="F14" s="296"/>
      <c r="G14" s="296" t="n">
        <f aca="false">BS_IS!G14/BS_IS!G$18</f>
        <v>0</v>
      </c>
      <c r="H14" s="296" t="n">
        <f aca="false">BS_IS!H14/BS_IS!H$18</f>
        <v>0</v>
      </c>
      <c r="I14" s="296" t="n">
        <f aca="false">BS_IS!I14/BS_IS!I$18</f>
        <v>-0.0215126985386786</v>
      </c>
      <c r="J14" s="296" t="n">
        <f aca="false">BS_IS!J14/BS_IS!J$18</f>
        <v>-0.0318058114670069</v>
      </c>
      <c r="K14" s="296" t="n">
        <f aca="false">BS_IS!K14/BS_IS!K$18</f>
        <v>-0.0640212045282285</v>
      </c>
      <c r="L14" s="296" t="n">
        <f aca="false">BS_IS!L14/BS_IS!L$18</f>
        <v>-0.123740892823865</v>
      </c>
      <c r="M14" s="296" t="n">
        <f aca="false">BS_IS!M14/BS_IS!M$18</f>
        <v>-0.188261635990833</v>
      </c>
      <c r="N14" s="296" t="n">
        <f aca="false">BS_IS!N14/BS_IS!N$18</f>
        <v>-0.251058279999482</v>
      </c>
      <c r="O14" s="296" t="n">
        <f aca="false">BS_IS!O14/BS_IS!O$18</f>
        <v>-0.323836932576379</v>
      </c>
      <c r="P14" s="296" t="n">
        <f aca="false">BS_IS!P14/BS_IS!P$18</f>
        <v>-0.403153049800861</v>
      </c>
      <c r="Q14" s="296" t="n">
        <f aca="false">BS_IS!Q14/BS_IS!Q$18</f>
        <v>-0.494722706868291</v>
      </c>
      <c r="R14" s="296" t="n">
        <f aca="false">BS_IS!R14/BS_IS!R$18</f>
        <v>-0.60745408603497</v>
      </c>
      <c r="S14" s="296" t="n">
        <f aca="false">BS_IS!S14/BS_IS!S$18</f>
        <v>-0.744759571912843</v>
      </c>
      <c r="T14" s="296" t="n">
        <f aca="false">BS_IS!T14/BS_IS!T$18</f>
        <v>-0.914400458559746</v>
      </c>
      <c r="U14" s="296" t="n">
        <f aca="false">BS_IS!U14/BS_IS!U$18</f>
        <v>-1.12958321122242</v>
      </c>
      <c r="V14" s="296" t="n">
        <f aca="false">BS_IS!V14/BS_IS!V$18</f>
        <v>-1.38821681048148</v>
      </c>
      <c r="W14" s="296" t="n">
        <f aca="false">BS_IS!W14/BS_IS!W$18</f>
        <v>-1.63899859674991</v>
      </c>
      <c r="X14" s="296" t="n">
        <f aca="false">BS_IS!X14/BS_IS!X$18</f>
        <v>-1.94170914298429</v>
      </c>
      <c r="Y14" s="296" t="n">
        <f aca="false">BS_IS!Y14/BS_IS!Y$18</f>
        <v>-2.45142771069733</v>
      </c>
      <c r="Z14" s="296" t="n">
        <f aca="false">BS_IS!Z14/BS_IS!Z$18</f>
        <v>-2.92322927322794</v>
      </c>
      <c r="AA14" s="296" t="n">
        <f aca="false">BS_IS!AA14/BS_IS!AA$18</f>
        <v>-3.57977214778227</v>
      </c>
      <c r="AB14" s="296" t="n">
        <f aca="false">BS_IS!AB14/BS_IS!AB$18</f>
        <v>-4.38126153546686</v>
      </c>
      <c r="AC14" s="296" t="n">
        <f aca="false">BS_IS!AC14/BS_IS!AC$18</f>
        <v>-12.5776042532311</v>
      </c>
      <c r="AD14" s="296"/>
      <c r="AE14" s="296"/>
      <c r="AF14" s="296"/>
      <c r="AG14" s="296"/>
      <c r="AH14" s="296"/>
      <c r="AI14" s="296"/>
      <c r="AJ14" s="296"/>
      <c r="AK14" s="296"/>
      <c r="AL14" s="296"/>
      <c r="AM14" s="296"/>
      <c r="AN14" s="296"/>
      <c r="AO14" s="296"/>
      <c r="AP14" s="296"/>
      <c r="AQ14" s="296"/>
      <c r="AR14" s="296"/>
      <c r="AS14" s="296"/>
      <c r="AT14" s="296"/>
      <c r="AU14" s="296"/>
      <c r="AV14" s="296"/>
      <c r="AW14" s="296"/>
      <c r="AX14" s="296"/>
      <c r="AY14" s="296"/>
      <c r="AZ14" s="296"/>
      <c r="BA14" s="296"/>
      <c r="BB14" s="296"/>
      <c r="BC14" s="296"/>
      <c r="BD14" s="296"/>
      <c r="BE14" s="296"/>
      <c r="BF14" s="296"/>
      <c r="BG14" s="296"/>
      <c r="BH14" s="296"/>
      <c r="BI14" s="296"/>
      <c r="BJ14" s="296"/>
      <c r="BK14" s="296"/>
      <c r="BL14" s="296"/>
      <c r="BM14" s="296"/>
      <c r="BN14" s="296"/>
      <c r="BO14" s="296"/>
      <c r="BP14" s="296"/>
      <c r="BQ14" s="296"/>
      <c r="BR14" s="296"/>
      <c r="BS14" s="296"/>
      <c r="BT14" s="296"/>
      <c r="BU14" s="296"/>
      <c r="BV14" s="296"/>
      <c r="BW14" s="296"/>
      <c r="BX14" s="296"/>
      <c r="BY14" s="296"/>
      <c r="BZ14" s="296"/>
      <c r="CA14" s="296"/>
      <c r="CB14" s="296"/>
      <c r="CC14" s="296"/>
      <c r="CD14" s="296"/>
      <c r="CE14" s="296"/>
      <c r="CF14" s="296"/>
      <c r="CG14" s="296"/>
      <c r="CH14" s="296"/>
      <c r="CI14" s="296"/>
      <c r="CJ14" s="296"/>
      <c r="CK14" s="296"/>
      <c r="CL14" s="296"/>
      <c r="CM14" s="296"/>
      <c r="CN14" s="296"/>
      <c r="CO14" s="296"/>
      <c r="CP14" s="296"/>
      <c r="CQ14" s="296"/>
      <c r="CR14" s="296"/>
      <c r="CS14" s="296"/>
      <c r="CT14" s="296"/>
      <c r="CU14" s="296"/>
      <c r="CV14" s="296"/>
      <c r="CW14" s="296"/>
      <c r="CX14" s="296"/>
      <c r="CY14" s="296"/>
      <c r="CZ14" s="296"/>
      <c r="DA14" s="296"/>
      <c r="DB14" s="296"/>
      <c r="DC14" s="296"/>
      <c r="DD14" s="296"/>
      <c r="DE14" s="296"/>
      <c r="DF14" s="296"/>
      <c r="DG14" s="296"/>
      <c r="DH14" s="296"/>
      <c r="DI14" s="296"/>
      <c r="DJ14" s="296"/>
      <c r="DK14" s="296"/>
      <c r="DL14" s="296"/>
      <c r="DM14" s="296"/>
      <c r="DN14" s="296"/>
      <c r="DO14" s="296"/>
      <c r="DP14" s="296"/>
      <c r="DQ14" s="296"/>
      <c r="DR14" s="296"/>
      <c r="DS14" s="296"/>
      <c r="DT14" s="296"/>
      <c r="DU14" s="296"/>
      <c r="DV14" s="296"/>
      <c r="DW14" s="296"/>
      <c r="DX14" s="296"/>
      <c r="DY14" s="296"/>
      <c r="DZ14" s="296"/>
      <c r="EA14" s="296"/>
      <c r="EB14" s="296"/>
      <c r="EC14" s="296"/>
      <c r="ED14" s="296"/>
      <c r="EE14" s="296"/>
      <c r="EF14" s="296"/>
      <c r="EG14" s="296"/>
      <c r="EH14" s="296"/>
      <c r="EI14" s="296"/>
      <c r="EJ14" s="296"/>
      <c r="EK14" s="296"/>
      <c r="EL14" s="296"/>
      <c r="EM14" s="296"/>
      <c r="EN14" s="296"/>
      <c r="EO14" s="296"/>
      <c r="EP14" s="296"/>
      <c r="EQ14" s="296"/>
      <c r="ER14" s="296"/>
      <c r="ES14" s="296"/>
      <c r="ET14" s="296"/>
      <c r="EU14" s="296"/>
      <c r="EV14" s="296"/>
      <c r="EW14" s="296"/>
      <c r="EX14" s="296"/>
      <c r="EY14" s="296"/>
      <c r="EZ14" s="296"/>
      <c r="FA14" s="296"/>
      <c r="FB14" s="296"/>
      <c r="FC14" s="296"/>
      <c r="FD14" s="296"/>
      <c r="FE14" s="296"/>
      <c r="FF14" s="296"/>
      <c r="FG14" s="296"/>
      <c r="FH14" s="296"/>
      <c r="FI14" s="296"/>
      <c r="FJ14" s="296"/>
      <c r="FK14" s="296"/>
      <c r="FL14" s="296"/>
      <c r="FM14" s="296"/>
      <c r="FN14" s="296"/>
      <c r="FO14" s="296"/>
      <c r="FP14" s="296"/>
      <c r="FQ14" s="296"/>
      <c r="FR14" s="296"/>
      <c r="FS14" s="296"/>
      <c r="FT14" s="296"/>
      <c r="FU14" s="296"/>
      <c r="FV14" s="296"/>
      <c r="FW14" s="296"/>
      <c r="FX14" s="296"/>
      <c r="FY14" s="296"/>
      <c r="FZ14" s="296"/>
      <c r="GA14" s="296"/>
      <c r="GB14" s="296"/>
      <c r="GC14" s="296"/>
      <c r="GD14" s="296"/>
      <c r="GE14" s="296"/>
      <c r="GF14" s="296"/>
      <c r="GG14" s="296"/>
      <c r="GH14" s="296"/>
      <c r="GI14" s="296"/>
      <c r="GJ14" s="296"/>
      <c r="GK14" s="296"/>
      <c r="GL14" s="296"/>
      <c r="GM14" s="296"/>
      <c r="GN14" s="296"/>
      <c r="GO14" s="296"/>
      <c r="GP14" s="296"/>
      <c r="GQ14" s="296"/>
      <c r="GR14" s="296"/>
      <c r="GS14" s="296"/>
      <c r="GT14" s="296"/>
      <c r="GU14" s="296"/>
      <c r="GV14" s="296"/>
      <c r="GW14" s="296"/>
      <c r="GX14" s="296"/>
      <c r="GY14" s="296"/>
      <c r="GZ14" s="296"/>
      <c r="HA14" s="296"/>
      <c r="HB14" s="296"/>
      <c r="HC14" s="296"/>
      <c r="HD14" s="296"/>
      <c r="HE14" s="296"/>
      <c r="HF14" s="296"/>
      <c r="HG14" s="296"/>
      <c r="HH14" s="296"/>
      <c r="HI14" s="296"/>
      <c r="HJ14" s="296"/>
      <c r="HK14" s="296"/>
      <c r="HL14" s="296"/>
      <c r="HM14" s="296"/>
      <c r="HN14" s="296"/>
      <c r="HO14" s="296"/>
      <c r="HP14" s="296"/>
      <c r="HQ14" s="296"/>
      <c r="HR14" s="296"/>
      <c r="HS14" s="296"/>
      <c r="HT14" s="296"/>
      <c r="HU14" s="296"/>
      <c r="HV14" s="296"/>
      <c r="HW14" s="296"/>
      <c r="HX14" s="296"/>
      <c r="HY14" s="296"/>
      <c r="HZ14" s="296"/>
      <c r="IA14" s="296"/>
      <c r="IB14" s="296"/>
      <c r="IC14" s="296"/>
      <c r="ID14" s="296"/>
      <c r="IE14" s="296"/>
      <c r="IF14" s="296"/>
      <c r="IG14" s="296"/>
      <c r="IH14" s="296"/>
      <c r="II14" s="296"/>
      <c r="IJ14" s="296"/>
      <c r="IK14" s="296"/>
      <c r="IL14" s="296"/>
      <c r="IM14" s="296"/>
      <c r="IN14" s="296"/>
      <c r="IO14" s="296"/>
      <c r="IP14" s="296"/>
      <c r="IQ14" s="296"/>
      <c r="IR14" s="296"/>
      <c r="IS14" s="296"/>
      <c r="IT14" s="296"/>
      <c r="IU14" s="296"/>
      <c r="IV14" s="296"/>
      <c r="IW14" s="296"/>
    </row>
    <row r="15" customFormat="false" ht="12.75" hidden="false" customHeight="false" outlineLevel="0" collapsed="false">
      <c r="A15" s="1229"/>
      <c r="C15" s="293" t="s">
        <v>1536</v>
      </c>
      <c r="G15" s="425" t="n">
        <f aca="false">BS_IS!G15/BS_IS!G$18</f>
        <v>1</v>
      </c>
      <c r="H15" s="425" t="n">
        <f aca="false">BS_IS!H15/BS_IS!H$18</f>
        <v>1</v>
      </c>
      <c r="I15" s="425" t="n">
        <f aca="false">BS_IS!I15/BS_IS!I$18</f>
        <v>1.00140750543269</v>
      </c>
      <c r="J15" s="425" t="n">
        <f aca="false">BS_IS!J15/BS_IS!J$18</f>
        <v>0.984504882365728</v>
      </c>
      <c r="K15" s="425" t="n">
        <f aca="false">BS_IS!K15/BS_IS!K$18</f>
        <v>0.930079292332566</v>
      </c>
      <c r="L15" s="425" t="n">
        <f aca="false">BS_IS!L15/BS_IS!L$18</f>
        <v>0.920925851244248</v>
      </c>
      <c r="M15" s="425" t="n">
        <f aca="false">BS_IS!M15/BS_IS!M$18</f>
        <v>0.903115957657258</v>
      </c>
      <c r="N15" s="425" t="n">
        <f aca="false">BS_IS!N15/BS_IS!N$18</f>
        <v>0.857131667937458</v>
      </c>
      <c r="O15" s="425" t="n">
        <f aca="false">BS_IS!O15/BS_IS!O$18</f>
        <v>0.830262711148232</v>
      </c>
      <c r="P15" s="425" t="n">
        <f aca="false">BS_IS!P15/BS_IS!P$18</f>
        <v>0.80156192145947</v>
      </c>
      <c r="Q15" s="425" t="n">
        <f aca="false">BS_IS!Q15/BS_IS!Q$18</f>
        <v>0.778056047276078</v>
      </c>
      <c r="R15" s="425" t="n">
        <f aca="false">BS_IS!R15/BS_IS!R$18</f>
        <v>0.764567119969921</v>
      </c>
      <c r="S15" s="425" t="n">
        <f aca="false">BS_IS!S15/BS_IS!S$18</f>
        <v>0.754375259176864</v>
      </c>
      <c r="T15" s="425" t="n">
        <f aca="false">BS_IS!T15/BS_IS!T$18</f>
        <v>0.745604832857143</v>
      </c>
      <c r="U15" s="425" t="n">
        <f aca="false">BS_IS!U15/BS_IS!U$18</f>
        <v>0.7378333321282</v>
      </c>
      <c r="V15" s="425" t="n">
        <f aca="false">BS_IS!V15/BS_IS!V$18</f>
        <v>0.718526062840625</v>
      </c>
      <c r="W15" s="425" t="n">
        <f aca="false">BS_IS!W15/BS_IS!W$18</f>
        <v>0.659773233869058</v>
      </c>
      <c r="X15" s="425" t="n">
        <f aca="false">BS_IS!X15/BS_IS!X$18</f>
        <v>0.589729570244212</v>
      </c>
      <c r="Y15" s="425" t="n">
        <f aca="false">BS_IS!Y15/BS_IS!Y$18</f>
        <v>0.534161434616564</v>
      </c>
      <c r="Z15" s="425" t="n">
        <f aca="false">BS_IS!Z15/BS_IS!Z$18</f>
        <v>0.417086031096123</v>
      </c>
      <c r="AA15" s="425" t="n">
        <f aca="false">BS_IS!AA15/BS_IS!AA$18</f>
        <v>0.272822644351067</v>
      </c>
      <c r="AB15" s="425" t="n">
        <f aca="false">BS_IS!AB15/BS_IS!AB$18</f>
        <v>0.0747102680856723</v>
      </c>
      <c r="AC15" s="425" t="n">
        <f aca="false">BS_IS!AC15/BS_IS!AC$18</f>
        <v>0</v>
      </c>
    </row>
    <row r="16" customFormat="false" ht="12.75" hidden="false" customHeight="false" outlineLevel="0" collapsed="false">
      <c r="A16" s="1229"/>
      <c r="B16" s="293" t="s">
        <v>1537</v>
      </c>
      <c r="G16" s="425" t="n">
        <f aca="false">BS_IS!G16/BS_IS!G$18</f>
        <v>-0</v>
      </c>
      <c r="H16" s="425" t="n">
        <f aca="false">BS_IS!H16/BS_IS!H$18</f>
        <v>-0</v>
      </c>
      <c r="I16" s="425" t="n">
        <f aca="false">BS_IS!I16/BS_IS!I$18</f>
        <v>0.000940684311985962</v>
      </c>
      <c r="J16" s="425" t="n">
        <f aca="false">BS_IS!J16/BS_IS!J$18</f>
        <v>0.000596044527372722</v>
      </c>
      <c r="K16" s="425" t="n">
        <f aca="false">BS_IS!K16/BS_IS!K$18</f>
        <v>0.00163008619116242</v>
      </c>
      <c r="L16" s="425" t="n">
        <f aca="false">BS_IS!L16/BS_IS!L$18</f>
        <v>0.00171300269867031</v>
      </c>
      <c r="M16" s="425" t="n">
        <f aca="false">BS_IS!M16/BS_IS!M$18</f>
        <v>0.00178959727951826</v>
      </c>
      <c r="N16" s="425" t="n">
        <f aca="false">BS_IS!N16/BS_IS!N$18</f>
        <v>0.00181716550491773</v>
      </c>
      <c r="O16" s="425" t="n">
        <f aca="false">BS_IS!O16/BS_IS!O$18</f>
        <v>0.00189244638585509</v>
      </c>
      <c r="P16" s="425" t="n">
        <f aca="false">BS_IS!P16/BS_IS!P$18</f>
        <v>0.00197544337332032</v>
      </c>
      <c r="Q16" s="425" t="n">
        <f aca="false">BS_IS!Q16/BS_IS!Q$18</f>
        <v>0.00208705163923298</v>
      </c>
      <c r="R16" s="425" t="n">
        <f aca="false">BS_IS!R16/BS_IS!R$18</f>
        <v>0.00224978543814546</v>
      </c>
      <c r="S16" s="425" t="n">
        <f aca="false">BS_IS!S16/BS_IS!S$18</f>
        <v>0.0024582212709548</v>
      </c>
      <c r="T16" s="425" t="n">
        <f aca="false">BS_IS!T16/BS_IS!T$18</f>
        <v>0.00272201021057747</v>
      </c>
      <c r="U16" s="425" t="n">
        <f aca="false">BS_IS!U16/BS_IS!U$18</f>
        <v>0.00306211487679236</v>
      </c>
      <c r="V16" s="425" t="n">
        <f aca="false">BS_IS!V16/BS_IS!V$18</f>
        <v>0.00345455261010004</v>
      </c>
      <c r="W16" s="425" t="n">
        <f aca="false">BS_IS!W16/BS_IS!W$18</f>
        <v>0.00376943400547346</v>
      </c>
      <c r="X16" s="425" t="n">
        <f aca="false">BS_IS!X16/BS_IS!X$18</f>
        <v>0.00415095184363999</v>
      </c>
      <c r="Y16" s="425" t="n">
        <f aca="false">BS_IS!Y16/BS_IS!Y$18</f>
        <v>0.00489564953807894</v>
      </c>
      <c r="Z16" s="425" t="n">
        <f aca="false">BS_IS!Z16/BS_IS!Z$18</f>
        <v>0.00547731529045763</v>
      </c>
      <c r="AA16" s="425" t="n">
        <f aca="false">BS_IS!AA16/BS_IS!AA$18</f>
        <v>0.00631733068299655</v>
      </c>
      <c r="AB16" s="425" t="n">
        <f aca="false">BS_IS!AB16/BS_IS!AB$18</f>
        <v>0.00730672414722394</v>
      </c>
      <c r="AC16" s="425" t="n">
        <f aca="false">BS_IS!AC16/BS_IS!AC$18</f>
        <v>-0</v>
      </c>
    </row>
    <row r="17" customFormat="false" ht="12.75" hidden="false" customHeight="false" outlineLevel="0" collapsed="false">
      <c r="A17" s="1230"/>
      <c r="B17" s="293" t="s">
        <v>1538</v>
      </c>
      <c r="C17" s="296"/>
      <c r="D17" s="296"/>
      <c r="E17" s="296"/>
      <c r="F17" s="296"/>
      <c r="G17" s="296" t="n">
        <f aca="false">BS_IS!G17/BS_IS!G$18</f>
        <v>0</v>
      </c>
      <c r="H17" s="296" t="n">
        <f aca="false">BS_IS!H17/BS_IS!H$18</f>
        <v>0</v>
      </c>
      <c r="I17" s="296" t="n">
        <f aca="false">BS_IS!I17/BS_IS!I$18</f>
        <v>0.00122385497161041</v>
      </c>
      <c r="J17" s="296" t="n">
        <f aca="false">BS_IS!J17/BS_IS!J$18</f>
        <v>0.00480612998599337</v>
      </c>
      <c r="K17" s="296" t="n">
        <f aca="false">BS_IS!K17/BS_IS!K$18</f>
        <v>0.00394319841722179</v>
      </c>
      <c r="L17" s="296" t="n">
        <f aca="false">BS_IS!L17/BS_IS!L$18</f>
        <v>0.00414377446218143</v>
      </c>
      <c r="M17" s="296" t="n">
        <f aca="false">BS_IS!M17/BS_IS!M$18</f>
        <v>0.00335366593832217</v>
      </c>
      <c r="N17" s="296" t="n">
        <f aca="false">BS_IS!N17/BS_IS!N$18</f>
        <v>0.00340532818633758</v>
      </c>
      <c r="O17" s="296" t="n">
        <f aca="false">BS_IS!O17/BS_IS!O$18</f>
        <v>0.00221738963498688</v>
      </c>
      <c r="P17" s="296" t="n">
        <f aca="false">BS_IS!P17/BS_IS!P$18</f>
        <v>0</v>
      </c>
      <c r="Q17" s="296" t="n">
        <f aca="false">BS_IS!Q17/BS_IS!Q$18</f>
        <v>0.00534193176192139</v>
      </c>
      <c r="R17" s="296" t="n">
        <f aca="false">BS_IS!R17/BS_IS!R$18</f>
        <v>0.0124358057894681</v>
      </c>
      <c r="S17" s="296" t="n">
        <f aca="false">BS_IS!S17/BS_IS!S$18</f>
        <v>0.00718173992037923</v>
      </c>
      <c r="T17" s="296" t="n">
        <f aca="false">BS_IS!T17/BS_IS!T$18</f>
        <v>0.00193993141837975</v>
      </c>
      <c r="U17" s="296" t="n">
        <f aca="false">BS_IS!U17/BS_IS!U$18</f>
        <v>0.0207763048461206</v>
      </c>
      <c r="V17" s="296" t="n">
        <f aca="false">BS_IS!V17/BS_IS!V$18</f>
        <v>0.0425305630485069</v>
      </c>
      <c r="W17" s="296" t="n">
        <f aca="false">BS_IS!W17/BS_IS!W$18</f>
        <v>0.0291139429800661</v>
      </c>
      <c r="X17" s="296" t="n">
        <f aca="false">BS_IS!X17/BS_IS!X$18</f>
        <v>0.0415388092954642</v>
      </c>
      <c r="Y17" s="296" t="n">
        <f aca="false">BS_IS!Y17/BS_IS!Y$18</f>
        <v>0.0489910411394611</v>
      </c>
      <c r="Z17" s="296" t="n">
        <f aca="false">BS_IS!Z17/BS_IS!Z$18</f>
        <v>0.05481180314102</v>
      </c>
      <c r="AA17" s="296" t="n">
        <f aca="false">BS_IS!AA17/BS_IS!AA$18</f>
        <v>0.0632178845677154</v>
      </c>
      <c r="AB17" s="296" t="n">
        <f aca="false">BS_IS!AB17/BS_IS!AB$18</f>
        <v>0.0731188007856884</v>
      </c>
      <c r="AC17" s="296" t="n">
        <f aca="false">BS_IS!AC17/BS_IS!AC$18</f>
        <v>0.206388051876816</v>
      </c>
      <c r="AD17" s="296"/>
      <c r="AE17" s="296"/>
      <c r="AF17" s="296"/>
      <c r="AG17" s="296"/>
      <c r="AH17" s="296"/>
      <c r="AI17" s="296"/>
      <c r="AJ17" s="296"/>
      <c r="AK17" s="296"/>
      <c r="AL17" s="296"/>
      <c r="AM17" s="296"/>
      <c r="AN17" s="296"/>
      <c r="AO17" s="296"/>
      <c r="AP17" s="296"/>
      <c r="AQ17" s="296"/>
      <c r="AR17" s="296"/>
      <c r="AS17" s="296"/>
      <c r="AT17" s="296"/>
      <c r="AU17" s="296"/>
      <c r="AV17" s="296"/>
      <c r="AW17" s="296"/>
      <c r="AX17" s="296"/>
      <c r="AY17" s="296"/>
      <c r="AZ17" s="296"/>
      <c r="BA17" s="296"/>
      <c r="BB17" s="296"/>
      <c r="BC17" s="296"/>
      <c r="BD17" s="296"/>
      <c r="BE17" s="296"/>
      <c r="BF17" s="296"/>
      <c r="BG17" s="296"/>
      <c r="BH17" s="296"/>
      <c r="BI17" s="296"/>
      <c r="BJ17" s="296"/>
      <c r="BK17" s="296"/>
      <c r="BL17" s="296"/>
      <c r="BM17" s="296"/>
      <c r="BN17" s="296"/>
      <c r="BO17" s="296"/>
      <c r="BP17" s="296"/>
      <c r="BQ17" s="296"/>
      <c r="BR17" s="296"/>
      <c r="BS17" s="296"/>
      <c r="BT17" s="296"/>
      <c r="BU17" s="296"/>
      <c r="BV17" s="296"/>
      <c r="BW17" s="296"/>
      <c r="BX17" s="296"/>
      <c r="BY17" s="296"/>
      <c r="BZ17" s="296"/>
      <c r="CA17" s="296"/>
      <c r="CB17" s="296"/>
      <c r="CC17" s="296"/>
      <c r="CD17" s="296"/>
      <c r="CE17" s="296"/>
      <c r="CF17" s="296"/>
      <c r="CG17" s="296"/>
      <c r="CH17" s="296"/>
      <c r="CI17" s="296"/>
      <c r="CJ17" s="296"/>
      <c r="CK17" s="296"/>
      <c r="CL17" s="296"/>
      <c r="CM17" s="296"/>
      <c r="CN17" s="296"/>
      <c r="CO17" s="296"/>
      <c r="CP17" s="296"/>
      <c r="CQ17" s="296"/>
      <c r="CR17" s="296"/>
      <c r="CS17" s="296"/>
      <c r="CT17" s="296"/>
      <c r="CU17" s="296"/>
      <c r="CV17" s="296"/>
      <c r="CW17" s="296"/>
      <c r="CX17" s="296"/>
      <c r="CY17" s="296"/>
      <c r="CZ17" s="296"/>
      <c r="DA17" s="296"/>
      <c r="DB17" s="296"/>
      <c r="DC17" s="296"/>
      <c r="DD17" s="296"/>
      <c r="DE17" s="296"/>
      <c r="DF17" s="296"/>
      <c r="DG17" s="296"/>
      <c r="DH17" s="296"/>
      <c r="DI17" s="296"/>
      <c r="DJ17" s="296"/>
      <c r="DK17" s="296"/>
      <c r="DL17" s="296"/>
      <c r="DM17" s="296"/>
      <c r="DN17" s="296"/>
      <c r="DO17" s="296"/>
      <c r="DP17" s="296"/>
      <c r="DQ17" s="296"/>
      <c r="DR17" s="296"/>
      <c r="DS17" s="296"/>
      <c r="DT17" s="296"/>
      <c r="DU17" s="296"/>
      <c r="DV17" s="296"/>
      <c r="DW17" s="296"/>
      <c r="DX17" s="296"/>
      <c r="DY17" s="296"/>
      <c r="DZ17" s="296"/>
      <c r="EA17" s="296"/>
      <c r="EB17" s="296"/>
      <c r="EC17" s="296"/>
      <c r="ED17" s="296"/>
      <c r="EE17" s="296"/>
      <c r="EF17" s="296"/>
      <c r="EG17" s="296"/>
      <c r="EH17" s="296"/>
      <c r="EI17" s="296"/>
      <c r="EJ17" s="296"/>
      <c r="EK17" s="296"/>
      <c r="EL17" s="296"/>
      <c r="EM17" s="296"/>
      <c r="EN17" s="296"/>
      <c r="EO17" s="296"/>
      <c r="EP17" s="296"/>
      <c r="EQ17" s="296"/>
      <c r="ER17" s="296"/>
      <c r="ES17" s="296"/>
      <c r="ET17" s="296"/>
      <c r="EU17" s="296"/>
      <c r="EV17" s="296"/>
      <c r="EW17" s="296"/>
      <c r="EX17" s="296"/>
      <c r="EY17" s="296"/>
      <c r="EZ17" s="296"/>
      <c r="FA17" s="296"/>
      <c r="FB17" s="296"/>
      <c r="FC17" s="296"/>
      <c r="FD17" s="296"/>
      <c r="FE17" s="296"/>
      <c r="FF17" s="296"/>
      <c r="FG17" s="296"/>
      <c r="FH17" s="296"/>
      <c r="FI17" s="296"/>
      <c r="FJ17" s="296"/>
      <c r="FK17" s="296"/>
      <c r="FL17" s="296"/>
      <c r="FM17" s="296"/>
      <c r="FN17" s="296"/>
      <c r="FO17" s="296"/>
      <c r="FP17" s="296"/>
      <c r="FQ17" s="296"/>
      <c r="FR17" s="296"/>
      <c r="FS17" s="296"/>
      <c r="FT17" s="296"/>
      <c r="FU17" s="296"/>
      <c r="FV17" s="296"/>
      <c r="FW17" s="296"/>
      <c r="FX17" s="296"/>
      <c r="FY17" s="296"/>
      <c r="FZ17" s="296"/>
      <c r="GA17" s="296"/>
      <c r="GB17" s="296"/>
      <c r="GC17" s="296"/>
      <c r="GD17" s="296"/>
      <c r="GE17" s="296"/>
      <c r="GF17" s="296"/>
      <c r="GG17" s="296"/>
      <c r="GH17" s="296"/>
      <c r="GI17" s="296"/>
      <c r="GJ17" s="296"/>
      <c r="GK17" s="296"/>
      <c r="GL17" s="296"/>
      <c r="GM17" s="296"/>
      <c r="GN17" s="296"/>
      <c r="GO17" s="296"/>
      <c r="GP17" s="296"/>
      <c r="GQ17" s="296"/>
      <c r="GR17" s="296"/>
      <c r="GS17" s="296"/>
      <c r="GT17" s="296"/>
      <c r="GU17" s="296"/>
      <c r="GV17" s="296"/>
      <c r="GW17" s="296"/>
      <c r="GX17" s="296"/>
      <c r="GY17" s="296"/>
      <c r="GZ17" s="296"/>
      <c r="HA17" s="296"/>
      <c r="HB17" s="296"/>
      <c r="HC17" s="296"/>
      <c r="HD17" s="296"/>
      <c r="HE17" s="296"/>
      <c r="HF17" s="296"/>
      <c r="HG17" s="296"/>
      <c r="HH17" s="296"/>
      <c r="HI17" s="296"/>
      <c r="HJ17" s="296"/>
      <c r="HK17" s="296"/>
      <c r="HL17" s="296"/>
      <c r="HM17" s="296"/>
      <c r="HN17" s="296"/>
      <c r="HO17" s="296"/>
      <c r="HP17" s="296"/>
      <c r="HQ17" s="296"/>
      <c r="HR17" s="296"/>
      <c r="HS17" s="296"/>
      <c r="HT17" s="296"/>
      <c r="HU17" s="296"/>
      <c r="HV17" s="296"/>
      <c r="HW17" s="296"/>
      <c r="HX17" s="296"/>
      <c r="HY17" s="296"/>
      <c r="HZ17" s="296"/>
      <c r="IA17" s="296"/>
      <c r="IB17" s="296"/>
      <c r="IC17" s="296"/>
      <c r="ID17" s="296"/>
      <c r="IE17" s="296"/>
      <c r="IF17" s="296"/>
      <c r="IG17" s="296"/>
      <c r="IH17" s="296"/>
      <c r="II17" s="296"/>
      <c r="IJ17" s="296"/>
      <c r="IK17" s="296"/>
      <c r="IL17" s="296"/>
      <c r="IM17" s="296"/>
      <c r="IN17" s="296"/>
      <c r="IO17" s="296"/>
      <c r="IP17" s="296"/>
      <c r="IQ17" s="296"/>
      <c r="IR17" s="296"/>
      <c r="IS17" s="296"/>
      <c r="IT17" s="296"/>
      <c r="IU17" s="296"/>
      <c r="IV17" s="296"/>
      <c r="IW17" s="296"/>
    </row>
    <row r="18" customFormat="false" ht="13.5" hidden="false" customHeight="false" outlineLevel="0" collapsed="false">
      <c r="A18" s="1231" t="s">
        <v>1539</v>
      </c>
      <c r="B18" s="1232"/>
      <c r="C18" s="1232"/>
      <c r="D18" s="1232"/>
      <c r="E18" s="1232"/>
      <c r="F18" s="1233"/>
      <c r="G18" s="1233" t="n">
        <f aca="false">BS_IS!G18/BS_IS!G$18</f>
        <v>1</v>
      </c>
      <c r="H18" s="1233" t="n">
        <f aca="false">BS_IS!H18/BS_IS!H$18</f>
        <v>1</v>
      </c>
      <c r="I18" s="1233" t="n">
        <f aca="false">BS_IS!I18/BS_IS!I$18</f>
        <v>1</v>
      </c>
      <c r="J18" s="1233" t="n">
        <f aca="false">BS_IS!J18/BS_IS!J$18</f>
        <v>1</v>
      </c>
      <c r="K18" s="1233" t="n">
        <f aca="false">BS_IS!K18/BS_IS!K$18</f>
        <v>1</v>
      </c>
      <c r="L18" s="1233" t="n">
        <f aca="false">BS_IS!L18/BS_IS!L$18</f>
        <v>1</v>
      </c>
      <c r="M18" s="1233" t="n">
        <f aca="false">BS_IS!M18/BS_IS!M$18</f>
        <v>1</v>
      </c>
      <c r="N18" s="1233" t="n">
        <f aca="false">BS_IS!N18/BS_IS!N$18</f>
        <v>1</v>
      </c>
      <c r="O18" s="1233" t="n">
        <f aca="false">BS_IS!O18/BS_IS!O$18</f>
        <v>1</v>
      </c>
      <c r="P18" s="1233" t="n">
        <f aca="false">BS_IS!P18/BS_IS!P$18</f>
        <v>1</v>
      </c>
      <c r="Q18" s="1233" t="n">
        <f aca="false">BS_IS!Q18/BS_IS!Q$18</f>
        <v>1</v>
      </c>
      <c r="R18" s="1233" t="n">
        <f aca="false">BS_IS!R18/BS_IS!R$18</f>
        <v>1</v>
      </c>
      <c r="S18" s="1233" t="n">
        <f aca="false">BS_IS!S18/BS_IS!S$18</f>
        <v>1</v>
      </c>
      <c r="T18" s="1233" t="n">
        <f aca="false">BS_IS!T18/BS_IS!T$18</f>
        <v>1</v>
      </c>
      <c r="U18" s="1233" t="n">
        <f aca="false">BS_IS!U18/BS_IS!U$18</f>
        <v>1</v>
      </c>
      <c r="V18" s="1233" t="n">
        <f aca="false">BS_IS!V18/BS_IS!V$18</f>
        <v>1</v>
      </c>
      <c r="W18" s="1233" t="n">
        <f aca="false">BS_IS!W18/BS_IS!W$18</f>
        <v>1</v>
      </c>
      <c r="X18" s="1233" t="n">
        <f aca="false">BS_IS!X18/BS_IS!X$18</f>
        <v>1</v>
      </c>
      <c r="Y18" s="1233" t="n">
        <f aca="false">BS_IS!Y18/BS_IS!Y$18</f>
        <v>1</v>
      </c>
      <c r="Z18" s="1233" t="n">
        <f aca="false">BS_IS!Z18/BS_IS!Z$18</f>
        <v>1</v>
      </c>
      <c r="AA18" s="1233" t="n">
        <f aca="false">BS_IS!AA18/BS_IS!AA$18</f>
        <v>1</v>
      </c>
      <c r="AB18" s="1233" t="n">
        <f aca="false">BS_IS!AB18/BS_IS!AB$18</f>
        <v>1</v>
      </c>
      <c r="AC18" s="1233" t="n">
        <f aca="false">BS_IS!AC18/BS_IS!AC$18</f>
        <v>1</v>
      </c>
      <c r="AD18" s="1233"/>
      <c r="AE18" s="1233"/>
      <c r="AF18" s="1233"/>
      <c r="AG18" s="1233"/>
      <c r="AH18" s="1233"/>
      <c r="AI18" s="1233"/>
      <c r="AJ18" s="1233"/>
      <c r="AK18" s="1233"/>
      <c r="AL18" s="1233"/>
      <c r="AM18" s="1233"/>
      <c r="AN18" s="1233"/>
      <c r="AO18" s="1233"/>
      <c r="AP18" s="1233"/>
      <c r="AQ18" s="1233"/>
      <c r="AR18" s="1233"/>
      <c r="AS18" s="1233"/>
      <c r="AT18" s="1233"/>
      <c r="AU18" s="1233"/>
      <c r="AV18" s="1233"/>
      <c r="AW18" s="1233"/>
      <c r="AX18" s="1233"/>
      <c r="AY18" s="1233"/>
      <c r="AZ18" s="1233"/>
      <c r="BA18" s="1233"/>
      <c r="BB18" s="1233"/>
      <c r="BC18" s="1233"/>
      <c r="BD18" s="1233"/>
      <c r="BE18" s="1233"/>
      <c r="BF18" s="1233"/>
      <c r="BG18" s="1233"/>
      <c r="BH18" s="1233"/>
      <c r="BI18" s="1233"/>
      <c r="BJ18" s="1233"/>
      <c r="BK18" s="1233"/>
      <c r="BL18" s="1233"/>
      <c r="BM18" s="1233"/>
      <c r="BN18" s="1233"/>
      <c r="BO18" s="1233"/>
      <c r="BP18" s="1233"/>
      <c r="BQ18" s="1233"/>
      <c r="BR18" s="1233"/>
      <c r="BS18" s="1233"/>
      <c r="BT18" s="1233"/>
      <c r="BU18" s="1233"/>
      <c r="BV18" s="1233"/>
      <c r="BW18" s="1233"/>
      <c r="BX18" s="1233"/>
      <c r="BY18" s="1233"/>
      <c r="BZ18" s="1233"/>
      <c r="CA18" s="1233"/>
      <c r="CB18" s="1233"/>
      <c r="CC18" s="1233"/>
      <c r="CD18" s="1233"/>
      <c r="CE18" s="1233"/>
      <c r="CF18" s="1233"/>
      <c r="CG18" s="1233"/>
      <c r="CH18" s="1233"/>
      <c r="CI18" s="1233"/>
      <c r="CJ18" s="1233"/>
      <c r="CK18" s="1233"/>
      <c r="CL18" s="1233"/>
      <c r="CM18" s="1233"/>
      <c r="CN18" s="1233"/>
      <c r="CO18" s="1233"/>
      <c r="CP18" s="1233"/>
      <c r="CQ18" s="1233"/>
      <c r="CR18" s="1233"/>
      <c r="CS18" s="1233"/>
      <c r="CT18" s="1233"/>
      <c r="CU18" s="1233"/>
      <c r="CV18" s="1233"/>
      <c r="CW18" s="1233"/>
      <c r="CX18" s="1233"/>
      <c r="CY18" s="1233"/>
      <c r="CZ18" s="1233"/>
      <c r="DA18" s="1233"/>
      <c r="DB18" s="1233"/>
      <c r="DC18" s="1233"/>
      <c r="DD18" s="1233"/>
      <c r="DE18" s="1233"/>
      <c r="DF18" s="1233"/>
      <c r="DG18" s="1233"/>
      <c r="DH18" s="1233"/>
      <c r="DI18" s="1233"/>
      <c r="DJ18" s="1233"/>
      <c r="DK18" s="1233"/>
      <c r="DL18" s="1233"/>
      <c r="DM18" s="1233"/>
      <c r="DN18" s="1233"/>
      <c r="DO18" s="1233"/>
      <c r="DP18" s="1233"/>
      <c r="DQ18" s="1233"/>
      <c r="DR18" s="1233"/>
      <c r="DS18" s="1233"/>
      <c r="DT18" s="1233"/>
      <c r="DU18" s="1233"/>
      <c r="DV18" s="1233"/>
      <c r="DW18" s="1233"/>
      <c r="DX18" s="1233"/>
      <c r="DY18" s="1233"/>
      <c r="DZ18" s="1233"/>
      <c r="EA18" s="1233"/>
      <c r="EB18" s="1233"/>
      <c r="EC18" s="1233"/>
      <c r="ED18" s="1233"/>
      <c r="EE18" s="1233"/>
      <c r="EF18" s="1233"/>
      <c r="EG18" s="1233"/>
      <c r="EH18" s="1233"/>
      <c r="EI18" s="1233"/>
      <c r="EJ18" s="1233"/>
      <c r="EK18" s="1233"/>
      <c r="EL18" s="1233"/>
      <c r="EM18" s="1233"/>
      <c r="EN18" s="1233"/>
      <c r="EO18" s="1233"/>
      <c r="EP18" s="1233"/>
      <c r="EQ18" s="1233"/>
      <c r="ER18" s="1233"/>
      <c r="ES18" s="1233"/>
      <c r="ET18" s="1233"/>
      <c r="EU18" s="1233"/>
      <c r="EV18" s="1233"/>
      <c r="EW18" s="1233"/>
      <c r="EX18" s="1233"/>
      <c r="EY18" s="1233"/>
      <c r="EZ18" s="1233"/>
      <c r="FA18" s="1233"/>
      <c r="FB18" s="1233"/>
      <c r="FC18" s="1233"/>
      <c r="FD18" s="1233"/>
      <c r="FE18" s="1233"/>
      <c r="FF18" s="1233"/>
      <c r="FG18" s="1233"/>
      <c r="FH18" s="1233"/>
      <c r="FI18" s="1233"/>
      <c r="FJ18" s="1233"/>
      <c r="FK18" s="1233"/>
      <c r="FL18" s="1233"/>
      <c r="FM18" s="1233"/>
      <c r="FN18" s="1233"/>
      <c r="FO18" s="1233"/>
      <c r="FP18" s="1233"/>
      <c r="FQ18" s="1233"/>
      <c r="FR18" s="1233"/>
      <c r="FS18" s="1233"/>
      <c r="FT18" s="1233"/>
      <c r="FU18" s="1233"/>
      <c r="FV18" s="1233"/>
      <c r="FW18" s="1233"/>
      <c r="FX18" s="1233"/>
      <c r="FY18" s="1233"/>
      <c r="FZ18" s="1233"/>
      <c r="GA18" s="1233"/>
      <c r="GB18" s="1233"/>
      <c r="GC18" s="1233"/>
      <c r="GD18" s="1233"/>
      <c r="GE18" s="1233"/>
      <c r="GF18" s="1233"/>
      <c r="GG18" s="1233"/>
      <c r="GH18" s="1233"/>
      <c r="GI18" s="1233"/>
      <c r="GJ18" s="1233"/>
      <c r="GK18" s="1233"/>
      <c r="GL18" s="1233"/>
      <c r="GM18" s="1233"/>
      <c r="GN18" s="1233"/>
      <c r="GO18" s="1233"/>
      <c r="GP18" s="1233"/>
      <c r="GQ18" s="1233"/>
      <c r="GR18" s="1233"/>
      <c r="GS18" s="1233"/>
      <c r="GT18" s="1233"/>
      <c r="GU18" s="1233"/>
      <c r="GV18" s="1233"/>
      <c r="GW18" s="1233"/>
      <c r="GX18" s="1233"/>
      <c r="GY18" s="1233"/>
      <c r="GZ18" s="1233"/>
      <c r="HA18" s="1233"/>
      <c r="HB18" s="1233"/>
      <c r="HC18" s="1233"/>
      <c r="HD18" s="1233"/>
      <c r="HE18" s="1233"/>
      <c r="HF18" s="1233"/>
      <c r="HG18" s="1233"/>
      <c r="HH18" s="1233"/>
      <c r="HI18" s="1233"/>
      <c r="HJ18" s="1233"/>
      <c r="HK18" s="1233"/>
      <c r="HL18" s="1233"/>
      <c r="HM18" s="1233"/>
      <c r="HN18" s="1233"/>
      <c r="HO18" s="1233"/>
      <c r="HP18" s="1233"/>
      <c r="HQ18" s="1233"/>
      <c r="HR18" s="1233"/>
      <c r="HS18" s="1233"/>
      <c r="HT18" s="1233"/>
      <c r="HU18" s="1233"/>
      <c r="HV18" s="1233"/>
      <c r="HW18" s="1233"/>
      <c r="HX18" s="1233"/>
      <c r="HY18" s="1233"/>
      <c r="HZ18" s="1233"/>
      <c r="IA18" s="1233"/>
      <c r="IB18" s="1233"/>
      <c r="IC18" s="1233"/>
      <c r="ID18" s="1233"/>
      <c r="IE18" s="1233"/>
      <c r="IF18" s="1233"/>
      <c r="IG18" s="1233"/>
      <c r="IH18" s="1233"/>
      <c r="II18" s="1233"/>
      <c r="IJ18" s="1233"/>
      <c r="IK18" s="1233"/>
      <c r="IL18" s="1233"/>
      <c r="IM18" s="1233"/>
      <c r="IN18" s="1233"/>
      <c r="IO18" s="1233"/>
      <c r="IP18" s="1233"/>
      <c r="IQ18" s="1233"/>
      <c r="IR18" s="1233"/>
      <c r="IS18" s="1233"/>
      <c r="IT18" s="1233"/>
      <c r="IU18" s="1233"/>
      <c r="IV18" s="1233"/>
      <c r="IW18" s="1233"/>
    </row>
    <row r="19" customFormat="false" ht="13.5" hidden="false" customHeight="false" outlineLevel="0" collapsed="false">
      <c r="A19" s="1229"/>
    </row>
    <row r="20" customFormat="false" ht="12.75" hidden="false" customHeight="false" outlineLevel="0" collapsed="false">
      <c r="A20" s="1234" t="s">
        <v>1540</v>
      </c>
    </row>
    <row r="21" customFormat="false" ht="12.75" hidden="false" customHeight="false" outlineLevel="0" collapsed="false">
      <c r="A21" s="1229"/>
      <c r="B21" s="293" t="s">
        <v>1541</v>
      </c>
      <c r="G21" s="425" t="n">
        <f aca="false">BS_IS!G21/BS_IS!G$34</f>
        <v>0</v>
      </c>
      <c r="H21" s="425" t="n">
        <f aca="false">BS_IS!H21/BS_IS!H$34</f>
        <v>0</v>
      </c>
      <c r="I21" s="425" t="n">
        <f aca="false">BS_IS!I21/BS_IS!I$34</f>
        <v>0</v>
      </c>
      <c r="J21" s="425" t="n">
        <f aca="false">BS_IS!J21/BS_IS!J$34</f>
        <v>0</v>
      </c>
      <c r="K21" s="425" t="n">
        <f aca="false">BS_IS!K21/BS_IS!K$34</f>
        <v>0</v>
      </c>
      <c r="L21" s="425" t="n">
        <f aca="false">BS_IS!L21/BS_IS!L$34</f>
        <v>0</v>
      </c>
      <c r="M21" s="425" t="n">
        <f aca="false">BS_IS!M21/BS_IS!M$34</f>
        <v>0</v>
      </c>
      <c r="N21" s="425" t="n">
        <f aca="false">BS_IS!N21/BS_IS!N$34</f>
        <v>0</v>
      </c>
      <c r="O21" s="425" t="n">
        <f aca="false">BS_IS!O21/BS_IS!O$34</f>
        <v>0</v>
      </c>
      <c r="P21" s="425" t="n">
        <f aca="false">BS_IS!P21/BS_IS!P$34</f>
        <v>0.00081504916162501</v>
      </c>
      <c r="Q21" s="425" t="n">
        <f aca="false">BS_IS!Q21/BS_IS!Q$34</f>
        <v>0</v>
      </c>
      <c r="R21" s="425" t="n">
        <f aca="false">BS_IS!R21/BS_IS!R$34</f>
        <v>0</v>
      </c>
      <c r="S21" s="425" t="n">
        <f aca="false">BS_IS!S21/BS_IS!S$34</f>
        <v>0</v>
      </c>
      <c r="T21" s="425" t="n">
        <f aca="false">BS_IS!T21/BS_IS!T$34</f>
        <v>0</v>
      </c>
      <c r="U21" s="425" t="n">
        <f aca="false">BS_IS!U21/BS_IS!U$34</f>
        <v>0</v>
      </c>
      <c r="V21" s="425" t="n">
        <f aca="false">BS_IS!V21/BS_IS!V$34</f>
        <v>0</v>
      </c>
      <c r="W21" s="425" t="n">
        <f aca="false">BS_IS!W21/BS_IS!W$34</f>
        <v>0</v>
      </c>
      <c r="X21" s="425" t="n">
        <f aca="false">BS_IS!X21/BS_IS!X$34</f>
        <v>0</v>
      </c>
      <c r="Y21" s="425" t="n">
        <f aca="false">BS_IS!Y21/BS_IS!Y$34</f>
        <v>0</v>
      </c>
      <c r="Z21" s="425" t="n">
        <f aca="false">BS_IS!Z21/BS_IS!Z$34</f>
        <v>0</v>
      </c>
      <c r="AA21" s="425" t="n">
        <f aca="false">BS_IS!AA21/BS_IS!AA$34</f>
        <v>0</v>
      </c>
      <c r="AB21" s="425" t="n">
        <f aca="false">BS_IS!AB21/BS_IS!AB$34</f>
        <v>0</v>
      </c>
      <c r="AC21" s="425" t="n">
        <f aca="false">BS_IS!AC21/BS_IS!AC$34</f>
        <v>0</v>
      </c>
    </row>
    <row r="22" customFormat="false" ht="12.75" hidden="false" customHeight="false" outlineLevel="0" collapsed="false">
      <c r="A22" s="1229"/>
      <c r="B22" s="293" t="s">
        <v>1542</v>
      </c>
      <c r="G22" s="425" t="n">
        <f aca="false">BS_IS!G22/BS_IS!G$34</f>
        <v>0</v>
      </c>
      <c r="H22" s="425" t="n">
        <f aca="false">BS_IS!H22/BS_IS!H$34</f>
        <v>0.222060217991884</v>
      </c>
      <c r="I22" s="425" t="n">
        <f aca="false">BS_IS!I22/BS_IS!I$34</f>
        <v>0.498693935161877</v>
      </c>
      <c r="J22" s="425" t="n">
        <f aca="false">BS_IS!J22/BS_IS!J$34</f>
        <v>0</v>
      </c>
      <c r="K22" s="425" t="n">
        <f aca="false">BS_IS!K22/BS_IS!K$34</f>
        <v>0</v>
      </c>
      <c r="L22" s="425" t="n">
        <f aca="false">BS_IS!L22/BS_IS!L$34</f>
        <v>0</v>
      </c>
      <c r="M22" s="425" t="n">
        <f aca="false">BS_IS!M22/BS_IS!M$34</f>
        <v>0</v>
      </c>
      <c r="N22" s="425" t="n">
        <f aca="false">BS_IS!N22/BS_IS!N$34</f>
        <v>0</v>
      </c>
      <c r="O22" s="425" t="n">
        <f aca="false">BS_IS!O22/BS_IS!O$34</f>
        <v>0</v>
      </c>
      <c r="P22" s="425" t="n">
        <f aca="false">BS_IS!P22/BS_IS!P$34</f>
        <v>0</v>
      </c>
      <c r="Q22" s="425" t="n">
        <f aca="false">BS_IS!Q22/BS_IS!Q$34</f>
        <v>0</v>
      </c>
      <c r="R22" s="425" t="n">
        <f aca="false">BS_IS!R22/BS_IS!R$34</f>
        <v>0</v>
      </c>
      <c r="S22" s="425" t="n">
        <f aca="false">BS_IS!S22/BS_IS!S$34</f>
        <v>0</v>
      </c>
      <c r="T22" s="425" t="n">
        <f aca="false">BS_IS!T22/BS_IS!T$34</f>
        <v>0</v>
      </c>
      <c r="U22" s="425" t="n">
        <f aca="false">BS_IS!U22/BS_IS!U$34</f>
        <v>0</v>
      </c>
      <c r="V22" s="425" t="n">
        <f aca="false">BS_IS!V22/BS_IS!V$34</f>
        <v>0</v>
      </c>
      <c r="W22" s="425" t="n">
        <f aca="false">BS_IS!W22/BS_IS!W$34</f>
        <v>0</v>
      </c>
      <c r="X22" s="425" t="n">
        <f aca="false">BS_IS!X22/BS_IS!X$34</f>
        <v>0</v>
      </c>
      <c r="Y22" s="425" t="n">
        <f aca="false">BS_IS!Y22/BS_IS!Y$34</f>
        <v>0</v>
      </c>
      <c r="Z22" s="425" t="n">
        <f aca="false">BS_IS!Z22/BS_IS!Z$34</f>
        <v>0</v>
      </c>
      <c r="AA22" s="425" t="n">
        <f aca="false">BS_IS!AA22/BS_IS!AA$34</f>
        <v>0</v>
      </c>
      <c r="AB22" s="425" t="n">
        <f aca="false">BS_IS!AB22/BS_IS!AB$34</f>
        <v>0</v>
      </c>
      <c r="AC22" s="425" t="n">
        <f aca="false">BS_IS!AC22/BS_IS!AC$34</f>
        <v>0</v>
      </c>
    </row>
    <row r="23" customFormat="false" ht="12.75" hidden="false" customHeight="false" outlineLevel="0" collapsed="false">
      <c r="A23" s="1229"/>
      <c r="B23" s="293" t="s">
        <v>305</v>
      </c>
      <c r="G23" s="425" t="n">
        <f aca="false">BS_IS!G23/BS_IS!G$34</f>
        <v>0</v>
      </c>
      <c r="H23" s="425" t="n">
        <f aca="false">BS_IS!H23/BS_IS!H$34</f>
        <v>0</v>
      </c>
      <c r="I23" s="425" t="n">
        <f aca="false">BS_IS!I23/BS_IS!I$34</f>
        <v>0</v>
      </c>
      <c r="J23" s="425" t="n">
        <f aca="false">BS_IS!J23/BS_IS!J$34</f>
        <v>0.556461302202501</v>
      </c>
      <c r="K23" s="425" t="n">
        <f aca="false">BS_IS!K23/BS_IS!K$34</f>
        <v>0.607814222485379</v>
      </c>
      <c r="L23" s="425" t="n">
        <f aca="false">BS_IS!L23/BS_IS!L$34</f>
        <v>0.60017367203846</v>
      </c>
      <c r="M23" s="425" t="n">
        <f aca="false">BS_IS!M23/BS_IS!M$34</f>
        <v>0.584970885847289</v>
      </c>
      <c r="N23" s="425" t="n">
        <f aca="false">BS_IS!N23/BS_IS!N$34</f>
        <v>0.54511263781854</v>
      </c>
      <c r="O23" s="425" t="n">
        <f aca="false">BS_IS!O23/BS_IS!O$34</f>
        <v>0.513714595707229</v>
      </c>
      <c r="P23" s="425" t="n">
        <f aca="false">BS_IS!P23/BS_IS!P$34</f>
        <v>0.477569115302589</v>
      </c>
      <c r="Q23" s="425" t="n">
        <f aca="false">BS_IS!Q23/BS_IS!Q$34</f>
        <v>0.440668130623851</v>
      </c>
      <c r="R23" s="425" t="n">
        <f aca="false">BS_IS!R23/BS_IS!R$34</f>
        <v>0.409203669933844</v>
      </c>
      <c r="S23" s="425" t="n">
        <f aca="false">BS_IS!S23/BS_IS!S$34</f>
        <v>0.378410024047126</v>
      </c>
      <c r="T23" s="425" t="n">
        <f aca="false">BS_IS!T23/BS_IS!T$34</f>
        <v>0.341503894427737</v>
      </c>
      <c r="U23" s="425" t="n">
        <f aca="false">BS_IS!U23/BS_IS!U$34</f>
        <v>0.292466606438626</v>
      </c>
      <c r="V23" s="425" t="n">
        <f aca="false">BS_IS!V23/BS_IS!V$34</f>
        <v>0.246413391027511</v>
      </c>
      <c r="W23" s="425" t="n">
        <f aca="false">BS_IS!W23/BS_IS!W$34</f>
        <v>0.177724206131553</v>
      </c>
      <c r="X23" s="425" t="n">
        <f aca="false">BS_IS!X23/BS_IS!X$34</f>
        <v>0.094498745015155</v>
      </c>
      <c r="Y23" s="425" t="n">
        <f aca="false">BS_IS!Y23/BS_IS!Y$34</f>
        <v>0</v>
      </c>
      <c r="Z23" s="425" t="n">
        <f aca="false">BS_IS!Z23/BS_IS!Z$34</f>
        <v>0</v>
      </c>
      <c r="AA23" s="425" t="n">
        <f aca="false">BS_IS!AA23/BS_IS!AA$34</f>
        <v>0</v>
      </c>
      <c r="AB23" s="425" t="n">
        <f aca="false">BS_IS!AB23/BS_IS!AB$34</f>
        <v>0</v>
      </c>
      <c r="AC23" s="425" t="n">
        <f aca="false">BS_IS!AC23/BS_IS!AC$34</f>
        <v>0</v>
      </c>
    </row>
    <row r="24" customFormat="false" ht="12.75" hidden="false" customHeight="false" outlineLevel="0" collapsed="false">
      <c r="A24" s="1229"/>
      <c r="B24" s="293" t="s">
        <v>949</v>
      </c>
      <c r="G24" s="296" t="n">
        <f aca="false">BS_IS!G24/BS_IS!G$34</f>
        <v>0</v>
      </c>
      <c r="H24" s="296" t="n">
        <f aca="false">BS_IS!H24/BS_IS!H$34</f>
        <v>0</v>
      </c>
      <c r="I24" s="296" t="n">
        <f aca="false">BS_IS!I24/BS_IS!I$34</f>
        <v>0</v>
      </c>
      <c r="J24" s="296" t="n">
        <f aca="false">BS_IS!J24/BS_IS!J$34</f>
        <v>0.13749039875729</v>
      </c>
      <c r="K24" s="296" t="n">
        <f aca="false">BS_IS!K24/BS_IS!K$34</f>
        <v>0.150178672782992</v>
      </c>
      <c r="L24" s="296" t="n">
        <f aca="false">BS_IS!L24/BS_IS!L$34</f>
        <v>0.150748687114982</v>
      </c>
      <c r="M24" s="296" t="n">
        <f aca="false">BS_IS!M24/BS_IS!M$34</f>
        <v>0.149112837483887</v>
      </c>
      <c r="N24" s="296" t="n">
        <f aca="false">BS_IS!N24/BS_IS!N$34</f>
        <v>0.14176283179501</v>
      </c>
      <c r="O24" s="296" t="n">
        <f aca="false">BS_IS!O24/BS_IS!O$34</f>
        <v>0.136240513352139</v>
      </c>
      <c r="P24" s="296" t="n">
        <f aca="false">BS_IS!P24/BS_IS!P$34</f>
        <v>0.128724029600769</v>
      </c>
      <c r="Q24" s="296" t="n">
        <f aca="false">BS_IS!Q24/BS_IS!Q$34</f>
        <v>0.119829611583335</v>
      </c>
      <c r="R24" s="296" t="n">
        <f aca="false">BS_IS!R24/BS_IS!R$34</f>
        <v>0.109406227259736</v>
      </c>
      <c r="S24" s="296" t="n">
        <f aca="false">BS_IS!S24/BS_IS!S$34</f>
        <v>0.0950451588496245</v>
      </c>
      <c r="T24" s="296" t="n">
        <f aca="false">BS_IS!T24/BS_IS!T$34</f>
        <v>0.0744773657651788</v>
      </c>
      <c r="U24" s="296" t="n">
        <f aca="false">BS_IS!U24/BS_IS!U$34</f>
        <v>0.0445261402156717</v>
      </c>
      <c r="V24" s="296" t="n">
        <f aca="false">BS_IS!V24/BS_IS!V$34</f>
        <v>0</v>
      </c>
      <c r="W24" s="296" t="n">
        <f aca="false">BS_IS!W24/BS_IS!W$34</f>
        <v>0</v>
      </c>
      <c r="X24" s="296" t="n">
        <f aca="false">BS_IS!X24/BS_IS!X$34</f>
        <v>0</v>
      </c>
      <c r="Y24" s="296" t="n">
        <f aca="false">BS_IS!Y24/BS_IS!Y$34</f>
        <v>0</v>
      </c>
      <c r="Z24" s="296" t="n">
        <f aca="false">BS_IS!Z24/BS_IS!Z$34</f>
        <v>0</v>
      </c>
      <c r="AA24" s="296" t="n">
        <f aca="false">BS_IS!AA24/BS_IS!AA$34</f>
        <v>0</v>
      </c>
      <c r="AB24" s="296" t="n">
        <f aca="false">BS_IS!AB24/BS_IS!AB$34</f>
        <v>0</v>
      </c>
      <c r="AC24" s="296" t="n">
        <f aca="false">BS_IS!AC24/BS_IS!AC$34</f>
        <v>0</v>
      </c>
    </row>
    <row r="25" customFormat="false" ht="12.75" hidden="false" customHeight="false" outlineLevel="0" collapsed="false">
      <c r="A25" s="1229"/>
      <c r="C25" s="293" t="s">
        <v>1543</v>
      </c>
      <c r="G25" s="425" t="n">
        <f aca="false">BS_IS!G25/BS_IS!G$34</f>
        <v>0</v>
      </c>
      <c r="H25" s="425" t="n">
        <f aca="false">BS_IS!H25/BS_IS!H$34</f>
        <v>0.222060217991884</v>
      </c>
      <c r="I25" s="425" t="n">
        <f aca="false">BS_IS!I25/BS_IS!I$34</f>
        <v>0.498693935161877</v>
      </c>
      <c r="J25" s="425" t="n">
        <f aca="false">BS_IS!J25/BS_IS!J$34</f>
        <v>0.693951700959791</v>
      </c>
      <c r="K25" s="425" t="n">
        <f aca="false">BS_IS!K25/BS_IS!K$34</f>
        <v>0.757992895268371</v>
      </c>
      <c r="L25" s="425" t="n">
        <f aca="false">BS_IS!L25/BS_IS!L$34</f>
        <v>0.750922359153441</v>
      </c>
      <c r="M25" s="425" t="n">
        <f aca="false">BS_IS!M25/BS_IS!M$34</f>
        <v>0.734083723331176</v>
      </c>
      <c r="N25" s="425" t="n">
        <f aca="false">BS_IS!N25/BS_IS!N$34</f>
        <v>0.68687546961355</v>
      </c>
      <c r="O25" s="425" t="n">
        <f aca="false">BS_IS!O25/BS_IS!O$34</f>
        <v>0.649955109059369</v>
      </c>
      <c r="P25" s="425" t="n">
        <f aca="false">BS_IS!P25/BS_IS!P$34</f>
        <v>0.607108194064984</v>
      </c>
      <c r="Q25" s="425" t="n">
        <f aca="false">BS_IS!Q25/BS_IS!Q$34</f>
        <v>0.560497742207186</v>
      </c>
      <c r="R25" s="425" t="n">
        <f aca="false">BS_IS!R25/BS_IS!R$34</f>
        <v>0.518609897193581</v>
      </c>
      <c r="S25" s="425" t="n">
        <f aca="false">BS_IS!S25/BS_IS!S$34</f>
        <v>0.473455182896751</v>
      </c>
      <c r="T25" s="425" t="n">
        <f aca="false">BS_IS!T25/BS_IS!T$34</f>
        <v>0.415981260192916</v>
      </c>
      <c r="U25" s="425" t="n">
        <f aca="false">BS_IS!U25/BS_IS!U$34</f>
        <v>0.336992746654297</v>
      </c>
      <c r="V25" s="425" t="n">
        <f aca="false">BS_IS!V25/BS_IS!V$34</f>
        <v>0.246413391027511</v>
      </c>
      <c r="W25" s="425" t="n">
        <f aca="false">BS_IS!W25/BS_IS!W$34</f>
        <v>0.177724206131553</v>
      </c>
      <c r="X25" s="425" t="n">
        <f aca="false">BS_IS!X25/BS_IS!X$34</f>
        <v>0.094498745015155</v>
      </c>
      <c r="Y25" s="425" t="n">
        <f aca="false">BS_IS!Y25/BS_IS!Y$34</f>
        <v>0</v>
      </c>
      <c r="Z25" s="425" t="n">
        <f aca="false">BS_IS!Z25/BS_IS!Z$34</f>
        <v>0</v>
      </c>
      <c r="AA25" s="425" t="n">
        <f aca="false">BS_IS!AA25/BS_IS!AA$34</f>
        <v>0</v>
      </c>
      <c r="AB25" s="425" t="n">
        <f aca="false">BS_IS!AB25/BS_IS!AB$34</f>
        <v>0</v>
      </c>
      <c r="AC25" s="425" t="n">
        <f aca="false">BS_IS!AC25/BS_IS!AC$34</f>
        <v>0</v>
      </c>
    </row>
    <row r="26" customFormat="false" ht="12.75" hidden="false" customHeight="false" outlineLevel="0" collapsed="false">
      <c r="A26" s="1229"/>
    </row>
    <row r="27" customFormat="false" ht="12.75" hidden="false" customHeight="false" outlineLevel="0" collapsed="false">
      <c r="A27" s="1234" t="s">
        <v>1544</v>
      </c>
    </row>
    <row r="28" customFormat="false" ht="12.75" hidden="false" customHeight="false" outlineLevel="0" collapsed="false">
      <c r="A28" s="1229"/>
      <c r="B28" s="293" t="s">
        <v>1545</v>
      </c>
      <c r="G28" s="425" t="n">
        <f aca="false">BS_IS!G28/BS_IS!G$34</f>
        <v>1</v>
      </c>
      <c r="H28" s="425" t="n">
        <f aca="false">BS_IS!H28/BS_IS!H$34</f>
        <v>0.777939782008116</v>
      </c>
      <c r="I28" s="425" t="n">
        <f aca="false">BS_IS!I28/BS_IS!I$34</f>
        <v>0.538823800894663</v>
      </c>
      <c r="J28" s="425" t="n">
        <f aca="false">BS_IS!J28/BS_IS!J$34</f>
        <v>0.341414195654435</v>
      </c>
      <c r="K28" s="425" t="n">
        <f aca="false">BS_IS!K28/BS_IS!K$34</f>
        <v>0.280113921147591</v>
      </c>
      <c r="L28" s="425" t="n">
        <f aca="false">BS_IS!L28/BS_IS!L$34</f>
        <v>0.294362289222739</v>
      </c>
      <c r="M28" s="425" t="n">
        <f aca="false">BS_IS!M28/BS_IS!M$34</f>
        <v>0.307524297769462</v>
      </c>
      <c r="N28" s="425" t="n">
        <f aca="false">BS_IS!N28/BS_IS!N$34</f>
        <v>0.312261620101</v>
      </c>
      <c r="O28" s="425" t="n">
        <f aca="false">BS_IS!O28/BS_IS!O$34</f>
        <v>0.325197882527573</v>
      </c>
      <c r="P28" s="425" t="n">
        <f aca="false">BS_IS!P28/BS_IS!P$34</f>
        <v>0.339460080274151</v>
      </c>
      <c r="Q28" s="425" t="n">
        <f aca="false">BS_IS!Q28/BS_IS!Q$34</f>
        <v>0.358638838530476</v>
      </c>
      <c r="R28" s="425" t="n">
        <f aca="false">BS_IS!R28/BS_IS!R$34</f>
        <v>0.386603005556584</v>
      </c>
      <c r="S28" s="425" t="n">
        <f aca="false">BS_IS!S28/BS_IS!S$34</f>
        <v>0.422420607565869</v>
      </c>
      <c r="T28" s="425" t="n">
        <f aca="false">BS_IS!T28/BS_IS!T$34</f>
        <v>0.467750084395791</v>
      </c>
      <c r="U28" s="425" t="n">
        <f aca="false">BS_IS!U28/BS_IS!U$34</f>
        <v>0.526193651472516</v>
      </c>
      <c r="V28" s="425" t="n">
        <f aca="false">BS_IS!V28/BS_IS!V$34</f>
        <v>0.593630129910934</v>
      </c>
      <c r="W28" s="425" t="n">
        <f aca="false">BS_IS!W28/BS_IS!W$34</f>
        <v>0.647739331517982</v>
      </c>
      <c r="X28" s="425" t="n">
        <f aca="false">BS_IS!X28/BS_IS!X$34</f>
        <v>0.713299335777862</v>
      </c>
      <c r="Y28" s="425" t="n">
        <f aca="false">BS_IS!Y28/BS_IS!Y$34</f>
        <v>0.841268146500754</v>
      </c>
      <c r="Z28" s="425" t="n">
        <f aca="false">BS_IS!Z28/BS_IS!Z$34</f>
        <v>0.941221557295474</v>
      </c>
      <c r="AA28" s="425" t="n">
        <f aca="false">BS_IS!AA28/BS_IS!AA$34</f>
        <v>1.08556975600061</v>
      </c>
      <c r="AB28" s="425" t="n">
        <f aca="false">BS_IS!AB28/BS_IS!AB$34</f>
        <v>1.25558707430259</v>
      </c>
      <c r="AC28" s="425" t="n">
        <f aca="false">BS_IS!AC28/BS_IS!AC$34</f>
        <v>3.54407029987485</v>
      </c>
    </row>
    <row r="29" customFormat="false" ht="12.75" hidden="false" customHeight="false" outlineLevel="0" collapsed="false">
      <c r="A29" s="1229"/>
      <c r="B29" s="293" t="s">
        <v>1546</v>
      </c>
      <c r="G29" s="425" t="n">
        <f aca="false">BS_IS!G29/BS_IS!G$34</f>
        <v>0</v>
      </c>
      <c r="H29" s="425" t="n">
        <f aca="false">BS_IS!H29/BS_IS!H$34</f>
        <v>0</v>
      </c>
      <c r="I29" s="425" t="n">
        <f aca="false">BS_IS!I29/BS_IS!I$34</f>
        <v>0</v>
      </c>
      <c r="J29" s="425" t="n">
        <f aca="false">BS_IS!J29/BS_IS!J$34</f>
        <v>0</v>
      </c>
      <c r="K29" s="425" t="n">
        <f aca="false">BS_IS!K29/BS_IS!K$34</f>
        <v>0</v>
      </c>
      <c r="L29" s="425" t="n">
        <f aca="false">BS_IS!L29/BS_IS!L$34</f>
        <v>0</v>
      </c>
      <c r="M29" s="425" t="n">
        <f aca="false">BS_IS!M29/BS_IS!M$34</f>
        <v>0</v>
      </c>
      <c r="N29" s="425" t="n">
        <f aca="false">BS_IS!N29/BS_IS!N$34</f>
        <v>0</v>
      </c>
      <c r="O29" s="425" t="n">
        <f aca="false">BS_IS!O29/BS_IS!O$34</f>
        <v>0</v>
      </c>
      <c r="P29" s="425" t="n">
        <f aca="false">BS_IS!P29/BS_IS!P$34</f>
        <v>0</v>
      </c>
      <c r="Q29" s="425" t="n">
        <f aca="false">BS_IS!Q29/BS_IS!Q$34</f>
        <v>0.00055460955027869</v>
      </c>
      <c r="R29" s="425" t="n">
        <f aca="false">BS_IS!R29/BS_IS!R$34</f>
        <v>0.00821636404488909</v>
      </c>
      <c r="S29" s="425" t="n">
        <f aca="false">BS_IS!S29/BS_IS!S$34</f>
        <v>0.00953295910152739</v>
      </c>
      <c r="T29" s="425" t="n">
        <f aca="false">BS_IS!T29/BS_IS!T$34</f>
        <v>0.0115269250553136</v>
      </c>
      <c r="U29" s="425" t="n">
        <f aca="false">BS_IS!U29/BS_IS!U$34</f>
        <v>0.0189847967137909</v>
      </c>
      <c r="V29" s="425" t="n">
        <f aca="false">BS_IS!V29/BS_IS!V$34</f>
        <v>0.0270268461815655</v>
      </c>
      <c r="W29" s="425" t="n">
        <f aca="false">BS_IS!W29/BS_IS!W$34</f>
        <v>0.0294903348004138</v>
      </c>
      <c r="X29" s="425" t="n">
        <f aca="false">BS_IS!X29/BS_IS!X$34</f>
        <v>0.0324751565968755</v>
      </c>
      <c r="Y29" s="425" t="n">
        <f aca="false">BS_IS!Y29/BS_IS!Y$34</f>
        <v>0.0383013321718323</v>
      </c>
      <c r="Z29" s="425" t="n">
        <f aca="false">BS_IS!Z29/BS_IS!Z$34</f>
        <v>0.0428520200880218</v>
      </c>
      <c r="AA29" s="425" t="n">
        <f aca="false">BS_IS!AA29/BS_IS!AA$34</f>
        <v>0.0494239179187048</v>
      </c>
      <c r="AB29" s="425" t="n">
        <f aca="false">BS_IS!AB29/BS_IS!AB$34</f>
        <v>0.00852337673179066</v>
      </c>
      <c r="AC29" s="425" t="n">
        <f aca="false">BS_IS!AC29/BS_IS!AC$34</f>
        <v>0</v>
      </c>
    </row>
    <row r="30" customFormat="false" ht="12.75" hidden="false" customHeight="false" outlineLevel="0" collapsed="false">
      <c r="A30" s="1229"/>
      <c r="B30" s="293" t="s">
        <v>1547</v>
      </c>
      <c r="G30" s="425" t="n">
        <f aca="false">BS_IS!G30/BS_IS!G$34</f>
        <v>0</v>
      </c>
      <c r="H30" s="425" t="n">
        <f aca="false">BS_IS!H30/BS_IS!H$34</f>
        <v>0</v>
      </c>
      <c r="I30" s="425" t="n">
        <f aca="false">BS_IS!I30/BS_IS!I$34</f>
        <v>-0.0375177360565405</v>
      </c>
      <c r="J30" s="425" t="n">
        <f aca="false">BS_IS!J30/BS_IS!J$34</f>
        <v>-0.0353658966142262</v>
      </c>
      <c r="K30" s="425" t="n">
        <f aca="false">BS_IS!K30/BS_IS!K$34</f>
        <v>-0.0381068164159617</v>
      </c>
      <c r="L30" s="425" t="n">
        <f aca="false">BS_IS!L30/BS_IS!L$34</f>
        <v>-0.0452846483761807</v>
      </c>
      <c r="M30" s="425" t="n">
        <f aca="false">BS_IS!M30/BS_IS!M$34</f>
        <v>-0.041608021100638</v>
      </c>
      <c r="N30" s="425" t="n">
        <f aca="false">BS_IS!N30/BS_IS!N$34</f>
        <v>0.000862910285450025</v>
      </c>
      <c r="O30" s="425" t="n">
        <f aca="false">BS_IS!O30/BS_IS!O$34</f>
        <v>0.0248470084130586</v>
      </c>
      <c r="P30" s="425" t="n">
        <f aca="false">BS_IS!P30/BS_IS!P$34</f>
        <v>0.0534317256608653</v>
      </c>
      <c r="Q30" s="425" t="n">
        <f aca="false">BS_IS!Q30/BS_IS!Q$34</f>
        <v>0.0891867365360901</v>
      </c>
      <c r="R30" s="425" t="n">
        <f aca="false">BS_IS!R30/BS_IS!R$34</f>
        <v>0.120908521866548</v>
      </c>
      <c r="S30" s="425" t="n">
        <f aca="false">BS_IS!S30/BS_IS!S$34</f>
        <v>0.160404513379557</v>
      </c>
      <c r="T30" s="425" t="n">
        <f aca="false">BS_IS!T30/BS_IS!T$34</f>
        <v>0.213678503381173</v>
      </c>
      <c r="U30" s="425" t="n">
        <f aca="false">BS_IS!U30/BS_IS!U$34</f>
        <v>0.284452111784076</v>
      </c>
      <c r="V30" s="425" t="n">
        <f aca="false">BS_IS!V30/BS_IS!V$34</f>
        <v>0.356162136689717</v>
      </c>
      <c r="W30" s="425" t="n">
        <f aca="false">BS_IS!W30/BS_IS!W$34</f>
        <v>0.438140250436351</v>
      </c>
      <c r="X30" s="425" t="n">
        <f aca="false">BS_IS!X30/BS_IS!X$34</f>
        <v>0.501015411001845</v>
      </c>
      <c r="Y30" s="425" t="n">
        <f aca="false">BS_IS!Y30/BS_IS!Y$34</f>
        <v>0.522947745517958</v>
      </c>
      <c r="Z30" s="425" t="n">
        <f aca="false">BS_IS!Z30/BS_IS!Z$34</f>
        <v>0.466267838925598</v>
      </c>
      <c r="AA30" s="425" t="n">
        <f aca="false">BS_IS!AA30/BS_IS!AA$34</f>
        <v>0.384413279342978</v>
      </c>
      <c r="AB30" s="425" t="n">
        <f aca="false">BS_IS!AB30/BS_IS!AB$34</f>
        <v>0.336643810231769</v>
      </c>
      <c r="AC30" s="425" t="n">
        <f aca="false">BS_IS!AC30/BS_IS!AC$34</f>
        <v>0.855751509386945</v>
      </c>
    </row>
    <row r="31" customFormat="false" ht="12.75" hidden="false" customHeight="false" outlineLevel="0" collapsed="false">
      <c r="A31" s="1229"/>
      <c r="B31" s="293" t="s">
        <v>1548</v>
      </c>
      <c r="G31" s="425" t="n">
        <f aca="false">BS_IS!G31/BS_IS!G$34</f>
        <v>0</v>
      </c>
      <c r="H31" s="425" t="n">
        <f aca="false">BS_IS!H31/BS_IS!H$34</f>
        <v>0</v>
      </c>
      <c r="I31" s="425" t="n">
        <f aca="false">BS_IS!I31/BS_IS!I$34</f>
        <v>0</v>
      </c>
      <c r="J31" s="425" t="n">
        <f aca="false">BS_IS!J31/BS_IS!J$34</f>
        <v>0</v>
      </c>
      <c r="K31" s="425" t="n">
        <f aca="false">BS_IS!K31/BS_IS!K$34</f>
        <v>0</v>
      </c>
      <c r="L31" s="425" t="n">
        <f aca="false">BS_IS!L31/BS_IS!L$34</f>
        <v>0</v>
      </c>
      <c r="M31" s="425" t="n">
        <f aca="false">BS_IS!M31/BS_IS!M$34</f>
        <v>0</v>
      </c>
      <c r="N31" s="425" t="n">
        <f aca="false">BS_IS!N31/BS_IS!N$34</f>
        <v>0</v>
      </c>
      <c r="O31" s="425" t="n">
        <f aca="false">BS_IS!O31/BS_IS!O$34</f>
        <v>0</v>
      </c>
      <c r="P31" s="425" t="n">
        <f aca="false">BS_IS!P31/BS_IS!P$34</f>
        <v>0</v>
      </c>
      <c r="Q31" s="425" t="n">
        <f aca="false">BS_IS!Q31/BS_IS!Q$34</f>
        <v>-0.00887792682403134</v>
      </c>
      <c r="R31" s="425" t="n">
        <f aca="false">BS_IS!R31/BS_IS!R$34</f>
        <v>-0.0343377886616014</v>
      </c>
      <c r="S31" s="425" t="n">
        <f aca="false">BS_IS!S31/BS_IS!S$34</f>
        <v>-0.0658132629437045</v>
      </c>
      <c r="T31" s="425" t="n">
        <f aca="false">BS_IS!T31/BS_IS!T$34</f>
        <v>-0.108936773025194</v>
      </c>
      <c r="U31" s="425" t="n">
        <f aca="false">BS_IS!U31/BS_IS!U$34</f>
        <v>-0.16662330662468</v>
      </c>
      <c r="V31" s="425" t="n">
        <f aca="false">BS_IS!V31/BS_IS!V$34</f>
        <v>-0.223232503809728</v>
      </c>
      <c r="W31" s="425" t="n">
        <f aca="false">BS_IS!W31/BS_IS!W$34</f>
        <v>-0.2930941228863</v>
      </c>
      <c r="X31" s="425" t="n">
        <f aca="false">BS_IS!X31/BS_IS!X$34</f>
        <v>-0.341288648391737</v>
      </c>
      <c r="Y31" s="425" t="n">
        <f aca="false">BS_IS!Y31/BS_IS!Y$34</f>
        <v>-0.402517224190545</v>
      </c>
      <c r="Z31" s="425" t="n">
        <f aca="false">BS_IS!Z31/BS_IS!Z$34</f>
        <v>-0.450341416309094</v>
      </c>
      <c r="AA31" s="425" t="n">
        <f aca="false">BS_IS!AA31/BS_IS!AA$34</f>
        <v>-0.519406953262292</v>
      </c>
      <c r="AB31" s="425" t="n">
        <f aca="false">BS_IS!AB31/BS_IS!AB$34</f>
        <v>-0.600754261266154</v>
      </c>
      <c r="AC31" s="425" t="n">
        <f aca="false">BS_IS!AC31/BS_IS!AC$34</f>
        <v>-3.3998218092618</v>
      </c>
    </row>
    <row r="32" customFormat="false" ht="12.75" hidden="false" customHeight="false" outlineLevel="0" collapsed="false">
      <c r="A32" s="1229"/>
      <c r="B32" s="293" t="s">
        <v>1549</v>
      </c>
      <c r="G32" s="425" t="n">
        <f aca="false">BS_IS!G32/BS_IS!G$34</f>
        <v>1</v>
      </c>
      <c r="H32" s="425" t="n">
        <f aca="false">BS_IS!H32/BS_IS!H$34</f>
        <v>0.777939782008116</v>
      </c>
      <c r="I32" s="425" t="n">
        <f aca="false">BS_IS!I32/BS_IS!I$34</f>
        <v>0.501306064838123</v>
      </c>
      <c r="J32" s="425" t="n">
        <f aca="false">BS_IS!J32/BS_IS!J$34</f>
        <v>0.306048299040209</v>
      </c>
      <c r="K32" s="425" t="n">
        <f aca="false">BS_IS!K32/BS_IS!K$34</f>
        <v>0.242007104731629</v>
      </c>
      <c r="L32" s="425" t="n">
        <f aca="false">BS_IS!L32/BS_IS!L$34</f>
        <v>0.249077640846559</v>
      </c>
      <c r="M32" s="425" t="n">
        <f aca="false">BS_IS!M32/BS_IS!M$34</f>
        <v>0.265916276668824</v>
      </c>
      <c r="N32" s="425" t="n">
        <f aca="false">BS_IS!N32/BS_IS!N$34</f>
        <v>0.31312453038645</v>
      </c>
      <c r="O32" s="425" t="n">
        <f aca="false">BS_IS!O32/BS_IS!O$34</f>
        <v>0.350044890940631</v>
      </c>
      <c r="P32" s="425" t="n">
        <f aca="false">BS_IS!P32/BS_IS!P$34</f>
        <v>0.392891805935016</v>
      </c>
      <c r="Q32" s="425" t="n">
        <f aca="false">BS_IS!Q32/BS_IS!Q$34</f>
        <v>0.439502257792814</v>
      </c>
      <c r="R32" s="425" t="n">
        <f aca="false">BS_IS!R32/BS_IS!R$34</f>
        <v>0.481390102806419</v>
      </c>
      <c r="S32" s="425" t="n">
        <f aca="false">BS_IS!S32/BS_IS!S$34</f>
        <v>0.526544817103249</v>
      </c>
      <c r="T32" s="425" t="n">
        <f aca="false">BS_IS!T32/BS_IS!T$34</f>
        <v>0.584018739807084</v>
      </c>
      <c r="U32" s="425" t="n">
        <f aca="false">BS_IS!U32/BS_IS!U$34</f>
        <v>0.663007253345703</v>
      </c>
      <c r="V32" s="425" t="n">
        <f aca="false">BS_IS!V32/BS_IS!V$34</f>
        <v>0.753586608972489</v>
      </c>
      <c r="W32" s="425" t="n">
        <f aca="false">BS_IS!W32/BS_IS!W$34</f>
        <v>0.822275793868447</v>
      </c>
      <c r="X32" s="425" t="n">
        <f aca="false">BS_IS!X32/BS_IS!X$34</f>
        <v>0.905501254984845</v>
      </c>
      <c r="Y32" s="425" t="n">
        <f aca="false">BS_IS!Y32/BS_IS!Y$34</f>
        <v>1</v>
      </c>
      <c r="Z32" s="425" t="n">
        <f aca="false">BS_IS!Z32/BS_IS!Z$34</f>
        <v>1</v>
      </c>
      <c r="AA32" s="425" t="n">
        <f aca="false">BS_IS!AA32/BS_IS!AA$34</f>
        <v>1</v>
      </c>
      <c r="AB32" s="425" t="n">
        <f aca="false">BS_IS!AB32/BS_IS!AB$34</f>
        <v>1</v>
      </c>
      <c r="AC32" s="425" t="n">
        <f aca="false">BS_IS!AC32/BS_IS!AC$34</f>
        <v>1</v>
      </c>
    </row>
    <row r="33" customFormat="false" ht="12.75" hidden="false" customHeight="false" outlineLevel="0" collapsed="false">
      <c r="A33" s="1229"/>
    </row>
    <row r="34" customFormat="false" ht="13.5" hidden="false" customHeight="false" outlineLevel="0" collapsed="false">
      <c r="A34" s="1231" t="s">
        <v>1550</v>
      </c>
      <c r="B34" s="1232"/>
      <c r="C34" s="1232"/>
      <c r="D34" s="1232"/>
      <c r="E34" s="1232"/>
      <c r="F34" s="1233"/>
      <c r="G34" s="1233" t="n">
        <f aca="false">BS_IS!G34/BS_IS!G$34</f>
        <v>1</v>
      </c>
      <c r="H34" s="1233" t="n">
        <f aca="false">BS_IS!H34/BS_IS!H$34</f>
        <v>1</v>
      </c>
      <c r="I34" s="1233" t="n">
        <f aca="false">BS_IS!I34/BS_IS!I$34</f>
        <v>1</v>
      </c>
      <c r="J34" s="1233" t="n">
        <f aca="false">BS_IS!J34/BS_IS!J$34</f>
        <v>1</v>
      </c>
      <c r="K34" s="1233" t="n">
        <f aca="false">BS_IS!K34/BS_IS!K$34</f>
        <v>1</v>
      </c>
      <c r="L34" s="1233" t="n">
        <f aca="false">BS_IS!L34/BS_IS!L$34</f>
        <v>1</v>
      </c>
      <c r="M34" s="1233" t="n">
        <f aca="false">BS_IS!M34/BS_IS!M$34</f>
        <v>1</v>
      </c>
      <c r="N34" s="1233" t="n">
        <f aca="false">BS_IS!N34/BS_IS!N$34</f>
        <v>1</v>
      </c>
      <c r="O34" s="1233" t="n">
        <f aca="false">BS_IS!O34/BS_IS!O$34</f>
        <v>1</v>
      </c>
      <c r="P34" s="1233" t="n">
        <f aca="false">BS_IS!P34/BS_IS!P$34</f>
        <v>1</v>
      </c>
      <c r="Q34" s="1233" t="n">
        <f aca="false">BS_IS!Q34/BS_IS!Q$34</f>
        <v>1</v>
      </c>
      <c r="R34" s="1233" t="n">
        <f aca="false">BS_IS!R34/BS_IS!R$34</f>
        <v>1</v>
      </c>
      <c r="S34" s="1233" t="n">
        <f aca="false">BS_IS!S34/BS_IS!S$34</f>
        <v>1</v>
      </c>
      <c r="T34" s="1233" t="n">
        <f aca="false">BS_IS!T34/BS_IS!T$34</f>
        <v>1</v>
      </c>
      <c r="U34" s="1233" t="n">
        <f aca="false">BS_IS!U34/BS_IS!U$34</f>
        <v>1</v>
      </c>
      <c r="V34" s="1233" t="n">
        <f aca="false">BS_IS!V34/BS_IS!V$34</f>
        <v>1</v>
      </c>
      <c r="W34" s="1233" t="n">
        <f aca="false">BS_IS!W34/BS_IS!W$34</f>
        <v>1</v>
      </c>
      <c r="X34" s="1233" t="n">
        <f aca="false">BS_IS!X34/BS_IS!X$34</f>
        <v>1</v>
      </c>
      <c r="Y34" s="1233" t="n">
        <f aca="false">BS_IS!Y34/BS_IS!Y$34</f>
        <v>1</v>
      </c>
      <c r="Z34" s="1233" t="n">
        <f aca="false">BS_IS!Z34/BS_IS!Z$34</f>
        <v>1</v>
      </c>
      <c r="AA34" s="1233" t="n">
        <f aca="false">BS_IS!AA34/BS_IS!AA$34</f>
        <v>1</v>
      </c>
      <c r="AB34" s="1233" t="n">
        <f aca="false">BS_IS!AB34/BS_IS!AB$34</f>
        <v>1</v>
      </c>
      <c r="AC34" s="1233" t="n">
        <f aca="false">BS_IS!AC34/BS_IS!AC$34</f>
        <v>1</v>
      </c>
      <c r="AD34" s="1233"/>
      <c r="AE34" s="1233"/>
      <c r="AF34" s="1233"/>
      <c r="AG34" s="1233"/>
      <c r="AH34" s="1233"/>
      <c r="AI34" s="1233"/>
      <c r="AJ34" s="1233"/>
      <c r="AK34" s="1233"/>
      <c r="AL34" s="1233"/>
      <c r="AM34" s="1233"/>
      <c r="AN34" s="1233"/>
      <c r="AO34" s="1233"/>
      <c r="AP34" s="1233"/>
      <c r="AQ34" s="1233"/>
      <c r="AR34" s="1233"/>
      <c r="AS34" s="1233"/>
      <c r="AT34" s="1233"/>
      <c r="AU34" s="1233"/>
      <c r="AV34" s="1233"/>
      <c r="AW34" s="1233"/>
      <c r="AX34" s="1233"/>
      <c r="AY34" s="1233"/>
      <c r="AZ34" s="1233"/>
      <c r="BA34" s="1233"/>
      <c r="BB34" s="1233"/>
      <c r="BC34" s="1233"/>
      <c r="BD34" s="1233"/>
      <c r="BE34" s="1233"/>
      <c r="BF34" s="1233"/>
      <c r="BG34" s="1233"/>
      <c r="BH34" s="1233"/>
      <c r="BI34" s="1233"/>
      <c r="BJ34" s="1233"/>
      <c r="BK34" s="1233"/>
      <c r="BL34" s="1233"/>
      <c r="BM34" s="1233"/>
      <c r="BN34" s="1233"/>
      <c r="BO34" s="1233"/>
      <c r="BP34" s="1233"/>
      <c r="BQ34" s="1233"/>
      <c r="BR34" s="1233"/>
      <c r="BS34" s="1233"/>
      <c r="BT34" s="1233"/>
      <c r="BU34" s="1233"/>
      <c r="BV34" s="1233"/>
      <c r="BW34" s="1233"/>
      <c r="BX34" s="1233"/>
      <c r="BY34" s="1233"/>
      <c r="BZ34" s="1233"/>
      <c r="CA34" s="1233"/>
      <c r="CB34" s="1233"/>
      <c r="CC34" s="1233"/>
      <c r="CD34" s="1233"/>
      <c r="CE34" s="1233"/>
      <c r="CF34" s="1233"/>
      <c r="CG34" s="1233"/>
      <c r="CH34" s="1233"/>
      <c r="CI34" s="1233"/>
      <c r="CJ34" s="1233"/>
      <c r="CK34" s="1233"/>
      <c r="CL34" s="1233"/>
      <c r="CM34" s="1233"/>
      <c r="CN34" s="1233"/>
      <c r="CO34" s="1233"/>
      <c r="CP34" s="1233"/>
      <c r="CQ34" s="1233"/>
      <c r="CR34" s="1233"/>
      <c r="CS34" s="1233"/>
      <c r="CT34" s="1233"/>
      <c r="CU34" s="1233"/>
      <c r="CV34" s="1233"/>
      <c r="CW34" s="1233"/>
      <c r="CX34" s="1233"/>
      <c r="CY34" s="1233"/>
      <c r="CZ34" s="1233"/>
      <c r="DA34" s="1233"/>
      <c r="DB34" s="1233"/>
      <c r="DC34" s="1233"/>
      <c r="DD34" s="1233"/>
      <c r="DE34" s="1233"/>
      <c r="DF34" s="1233"/>
      <c r="DG34" s="1233"/>
      <c r="DH34" s="1233"/>
      <c r="DI34" s="1233"/>
      <c r="DJ34" s="1233"/>
      <c r="DK34" s="1233"/>
      <c r="DL34" s="1233"/>
      <c r="DM34" s="1233"/>
      <c r="DN34" s="1233"/>
      <c r="DO34" s="1233"/>
      <c r="DP34" s="1233"/>
      <c r="DQ34" s="1233"/>
      <c r="DR34" s="1233"/>
      <c r="DS34" s="1233"/>
      <c r="DT34" s="1233"/>
      <c r="DU34" s="1233"/>
      <c r="DV34" s="1233"/>
      <c r="DW34" s="1233"/>
      <c r="DX34" s="1233"/>
      <c r="DY34" s="1233"/>
      <c r="DZ34" s="1233"/>
      <c r="EA34" s="1233"/>
      <c r="EB34" s="1233"/>
      <c r="EC34" s="1233"/>
      <c r="ED34" s="1233"/>
      <c r="EE34" s="1233"/>
      <c r="EF34" s="1233"/>
      <c r="EG34" s="1233"/>
      <c r="EH34" s="1233"/>
      <c r="EI34" s="1233"/>
      <c r="EJ34" s="1233"/>
      <c r="EK34" s="1233"/>
      <c r="EL34" s="1233"/>
      <c r="EM34" s="1233"/>
      <c r="EN34" s="1233"/>
      <c r="EO34" s="1233"/>
      <c r="EP34" s="1233"/>
      <c r="EQ34" s="1233"/>
      <c r="ER34" s="1233"/>
      <c r="ES34" s="1233"/>
      <c r="ET34" s="1233"/>
      <c r="EU34" s="1233"/>
      <c r="EV34" s="1233"/>
      <c r="EW34" s="1233"/>
      <c r="EX34" s="1233"/>
      <c r="EY34" s="1233"/>
      <c r="EZ34" s="1233"/>
      <c r="FA34" s="1233"/>
      <c r="FB34" s="1233"/>
      <c r="FC34" s="1233"/>
      <c r="FD34" s="1233"/>
      <c r="FE34" s="1233"/>
      <c r="FF34" s="1233"/>
      <c r="FG34" s="1233"/>
      <c r="FH34" s="1233"/>
      <c r="FI34" s="1233"/>
      <c r="FJ34" s="1233"/>
      <c r="FK34" s="1233"/>
      <c r="FL34" s="1233"/>
      <c r="FM34" s="1233"/>
      <c r="FN34" s="1233"/>
      <c r="FO34" s="1233"/>
      <c r="FP34" s="1233"/>
      <c r="FQ34" s="1233"/>
      <c r="FR34" s="1233"/>
      <c r="FS34" s="1233"/>
      <c r="FT34" s="1233"/>
      <c r="FU34" s="1233"/>
      <c r="FV34" s="1233"/>
      <c r="FW34" s="1233"/>
      <c r="FX34" s="1233"/>
      <c r="FY34" s="1233"/>
      <c r="FZ34" s="1233"/>
      <c r="GA34" s="1233"/>
      <c r="GB34" s="1233"/>
      <c r="GC34" s="1233"/>
      <c r="GD34" s="1233"/>
      <c r="GE34" s="1233"/>
      <c r="GF34" s="1233"/>
      <c r="GG34" s="1233"/>
      <c r="GH34" s="1233"/>
      <c r="GI34" s="1233"/>
      <c r="GJ34" s="1233"/>
      <c r="GK34" s="1233"/>
      <c r="GL34" s="1233"/>
      <c r="GM34" s="1233"/>
      <c r="GN34" s="1233"/>
      <c r="GO34" s="1233"/>
      <c r="GP34" s="1233"/>
      <c r="GQ34" s="1233"/>
      <c r="GR34" s="1233"/>
      <c r="GS34" s="1233"/>
      <c r="GT34" s="1233"/>
      <c r="GU34" s="1233"/>
      <c r="GV34" s="1233"/>
      <c r="GW34" s="1233"/>
      <c r="GX34" s="1233"/>
      <c r="GY34" s="1233"/>
      <c r="GZ34" s="1233"/>
      <c r="HA34" s="1233"/>
      <c r="HB34" s="1233"/>
      <c r="HC34" s="1233"/>
      <c r="HD34" s="1233"/>
      <c r="HE34" s="1233"/>
      <c r="HF34" s="1233"/>
      <c r="HG34" s="1233"/>
      <c r="HH34" s="1233"/>
      <c r="HI34" s="1233"/>
      <c r="HJ34" s="1233"/>
      <c r="HK34" s="1233"/>
      <c r="HL34" s="1233"/>
      <c r="HM34" s="1233"/>
      <c r="HN34" s="1233"/>
      <c r="HO34" s="1233"/>
      <c r="HP34" s="1233"/>
      <c r="HQ34" s="1233"/>
      <c r="HR34" s="1233"/>
      <c r="HS34" s="1233"/>
      <c r="HT34" s="1233"/>
      <c r="HU34" s="1233"/>
      <c r="HV34" s="1233"/>
      <c r="HW34" s="1233"/>
      <c r="HX34" s="1233"/>
      <c r="HY34" s="1233"/>
      <c r="HZ34" s="1233"/>
      <c r="IA34" s="1233"/>
      <c r="IB34" s="1233"/>
      <c r="IC34" s="1233"/>
      <c r="ID34" s="1233"/>
      <c r="IE34" s="1233"/>
      <c r="IF34" s="1233"/>
      <c r="IG34" s="1233"/>
      <c r="IH34" s="1233"/>
      <c r="II34" s="1233"/>
      <c r="IJ34" s="1233"/>
      <c r="IK34" s="1233"/>
      <c r="IL34" s="1233"/>
      <c r="IM34" s="1233"/>
      <c r="IN34" s="1233"/>
      <c r="IO34" s="1233"/>
      <c r="IP34" s="1233"/>
      <c r="IQ34" s="1233"/>
      <c r="IR34" s="1233"/>
      <c r="IS34" s="1233"/>
      <c r="IT34" s="1233"/>
      <c r="IU34" s="1233"/>
      <c r="IV34" s="1233"/>
      <c r="IW34" s="1233"/>
    </row>
    <row r="35" customFormat="false" ht="13.5" hidden="false" customHeight="false" outlineLevel="0" collapsed="false">
      <c r="A35" s="1229"/>
    </row>
    <row r="36" customFormat="false" ht="12.75" hidden="false" customHeight="false" outlineLevel="0" collapsed="false">
      <c r="B36" s="580"/>
      <c r="C36" s="580"/>
      <c r="D36" s="580"/>
      <c r="E36" s="580"/>
    </row>
    <row r="37" customFormat="false" ht="12.75" hidden="false" customHeight="false" outlineLevel="0" collapsed="false">
      <c r="A37" s="1229"/>
    </row>
    <row r="38" customFormat="false" ht="13.5" hidden="false" customHeight="false" outlineLevel="0" collapsed="false">
      <c r="A38" s="1235" t="s">
        <v>1551</v>
      </c>
      <c r="B38" s="71"/>
      <c r="C38" s="71"/>
      <c r="D38" s="71"/>
      <c r="E38" s="71"/>
      <c r="F38" s="71"/>
      <c r="G38" s="372" t="n">
        <f aca="false">G$7</f>
        <v>1997</v>
      </c>
      <c r="H38" s="372" t="n">
        <f aca="false">H$7</f>
        <v>1998</v>
      </c>
      <c r="I38" s="372" t="n">
        <f aca="false">I$7</f>
        <v>1999</v>
      </c>
      <c r="J38" s="372" t="n">
        <f aca="false">J$7</f>
        <v>2000</v>
      </c>
      <c r="K38" s="372" t="n">
        <f aca="false">K$7</f>
        <v>2001</v>
      </c>
      <c r="L38" s="372" t="n">
        <f aca="false">L$7</f>
        <v>2002</v>
      </c>
      <c r="M38" s="372" t="n">
        <f aca="false">M$7</f>
        <v>2003</v>
      </c>
      <c r="N38" s="372" t="n">
        <f aca="false">N$7</f>
        <v>2004</v>
      </c>
      <c r="O38" s="372" t="n">
        <f aca="false">O$7</f>
        <v>2005</v>
      </c>
      <c r="P38" s="372" t="n">
        <f aca="false">P$7</f>
        <v>2006</v>
      </c>
      <c r="Q38" s="372" t="n">
        <f aca="false">Q$7</f>
        <v>2007</v>
      </c>
      <c r="R38" s="372" t="n">
        <f aca="false">R$7</f>
        <v>2008</v>
      </c>
      <c r="S38" s="372" t="n">
        <f aca="false">S$7</f>
        <v>2009</v>
      </c>
      <c r="T38" s="372" t="n">
        <f aca="false">T$7</f>
        <v>2010</v>
      </c>
      <c r="U38" s="372" t="n">
        <f aca="false">U$7</f>
        <v>2011</v>
      </c>
      <c r="V38" s="372" t="n">
        <f aca="false">V$7</f>
        <v>2012</v>
      </c>
      <c r="W38" s="372" t="n">
        <f aca="false">W$7</f>
        <v>2013</v>
      </c>
      <c r="X38" s="372" t="n">
        <f aca="false">X$7</f>
        <v>2014</v>
      </c>
      <c r="Y38" s="372" t="n">
        <f aca="false">Y$7</f>
        <v>2015</v>
      </c>
      <c r="Z38" s="372" t="n">
        <f aca="false">Z$7</f>
        <v>2016</v>
      </c>
      <c r="AA38" s="372" t="n">
        <f aca="false">AA$7</f>
        <v>2017</v>
      </c>
      <c r="AB38" s="372" t="n">
        <f aca="false">AB$7</f>
        <v>2018</v>
      </c>
      <c r="AC38" s="372" t="n">
        <f aca="false">AC$7</f>
        <v>2019</v>
      </c>
      <c r="AD38" s="544" t="str">
        <f aca="false">AD$7</f>
        <v>Totals</v>
      </c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</row>
    <row r="39" customFormat="false" ht="12.75" hidden="false" customHeight="false" outlineLevel="0" collapsed="false">
      <c r="A39" s="1236" t="s">
        <v>1552</v>
      </c>
      <c r="G39" s="425" t="e">
        <f aca="false">BS_IS!G39/BS_IS!G$39</f>
        <v>#DIV/0!</v>
      </c>
      <c r="H39" s="425" t="e">
        <f aca="false">BS_IS!H39/BS_IS!H$39</f>
        <v>#DIV/0!</v>
      </c>
      <c r="I39" s="425" t="n">
        <f aca="false">BS_IS!I39/BS_IS!I$39</f>
        <v>1</v>
      </c>
      <c r="J39" s="425" t="n">
        <f aca="false">BS_IS!J39/BS_IS!J$39</f>
        <v>1</v>
      </c>
      <c r="K39" s="425" t="n">
        <f aca="false">BS_IS!K39/BS_IS!K$39</f>
        <v>1</v>
      </c>
      <c r="L39" s="425" t="n">
        <f aca="false">BS_IS!L39/BS_IS!L$39</f>
        <v>1</v>
      </c>
      <c r="M39" s="425" t="n">
        <f aca="false">BS_IS!M39/BS_IS!M$39</f>
        <v>1</v>
      </c>
      <c r="N39" s="425" t="n">
        <f aca="false">BS_IS!N39/BS_IS!N$39</f>
        <v>1</v>
      </c>
      <c r="O39" s="425" t="n">
        <f aca="false">BS_IS!O39/BS_IS!O$39</f>
        <v>1</v>
      </c>
      <c r="P39" s="425" t="n">
        <f aca="false">BS_IS!P39/BS_IS!P$39</f>
        <v>1</v>
      </c>
      <c r="Q39" s="425" t="n">
        <f aca="false">BS_IS!Q39/BS_IS!Q$39</f>
        <v>1</v>
      </c>
      <c r="R39" s="425" t="n">
        <f aca="false">BS_IS!R39/BS_IS!R$39</f>
        <v>1</v>
      </c>
      <c r="S39" s="425" t="n">
        <f aca="false">BS_IS!S39/BS_IS!S$39</f>
        <v>1</v>
      </c>
      <c r="T39" s="425" t="n">
        <f aca="false">BS_IS!T39/BS_IS!T$39</f>
        <v>1</v>
      </c>
      <c r="U39" s="425" t="n">
        <f aca="false">BS_IS!U39/BS_IS!U$39</f>
        <v>1</v>
      </c>
      <c r="V39" s="425" t="n">
        <f aca="false">BS_IS!V39/BS_IS!V$39</f>
        <v>1</v>
      </c>
      <c r="W39" s="425" t="n">
        <f aca="false">BS_IS!W39/BS_IS!W$39</f>
        <v>1</v>
      </c>
      <c r="X39" s="425" t="n">
        <f aca="false">BS_IS!X39/BS_IS!X$39</f>
        <v>1</v>
      </c>
      <c r="Y39" s="425" t="n">
        <f aca="false">BS_IS!Y39/BS_IS!Y$39</f>
        <v>1</v>
      </c>
      <c r="Z39" s="425" t="n">
        <f aca="false">BS_IS!Z39/BS_IS!Z$39</f>
        <v>1</v>
      </c>
      <c r="AA39" s="425" t="n">
        <f aca="false">BS_IS!AA39/BS_IS!AA$39</f>
        <v>1</v>
      </c>
      <c r="AB39" s="425" t="n">
        <f aca="false">BS_IS!AB39/BS_IS!AB$39</f>
        <v>1</v>
      </c>
      <c r="AC39" s="425" t="n">
        <f aca="false">BS_IS!AC39/BS_IS!AC$39</f>
        <v>1</v>
      </c>
    </row>
    <row r="40" customFormat="false" ht="12.75" hidden="false" customHeight="false" outlineLevel="0" collapsed="false">
      <c r="A40" s="1229" t="s">
        <v>1553</v>
      </c>
      <c r="B40" s="296"/>
      <c r="C40" s="296"/>
      <c r="D40" s="296"/>
      <c r="E40" s="296"/>
      <c r="F40" s="296"/>
      <c r="G40" s="296" t="e">
        <f aca="false">BS_IS!G40/BS_IS!G$39</f>
        <v>#DIV/0!</v>
      </c>
      <c r="H40" s="296" t="e">
        <f aca="false">BS_IS!H40/BS_IS!H$39</f>
        <v>#DIV/0!</v>
      </c>
      <c r="I40" s="296" t="n">
        <f aca="false">BS_IS!I40/BS_IS!I$39</f>
        <v>-0.0265</v>
      </c>
      <c r="J40" s="296" t="n">
        <f aca="false">BS_IS!J40/BS_IS!J$39</f>
        <v>-0.0265</v>
      </c>
      <c r="K40" s="296" t="n">
        <f aca="false">BS_IS!K40/BS_IS!K$39</f>
        <v>-0.0265</v>
      </c>
      <c r="L40" s="296" t="n">
        <f aca="false">BS_IS!L40/BS_IS!L$39</f>
        <v>-0.0265</v>
      </c>
      <c r="M40" s="296" t="n">
        <f aca="false">BS_IS!M40/BS_IS!M$39</f>
        <v>-0.0265</v>
      </c>
      <c r="N40" s="296" t="n">
        <f aca="false">BS_IS!N40/BS_IS!N$39</f>
        <v>-0.0265</v>
      </c>
      <c r="O40" s="296" t="n">
        <f aca="false">BS_IS!O40/BS_IS!O$39</f>
        <v>-0.0265</v>
      </c>
      <c r="P40" s="296" t="n">
        <f aca="false">BS_IS!P40/BS_IS!P$39</f>
        <v>-0.0265</v>
      </c>
      <c r="Q40" s="296" t="n">
        <f aca="false">BS_IS!Q40/BS_IS!Q$39</f>
        <v>-0.0265</v>
      </c>
      <c r="R40" s="296" t="n">
        <f aca="false">BS_IS!R40/BS_IS!R$39</f>
        <v>-0.0265</v>
      </c>
      <c r="S40" s="296" t="n">
        <f aca="false">BS_IS!S40/BS_IS!S$39</f>
        <v>-0.0265</v>
      </c>
      <c r="T40" s="296" t="n">
        <f aca="false">BS_IS!T40/BS_IS!T$39</f>
        <v>-0.0265</v>
      </c>
      <c r="U40" s="296" t="n">
        <f aca="false">BS_IS!U40/BS_IS!U$39</f>
        <v>-0.0265</v>
      </c>
      <c r="V40" s="296" t="n">
        <f aca="false">BS_IS!V40/BS_IS!V$39</f>
        <v>-0.0265</v>
      </c>
      <c r="W40" s="296" t="n">
        <f aca="false">BS_IS!W40/BS_IS!W$39</f>
        <v>-0.0265</v>
      </c>
      <c r="X40" s="296" t="n">
        <f aca="false">BS_IS!X40/BS_IS!X$39</f>
        <v>-0.0265</v>
      </c>
      <c r="Y40" s="296" t="n">
        <f aca="false">BS_IS!Y40/BS_IS!Y$39</f>
        <v>-0.0265</v>
      </c>
      <c r="Z40" s="296" t="n">
        <f aca="false">BS_IS!Z40/BS_IS!Z$39</f>
        <v>-0.0265</v>
      </c>
      <c r="AA40" s="296" t="n">
        <f aca="false">BS_IS!AA40/BS_IS!AA$39</f>
        <v>-0.0265</v>
      </c>
      <c r="AB40" s="296" t="n">
        <f aca="false">BS_IS!AB40/BS_IS!AB$39</f>
        <v>-0.0265</v>
      </c>
      <c r="AC40" s="296" t="n">
        <f aca="false">BS_IS!AC40/BS_IS!AC$39</f>
        <v>-0.0265</v>
      </c>
      <c r="AD40" s="296"/>
      <c r="AE40" s="296"/>
      <c r="AF40" s="296"/>
      <c r="AG40" s="296"/>
      <c r="AH40" s="296"/>
      <c r="AI40" s="296"/>
      <c r="AJ40" s="296"/>
      <c r="AK40" s="296"/>
      <c r="AL40" s="296"/>
      <c r="AM40" s="296"/>
      <c r="AN40" s="296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296"/>
      <c r="CE40" s="296"/>
      <c r="CF40" s="296"/>
      <c r="CG40" s="296"/>
      <c r="CH40" s="296"/>
      <c r="CI40" s="296"/>
      <c r="CJ40" s="296"/>
      <c r="CK40" s="296"/>
      <c r="CL40" s="296"/>
      <c r="CM40" s="296"/>
      <c r="CN40" s="296"/>
      <c r="CO40" s="296"/>
      <c r="CP40" s="296"/>
      <c r="CQ40" s="296"/>
      <c r="CR40" s="296"/>
      <c r="CS40" s="296"/>
      <c r="CT40" s="296"/>
      <c r="CU40" s="296"/>
      <c r="CV40" s="296"/>
      <c r="CW40" s="296"/>
      <c r="CX40" s="296"/>
      <c r="CY40" s="296"/>
      <c r="CZ40" s="296"/>
      <c r="DA40" s="296"/>
      <c r="DB40" s="296"/>
      <c r="DC40" s="296"/>
      <c r="DD40" s="296"/>
      <c r="DE40" s="296"/>
      <c r="DF40" s="296"/>
      <c r="DG40" s="296"/>
      <c r="DH40" s="296"/>
      <c r="DI40" s="296"/>
      <c r="DJ40" s="296"/>
      <c r="DK40" s="296"/>
      <c r="DL40" s="296"/>
      <c r="DM40" s="296"/>
      <c r="DN40" s="296"/>
      <c r="DO40" s="296"/>
      <c r="DP40" s="296"/>
      <c r="DQ40" s="296"/>
      <c r="DR40" s="296"/>
      <c r="DS40" s="296"/>
      <c r="DT40" s="296"/>
      <c r="DU40" s="296"/>
      <c r="DV40" s="296"/>
      <c r="DW40" s="296"/>
      <c r="DX40" s="296"/>
      <c r="DY40" s="296"/>
      <c r="DZ40" s="296"/>
      <c r="EA40" s="296"/>
      <c r="EB40" s="296"/>
      <c r="EC40" s="296"/>
      <c r="ED40" s="296"/>
      <c r="EE40" s="296"/>
      <c r="EF40" s="296"/>
      <c r="EG40" s="296"/>
      <c r="EH40" s="296"/>
      <c r="EI40" s="296"/>
      <c r="EJ40" s="296"/>
      <c r="EK40" s="296"/>
      <c r="EL40" s="296"/>
      <c r="EM40" s="296"/>
      <c r="EN40" s="296"/>
      <c r="EO40" s="296"/>
      <c r="EP40" s="296"/>
      <c r="EQ40" s="296"/>
      <c r="ER40" s="296"/>
      <c r="ES40" s="296"/>
      <c r="ET40" s="296"/>
      <c r="EU40" s="296"/>
      <c r="EV40" s="296"/>
      <c r="EW40" s="296"/>
      <c r="EX40" s="296"/>
      <c r="EY40" s="296"/>
      <c r="EZ40" s="296"/>
      <c r="FA40" s="296"/>
      <c r="FB40" s="296"/>
      <c r="FC40" s="296"/>
      <c r="FD40" s="296"/>
      <c r="FE40" s="296"/>
      <c r="FF40" s="296"/>
      <c r="FG40" s="296"/>
      <c r="FH40" s="296"/>
      <c r="FI40" s="296"/>
      <c r="FJ40" s="296"/>
      <c r="FK40" s="296"/>
      <c r="FL40" s="296"/>
      <c r="FM40" s="296"/>
      <c r="FN40" s="296"/>
      <c r="FO40" s="296"/>
      <c r="FP40" s="296"/>
      <c r="FQ40" s="296"/>
      <c r="FR40" s="296"/>
      <c r="FS40" s="296"/>
      <c r="FT40" s="296"/>
      <c r="FU40" s="296"/>
      <c r="FV40" s="296"/>
      <c r="FW40" s="296"/>
      <c r="FX40" s="296"/>
      <c r="FY40" s="296"/>
      <c r="FZ40" s="296"/>
      <c r="GA40" s="296"/>
      <c r="GB40" s="296"/>
      <c r="GC40" s="296"/>
      <c r="GD40" s="296"/>
      <c r="GE40" s="296"/>
      <c r="GF40" s="296"/>
      <c r="GG40" s="296"/>
      <c r="GH40" s="296"/>
      <c r="GI40" s="296"/>
      <c r="GJ40" s="296"/>
      <c r="GK40" s="296"/>
      <c r="GL40" s="296"/>
      <c r="GM40" s="296"/>
      <c r="GN40" s="296"/>
      <c r="GO40" s="296"/>
      <c r="GP40" s="296"/>
      <c r="GQ40" s="296"/>
      <c r="GR40" s="296"/>
      <c r="GS40" s="296"/>
      <c r="GT40" s="296"/>
      <c r="GU40" s="296"/>
      <c r="GV40" s="296"/>
      <c r="GW40" s="296"/>
      <c r="GX40" s="296"/>
      <c r="GY40" s="296"/>
      <c r="GZ40" s="296"/>
      <c r="HA40" s="296"/>
      <c r="HB40" s="296"/>
      <c r="HC40" s="296"/>
      <c r="HD40" s="296"/>
      <c r="HE40" s="296"/>
      <c r="HF40" s="296"/>
      <c r="HG40" s="296"/>
      <c r="HH40" s="296"/>
      <c r="HI40" s="296"/>
      <c r="HJ40" s="296"/>
      <c r="HK40" s="296"/>
      <c r="HL40" s="296"/>
      <c r="HM40" s="296"/>
      <c r="HN40" s="296"/>
      <c r="HO40" s="296"/>
      <c r="HP40" s="296"/>
      <c r="HQ40" s="296"/>
      <c r="HR40" s="296"/>
      <c r="HS40" s="296"/>
      <c r="HT40" s="296"/>
      <c r="HU40" s="296"/>
      <c r="HV40" s="296"/>
      <c r="HW40" s="296"/>
      <c r="HX40" s="296"/>
      <c r="HY40" s="296"/>
      <c r="HZ40" s="296"/>
      <c r="IA40" s="296"/>
      <c r="IB40" s="296"/>
      <c r="IC40" s="296"/>
      <c r="ID40" s="296"/>
      <c r="IE40" s="296"/>
      <c r="IF40" s="296"/>
      <c r="IG40" s="296"/>
      <c r="IH40" s="296"/>
      <c r="II40" s="296"/>
      <c r="IJ40" s="296"/>
      <c r="IK40" s="296"/>
      <c r="IL40" s="296"/>
      <c r="IM40" s="296"/>
      <c r="IN40" s="296"/>
      <c r="IO40" s="296"/>
      <c r="IP40" s="296"/>
      <c r="IQ40" s="296"/>
      <c r="IR40" s="296"/>
      <c r="IS40" s="296"/>
      <c r="IT40" s="296"/>
      <c r="IU40" s="296"/>
      <c r="IV40" s="296"/>
      <c r="IW40" s="296"/>
    </row>
    <row r="41" customFormat="false" ht="12.75" hidden="false" customHeight="false" outlineLevel="0" collapsed="false">
      <c r="A41" s="1229"/>
      <c r="B41" s="293" t="s">
        <v>1554</v>
      </c>
      <c r="G41" s="425" t="e">
        <f aca="false">BS_IS!G41/BS_IS!G$39</f>
        <v>#DIV/0!</v>
      </c>
      <c r="H41" s="425" t="e">
        <f aca="false">BS_IS!H41/BS_IS!H$39</f>
        <v>#DIV/0!</v>
      </c>
      <c r="I41" s="425" t="n">
        <f aca="false">BS_IS!I41/BS_IS!I$39</f>
        <v>0.9735</v>
      </c>
      <c r="J41" s="425" t="n">
        <f aca="false">BS_IS!J41/BS_IS!J$39</f>
        <v>0.9735</v>
      </c>
      <c r="K41" s="425" t="n">
        <f aca="false">BS_IS!K41/BS_IS!K$39</f>
        <v>0.9735</v>
      </c>
      <c r="L41" s="425" t="n">
        <f aca="false">BS_IS!L41/BS_IS!L$39</f>
        <v>0.9735</v>
      </c>
      <c r="M41" s="425" t="n">
        <f aca="false">BS_IS!M41/BS_IS!M$39</f>
        <v>0.9735</v>
      </c>
      <c r="N41" s="425" t="n">
        <f aca="false">BS_IS!N41/BS_IS!N$39</f>
        <v>0.9735</v>
      </c>
      <c r="O41" s="425" t="n">
        <f aca="false">BS_IS!O41/BS_IS!O$39</f>
        <v>0.9735</v>
      </c>
      <c r="P41" s="425" t="n">
        <f aca="false">BS_IS!P41/BS_IS!P$39</f>
        <v>0.9735</v>
      </c>
      <c r="Q41" s="425" t="n">
        <f aca="false">BS_IS!Q41/BS_IS!Q$39</f>
        <v>0.9735</v>
      </c>
      <c r="R41" s="425" t="n">
        <f aca="false">BS_IS!R41/BS_IS!R$39</f>
        <v>0.9735</v>
      </c>
      <c r="S41" s="425" t="n">
        <f aca="false">BS_IS!S41/BS_IS!S$39</f>
        <v>0.9735</v>
      </c>
      <c r="T41" s="425" t="n">
        <f aca="false">BS_IS!T41/BS_IS!T$39</f>
        <v>0.9735</v>
      </c>
      <c r="U41" s="425" t="n">
        <f aca="false">BS_IS!U41/BS_IS!U$39</f>
        <v>0.9735</v>
      </c>
      <c r="V41" s="425" t="n">
        <f aca="false">BS_IS!V41/BS_IS!V$39</f>
        <v>0.9735</v>
      </c>
      <c r="W41" s="425" t="n">
        <f aca="false">BS_IS!W41/BS_IS!W$39</f>
        <v>0.9735</v>
      </c>
      <c r="X41" s="425" t="n">
        <f aca="false">BS_IS!X41/BS_IS!X$39</f>
        <v>0.9735</v>
      </c>
      <c r="Y41" s="425" t="n">
        <f aca="false">BS_IS!Y41/BS_IS!Y$39</f>
        <v>0.9735</v>
      </c>
      <c r="Z41" s="425" t="n">
        <f aca="false">BS_IS!Z41/BS_IS!Z$39</f>
        <v>0.9735</v>
      </c>
      <c r="AA41" s="425" t="n">
        <f aca="false">BS_IS!AA41/BS_IS!AA$39</f>
        <v>0.9735</v>
      </c>
      <c r="AB41" s="425" t="n">
        <f aca="false">BS_IS!AB41/BS_IS!AB$39</f>
        <v>0.9735</v>
      </c>
      <c r="AC41" s="425" t="n">
        <f aca="false">BS_IS!AC41/BS_IS!AC$39</f>
        <v>0.9735</v>
      </c>
    </row>
    <row r="42" customFormat="false" ht="12.75" hidden="false" customHeight="false" outlineLevel="0" collapsed="false">
      <c r="A42" s="1229"/>
    </row>
    <row r="43" customFormat="false" ht="12.75" hidden="false" customHeight="false" outlineLevel="0" collapsed="false">
      <c r="A43" s="1229" t="s">
        <v>799</v>
      </c>
      <c r="G43" s="425" t="e">
        <f aca="false">BS_IS!G43/BS_IS!G$39</f>
        <v>#DIV/0!</v>
      </c>
      <c r="H43" s="425" t="e">
        <f aca="false">BS_IS!H43/BS_IS!H$39</f>
        <v>#DIV/0!</v>
      </c>
      <c r="I43" s="425" t="n">
        <f aca="false">BS_IS!I43/BS_IS!I$39</f>
        <v>-0</v>
      </c>
      <c r="J43" s="425" t="n">
        <f aca="false">BS_IS!J43/BS_IS!J$39</f>
        <v>-0</v>
      </c>
      <c r="K43" s="425" t="n">
        <f aca="false">BS_IS!K43/BS_IS!K$39</f>
        <v>-0.267872191616425</v>
      </c>
      <c r="L43" s="425" t="n">
        <f aca="false">BS_IS!L43/BS_IS!L$39</f>
        <v>-0.271743011058726</v>
      </c>
      <c r="M43" s="425" t="n">
        <f aca="false">BS_IS!M43/BS_IS!M$39</f>
        <v>-0.265725793998469</v>
      </c>
      <c r="N43" s="425" t="n">
        <f aca="false">BS_IS!N43/BS_IS!N$39</f>
        <v>-0.262442345787055</v>
      </c>
      <c r="O43" s="425" t="n">
        <f aca="false">BS_IS!O43/BS_IS!O$39</f>
        <v>-0.261401415114077</v>
      </c>
      <c r="P43" s="425" t="n">
        <f aca="false">BS_IS!P43/BS_IS!P$39</f>
        <v>-0.261850927520683</v>
      </c>
      <c r="Q43" s="425" t="n">
        <f aca="false">BS_IS!Q43/BS_IS!Q$39</f>
        <v>-0.267715898101266</v>
      </c>
      <c r="R43" s="425" t="n">
        <f aca="false">BS_IS!R43/BS_IS!R$39</f>
        <v>-0.276768133159581</v>
      </c>
      <c r="S43" s="425" t="n">
        <f aca="false">BS_IS!S43/BS_IS!S$39</f>
        <v>-0.279366063233181</v>
      </c>
      <c r="T43" s="425" t="n">
        <f aca="false">BS_IS!T43/BS_IS!T$39</f>
        <v>-0.27871549254008</v>
      </c>
      <c r="U43" s="425" t="n">
        <f aca="false">BS_IS!U43/BS_IS!U$39</f>
        <v>-0.281910371771025</v>
      </c>
      <c r="V43" s="425" t="n">
        <f aca="false">BS_IS!V43/BS_IS!V$39</f>
        <v>-0.296491327888957</v>
      </c>
      <c r="W43" s="425" t="n">
        <f aca="false">BS_IS!W43/BS_IS!W$39</f>
        <v>-0.290516671064677</v>
      </c>
      <c r="X43" s="425" t="n">
        <f aca="false">BS_IS!X43/BS_IS!X$39</f>
        <v>-0.314614932549645</v>
      </c>
      <c r="Y43" s="425" t="n">
        <f aca="false">BS_IS!Y43/BS_IS!Y$39</f>
        <v>-0.350779202348887</v>
      </c>
      <c r="Z43" s="425" t="n">
        <f aca="false">BS_IS!Z43/BS_IS!Z$39</f>
        <v>-0.363069873847732</v>
      </c>
      <c r="AA43" s="425" t="n">
        <f aca="false">BS_IS!AA43/BS_IS!AA$39</f>
        <v>-0.364580355759013</v>
      </c>
      <c r="AB43" s="425" t="n">
        <f aca="false">BS_IS!AB43/BS_IS!AB$39</f>
        <v>-0.376754948955687</v>
      </c>
      <c r="AC43" s="425" t="n">
        <f aca="false">BS_IS!AC43/BS_IS!AC$39</f>
        <v>-0.377496332183061</v>
      </c>
    </row>
    <row r="44" customFormat="false" ht="12.75" hidden="false" customHeight="false" outlineLevel="0" collapsed="false">
      <c r="A44" s="1229" t="s">
        <v>1555</v>
      </c>
      <c r="G44" s="425" t="e">
        <f aca="false">BS_IS!G44/BS_IS!G$39</f>
        <v>#DIV/0!</v>
      </c>
      <c r="H44" s="425" t="e">
        <f aca="false">BS_IS!H44/BS_IS!H$39</f>
        <v>#DIV/0!</v>
      </c>
      <c r="I44" s="425" t="n">
        <f aca="false">BS_IS!I44/BS_IS!I$39</f>
        <v>-0</v>
      </c>
      <c r="J44" s="425" t="n">
        <f aca="false">BS_IS!J44/BS_IS!J$39</f>
        <v>-0</v>
      </c>
      <c r="K44" s="425" t="n">
        <f aca="false">BS_IS!K44/BS_IS!K$39</f>
        <v>-0.269535360264756</v>
      </c>
      <c r="L44" s="425" t="n">
        <f aca="false">BS_IS!L44/BS_IS!L$39</f>
        <v>-0.301550186865031</v>
      </c>
      <c r="M44" s="425" t="n">
        <f aca="false">BS_IS!M44/BS_IS!M$39</f>
        <v>-0.296984562717927</v>
      </c>
      <c r="N44" s="425" t="n">
        <f aca="false">BS_IS!N44/BS_IS!N$39</f>
        <v>-0.294629575081869</v>
      </c>
      <c r="O44" s="425" t="n">
        <f aca="false">BS_IS!O44/BS_IS!O$39</f>
        <v>-0.295844177315616</v>
      </c>
      <c r="P44" s="425" t="n">
        <f aca="false">BS_IS!P44/BS_IS!P$39</f>
        <v>-0.29825163601949</v>
      </c>
      <c r="Q44" s="425" t="n">
        <f aca="false">BS_IS!Q44/BS_IS!Q$39</f>
        <v>-0.306975539057341</v>
      </c>
      <c r="R44" s="425" t="n">
        <f aca="false">BS_IS!R44/BS_IS!R$39</f>
        <v>-0.318136985180373</v>
      </c>
      <c r="S44" s="425" t="n">
        <f aca="false">BS_IS!S44/BS_IS!S$39</f>
        <v>-0.323891377449925</v>
      </c>
      <c r="T44" s="425" t="n">
        <f aca="false">BS_IS!T44/BS_IS!T$39</f>
        <v>-0.32512002919184</v>
      </c>
      <c r="U44" s="425" t="n">
        <f aca="false">BS_IS!U44/BS_IS!U$39</f>
        <v>-0.330254533605701</v>
      </c>
      <c r="V44" s="425" t="n">
        <f aca="false">BS_IS!V44/BS_IS!V$39</f>
        <v>-0.348306424664212</v>
      </c>
      <c r="W44" s="425" t="n">
        <f aca="false">BS_IS!W44/BS_IS!W$39</f>
        <v>-0.344266206809448</v>
      </c>
      <c r="X44" s="425" t="n">
        <f aca="false">BS_IS!X44/BS_IS!X$39</f>
        <v>-0.374532919356172</v>
      </c>
      <c r="Y44" s="425" t="n">
        <f aca="false">BS_IS!Y44/BS_IS!Y$39</f>
        <v>-0.419852899708705</v>
      </c>
      <c r="Z44" s="425" t="n">
        <f aca="false">BS_IS!Z44/BS_IS!Z$39</f>
        <v>-0.435897849209979</v>
      </c>
      <c r="AA44" s="425" t="n">
        <f aca="false">BS_IS!AA44/BS_IS!AA$39</f>
        <v>-0.440663309055327</v>
      </c>
      <c r="AB44" s="425" t="n">
        <f aca="false">BS_IS!AB44/BS_IS!AB$39</f>
        <v>-0.457812623633298</v>
      </c>
      <c r="AC44" s="425" t="n">
        <f aca="false">BS_IS!AC44/BS_IS!AC$39</f>
        <v>-0.466098353366428</v>
      </c>
    </row>
    <row r="45" customFormat="false" ht="12.75" hidden="false" customHeight="false" outlineLevel="0" collapsed="false">
      <c r="A45" s="1229" t="s">
        <v>1556</v>
      </c>
      <c r="G45" s="296" t="e">
        <f aca="false">BS_IS!G45/BS_IS!G$39</f>
        <v>#DIV/0!</v>
      </c>
      <c r="H45" s="296" t="e">
        <f aca="false">BS_IS!H45/BS_IS!H$39</f>
        <v>#DIV/0!</v>
      </c>
      <c r="I45" s="296" t="n">
        <f aca="false">BS_IS!I45/BS_IS!I$39</f>
        <v>-1.16905602811016</v>
      </c>
      <c r="J45" s="296" t="n">
        <f aca="false">BS_IS!J45/BS_IS!J$39</f>
        <v>-0.716745385954247</v>
      </c>
      <c r="K45" s="296" t="n">
        <f aca="false">BS_IS!K45/BS_IS!K$39</f>
        <v>-0.149883446836401</v>
      </c>
      <c r="L45" s="296" t="n">
        <f aca="false">BS_IS!L45/BS_IS!L$39</f>
        <v>-0.107337254472863</v>
      </c>
      <c r="M45" s="296" t="n">
        <f aca="false">BS_IS!M45/BS_IS!M$39</f>
        <v>-0.103208718785581</v>
      </c>
      <c r="N45" s="296" t="n">
        <f aca="false">BS_IS!N45/BS_IS!N$39</f>
        <v>-0.100958507231337</v>
      </c>
      <c r="O45" s="296" t="n">
        <f aca="false">BS_IS!O45/BS_IS!O$39</f>
        <v>-0.100618098792523</v>
      </c>
      <c r="P45" s="296" t="n">
        <f aca="false">BS_IS!P45/BS_IS!P$39</f>
        <v>-0.100655038695732</v>
      </c>
      <c r="Q45" s="296" t="n">
        <f aca="false">BS_IS!Q45/BS_IS!Q$39</f>
        <v>-0.102891410970196</v>
      </c>
      <c r="R45" s="296" t="n">
        <f aca="false">BS_IS!R45/BS_IS!R$39</f>
        <v>-0.106174058914602</v>
      </c>
      <c r="S45" s="296" t="n">
        <f aca="false">BS_IS!S45/BS_IS!S$39</f>
        <v>-0.107603478931801</v>
      </c>
      <c r="T45" s="296" t="n">
        <f aca="false">BS_IS!T45/BS_IS!T$39</f>
        <v>-0.107542101191588</v>
      </c>
      <c r="U45" s="296" t="n">
        <f aca="false">BS_IS!U45/BS_IS!U$39</f>
        <v>-0.109068750277369</v>
      </c>
      <c r="V45" s="296" t="n">
        <f aca="false">BS_IS!V45/BS_IS!V$39</f>
        <v>-0.114871633577618</v>
      </c>
      <c r="W45" s="296" t="n">
        <f aca="false">BS_IS!W45/BS_IS!W$39</f>
        <v>-0.113397523812578</v>
      </c>
      <c r="X45" s="296" t="n">
        <f aca="false">BS_IS!X45/BS_IS!X$39</f>
        <v>-0.123407719441492</v>
      </c>
      <c r="Y45" s="296" t="n">
        <f aca="false">BS_IS!Y45/BS_IS!Y$39</f>
        <v>-0.138281178298319</v>
      </c>
      <c r="Z45" s="296" t="n">
        <f aca="false">BS_IS!Z45/BS_IS!Z$39</f>
        <v>-0.14345968664982</v>
      </c>
      <c r="AA45" s="296" t="n">
        <f aca="false">BS_IS!AA45/BS_IS!AA$39</f>
        <v>-0.145120045881466</v>
      </c>
      <c r="AB45" s="296" t="n">
        <f aca="false">BS_IS!AB45/BS_IS!AB$39</f>
        <v>-0.104019756915804</v>
      </c>
      <c r="AC45" s="296" t="n">
        <f aca="false">BS_IS!AC45/BS_IS!AC$39</f>
        <v>-0.115259390336555</v>
      </c>
    </row>
    <row r="46" customFormat="false" ht="12.75" hidden="false" customHeight="false" outlineLevel="0" collapsed="false">
      <c r="A46" s="1229"/>
      <c r="B46" s="293" t="s">
        <v>824</v>
      </c>
      <c r="G46" s="425" t="e">
        <f aca="false">BS_IS!G46/BS_IS!G$39</f>
        <v>#DIV/0!</v>
      </c>
      <c r="H46" s="425" t="e">
        <f aca="false">BS_IS!H46/BS_IS!H$39</f>
        <v>#DIV/0!</v>
      </c>
      <c r="I46" s="425" t="n">
        <f aca="false">BS_IS!I46/BS_IS!I$39</f>
        <v>-1.16905602811016</v>
      </c>
      <c r="J46" s="425" t="n">
        <f aca="false">BS_IS!J46/BS_IS!J$39</f>
        <v>-0.716745385954247</v>
      </c>
      <c r="K46" s="425" t="n">
        <f aca="false">BS_IS!K46/BS_IS!K$39</f>
        <v>-0.687290998717582</v>
      </c>
      <c r="L46" s="425" t="n">
        <f aca="false">BS_IS!L46/BS_IS!L$39</f>
        <v>-0.68063045239662</v>
      </c>
      <c r="M46" s="425" t="n">
        <f aca="false">BS_IS!M46/BS_IS!M$39</f>
        <v>-0.665919075501976</v>
      </c>
      <c r="N46" s="425" t="n">
        <f aca="false">BS_IS!N46/BS_IS!N$39</f>
        <v>-0.658030428100261</v>
      </c>
      <c r="O46" s="425" t="n">
        <f aca="false">BS_IS!O46/BS_IS!O$39</f>
        <v>-0.657863691222216</v>
      </c>
      <c r="P46" s="425" t="n">
        <f aca="false">BS_IS!P46/BS_IS!P$39</f>
        <v>-0.660757602235905</v>
      </c>
      <c r="Q46" s="425" t="n">
        <f aca="false">BS_IS!Q46/BS_IS!Q$39</f>
        <v>-0.677582848128803</v>
      </c>
      <c r="R46" s="425" t="n">
        <f aca="false">BS_IS!R46/BS_IS!R$39</f>
        <v>-0.701079177254556</v>
      </c>
      <c r="S46" s="425" t="n">
        <f aca="false">BS_IS!S46/BS_IS!S$39</f>
        <v>-0.710860919614906</v>
      </c>
      <c r="T46" s="425" t="n">
        <f aca="false">BS_IS!T46/BS_IS!T$39</f>
        <v>-0.711377622923508</v>
      </c>
      <c r="U46" s="425" t="n">
        <f aca="false">BS_IS!U46/BS_IS!U$39</f>
        <v>-0.721233655654094</v>
      </c>
      <c r="V46" s="425" t="n">
        <f aca="false">BS_IS!V46/BS_IS!V$39</f>
        <v>-0.759669386130787</v>
      </c>
      <c r="W46" s="425" t="n">
        <f aca="false">BS_IS!W46/BS_IS!W$39</f>
        <v>-0.748180401686704</v>
      </c>
      <c r="X46" s="425" t="n">
        <f aca="false">BS_IS!X46/BS_IS!X$39</f>
        <v>-0.812555571347309</v>
      </c>
      <c r="Y46" s="425" t="n">
        <f aca="false">BS_IS!Y46/BS_IS!Y$39</f>
        <v>-0.908913280355912</v>
      </c>
      <c r="Z46" s="425" t="n">
        <f aca="false">BS_IS!Z46/BS_IS!Z$39</f>
        <v>-0.942427409707531</v>
      </c>
      <c r="AA46" s="425" t="n">
        <f aca="false">BS_IS!AA46/BS_IS!AA$39</f>
        <v>-0.950363710695806</v>
      </c>
      <c r="AB46" s="425" t="n">
        <f aca="false">BS_IS!AB46/BS_IS!AB$39</f>
        <v>-0.938587329504788</v>
      </c>
      <c r="AC46" s="425" t="n">
        <f aca="false">BS_IS!AC46/BS_IS!AC$39</f>
        <v>-0.958854075886044</v>
      </c>
    </row>
    <row r="47" customFormat="false" ht="12.75" hidden="false" customHeight="false" outlineLevel="0" collapsed="false">
      <c r="A47" s="1229"/>
    </row>
    <row r="48" customFormat="false" ht="12.75" hidden="false" customHeight="false" outlineLevel="0" collapsed="false">
      <c r="A48" s="1229" t="s">
        <v>838</v>
      </c>
      <c r="G48" s="296" t="e">
        <f aca="false">BS_IS!G48/BS_IS!G$39</f>
        <v>#DIV/0!</v>
      </c>
      <c r="H48" s="296" t="e">
        <f aca="false">BS_IS!H48/BS_IS!H$39</f>
        <v>#DIV/0!</v>
      </c>
      <c r="I48" s="296" t="n">
        <f aca="false">BS_IS!I48/BS_IS!I$39</f>
        <v>-0.015122775852786</v>
      </c>
      <c r="J48" s="296" t="n">
        <f aca="false">BS_IS!J48/BS_IS!J$39</f>
        <v>0.00223636406716766</v>
      </c>
      <c r="K48" s="296" t="n">
        <f aca="false">BS_IS!K48/BS_IS!K$39</f>
        <v>-0.0424820442670423</v>
      </c>
      <c r="L48" s="296" t="n">
        <f aca="false">BS_IS!L48/BS_IS!L$39</f>
        <v>-0.0257457334207342</v>
      </c>
      <c r="M48" s="296" t="n">
        <f aca="false">BS_IS!M48/BS_IS!M$39</f>
        <v>-0.0229128138634263</v>
      </c>
      <c r="N48" s="296" t="n">
        <f aca="false">BS_IS!N48/BS_IS!N$39</f>
        <v>0.0051783654884336</v>
      </c>
      <c r="O48" s="296" t="n">
        <f aca="false">BS_IS!O48/BS_IS!O$39</f>
        <v>0.00580624907747193</v>
      </c>
      <c r="P48" s="296" t="n">
        <f aca="false">BS_IS!P48/BS_IS!P$39</f>
        <v>0.00458376597928051</v>
      </c>
      <c r="Q48" s="296" t="n">
        <f aca="false">BS_IS!Q48/BS_IS!Q$39</f>
        <v>0.00719792434267475</v>
      </c>
      <c r="R48" s="296" t="n">
        <f aca="false">BS_IS!R48/BS_IS!R$39</f>
        <v>0.0100990766981527</v>
      </c>
      <c r="S48" s="296" t="n">
        <f aca="false">BS_IS!S48/BS_IS!S$39</f>
        <v>0.010215761982522</v>
      </c>
      <c r="T48" s="296" t="n">
        <f aca="false">BS_IS!T48/BS_IS!T$39</f>
        <v>0.00745142251843717</v>
      </c>
      <c r="U48" s="296" t="n">
        <f aca="false">BS_IS!U48/BS_IS!U$39</f>
        <v>0.00748207781243594</v>
      </c>
      <c r="V48" s="296" t="n">
        <f aca="false">BS_IS!V48/BS_IS!V$39</f>
        <v>0.00917135910579039</v>
      </c>
      <c r="W48" s="296" t="n">
        <f aca="false">BS_IS!W48/BS_IS!W$39</f>
        <v>0.00532537948035262</v>
      </c>
      <c r="X48" s="296" t="n">
        <f aca="false">BS_IS!X48/BS_IS!X$39</f>
        <v>0.00495088937782797</v>
      </c>
      <c r="Y48" s="296" t="n">
        <f aca="false">BS_IS!Y48/BS_IS!Y$39</f>
        <v>0.00998990336869421</v>
      </c>
      <c r="Z48" s="296" t="n">
        <f aca="false">BS_IS!Z48/BS_IS!Z$39</f>
        <v>0.0106332176421972</v>
      </c>
      <c r="AA48" s="296" t="n">
        <f aca="false">BS_IS!AA48/BS_IS!AA$39</f>
        <v>0.00855566957194756</v>
      </c>
      <c r="AB48" s="296" t="n">
        <f aca="false">BS_IS!AB48/BS_IS!AB$39</f>
        <v>0.00763568745605899</v>
      </c>
      <c r="AC48" s="296" t="n">
        <f aca="false">BS_IS!AC48/BS_IS!AC$39</f>
        <v>0.0353730939323863</v>
      </c>
    </row>
    <row r="49" customFormat="false" ht="12.75" hidden="false" customHeight="false" outlineLevel="0" collapsed="false">
      <c r="A49" s="1229"/>
    </row>
    <row r="50" customFormat="false" ht="12.75" hidden="false" customHeight="false" outlineLevel="0" collapsed="false">
      <c r="A50" s="1229" t="s">
        <v>1455</v>
      </c>
      <c r="G50" s="425" t="e">
        <f aca="false">BS_IS!G50/BS_IS!G$39</f>
        <v>#DIV/0!</v>
      </c>
      <c r="H50" s="425" t="e">
        <f aca="false">BS_IS!H50/BS_IS!H$39</f>
        <v>#DIV/0!</v>
      </c>
      <c r="I50" s="425" t="n">
        <f aca="false">BS_IS!I50/BS_IS!I$39</f>
        <v>-0.210678803962943</v>
      </c>
      <c r="J50" s="425" t="n">
        <f aca="false">BS_IS!J50/BS_IS!J$39</f>
        <v>0.258990978112921</v>
      </c>
      <c r="K50" s="425" t="n">
        <f aca="false">BS_IS!K50/BS_IS!K$39</f>
        <v>0.243726957015375</v>
      </c>
      <c r="L50" s="425" t="n">
        <f aca="false">BS_IS!L50/BS_IS!L$39</f>
        <v>0.267123814182646</v>
      </c>
      <c r="M50" s="425" t="n">
        <f aca="false">BS_IS!M50/BS_IS!M$39</f>
        <v>0.284668110634598</v>
      </c>
      <c r="N50" s="425" t="n">
        <f aca="false">BS_IS!N50/BS_IS!N$39</f>
        <v>0.320647937388173</v>
      </c>
      <c r="O50" s="425" t="n">
        <f aca="false">BS_IS!O50/BS_IS!O$39</f>
        <v>0.321442557855256</v>
      </c>
      <c r="P50" s="425" t="n">
        <f aca="false">BS_IS!P50/BS_IS!P$39</f>
        <v>0.317326163743376</v>
      </c>
      <c r="Q50" s="425" t="n">
        <f aca="false">BS_IS!Q50/BS_IS!Q$39</f>
        <v>0.303115076213872</v>
      </c>
      <c r="R50" s="425" t="n">
        <f aca="false">BS_IS!R50/BS_IS!R$39</f>
        <v>0.282519899443597</v>
      </c>
      <c r="S50" s="425" t="n">
        <f aca="false">BS_IS!S50/BS_IS!S$39</f>
        <v>0.272854842367616</v>
      </c>
      <c r="T50" s="425" t="n">
        <f aca="false">BS_IS!T50/BS_IS!T$39</f>
        <v>0.269573799594929</v>
      </c>
      <c r="U50" s="425" t="n">
        <f aca="false">BS_IS!U50/BS_IS!U$39</f>
        <v>0.259748422158342</v>
      </c>
      <c r="V50" s="425" t="n">
        <f aca="false">BS_IS!V50/BS_IS!V$39</f>
        <v>0.223001972975003</v>
      </c>
      <c r="W50" s="425" t="n">
        <f aca="false">BS_IS!W50/BS_IS!W$39</f>
        <v>0.230644977793649</v>
      </c>
      <c r="X50" s="425" t="n">
        <f aca="false">BS_IS!X50/BS_IS!X$39</f>
        <v>0.165895318030519</v>
      </c>
      <c r="Y50" s="425" t="n">
        <f aca="false">BS_IS!Y50/BS_IS!Y$39</f>
        <v>0.0745766230127822</v>
      </c>
      <c r="Z50" s="425" t="n">
        <f aca="false">BS_IS!Z50/BS_IS!Z$39</f>
        <v>0.0417058079346666</v>
      </c>
      <c r="AA50" s="425" t="n">
        <f aca="false">BS_IS!AA50/BS_IS!AA$39</f>
        <v>0.0316919588761413</v>
      </c>
      <c r="AB50" s="425" t="n">
        <f aca="false">BS_IS!AB50/BS_IS!AB$39</f>
        <v>0.0425483579512707</v>
      </c>
      <c r="AC50" s="425" t="n">
        <f aca="false">BS_IS!AC50/BS_IS!AC$39</f>
        <v>0.0500190180463426</v>
      </c>
    </row>
    <row r="51" customFormat="false" ht="12.75" hidden="false" customHeight="false" outlineLevel="0" collapsed="false">
      <c r="A51" s="1229"/>
    </row>
    <row r="52" customFormat="false" ht="12.75" hidden="false" customHeight="false" outlineLevel="0" collapsed="false">
      <c r="A52" s="1229" t="s">
        <v>33</v>
      </c>
      <c r="G52" s="425" t="e">
        <f aca="false">BS_IS!G52/BS_IS!G$39</f>
        <v>#DIV/0!</v>
      </c>
      <c r="H52" s="425" t="e">
        <f aca="false">BS_IS!H52/BS_IS!H$39</f>
        <v>#DIV/0!</v>
      </c>
      <c r="I52" s="425" t="n">
        <f aca="false">BS_IS!I52/BS_IS!I$39</f>
        <v>-0.414141114436572</v>
      </c>
      <c r="J52" s="425" t="n">
        <f aca="false">BS_IS!J52/BS_IS!J$39</f>
        <v>-0.333707458390967</v>
      </c>
      <c r="K52" s="425" t="n">
        <f aca="false">BS_IS!K52/BS_IS!K$39</f>
        <v>-0.123209840476809</v>
      </c>
      <c r="L52" s="425" t="n">
        <f aca="false">BS_IS!L52/BS_IS!L$39</f>
        <v>-0.122570401360236</v>
      </c>
      <c r="M52" s="425" t="n">
        <f aca="false">BS_IS!M52/BS_IS!M$39</f>
        <v>-0.117070933406661</v>
      </c>
      <c r="N52" s="425" t="n">
        <f aca="false">BS_IS!N52/BS_IS!N$39</f>
        <v>-0.112733539881884</v>
      </c>
      <c r="O52" s="425" t="n">
        <f aca="false">BS_IS!O52/BS_IS!O$39</f>
        <v>-0.110128215973368</v>
      </c>
      <c r="P52" s="425" t="n">
        <f aca="false">BS_IS!P52/BS_IS!P$39</f>
        <v>-0.107949857223608</v>
      </c>
      <c r="Q52" s="425" t="n">
        <f aca="false">BS_IS!Q52/BS_IS!Q$39</f>
        <v>-0.108046780873784</v>
      </c>
      <c r="R52" s="425" t="n">
        <f aca="false">BS_IS!R52/BS_IS!R$39</f>
        <v>-0.10910470994503</v>
      </c>
      <c r="S52" s="425" t="n">
        <f aca="false">BS_IS!S52/BS_IS!S$39</f>
        <v>-0.108191837751048</v>
      </c>
      <c r="T52" s="425" t="n">
        <f aca="false">BS_IS!T52/BS_IS!T$39</f>
        <v>-0.105788916892251</v>
      </c>
      <c r="U52" s="425" t="n">
        <f aca="false">BS_IS!U52/BS_IS!U$39</f>
        <v>-0.104897260141692</v>
      </c>
      <c r="V52" s="425" t="n">
        <f aca="false">BS_IS!V52/BS_IS!V$39</f>
        <v>-0.107882313546313</v>
      </c>
      <c r="W52" s="425" t="n">
        <f aca="false">BS_IS!W52/BS_IS!W$39</f>
        <v>-0.103938030905091</v>
      </c>
      <c r="X52" s="425" t="n">
        <f aca="false">BS_IS!X52/BS_IS!X$39</f>
        <v>-0.110362930402116</v>
      </c>
      <c r="Y52" s="425" t="n">
        <f aca="false">BS_IS!Y52/BS_IS!Y$39</f>
        <v>-0.120609455823203</v>
      </c>
      <c r="Z52" s="425" t="n">
        <f aca="false">BS_IS!Z52/BS_IS!Z$39</f>
        <v>-0.121980514454028</v>
      </c>
      <c r="AA52" s="425" t="n">
        <f aca="false">BS_IS!AA52/BS_IS!AA$39</f>
        <v>-0.120277713778006</v>
      </c>
      <c r="AB52" s="425" t="n">
        <f aca="false">BS_IS!AB52/BS_IS!AB$39</f>
        <v>-0.121666751597762</v>
      </c>
      <c r="AC52" s="425" t="n">
        <f aca="false">BS_IS!AC52/BS_IS!AC$39</f>
        <v>-0.114219114710324</v>
      </c>
    </row>
    <row r="53" customFormat="false" ht="12.75" hidden="false" customHeight="false" outlineLevel="0" collapsed="false">
      <c r="A53" s="1229" t="s">
        <v>1557</v>
      </c>
      <c r="G53" s="425" t="e">
        <f aca="false">BS_IS!G53/BS_IS!G$39</f>
        <v>#DIV/0!</v>
      </c>
      <c r="H53" s="425" t="e">
        <f aca="false">BS_IS!H53/BS_IS!H$39</f>
        <v>#DIV/0!</v>
      </c>
      <c r="I53" s="425" t="n">
        <f aca="false">BS_IS!I53/BS_IS!I$39</f>
        <v>-0</v>
      </c>
      <c r="J53" s="425" t="n">
        <f aca="false">BS_IS!J53/BS_IS!J$39</f>
        <v>-0</v>
      </c>
      <c r="K53" s="425" t="n">
        <f aca="false">BS_IS!K53/BS_IS!K$39</f>
        <v>-0.0673343985366224</v>
      </c>
      <c r="L53" s="425" t="n">
        <f aca="false">BS_IS!L53/BS_IS!L$39</f>
        <v>-0.111873466683887</v>
      </c>
      <c r="M53" s="425" t="n">
        <f aca="false">BS_IS!M53/BS_IS!M$39</f>
        <v>-0.100613828217013</v>
      </c>
      <c r="N53" s="425" t="n">
        <f aca="false">BS_IS!N53/BS_IS!N$39</f>
        <v>-0.0902967344096566</v>
      </c>
      <c r="O53" s="425" t="n">
        <f aca="false">BS_IS!O53/BS_IS!O$39</f>
        <v>-0.0807304608119614</v>
      </c>
      <c r="P53" s="425" t="n">
        <f aca="false">BS_IS!P53/BS_IS!P$39</f>
        <v>-0.0712646710271353</v>
      </c>
      <c r="Q53" s="425" t="n">
        <f aca="false">BS_IS!Q53/BS_IS!Q$39</f>
        <v>-0.0630099987887874</v>
      </c>
      <c r="R53" s="425" t="n">
        <f aca="false">BS_IS!R53/BS_IS!R$39</f>
        <v>-0.0550087257247701</v>
      </c>
      <c r="S53" s="425" t="n">
        <f aca="false">BS_IS!S53/BS_IS!S$39</f>
        <v>-0.0468360913047371</v>
      </c>
      <c r="T53" s="425" t="n">
        <f aca="false">BS_IS!T53/BS_IS!T$39</f>
        <v>-0.038424564651343</v>
      </c>
      <c r="U53" s="425" t="n">
        <f aca="false">BS_IS!U53/BS_IS!U$39</f>
        <v>-0.0306323846146123</v>
      </c>
      <c r="V53" s="425" t="n">
        <f aca="false">BS_IS!V53/BS_IS!V$39</f>
        <v>-0.0237009068715709</v>
      </c>
      <c r="W53" s="425" t="n">
        <f aca="false">BS_IS!W53/BS_IS!W$39</f>
        <v>-0.0166328398753368</v>
      </c>
      <c r="X53" s="425" t="n">
        <f aca="false">BS_IS!X53/BS_IS!X$39</f>
        <v>-0.0110761090406916</v>
      </c>
      <c r="Y53" s="425" t="n">
        <f aca="false">BS_IS!Y53/BS_IS!Y$39</f>
        <v>-0.00475565821866262</v>
      </c>
      <c r="Z53" s="425" t="n">
        <f aca="false">BS_IS!Z53/BS_IS!Z$39</f>
        <v>-0</v>
      </c>
      <c r="AA53" s="425" t="n">
        <f aca="false">BS_IS!AA53/BS_IS!AA$39</f>
        <v>-0</v>
      </c>
      <c r="AB53" s="425" t="n">
        <f aca="false">BS_IS!AB53/BS_IS!AB$39</f>
        <v>-0</v>
      </c>
      <c r="AC53" s="425" t="n">
        <f aca="false">BS_IS!AC53/BS_IS!AC$39</f>
        <v>-0</v>
      </c>
    </row>
    <row r="54" customFormat="false" ht="12.75" hidden="false" customHeight="false" outlineLevel="0" collapsed="false">
      <c r="A54" s="1229" t="s">
        <v>1558</v>
      </c>
      <c r="G54" s="425" t="e">
        <f aca="false">BS_IS!G54/BS_IS!G$39</f>
        <v>#DIV/0!</v>
      </c>
      <c r="H54" s="425" t="e">
        <f aca="false">BS_IS!H54/BS_IS!H$39</f>
        <v>#DIV/0!</v>
      </c>
      <c r="I54" s="425" t="n">
        <f aca="false">BS_IS!I54/BS_IS!I$39</f>
        <v>-0</v>
      </c>
      <c r="J54" s="425" t="n">
        <f aca="false">BS_IS!J54/BS_IS!J$39</f>
        <v>-0</v>
      </c>
      <c r="K54" s="425" t="n">
        <f aca="false">BS_IS!K54/BS_IS!K$39</f>
        <v>-0.0264270061470641</v>
      </c>
      <c r="L54" s="425" t="n">
        <f aca="false">BS_IS!L54/BS_IS!L$39</f>
        <v>-0.0440538200729613</v>
      </c>
      <c r="M54" s="425" t="n">
        <f aca="false">BS_IS!M54/BS_IS!M$39</f>
        <v>-0.0401098928969781</v>
      </c>
      <c r="N54" s="425" t="n">
        <f aca="false">BS_IS!N54/BS_IS!N$39</f>
        <v>-0.0364751293740761</v>
      </c>
      <c r="O54" s="425" t="n">
        <f aca="false">BS_IS!O54/BS_IS!O$39</f>
        <v>-0.0332513626052326</v>
      </c>
      <c r="P54" s="425" t="n">
        <f aca="false">BS_IS!P54/BS_IS!P$39</f>
        <v>-0.0299466838102019</v>
      </c>
      <c r="Q54" s="425" t="n">
        <f aca="false">BS_IS!Q54/BS_IS!Q$39</f>
        <v>-0.0269686278744572</v>
      </c>
      <c r="R54" s="425" t="n">
        <f aca="false">BS_IS!R54/BS_IS!R$39</f>
        <v>-0.0237910342122611</v>
      </c>
      <c r="S54" s="425" t="n">
        <f aca="false">BS_IS!S54/BS_IS!S$39</f>
        <v>-0.0197210271156066</v>
      </c>
      <c r="T54" s="425" t="n">
        <f aca="false">BS_IS!T54/BS_IS!T$39</f>
        <v>-0.0149900123717966</v>
      </c>
      <c r="U54" s="425" t="n">
        <f aca="false">BS_IS!U54/BS_IS!U$39</f>
        <v>-0.0100354638527189</v>
      </c>
      <c r="V54" s="425" t="n">
        <f aca="false">BS_IS!V54/BS_IS!V$39</f>
        <v>-0.0046889358721841</v>
      </c>
      <c r="W54" s="425" t="n">
        <f aca="false">BS_IS!W54/BS_IS!W$39</f>
        <v>-0</v>
      </c>
      <c r="X54" s="425" t="n">
        <f aca="false">BS_IS!X54/BS_IS!X$39</f>
        <v>-0</v>
      </c>
      <c r="Y54" s="425" t="n">
        <f aca="false">BS_IS!Y54/BS_IS!Y$39</f>
        <v>-0</v>
      </c>
      <c r="Z54" s="425" t="n">
        <f aca="false">BS_IS!Z54/BS_IS!Z$39</f>
        <v>-0</v>
      </c>
      <c r="AA54" s="425" t="n">
        <f aca="false">BS_IS!AA54/BS_IS!AA$39</f>
        <v>-0</v>
      </c>
      <c r="AB54" s="425" t="n">
        <f aca="false">BS_IS!AB54/BS_IS!AB$39</f>
        <v>-0</v>
      </c>
      <c r="AC54" s="425" t="n">
        <f aca="false">BS_IS!AC54/BS_IS!AC$39</f>
        <v>-0</v>
      </c>
    </row>
    <row r="55" customFormat="false" ht="12.75" hidden="false" customHeight="false" outlineLevel="0" collapsed="false">
      <c r="A55" s="1229" t="s">
        <v>1559</v>
      </c>
      <c r="G55" s="296" t="e">
        <f aca="false">BS_IS!G55/BS_IS!G$39</f>
        <v>#DIV/0!</v>
      </c>
      <c r="H55" s="296" t="e">
        <f aca="false">BS_IS!H55/BS_IS!H$39</f>
        <v>#DIV/0!</v>
      </c>
      <c r="I55" s="296" t="n">
        <f aca="false">BS_IS!I55/BS_IS!I$39</f>
        <v>-0.110506613157986</v>
      </c>
      <c r="J55" s="296" t="n">
        <f aca="false">BS_IS!J55/BS_IS!J$39</f>
        <v>-0.180044555890376</v>
      </c>
      <c r="K55" s="296" t="n">
        <f aca="false">BS_IS!K55/BS_IS!K$39</f>
        <v>-0.056288856112166</v>
      </c>
      <c r="L55" s="296" t="n">
        <f aca="false">BS_IS!L55/BS_IS!L$39</f>
        <v>0</v>
      </c>
      <c r="M55" s="296" t="n">
        <f aca="false">BS_IS!M55/BS_IS!M$39</f>
        <v>0</v>
      </c>
      <c r="N55" s="296" t="n">
        <f aca="false">BS_IS!N55/BS_IS!N$39</f>
        <v>0</v>
      </c>
      <c r="O55" s="296" t="n">
        <f aca="false">BS_IS!O55/BS_IS!O$39</f>
        <v>0</v>
      </c>
      <c r="P55" s="296" t="n">
        <f aca="false">BS_IS!P55/BS_IS!P$39</f>
        <v>0</v>
      </c>
      <c r="Q55" s="296" t="n">
        <f aca="false">BS_IS!Q55/BS_IS!Q$39</f>
        <v>0</v>
      </c>
      <c r="R55" s="296" t="n">
        <f aca="false">BS_IS!R55/BS_IS!R$39</f>
        <v>0</v>
      </c>
      <c r="S55" s="296" t="n">
        <f aca="false">BS_IS!S55/BS_IS!S$39</f>
        <v>0</v>
      </c>
      <c r="T55" s="296" t="n">
        <f aca="false">BS_IS!T55/BS_IS!T$39</f>
        <v>0</v>
      </c>
      <c r="U55" s="296" t="n">
        <f aca="false">BS_IS!U55/BS_IS!U$39</f>
        <v>0</v>
      </c>
      <c r="V55" s="296" t="n">
        <f aca="false">BS_IS!V55/BS_IS!V$39</f>
        <v>0</v>
      </c>
      <c r="W55" s="296" t="n">
        <f aca="false">BS_IS!W55/BS_IS!W$39</f>
        <v>0</v>
      </c>
      <c r="X55" s="296" t="n">
        <f aca="false">BS_IS!X55/BS_IS!X$39</f>
        <v>0</v>
      </c>
      <c r="Y55" s="296" t="n">
        <f aca="false">BS_IS!Y55/BS_IS!Y$39</f>
        <v>0</v>
      </c>
      <c r="Z55" s="296" t="n">
        <f aca="false">BS_IS!Z55/BS_IS!Z$39</f>
        <v>0</v>
      </c>
      <c r="AA55" s="296" t="n">
        <f aca="false">BS_IS!AA55/BS_IS!AA$39</f>
        <v>0</v>
      </c>
      <c r="AB55" s="296" t="n">
        <f aca="false">BS_IS!AB55/BS_IS!AB$39</f>
        <v>0</v>
      </c>
      <c r="AC55" s="296" t="n">
        <f aca="false">BS_IS!AC55/BS_IS!AC$39</f>
        <v>0</v>
      </c>
    </row>
    <row r="56" customFormat="false" ht="12.75" hidden="false" customHeight="false" outlineLevel="0" collapsed="false">
      <c r="A56" s="1229"/>
      <c r="B56" s="293" t="s">
        <v>1560</v>
      </c>
      <c r="G56" s="425" t="e">
        <f aca="false">BS_IS!G56/BS_IS!G$39</f>
        <v>#DIV/0!</v>
      </c>
      <c r="H56" s="425" t="e">
        <f aca="false">BS_IS!H56/BS_IS!H$39</f>
        <v>#DIV/0!</v>
      </c>
      <c r="I56" s="425" t="n">
        <f aca="false">BS_IS!I56/BS_IS!I$39</f>
        <v>-0.524647727594558</v>
      </c>
      <c r="J56" s="425" t="n">
        <f aca="false">BS_IS!J56/BS_IS!J$39</f>
        <v>-0.513752014281344</v>
      </c>
      <c r="K56" s="425" t="n">
        <f aca="false">BS_IS!K56/BS_IS!K$39</f>
        <v>-0.273260101272661</v>
      </c>
      <c r="L56" s="425" t="n">
        <f aca="false">BS_IS!L56/BS_IS!L$39</f>
        <v>-0.278497688117084</v>
      </c>
      <c r="M56" s="425" t="n">
        <f aca="false">BS_IS!M56/BS_IS!M$39</f>
        <v>-0.257794654520652</v>
      </c>
      <c r="N56" s="425" t="n">
        <f aca="false">BS_IS!N56/BS_IS!N$39</f>
        <v>-0.239505403665617</v>
      </c>
      <c r="O56" s="425" t="n">
        <f aca="false">BS_IS!O56/BS_IS!O$39</f>
        <v>-0.224110039390562</v>
      </c>
      <c r="P56" s="425" t="n">
        <f aca="false">BS_IS!P56/BS_IS!P$39</f>
        <v>-0.209161212060945</v>
      </c>
      <c r="Q56" s="425" t="n">
        <f aca="false">BS_IS!Q56/BS_IS!Q$39</f>
        <v>-0.198025407537028</v>
      </c>
      <c r="R56" s="425" t="n">
        <f aca="false">BS_IS!R56/BS_IS!R$39</f>
        <v>-0.187904469882062</v>
      </c>
      <c r="S56" s="425" t="n">
        <f aca="false">BS_IS!S56/BS_IS!S$39</f>
        <v>-0.174748956171392</v>
      </c>
      <c r="T56" s="425" t="n">
        <f aca="false">BS_IS!T56/BS_IS!T$39</f>
        <v>-0.15920349391539</v>
      </c>
      <c r="U56" s="425" t="n">
        <f aca="false">BS_IS!U56/BS_IS!U$39</f>
        <v>-0.145565108609024</v>
      </c>
      <c r="V56" s="425" t="n">
        <f aca="false">BS_IS!V56/BS_IS!V$39</f>
        <v>-0.136272156290068</v>
      </c>
      <c r="W56" s="425" t="n">
        <f aca="false">BS_IS!W56/BS_IS!W$39</f>
        <v>-0.120570870780428</v>
      </c>
      <c r="X56" s="425" t="n">
        <f aca="false">BS_IS!X56/BS_IS!X$39</f>
        <v>-0.121439039442808</v>
      </c>
      <c r="Y56" s="425" t="n">
        <f aca="false">BS_IS!Y56/BS_IS!Y$39</f>
        <v>-0.125365114041865</v>
      </c>
      <c r="Z56" s="425" t="n">
        <f aca="false">BS_IS!Z56/BS_IS!Z$39</f>
        <v>-0.121980514454028</v>
      </c>
      <c r="AA56" s="425" t="n">
        <f aca="false">BS_IS!AA56/BS_IS!AA$39</f>
        <v>-0.120277713778006</v>
      </c>
      <c r="AB56" s="425" t="n">
        <f aca="false">BS_IS!AB56/BS_IS!AB$39</f>
        <v>-0.121666751597762</v>
      </c>
      <c r="AC56" s="425" t="n">
        <f aca="false">BS_IS!AC56/BS_IS!AC$39</f>
        <v>-0.114219114710324</v>
      </c>
    </row>
    <row r="57" customFormat="false" ht="12.75" hidden="false" customHeight="false" outlineLevel="0" collapsed="false">
      <c r="A57" s="1229"/>
    </row>
    <row r="58" customFormat="false" ht="12.75" hidden="false" customHeight="false" outlineLevel="0" collapsed="false">
      <c r="A58" s="1229" t="s">
        <v>1561</v>
      </c>
      <c r="G58" s="425" t="e">
        <f aca="false">BS_IS!G58/BS_IS!G$39</f>
        <v>#DIV/0!</v>
      </c>
      <c r="H58" s="425" t="e">
        <f aca="false">BS_IS!H58/BS_IS!H$39</f>
        <v>#DIV/0!</v>
      </c>
      <c r="I58" s="425" t="n">
        <f aca="false">BS_IS!I58/BS_IS!I$39</f>
        <v>-0.735326531557501</v>
      </c>
      <c r="J58" s="425" t="n">
        <f aca="false">BS_IS!J58/BS_IS!J$39</f>
        <v>-0.254761036168423</v>
      </c>
      <c r="K58" s="425" t="n">
        <f aca="false">BS_IS!K58/BS_IS!K$39</f>
        <v>-0.0295331442572858</v>
      </c>
      <c r="L58" s="425" t="n">
        <f aca="false">BS_IS!L58/BS_IS!L$39</f>
        <v>-0.0113738739344382</v>
      </c>
      <c r="M58" s="425" t="n">
        <f aca="false">BS_IS!M58/BS_IS!M$39</f>
        <v>0.0268734561139453</v>
      </c>
      <c r="N58" s="425" t="n">
        <f aca="false">BS_IS!N58/BS_IS!N$39</f>
        <v>0.0811425337225555</v>
      </c>
      <c r="O58" s="425" t="n">
        <f aca="false">BS_IS!O58/BS_IS!O$39</f>
        <v>0.0973325184646949</v>
      </c>
      <c r="P58" s="425" t="n">
        <f aca="false">BS_IS!P58/BS_IS!P$39</f>
        <v>0.10816495168243</v>
      </c>
      <c r="Q58" s="425" t="n">
        <f aca="false">BS_IS!Q58/BS_IS!Q$39</f>
        <v>0.105089668676844</v>
      </c>
      <c r="R58" s="425" t="n">
        <f aca="false">BS_IS!R58/BS_IS!R$39</f>
        <v>0.0946154295615354</v>
      </c>
      <c r="S58" s="425" t="n">
        <f aca="false">BS_IS!S58/BS_IS!S$39</f>
        <v>0.0981058861962235</v>
      </c>
      <c r="T58" s="425" t="n">
        <f aca="false">BS_IS!T58/BS_IS!T$39</f>
        <v>0.110370305679539</v>
      </c>
      <c r="U58" s="425" t="n">
        <f aca="false">BS_IS!U58/BS_IS!U$39</f>
        <v>0.114183313549318</v>
      </c>
      <c r="V58" s="425" t="n">
        <f aca="false">BS_IS!V58/BS_IS!V$39</f>
        <v>0.0867298166849356</v>
      </c>
      <c r="W58" s="425" t="n">
        <f aca="false">BS_IS!W58/BS_IS!W$39</f>
        <v>0.110074107013221</v>
      </c>
      <c r="X58" s="425" t="n">
        <f aca="false">BS_IS!X58/BS_IS!X$39</f>
        <v>0.0444562785877115</v>
      </c>
      <c r="Y58" s="425" t="n">
        <f aca="false">BS_IS!Y58/BS_IS!Y$39</f>
        <v>-0.0507884910290829</v>
      </c>
      <c r="Z58" s="425" t="n">
        <f aca="false">BS_IS!Z58/BS_IS!Z$39</f>
        <v>-0.0802747065193613</v>
      </c>
      <c r="AA58" s="425" t="n">
        <f aca="false">BS_IS!AA58/BS_IS!AA$39</f>
        <v>-0.0885857549018651</v>
      </c>
      <c r="AB58" s="425" t="n">
        <f aca="false">BS_IS!AB58/BS_IS!AB$39</f>
        <v>-0.0791183936464917</v>
      </c>
      <c r="AC58" s="425" t="n">
        <f aca="false">BS_IS!AC58/BS_IS!AC$39</f>
        <v>-0.0642000966639816</v>
      </c>
    </row>
    <row r="59" customFormat="false" ht="12.75" hidden="false" customHeight="false" outlineLevel="0" collapsed="false">
      <c r="A59" s="1229" t="s">
        <v>855</v>
      </c>
      <c r="G59" s="425" t="e">
        <f aca="false">BS_IS!G59/BS_IS!G$39</f>
        <v>#DIV/0!</v>
      </c>
      <c r="H59" s="425" t="e">
        <f aca="false">BS_IS!H59/BS_IS!H$39</f>
        <v>#DIV/0!</v>
      </c>
      <c r="I59" s="425" t="n">
        <f aca="false">BS_IS!I59/BS_IS!I$39</f>
        <v>-0</v>
      </c>
      <c r="J59" s="425" t="n">
        <f aca="false">BS_IS!J59/BS_IS!J$39</f>
        <v>-0</v>
      </c>
      <c r="K59" s="425" t="n">
        <f aca="false">BS_IS!K59/BS_IS!K$39</f>
        <v>-0</v>
      </c>
      <c r="L59" s="425" t="n">
        <f aca="false">BS_IS!L59/BS_IS!L$39</f>
        <v>-0</v>
      </c>
      <c r="M59" s="425" t="n">
        <f aca="false">BS_IS!M59/BS_IS!M$39</f>
        <v>-0.0134367280569726</v>
      </c>
      <c r="N59" s="425" t="n">
        <f aca="false">BS_IS!N59/BS_IS!N$39</f>
        <v>-0</v>
      </c>
      <c r="O59" s="425" t="n">
        <f aca="false">BS_IS!O59/BS_IS!O$39</f>
        <v>-0.0486662592323474</v>
      </c>
      <c r="P59" s="425" t="n">
        <f aca="false">BS_IS!P59/BS_IS!P$39</f>
        <v>-0.0540824758412152</v>
      </c>
      <c r="Q59" s="425" t="n">
        <f aca="false">BS_IS!Q59/BS_IS!Q$39</f>
        <v>-0.0525448343384218</v>
      </c>
      <c r="R59" s="425" t="n">
        <f aca="false">BS_IS!R59/BS_IS!R$39</f>
        <v>-0.0473077147807677</v>
      </c>
      <c r="S59" s="425" t="n">
        <f aca="false">BS_IS!S59/BS_IS!S$39</f>
        <v>-0.0490529430981117</v>
      </c>
      <c r="T59" s="425" t="n">
        <f aca="false">BS_IS!T59/BS_IS!T$39</f>
        <v>-0.0551514745931363</v>
      </c>
      <c r="U59" s="425" t="n">
        <f aca="false">BS_IS!U59/BS_IS!U$39</f>
        <v>-0.0546866226401259</v>
      </c>
      <c r="V59" s="425" t="n">
        <f aca="false">BS_IS!V59/BS_IS!V$39</f>
        <v>-0.0433649083424678</v>
      </c>
      <c r="W59" s="425" t="n">
        <f aca="false">BS_IS!W59/BS_IS!W$39</f>
        <v>-0.0541865427789691</v>
      </c>
      <c r="X59" s="425" t="n">
        <f aca="false">BS_IS!X59/BS_IS!X$39</f>
        <v>-0.0222281392938557</v>
      </c>
      <c r="Y59" s="425" t="n">
        <f aca="false">BS_IS!Y59/BS_IS!Y$39</f>
        <v>-0</v>
      </c>
      <c r="Z59" s="425" t="n">
        <f aca="false">BS_IS!Z59/BS_IS!Z$39</f>
        <v>-0</v>
      </c>
      <c r="AA59" s="425" t="n">
        <f aca="false">BS_IS!AA59/BS_IS!AA$39</f>
        <v>-0</v>
      </c>
      <c r="AB59" s="425" t="n">
        <f aca="false">BS_IS!AB59/BS_IS!AB$39</f>
        <v>-0</v>
      </c>
      <c r="AC59" s="425" t="n">
        <f aca="false">BS_IS!AC59/BS_IS!AC$39</f>
        <v>-0</v>
      </c>
    </row>
    <row r="60" customFormat="false" ht="12.75" hidden="false" customHeight="false" outlineLevel="0" collapsed="false">
      <c r="A60" s="1229" t="s">
        <v>1562</v>
      </c>
      <c r="G60" s="425" t="e">
        <f aca="false">BS_IS!G60/BS_IS!G$39</f>
        <v>#DIV/0!</v>
      </c>
      <c r="H60" s="425" t="e">
        <f aca="false">BS_IS!H60/BS_IS!H$39</f>
        <v>#DIV/0!</v>
      </c>
      <c r="I60" s="425" t="n">
        <f aca="false">BS_IS!I60/BS_IS!I$39</f>
        <v>-0</v>
      </c>
      <c r="J60" s="425" t="n">
        <f aca="false">BS_IS!J60/BS_IS!J$39</f>
        <v>-0</v>
      </c>
      <c r="K60" s="425" t="n">
        <f aca="false">BS_IS!K60/BS_IS!K$39</f>
        <v>-0</v>
      </c>
      <c r="L60" s="425" t="n">
        <f aca="false">BS_IS!L60/BS_IS!L$39</f>
        <v>-0</v>
      </c>
      <c r="M60" s="425" t="n">
        <f aca="false">BS_IS!M60/BS_IS!M$39</f>
        <v>-0.00302737038731032</v>
      </c>
      <c r="N60" s="425" t="n">
        <f aca="false">BS_IS!N60/BS_IS!N$39</f>
        <v>-0</v>
      </c>
      <c r="O60" s="425" t="n">
        <f aca="false">BS_IS!O60/BS_IS!O$39</f>
        <v>-0.0111754985398073</v>
      </c>
      <c r="P60" s="425" t="n">
        <f aca="false">BS_IS!P60/BS_IS!P$39</f>
        <v>-0.0124298429417037</v>
      </c>
      <c r="Q60" s="425" t="n">
        <f aca="false">BS_IS!Q60/BS_IS!Q$39</f>
        <v>-0.0120763264512948</v>
      </c>
      <c r="R60" s="425" t="n">
        <f aca="false">BS_IS!R60/BS_IS!R$39</f>
        <v>-0.0108676152222377</v>
      </c>
      <c r="S60" s="425" t="n">
        <f aca="false">BS_IS!S60/BS_IS!S$39</f>
        <v>-0.0112728087329805</v>
      </c>
      <c r="T60" s="425" t="n">
        <f aca="false">BS_IS!T60/BS_IS!T$39</f>
        <v>-0.0126998363671457</v>
      </c>
      <c r="U60" s="425" t="n">
        <f aca="false">BS_IS!U60/BS_IS!U$39</f>
        <v>-0.0136897995992301</v>
      </c>
      <c r="V60" s="425" t="n">
        <f aca="false">BS_IS!V60/BS_IS!V$39</f>
        <v>-0.00996302805817875</v>
      </c>
      <c r="W60" s="425" t="n">
        <f aca="false">BS_IS!W60/BS_IS!W$39</f>
        <v>-0.0144666587619758</v>
      </c>
      <c r="X60" s="425" t="n">
        <f aca="false">BS_IS!X60/BS_IS!X$39</f>
        <v>-0.00728195544814866</v>
      </c>
      <c r="Y60" s="425" t="n">
        <f aca="false">BS_IS!Y60/BS_IS!Y$39</f>
        <v>-0</v>
      </c>
      <c r="Z60" s="425" t="n">
        <f aca="false">BS_IS!Z60/BS_IS!Z$39</f>
        <v>-0</v>
      </c>
      <c r="AA60" s="425" t="n">
        <f aca="false">BS_IS!AA60/BS_IS!AA$39</f>
        <v>-0</v>
      </c>
      <c r="AB60" s="425" t="n">
        <f aca="false">BS_IS!AB60/BS_IS!AB$39</f>
        <v>-0</v>
      </c>
      <c r="AC60" s="425" t="n">
        <f aca="false">BS_IS!AC60/BS_IS!AC$39</f>
        <v>-0</v>
      </c>
    </row>
    <row r="61" customFormat="false" ht="12.75" hidden="false" customHeight="false" outlineLevel="0" collapsed="false">
      <c r="A61" s="1229" t="s">
        <v>859</v>
      </c>
      <c r="G61" s="296" t="e">
        <f aca="false">BS_IS!G61/BS_IS!G$39</f>
        <v>#DIV/0!</v>
      </c>
      <c r="H61" s="296" t="e">
        <f aca="false">BS_IS!H61/BS_IS!H$39</f>
        <v>#DIV/0!</v>
      </c>
      <c r="I61" s="296" t="n">
        <f aca="false">BS_IS!I61/BS_IS!I$39</f>
        <v>0.0130723246453815</v>
      </c>
      <c r="J61" s="296" t="n">
        <f aca="false">BS_IS!J61/BS_IS!J$39</f>
        <v>0.0418906706759193</v>
      </c>
      <c r="K61" s="296" t="n">
        <f aca="false">BS_IS!K61/BS_IS!K$39</f>
        <v>0</v>
      </c>
      <c r="L61" s="296" t="n">
        <f aca="false">BS_IS!L61/BS_IS!L$39</f>
        <v>0</v>
      </c>
      <c r="M61" s="296" t="n">
        <f aca="false">BS_IS!M61/BS_IS!M$39</f>
        <v>0.000906131695574687</v>
      </c>
      <c r="N61" s="296" t="n">
        <f aca="false">BS_IS!N61/BS_IS!N$39</f>
        <v>0</v>
      </c>
      <c r="O61" s="296" t="n">
        <f aca="false">BS_IS!O61/BS_IS!O$39</f>
        <v>0.00479006361117438</v>
      </c>
      <c r="P61" s="296" t="n">
        <f aca="false">BS_IS!P61/BS_IS!P$39</f>
        <v>0.00393049083353591</v>
      </c>
      <c r="Q61" s="296" t="n">
        <f aca="false">BS_IS!Q61/BS_IS!Q$39</f>
        <v>0.010947717507797</v>
      </c>
      <c r="R61" s="296" t="n">
        <f aca="false">BS_IS!R61/BS_IS!R$39</f>
        <v>0</v>
      </c>
      <c r="S61" s="296" t="n">
        <f aca="false">BS_IS!S61/BS_IS!S$39</f>
        <v>0</v>
      </c>
      <c r="T61" s="296" t="n">
        <f aca="false">BS_IS!T61/BS_IS!T$39</f>
        <v>0</v>
      </c>
      <c r="U61" s="296" t="n">
        <f aca="false">BS_IS!U61/BS_IS!U$39</f>
        <v>0</v>
      </c>
      <c r="V61" s="296" t="n">
        <f aca="false">BS_IS!V61/BS_IS!V$39</f>
        <v>0</v>
      </c>
      <c r="W61" s="296" t="n">
        <f aca="false">BS_IS!W61/BS_IS!W$39</f>
        <v>0</v>
      </c>
      <c r="X61" s="296" t="n">
        <f aca="false">BS_IS!X61/BS_IS!X$39</f>
        <v>0</v>
      </c>
      <c r="Y61" s="296" t="n">
        <f aca="false">BS_IS!Y61/BS_IS!Y$39</f>
        <v>0</v>
      </c>
      <c r="Z61" s="296" t="n">
        <f aca="false">BS_IS!Z61/BS_IS!Z$39</f>
        <v>0</v>
      </c>
      <c r="AA61" s="296" t="n">
        <f aca="false">BS_IS!AA61/BS_IS!AA$39</f>
        <v>0</v>
      </c>
      <c r="AB61" s="296" t="n">
        <f aca="false">BS_IS!AB61/BS_IS!AB$39</f>
        <v>0.0245722806713092</v>
      </c>
      <c r="AC61" s="296" t="n">
        <f aca="false">BS_IS!AC61/BS_IS!AC$39</f>
        <v>0.0130307730060786</v>
      </c>
    </row>
    <row r="62" customFormat="false" ht="13.5" hidden="false" customHeight="false" outlineLevel="0" collapsed="false">
      <c r="A62" s="1237" t="s">
        <v>1547</v>
      </c>
      <c r="B62" s="1238"/>
      <c r="C62" s="1238"/>
      <c r="D62" s="1238"/>
      <c r="E62" s="1238" t="s">
        <v>49</v>
      </c>
      <c r="F62" s="1233"/>
      <c r="G62" s="1233" t="e">
        <f aca="false">BS_IS!G62/BS_IS!G$39</f>
        <v>#DIV/0!</v>
      </c>
      <c r="H62" s="1233" t="e">
        <f aca="false">BS_IS!H62/BS_IS!H$39</f>
        <v>#DIV/0!</v>
      </c>
      <c r="I62" s="1233" t="n">
        <f aca="false">BS_IS!I62/BS_IS!I$39</f>
        <v>-0.722254206912119</v>
      </c>
      <c r="J62" s="1233" t="n">
        <f aca="false">BS_IS!J62/BS_IS!J$39</f>
        <v>-0.212870365492503</v>
      </c>
      <c r="K62" s="1233" t="n">
        <f aca="false">BS_IS!K62/BS_IS!K$39</f>
        <v>-0.0295331442572858</v>
      </c>
      <c r="L62" s="1233" t="n">
        <f aca="false">BS_IS!L62/BS_IS!L$39</f>
        <v>-0.0113738739344382</v>
      </c>
      <c r="M62" s="1233" t="n">
        <f aca="false">BS_IS!M62/BS_IS!M$39</f>
        <v>0.0113154893652371</v>
      </c>
      <c r="N62" s="1233" t="n">
        <f aca="false">BS_IS!N62/BS_IS!N$39</f>
        <v>0.0811425337225555</v>
      </c>
      <c r="O62" s="1233" t="n">
        <f aca="false">BS_IS!O62/BS_IS!O$39</f>
        <v>0.0422808243037146</v>
      </c>
      <c r="P62" s="1233" t="n">
        <f aca="false">BS_IS!P62/BS_IS!P$39</f>
        <v>0.0455831237330475</v>
      </c>
      <c r="Q62" s="1233" t="n">
        <f aca="false">BS_IS!Q62/BS_IS!Q$39</f>
        <v>0.0514162253949239</v>
      </c>
      <c r="R62" s="1233" t="n">
        <f aca="false">BS_IS!R62/BS_IS!R$39</f>
        <v>0.03644009955853</v>
      </c>
      <c r="S62" s="1233" t="n">
        <f aca="false">BS_IS!S62/BS_IS!S$39</f>
        <v>0.0377801343651312</v>
      </c>
      <c r="T62" s="1233" t="n">
        <f aca="false">BS_IS!T62/BS_IS!T$39</f>
        <v>0.0425189947192565</v>
      </c>
      <c r="U62" s="1233" t="n">
        <f aca="false">BS_IS!U62/BS_IS!U$39</f>
        <v>0.0458068913099622</v>
      </c>
      <c r="V62" s="1233" t="n">
        <f aca="false">BS_IS!V62/BS_IS!V$39</f>
        <v>0.033401880284289</v>
      </c>
      <c r="W62" s="1233" t="n">
        <f aca="false">BS_IS!W62/BS_IS!W$39</f>
        <v>0.0414209054722761</v>
      </c>
      <c r="X62" s="1233" t="n">
        <f aca="false">BS_IS!X62/BS_IS!X$39</f>
        <v>0.0149461838457071</v>
      </c>
      <c r="Y62" s="1233" t="n">
        <f aca="false">BS_IS!Y62/BS_IS!Y$39</f>
        <v>-0.0507884910290829</v>
      </c>
      <c r="Z62" s="1233" t="n">
        <f aca="false">BS_IS!Z62/BS_IS!Z$39</f>
        <v>-0.0802747065193613</v>
      </c>
      <c r="AA62" s="1233" t="n">
        <f aca="false">BS_IS!AA62/BS_IS!AA$39</f>
        <v>-0.0885857549018651</v>
      </c>
      <c r="AB62" s="1233" t="n">
        <f aca="false">BS_IS!AB62/BS_IS!AB$39</f>
        <v>-0.0545461129751826</v>
      </c>
      <c r="AC62" s="1233" t="n">
        <f aca="false">BS_IS!AC62/BS_IS!AC$39</f>
        <v>-0.051169323657903</v>
      </c>
      <c r="AD62" s="1233"/>
      <c r="AE62" s="1233"/>
      <c r="AF62" s="1233"/>
      <c r="AG62" s="1233"/>
      <c r="AH62" s="1233"/>
      <c r="AI62" s="1233"/>
      <c r="AJ62" s="1233"/>
      <c r="AK62" s="1233"/>
      <c r="AL62" s="1233"/>
      <c r="AM62" s="1233"/>
      <c r="AN62" s="1233"/>
      <c r="AO62" s="1233"/>
      <c r="AP62" s="1233"/>
      <c r="AQ62" s="1233"/>
      <c r="AR62" s="1233"/>
      <c r="AS62" s="1233"/>
      <c r="AT62" s="1233"/>
      <c r="AU62" s="1233"/>
      <c r="AV62" s="1233"/>
      <c r="AW62" s="1233"/>
      <c r="AX62" s="1233"/>
      <c r="AY62" s="1233"/>
      <c r="AZ62" s="1233"/>
      <c r="BA62" s="1233"/>
      <c r="BB62" s="1233"/>
      <c r="BC62" s="1233"/>
      <c r="BD62" s="1233"/>
      <c r="BE62" s="1233"/>
      <c r="BF62" s="1233"/>
      <c r="BG62" s="1233"/>
      <c r="BH62" s="1233"/>
      <c r="BI62" s="1233"/>
      <c r="BJ62" s="1233"/>
      <c r="BK62" s="1233"/>
      <c r="BL62" s="1233"/>
      <c r="BM62" s="1233"/>
      <c r="BN62" s="1233"/>
      <c r="BO62" s="1233"/>
      <c r="BP62" s="1233"/>
      <c r="BQ62" s="1233"/>
      <c r="BR62" s="1233"/>
      <c r="BS62" s="1233"/>
      <c r="BT62" s="1233"/>
      <c r="BU62" s="1233"/>
      <c r="BV62" s="1233"/>
      <c r="BW62" s="1233"/>
      <c r="BX62" s="1233"/>
      <c r="BY62" s="1233"/>
      <c r="BZ62" s="1233"/>
      <c r="CA62" s="1233"/>
      <c r="CB62" s="1233"/>
      <c r="CC62" s="1233"/>
      <c r="CD62" s="1233"/>
      <c r="CE62" s="1233"/>
      <c r="CF62" s="1233"/>
      <c r="CG62" s="1233"/>
      <c r="CH62" s="1233"/>
      <c r="CI62" s="1233"/>
      <c r="CJ62" s="1233"/>
      <c r="CK62" s="1233"/>
      <c r="CL62" s="1233"/>
      <c r="CM62" s="1233"/>
      <c r="CN62" s="1233"/>
      <c r="CO62" s="1233"/>
      <c r="CP62" s="1233"/>
      <c r="CQ62" s="1233"/>
      <c r="CR62" s="1233"/>
      <c r="CS62" s="1233"/>
      <c r="CT62" s="1233"/>
      <c r="CU62" s="1233"/>
      <c r="CV62" s="1233"/>
      <c r="CW62" s="1233"/>
      <c r="CX62" s="1233"/>
      <c r="CY62" s="1233"/>
      <c r="CZ62" s="1233"/>
      <c r="DA62" s="1233"/>
      <c r="DB62" s="1233"/>
      <c r="DC62" s="1233"/>
      <c r="DD62" s="1233"/>
      <c r="DE62" s="1233"/>
      <c r="DF62" s="1233"/>
      <c r="DG62" s="1233"/>
      <c r="DH62" s="1233"/>
      <c r="DI62" s="1233"/>
      <c r="DJ62" s="1233"/>
      <c r="DK62" s="1233"/>
      <c r="DL62" s="1233"/>
      <c r="DM62" s="1233"/>
      <c r="DN62" s="1233"/>
      <c r="DO62" s="1233"/>
      <c r="DP62" s="1233"/>
      <c r="DQ62" s="1233"/>
      <c r="DR62" s="1233"/>
      <c r="DS62" s="1233"/>
      <c r="DT62" s="1233"/>
      <c r="DU62" s="1233"/>
      <c r="DV62" s="1233"/>
      <c r="DW62" s="1233"/>
      <c r="DX62" s="1233"/>
      <c r="DY62" s="1233"/>
      <c r="DZ62" s="1233"/>
      <c r="EA62" s="1233"/>
      <c r="EB62" s="1233"/>
      <c r="EC62" s="1233"/>
      <c r="ED62" s="1233"/>
      <c r="EE62" s="1233"/>
      <c r="EF62" s="1233"/>
      <c r="EG62" s="1233"/>
      <c r="EH62" s="1233"/>
      <c r="EI62" s="1233"/>
      <c r="EJ62" s="1233"/>
      <c r="EK62" s="1233"/>
      <c r="EL62" s="1233"/>
      <c r="EM62" s="1233"/>
      <c r="EN62" s="1233"/>
      <c r="EO62" s="1233"/>
      <c r="EP62" s="1233"/>
      <c r="EQ62" s="1233"/>
      <c r="ER62" s="1233"/>
      <c r="ES62" s="1233"/>
      <c r="ET62" s="1233"/>
      <c r="EU62" s="1233"/>
      <c r="EV62" s="1233"/>
      <c r="EW62" s="1233"/>
      <c r="EX62" s="1233"/>
      <c r="EY62" s="1233"/>
      <c r="EZ62" s="1233"/>
      <c r="FA62" s="1233"/>
      <c r="FB62" s="1233"/>
      <c r="FC62" s="1233"/>
      <c r="FD62" s="1233"/>
      <c r="FE62" s="1233"/>
      <c r="FF62" s="1233"/>
      <c r="FG62" s="1233"/>
      <c r="FH62" s="1233"/>
      <c r="FI62" s="1233"/>
      <c r="FJ62" s="1233"/>
      <c r="FK62" s="1233"/>
      <c r="FL62" s="1233"/>
      <c r="FM62" s="1233"/>
      <c r="FN62" s="1233"/>
      <c r="FO62" s="1233"/>
      <c r="FP62" s="1233"/>
      <c r="FQ62" s="1233"/>
      <c r="FR62" s="1233"/>
      <c r="FS62" s="1233"/>
      <c r="FT62" s="1233"/>
      <c r="FU62" s="1233"/>
      <c r="FV62" s="1233"/>
      <c r="FW62" s="1233"/>
      <c r="FX62" s="1233"/>
      <c r="FY62" s="1233"/>
      <c r="FZ62" s="1233"/>
      <c r="GA62" s="1233"/>
      <c r="GB62" s="1233"/>
      <c r="GC62" s="1233"/>
      <c r="GD62" s="1233"/>
      <c r="GE62" s="1233"/>
      <c r="GF62" s="1233"/>
      <c r="GG62" s="1233"/>
      <c r="GH62" s="1233"/>
      <c r="GI62" s="1233"/>
      <c r="GJ62" s="1233"/>
      <c r="GK62" s="1233"/>
      <c r="GL62" s="1233"/>
      <c r="GM62" s="1233"/>
      <c r="GN62" s="1233"/>
      <c r="GO62" s="1233"/>
      <c r="GP62" s="1233"/>
      <c r="GQ62" s="1233"/>
      <c r="GR62" s="1233"/>
      <c r="GS62" s="1233"/>
      <c r="GT62" s="1233"/>
      <c r="GU62" s="1233"/>
      <c r="GV62" s="1233"/>
      <c r="GW62" s="1233"/>
      <c r="GX62" s="1233"/>
      <c r="GY62" s="1233"/>
      <c r="GZ62" s="1233"/>
      <c r="HA62" s="1233"/>
      <c r="HB62" s="1233"/>
      <c r="HC62" s="1233"/>
      <c r="HD62" s="1233"/>
      <c r="HE62" s="1233"/>
      <c r="HF62" s="1233"/>
      <c r="HG62" s="1233"/>
      <c r="HH62" s="1233"/>
      <c r="HI62" s="1233"/>
      <c r="HJ62" s="1233"/>
      <c r="HK62" s="1233"/>
      <c r="HL62" s="1233"/>
      <c r="HM62" s="1233"/>
      <c r="HN62" s="1233"/>
      <c r="HO62" s="1233"/>
      <c r="HP62" s="1233"/>
      <c r="HQ62" s="1233"/>
      <c r="HR62" s="1233"/>
      <c r="HS62" s="1233"/>
      <c r="HT62" s="1233"/>
      <c r="HU62" s="1233"/>
      <c r="HV62" s="1233"/>
      <c r="HW62" s="1233"/>
      <c r="HX62" s="1233"/>
      <c r="HY62" s="1233"/>
      <c r="HZ62" s="1233"/>
      <c r="IA62" s="1233"/>
      <c r="IB62" s="1233"/>
      <c r="IC62" s="1233"/>
      <c r="ID62" s="1233"/>
      <c r="IE62" s="1233"/>
      <c r="IF62" s="1233"/>
      <c r="IG62" s="1233"/>
      <c r="IH62" s="1233"/>
      <c r="II62" s="1233"/>
      <c r="IJ62" s="1233"/>
      <c r="IK62" s="1233"/>
      <c r="IL62" s="1233"/>
      <c r="IM62" s="1233"/>
      <c r="IN62" s="1233"/>
      <c r="IO62" s="1233"/>
      <c r="IP62" s="1233"/>
      <c r="IQ62" s="1233"/>
      <c r="IR62" s="1233"/>
      <c r="IS62" s="1233"/>
      <c r="IT62" s="1233"/>
      <c r="IU62" s="1233"/>
      <c r="IV62" s="1233"/>
      <c r="IW62" s="1233"/>
    </row>
    <row r="63" customFormat="false" ht="13.5" hidden="false" customHeight="false" outlineLevel="0" collapsed="false">
      <c r="A63" s="1229"/>
    </row>
    <row r="65" customFormat="false" ht="13.5" hidden="false" customHeight="false" outlineLevel="0" collapsed="false">
      <c r="A65" s="372" t="s">
        <v>1563</v>
      </c>
      <c r="B65" s="373"/>
      <c r="C65" s="373"/>
      <c r="D65" s="373"/>
      <c r="E65" s="373"/>
      <c r="F65" s="1239" t="s">
        <v>1564</v>
      </c>
      <c r="G65" s="886" t="n">
        <v>1997</v>
      </c>
      <c r="H65" s="886" t="n">
        <v>1998</v>
      </c>
      <c r="I65" s="886" t="n">
        <v>1999</v>
      </c>
      <c r="J65" s="886" t="n">
        <v>2000</v>
      </c>
      <c r="K65" s="886" t="n">
        <v>2001</v>
      </c>
      <c r="L65" s="886" t="n">
        <v>2002</v>
      </c>
      <c r="M65" s="886" t="n">
        <v>2003</v>
      </c>
      <c r="N65" s="886" t="n">
        <v>2004</v>
      </c>
      <c r="O65" s="886" t="n">
        <v>2005</v>
      </c>
      <c r="P65" s="886" t="n">
        <v>2006</v>
      </c>
      <c r="Q65" s="886" t="n">
        <v>2007</v>
      </c>
      <c r="R65" s="886" t="n">
        <v>2008</v>
      </c>
      <c r="S65" s="886" t="n">
        <v>2009</v>
      </c>
      <c r="T65" s="886" t="n">
        <v>2010</v>
      </c>
      <c r="U65" s="886" t="n">
        <v>2011</v>
      </c>
      <c r="V65" s="886" t="n">
        <v>2012</v>
      </c>
      <c r="W65" s="886" t="n">
        <v>2013</v>
      </c>
      <c r="X65" s="886" t="n">
        <v>2014</v>
      </c>
      <c r="Y65" s="886" t="n">
        <v>2015</v>
      </c>
      <c r="Z65" s="886" t="n">
        <v>2016</v>
      </c>
      <c r="AA65" s="886" t="n">
        <v>2017</v>
      </c>
      <c r="AB65" s="886" t="n">
        <v>2018</v>
      </c>
      <c r="AC65" s="886" t="n">
        <v>2019</v>
      </c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</row>
    <row r="66" customFormat="false" ht="12.75" hidden="false" customHeight="false" outlineLevel="0" collapsed="false">
      <c r="A66" s="330"/>
      <c r="B66" s="0"/>
      <c r="C66" s="0"/>
      <c r="D66" s="0"/>
      <c r="E66" s="0"/>
      <c r="F66" s="124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</row>
    <row r="67" customFormat="false" ht="12.75" hidden="false" customHeight="false" outlineLevel="0" collapsed="false">
      <c r="A67" s="330"/>
      <c r="B67" s="0"/>
      <c r="C67" s="0"/>
      <c r="D67" s="0"/>
      <c r="E67" s="0"/>
      <c r="F67" s="1240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</row>
    <row r="68" customFormat="false" ht="12.75" hidden="false" customHeight="false" outlineLevel="0" collapsed="false">
      <c r="A68" s="1241" t="s">
        <v>1565</v>
      </c>
      <c r="B68" s="1053"/>
      <c r="C68" s="1053"/>
      <c r="D68" s="350"/>
      <c r="E68" s="350"/>
      <c r="F68" s="124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50"/>
      <c r="AG68" s="350"/>
      <c r="AH68" s="350"/>
      <c r="AI68" s="350"/>
      <c r="AJ68" s="350"/>
      <c r="AK68" s="350"/>
      <c r="AL68" s="350"/>
      <c r="AM68" s="350"/>
      <c r="AN68" s="350"/>
      <c r="AO68" s="350"/>
      <c r="AP68" s="350"/>
      <c r="AQ68" s="350"/>
      <c r="AR68" s="350"/>
      <c r="AS68" s="350"/>
      <c r="AT68" s="350"/>
      <c r="AU68" s="350"/>
      <c r="AV68" s="350"/>
      <c r="AW68" s="350"/>
      <c r="AX68" s="350"/>
      <c r="AY68" s="350"/>
      <c r="AZ68" s="350"/>
      <c r="BA68" s="350"/>
    </row>
    <row r="69" customFormat="false" ht="12.75" hidden="false" customHeight="false" outlineLevel="0" collapsed="false">
      <c r="A69" s="1242" t="s">
        <v>1566</v>
      </c>
      <c r="B69" s="1242"/>
      <c r="C69" s="1242"/>
      <c r="D69" s="417"/>
      <c r="E69" s="417"/>
      <c r="F69" s="1243" t="n">
        <f aca="false">AVERAGE(G69:AC69)</f>
        <v>-0.0102837689483848</v>
      </c>
      <c r="G69" s="417" t="n">
        <f aca="false">BS_IS!G62/BS_IS!G18</f>
        <v>0</v>
      </c>
      <c r="H69" s="417" t="n">
        <f aca="false">BS_IS!H62/BS_IS!H18</f>
        <v>0</v>
      </c>
      <c r="I69" s="417" t="n">
        <f aca="false">BS_IS!I62/BS_IS!I18</f>
        <v>-0.0375177360565405</v>
      </c>
      <c r="J69" s="417" t="n">
        <f aca="false">BS_IS!J62/BS_IS!J18</f>
        <v>-0.0115935842975636</v>
      </c>
      <c r="K69" s="417" t="n">
        <f aca="false">BS_IS!K62/BS_IS!K18</f>
        <v>-0.00909079979567404</v>
      </c>
      <c r="L69" s="417" t="n">
        <f aca="false">BS_IS!L62/BS_IS!L18</f>
        <v>-0.00523947793539124</v>
      </c>
      <c r="M69" s="417" t="n">
        <f aca="false">BS_IS!M62/BS_IS!M18</f>
        <v>0.00570146860469677</v>
      </c>
      <c r="N69" s="417" t="n">
        <f aca="false">BS_IS!N62/BS_IS!N18</f>
        <v>0.0431118908450995</v>
      </c>
      <c r="O69" s="417" t="n">
        <f aca="false">BS_IS!O62/BS_IS!O18</f>
        <v>0.0239483497897259</v>
      </c>
      <c r="P69" s="417" t="n">
        <f aca="false">BS_IS!P62/BS_IS!P18</f>
        <v>0.0274950024420288</v>
      </c>
      <c r="Q69" s="417" t="n">
        <f aca="false">BS_IS!Q62/BS_IS!Q18</f>
        <v>0.0327362342672642</v>
      </c>
      <c r="R69" s="417" t="n">
        <f aca="false">BS_IS!R62/BS_IS!R18</f>
        <v>0.0247676227327089</v>
      </c>
      <c r="S69" s="417" t="n">
        <f aca="false">BS_IS!S62/BS_IS!S18</f>
        <v>0.0282941817663102</v>
      </c>
      <c r="T69" s="417" t="n">
        <f aca="false">BS_IS!T62/BS_IS!T18</f>
        <v>0.0360611633960401</v>
      </c>
      <c r="U69" s="417" t="n">
        <f aca="false">BS_IS!U62/BS_IS!U18</f>
        <v>0.0440753044114816</v>
      </c>
      <c r="V69" s="417" t="n">
        <f aca="false">BS_IS!V62/BS_IS!V18</f>
        <v>0.035254912516107</v>
      </c>
      <c r="W69" s="417" t="n">
        <f aca="false">BS_IS!W62/BS_IS!W18</f>
        <v>0.0495140458230063</v>
      </c>
      <c r="X69" s="417" t="n">
        <f aca="false">BS_IS!X62/BS_IS!X18</f>
        <v>0.0185294256574158</v>
      </c>
      <c r="Y69" s="417" t="n">
        <f aca="false">BS_IS!Y62/BS_IS!Y18</f>
        <v>-0.067951874095731</v>
      </c>
      <c r="Z69" s="417" t="n">
        <f aca="false">BS_IS!Z62/BS_IS!Z18</f>
        <v>-0.118812784259662</v>
      </c>
      <c r="AA69" s="417" t="n">
        <f aca="false">BS_IS!AA62/BS_IS!AA18</f>
        <v>-0.153362614345456</v>
      </c>
      <c r="AB69" s="417" t="n">
        <f aca="false">BS_IS!AB62/BS_IS!AB18</f>
        <v>-0.107974642028286</v>
      </c>
      <c r="AC69" s="417" t="n">
        <f aca="false">BS_IS!AC62/BS_IS!AC18</f>
        <v>-0.0944727752504311</v>
      </c>
      <c r="AD69" s="417"/>
      <c r="AE69" s="417"/>
      <c r="AF69" s="417"/>
      <c r="AG69" s="417"/>
      <c r="AH69" s="417"/>
      <c r="AI69" s="417"/>
      <c r="AJ69" s="417"/>
      <c r="AK69" s="417"/>
      <c r="AL69" s="417"/>
      <c r="AM69" s="417"/>
      <c r="AN69" s="417"/>
      <c r="AO69" s="417"/>
      <c r="AP69" s="417"/>
      <c r="AQ69" s="417"/>
      <c r="AR69" s="417"/>
      <c r="AS69" s="417"/>
      <c r="AT69" s="417"/>
      <c r="AU69" s="417"/>
      <c r="AV69" s="417"/>
      <c r="AW69" s="417"/>
      <c r="AX69" s="417"/>
      <c r="AY69" s="417"/>
      <c r="AZ69" s="417"/>
      <c r="BA69" s="417"/>
      <c r="BB69" s="417"/>
      <c r="BC69" s="417"/>
      <c r="BD69" s="417"/>
      <c r="BE69" s="417"/>
      <c r="BF69" s="417"/>
      <c r="BG69" s="417"/>
      <c r="BH69" s="417"/>
      <c r="BI69" s="417"/>
      <c r="BJ69" s="417"/>
      <c r="BK69" s="417"/>
      <c r="BL69" s="417"/>
      <c r="BM69" s="417"/>
      <c r="BN69" s="417"/>
      <c r="BO69" s="417"/>
      <c r="BP69" s="417"/>
      <c r="BQ69" s="417"/>
      <c r="BR69" s="417"/>
      <c r="BS69" s="417"/>
      <c r="BT69" s="417"/>
      <c r="BU69" s="417"/>
      <c r="BV69" s="417"/>
      <c r="BW69" s="417"/>
      <c r="BX69" s="417"/>
      <c r="BY69" s="417"/>
      <c r="BZ69" s="417"/>
      <c r="CA69" s="417"/>
      <c r="CB69" s="417"/>
      <c r="CC69" s="417"/>
      <c r="CD69" s="417"/>
      <c r="CE69" s="417"/>
      <c r="CF69" s="417"/>
      <c r="CG69" s="417"/>
      <c r="CH69" s="417"/>
      <c r="CI69" s="417"/>
      <c r="CJ69" s="417"/>
      <c r="CK69" s="417"/>
      <c r="CL69" s="417"/>
      <c r="CM69" s="417"/>
      <c r="CN69" s="417"/>
      <c r="CO69" s="417"/>
      <c r="CP69" s="417"/>
      <c r="CQ69" s="417"/>
      <c r="CR69" s="417"/>
      <c r="CS69" s="417"/>
      <c r="CT69" s="417"/>
      <c r="CU69" s="417"/>
      <c r="CV69" s="417"/>
      <c r="CW69" s="417"/>
      <c r="CX69" s="417"/>
      <c r="CY69" s="417"/>
      <c r="CZ69" s="417"/>
      <c r="DA69" s="417"/>
      <c r="DB69" s="417"/>
      <c r="DC69" s="417"/>
      <c r="DD69" s="417"/>
      <c r="DE69" s="417"/>
      <c r="DF69" s="417"/>
      <c r="DG69" s="417"/>
      <c r="DH69" s="417"/>
      <c r="DI69" s="417"/>
      <c r="DJ69" s="417"/>
      <c r="DK69" s="417"/>
      <c r="DL69" s="417"/>
      <c r="DM69" s="417"/>
      <c r="DN69" s="417"/>
      <c r="DO69" s="417"/>
      <c r="DP69" s="417"/>
      <c r="DQ69" s="417"/>
      <c r="DR69" s="417"/>
      <c r="DS69" s="417"/>
      <c r="DT69" s="417"/>
      <c r="DU69" s="417"/>
      <c r="DV69" s="417"/>
      <c r="DW69" s="417"/>
      <c r="DX69" s="417"/>
      <c r="DY69" s="417"/>
      <c r="DZ69" s="417"/>
      <c r="EA69" s="417"/>
      <c r="EB69" s="417"/>
      <c r="EC69" s="417"/>
      <c r="ED69" s="417"/>
      <c r="EE69" s="417"/>
      <c r="EF69" s="417"/>
      <c r="EG69" s="417"/>
      <c r="EH69" s="417"/>
      <c r="EI69" s="417"/>
      <c r="EJ69" s="417"/>
      <c r="EK69" s="417"/>
      <c r="EL69" s="417"/>
      <c r="EM69" s="417"/>
      <c r="EN69" s="417"/>
      <c r="EO69" s="417"/>
      <c r="EP69" s="417"/>
      <c r="EQ69" s="417"/>
      <c r="ER69" s="417"/>
      <c r="ES69" s="417"/>
      <c r="ET69" s="417"/>
      <c r="EU69" s="417"/>
      <c r="EV69" s="417"/>
      <c r="EW69" s="417"/>
      <c r="EX69" s="417"/>
      <c r="EY69" s="417"/>
      <c r="EZ69" s="417"/>
      <c r="FA69" s="417"/>
      <c r="FB69" s="417"/>
      <c r="FC69" s="417"/>
      <c r="FD69" s="417"/>
      <c r="FE69" s="417"/>
      <c r="FF69" s="417"/>
      <c r="FG69" s="417"/>
      <c r="FH69" s="417"/>
      <c r="FI69" s="417"/>
      <c r="FJ69" s="417"/>
      <c r="FK69" s="417"/>
      <c r="FL69" s="417"/>
      <c r="FM69" s="417"/>
      <c r="FN69" s="417"/>
      <c r="FO69" s="417"/>
      <c r="FP69" s="417"/>
      <c r="FQ69" s="417"/>
      <c r="FR69" s="417"/>
      <c r="FS69" s="417"/>
      <c r="FT69" s="417"/>
      <c r="FU69" s="417"/>
      <c r="FV69" s="417"/>
      <c r="FW69" s="417"/>
      <c r="FX69" s="417"/>
      <c r="FY69" s="417"/>
      <c r="FZ69" s="417"/>
      <c r="GA69" s="417"/>
      <c r="GB69" s="417"/>
      <c r="GC69" s="417"/>
      <c r="GD69" s="417"/>
      <c r="GE69" s="417"/>
      <c r="GF69" s="417"/>
      <c r="GG69" s="417"/>
      <c r="GH69" s="417"/>
      <c r="GI69" s="417"/>
      <c r="GJ69" s="417"/>
      <c r="GK69" s="417"/>
      <c r="GL69" s="417"/>
      <c r="GM69" s="417"/>
      <c r="GN69" s="417"/>
      <c r="GO69" s="417"/>
      <c r="GP69" s="417"/>
      <c r="GQ69" s="417"/>
      <c r="GR69" s="417"/>
      <c r="GS69" s="417"/>
      <c r="GT69" s="417"/>
      <c r="GU69" s="417"/>
      <c r="GV69" s="417"/>
      <c r="GW69" s="417"/>
      <c r="GX69" s="417"/>
      <c r="GY69" s="417"/>
      <c r="GZ69" s="417"/>
      <c r="HA69" s="417"/>
      <c r="HB69" s="417"/>
      <c r="HC69" s="417"/>
      <c r="HD69" s="417"/>
      <c r="HE69" s="417"/>
      <c r="HF69" s="417"/>
      <c r="HG69" s="417"/>
      <c r="HH69" s="417"/>
      <c r="HI69" s="417"/>
      <c r="HJ69" s="417"/>
      <c r="HK69" s="417"/>
      <c r="HL69" s="417"/>
      <c r="HM69" s="417"/>
      <c r="HN69" s="417"/>
      <c r="HO69" s="417"/>
      <c r="HP69" s="417"/>
      <c r="HQ69" s="417"/>
      <c r="HR69" s="417"/>
      <c r="HS69" s="417"/>
      <c r="HT69" s="417"/>
      <c r="HU69" s="417"/>
      <c r="HV69" s="417"/>
      <c r="HW69" s="417"/>
      <c r="HX69" s="417"/>
      <c r="HY69" s="417"/>
      <c r="HZ69" s="417"/>
      <c r="IA69" s="417"/>
      <c r="IB69" s="417"/>
      <c r="IC69" s="417"/>
      <c r="ID69" s="417"/>
      <c r="IE69" s="417"/>
      <c r="IF69" s="417"/>
      <c r="IG69" s="417"/>
      <c r="IH69" s="417"/>
      <c r="II69" s="417"/>
      <c r="IJ69" s="417"/>
      <c r="IK69" s="417"/>
      <c r="IL69" s="417"/>
      <c r="IM69" s="417"/>
      <c r="IN69" s="417"/>
      <c r="IO69" s="417"/>
      <c r="IP69" s="417"/>
      <c r="IQ69" s="417"/>
      <c r="IR69" s="417"/>
      <c r="IS69" s="417"/>
      <c r="IT69" s="417"/>
      <c r="IU69" s="417"/>
      <c r="IV69" s="417"/>
      <c r="IW69" s="417"/>
    </row>
    <row r="70" customFormat="false" ht="12.75" hidden="false" customHeight="false" outlineLevel="0" collapsed="false">
      <c r="A70" s="1242" t="s">
        <v>1567</v>
      </c>
      <c r="B70" s="1242"/>
      <c r="C70" s="1242"/>
      <c r="D70" s="417"/>
      <c r="E70" s="417"/>
      <c r="F70" s="1243" t="n">
        <f aca="false">AVERAGE(G70:AC70)</f>
        <v>0.0104982644858832</v>
      </c>
      <c r="G70" s="417" t="n">
        <f aca="false">BS_IS!G62/BS_IS!G28</f>
        <v>0</v>
      </c>
      <c r="H70" s="417" t="n">
        <f aca="false">BS_IS!H62/BS_IS!H28</f>
        <v>0</v>
      </c>
      <c r="I70" s="417" t="n">
        <f aca="false">BS_IS!I62/BS_IS!I28</f>
        <v>-0.0696289510490183</v>
      </c>
      <c r="J70" s="417" t="n">
        <f aca="false">BS_IS!J62/BS_IS!J28</f>
        <v>-0.0339575344116568</v>
      </c>
      <c r="K70" s="417" t="n">
        <f aca="false">BS_IS!K62/BS_IS!K28</f>
        <v>-0.032453937877954</v>
      </c>
      <c r="L70" s="417" t="n">
        <f aca="false">BS_IS!L62/BS_IS!L28</f>
        <v>-0.0177994197192379</v>
      </c>
      <c r="M70" s="417" t="n">
        <f aca="false">BS_IS!M62/BS_IS!M28</f>
        <v>0.0185398963465675</v>
      </c>
      <c r="N70" s="417" t="n">
        <f aca="false">BS_IS!N62/BS_IS!N28</f>
        <v>0.138063367605519</v>
      </c>
      <c r="O70" s="417" t="n">
        <f aca="false">BS_IS!O62/BS_IS!O28</f>
        <v>0.073642391529703</v>
      </c>
      <c r="P70" s="417" t="n">
        <f aca="false">BS_IS!P62/BS_IS!P28</f>
        <v>0.0809962762626569</v>
      </c>
      <c r="Q70" s="417" t="n">
        <f aca="false">BS_IS!Q62/BS_IS!Q28</f>
        <v>0.0912791107661428</v>
      </c>
      <c r="R70" s="417" t="n">
        <f aca="false">BS_IS!R62/BS_IS!R28</f>
        <v>0.0640647443934159</v>
      </c>
      <c r="S70" s="417" t="n">
        <f aca="false">BS_IS!S62/BS_IS!S28</f>
        <v>0.0669810640379286</v>
      </c>
      <c r="T70" s="417" t="n">
        <f aca="false">BS_IS!T62/BS_IS!T28</f>
        <v>0.077094937230469</v>
      </c>
      <c r="U70" s="417" t="n">
        <f aca="false">BS_IS!U62/BS_IS!U28</f>
        <v>0.0837625164958565</v>
      </c>
      <c r="V70" s="417" t="n">
        <f aca="false">BS_IS!V62/BS_IS!V28</f>
        <v>0.0593886845355988</v>
      </c>
      <c r="W70" s="417" t="n">
        <f aca="false">BS_IS!W62/BS_IS!W28</f>
        <v>0.0764413142968634</v>
      </c>
      <c r="X70" s="417" t="n">
        <f aca="false">BS_IS!X62/BS_IS!X28</f>
        <v>0.0259770684311787</v>
      </c>
      <c r="Y70" s="417" t="n">
        <f aca="false">BS_IS!Y62/BS_IS!Y28</f>
        <v>-0.0807731451361566</v>
      </c>
      <c r="Z70" s="417" t="n">
        <f aca="false">BS_IS!Z62/BS_IS!Z28</f>
        <v>-0.126232536153401</v>
      </c>
      <c r="AA70" s="417" t="n">
        <f aca="false">BS_IS!AA62/BS_IS!AA28</f>
        <v>-0.141273845828632</v>
      </c>
      <c r="AB70" s="417" t="n">
        <f aca="false">BS_IS!AB62/BS_IS!AB28</f>
        <v>-0.0859953437225843</v>
      </c>
      <c r="AC70" s="417" t="n">
        <f aca="false">BS_IS!AC62/BS_IS!AC28</f>
        <v>-0.0266565748579443</v>
      </c>
      <c r="AD70" s="417"/>
      <c r="AE70" s="417"/>
      <c r="AF70" s="417"/>
      <c r="AG70" s="417"/>
      <c r="AH70" s="417"/>
      <c r="AI70" s="417"/>
      <c r="AJ70" s="417"/>
      <c r="AK70" s="417"/>
      <c r="AL70" s="417"/>
      <c r="AM70" s="417"/>
      <c r="AN70" s="417"/>
      <c r="AO70" s="417"/>
      <c r="AP70" s="417"/>
      <c r="AQ70" s="417"/>
      <c r="AR70" s="417"/>
      <c r="AS70" s="417"/>
      <c r="AT70" s="417"/>
      <c r="AU70" s="417"/>
      <c r="AV70" s="417"/>
      <c r="AW70" s="417"/>
      <c r="AX70" s="417"/>
      <c r="AY70" s="417"/>
      <c r="AZ70" s="417"/>
      <c r="BA70" s="417"/>
      <c r="BB70" s="417"/>
      <c r="BC70" s="417"/>
      <c r="BD70" s="417"/>
      <c r="BE70" s="417"/>
      <c r="BF70" s="417"/>
      <c r="BG70" s="417"/>
      <c r="BH70" s="417"/>
      <c r="BI70" s="417"/>
      <c r="BJ70" s="417"/>
      <c r="BK70" s="417"/>
      <c r="BL70" s="417"/>
      <c r="BM70" s="417"/>
      <c r="BN70" s="417"/>
      <c r="BO70" s="417"/>
      <c r="BP70" s="417"/>
      <c r="BQ70" s="417"/>
      <c r="BR70" s="417"/>
      <c r="BS70" s="417"/>
      <c r="BT70" s="417"/>
      <c r="BU70" s="417"/>
      <c r="BV70" s="417"/>
      <c r="BW70" s="417"/>
      <c r="BX70" s="417"/>
      <c r="BY70" s="417"/>
      <c r="BZ70" s="417"/>
      <c r="CA70" s="417"/>
      <c r="CB70" s="417"/>
      <c r="CC70" s="417"/>
      <c r="CD70" s="417"/>
      <c r="CE70" s="417"/>
      <c r="CF70" s="417"/>
      <c r="CG70" s="417"/>
      <c r="CH70" s="417"/>
      <c r="CI70" s="417"/>
      <c r="CJ70" s="417"/>
      <c r="CK70" s="417"/>
      <c r="CL70" s="417"/>
      <c r="CM70" s="417"/>
      <c r="CN70" s="417"/>
      <c r="CO70" s="417"/>
      <c r="CP70" s="417"/>
      <c r="CQ70" s="417"/>
      <c r="CR70" s="417"/>
      <c r="CS70" s="417"/>
      <c r="CT70" s="417"/>
      <c r="CU70" s="417"/>
      <c r="CV70" s="417"/>
      <c r="CW70" s="417"/>
      <c r="CX70" s="417"/>
      <c r="CY70" s="417"/>
      <c r="CZ70" s="417"/>
      <c r="DA70" s="417"/>
      <c r="DB70" s="417"/>
      <c r="DC70" s="417"/>
      <c r="DD70" s="417"/>
      <c r="DE70" s="417"/>
      <c r="DF70" s="417"/>
      <c r="DG70" s="417"/>
      <c r="DH70" s="417"/>
      <c r="DI70" s="417"/>
      <c r="DJ70" s="417"/>
      <c r="DK70" s="417"/>
      <c r="DL70" s="417"/>
      <c r="DM70" s="417"/>
      <c r="DN70" s="417"/>
      <c r="DO70" s="417"/>
      <c r="DP70" s="417"/>
      <c r="DQ70" s="417"/>
      <c r="DR70" s="417"/>
      <c r="DS70" s="417"/>
      <c r="DT70" s="417"/>
      <c r="DU70" s="417"/>
      <c r="DV70" s="417"/>
      <c r="DW70" s="417"/>
      <c r="DX70" s="417"/>
      <c r="DY70" s="417"/>
      <c r="DZ70" s="417"/>
      <c r="EA70" s="417"/>
      <c r="EB70" s="417"/>
      <c r="EC70" s="417"/>
      <c r="ED70" s="417"/>
      <c r="EE70" s="417"/>
      <c r="EF70" s="417"/>
      <c r="EG70" s="417"/>
      <c r="EH70" s="417"/>
      <c r="EI70" s="417"/>
      <c r="EJ70" s="417"/>
      <c r="EK70" s="417"/>
      <c r="EL70" s="417"/>
      <c r="EM70" s="417"/>
      <c r="EN70" s="417"/>
      <c r="EO70" s="417"/>
      <c r="EP70" s="417"/>
      <c r="EQ70" s="417"/>
      <c r="ER70" s="417"/>
      <c r="ES70" s="417"/>
      <c r="ET70" s="417"/>
      <c r="EU70" s="417"/>
      <c r="EV70" s="417"/>
      <c r="EW70" s="417"/>
      <c r="EX70" s="417"/>
      <c r="EY70" s="417"/>
      <c r="EZ70" s="417"/>
      <c r="FA70" s="417"/>
      <c r="FB70" s="417"/>
      <c r="FC70" s="417"/>
      <c r="FD70" s="417"/>
      <c r="FE70" s="417"/>
      <c r="FF70" s="417"/>
      <c r="FG70" s="417"/>
      <c r="FH70" s="417"/>
      <c r="FI70" s="417"/>
      <c r="FJ70" s="417"/>
      <c r="FK70" s="417"/>
      <c r="FL70" s="417"/>
      <c r="FM70" s="417"/>
      <c r="FN70" s="417"/>
      <c r="FO70" s="417"/>
      <c r="FP70" s="417"/>
      <c r="FQ70" s="417"/>
      <c r="FR70" s="417"/>
      <c r="FS70" s="417"/>
      <c r="FT70" s="417"/>
      <c r="FU70" s="417"/>
      <c r="FV70" s="417"/>
      <c r="FW70" s="417"/>
      <c r="FX70" s="417"/>
      <c r="FY70" s="417"/>
      <c r="FZ70" s="417"/>
      <c r="GA70" s="417"/>
      <c r="GB70" s="417"/>
      <c r="GC70" s="417"/>
      <c r="GD70" s="417"/>
      <c r="GE70" s="417"/>
      <c r="GF70" s="417"/>
      <c r="GG70" s="417"/>
      <c r="GH70" s="417"/>
      <c r="GI70" s="417"/>
      <c r="GJ70" s="417"/>
      <c r="GK70" s="417"/>
      <c r="GL70" s="417"/>
      <c r="GM70" s="417"/>
      <c r="GN70" s="417"/>
      <c r="GO70" s="417"/>
      <c r="GP70" s="417"/>
      <c r="GQ70" s="417"/>
      <c r="GR70" s="417"/>
      <c r="GS70" s="417"/>
      <c r="GT70" s="417"/>
      <c r="GU70" s="417"/>
      <c r="GV70" s="417"/>
      <c r="GW70" s="417"/>
      <c r="GX70" s="417"/>
      <c r="GY70" s="417"/>
      <c r="GZ70" s="417"/>
      <c r="HA70" s="417"/>
      <c r="HB70" s="417"/>
      <c r="HC70" s="417"/>
      <c r="HD70" s="417"/>
      <c r="HE70" s="417"/>
      <c r="HF70" s="417"/>
      <c r="HG70" s="417"/>
      <c r="HH70" s="417"/>
      <c r="HI70" s="417"/>
      <c r="HJ70" s="417"/>
      <c r="HK70" s="417"/>
      <c r="HL70" s="417"/>
      <c r="HM70" s="417"/>
      <c r="HN70" s="417"/>
      <c r="HO70" s="417"/>
      <c r="HP70" s="417"/>
      <c r="HQ70" s="417"/>
      <c r="HR70" s="417"/>
      <c r="HS70" s="417"/>
      <c r="HT70" s="417"/>
      <c r="HU70" s="417"/>
      <c r="HV70" s="417"/>
      <c r="HW70" s="417"/>
      <c r="HX70" s="417"/>
      <c r="HY70" s="417"/>
      <c r="HZ70" s="417"/>
      <c r="IA70" s="417"/>
      <c r="IB70" s="417"/>
      <c r="IC70" s="417"/>
      <c r="ID70" s="417"/>
      <c r="IE70" s="417"/>
      <c r="IF70" s="417"/>
      <c r="IG70" s="417"/>
      <c r="IH70" s="417"/>
      <c r="II70" s="417"/>
      <c r="IJ70" s="417"/>
      <c r="IK70" s="417"/>
      <c r="IL70" s="417"/>
      <c r="IM70" s="417"/>
      <c r="IN70" s="417"/>
      <c r="IO70" s="417"/>
      <c r="IP70" s="417"/>
      <c r="IQ70" s="417"/>
      <c r="IR70" s="417"/>
      <c r="IS70" s="417"/>
      <c r="IT70" s="417"/>
      <c r="IU70" s="417"/>
      <c r="IV70" s="417"/>
      <c r="IW70" s="417"/>
    </row>
    <row r="71" customFormat="false" ht="12.75" hidden="false" customHeight="false" outlineLevel="0" collapsed="false">
      <c r="A71" s="1242"/>
      <c r="B71" s="1242"/>
      <c r="C71" s="1242"/>
      <c r="D71" s="417"/>
      <c r="E71" s="417"/>
      <c r="F71" s="1243"/>
      <c r="G71" s="417"/>
      <c r="H71" s="417"/>
      <c r="I71" s="417"/>
      <c r="J71" s="417"/>
      <c r="K71" s="417"/>
      <c r="L71" s="417"/>
      <c r="M71" s="417"/>
      <c r="N71" s="417"/>
      <c r="O71" s="417"/>
      <c r="P71" s="417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7"/>
      <c r="AD71" s="417"/>
      <c r="AE71" s="417"/>
      <c r="AF71" s="417"/>
      <c r="AG71" s="417"/>
      <c r="AH71" s="417"/>
      <c r="AI71" s="417"/>
      <c r="AJ71" s="417"/>
      <c r="AK71" s="417"/>
      <c r="AL71" s="417"/>
      <c r="AM71" s="417"/>
      <c r="AN71" s="417"/>
      <c r="AO71" s="417"/>
      <c r="AP71" s="417"/>
      <c r="AQ71" s="417"/>
      <c r="AR71" s="417"/>
      <c r="AS71" s="417"/>
      <c r="AT71" s="417"/>
      <c r="AU71" s="417"/>
      <c r="AV71" s="417"/>
      <c r="AW71" s="417"/>
      <c r="AX71" s="417"/>
      <c r="AY71" s="417"/>
      <c r="AZ71" s="417"/>
      <c r="BA71" s="417"/>
      <c r="BB71" s="417"/>
      <c r="BC71" s="417"/>
      <c r="BD71" s="417"/>
      <c r="BE71" s="417"/>
      <c r="BF71" s="417"/>
      <c r="BG71" s="417"/>
      <c r="BH71" s="417"/>
      <c r="BI71" s="417"/>
      <c r="BJ71" s="417"/>
      <c r="BK71" s="417"/>
      <c r="BL71" s="417"/>
      <c r="BM71" s="417"/>
      <c r="BN71" s="417"/>
      <c r="BO71" s="417"/>
      <c r="BP71" s="417"/>
      <c r="BQ71" s="417"/>
      <c r="BR71" s="417"/>
      <c r="BS71" s="417"/>
      <c r="BT71" s="417"/>
      <c r="BU71" s="417"/>
      <c r="BV71" s="417"/>
      <c r="BW71" s="417"/>
      <c r="BX71" s="417"/>
      <c r="BY71" s="417"/>
      <c r="BZ71" s="417"/>
      <c r="CA71" s="417"/>
      <c r="CB71" s="417"/>
      <c r="CC71" s="417"/>
      <c r="CD71" s="417"/>
      <c r="CE71" s="417"/>
      <c r="CF71" s="417"/>
      <c r="CG71" s="417"/>
      <c r="CH71" s="417"/>
      <c r="CI71" s="417"/>
      <c r="CJ71" s="417"/>
      <c r="CK71" s="417"/>
      <c r="CL71" s="417"/>
      <c r="CM71" s="417"/>
      <c r="CN71" s="417"/>
      <c r="CO71" s="417"/>
      <c r="CP71" s="417"/>
      <c r="CQ71" s="417"/>
      <c r="CR71" s="417"/>
      <c r="CS71" s="417"/>
      <c r="CT71" s="417"/>
      <c r="CU71" s="417"/>
      <c r="CV71" s="417"/>
      <c r="CW71" s="417"/>
      <c r="CX71" s="417"/>
      <c r="CY71" s="417"/>
      <c r="CZ71" s="417"/>
      <c r="DA71" s="417"/>
      <c r="DB71" s="417"/>
      <c r="DC71" s="417"/>
      <c r="DD71" s="417"/>
      <c r="DE71" s="417"/>
      <c r="DF71" s="417"/>
      <c r="DG71" s="417"/>
      <c r="DH71" s="417"/>
      <c r="DI71" s="417"/>
      <c r="DJ71" s="417"/>
      <c r="DK71" s="417"/>
      <c r="DL71" s="417"/>
      <c r="DM71" s="417"/>
      <c r="DN71" s="417"/>
      <c r="DO71" s="417"/>
      <c r="DP71" s="417"/>
      <c r="DQ71" s="417"/>
      <c r="DR71" s="417"/>
      <c r="DS71" s="417"/>
      <c r="DT71" s="417"/>
      <c r="DU71" s="417"/>
      <c r="DV71" s="417"/>
      <c r="DW71" s="417"/>
      <c r="DX71" s="417"/>
      <c r="DY71" s="417"/>
      <c r="DZ71" s="417"/>
      <c r="EA71" s="417"/>
      <c r="EB71" s="417"/>
      <c r="EC71" s="417"/>
      <c r="ED71" s="417"/>
      <c r="EE71" s="417"/>
      <c r="EF71" s="417"/>
      <c r="EG71" s="417"/>
      <c r="EH71" s="417"/>
      <c r="EI71" s="417"/>
      <c r="EJ71" s="417"/>
      <c r="EK71" s="417"/>
      <c r="EL71" s="417"/>
      <c r="EM71" s="417"/>
      <c r="EN71" s="417"/>
      <c r="EO71" s="417"/>
      <c r="EP71" s="417"/>
      <c r="EQ71" s="417"/>
      <c r="ER71" s="417"/>
      <c r="ES71" s="417"/>
      <c r="ET71" s="417"/>
      <c r="EU71" s="417"/>
      <c r="EV71" s="417"/>
      <c r="EW71" s="417"/>
      <c r="EX71" s="417"/>
      <c r="EY71" s="417"/>
      <c r="EZ71" s="417"/>
      <c r="FA71" s="417"/>
      <c r="FB71" s="417"/>
      <c r="FC71" s="417"/>
      <c r="FD71" s="417"/>
      <c r="FE71" s="417"/>
      <c r="FF71" s="417"/>
      <c r="FG71" s="417"/>
      <c r="FH71" s="417"/>
      <c r="FI71" s="417"/>
      <c r="FJ71" s="417"/>
      <c r="FK71" s="417"/>
      <c r="FL71" s="417"/>
      <c r="FM71" s="417"/>
      <c r="FN71" s="417"/>
      <c r="FO71" s="417"/>
      <c r="FP71" s="417"/>
      <c r="FQ71" s="417"/>
      <c r="FR71" s="417"/>
      <c r="FS71" s="417"/>
      <c r="FT71" s="417"/>
      <c r="FU71" s="417"/>
      <c r="FV71" s="417"/>
      <c r="FW71" s="417"/>
      <c r="FX71" s="417"/>
      <c r="FY71" s="417"/>
      <c r="FZ71" s="417"/>
      <c r="GA71" s="417"/>
      <c r="GB71" s="417"/>
      <c r="GC71" s="417"/>
      <c r="GD71" s="417"/>
      <c r="GE71" s="417"/>
      <c r="GF71" s="417"/>
      <c r="GG71" s="417"/>
      <c r="GH71" s="417"/>
      <c r="GI71" s="417"/>
      <c r="GJ71" s="417"/>
      <c r="GK71" s="417"/>
      <c r="GL71" s="417"/>
      <c r="GM71" s="417"/>
      <c r="GN71" s="417"/>
      <c r="GO71" s="417"/>
      <c r="GP71" s="417"/>
      <c r="GQ71" s="417"/>
      <c r="GR71" s="417"/>
      <c r="GS71" s="417"/>
      <c r="GT71" s="417"/>
      <c r="GU71" s="417"/>
      <c r="GV71" s="417"/>
      <c r="GW71" s="417"/>
      <c r="GX71" s="417"/>
      <c r="GY71" s="417"/>
      <c r="GZ71" s="417"/>
      <c r="HA71" s="417"/>
      <c r="HB71" s="417"/>
      <c r="HC71" s="417"/>
      <c r="HD71" s="417"/>
      <c r="HE71" s="417"/>
      <c r="HF71" s="417"/>
      <c r="HG71" s="417"/>
      <c r="HH71" s="417"/>
      <c r="HI71" s="417"/>
      <c r="HJ71" s="417"/>
      <c r="HK71" s="417"/>
      <c r="HL71" s="417"/>
      <c r="HM71" s="417"/>
      <c r="HN71" s="417"/>
      <c r="HO71" s="417"/>
      <c r="HP71" s="417"/>
      <c r="HQ71" s="417"/>
      <c r="HR71" s="417"/>
      <c r="HS71" s="417"/>
      <c r="HT71" s="417"/>
      <c r="HU71" s="417"/>
      <c r="HV71" s="417"/>
      <c r="HW71" s="417"/>
      <c r="HX71" s="417"/>
      <c r="HY71" s="417"/>
      <c r="HZ71" s="417"/>
      <c r="IA71" s="417"/>
      <c r="IB71" s="417"/>
      <c r="IC71" s="417"/>
      <c r="ID71" s="417"/>
      <c r="IE71" s="417"/>
      <c r="IF71" s="417"/>
      <c r="IG71" s="417"/>
      <c r="IH71" s="417"/>
      <c r="II71" s="417"/>
      <c r="IJ71" s="417"/>
      <c r="IK71" s="417"/>
      <c r="IL71" s="417"/>
      <c r="IM71" s="417"/>
      <c r="IN71" s="417"/>
      <c r="IO71" s="417"/>
      <c r="IP71" s="417"/>
      <c r="IQ71" s="417"/>
      <c r="IR71" s="417"/>
      <c r="IS71" s="417"/>
      <c r="IT71" s="417"/>
      <c r="IU71" s="417"/>
      <c r="IV71" s="417"/>
      <c r="IW71" s="417"/>
    </row>
    <row r="72" customFormat="false" ht="12.75" hidden="false" customHeight="false" outlineLevel="0" collapsed="false">
      <c r="A72" s="1244" t="s">
        <v>1568</v>
      </c>
      <c r="B72" s="1242"/>
      <c r="C72" s="1242"/>
      <c r="D72" s="417"/>
      <c r="E72" s="417"/>
      <c r="F72" s="1243"/>
      <c r="G72" s="417"/>
      <c r="H72" s="417"/>
      <c r="I72" s="417"/>
      <c r="J72" s="417"/>
      <c r="K72" s="417"/>
      <c r="L72" s="417"/>
      <c r="M72" s="417"/>
      <c r="N72" s="417"/>
      <c r="O72" s="417"/>
      <c r="P72" s="417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417"/>
      <c r="AH72" s="417"/>
      <c r="AI72" s="417"/>
      <c r="AJ72" s="417"/>
      <c r="AK72" s="417"/>
      <c r="AL72" s="417"/>
      <c r="AM72" s="417"/>
      <c r="AN72" s="417"/>
      <c r="AO72" s="417"/>
      <c r="AP72" s="417"/>
      <c r="AQ72" s="417"/>
      <c r="AR72" s="417"/>
      <c r="AS72" s="417"/>
      <c r="AT72" s="417"/>
      <c r="AU72" s="417"/>
      <c r="AV72" s="417"/>
      <c r="AW72" s="417"/>
      <c r="AX72" s="417"/>
      <c r="AY72" s="417"/>
      <c r="AZ72" s="417"/>
      <c r="BA72" s="417"/>
      <c r="BB72" s="417"/>
      <c r="BC72" s="417"/>
      <c r="BD72" s="417"/>
      <c r="BE72" s="417"/>
      <c r="BF72" s="417"/>
      <c r="BG72" s="417"/>
      <c r="BH72" s="417"/>
      <c r="BI72" s="417"/>
      <c r="BJ72" s="417"/>
      <c r="BK72" s="417"/>
      <c r="BL72" s="417"/>
      <c r="BM72" s="417"/>
      <c r="BN72" s="417"/>
      <c r="BO72" s="417"/>
      <c r="BP72" s="417"/>
      <c r="BQ72" s="417"/>
      <c r="BR72" s="417"/>
      <c r="BS72" s="417"/>
      <c r="BT72" s="417"/>
      <c r="BU72" s="417"/>
      <c r="BV72" s="417"/>
      <c r="BW72" s="417"/>
      <c r="BX72" s="417"/>
      <c r="BY72" s="417"/>
      <c r="BZ72" s="417"/>
      <c r="CA72" s="417"/>
      <c r="CB72" s="417"/>
      <c r="CC72" s="417"/>
      <c r="CD72" s="417"/>
      <c r="CE72" s="417"/>
      <c r="CF72" s="417"/>
      <c r="CG72" s="417"/>
      <c r="CH72" s="417"/>
      <c r="CI72" s="417"/>
      <c r="CJ72" s="417"/>
      <c r="CK72" s="417"/>
      <c r="CL72" s="417"/>
      <c r="CM72" s="417"/>
      <c r="CN72" s="417"/>
      <c r="CO72" s="417"/>
      <c r="CP72" s="417"/>
      <c r="CQ72" s="417"/>
      <c r="CR72" s="417"/>
      <c r="CS72" s="417"/>
      <c r="CT72" s="417"/>
      <c r="CU72" s="417"/>
      <c r="CV72" s="417"/>
      <c r="CW72" s="417"/>
      <c r="CX72" s="417"/>
      <c r="CY72" s="417"/>
      <c r="CZ72" s="417"/>
      <c r="DA72" s="417"/>
      <c r="DB72" s="417"/>
      <c r="DC72" s="417"/>
      <c r="DD72" s="417"/>
      <c r="DE72" s="417"/>
      <c r="DF72" s="417"/>
      <c r="DG72" s="417"/>
      <c r="DH72" s="417"/>
      <c r="DI72" s="417"/>
      <c r="DJ72" s="417"/>
      <c r="DK72" s="417"/>
      <c r="DL72" s="417"/>
      <c r="DM72" s="417"/>
      <c r="DN72" s="417"/>
      <c r="DO72" s="417"/>
      <c r="DP72" s="417"/>
      <c r="DQ72" s="417"/>
      <c r="DR72" s="417"/>
      <c r="DS72" s="417"/>
      <c r="DT72" s="417"/>
      <c r="DU72" s="417"/>
      <c r="DV72" s="417"/>
      <c r="DW72" s="417"/>
      <c r="DX72" s="417"/>
      <c r="DY72" s="417"/>
      <c r="DZ72" s="417"/>
      <c r="EA72" s="417"/>
      <c r="EB72" s="417"/>
      <c r="EC72" s="417"/>
      <c r="ED72" s="417"/>
      <c r="EE72" s="417"/>
      <c r="EF72" s="417"/>
      <c r="EG72" s="417"/>
      <c r="EH72" s="417"/>
      <c r="EI72" s="417"/>
      <c r="EJ72" s="417"/>
      <c r="EK72" s="417"/>
      <c r="EL72" s="417"/>
      <c r="EM72" s="417"/>
      <c r="EN72" s="417"/>
      <c r="EO72" s="417"/>
      <c r="EP72" s="417"/>
      <c r="EQ72" s="417"/>
      <c r="ER72" s="417"/>
      <c r="ES72" s="417"/>
      <c r="ET72" s="417"/>
      <c r="EU72" s="417"/>
      <c r="EV72" s="417"/>
      <c r="EW72" s="417"/>
      <c r="EX72" s="417"/>
      <c r="EY72" s="417"/>
      <c r="EZ72" s="417"/>
      <c r="FA72" s="417"/>
      <c r="FB72" s="417"/>
      <c r="FC72" s="417"/>
      <c r="FD72" s="417"/>
      <c r="FE72" s="417"/>
      <c r="FF72" s="417"/>
      <c r="FG72" s="417"/>
      <c r="FH72" s="417"/>
      <c r="FI72" s="417"/>
      <c r="FJ72" s="417"/>
      <c r="FK72" s="417"/>
      <c r="FL72" s="417"/>
      <c r="FM72" s="417"/>
      <c r="FN72" s="417"/>
      <c r="FO72" s="417"/>
      <c r="FP72" s="417"/>
      <c r="FQ72" s="417"/>
      <c r="FR72" s="417"/>
      <c r="FS72" s="417"/>
      <c r="FT72" s="417"/>
      <c r="FU72" s="417"/>
      <c r="FV72" s="417"/>
      <c r="FW72" s="417"/>
      <c r="FX72" s="417"/>
      <c r="FY72" s="417"/>
      <c r="FZ72" s="417"/>
      <c r="GA72" s="417"/>
      <c r="GB72" s="417"/>
      <c r="GC72" s="417"/>
      <c r="GD72" s="417"/>
      <c r="GE72" s="417"/>
      <c r="GF72" s="417"/>
      <c r="GG72" s="417"/>
      <c r="GH72" s="417"/>
      <c r="GI72" s="417"/>
      <c r="GJ72" s="417"/>
      <c r="GK72" s="417"/>
      <c r="GL72" s="417"/>
      <c r="GM72" s="417"/>
      <c r="GN72" s="417"/>
      <c r="GO72" s="417"/>
      <c r="GP72" s="417"/>
      <c r="GQ72" s="417"/>
      <c r="GR72" s="417"/>
      <c r="GS72" s="417"/>
      <c r="GT72" s="417"/>
      <c r="GU72" s="417"/>
      <c r="GV72" s="417"/>
      <c r="GW72" s="417"/>
      <c r="GX72" s="417"/>
      <c r="GY72" s="417"/>
      <c r="GZ72" s="417"/>
      <c r="HA72" s="417"/>
      <c r="HB72" s="417"/>
      <c r="HC72" s="417"/>
      <c r="HD72" s="417"/>
      <c r="HE72" s="417"/>
      <c r="HF72" s="417"/>
      <c r="HG72" s="417"/>
      <c r="HH72" s="417"/>
      <c r="HI72" s="417"/>
      <c r="HJ72" s="417"/>
      <c r="HK72" s="417"/>
      <c r="HL72" s="417"/>
      <c r="HM72" s="417"/>
      <c r="HN72" s="417"/>
      <c r="HO72" s="417"/>
      <c r="HP72" s="417"/>
      <c r="HQ72" s="417"/>
      <c r="HR72" s="417"/>
      <c r="HS72" s="417"/>
      <c r="HT72" s="417"/>
      <c r="HU72" s="417"/>
      <c r="HV72" s="417"/>
      <c r="HW72" s="417"/>
      <c r="HX72" s="417"/>
      <c r="HY72" s="417"/>
      <c r="HZ72" s="417"/>
      <c r="IA72" s="417"/>
      <c r="IB72" s="417"/>
      <c r="IC72" s="417"/>
      <c r="ID72" s="417"/>
      <c r="IE72" s="417"/>
      <c r="IF72" s="417"/>
      <c r="IG72" s="417"/>
      <c r="IH72" s="417"/>
      <c r="II72" s="417"/>
      <c r="IJ72" s="417"/>
      <c r="IK72" s="417"/>
      <c r="IL72" s="417"/>
      <c r="IM72" s="417"/>
      <c r="IN72" s="417"/>
      <c r="IO72" s="417"/>
      <c r="IP72" s="417"/>
      <c r="IQ72" s="417"/>
      <c r="IR72" s="417"/>
      <c r="IS72" s="417"/>
      <c r="IT72" s="417"/>
      <c r="IU72" s="417"/>
      <c r="IV72" s="417"/>
      <c r="IW72" s="417"/>
    </row>
    <row r="73" customFormat="false" ht="12.75" hidden="false" customHeight="false" outlineLevel="0" collapsed="false">
      <c r="A73" s="1242" t="s">
        <v>1569</v>
      </c>
      <c r="B73" s="1242"/>
      <c r="C73" s="1242"/>
      <c r="D73" s="417"/>
      <c r="E73" s="417"/>
      <c r="F73" s="1243" t="n">
        <f aca="false">AVERAGE(I73:AC73)</f>
        <v>0.19291160901753</v>
      </c>
      <c r="G73" s="1245" t="e">
        <f aca="false">(BS_IS!G41+BS_IS!G46+BS_IS!G48)/BS_IS!G39</f>
        <v>#DIV/0!</v>
      </c>
      <c r="H73" s="417" t="e">
        <f aca="false">(BS_IS!H41+BS_IS!H46+BS_IS!H48)/BS_IS!H39</f>
        <v>#DIV/0!</v>
      </c>
      <c r="I73" s="417" t="n">
        <f aca="false">(BS_IS!I41+BS_IS!I46+BS_IS!I48)/BS_IS!I39</f>
        <v>-0.210678803962943</v>
      </c>
      <c r="J73" s="417" t="n">
        <f aca="false">(BS_IS!J41+BS_IS!J46+BS_IS!J48)/BS_IS!J39</f>
        <v>0.258990978112921</v>
      </c>
      <c r="K73" s="417" t="n">
        <f aca="false">(BS_IS!K41+BS_IS!K46+BS_IS!K48)/BS_IS!K39</f>
        <v>0.243726957015375</v>
      </c>
      <c r="L73" s="417" t="n">
        <f aca="false">(BS_IS!L41+BS_IS!L46+BS_IS!L48)/BS_IS!L39</f>
        <v>0.267123814182646</v>
      </c>
      <c r="M73" s="417" t="n">
        <f aca="false">(BS_IS!M41+BS_IS!M46+BS_IS!M48)/BS_IS!M39</f>
        <v>0.284668110634598</v>
      </c>
      <c r="N73" s="417" t="n">
        <f aca="false">(BS_IS!N41+BS_IS!N46+BS_IS!N48)/BS_IS!N39</f>
        <v>0.320647937388173</v>
      </c>
      <c r="O73" s="417" t="n">
        <f aca="false">(BS_IS!O41+BS_IS!O46+BS_IS!O48)/BS_IS!O39</f>
        <v>0.321442557855256</v>
      </c>
      <c r="P73" s="417" t="n">
        <f aca="false">(BS_IS!P41+BS_IS!P46+BS_IS!P48)/BS_IS!P39</f>
        <v>0.317326163743376</v>
      </c>
      <c r="Q73" s="417" t="n">
        <f aca="false">(BS_IS!Q41+BS_IS!Q46+BS_IS!Q48)/BS_IS!Q39</f>
        <v>0.303115076213872</v>
      </c>
      <c r="R73" s="417" t="n">
        <f aca="false">(BS_IS!R41+BS_IS!R46+BS_IS!R48)/BS_IS!R39</f>
        <v>0.282519899443597</v>
      </c>
      <c r="S73" s="417" t="n">
        <f aca="false">(BS_IS!S41+BS_IS!S46+BS_IS!S48)/BS_IS!S39</f>
        <v>0.272854842367616</v>
      </c>
      <c r="T73" s="417" t="n">
        <f aca="false">(BS_IS!T41+BS_IS!T46+BS_IS!T48)/BS_IS!T39</f>
        <v>0.269573799594929</v>
      </c>
      <c r="U73" s="417" t="n">
        <f aca="false">(BS_IS!U41+BS_IS!U46+BS_IS!U48)/BS_IS!U39</f>
        <v>0.259748422158342</v>
      </c>
      <c r="V73" s="417" t="n">
        <f aca="false">(BS_IS!V41+BS_IS!V46+BS_IS!V48)/BS_IS!V39</f>
        <v>0.223001972975003</v>
      </c>
      <c r="W73" s="417" t="n">
        <f aca="false">(BS_IS!W41+BS_IS!W46+BS_IS!W48)/BS_IS!W39</f>
        <v>0.230644977793649</v>
      </c>
      <c r="X73" s="417" t="n">
        <f aca="false">(BS_IS!X41+BS_IS!X46+BS_IS!X48)/BS_IS!X39</f>
        <v>0.165895318030519</v>
      </c>
      <c r="Y73" s="417" t="n">
        <f aca="false">(BS_IS!Y41+BS_IS!Y46+BS_IS!Y48)/BS_IS!Y39</f>
        <v>0.0745766230127822</v>
      </c>
      <c r="Z73" s="417" t="n">
        <f aca="false">(BS_IS!Z41+BS_IS!Z46+BS_IS!Z48)/BS_IS!Z39</f>
        <v>0.0417058079346666</v>
      </c>
      <c r="AA73" s="417" t="n">
        <f aca="false">(BS_IS!AA41+BS_IS!AA46+BS_IS!AA48)/BS_IS!AA39</f>
        <v>0.0316919588761413</v>
      </c>
      <c r="AB73" s="417" t="n">
        <f aca="false">(BS_IS!AB41+BS_IS!AB46+BS_IS!AB48)/BS_IS!AB39</f>
        <v>0.0425483579512707</v>
      </c>
      <c r="AC73" s="417" t="n">
        <f aca="false">(BS_IS!AC41+BS_IS!AC46+BS_IS!AC48)/BS_IS!AC39</f>
        <v>0.0500190180463426</v>
      </c>
      <c r="AD73" s="417"/>
      <c r="AE73" s="417"/>
      <c r="AF73" s="417"/>
      <c r="AG73" s="417"/>
      <c r="AH73" s="417"/>
      <c r="AI73" s="417"/>
      <c r="AJ73" s="417"/>
      <c r="AK73" s="417"/>
      <c r="AL73" s="417"/>
      <c r="AM73" s="417"/>
      <c r="AN73" s="417"/>
      <c r="AO73" s="417"/>
      <c r="AP73" s="417"/>
      <c r="AQ73" s="417"/>
      <c r="AR73" s="417"/>
      <c r="AS73" s="417"/>
      <c r="AT73" s="417"/>
      <c r="AU73" s="417"/>
      <c r="AV73" s="417"/>
      <c r="AW73" s="417"/>
      <c r="AX73" s="417"/>
      <c r="AY73" s="417"/>
      <c r="AZ73" s="417"/>
      <c r="BA73" s="417"/>
      <c r="BB73" s="417"/>
      <c r="BC73" s="417"/>
      <c r="BD73" s="417"/>
      <c r="BE73" s="417"/>
      <c r="BF73" s="417"/>
      <c r="BG73" s="417"/>
      <c r="BH73" s="417"/>
      <c r="BI73" s="417"/>
      <c r="BJ73" s="417"/>
      <c r="BK73" s="417"/>
      <c r="BL73" s="417"/>
      <c r="BM73" s="417"/>
      <c r="BN73" s="417"/>
      <c r="BO73" s="417"/>
      <c r="BP73" s="417"/>
      <c r="BQ73" s="417"/>
      <c r="BR73" s="417"/>
      <c r="BS73" s="417"/>
      <c r="BT73" s="417"/>
      <c r="BU73" s="417"/>
      <c r="BV73" s="417"/>
      <c r="BW73" s="417"/>
      <c r="BX73" s="417"/>
      <c r="BY73" s="417"/>
      <c r="BZ73" s="417"/>
      <c r="CA73" s="417"/>
      <c r="CB73" s="417"/>
      <c r="CC73" s="417"/>
      <c r="CD73" s="417"/>
      <c r="CE73" s="417"/>
      <c r="CF73" s="417"/>
      <c r="CG73" s="417"/>
      <c r="CH73" s="417"/>
      <c r="CI73" s="417"/>
      <c r="CJ73" s="417"/>
      <c r="CK73" s="417"/>
      <c r="CL73" s="417"/>
      <c r="CM73" s="417"/>
      <c r="CN73" s="417"/>
      <c r="CO73" s="417"/>
      <c r="CP73" s="417"/>
      <c r="CQ73" s="417"/>
      <c r="CR73" s="417"/>
      <c r="CS73" s="417"/>
      <c r="CT73" s="417"/>
      <c r="CU73" s="417"/>
      <c r="CV73" s="417"/>
      <c r="CW73" s="417"/>
      <c r="CX73" s="417"/>
      <c r="CY73" s="417"/>
      <c r="CZ73" s="417"/>
      <c r="DA73" s="417"/>
      <c r="DB73" s="417"/>
      <c r="DC73" s="417"/>
      <c r="DD73" s="417"/>
      <c r="DE73" s="417"/>
      <c r="DF73" s="417"/>
      <c r="DG73" s="417"/>
      <c r="DH73" s="417"/>
      <c r="DI73" s="417"/>
      <c r="DJ73" s="417"/>
      <c r="DK73" s="417"/>
      <c r="DL73" s="417"/>
      <c r="DM73" s="417"/>
      <c r="DN73" s="417"/>
      <c r="DO73" s="417"/>
      <c r="DP73" s="417"/>
      <c r="DQ73" s="417"/>
      <c r="DR73" s="417"/>
      <c r="DS73" s="417"/>
      <c r="DT73" s="417"/>
      <c r="DU73" s="417"/>
      <c r="DV73" s="417"/>
      <c r="DW73" s="417"/>
      <c r="DX73" s="417"/>
      <c r="DY73" s="417"/>
      <c r="DZ73" s="417"/>
      <c r="EA73" s="417"/>
      <c r="EB73" s="417"/>
      <c r="EC73" s="417"/>
      <c r="ED73" s="417"/>
      <c r="EE73" s="417"/>
      <c r="EF73" s="417"/>
      <c r="EG73" s="417"/>
      <c r="EH73" s="417"/>
      <c r="EI73" s="417"/>
      <c r="EJ73" s="417"/>
      <c r="EK73" s="417"/>
      <c r="EL73" s="417"/>
      <c r="EM73" s="417"/>
      <c r="EN73" s="417"/>
      <c r="EO73" s="417"/>
      <c r="EP73" s="417"/>
      <c r="EQ73" s="417"/>
      <c r="ER73" s="417"/>
      <c r="ES73" s="417"/>
      <c r="ET73" s="417"/>
      <c r="EU73" s="417"/>
      <c r="EV73" s="417"/>
      <c r="EW73" s="417"/>
      <c r="EX73" s="417"/>
      <c r="EY73" s="417"/>
      <c r="EZ73" s="417"/>
      <c r="FA73" s="417"/>
      <c r="FB73" s="417"/>
      <c r="FC73" s="417"/>
      <c r="FD73" s="417"/>
      <c r="FE73" s="417"/>
      <c r="FF73" s="417"/>
      <c r="FG73" s="417"/>
      <c r="FH73" s="417"/>
      <c r="FI73" s="417"/>
      <c r="FJ73" s="417"/>
      <c r="FK73" s="417"/>
      <c r="FL73" s="417"/>
      <c r="FM73" s="417"/>
      <c r="FN73" s="417"/>
      <c r="FO73" s="417"/>
      <c r="FP73" s="417"/>
      <c r="FQ73" s="417"/>
      <c r="FR73" s="417"/>
      <c r="FS73" s="417"/>
      <c r="FT73" s="417"/>
      <c r="FU73" s="417"/>
      <c r="FV73" s="417"/>
      <c r="FW73" s="417"/>
      <c r="FX73" s="417"/>
      <c r="FY73" s="417"/>
      <c r="FZ73" s="417"/>
      <c r="GA73" s="417"/>
      <c r="GB73" s="417"/>
      <c r="GC73" s="417"/>
      <c r="GD73" s="417"/>
      <c r="GE73" s="417"/>
      <c r="GF73" s="417"/>
      <c r="GG73" s="417"/>
      <c r="GH73" s="417"/>
      <c r="GI73" s="417"/>
      <c r="GJ73" s="417"/>
      <c r="GK73" s="417"/>
      <c r="GL73" s="417"/>
      <c r="GM73" s="417"/>
      <c r="GN73" s="417"/>
      <c r="GO73" s="417"/>
      <c r="GP73" s="417"/>
      <c r="GQ73" s="417"/>
      <c r="GR73" s="417"/>
      <c r="GS73" s="417"/>
      <c r="GT73" s="417"/>
      <c r="GU73" s="417"/>
      <c r="GV73" s="417"/>
      <c r="GW73" s="417"/>
      <c r="GX73" s="417"/>
      <c r="GY73" s="417"/>
      <c r="GZ73" s="417"/>
      <c r="HA73" s="417"/>
      <c r="HB73" s="417"/>
      <c r="HC73" s="417"/>
      <c r="HD73" s="417"/>
      <c r="HE73" s="417"/>
      <c r="HF73" s="417"/>
      <c r="HG73" s="417"/>
      <c r="HH73" s="417"/>
      <c r="HI73" s="417"/>
      <c r="HJ73" s="417"/>
      <c r="HK73" s="417"/>
      <c r="HL73" s="417"/>
      <c r="HM73" s="417"/>
      <c r="HN73" s="417"/>
      <c r="HO73" s="417"/>
      <c r="HP73" s="417"/>
      <c r="HQ73" s="417"/>
      <c r="HR73" s="417"/>
      <c r="HS73" s="417"/>
      <c r="HT73" s="417"/>
      <c r="HU73" s="417"/>
      <c r="HV73" s="417"/>
      <c r="HW73" s="417"/>
      <c r="HX73" s="417"/>
      <c r="HY73" s="417"/>
      <c r="HZ73" s="417"/>
      <c r="IA73" s="417"/>
      <c r="IB73" s="417"/>
      <c r="IC73" s="417"/>
      <c r="ID73" s="417"/>
      <c r="IE73" s="417"/>
      <c r="IF73" s="417"/>
      <c r="IG73" s="417"/>
      <c r="IH73" s="417"/>
      <c r="II73" s="417"/>
      <c r="IJ73" s="417"/>
      <c r="IK73" s="417"/>
      <c r="IL73" s="417"/>
      <c r="IM73" s="417"/>
      <c r="IN73" s="417"/>
      <c r="IO73" s="417"/>
      <c r="IP73" s="417"/>
      <c r="IQ73" s="417"/>
      <c r="IR73" s="417"/>
      <c r="IS73" s="417"/>
      <c r="IT73" s="417"/>
      <c r="IU73" s="417"/>
      <c r="IV73" s="417"/>
      <c r="IW73" s="417"/>
    </row>
    <row r="74" customFormat="false" ht="12.75" hidden="false" customHeight="false" outlineLevel="0" collapsed="false">
      <c r="A74" s="1242" t="s">
        <v>1570</v>
      </c>
      <c r="B74" s="1242"/>
      <c r="C74" s="1242"/>
      <c r="D74" s="417"/>
      <c r="E74" s="417"/>
      <c r="F74" s="1243" t="n">
        <f aca="false">AVERAGE(I74:AC74)</f>
        <v>-0.0389210806478624</v>
      </c>
      <c r="G74" s="417" t="e">
        <f aca="false">BS_IS!G62/BS_IS!G39</f>
        <v>#DIV/0!</v>
      </c>
      <c r="H74" s="417" t="e">
        <f aca="false">BS_IS!H62/BS_IS!H39</f>
        <v>#DIV/0!</v>
      </c>
      <c r="I74" s="417" t="n">
        <f aca="false">BS_IS!I62/BS_IS!I39</f>
        <v>-0.722254206912119</v>
      </c>
      <c r="J74" s="417" t="n">
        <f aca="false">BS_IS!J62/BS_IS!J39</f>
        <v>-0.212870365492503</v>
      </c>
      <c r="K74" s="417" t="n">
        <f aca="false">BS_IS!K62/BS_IS!K39</f>
        <v>-0.0295331442572858</v>
      </c>
      <c r="L74" s="417" t="n">
        <f aca="false">BS_IS!L62/BS_IS!L39</f>
        <v>-0.0113738739344382</v>
      </c>
      <c r="M74" s="417" t="n">
        <f aca="false">BS_IS!M62/BS_IS!M39</f>
        <v>0.0113154893652371</v>
      </c>
      <c r="N74" s="417" t="n">
        <f aca="false">BS_IS!N62/BS_IS!N39</f>
        <v>0.0811425337225555</v>
      </c>
      <c r="O74" s="417" t="n">
        <f aca="false">BS_IS!O62/BS_IS!O39</f>
        <v>0.0422808243037146</v>
      </c>
      <c r="P74" s="417" t="n">
        <f aca="false">BS_IS!P62/BS_IS!P39</f>
        <v>0.0455831237330475</v>
      </c>
      <c r="Q74" s="417" t="n">
        <f aca="false">BS_IS!Q62/BS_IS!Q39</f>
        <v>0.0514162253949239</v>
      </c>
      <c r="R74" s="417" t="n">
        <f aca="false">BS_IS!R62/BS_IS!R39</f>
        <v>0.03644009955853</v>
      </c>
      <c r="S74" s="417" t="n">
        <f aca="false">BS_IS!S62/BS_IS!S39</f>
        <v>0.0377801343651312</v>
      </c>
      <c r="T74" s="417" t="n">
        <f aca="false">BS_IS!T62/BS_IS!T39</f>
        <v>0.0425189947192565</v>
      </c>
      <c r="U74" s="417" t="n">
        <f aca="false">BS_IS!U62/BS_IS!U39</f>
        <v>0.0458068913099622</v>
      </c>
      <c r="V74" s="417" t="n">
        <f aca="false">BS_IS!V62/BS_IS!V39</f>
        <v>0.033401880284289</v>
      </c>
      <c r="W74" s="417" t="n">
        <f aca="false">BS_IS!W62/BS_IS!W39</f>
        <v>0.0414209054722761</v>
      </c>
      <c r="X74" s="417" t="n">
        <f aca="false">BS_IS!X62/BS_IS!X39</f>
        <v>0.0149461838457071</v>
      </c>
      <c r="Y74" s="417" t="n">
        <f aca="false">BS_IS!Y62/BS_IS!Y39</f>
        <v>-0.0507884910290829</v>
      </c>
      <c r="Z74" s="417" t="n">
        <f aca="false">BS_IS!Z62/BS_IS!Z39</f>
        <v>-0.0802747065193613</v>
      </c>
      <c r="AA74" s="417" t="n">
        <f aca="false">BS_IS!AA62/BS_IS!AA39</f>
        <v>-0.0885857549018651</v>
      </c>
      <c r="AB74" s="417" t="n">
        <f aca="false">BS_IS!AB62/BS_IS!AB39</f>
        <v>-0.0545461129751826</v>
      </c>
      <c r="AC74" s="417" t="n">
        <f aca="false">BS_IS!AC62/BS_IS!AC39</f>
        <v>-0.051169323657903</v>
      </c>
      <c r="AD74" s="417"/>
      <c r="AE74" s="417"/>
      <c r="AF74" s="417"/>
      <c r="AG74" s="417"/>
      <c r="AH74" s="417"/>
      <c r="AI74" s="417"/>
      <c r="AJ74" s="417"/>
      <c r="AK74" s="417"/>
      <c r="AL74" s="417"/>
      <c r="AM74" s="417"/>
      <c r="AN74" s="417"/>
      <c r="AO74" s="417"/>
      <c r="AP74" s="417"/>
      <c r="AQ74" s="417"/>
      <c r="AR74" s="417"/>
      <c r="AS74" s="417"/>
      <c r="AT74" s="417"/>
      <c r="AU74" s="417"/>
      <c r="AV74" s="417"/>
      <c r="AW74" s="417"/>
      <c r="AX74" s="417"/>
      <c r="AY74" s="417"/>
      <c r="AZ74" s="417"/>
      <c r="BA74" s="417"/>
      <c r="BB74" s="417"/>
      <c r="BC74" s="417"/>
      <c r="BD74" s="417"/>
      <c r="BE74" s="417"/>
      <c r="BF74" s="417"/>
      <c r="BG74" s="417"/>
      <c r="BH74" s="417"/>
      <c r="BI74" s="417"/>
      <c r="BJ74" s="417"/>
      <c r="BK74" s="417"/>
      <c r="BL74" s="417"/>
      <c r="BM74" s="417"/>
      <c r="BN74" s="417"/>
      <c r="BO74" s="417"/>
      <c r="BP74" s="417"/>
      <c r="BQ74" s="417"/>
      <c r="BR74" s="417"/>
      <c r="BS74" s="417"/>
      <c r="BT74" s="417"/>
      <c r="BU74" s="417"/>
      <c r="BV74" s="417"/>
      <c r="BW74" s="417"/>
      <c r="BX74" s="417"/>
      <c r="BY74" s="417"/>
      <c r="BZ74" s="417"/>
      <c r="CA74" s="417"/>
      <c r="CB74" s="417"/>
      <c r="CC74" s="417"/>
      <c r="CD74" s="417"/>
      <c r="CE74" s="417"/>
      <c r="CF74" s="417"/>
      <c r="CG74" s="417"/>
      <c r="CH74" s="417"/>
      <c r="CI74" s="417"/>
      <c r="CJ74" s="417"/>
      <c r="CK74" s="417"/>
      <c r="CL74" s="417"/>
      <c r="CM74" s="417"/>
      <c r="CN74" s="417"/>
      <c r="CO74" s="417"/>
      <c r="CP74" s="417"/>
      <c r="CQ74" s="417"/>
      <c r="CR74" s="417"/>
      <c r="CS74" s="417"/>
      <c r="CT74" s="417"/>
      <c r="CU74" s="417"/>
      <c r="CV74" s="417"/>
      <c r="CW74" s="417"/>
      <c r="CX74" s="417"/>
      <c r="CY74" s="417"/>
      <c r="CZ74" s="417"/>
      <c r="DA74" s="417"/>
      <c r="DB74" s="417"/>
      <c r="DC74" s="417"/>
      <c r="DD74" s="417"/>
      <c r="DE74" s="417"/>
      <c r="DF74" s="417"/>
      <c r="DG74" s="417"/>
      <c r="DH74" s="417"/>
      <c r="DI74" s="417"/>
      <c r="DJ74" s="417"/>
      <c r="DK74" s="417"/>
      <c r="DL74" s="417"/>
      <c r="DM74" s="417"/>
      <c r="DN74" s="417"/>
      <c r="DO74" s="417"/>
      <c r="DP74" s="417"/>
      <c r="DQ74" s="417"/>
      <c r="DR74" s="417"/>
      <c r="DS74" s="417"/>
      <c r="DT74" s="417"/>
      <c r="DU74" s="417"/>
      <c r="DV74" s="417"/>
      <c r="DW74" s="417"/>
      <c r="DX74" s="417"/>
      <c r="DY74" s="417"/>
      <c r="DZ74" s="417"/>
      <c r="EA74" s="417"/>
      <c r="EB74" s="417"/>
      <c r="EC74" s="417"/>
      <c r="ED74" s="417"/>
      <c r="EE74" s="417"/>
      <c r="EF74" s="417"/>
      <c r="EG74" s="417"/>
      <c r="EH74" s="417"/>
      <c r="EI74" s="417"/>
      <c r="EJ74" s="417"/>
      <c r="EK74" s="417"/>
      <c r="EL74" s="417"/>
      <c r="EM74" s="417"/>
      <c r="EN74" s="417"/>
      <c r="EO74" s="417"/>
      <c r="EP74" s="417"/>
      <c r="EQ74" s="417"/>
      <c r="ER74" s="417"/>
      <c r="ES74" s="417"/>
      <c r="ET74" s="417"/>
      <c r="EU74" s="417"/>
      <c r="EV74" s="417"/>
      <c r="EW74" s="417"/>
      <c r="EX74" s="417"/>
      <c r="EY74" s="417"/>
      <c r="EZ74" s="417"/>
      <c r="FA74" s="417"/>
      <c r="FB74" s="417"/>
      <c r="FC74" s="417"/>
      <c r="FD74" s="417"/>
      <c r="FE74" s="417"/>
      <c r="FF74" s="417"/>
      <c r="FG74" s="417"/>
      <c r="FH74" s="417"/>
      <c r="FI74" s="417"/>
      <c r="FJ74" s="417"/>
      <c r="FK74" s="417"/>
      <c r="FL74" s="417"/>
      <c r="FM74" s="417"/>
      <c r="FN74" s="417"/>
      <c r="FO74" s="417"/>
      <c r="FP74" s="417"/>
      <c r="FQ74" s="417"/>
      <c r="FR74" s="417"/>
      <c r="FS74" s="417"/>
      <c r="FT74" s="417"/>
      <c r="FU74" s="417"/>
      <c r="FV74" s="417"/>
      <c r="FW74" s="417"/>
      <c r="FX74" s="417"/>
      <c r="FY74" s="417"/>
      <c r="FZ74" s="417"/>
      <c r="GA74" s="417"/>
      <c r="GB74" s="417"/>
      <c r="GC74" s="417"/>
      <c r="GD74" s="417"/>
      <c r="GE74" s="417"/>
      <c r="GF74" s="417"/>
      <c r="GG74" s="417"/>
      <c r="GH74" s="417"/>
      <c r="GI74" s="417"/>
      <c r="GJ74" s="417"/>
      <c r="GK74" s="417"/>
      <c r="GL74" s="417"/>
      <c r="GM74" s="417"/>
      <c r="GN74" s="417"/>
      <c r="GO74" s="417"/>
      <c r="GP74" s="417"/>
      <c r="GQ74" s="417"/>
      <c r="GR74" s="417"/>
      <c r="GS74" s="417"/>
      <c r="GT74" s="417"/>
      <c r="GU74" s="417"/>
      <c r="GV74" s="417"/>
      <c r="GW74" s="417"/>
      <c r="GX74" s="417"/>
      <c r="GY74" s="417"/>
      <c r="GZ74" s="417"/>
      <c r="HA74" s="417"/>
      <c r="HB74" s="417"/>
      <c r="HC74" s="417"/>
      <c r="HD74" s="417"/>
      <c r="HE74" s="417"/>
      <c r="HF74" s="417"/>
      <c r="HG74" s="417"/>
      <c r="HH74" s="417"/>
      <c r="HI74" s="417"/>
      <c r="HJ74" s="417"/>
      <c r="HK74" s="417"/>
      <c r="HL74" s="417"/>
      <c r="HM74" s="417"/>
      <c r="HN74" s="417"/>
      <c r="HO74" s="417"/>
      <c r="HP74" s="417"/>
      <c r="HQ74" s="417"/>
      <c r="HR74" s="417"/>
      <c r="HS74" s="417"/>
      <c r="HT74" s="417"/>
      <c r="HU74" s="417"/>
      <c r="HV74" s="417"/>
      <c r="HW74" s="417"/>
      <c r="HX74" s="417"/>
      <c r="HY74" s="417"/>
      <c r="HZ74" s="417"/>
      <c r="IA74" s="417"/>
      <c r="IB74" s="417"/>
      <c r="IC74" s="417"/>
      <c r="ID74" s="417"/>
      <c r="IE74" s="417"/>
      <c r="IF74" s="417"/>
      <c r="IG74" s="417"/>
      <c r="IH74" s="417"/>
      <c r="II74" s="417"/>
      <c r="IJ74" s="417"/>
      <c r="IK74" s="417"/>
      <c r="IL74" s="417"/>
      <c r="IM74" s="417"/>
      <c r="IN74" s="417"/>
      <c r="IO74" s="417"/>
      <c r="IP74" s="417"/>
      <c r="IQ74" s="417"/>
      <c r="IR74" s="417"/>
      <c r="IS74" s="417"/>
      <c r="IT74" s="417"/>
      <c r="IU74" s="417"/>
      <c r="IV74" s="417"/>
      <c r="IW74" s="417"/>
    </row>
    <row r="75" customFormat="false" ht="12.75" hidden="false" customHeight="false" outlineLevel="0" collapsed="false">
      <c r="A75" s="924" t="s">
        <v>1571</v>
      </c>
      <c r="B75" s="924"/>
      <c r="C75" s="924"/>
      <c r="D75" s="383"/>
      <c r="E75" s="383"/>
      <c r="F75" s="1246" t="n">
        <f aca="false">AVERAGE(I75:AC75)</f>
        <v>2.77096458175365</v>
      </c>
      <c r="G75" s="383" t="e">
        <f aca="false">BS_IS!G73/BS_IS!G62</f>
        <v>#DIV/0!</v>
      </c>
      <c r="H75" s="383" t="e">
        <f aca="false">BS_IS!H73/BS_IS!H62</f>
        <v>#DIV/0!</v>
      </c>
      <c r="I75" s="383" t="n">
        <f aca="false">BS_IS!I73/BS_IS!I62</f>
        <v>0.26994288245775</v>
      </c>
      <c r="J75" s="383" t="n">
        <f aca="false">BS_IS!J73/BS_IS!J62</f>
        <v>-1.19219829591103</v>
      </c>
      <c r="K75" s="383" t="n">
        <f aca="false">BS_IS!K73/BS_IS!K62</f>
        <v>-9.84522230958227</v>
      </c>
      <c r="L75" s="383" t="n">
        <f aca="false">BS_IS!L73/BS_IS!L62</f>
        <v>-25.9233854321598</v>
      </c>
      <c r="M75" s="383" t="n">
        <f aca="false">BS_IS!M73/BS_IS!M62</f>
        <v>27.2964604022059</v>
      </c>
      <c r="N75" s="383" t="n">
        <f aca="false">BS_IS!N73/BS_IS!N62</f>
        <v>3.91487931814984</v>
      </c>
      <c r="O75" s="383" t="n">
        <f aca="false">BS_IS!O73/BS_IS!O62</f>
        <v>7.43686114485557</v>
      </c>
      <c r="P75" s="383" t="n">
        <f aca="false">BS_IS!P73/BS_IS!P62</f>
        <v>6.831572500683</v>
      </c>
      <c r="Q75" s="383" t="n">
        <f aca="false">BS_IS!Q73/BS_IS!Q62</f>
        <v>5.60881109479866</v>
      </c>
      <c r="R75" s="383" t="n">
        <f aca="false">BS_IS!R73/BS_IS!R62</f>
        <v>7.3423757965751</v>
      </c>
      <c r="S75" s="383" t="n">
        <f aca="false">BS_IS!S73/BS_IS!S62</f>
        <v>7.02408087998242</v>
      </c>
      <c r="T75" s="383" t="n">
        <f aca="false">BS_IS!T73/BS_IS!T62</f>
        <v>6.12519054455022</v>
      </c>
      <c r="U75" s="383" t="n">
        <f aca="false">BS_IS!U73/BS_IS!U62</f>
        <v>4.98548765165896</v>
      </c>
      <c r="V75" s="383" t="n">
        <f aca="false">BS_IS!V73/BS_IS!V62</f>
        <v>5.87184024012452</v>
      </c>
      <c r="W75" s="383" t="n">
        <f aca="false">BS_IS!W73/BS_IS!W62</f>
        <v>5.52344156107876</v>
      </c>
      <c r="X75" s="383" t="n">
        <f aca="false">BS_IS!X73/BS_IS!X62</f>
        <v>9.91706312945385</v>
      </c>
      <c r="Y75" s="383" t="n">
        <f aca="false">BS_IS!Y73/BS_IS!Y62</f>
        <v>-1.36494340601964</v>
      </c>
      <c r="Z75" s="383" t="n">
        <f aca="false">BS_IS!Z73/BS_IS!Z62</f>
        <v>-0.452287165230346</v>
      </c>
      <c r="AA75" s="383" t="n">
        <f aca="false">BS_IS!AA73/BS_IS!AA62</f>
        <v>-0.282039952901855</v>
      </c>
      <c r="AB75" s="383" t="n">
        <f aca="false">BS_IS!AB73/BS_IS!AB62</f>
        <v>-0.626273118685861</v>
      </c>
      <c r="AC75" s="383" t="n">
        <f aca="false">BS_IS!AC73/BS_IS!AC62</f>
        <v>-0.271401249257175</v>
      </c>
      <c r="AD75" s="383"/>
      <c r="AE75" s="383"/>
      <c r="AF75" s="383"/>
      <c r="AG75" s="383"/>
      <c r="AH75" s="383"/>
      <c r="AI75" s="383"/>
      <c r="AJ75" s="383"/>
      <c r="AK75" s="383"/>
      <c r="AL75" s="383"/>
      <c r="AM75" s="383"/>
      <c r="AN75" s="383"/>
      <c r="AO75" s="383"/>
      <c r="AP75" s="383"/>
      <c r="AQ75" s="383"/>
      <c r="AR75" s="383"/>
      <c r="AS75" s="383"/>
      <c r="AT75" s="383"/>
      <c r="AU75" s="383"/>
      <c r="AV75" s="383"/>
      <c r="AW75" s="383"/>
      <c r="AX75" s="383"/>
      <c r="AY75" s="383"/>
      <c r="AZ75" s="383"/>
      <c r="BA75" s="383"/>
      <c r="BB75" s="383"/>
      <c r="BC75" s="383"/>
      <c r="BD75" s="383"/>
      <c r="BE75" s="383"/>
      <c r="BF75" s="383"/>
      <c r="BG75" s="383"/>
      <c r="BH75" s="383"/>
      <c r="BI75" s="383"/>
      <c r="BJ75" s="383"/>
      <c r="BK75" s="383"/>
      <c r="BL75" s="383"/>
      <c r="BM75" s="383"/>
      <c r="BN75" s="383"/>
      <c r="BO75" s="383"/>
      <c r="BP75" s="383"/>
      <c r="BQ75" s="383"/>
      <c r="BR75" s="383"/>
      <c r="BS75" s="383"/>
      <c r="BT75" s="383"/>
      <c r="BU75" s="383"/>
      <c r="BV75" s="383"/>
      <c r="BW75" s="383"/>
      <c r="BX75" s="383"/>
      <c r="BY75" s="383"/>
      <c r="BZ75" s="383"/>
      <c r="CA75" s="383"/>
      <c r="CB75" s="383"/>
      <c r="CC75" s="383"/>
      <c r="CD75" s="383"/>
      <c r="CE75" s="383"/>
      <c r="CF75" s="383"/>
      <c r="CG75" s="383"/>
      <c r="CH75" s="383"/>
      <c r="CI75" s="383"/>
      <c r="CJ75" s="383"/>
      <c r="CK75" s="383"/>
      <c r="CL75" s="383"/>
      <c r="CM75" s="383"/>
      <c r="CN75" s="383"/>
      <c r="CO75" s="383"/>
      <c r="CP75" s="383"/>
      <c r="CQ75" s="383"/>
      <c r="CR75" s="383"/>
      <c r="CS75" s="383"/>
      <c r="CT75" s="383"/>
      <c r="CU75" s="383"/>
      <c r="CV75" s="383"/>
      <c r="CW75" s="383"/>
      <c r="CX75" s="383"/>
      <c r="CY75" s="383"/>
      <c r="CZ75" s="383"/>
      <c r="DA75" s="383"/>
      <c r="DB75" s="383"/>
      <c r="DC75" s="383"/>
      <c r="DD75" s="383"/>
      <c r="DE75" s="383"/>
      <c r="DF75" s="383"/>
      <c r="DG75" s="383"/>
      <c r="DH75" s="383"/>
      <c r="DI75" s="383"/>
      <c r="DJ75" s="383"/>
      <c r="DK75" s="383"/>
      <c r="DL75" s="383"/>
      <c r="DM75" s="383"/>
      <c r="DN75" s="383"/>
      <c r="DO75" s="383"/>
      <c r="DP75" s="383"/>
      <c r="DQ75" s="383"/>
      <c r="DR75" s="383"/>
      <c r="DS75" s="383"/>
      <c r="DT75" s="383"/>
      <c r="DU75" s="383"/>
      <c r="DV75" s="383"/>
      <c r="DW75" s="383"/>
      <c r="DX75" s="383"/>
      <c r="DY75" s="383"/>
      <c r="DZ75" s="383"/>
      <c r="EA75" s="383"/>
      <c r="EB75" s="383"/>
      <c r="EC75" s="383"/>
      <c r="ED75" s="383"/>
      <c r="EE75" s="383"/>
      <c r="EF75" s="383"/>
      <c r="EG75" s="383"/>
      <c r="EH75" s="383"/>
      <c r="EI75" s="383"/>
      <c r="EJ75" s="383"/>
      <c r="EK75" s="383"/>
      <c r="EL75" s="383"/>
      <c r="EM75" s="383"/>
      <c r="EN75" s="383"/>
      <c r="EO75" s="383"/>
      <c r="EP75" s="383"/>
      <c r="EQ75" s="383"/>
      <c r="ER75" s="383"/>
      <c r="ES75" s="383"/>
      <c r="ET75" s="383"/>
      <c r="EU75" s="383"/>
      <c r="EV75" s="383"/>
      <c r="EW75" s="383"/>
      <c r="EX75" s="383"/>
      <c r="EY75" s="383"/>
      <c r="EZ75" s="383"/>
      <c r="FA75" s="383"/>
      <c r="FB75" s="383"/>
      <c r="FC75" s="383"/>
      <c r="FD75" s="383"/>
      <c r="FE75" s="383"/>
      <c r="FF75" s="383"/>
      <c r="FG75" s="383"/>
      <c r="FH75" s="383"/>
      <c r="FI75" s="383"/>
      <c r="FJ75" s="383"/>
      <c r="FK75" s="383"/>
      <c r="FL75" s="383"/>
      <c r="FM75" s="383"/>
      <c r="FN75" s="383"/>
      <c r="FO75" s="383"/>
      <c r="FP75" s="383"/>
      <c r="FQ75" s="383"/>
      <c r="FR75" s="383"/>
      <c r="FS75" s="383"/>
      <c r="FT75" s="383"/>
      <c r="FU75" s="383"/>
      <c r="FV75" s="383"/>
      <c r="FW75" s="383"/>
      <c r="FX75" s="383"/>
      <c r="FY75" s="383"/>
      <c r="FZ75" s="383"/>
      <c r="GA75" s="383"/>
      <c r="GB75" s="383"/>
      <c r="GC75" s="383"/>
      <c r="GD75" s="383"/>
      <c r="GE75" s="383"/>
      <c r="GF75" s="383"/>
      <c r="GG75" s="383"/>
      <c r="GH75" s="383"/>
      <c r="GI75" s="383"/>
      <c r="GJ75" s="383"/>
      <c r="GK75" s="383"/>
      <c r="GL75" s="383"/>
      <c r="GM75" s="383"/>
      <c r="GN75" s="383"/>
      <c r="GO75" s="383"/>
      <c r="GP75" s="383"/>
      <c r="GQ75" s="383"/>
      <c r="GR75" s="383"/>
      <c r="GS75" s="383"/>
      <c r="GT75" s="383"/>
      <c r="GU75" s="383"/>
      <c r="GV75" s="383"/>
      <c r="GW75" s="383"/>
      <c r="GX75" s="383"/>
      <c r="GY75" s="383"/>
      <c r="GZ75" s="383"/>
      <c r="HA75" s="383"/>
      <c r="HB75" s="383"/>
      <c r="HC75" s="383"/>
      <c r="HD75" s="383"/>
      <c r="HE75" s="383"/>
      <c r="HF75" s="383"/>
      <c r="HG75" s="383"/>
      <c r="HH75" s="383"/>
      <c r="HI75" s="383"/>
      <c r="HJ75" s="383"/>
      <c r="HK75" s="383"/>
      <c r="HL75" s="383"/>
      <c r="HM75" s="383"/>
      <c r="HN75" s="383"/>
      <c r="HO75" s="383"/>
      <c r="HP75" s="383"/>
      <c r="HQ75" s="383"/>
      <c r="HR75" s="383"/>
      <c r="HS75" s="383"/>
      <c r="HT75" s="383"/>
      <c r="HU75" s="383"/>
      <c r="HV75" s="383"/>
      <c r="HW75" s="383"/>
      <c r="HX75" s="383"/>
      <c r="HY75" s="383"/>
      <c r="HZ75" s="383"/>
      <c r="IA75" s="383"/>
      <c r="IB75" s="383"/>
      <c r="IC75" s="383"/>
      <c r="ID75" s="383"/>
      <c r="IE75" s="383"/>
      <c r="IF75" s="383"/>
      <c r="IG75" s="383"/>
      <c r="IH75" s="383"/>
      <c r="II75" s="383"/>
      <c r="IJ75" s="383"/>
      <c r="IK75" s="383"/>
      <c r="IL75" s="383"/>
      <c r="IM75" s="383"/>
      <c r="IN75" s="383"/>
      <c r="IO75" s="383"/>
      <c r="IP75" s="383"/>
      <c r="IQ75" s="383"/>
      <c r="IR75" s="383"/>
      <c r="IS75" s="383"/>
      <c r="IT75" s="383"/>
      <c r="IU75" s="383"/>
      <c r="IV75" s="383"/>
      <c r="IW75" s="383"/>
    </row>
    <row r="76" customFormat="false" ht="12.75" hidden="false" customHeight="false" outlineLevel="0" collapsed="false">
      <c r="A76" s="924"/>
      <c r="B76" s="924"/>
      <c r="C76" s="924"/>
      <c r="D76" s="383"/>
      <c r="E76" s="383"/>
      <c r="F76" s="1246"/>
      <c r="G76" s="383"/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3"/>
      <c r="S76" s="383"/>
      <c r="T76" s="383"/>
      <c r="U76" s="383"/>
      <c r="V76" s="383"/>
      <c r="W76" s="383"/>
      <c r="X76" s="383"/>
      <c r="Y76" s="383"/>
      <c r="Z76" s="383"/>
      <c r="AA76" s="383"/>
      <c r="AB76" s="383"/>
      <c r="AC76" s="383"/>
      <c r="AD76" s="383"/>
      <c r="AE76" s="383"/>
      <c r="AF76" s="383"/>
      <c r="AG76" s="383"/>
      <c r="AH76" s="383"/>
      <c r="AI76" s="383"/>
      <c r="AJ76" s="383"/>
      <c r="AK76" s="383"/>
      <c r="AL76" s="383"/>
      <c r="AM76" s="383"/>
      <c r="AN76" s="383"/>
      <c r="AO76" s="383"/>
      <c r="AP76" s="383"/>
      <c r="AQ76" s="383"/>
      <c r="AR76" s="383"/>
      <c r="AS76" s="383"/>
      <c r="AT76" s="383"/>
      <c r="AU76" s="383"/>
      <c r="AV76" s="383"/>
      <c r="AW76" s="383"/>
      <c r="AX76" s="383"/>
      <c r="AY76" s="383"/>
      <c r="AZ76" s="383"/>
      <c r="BA76" s="383"/>
      <c r="BB76" s="383"/>
      <c r="BC76" s="383"/>
      <c r="BD76" s="383"/>
      <c r="BE76" s="383"/>
      <c r="BF76" s="383"/>
      <c r="BG76" s="383"/>
      <c r="BH76" s="383"/>
      <c r="BI76" s="383"/>
      <c r="BJ76" s="383"/>
      <c r="BK76" s="383"/>
      <c r="BL76" s="383"/>
      <c r="BM76" s="383"/>
      <c r="BN76" s="383"/>
      <c r="BO76" s="383"/>
      <c r="BP76" s="383"/>
      <c r="BQ76" s="383"/>
      <c r="BR76" s="383"/>
      <c r="BS76" s="383"/>
      <c r="BT76" s="383"/>
      <c r="BU76" s="383"/>
      <c r="BV76" s="383"/>
      <c r="BW76" s="383"/>
      <c r="BX76" s="383"/>
      <c r="BY76" s="383"/>
      <c r="BZ76" s="383"/>
      <c r="CA76" s="383"/>
      <c r="CB76" s="383"/>
      <c r="CC76" s="383"/>
      <c r="CD76" s="383"/>
      <c r="CE76" s="383"/>
      <c r="CF76" s="383"/>
      <c r="CG76" s="383"/>
      <c r="CH76" s="383"/>
      <c r="CI76" s="383"/>
      <c r="CJ76" s="383"/>
      <c r="CK76" s="383"/>
      <c r="CL76" s="383"/>
      <c r="CM76" s="383"/>
      <c r="CN76" s="383"/>
      <c r="CO76" s="383"/>
      <c r="CP76" s="383"/>
      <c r="CQ76" s="383"/>
      <c r="CR76" s="383"/>
      <c r="CS76" s="383"/>
      <c r="CT76" s="383"/>
      <c r="CU76" s="383"/>
      <c r="CV76" s="383"/>
      <c r="CW76" s="383"/>
      <c r="CX76" s="383"/>
      <c r="CY76" s="383"/>
      <c r="CZ76" s="383"/>
      <c r="DA76" s="383"/>
      <c r="DB76" s="383"/>
      <c r="DC76" s="383"/>
      <c r="DD76" s="383"/>
      <c r="DE76" s="383"/>
      <c r="DF76" s="383"/>
      <c r="DG76" s="383"/>
      <c r="DH76" s="383"/>
      <c r="DI76" s="383"/>
      <c r="DJ76" s="383"/>
      <c r="DK76" s="383"/>
      <c r="DL76" s="383"/>
      <c r="DM76" s="383"/>
      <c r="DN76" s="383"/>
      <c r="DO76" s="383"/>
      <c r="DP76" s="383"/>
      <c r="DQ76" s="383"/>
      <c r="DR76" s="383"/>
      <c r="DS76" s="383"/>
      <c r="DT76" s="383"/>
      <c r="DU76" s="383"/>
      <c r="DV76" s="383"/>
      <c r="DW76" s="383"/>
      <c r="DX76" s="383"/>
      <c r="DY76" s="383"/>
      <c r="DZ76" s="383"/>
      <c r="EA76" s="383"/>
      <c r="EB76" s="383"/>
      <c r="EC76" s="383"/>
      <c r="ED76" s="383"/>
      <c r="EE76" s="383"/>
      <c r="EF76" s="383"/>
      <c r="EG76" s="383"/>
      <c r="EH76" s="383"/>
      <c r="EI76" s="383"/>
      <c r="EJ76" s="383"/>
      <c r="EK76" s="383"/>
      <c r="EL76" s="383"/>
      <c r="EM76" s="383"/>
      <c r="EN76" s="383"/>
      <c r="EO76" s="383"/>
      <c r="EP76" s="383"/>
      <c r="EQ76" s="383"/>
      <c r="ER76" s="383"/>
      <c r="ES76" s="383"/>
      <c r="ET76" s="383"/>
      <c r="EU76" s="383"/>
      <c r="EV76" s="383"/>
      <c r="EW76" s="383"/>
      <c r="EX76" s="383"/>
      <c r="EY76" s="383"/>
      <c r="EZ76" s="383"/>
      <c r="FA76" s="383"/>
      <c r="FB76" s="383"/>
      <c r="FC76" s="383"/>
      <c r="FD76" s="383"/>
      <c r="FE76" s="383"/>
      <c r="FF76" s="383"/>
      <c r="FG76" s="383"/>
      <c r="FH76" s="383"/>
      <c r="FI76" s="383"/>
      <c r="FJ76" s="383"/>
      <c r="FK76" s="383"/>
      <c r="FL76" s="383"/>
      <c r="FM76" s="383"/>
      <c r="FN76" s="383"/>
      <c r="FO76" s="383"/>
      <c r="FP76" s="383"/>
      <c r="FQ76" s="383"/>
      <c r="FR76" s="383"/>
      <c r="FS76" s="383"/>
      <c r="FT76" s="383"/>
      <c r="FU76" s="383"/>
      <c r="FV76" s="383"/>
      <c r="FW76" s="383"/>
      <c r="FX76" s="383"/>
      <c r="FY76" s="383"/>
      <c r="FZ76" s="383"/>
      <c r="GA76" s="383"/>
      <c r="GB76" s="383"/>
      <c r="GC76" s="383"/>
      <c r="GD76" s="383"/>
      <c r="GE76" s="383"/>
      <c r="GF76" s="383"/>
      <c r="GG76" s="383"/>
      <c r="GH76" s="383"/>
      <c r="GI76" s="383"/>
      <c r="GJ76" s="383"/>
      <c r="GK76" s="383"/>
      <c r="GL76" s="383"/>
      <c r="GM76" s="383"/>
      <c r="GN76" s="383"/>
      <c r="GO76" s="383"/>
      <c r="GP76" s="383"/>
      <c r="GQ76" s="383"/>
      <c r="GR76" s="383"/>
      <c r="GS76" s="383"/>
      <c r="GT76" s="383"/>
      <c r="GU76" s="383"/>
      <c r="GV76" s="383"/>
      <c r="GW76" s="383"/>
      <c r="GX76" s="383"/>
      <c r="GY76" s="383"/>
      <c r="GZ76" s="383"/>
      <c r="HA76" s="383"/>
      <c r="HB76" s="383"/>
      <c r="HC76" s="383"/>
      <c r="HD76" s="383"/>
      <c r="HE76" s="383"/>
      <c r="HF76" s="383"/>
      <c r="HG76" s="383"/>
      <c r="HH76" s="383"/>
      <c r="HI76" s="383"/>
      <c r="HJ76" s="383"/>
      <c r="HK76" s="383"/>
      <c r="HL76" s="383"/>
      <c r="HM76" s="383"/>
      <c r="HN76" s="383"/>
      <c r="HO76" s="383"/>
      <c r="HP76" s="383"/>
      <c r="HQ76" s="383"/>
      <c r="HR76" s="383"/>
      <c r="HS76" s="383"/>
      <c r="HT76" s="383"/>
      <c r="HU76" s="383"/>
      <c r="HV76" s="383"/>
      <c r="HW76" s="383"/>
      <c r="HX76" s="383"/>
      <c r="HY76" s="383"/>
      <c r="HZ76" s="383"/>
      <c r="IA76" s="383"/>
      <c r="IB76" s="383"/>
      <c r="IC76" s="383"/>
      <c r="ID76" s="383"/>
      <c r="IE76" s="383"/>
      <c r="IF76" s="383"/>
      <c r="IG76" s="383"/>
      <c r="IH76" s="383"/>
      <c r="II76" s="383"/>
      <c r="IJ76" s="383"/>
      <c r="IK76" s="383"/>
      <c r="IL76" s="383"/>
      <c r="IM76" s="383"/>
      <c r="IN76" s="383"/>
      <c r="IO76" s="383"/>
      <c r="IP76" s="383"/>
      <c r="IQ76" s="383"/>
      <c r="IR76" s="383"/>
      <c r="IS76" s="383"/>
      <c r="IT76" s="383"/>
      <c r="IU76" s="383"/>
      <c r="IV76" s="383"/>
      <c r="IW76" s="383"/>
    </row>
    <row r="77" customFormat="false" ht="12.75" hidden="false" customHeight="false" outlineLevel="0" collapsed="false">
      <c r="A77" s="1247" t="s">
        <v>1572</v>
      </c>
      <c r="B77" s="924"/>
      <c r="C77" s="924"/>
      <c r="D77" s="383"/>
      <c r="E77" s="383"/>
      <c r="F77" s="1246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3"/>
      <c r="S77" s="383"/>
      <c r="T77" s="383"/>
      <c r="U77" s="383"/>
      <c r="V77" s="383"/>
      <c r="W77" s="383"/>
      <c r="X77" s="383"/>
      <c r="Y77" s="383"/>
      <c r="Z77" s="383"/>
      <c r="AA77" s="383"/>
      <c r="AB77" s="383"/>
      <c r="AC77" s="383"/>
      <c r="AD77" s="383"/>
      <c r="AE77" s="383"/>
      <c r="AF77" s="383"/>
      <c r="AG77" s="383"/>
      <c r="AH77" s="383"/>
      <c r="AI77" s="383"/>
      <c r="AJ77" s="383"/>
      <c r="AK77" s="383"/>
      <c r="AL77" s="383"/>
      <c r="AM77" s="383"/>
      <c r="AN77" s="383"/>
      <c r="AO77" s="383"/>
      <c r="AP77" s="383"/>
      <c r="AQ77" s="383"/>
      <c r="AR77" s="383"/>
      <c r="AS77" s="383"/>
      <c r="AT77" s="383"/>
      <c r="AU77" s="383"/>
      <c r="AV77" s="383"/>
      <c r="AW77" s="383"/>
      <c r="AX77" s="383"/>
      <c r="AY77" s="383"/>
      <c r="AZ77" s="383"/>
      <c r="BA77" s="383"/>
      <c r="BB77" s="383"/>
      <c r="BC77" s="383"/>
      <c r="BD77" s="383"/>
      <c r="BE77" s="383"/>
      <c r="BF77" s="383"/>
      <c r="BG77" s="383"/>
      <c r="BH77" s="383"/>
      <c r="BI77" s="383"/>
      <c r="BJ77" s="383"/>
      <c r="BK77" s="383"/>
      <c r="BL77" s="383"/>
      <c r="BM77" s="383"/>
      <c r="BN77" s="383"/>
      <c r="BO77" s="383"/>
      <c r="BP77" s="383"/>
      <c r="BQ77" s="383"/>
      <c r="BR77" s="383"/>
      <c r="BS77" s="383"/>
      <c r="BT77" s="383"/>
      <c r="BU77" s="383"/>
      <c r="BV77" s="383"/>
      <c r="BW77" s="383"/>
      <c r="BX77" s="383"/>
      <c r="BY77" s="383"/>
      <c r="BZ77" s="383"/>
      <c r="CA77" s="383"/>
      <c r="CB77" s="383"/>
      <c r="CC77" s="383"/>
      <c r="CD77" s="383"/>
      <c r="CE77" s="383"/>
      <c r="CF77" s="383"/>
      <c r="CG77" s="383"/>
      <c r="CH77" s="383"/>
      <c r="CI77" s="383"/>
      <c r="CJ77" s="383"/>
      <c r="CK77" s="383"/>
      <c r="CL77" s="383"/>
      <c r="CM77" s="383"/>
      <c r="CN77" s="383"/>
      <c r="CO77" s="383"/>
      <c r="CP77" s="383"/>
      <c r="CQ77" s="383"/>
      <c r="CR77" s="383"/>
      <c r="CS77" s="383"/>
      <c r="CT77" s="383"/>
      <c r="CU77" s="383"/>
      <c r="CV77" s="383"/>
      <c r="CW77" s="383"/>
      <c r="CX77" s="383"/>
      <c r="CY77" s="383"/>
      <c r="CZ77" s="383"/>
      <c r="DA77" s="383"/>
      <c r="DB77" s="383"/>
      <c r="DC77" s="383"/>
      <c r="DD77" s="383"/>
      <c r="DE77" s="383"/>
      <c r="DF77" s="383"/>
      <c r="DG77" s="383"/>
      <c r="DH77" s="383"/>
      <c r="DI77" s="383"/>
      <c r="DJ77" s="383"/>
      <c r="DK77" s="383"/>
      <c r="DL77" s="383"/>
      <c r="DM77" s="383"/>
      <c r="DN77" s="383"/>
      <c r="DO77" s="383"/>
      <c r="DP77" s="383"/>
      <c r="DQ77" s="383"/>
      <c r="DR77" s="383"/>
      <c r="DS77" s="383"/>
      <c r="DT77" s="383"/>
      <c r="DU77" s="383"/>
      <c r="DV77" s="383"/>
      <c r="DW77" s="383"/>
      <c r="DX77" s="383"/>
      <c r="DY77" s="383"/>
      <c r="DZ77" s="383"/>
      <c r="EA77" s="383"/>
      <c r="EB77" s="383"/>
      <c r="EC77" s="383"/>
      <c r="ED77" s="383"/>
      <c r="EE77" s="383"/>
      <c r="EF77" s="383"/>
      <c r="EG77" s="383"/>
      <c r="EH77" s="383"/>
      <c r="EI77" s="383"/>
      <c r="EJ77" s="383"/>
      <c r="EK77" s="383"/>
      <c r="EL77" s="383"/>
      <c r="EM77" s="383"/>
      <c r="EN77" s="383"/>
      <c r="EO77" s="383"/>
      <c r="EP77" s="383"/>
      <c r="EQ77" s="383"/>
      <c r="ER77" s="383"/>
      <c r="ES77" s="383"/>
      <c r="ET77" s="383"/>
      <c r="EU77" s="383"/>
      <c r="EV77" s="383"/>
      <c r="EW77" s="383"/>
      <c r="EX77" s="383"/>
      <c r="EY77" s="383"/>
      <c r="EZ77" s="383"/>
      <c r="FA77" s="383"/>
      <c r="FB77" s="383"/>
      <c r="FC77" s="383"/>
      <c r="FD77" s="383"/>
      <c r="FE77" s="383"/>
      <c r="FF77" s="383"/>
      <c r="FG77" s="383"/>
      <c r="FH77" s="383"/>
      <c r="FI77" s="383"/>
      <c r="FJ77" s="383"/>
      <c r="FK77" s="383"/>
      <c r="FL77" s="383"/>
      <c r="FM77" s="383"/>
      <c r="FN77" s="383"/>
      <c r="FO77" s="383"/>
      <c r="FP77" s="383"/>
      <c r="FQ77" s="383"/>
      <c r="FR77" s="383"/>
      <c r="FS77" s="383"/>
      <c r="FT77" s="383"/>
      <c r="FU77" s="383"/>
      <c r="FV77" s="383"/>
      <c r="FW77" s="383"/>
      <c r="FX77" s="383"/>
      <c r="FY77" s="383"/>
      <c r="FZ77" s="383"/>
      <c r="GA77" s="383"/>
      <c r="GB77" s="383"/>
      <c r="GC77" s="383"/>
      <c r="GD77" s="383"/>
      <c r="GE77" s="383"/>
      <c r="GF77" s="383"/>
      <c r="GG77" s="383"/>
      <c r="GH77" s="383"/>
      <c r="GI77" s="383"/>
      <c r="GJ77" s="383"/>
      <c r="GK77" s="383"/>
      <c r="GL77" s="383"/>
      <c r="GM77" s="383"/>
      <c r="GN77" s="383"/>
      <c r="GO77" s="383"/>
      <c r="GP77" s="383"/>
      <c r="GQ77" s="383"/>
      <c r="GR77" s="383"/>
      <c r="GS77" s="383"/>
      <c r="GT77" s="383"/>
      <c r="GU77" s="383"/>
      <c r="GV77" s="383"/>
      <c r="GW77" s="383"/>
      <c r="GX77" s="383"/>
      <c r="GY77" s="383"/>
      <c r="GZ77" s="383"/>
      <c r="HA77" s="383"/>
      <c r="HB77" s="383"/>
      <c r="HC77" s="383"/>
      <c r="HD77" s="383"/>
      <c r="HE77" s="383"/>
      <c r="HF77" s="383"/>
      <c r="HG77" s="383"/>
      <c r="HH77" s="383"/>
      <c r="HI77" s="383"/>
      <c r="HJ77" s="383"/>
      <c r="HK77" s="383"/>
      <c r="HL77" s="383"/>
      <c r="HM77" s="383"/>
      <c r="HN77" s="383"/>
      <c r="HO77" s="383"/>
      <c r="HP77" s="383"/>
      <c r="HQ77" s="383"/>
      <c r="HR77" s="383"/>
      <c r="HS77" s="383"/>
      <c r="HT77" s="383"/>
      <c r="HU77" s="383"/>
      <c r="HV77" s="383"/>
      <c r="HW77" s="383"/>
      <c r="HX77" s="383"/>
      <c r="HY77" s="383"/>
      <c r="HZ77" s="383"/>
      <c r="IA77" s="383"/>
      <c r="IB77" s="383"/>
      <c r="IC77" s="383"/>
      <c r="ID77" s="383"/>
      <c r="IE77" s="383"/>
      <c r="IF77" s="383"/>
      <c r="IG77" s="383"/>
      <c r="IH77" s="383"/>
      <c r="II77" s="383"/>
      <c r="IJ77" s="383"/>
      <c r="IK77" s="383"/>
      <c r="IL77" s="383"/>
      <c r="IM77" s="383"/>
      <c r="IN77" s="383"/>
      <c r="IO77" s="383"/>
      <c r="IP77" s="383"/>
      <c r="IQ77" s="383"/>
      <c r="IR77" s="383"/>
      <c r="IS77" s="383"/>
      <c r="IT77" s="383"/>
      <c r="IU77" s="383"/>
      <c r="IV77" s="383"/>
      <c r="IW77" s="383"/>
    </row>
    <row r="78" customFormat="false" ht="12.75" hidden="false" customHeight="false" outlineLevel="0" collapsed="false">
      <c r="A78" s="924" t="s">
        <v>1573</v>
      </c>
      <c r="B78" s="924"/>
      <c r="C78" s="924"/>
      <c r="D78" s="383"/>
      <c r="E78" s="383"/>
      <c r="F78" s="1246" t="n">
        <f aca="false">AVERAGE(G78:AC78)</f>
        <v>0.818300229858788</v>
      </c>
      <c r="G78" s="383" t="n">
        <f aca="false">BS_IS!G39/BS_IS!G18</f>
        <v>0</v>
      </c>
      <c r="H78" s="383" t="n">
        <f aca="false">BS_IS!H39/BS_IS!H18</f>
        <v>0</v>
      </c>
      <c r="I78" s="383" t="n">
        <f aca="false">BS_IS!I39/BS_IS!I18</f>
        <v>0.0519453340631154</v>
      </c>
      <c r="J78" s="383" t="n">
        <f aca="false">BS_IS!J39/BS_IS!J18</f>
        <v>0.0544631201752312</v>
      </c>
      <c r="K78" s="383" t="n">
        <f aca="false">BS_IS!K39/BS_IS!K18</f>
        <v>0.307816862182947</v>
      </c>
      <c r="L78" s="383" t="n">
        <f aca="false">BS_IS!L39/BS_IS!L18</f>
        <v>0.460659047708187</v>
      </c>
      <c r="M78" s="383" t="n">
        <f aca="false">BS_IS!M39/BS_IS!M18</f>
        <v>0.503864076989243</v>
      </c>
      <c r="N78" s="383" t="n">
        <f aca="false">BS_IS!N39/BS_IS!N18</f>
        <v>0.531310631641214</v>
      </c>
      <c r="O78" s="383" t="n">
        <f aca="false">BS_IS!O39/BS_IS!O18</f>
        <v>0.566411610561289</v>
      </c>
      <c r="P78" s="383" t="n">
        <f aca="false">BS_IS!P39/BS_IS!P18</f>
        <v>0.603183814322385</v>
      </c>
      <c r="Q78" s="383" t="n">
        <f aca="false">BS_IS!Q39/BS_IS!Q18</f>
        <v>0.636690733631646</v>
      </c>
      <c r="R78" s="383" t="n">
        <f aca="false">BS_IS!R39/BS_IS!R18</f>
        <v>0.679680435365639</v>
      </c>
      <c r="S78" s="383" t="n">
        <f aca="false">BS_IS!S39/BS_IS!S18</f>
        <v>0.748916917363428</v>
      </c>
      <c r="T78" s="383" t="n">
        <f aca="false">BS_IS!T39/BS_IS!T18</f>
        <v>0.848118908599414</v>
      </c>
      <c r="U78" s="383" t="n">
        <f aca="false">BS_IS!U39/BS_IS!U18</f>
        <v>0.962198113668891</v>
      </c>
      <c r="V78" s="383" t="n">
        <f aca="false">BS_IS!V39/BS_IS!V18</f>
        <v>1.05547688381751</v>
      </c>
      <c r="W78" s="383" t="n">
        <f aca="false">BS_IS!W39/BS_IS!W18</f>
        <v>1.19538781826358</v>
      </c>
      <c r="X78" s="383" t="n">
        <f aca="false">BS_IS!X39/BS_IS!X18</f>
        <v>1.23974292359169</v>
      </c>
      <c r="Y78" s="383" t="n">
        <f aca="false">BS_IS!Y39/BS_IS!Y18</f>
        <v>1.33793843287882</v>
      </c>
      <c r="Z78" s="383" t="n">
        <f aca="false">BS_IS!Z39/BS_IS!Z18</f>
        <v>1.48007746663023</v>
      </c>
      <c r="AA78" s="383" t="n">
        <f aca="false">BS_IS!AA39/BS_IS!AA18</f>
        <v>1.73123336269303</v>
      </c>
      <c r="AB78" s="383" t="n">
        <f aca="false">BS_IS!AB39/BS_IS!AB18</f>
        <v>1.97951120875308</v>
      </c>
      <c r="AC78" s="383" t="n">
        <f aca="false">BS_IS!AC39/BS_IS!AC18</f>
        <v>1.84627758385155</v>
      </c>
      <c r="AD78" s="383"/>
      <c r="AE78" s="383"/>
      <c r="AF78" s="383"/>
      <c r="AG78" s="383"/>
      <c r="AH78" s="383"/>
      <c r="AI78" s="383"/>
      <c r="AJ78" s="383"/>
      <c r="AK78" s="383"/>
      <c r="AL78" s="383"/>
      <c r="AM78" s="383"/>
      <c r="AN78" s="383"/>
      <c r="AO78" s="383"/>
      <c r="AP78" s="383"/>
      <c r="AQ78" s="383"/>
      <c r="AR78" s="383"/>
      <c r="AS78" s="383"/>
      <c r="AT78" s="383"/>
      <c r="AU78" s="383"/>
      <c r="AV78" s="383"/>
      <c r="AW78" s="383"/>
      <c r="AX78" s="383"/>
      <c r="AY78" s="383"/>
      <c r="AZ78" s="383"/>
      <c r="BA78" s="383"/>
      <c r="BB78" s="383"/>
      <c r="BC78" s="383"/>
      <c r="BD78" s="383"/>
      <c r="BE78" s="383"/>
      <c r="BF78" s="383"/>
      <c r="BG78" s="383"/>
      <c r="BH78" s="383"/>
      <c r="BI78" s="383"/>
      <c r="BJ78" s="383"/>
      <c r="BK78" s="383"/>
      <c r="BL78" s="383"/>
      <c r="BM78" s="383"/>
      <c r="BN78" s="383"/>
      <c r="BO78" s="383"/>
      <c r="BP78" s="383"/>
      <c r="BQ78" s="383"/>
      <c r="BR78" s="383"/>
      <c r="BS78" s="383"/>
      <c r="BT78" s="383"/>
      <c r="BU78" s="383"/>
      <c r="BV78" s="383"/>
      <c r="BW78" s="383"/>
      <c r="BX78" s="383"/>
      <c r="BY78" s="383"/>
      <c r="BZ78" s="383"/>
      <c r="CA78" s="383"/>
      <c r="CB78" s="383"/>
      <c r="CC78" s="383"/>
      <c r="CD78" s="383"/>
      <c r="CE78" s="383"/>
      <c r="CF78" s="383"/>
      <c r="CG78" s="383"/>
      <c r="CH78" s="383"/>
      <c r="CI78" s="383"/>
      <c r="CJ78" s="383"/>
      <c r="CK78" s="383"/>
      <c r="CL78" s="383"/>
      <c r="CM78" s="383"/>
      <c r="CN78" s="383"/>
      <c r="CO78" s="383"/>
      <c r="CP78" s="383"/>
      <c r="CQ78" s="383"/>
      <c r="CR78" s="383"/>
      <c r="CS78" s="383"/>
      <c r="CT78" s="383"/>
      <c r="CU78" s="383"/>
      <c r="CV78" s="383"/>
      <c r="CW78" s="383"/>
      <c r="CX78" s="383"/>
      <c r="CY78" s="383"/>
      <c r="CZ78" s="383"/>
      <c r="DA78" s="383"/>
      <c r="DB78" s="383"/>
      <c r="DC78" s="383"/>
      <c r="DD78" s="383"/>
      <c r="DE78" s="383"/>
      <c r="DF78" s="383"/>
      <c r="DG78" s="383"/>
      <c r="DH78" s="383"/>
      <c r="DI78" s="383"/>
      <c r="DJ78" s="383"/>
      <c r="DK78" s="383"/>
      <c r="DL78" s="383"/>
      <c r="DM78" s="383"/>
      <c r="DN78" s="383"/>
      <c r="DO78" s="383"/>
      <c r="DP78" s="383"/>
      <c r="DQ78" s="383"/>
      <c r="DR78" s="383"/>
      <c r="DS78" s="383"/>
      <c r="DT78" s="383"/>
      <c r="DU78" s="383"/>
      <c r="DV78" s="383"/>
      <c r="DW78" s="383"/>
      <c r="DX78" s="383"/>
      <c r="DY78" s="383"/>
      <c r="DZ78" s="383"/>
      <c r="EA78" s="383"/>
      <c r="EB78" s="383"/>
      <c r="EC78" s="383"/>
      <c r="ED78" s="383"/>
      <c r="EE78" s="383"/>
      <c r="EF78" s="383"/>
      <c r="EG78" s="383"/>
      <c r="EH78" s="383"/>
      <c r="EI78" s="383"/>
      <c r="EJ78" s="383"/>
      <c r="EK78" s="383"/>
      <c r="EL78" s="383"/>
      <c r="EM78" s="383"/>
      <c r="EN78" s="383"/>
      <c r="EO78" s="383"/>
      <c r="EP78" s="383"/>
      <c r="EQ78" s="383"/>
      <c r="ER78" s="383"/>
      <c r="ES78" s="383"/>
      <c r="ET78" s="383"/>
      <c r="EU78" s="383"/>
      <c r="EV78" s="383"/>
      <c r="EW78" s="383"/>
      <c r="EX78" s="383"/>
      <c r="EY78" s="383"/>
      <c r="EZ78" s="383"/>
      <c r="FA78" s="383"/>
      <c r="FB78" s="383"/>
      <c r="FC78" s="383"/>
      <c r="FD78" s="383"/>
      <c r="FE78" s="383"/>
      <c r="FF78" s="383"/>
      <c r="FG78" s="383"/>
      <c r="FH78" s="383"/>
      <c r="FI78" s="383"/>
      <c r="FJ78" s="383"/>
      <c r="FK78" s="383"/>
      <c r="FL78" s="383"/>
      <c r="FM78" s="383"/>
      <c r="FN78" s="383"/>
      <c r="FO78" s="383"/>
      <c r="FP78" s="383"/>
      <c r="FQ78" s="383"/>
      <c r="FR78" s="383"/>
      <c r="FS78" s="383"/>
      <c r="FT78" s="383"/>
      <c r="FU78" s="383"/>
      <c r="FV78" s="383"/>
      <c r="FW78" s="383"/>
      <c r="FX78" s="383"/>
      <c r="FY78" s="383"/>
      <c r="FZ78" s="383"/>
      <c r="GA78" s="383"/>
      <c r="GB78" s="383"/>
      <c r="GC78" s="383"/>
      <c r="GD78" s="383"/>
      <c r="GE78" s="383"/>
      <c r="GF78" s="383"/>
      <c r="GG78" s="383"/>
      <c r="GH78" s="383"/>
      <c r="GI78" s="383"/>
      <c r="GJ78" s="383"/>
      <c r="GK78" s="383"/>
      <c r="GL78" s="383"/>
      <c r="GM78" s="383"/>
      <c r="GN78" s="383"/>
      <c r="GO78" s="383"/>
      <c r="GP78" s="383"/>
      <c r="GQ78" s="383"/>
      <c r="GR78" s="383"/>
      <c r="GS78" s="383"/>
      <c r="GT78" s="383"/>
      <c r="GU78" s="383"/>
      <c r="GV78" s="383"/>
      <c r="GW78" s="383"/>
      <c r="GX78" s="383"/>
      <c r="GY78" s="383"/>
      <c r="GZ78" s="383"/>
      <c r="HA78" s="383"/>
      <c r="HB78" s="383"/>
      <c r="HC78" s="383"/>
      <c r="HD78" s="383"/>
      <c r="HE78" s="383"/>
      <c r="HF78" s="383"/>
      <c r="HG78" s="383"/>
      <c r="HH78" s="383"/>
      <c r="HI78" s="383"/>
      <c r="HJ78" s="383"/>
      <c r="HK78" s="383"/>
      <c r="HL78" s="383"/>
      <c r="HM78" s="383"/>
      <c r="HN78" s="383"/>
      <c r="HO78" s="383"/>
      <c r="HP78" s="383"/>
      <c r="HQ78" s="383"/>
      <c r="HR78" s="383"/>
      <c r="HS78" s="383"/>
      <c r="HT78" s="383"/>
      <c r="HU78" s="383"/>
      <c r="HV78" s="383"/>
      <c r="HW78" s="383"/>
      <c r="HX78" s="383"/>
      <c r="HY78" s="383"/>
      <c r="HZ78" s="383"/>
      <c r="IA78" s="383"/>
      <c r="IB78" s="383"/>
      <c r="IC78" s="383"/>
      <c r="ID78" s="383"/>
      <c r="IE78" s="383"/>
      <c r="IF78" s="383"/>
      <c r="IG78" s="383"/>
      <c r="IH78" s="383"/>
      <c r="II78" s="383"/>
      <c r="IJ78" s="383"/>
      <c r="IK78" s="383"/>
      <c r="IL78" s="383"/>
      <c r="IM78" s="383"/>
      <c r="IN78" s="383"/>
      <c r="IO78" s="383"/>
      <c r="IP78" s="383"/>
      <c r="IQ78" s="383"/>
      <c r="IR78" s="383"/>
      <c r="IS78" s="383"/>
      <c r="IT78" s="383"/>
      <c r="IU78" s="383"/>
      <c r="IV78" s="383"/>
      <c r="IW78" s="383"/>
    </row>
    <row r="79" customFormat="false" ht="12.75" hidden="false" customHeight="false" outlineLevel="0" collapsed="false">
      <c r="A79" s="924" t="s">
        <v>1574</v>
      </c>
      <c r="B79" s="924"/>
      <c r="C79" s="924"/>
      <c r="D79" s="383"/>
      <c r="E79" s="383"/>
      <c r="F79" s="1248" t="s">
        <v>1575</v>
      </c>
      <c r="G79" s="1249" t="s">
        <v>1575</v>
      </c>
      <c r="H79" s="1249" t="s">
        <v>1575</v>
      </c>
      <c r="I79" s="1249" t="s">
        <v>1575</v>
      </c>
      <c r="J79" s="1249" t="s">
        <v>1575</v>
      </c>
      <c r="K79" s="1249" t="s">
        <v>1575</v>
      </c>
      <c r="L79" s="1249" t="s">
        <v>1575</v>
      </c>
      <c r="M79" s="1249" t="s">
        <v>1575</v>
      </c>
      <c r="N79" s="1249" t="s">
        <v>1575</v>
      </c>
      <c r="O79" s="1249" t="s">
        <v>1575</v>
      </c>
      <c r="P79" s="1249" t="s">
        <v>1575</v>
      </c>
      <c r="Q79" s="1249" t="s">
        <v>1575</v>
      </c>
      <c r="R79" s="1249" t="s">
        <v>1575</v>
      </c>
      <c r="S79" s="1249" t="s">
        <v>1575</v>
      </c>
      <c r="T79" s="1249" t="s">
        <v>1575</v>
      </c>
      <c r="U79" s="1249" t="s">
        <v>1575</v>
      </c>
      <c r="V79" s="1249" t="s">
        <v>1575</v>
      </c>
      <c r="W79" s="1249" t="s">
        <v>1575</v>
      </c>
      <c r="X79" s="1249" t="s">
        <v>1575</v>
      </c>
      <c r="Y79" s="1249" t="s">
        <v>1575</v>
      </c>
      <c r="Z79" s="1249" t="s">
        <v>1575</v>
      </c>
      <c r="AA79" s="1249" t="s">
        <v>1575</v>
      </c>
      <c r="AB79" s="1249" t="s">
        <v>1575</v>
      </c>
      <c r="AC79" s="1249" t="s">
        <v>1575</v>
      </c>
      <c r="AD79" s="383"/>
      <c r="AE79" s="383"/>
      <c r="AF79" s="383"/>
      <c r="AG79" s="383"/>
      <c r="AH79" s="383"/>
      <c r="AI79" s="383"/>
      <c r="AJ79" s="383"/>
      <c r="AK79" s="383"/>
      <c r="AL79" s="383"/>
      <c r="AM79" s="383"/>
      <c r="AN79" s="383"/>
      <c r="AO79" s="383"/>
      <c r="AP79" s="383"/>
      <c r="AQ79" s="383"/>
      <c r="AR79" s="383"/>
      <c r="AS79" s="383"/>
      <c r="AT79" s="383"/>
      <c r="AU79" s="383"/>
      <c r="AV79" s="383"/>
      <c r="AW79" s="383"/>
      <c r="AX79" s="383"/>
      <c r="AY79" s="383"/>
      <c r="AZ79" s="383"/>
      <c r="BA79" s="383"/>
      <c r="BB79" s="383"/>
      <c r="BC79" s="383"/>
      <c r="BD79" s="383"/>
      <c r="BE79" s="383"/>
      <c r="BF79" s="383"/>
      <c r="BG79" s="383"/>
      <c r="BH79" s="383"/>
      <c r="BI79" s="383"/>
      <c r="BJ79" s="383"/>
      <c r="BK79" s="383"/>
      <c r="BL79" s="383"/>
      <c r="BM79" s="383"/>
      <c r="BN79" s="383"/>
      <c r="BO79" s="383"/>
      <c r="BP79" s="383"/>
      <c r="BQ79" s="383"/>
      <c r="BR79" s="383"/>
      <c r="BS79" s="383"/>
      <c r="BT79" s="383"/>
      <c r="BU79" s="383"/>
      <c r="BV79" s="383"/>
      <c r="BW79" s="383"/>
      <c r="BX79" s="383"/>
      <c r="BY79" s="383"/>
      <c r="BZ79" s="383"/>
      <c r="CA79" s="383"/>
      <c r="CB79" s="383"/>
      <c r="CC79" s="383"/>
      <c r="CD79" s="383"/>
      <c r="CE79" s="383"/>
      <c r="CF79" s="383"/>
      <c r="CG79" s="383"/>
      <c r="CH79" s="383"/>
      <c r="CI79" s="383"/>
      <c r="CJ79" s="383"/>
      <c r="CK79" s="383"/>
      <c r="CL79" s="383"/>
      <c r="CM79" s="383"/>
      <c r="CN79" s="383"/>
      <c r="CO79" s="383"/>
      <c r="CP79" s="383"/>
      <c r="CQ79" s="383"/>
      <c r="CR79" s="383"/>
      <c r="CS79" s="383"/>
      <c r="CT79" s="383"/>
      <c r="CU79" s="383"/>
      <c r="CV79" s="383"/>
      <c r="CW79" s="383"/>
      <c r="CX79" s="383"/>
      <c r="CY79" s="383"/>
      <c r="CZ79" s="383"/>
      <c r="DA79" s="383"/>
      <c r="DB79" s="383"/>
      <c r="DC79" s="383"/>
      <c r="DD79" s="383"/>
      <c r="DE79" s="383"/>
      <c r="DF79" s="383"/>
      <c r="DG79" s="383"/>
      <c r="DH79" s="383"/>
      <c r="DI79" s="383"/>
      <c r="DJ79" s="383"/>
      <c r="DK79" s="383"/>
      <c r="DL79" s="383"/>
      <c r="DM79" s="383"/>
      <c r="DN79" s="383"/>
      <c r="DO79" s="383"/>
      <c r="DP79" s="383"/>
      <c r="DQ79" s="383"/>
      <c r="DR79" s="383"/>
      <c r="DS79" s="383"/>
      <c r="DT79" s="383"/>
      <c r="DU79" s="383"/>
      <c r="DV79" s="383"/>
      <c r="DW79" s="383"/>
      <c r="DX79" s="383"/>
      <c r="DY79" s="383"/>
      <c r="DZ79" s="383"/>
      <c r="EA79" s="383"/>
      <c r="EB79" s="383"/>
      <c r="EC79" s="383"/>
      <c r="ED79" s="383"/>
      <c r="EE79" s="383"/>
      <c r="EF79" s="383"/>
      <c r="EG79" s="383"/>
      <c r="EH79" s="383"/>
      <c r="EI79" s="383"/>
      <c r="EJ79" s="383"/>
      <c r="EK79" s="383"/>
      <c r="EL79" s="383"/>
      <c r="EM79" s="383"/>
      <c r="EN79" s="383"/>
      <c r="EO79" s="383"/>
      <c r="EP79" s="383"/>
      <c r="EQ79" s="383"/>
      <c r="ER79" s="383"/>
      <c r="ES79" s="383"/>
      <c r="ET79" s="383"/>
      <c r="EU79" s="383"/>
      <c r="EV79" s="383"/>
      <c r="EW79" s="383"/>
      <c r="EX79" s="383"/>
      <c r="EY79" s="383"/>
      <c r="EZ79" s="383"/>
      <c r="FA79" s="383"/>
      <c r="FB79" s="383"/>
      <c r="FC79" s="383"/>
      <c r="FD79" s="383"/>
      <c r="FE79" s="383"/>
      <c r="FF79" s="383"/>
      <c r="FG79" s="383"/>
      <c r="FH79" s="383"/>
      <c r="FI79" s="383"/>
      <c r="FJ79" s="383"/>
      <c r="FK79" s="383"/>
      <c r="FL79" s="383"/>
      <c r="FM79" s="383"/>
      <c r="FN79" s="383"/>
      <c r="FO79" s="383"/>
      <c r="FP79" s="383"/>
      <c r="FQ79" s="383"/>
      <c r="FR79" s="383"/>
      <c r="FS79" s="383"/>
      <c r="FT79" s="383"/>
      <c r="FU79" s="383"/>
      <c r="FV79" s="383"/>
      <c r="FW79" s="383"/>
      <c r="FX79" s="383"/>
      <c r="FY79" s="383"/>
      <c r="FZ79" s="383"/>
      <c r="GA79" s="383"/>
      <c r="GB79" s="383"/>
      <c r="GC79" s="383"/>
      <c r="GD79" s="383"/>
      <c r="GE79" s="383"/>
      <c r="GF79" s="383"/>
      <c r="GG79" s="383"/>
      <c r="GH79" s="383"/>
      <c r="GI79" s="383"/>
      <c r="GJ79" s="383"/>
      <c r="GK79" s="383"/>
      <c r="GL79" s="383"/>
      <c r="GM79" s="383"/>
      <c r="GN79" s="383"/>
      <c r="GO79" s="383"/>
      <c r="GP79" s="383"/>
      <c r="GQ79" s="383"/>
      <c r="GR79" s="383"/>
      <c r="GS79" s="383"/>
      <c r="GT79" s="383"/>
      <c r="GU79" s="383"/>
      <c r="GV79" s="383"/>
      <c r="GW79" s="383"/>
      <c r="GX79" s="383"/>
      <c r="GY79" s="383"/>
      <c r="GZ79" s="383"/>
      <c r="HA79" s="383"/>
      <c r="HB79" s="383"/>
      <c r="HC79" s="383"/>
      <c r="HD79" s="383"/>
      <c r="HE79" s="383"/>
      <c r="HF79" s="383"/>
      <c r="HG79" s="383"/>
      <c r="HH79" s="383"/>
      <c r="HI79" s="383"/>
      <c r="HJ79" s="383"/>
      <c r="HK79" s="383"/>
      <c r="HL79" s="383"/>
      <c r="HM79" s="383"/>
      <c r="HN79" s="383"/>
      <c r="HO79" s="383"/>
      <c r="HP79" s="383"/>
      <c r="HQ79" s="383"/>
      <c r="HR79" s="383"/>
      <c r="HS79" s="383"/>
      <c r="HT79" s="383"/>
      <c r="HU79" s="383"/>
      <c r="HV79" s="383"/>
      <c r="HW79" s="383"/>
      <c r="HX79" s="383"/>
      <c r="HY79" s="383"/>
      <c r="HZ79" s="383"/>
      <c r="IA79" s="383"/>
      <c r="IB79" s="383"/>
      <c r="IC79" s="383"/>
      <c r="ID79" s="383"/>
      <c r="IE79" s="383"/>
      <c r="IF79" s="383"/>
      <c r="IG79" s="383"/>
      <c r="IH79" s="383"/>
      <c r="II79" s="383"/>
      <c r="IJ79" s="383"/>
      <c r="IK79" s="383"/>
      <c r="IL79" s="383"/>
      <c r="IM79" s="383"/>
      <c r="IN79" s="383"/>
      <c r="IO79" s="383"/>
      <c r="IP79" s="383"/>
      <c r="IQ79" s="383"/>
      <c r="IR79" s="383"/>
      <c r="IS79" s="383"/>
      <c r="IT79" s="383"/>
      <c r="IU79" s="383"/>
      <c r="IV79" s="383"/>
      <c r="IW79" s="383"/>
    </row>
    <row r="80" customFormat="false" ht="12.75" hidden="false" customHeight="false" outlineLevel="0" collapsed="false">
      <c r="A80" s="924" t="s">
        <v>1576</v>
      </c>
      <c r="B80" s="924"/>
      <c r="C80" s="924"/>
      <c r="D80" s="383"/>
      <c r="E80" s="383"/>
      <c r="F80" s="1246" t="n">
        <f aca="false">AVERAGE(G80:AB80)</f>
        <v>2.40774163630997</v>
      </c>
      <c r="G80" s="383" t="n">
        <f aca="false">BS_IS!G39/BS_IS!G15</f>
        <v>0</v>
      </c>
      <c r="H80" s="383" t="n">
        <f aca="false">BS_IS!H39/BS_IS!H15</f>
        <v>0</v>
      </c>
      <c r="I80" s="383" t="n">
        <f aca="false">BS_IS!I39/BS_IS!I15</f>
        <v>0.0518723234860024</v>
      </c>
      <c r="J80" s="383" t="n">
        <f aca="false">BS_IS!J39/BS_IS!J15</f>
        <v>0.0553203149631502</v>
      </c>
      <c r="K80" s="383" t="n">
        <f aca="false">BS_IS!K39/BS_IS!K15</f>
        <v>0.330957655675751</v>
      </c>
      <c r="L80" s="383" t="n">
        <f aca="false">BS_IS!L39/BS_IS!L15</f>
        <v>0.500212961864191</v>
      </c>
      <c r="M80" s="383" t="n">
        <f aca="false">BS_IS!M39/BS_IS!M15</f>
        <v>0.55791736677569</v>
      </c>
      <c r="N80" s="383" t="n">
        <f aca="false">BS_IS!N39/BS_IS!N15</f>
        <v>0.619870495416093</v>
      </c>
      <c r="O80" s="383" t="n">
        <f aca="false">BS_IS!O39/BS_IS!O15</f>
        <v>0.682207695173925</v>
      </c>
      <c r="P80" s="383" t="n">
        <f aca="false">BS_IS!P39/BS_IS!P15</f>
        <v>0.752510564903231</v>
      </c>
      <c r="Q80" s="383" t="n">
        <f aca="false">BS_IS!Q39/BS_IS!Q15</f>
        <v>0.818309601037942</v>
      </c>
      <c r="R80" s="383" t="n">
        <f aca="false">BS_IS!R39/BS_IS!R15</f>
        <v>0.888974188940245</v>
      </c>
      <c r="S80" s="383" t="n">
        <f aca="false">BS_IS!S39/BS_IS!S15</f>
        <v>0.99276442096021</v>
      </c>
      <c r="T80" s="383" t="n">
        <f aca="false">BS_IS!T39/BS_IS!T15</f>
        <v>1.13749116318015</v>
      </c>
      <c r="U80" s="383" t="n">
        <f aca="false">BS_IS!U39/BS_IS!U15</f>
        <v>1.30408599309757</v>
      </c>
      <c r="V80" s="383" t="n">
        <f aca="false">BS_IS!V39/BS_IS!V15</f>
        <v>1.46894724965826</v>
      </c>
      <c r="W80" s="383" t="n">
        <f aca="false">BS_IS!W39/BS_IS!W15</f>
        <v>1.81181617698184</v>
      </c>
      <c r="X80" s="383" t="n">
        <f aca="false">BS_IS!X39/BS_IS!X15</f>
        <v>2.10222275793004</v>
      </c>
      <c r="Y80" s="383" t="n">
        <f aca="false">BS_IS!Y39/BS_IS!Y15</f>
        <v>2.50474546864138</v>
      </c>
      <c r="Z80" s="383" t="n">
        <f aca="false">BS_IS!Z39/BS_IS!Z15</f>
        <v>3.54861432961568</v>
      </c>
      <c r="AA80" s="383" t="n">
        <f aca="false">BS_IS!AA39/BS_IS!AA15</f>
        <v>6.34563661975684</v>
      </c>
      <c r="AB80" s="383" t="n">
        <f aca="false">BS_IS!AB39/BS_IS!AB15</f>
        <v>26.4958386507611</v>
      </c>
      <c r="AC80" s="383" t="e">
        <f aca="false">BS_IS!AC39/BS_IS!AC15</f>
        <v>#DIV/0!</v>
      </c>
      <c r="AD80" s="383"/>
      <c r="AE80" s="383"/>
      <c r="AF80" s="383"/>
      <c r="AG80" s="383"/>
      <c r="AH80" s="383"/>
      <c r="AI80" s="383"/>
      <c r="AJ80" s="383"/>
      <c r="AK80" s="383"/>
      <c r="AL80" s="383"/>
      <c r="AM80" s="383"/>
      <c r="AN80" s="383"/>
      <c r="AO80" s="383"/>
      <c r="AP80" s="383"/>
      <c r="AQ80" s="383"/>
      <c r="AR80" s="383"/>
      <c r="AS80" s="383"/>
      <c r="AT80" s="383"/>
      <c r="AU80" s="383"/>
      <c r="AV80" s="383"/>
      <c r="AW80" s="383"/>
      <c r="AX80" s="383"/>
      <c r="AY80" s="383"/>
      <c r="AZ80" s="383"/>
      <c r="BA80" s="383"/>
      <c r="BB80" s="383"/>
      <c r="BC80" s="383"/>
      <c r="BD80" s="383"/>
      <c r="BE80" s="383"/>
      <c r="BF80" s="383"/>
      <c r="BG80" s="383"/>
      <c r="BH80" s="383"/>
      <c r="BI80" s="383"/>
      <c r="BJ80" s="383"/>
      <c r="BK80" s="383"/>
      <c r="BL80" s="383"/>
      <c r="BM80" s="383"/>
      <c r="BN80" s="383"/>
      <c r="BO80" s="383"/>
      <c r="BP80" s="383"/>
      <c r="BQ80" s="383"/>
      <c r="BR80" s="383"/>
      <c r="BS80" s="383"/>
      <c r="BT80" s="383"/>
      <c r="BU80" s="383"/>
      <c r="BV80" s="383"/>
      <c r="BW80" s="383"/>
      <c r="BX80" s="383"/>
      <c r="BY80" s="383"/>
      <c r="BZ80" s="383"/>
      <c r="CA80" s="383"/>
      <c r="CB80" s="383"/>
      <c r="CC80" s="383"/>
      <c r="CD80" s="383"/>
      <c r="CE80" s="383"/>
      <c r="CF80" s="383"/>
      <c r="CG80" s="383"/>
      <c r="CH80" s="383"/>
      <c r="CI80" s="383"/>
      <c r="CJ80" s="383"/>
      <c r="CK80" s="383"/>
      <c r="CL80" s="383"/>
      <c r="CM80" s="383"/>
      <c r="CN80" s="383"/>
      <c r="CO80" s="383"/>
      <c r="CP80" s="383"/>
      <c r="CQ80" s="383"/>
      <c r="CR80" s="383"/>
      <c r="CS80" s="383"/>
      <c r="CT80" s="383"/>
      <c r="CU80" s="383"/>
      <c r="CV80" s="383"/>
      <c r="CW80" s="383"/>
      <c r="CX80" s="383"/>
      <c r="CY80" s="383"/>
      <c r="CZ80" s="383"/>
      <c r="DA80" s="383"/>
      <c r="DB80" s="383"/>
      <c r="DC80" s="383"/>
      <c r="DD80" s="383"/>
      <c r="DE80" s="383"/>
      <c r="DF80" s="383"/>
      <c r="DG80" s="383"/>
      <c r="DH80" s="383"/>
      <c r="DI80" s="383"/>
      <c r="DJ80" s="383"/>
      <c r="DK80" s="383"/>
      <c r="DL80" s="383"/>
      <c r="DM80" s="383"/>
      <c r="DN80" s="383"/>
      <c r="DO80" s="383"/>
      <c r="DP80" s="383"/>
      <c r="DQ80" s="383"/>
      <c r="DR80" s="383"/>
      <c r="DS80" s="383"/>
      <c r="DT80" s="383"/>
      <c r="DU80" s="383"/>
      <c r="DV80" s="383"/>
      <c r="DW80" s="383"/>
      <c r="DX80" s="383"/>
      <c r="DY80" s="383"/>
      <c r="DZ80" s="383"/>
      <c r="EA80" s="383"/>
      <c r="EB80" s="383"/>
      <c r="EC80" s="383"/>
      <c r="ED80" s="383"/>
      <c r="EE80" s="383"/>
      <c r="EF80" s="383"/>
      <c r="EG80" s="383"/>
      <c r="EH80" s="383"/>
      <c r="EI80" s="383"/>
      <c r="EJ80" s="383"/>
      <c r="EK80" s="383"/>
      <c r="EL80" s="383"/>
      <c r="EM80" s="383"/>
      <c r="EN80" s="383"/>
      <c r="EO80" s="383"/>
      <c r="EP80" s="383"/>
      <c r="EQ80" s="383"/>
      <c r="ER80" s="383"/>
      <c r="ES80" s="383"/>
      <c r="ET80" s="383"/>
      <c r="EU80" s="383"/>
      <c r="EV80" s="383"/>
      <c r="EW80" s="383"/>
      <c r="EX80" s="383"/>
      <c r="EY80" s="383"/>
      <c r="EZ80" s="383"/>
      <c r="FA80" s="383"/>
      <c r="FB80" s="383"/>
      <c r="FC80" s="383"/>
      <c r="FD80" s="383"/>
      <c r="FE80" s="383"/>
      <c r="FF80" s="383"/>
      <c r="FG80" s="383"/>
      <c r="FH80" s="383"/>
      <c r="FI80" s="383"/>
      <c r="FJ80" s="383"/>
      <c r="FK80" s="383"/>
      <c r="FL80" s="383"/>
      <c r="FM80" s="383"/>
      <c r="FN80" s="383"/>
      <c r="FO80" s="383"/>
      <c r="FP80" s="383"/>
      <c r="FQ80" s="383"/>
      <c r="FR80" s="383"/>
      <c r="FS80" s="383"/>
      <c r="FT80" s="383"/>
      <c r="FU80" s="383"/>
      <c r="FV80" s="383"/>
      <c r="FW80" s="383"/>
      <c r="FX80" s="383"/>
      <c r="FY80" s="383"/>
      <c r="FZ80" s="383"/>
      <c r="GA80" s="383"/>
      <c r="GB80" s="383"/>
      <c r="GC80" s="383"/>
      <c r="GD80" s="383"/>
      <c r="GE80" s="383"/>
      <c r="GF80" s="383"/>
      <c r="GG80" s="383"/>
      <c r="GH80" s="383"/>
      <c r="GI80" s="383"/>
      <c r="GJ80" s="383"/>
      <c r="GK80" s="383"/>
      <c r="GL80" s="383"/>
      <c r="GM80" s="383"/>
      <c r="GN80" s="383"/>
      <c r="GO80" s="383"/>
      <c r="GP80" s="383"/>
      <c r="GQ80" s="383"/>
      <c r="GR80" s="383"/>
      <c r="GS80" s="383"/>
      <c r="GT80" s="383"/>
      <c r="GU80" s="383"/>
      <c r="GV80" s="383"/>
      <c r="GW80" s="383"/>
      <c r="GX80" s="383"/>
      <c r="GY80" s="383"/>
      <c r="GZ80" s="383"/>
      <c r="HA80" s="383"/>
      <c r="HB80" s="383"/>
      <c r="HC80" s="383"/>
      <c r="HD80" s="383"/>
      <c r="HE80" s="383"/>
      <c r="HF80" s="383"/>
      <c r="HG80" s="383"/>
      <c r="HH80" s="383"/>
      <c r="HI80" s="383"/>
      <c r="HJ80" s="383"/>
      <c r="HK80" s="383"/>
      <c r="HL80" s="383"/>
      <c r="HM80" s="383"/>
      <c r="HN80" s="383"/>
      <c r="HO80" s="383"/>
      <c r="HP80" s="383"/>
      <c r="HQ80" s="383"/>
      <c r="HR80" s="383"/>
      <c r="HS80" s="383"/>
      <c r="HT80" s="383"/>
      <c r="HU80" s="383"/>
      <c r="HV80" s="383"/>
      <c r="HW80" s="383"/>
      <c r="HX80" s="383"/>
      <c r="HY80" s="383"/>
      <c r="HZ80" s="383"/>
      <c r="IA80" s="383"/>
      <c r="IB80" s="383"/>
      <c r="IC80" s="383"/>
      <c r="ID80" s="383"/>
      <c r="IE80" s="383"/>
      <c r="IF80" s="383"/>
      <c r="IG80" s="383"/>
      <c r="IH80" s="383"/>
      <c r="II80" s="383"/>
      <c r="IJ80" s="383"/>
      <c r="IK80" s="383"/>
      <c r="IL80" s="383"/>
      <c r="IM80" s="383"/>
      <c r="IN80" s="383"/>
      <c r="IO80" s="383"/>
      <c r="IP80" s="383"/>
      <c r="IQ80" s="383"/>
      <c r="IR80" s="383"/>
      <c r="IS80" s="383"/>
      <c r="IT80" s="383"/>
      <c r="IU80" s="383"/>
      <c r="IV80" s="383"/>
      <c r="IW80" s="383"/>
    </row>
    <row r="81" customFormat="false" ht="12.75" hidden="false" customHeight="false" outlineLevel="0" collapsed="false">
      <c r="A81" s="924"/>
      <c r="B81" s="924"/>
      <c r="C81" s="924"/>
      <c r="D81" s="383"/>
      <c r="E81" s="383"/>
      <c r="F81" s="1246"/>
      <c r="G81" s="383"/>
      <c r="H81" s="383"/>
      <c r="I81" s="383"/>
      <c r="J81" s="383"/>
      <c r="K81" s="383"/>
      <c r="L81" s="383"/>
      <c r="M81" s="383"/>
      <c r="N81" s="383"/>
      <c r="O81" s="383"/>
      <c r="P81" s="383"/>
      <c r="Q81" s="383"/>
      <c r="R81" s="383"/>
      <c r="S81" s="383"/>
      <c r="T81" s="383"/>
      <c r="U81" s="383"/>
      <c r="V81" s="383"/>
      <c r="W81" s="383"/>
      <c r="X81" s="383"/>
      <c r="Y81" s="383"/>
      <c r="Z81" s="383"/>
      <c r="AA81" s="383"/>
      <c r="AB81" s="383"/>
      <c r="AC81" s="383"/>
      <c r="AD81" s="383"/>
      <c r="AE81" s="383"/>
      <c r="AF81" s="383"/>
      <c r="AG81" s="383"/>
      <c r="AH81" s="383"/>
      <c r="AI81" s="383"/>
      <c r="AJ81" s="383"/>
      <c r="AK81" s="383"/>
      <c r="AL81" s="383"/>
      <c r="AM81" s="383"/>
      <c r="AN81" s="383"/>
      <c r="AO81" s="383"/>
      <c r="AP81" s="383"/>
      <c r="AQ81" s="383"/>
      <c r="AR81" s="383"/>
      <c r="AS81" s="383"/>
      <c r="AT81" s="383"/>
      <c r="AU81" s="383"/>
      <c r="AV81" s="383"/>
      <c r="AW81" s="383"/>
      <c r="AX81" s="383"/>
      <c r="AY81" s="383"/>
      <c r="AZ81" s="383"/>
      <c r="BA81" s="383"/>
      <c r="BB81" s="383"/>
      <c r="BC81" s="383"/>
      <c r="BD81" s="383"/>
      <c r="BE81" s="383"/>
      <c r="BF81" s="383"/>
      <c r="BG81" s="383"/>
      <c r="BH81" s="383"/>
      <c r="BI81" s="383"/>
      <c r="BJ81" s="383"/>
      <c r="BK81" s="383"/>
      <c r="BL81" s="383"/>
      <c r="BM81" s="383"/>
      <c r="BN81" s="383"/>
      <c r="BO81" s="383"/>
      <c r="BP81" s="383"/>
      <c r="BQ81" s="383"/>
      <c r="BR81" s="383"/>
      <c r="BS81" s="383"/>
      <c r="BT81" s="383"/>
      <c r="BU81" s="383"/>
      <c r="BV81" s="383"/>
      <c r="BW81" s="383"/>
      <c r="BX81" s="383"/>
      <c r="BY81" s="383"/>
      <c r="BZ81" s="383"/>
      <c r="CA81" s="383"/>
      <c r="CB81" s="383"/>
      <c r="CC81" s="383"/>
      <c r="CD81" s="383"/>
      <c r="CE81" s="383"/>
      <c r="CF81" s="383"/>
      <c r="CG81" s="383"/>
      <c r="CH81" s="383"/>
      <c r="CI81" s="383"/>
      <c r="CJ81" s="383"/>
      <c r="CK81" s="383"/>
      <c r="CL81" s="383"/>
      <c r="CM81" s="383"/>
      <c r="CN81" s="383"/>
      <c r="CO81" s="383"/>
      <c r="CP81" s="383"/>
      <c r="CQ81" s="383"/>
      <c r="CR81" s="383"/>
      <c r="CS81" s="383"/>
      <c r="CT81" s="383"/>
      <c r="CU81" s="383"/>
      <c r="CV81" s="383"/>
      <c r="CW81" s="383"/>
      <c r="CX81" s="383"/>
      <c r="CY81" s="383"/>
      <c r="CZ81" s="383"/>
      <c r="DA81" s="383"/>
      <c r="DB81" s="383"/>
      <c r="DC81" s="383"/>
      <c r="DD81" s="383"/>
      <c r="DE81" s="383"/>
      <c r="DF81" s="383"/>
      <c r="DG81" s="383"/>
      <c r="DH81" s="383"/>
      <c r="DI81" s="383"/>
      <c r="DJ81" s="383"/>
      <c r="DK81" s="383"/>
      <c r="DL81" s="383"/>
      <c r="DM81" s="383"/>
      <c r="DN81" s="383"/>
      <c r="DO81" s="383"/>
      <c r="DP81" s="383"/>
      <c r="DQ81" s="383"/>
      <c r="DR81" s="383"/>
      <c r="DS81" s="383"/>
      <c r="DT81" s="383"/>
      <c r="DU81" s="383"/>
      <c r="DV81" s="383"/>
      <c r="DW81" s="383"/>
      <c r="DX81" s="383"/>
      <c r="DY81" s="383"/>
      <c r="DZ81" s="383"/>
      <c r="EA81" s="383"/>
      <c r="EB81" s="383"/>
      <c r="EC81" s="383"/>
      <c r="ED81" s="383"/>
      <c r="EE81" s="383"/>
      <c r="EF81" s="383"/>
      <c r="EG81" s="383"/>
      <c r="EH81" s="383"/>
      <c r="EI81" s="383"/>
      <c r="EJ81" s="383"/>
      <c r="EK81" s="383"/>
      <c r="EL81" s="383"/>
      <c r="EM81" s="383"/>
      <c r="EN81" s="383"/>
      <c r="EO81" s="383"/>
      <c r="EP81" s="383"/>
      <c r="EQ81" s="383"/>
      <c r="ER81" s="383"/>
      <c r="ES81" s="383"/>
      <c r="ET81" s="383"/>
      <c r="EU81" s="383"/>
      <c r="EV81" s="383"/>
      <c r="EW81" s="383"/>
      <c r="EX81" s="383"/>
      <c r="EY81" s="383"/>
      <c r="EZ81" s="383"/>
      <c r="FA81" s="383"/>
      <c r="FB81" s="383"/>
      <c r="FC81" s="383"/>
      <c r="FD81" s="383"/>
      <c r="FE81" s="383"/>
      <c r="FF81" s="383"/>
      <c r="FG81" s="383"/>
      <c r="FH81" s="383"/>
      <c r="FI81" s="383"/>
      <c r="FJ81" s="383"/>
      <c r="FK81" s="383"/>
      <c r="FL81" s="383"/>
      <c r="FM81" s="383"/>
      <c r="FN81" s="383"/>
      <c r="FO81" s="383"/>
      <c r="FP81" s="383"/>
      <c r="FQ81" s="383"/>
      <c r="FR81" s="383"/>
      <c r="FS81" s="383"/>
      <c r="FT81" s="383"/>
      <c r="FU81" s="383"/>
      <c r="FV81" s="383"/>
      <c r="FW81" s="383"/>
      <c r="FX81" s="383"/>
      <c r="FY81" s="383"/>
      <c r="FZ81" s="383"/>
      <c r="GA81" s="383"/>
      <c r="GB81" s="383"/>
      <c r="GC81" s="383"/>
      <c r="GD81" s="383"/>
      <c r="GE81" s="383"/>
      <c r="GF81" s="383"/>
      <c r="GG81" s="383"/>
      <c r="GH81" s="383"/>
      <c r="GI81" s="383"/>
      <c r="GJ81" s="383"/>
      <c r="GK81" s="383"/>
      <c r="GL81" s="383"/>
      <c r="GM81" s="383"/>
      <c r="GN81" s="383"/>
      <c r="GO81" s="383"/>
      <c r="GP81" s="383"/>
      <c r="GQ81" s="383"/>
      <c r="GR81" s="383"/>
      <c r="GS81" s="383"/>
      <c r="GT81" s="383"/>
      <c r="GU81" s="383"/>
      <c r="GV81" s="383"/>
      <c r="GW81" s="383"/>
      <c r="GX81" s="383"/>
      <c r="GY81" s="383"/>
      <c r="GZ81" s="383"/>
      <c r="HA81" s="383"/>
      <c r="HB81" s="383"/>
      <c r="HC81" s="383"/>
      <c r="HD81" s="383"/>
      <c r="HE81" s="383"/>
      <c r="HF81" s="383"/>
      <c r="HG81" s="383"/>
      <c r="HH81" s="383"/>
      <c r="HI81" s="383"/>
      <c r="HJ81" s="383"/>
      <c r="HK81" s="383"/>
      <c r="HL81" s="383"/>
      <c r="HM81" s="383"/>
      <c r="HN81" s="383"/>
      <c r="HO81" s="383"/>
      <c r="HP81" s="383"/>
      <c r="HQ81" s="383"/>
      <c r="HR81" s="383"/>
      <c r="HS81" s="383"/>
      <c r="HT81" s="383"/>
      <c r="HU81" s="383"/>
      <c r="HV81" s="383"/>
      <c r="HW81" s="383"/>
      <c r="HX81" s="383"/>
      <c r="HY81" s="383"/>
      <c r="HZ81" s="383"/>
      <c r="IA81" s="383"/>
      <c r="IB81" s="383"/>
      <c r="IC81" s="383"/>
      <c r="ID81" s="383"/>
      <c r="IE81" s="383"/>
      <c r="IF81" s="383"/>
      <c r="IG81" s="383"/>
      <c r="IH81" s="383"/>
      <c r="II81" s="383"/>
      <c r="IJ81" s="383"/>
      <c r="IK81" s="383"/>
      <c r="IL81" s="383"/>
      <c r="IM81" s="383"/>
      <c r="IN81" s="383"/>
      <c r="IO81" s="383"/>
      <c r="IP81" s="383"/>
      <c r="IQ81" s="383"/>
      <c r="IR81" s="383"/>
      <c r="IS81" s="383"/>
      <c r="IT81" s="383"/>
      <c r="IU81" s="383"/>
      <c r="IV81" s="383"/>
      <c r="IW81" s="383"/>
    </row>
    <row r="82" customFormat="false" ht="12.75" hidden="false" customHeight="false" outlineLevel="0" collapsed="false">
      <c r="A82" s="1247" t="s">
        <v>1577</v>
      </c>
      <c r="B82" s="924"/>
      <c r="C82" s="924"/>
      <c r="D82" s="383"/>
      <c r="E82" s="383"/>
      <c r="F82" s="1246"/>
      <c r="G82" s="383"/>
      <c r="H82" s="383"/>
      <c r="I82" s="383"/>
      <c r="J82" s="383"/>
      <c r="K82" s="383"/>
      <c r="L82" s="383"/>
      <c r="M82" s="383"/>
      <c r="N82" s="383"/>
      <c r="O82" s="383"/>
      <c r="P82" s="383"/>
      <c r="Q82" s="383"/>
      <c r="R82" s="383"/>
      <c r="S82" s="383"/>
      <c r="T82" s="383"/>
      <c r="U82" s="383"/>
      <c r="V82" s="383"/>
      <c r="W82" s="383"/>
      <c r="X82" s="383"/>
      <c r="Y82" s="383"/>
      <c r="Z82" s="383"/>
      <c r="AA82" s="383"/>
      <c r="AB82" s="383"/>
      <c r="AC82" s="383"/>
      <c r="AD82" s="383"/>
      <c r="AE82" s="383"/>
      <c r="AF82" s="383"/>
      <c r="AG82" s="383"/>
      <c r="AH82" s="383"/>
      <c r="AI82" s="383"/>
      <c r="AJ82" s="383"/>
      <c r="AK82" s="383"/>
      <c r="AL82" s="383"/>
      <c r="AM82" s="383"/>
      <c r="AN82" s="383"/>
      <c r="AO82" s="383"/>
      <c r="AP82" s="383"/>
      <c r="AQ82" s="383"/>
      <c r="AR82" s="383"/>
      <c r="AS82" s="383"/>
      <c r="AT82" s="383"/>
      <c r="AU82" s="383"/>
      <c r="AV82" s="383"/>
      <c r="AW82" s="383"/>
      <c r="AX82" s="383"/>
      <c r="AY82" s="383"/>
      <c r="AZ82" s="383"/>
      <c r="BA82" s="383"/>
      <c r="BB82" s="383"/>
      <c r="BC82" s="383"/>
      <c r="BD82" s="383"/>
      <c r="BE82" s="383"/>
      <c r="BF82" s="383"/>
      <c r="BG82" s="383"/>
      <c r="BH82" s="383"/>
      <c r="BI82" s="383"/>
      <c r="BJ82" s="383"/>
      <c r="BK82" s="383"/>
      <c r="BL82" s="383"/>
      <c r="BM82" s="383"/>
      <c r="BN82" s="383"/>
      <c r="BO82" s="383"/>
      <c r="BP82" s="383"/>
      <c r="BQ82" s="383"/>
      <c r="BR82" s="383"/>
      <c r="BS82" s="383"/>
      <c r="BT82" s="383"/>
      <c r="BU82" s="383"/>
      <c r="BV82" s="383"/>
      <c r="BW82" s="383"/>
      <c r="BX82" s="383"/>
      <c r="BY82" s="383"/>
      <c r="BZ82" s="383"/>
      <c r="CA82" s="383"/>
      <c r="CB82" s="383"/>
      <c r="CC82" s="383"/>
      <c r="CD82" s="383"/>
      <c r="CE82" s="383"/>
      <c r="CF82" s="383"/>
      <c r="CG82" s="383"/>
      <c r="CH82" s="383"/>
      <c r="CI82" s="383"/>
      <c r="CJ82" s="383"/>
      <c r="CK82" s="383"/>
      <c r="CL82" s="383"/>
      <c r="CM82" s="383"/>
      <c r="CN82" s="383"/>
      <c r="CO82" s="383"/>
      <c r="CP82" s="383"/>
      <c r="CQ82" s="383"/>
      <c r="CR82" s="383"/>
      <c r="CS82" s="383"/>
      <c r="CT82" s="383"/>
      <c r="CU82" s="383"/>
      <c r="CV82" s="383"/>
      <c r="CW82" s="383"/>
      <c r="CX82" s="383"/>
      <c r="CY82" s="383"/>
      <c r="CZ82" s="383"/>
      <c r="DA82" s="383"/>
      <c r="DB82" s="383"/>
      <c r="DC82" s="383"/>
      <c r="DD82" s="383"/>
      <c r="DE82" s="383"/>
      <c r="DF82" s="383"/>
      <c r="DG82" s="383"/>
      <c r="DH82" s="383"/>
      <c r="DI82" s="383"/>
      <c r="DJ82" s="383"/>
      <c r="DK82" s="383"/>
      <c r="DL82" s="383"/>
      <c r="DM82" s="383"/>
      <c r="DN82" s="383"/>
      <c r="DO82" s="383"/>
      <c r="DP82" s="383"/>
      <c r="DQ82" s="383"/>
      <c r="DR82" s="383"/>
      <c r="DS82" s="383"/>
      <c r="DT82" s="383"/>
      <c r="DU82" s="383"/>
      <c r="DV82" s="383"/>
      <c r="DW82" s="383"/>
      <c r="DX82" s="383"/>
      <c r="DY82" s="383"/>
      <c r="DZ82" s="383"/>
      <c r="EA82" s="383"/>
      <c r="EB82" s="383"/>
      <c r="EC82" s="383"/>
      <c r="ED82" s="383"/>
      <c r="EE82" s="383"/>
      <c r="EF82" s="383"/>
      <c r="EG82" s="383"/>
      <c r="EH82" s="383"/>
      <c r="EI82" s="383"/>
      <c r="EJ82" s="383"/>
      <c r="EK82" s="383"/>
      <c r="EL82" s="383"/>
      <c r="EM82" s="383"/>
      <c r="EN82" s="383"/>
      <c r="EO82" s="383"/>
      <c r="EP82" s="383"/>
      <c r="EQ82" s="383"/>
      <c r="ER82" s="383"/>
      <c r="ES82" s="383"/>
      <c r="ET82" s="383"/>
      <c r="EU82" s="383"/>
      <c r="EV82" s="383"/>
      <c r="EW82" s="383"/>
      <c r="EX82" s="383"/>
      <c r="EY82" s="383"/>
      <c r="EZ82" s="383"/>
      <c r="FA82" s="383"/>
      <c r="FB82" s="383"/>
      <c r="FC82" s="383"/>
      <c r="FD82" s="383"/>
      <c r="FE82" s="383"/>
      <c r="FF82" s="383"/>
      <c r="FG82" s="383"/>
      <c r="FH82" s="383"/>
      <c r="FI82" s="383"/>
      <c r="FJ82" s="383"/>
      <c r="FK82" s="383"/>
      <c r="FL82" s="383"/>
      <c r="FM82" s="383"/>
      <c r="FN82" s="383"/>
      <c r="FO82" s="383"/>
      <c r="FP82" s="383"/>
      <c r="FQ82" s="383"/>
      <c r="FR82" s="383"/>
      <c r="FS82" s="383"/>
      <c r="FT82" s="383"/>
      <c r="FU82" s="383"/>
      <c r="FV82" s="383"/>
      <c r="FW82" s="383"/>
      <c r="FX82" s="383"/>
      <c r="FY82" s="383"/>
      <c r="FZ82" s="383"/>
      <c r="GA82" s="383"/>
      <c r="GB82" s="383"/>
      <c r="GC82" s="383"/>
      <c r="GD82" s="383"/>
      <c r="GE82" s="383"/>
      <c r="GF82" s="383"/>
      <c r="GG82" s="383"/>
      <c r="GH82" s="383"/>
      <c r="GI82" s="383"/>
      <c r="GJ82" s="383"/>
      <c r="GK82" s="383"/>
      <c r="GL82" s="383"/>
      <c r="GM82" s="383"/>
      <c r="GN82" s="383"/>
      <c r="GO82" s="383"/>
      <c r="GP82" s="383"/>
      <c r="GQ82" s="383"/>
      <c r="GR82" s="383"/>
      <c r="GS82" s="383"/>
      <c r="GT82" s="383"/>
      <c r="GU82" s="383"/>
      <c r="GV82" s="383"/>
      <c r="GW82" s="383"/>
      <c r="GX82" s="383"/>
      <c r="GY82" s="383"/>
      <c r="GZ82" s="383"/>
      <c r="HA82" s="383"/>
      <c r="HB82" s="383"/>
      <c r="HC82" s="383"/>
      <c r="HD82" s="383"/>
      <c r="HE82" s="383"/>
      <c r="HF82" s="383"/>
      <c r="HG82" s="383"/>
      <c r="HH82" s="383"/>
      <c r="HI82" s="383"/>
      <c r="HJ82" s="383"/>
      <c r="HK82" s="383"/>
      <c r="HL82" s="383"/>
      <c r="HM82" s="383"/>
      <c r="HN82" s="383"/>
      <c r="HO82" s="383"/>
      <c r="HP82" s="383"/>
      <c r="HQ82" s="383"/>
      <c r="HR82" s="383"/>
      <c r="HS82" s="383"/>
      <c r="HT82" s="383"/>
      <c r="HU82" s="383"/>
      <c r="HV82" s="383"/>
      <c r="HW82" s="383"/>
      <c r="HX82" s="383"/>
      <c r="HY82" s="383"/>
      <c r="HZ82" s="383"/>
      <c r="IA82" s="383"/>
      <c r="IB82" s="383"/>
      <c r="IC82" s="383"/>
      <c r="ID82" s="383"/>
      <c r="IE82" s="383"/>
      <c r="IF82" s="383"/>
      <c r="IG82" s="383"/>
      <c r="IH82" s="383"/>
      <c r="II82" s="383"/>
      <c r="IJ82" s="383"/>
      <c r="IK82" s="383"/>
      <c r="IL82" s="383"/>
      <c r="IM82" s="383"/>
      <c r="IN82" s="383"/>
      <c r="IO82" s="383"/>
      <c r="IP82" s="383"/>
      <c r="IQ82" s="383"/>
      <c r="IR82" s="383"/>
      <c r="IS82" s="383"/>
      <c r="IT82" s="383"/>
      <c r="IU82" s="383"/>
      <c r="IV82" s="383"/>
      <c r="IW82" s="383"/>
    </row>
    <row r="83" customFormat="false" ht="12.75" hidden="false" customHeight="false" outlineLevel="0" collapsed="false">
      <c r="A83" s="924" t="s">
        <v>1578</v>
      </c>
      <c r="B83" s="924"/>
      <c r="C83" s="924"/>
      <c r="D83" s="383"/>
      <c r="E83" s="383"/>
      <c r="F83" s="1248" t="s">
        <v>1575</v>
      </c>
      <c r="G83" s="1249" t="s">
        <v>1575</v>
      </c>
      <c r="H83" s="1249" t="s">
        <v>1575</v>
      </c>
      <c r="I83" s="1249" t="s">
        <v>1575</v>
      </c>
      <c r="J83" s="1249" t="s">
        <v>1575</v>
      </c>
      <c r="K83" s="1249" t="s">
        <v>1575</v>
      </c>
      <c r="L83" s="1249" t="s">
        <v>1575</v>
      </c>
      <c r="M83" s="1249" t="s">
        <v>1575</v>
      </c>
      <c r="N83" s="1249" t="s">
        <v>1575</v>
      </c>
      <c r="O83" s="1249" t="s">
        <v>1575</v>
      </c>
      <c r="P83" s="1249" t="s">
        <v>1575</v>
      </c>
      <c r="Q83" s="1249" t="s">
        <v>1575</v>
      </c>
      <c r="R83" s="1249" t="s">
        <v>1575</v>
      </c>
      <c r="S83" s="1249" t="s">
        <v>1575</v>
      </c>
      <c r="T83" s="1249" t="s">
        <v>1575</v>
      </c>
      <c r="U83" s="1249" t="s">
        <v>1575</v>
      </c>
      <c r="V83" s="1249" t="s">
        <v>1575</v>
      </c>
      <c r="W83" s="1249" t="s">
        <v>1575</v>
      </c>
      <c r="X83" s="1249" t="s">
        <v>1575</v>
      </c>
      <c r="Y83" s="1249" t="s">
        <v>1575</v>
      </c>
      <c r="Z83" s="1249" t="s">
        <v>1575</v>
      </c>
      <c r="AA83" s="1249" t="s">
        <v>1575</v>
      </c>
      <c r="AB83" s="1249" t="s">
        <v>1575</v>
      </c>
      <c r="AC83" s="1249" t="s">
        <v>1575</v>
      </c>
      <c r="AD83" s="383"/>
      <c r="AE83" s="383"/>
      <c r="AF83" s="383"/>
      <c r="AG83" s="383"/>
      <c r="AH83" s="383"/>
      <c r="AI83" s="383"/>
      <c r="AJ83" s="383"/>
      <c r="AK83" s="383"/>
      <c r="AL83" s="383"/>
      <c r="AM83" s="383"/>
      <c r="AN83" s="383"/>
      <c r="AO83" s="383"/>
      <c r="AP83" s="383"/>
      <c r="AQ83" s="383"/>
      <c r="AR83" s="383"/>
      <c r="AS83" s="383"/>
      <c r="AT83" s="383"/>
      <c r="AU83" s="383"/>
      <c r="AV83" s="383"/>
      <c r="AW83" s="383"/>
      <c r="AX83" s="383"/>
      <c r="AY83" s="383"/>
      <c r="AZ83" s="383"/>
      <c r="BA83" s="383"/>
      <c r="BB83" s="383"/>
      <c r="BC83" s="383"/>
      <c r="BD83" s="383"/>
      <c r="BE83" s="383"/>
      <c r="BF83" s="383"/>
      <c r="BG83" s="383"/>
      <c r="BH83" s="383"/>
      <c r="BI83" s="383"/>
      <c r="BJ83" s="383"/>
      <c r="BK83" s="383"/>
      <c r="BL83" s="383"/>
      <c r="BM83" s="383"/>
      <c r="BN83" s="383"/>
      <c r="BO83" s="383"/>
      <c r="BP83" s="383"/>
      <c r="BQ83" s="383"/>
      <c r="BR83" s="383"/>
      <c r="BS83" s="383"/>
      <c r="BT83" s="383"/>
      <c r="BU83" s="383"/>
      <c r="BV83" s="383"/>
      <c r="BW83" s="383"/>
      <c r="BX83" s="383"/>
      <c r="BY83" s="383"/>
      <c r="BZ83" s="383"/>
      <c r="CA83" s="383"/>
      <c r="CB83" s="383"/>
      <c r="CC83" s="383"/>
      <c r="CD83" s="383"/>
      <c r="CE83" s="383"/>
      <c r="CF83" s="383"/>
      <c r="CG83" s="383"/>
      <c r="CH83" s="383"/>
      <c r="CI83" s="383"/>
      <c r="CJ83" s="383"/>
      <c r="CK83" s="383"/>
      <c r="CL83" s="383"/>
      <c r="CM83" s="383"/>
      <c r="CN83" s="383"/>
      <c r="CO83" s="383"/>
      <c r="CP83" s="383"/>
      <c r="CQ83" s="383"/>
      <c r="CR83" s="383"/>
      <c r="CS83" s="383"/>
      <c r="CT83" s="383"/>
      <c r="CU83" s="383"/>
      <c r="CV83" s="383"/>
      <c r="CW83" s="383"/>
      <c r="CX83" s="383"/>
      <c r="CY83" s="383"/>
      <c r="CZ83" s="383"/>
      <c r="DA83" s="383"/>
      <c r="DB83" s="383"/>
      <c r="DC83" s="383"/>
      <c r="DD83" s="383"/>
      <c r="DE83" s="383"/>
      <c r="DF83" s="383"/>
      <c r="DG83" s="383"/>
      <c r="DH83" s="383"/>
      <c r="DI83" s="383"/>
      <c r="DJ83" s="383"/>
      <c r="DK83" s="383"/>
      <c r="DL83" s="383"/>
      <c r="DM83" s="383"/>
      <c r="DN83" s="383"/>
      <c r="DO83" s="383"/>
      <c r="DP83" s="383"/>
      <c r="DQ83" s="383"/>
      <c r="DR83" s="383"/>
      <c r="DS83" s="383"/>
      <c r="DT83" s="383"/>
      <c r="DU83" s="383"/>
      <c r="DV83" s="383"/>
      <c r="DW83" s="383"/>
      <c r="DX83" s="383"/>
      <c r="DY83" s="383"/>
      <c r="DZ83" s="383"/>
      <c r="EA83" s="383"/>
      <c r="EB83" s="383"/>
      <c r="EC83" s="383"/>
      <c r="ED83" s="383"/>
      <c r="EE83" s="383"/>
      <c r="EF83" s="383"/>
      <c r="EG83" s="383"/>
      <c r="EH83" s="383"/>
      <c r="EI83" s="383"/>
      <c r="EJ83" s="383"/>
      <c r="EK83" s="383"/>
      <c r="EL83" s="383"/>
      <c r="EM83" s="383"/>
      <c r="EN83" s="383"/>
      <c r="EO83" s="383"/>
      <c r="EP83" s="383"/>
      <c r="EQ83" s="383"/>
      <c r="ER83" s="383"/>
      <c r="ES83" s="383"/>
      <c r="ET83" s="383"/>
      <c r="EU83" s="383"/>
      <c r="EV83" s="383"/>
      <c r="EW83" s="383"/>
      <c r="EX83" s="383"/>
      <c r="EY83" s="383"/>
      <c r="EZ83" s="383"/>
      <c r="FA83" s="383"/>
      <c r="FB83" s="383"/>
      <c r="FC83" s="383"/>
      <c r="FD83" s="383"/>
      <c r="FE83" s="383"/>
      <c r="FF83" s="383"/>
      <c r="FG83" s="383"/>
      <c r="FH83" s="383"/>
      <c r="FI83" s="383"/>
      <c r="FJ83" s="383"/>
      <c r="FK83" s="383"/>
      <c r="FL83" s="383"/>
      <c r="FM83" s="383"/>
      <c r="FN83" s="383"/>
      <c r="FO83" s="383"/>
      <c r="FP83" s="383"/>
      <c r="FQ83" s="383"/>
      <c r="FR83" s="383"/>
      <c r="FS83" s="383"/>
      <c r="FT83" s="383"/>
      <c r="FU83" s="383"/>
      <c r="FV83" s="383"/>
      <c r="FW83" s="383"/>
      <c r="FX83" s="383"/>
      <c r="FY83" s="383"/>
      <c r="FZ83" s="383"/>
      <c r="GA83" s="383"/>
      <c r="GB83" s="383"/>
      <c r="GC83" s="383"/>
      <c r="GD83" s="383"/>
      <c r="GE83" s="383"/>
      <c r="GF83" s="383"/>
      <c r="GG83" s="383"/>
      <c r="GH83" s="383"/>
      <c r="GI83" s="383"/>
      <c r="GJ83" s="383"/>
      <c r="GK83" s="383"/>
      <c r="GL83" s="383"/>
      <c r="GM83" s="383"/>
      <c r="GN83" s="383"/>
      <c r="GO83" s="383"/>
      <c r="GP83" s="383"/>
      <c r="GQ83" s="383"/>
      <c r="GR83" s="383"/>
      <c r="GS83" s="383"/>
      <c r="GT83" s="383"/>
      <c r="GU83" s="383"/>
      <c r="GV83" s="383"/>
      <c r="GW83" s="383"/>
      <c r="GX83" s="383"/>
      <c r="GY83" s="383"/>
      <c r="GZ83" s="383"/>
      <c r="HA83" s="383"/>
      <c r="HB83" s="383"/>
      <c r="HC83" s="383"/>
      <c r="HD83" s="383"/>
      <c r="HE83" s="383"/>
      <c r="HF83" s="383"/>
      <c r="HG83" s="383"/>
      <c r="HH83" s="383"/>
      <c r="HI83" s="383"/>
      <c r="HJ83" s="383"/>
      <c r="HK83" s="383"/>
      <c r="HL83" s="383"/>
      <c r="HM83" s="383"/>
      <c r="HN83" s="383"/>
      <c r="HO83" s="383"/>
      <c r="HP83" s="383"/>
      <c r="HQ83" s="383"/>
      <c r="HR83" s="383"/>
      <c r="HS83" s="383"/>
      <c r="HT83" s="383"/>
      <c r="HU83" s="383"/>
      <c r="HV83" s="383"/>
      <c r="HW83" s="383"/>
      <c r="HX83" s="383"/>
      <c r="HY83" s="383"/>
      <c r="HZ83" s="383"/>
      <c r="IA83" s="383"/>
      <c r="IB83" s="383"/>
      <c r="IC83" s="383"/>
      <c r="ID83" s="383"/>
      <c r="IE83" s="383"/>
      <c r="IF83" s="383"/>
      <c r="IG83" s="383"/>
      <c r="IH83" s="383"/>
      <c r="II83" s="383"/>
      <c r="IJ83" s="383"/>
      <c r="IK83" s="383"/>
      <c r="IL83" s="383"/>
      <c r="IM83" s="383"/>
      <c r="IN83" s="383"/>
      <c r="IO83" s="383"/>
      <c r="IP83" s="383"/>
      <c r="IQ83" s="383"/>
      <c r="IR83" s="383"/>
      <c r="IS83" s="383"/>
      <c r="IT83" s="383"/>
      <c r="IU83" s="383"/>
      <c r="IV83" s="383"/>
      <c r="IW83" s="383"/>
    </row>
    <row r="84" customFormat="false" ht="12.75" hidden="false" customHeight="false" outlineLevel="0" collapsed="false">
      <c r="A84" s="924" t="s">
        <v>1579</v>
      </c>
      <c r="B84" s="924"/>
      <c r="C84" s="924"/>
      <c r="D84" s="383"/>
      <c r="E84" s="383"/>
      <c r="F84" s="1248" t="s">
        <v>1575</v>
      </c>
      <c r="G84" s="1249" t="s">
        <v>1575</v>
      </c>
      <c r="H84" s="1249" t="s">
        <v>1575</v>
      </c>
      <c r="I84" s="1249" t="s">
        <v>1575</v>
      </c>
      <c r="J84" s="1249" t="s">
        <v>1575</v>
      </c>
      <c r="K84" s="1249" t="s">
        <v>1575</v>
      </c>
      <c r="L84" s="1249" t="s">
        <v>1575</v>
      </c>
      <c r="M84" s="1249" t="s">
        <v>1575</v>
      </c>
      <c r="N84" s="1249" t="s">
        <v>1575</v>
      </c>
      <c r="O84" s="1249" t="s">
        <v>1575</v>
      </c>
      <c r="P84" s="1249" t="s">
        <v>1575</v>
      </c>
      <c r="Q84" s="1249" t="s">
        <v>1575</v>
      </c>
      <c r="R84" s="1249" t="s">
        <v>1575</v>
      </c>
      <c r="S84" s="1249" t="s">
        <v>1575</v>
      </c>
      <c r="T84" s="1249" t="s">
        <v>1575</v>
      </c>
      <c r="U84" s="1249" t="s">
        <v>1575</v>
      </c>
      <c r="V84" s="1249" t="s">
        <v>1575</v>
      </c>
      <c r="W84" s="1249" t="s">
        <v>1575</v>
      </c>
      <c r="X84" s="1249" t="s">
        <v>1575</v>
      </c>
      <c r="Y84" s="1249" t="s">
        <v>1575</v>
      </c>
      <c r="Z84" s="1249" t="s">
        <v>1575</v>
      </c>
      <c r="AA84" s="1249" t="s">
        <v>1575</v>
      </c>
      <c r="AB84" s="1249" t="s">
        <v>1575</v>
      </c>
      <c r="AC84" s="1249" t="s">
        <v>1575</v>
      </c>
      <c r="AD84" s="383"/>
      <c r="AE84" s="383"/>
      <c r="AF84" s="383"/>
      <c r="AG84" s="383"/>
      <c r="AH84" s="383"/>
      <c r="AI84" s="383"/>
      <c r="AJ84" s="383"/>
      <c r="AK84" s="383"/>
      <c r="AL84" s="383"/>
      <c r="AM84" s="383"/>
      <c r="AN84" s="383"/>
      <c r="AO84" s="383"/>
      <c r="AP84" s="383"/>
      <c r="AQ84" s="383"/>
      <c r="AR84" s="383"/>
      <c r="AS84" s="383"/>
      <c r="AT84" s="383"/>
      <c r="AU84" s="383"/>
      <c r="AV84" s="383"/>
      <c r="AW84" s="383"/>
      <c r="AX84" s="383"/>
      <c r="AY84" s="383"/>
      <c r="AZ84" s="383"/>
      <c r="BA84" s="383"/>
      <c r="BB84" s="383"/>
      <c r="BC84" s="383"/>
      <c r="BD84" s="383"/>
      <c r="BE84" s="383"/>
      <c r="BF84" s="383"/>
      <c r="BG84" s="383"/>
      <c r="BH84" s="383"/>
      <c r="BI84" s="383"/>
      <c r="BJ84" s="383"/>
      <c r="BK84" s="383"/>
      <c r="BL84" s="383"/>
      <c r="BM84" s="383"/>
      <c r="BN84" s="383"/>
      <c r="BO84" s="383"/>
      <c r="BP84" s="383"/>
      <c r="BQ84" s="383"/>
      <c r="BR84" s="383"/>
      <c r="BS84" s="383"/>
      <c r="BT84" s="383"/>
      <c r="BU84" s="383"/>
      <c r="BV84" s="383"/>
      <c r="BW84" s="383"/>
      <c r="BX84" s="383"/>
      <c r="BY84" s="383"/>
      <c r="BZ84" s="383"/>
      <c r="CA84" s="383"/>
      <c r="CB84" s="383"/>
      <c r="CC84" s="383"/>
      <c r="CD84" s="383"/>
      <c r="CE84" s="383"/>
      <c r="CF84" s="383"/>
      <c r="CG84" s="383"/>
      <c r="CH84" s="383"/>
      <c r="CI84" s="383"/>
      <c r="CJ84" s="383"/>
      <c r="CK84" s="383"/>
      <c r="CL84" s="383"/>
      <c r="CM84" s="383"/>
      <c r="CN84" s="383"/>
      <c r="CO84" s="383"/>
      <c r="CP84" s="383"/>
      <c r="CQ84" s="383"/>
      <c r="CR84" s="383"/>
      <c r="CS84" s="383"/>
      <c r="CT84" s="383"/>
      <c r="CU84" s="383"/>
      <c r="CV84" s="383"/>
      <c r="CW84" s="383"/>
      <c r="CX84" s="383"/>
      <c r="CY84" s="383"/>
      <c r="CZ84" s="383"/>
      <c r="DA84" s="383"/>
      <c r="DB84" s="383"/>
      <c r="DC84" s="383"/>
      <c r="DD84" s="383"/>
      <c r="DE84" s="383"/>
      <c r="DF84" s="383"/>
      <c r="DG84" s="383"/>
      <c r="DH84" s="383"/>
      <c r="DI84" s="383"/>
      <c r="DJ84" s="383"/>
      <c r="DK84" s="383"/>
      <c r="DL84" s="383"/>
      <c r="DM84" s="383"/>
      <c r="DN84" s="383"/>
      <c r="DO84" s="383"/>
      <c r="DP84" s="383"/>
      <c r="DQ84" s="383"/>
      <c r="DR84" s="383"/>
      <c r="DS84" s="383"/>
      <c r="DT84" s="383"/>
      <c r="DU84" s="383"/>
      <c r="DV84" s="383"/>
      <c r="DW84" s="383"/>
      <c r="DX84" s="383"/>
      <c r="DY84" s="383"/>
      <c r="DZ84" s="383"/>
      <c r="EA84" s="383"/>
      <c r="EB84" s="383"/>
      <c r="EC84" s="383"/>
      <c r="ED84" s="383"/>
      <c r="EE84" s="383"/>
      <c r="EF84" s="383"/>
      <c r="EG84" s="383"/>
      <c r="EH84" s="383"/>
      <c r="EI84" s="383"/>
      <c r="EJ84" s="383"/>
      <c r="EK84" s="383"/>
      <c r="EL84" s="383"/>
      <c r="EM84" s="383"/>
      <c r="EN84" s="383"/>
      <c r="EO84" s="383"/>
      <c r="EP84" s="383"/>
      <c r="EQ84" s="383"/>
      <c r="ER84" s="383"/>
      <c r="ES84" s="383"/>
      <c r="ET84" s="383"/>
      <c r="EU84" s="383"/>
      <c r="EV84" s="383"/>
      <c r="EW84" s="383"/>
      <c r="EX84" s="383"/>
      <c r="EY84" s="383"/>
      <c r="EZ84" s="383"/>
      <c r="FA84" s="383"/>
      <c r="FB84" s="383"/>
      <c r="FC84" s="383"/>
      <c r="FD84" s="383"/>
      <c r="FE84" s="383"/>
      <c r="FF84" s="383"/>
      <c r="FG84" s="383"/>
      <c r="FH84" s="383"/>
      <c r="FI84" s="383"/>
      <c r="FJ84" s="383"/>
      <c r="FK84" s="383"/>
      <c r="FL84" s="383"/>
      <c r="FM84" s="383"/>
      <c r="FN84" s="383"/>
      <c r="FO84" s="383"/>
      <c r="FP84" s="383"/>
      <c r="FQ84" s="383"/>
      <c r="FR84" s="383"/>
      <c r="FS84" s="383"/>
      <c r="FT84" s="383"/>
      <c r="FU84" s="383"/>
      <c r="FV84" s="383"/>
      <c r="FW84" s="383"/>
      <c r="FX84" s="383"/>
      <c r="FY84" s="383"/>
      <c r="FZ84" s="383"/>
      <c r="GA84" s="383"/>
      <c r="GB84" s="383"/>
      <c r="GC84" s="383"/>
      <c r="GD84" s="383"/>
      <c r="GE84" s="383"/>
      <c r="GF84" s="383"/>
      <c r="GG84" s="383"/>
      <c r="GH84" s="383"/>
      <c r="GI84" s="383"/>
      <c r="GJ84" s="383"/>
      <c r="GK84" s="383"/>
      <c r="GL84" s="383"/>
      <c r="GM84" s="383"/>
      <c r="GN84" s="383"/>
      <c r="GO84" s="383"/>
      <c r="GP84" s="383"/>
      <c r="GQ84" s="383"/>
      <c r="GR84" s="383"/>
      <c r="GS84" s="383"/>
      <c r="GT84" s="383"/>
      <c r="GU84" s="383"/>
      <c r="GV84" s="383"/>
      <c r="GW84" s="383"/>
      <c r="GX84" s="383"/>
      <c r="GY84" s="383"/>
      <c r="GZ84" s="383"/>
      <c r="HA84" s="383"/>
      <c r="HB84" s="383"/>
      <c r="HC84" s="383"/>
      <c r="HD84" s="383"/>
      <c r="HE84" s="383"/>
      <c r="HF84" s="383"/>
      <c r="HG84" s="383"/>
      <c r="HH84" s="383"/>
      <c r="HI84" s="383"/>
      <c r="HJ84" s="383"/>
      <c r="HK84" s="383"/>
      <c r="HL84" s="383"/>
      <c r="HM84" s="383"/>
      <c r="HN84" s="383"/>
      <c r="HO84" s="383"/>
      <c r="HP84" s="383"/>
      <c r="HQ84" s="383"/>
      <c r="HR84" s="383"/>
      <c r="HS84" s="383"/>
      <c r="HT84" s="383"/>
      <c r="HU84" s="383"/>
      <c r="HV84" s="383"/>
      <c r="HW84" s="383"/>
      <c r="HX84" s="383"/>
      <c r="HY84" s="383"/>
      <c r="HZ84" s="383"/>
      <c r="IA84" s="383"/>
      <c r="IB84" s="383"/>
      <c r="IC84" s="383"/>
      <c r="ID84" s="383"/>
      <c r="IE84" s="383"/>
      <c r="IF84" s="383"/>
      <c r="IG84" s="383"/>
      <c r="IH84" s="383"/>
      <c r="II84" s="383"/>
      <c r="IJ84" s="383"/>
      <c r="IK84" s="383"/>
      <c r="IL84" s="383"/>
      <c r="IM84" s="383"/>
      <c r="IN84" s="383"/>
      <c r="IO84" s="383"/>
      <c r="IP84" s="383"/>
      <c r="IQ84" s="383"/>
      <c r="IR84" s="383"/>
      <c r="IS84" s="383"/>
      <c r="IT84" s="383"/>
      <c r="IU84" s="383"/>
      <c r="IV84" s="383"/>
      <c r="IW84" s="383"/>
    </row>
    <row r="85" customFormat="false" ht="12.75" hidden="false" customHeight="false" outlineLevel="0" collapsed="false">
      <c r="A85" s="924" t="s">
        <v>1580</v>
      </c>
      <c r="B85" s="924"/>
      <c r="C85" s="924"/>
      <c r="D85" s="383"/>
      <c r="E85" s="383"/>
      <c r="F85" s="1246" t="n">
        <f aca="false">AVERAGE(I85:Y85)</f>
        <v>1.3610814887201</v>
      </c>
      <c r="G85" s="383" t="e">
        <f aca="false">(BS_IS!G50+BS_IS!G52)/-(SUM(BS_IS!G53:G55))</f>
        <v>#DIV/0!</v>
      </c>
      <c r="H85" s="383" t="e">
        <f aca="false">(BS_IS!H50+BS_IS!H52)/-(SUM(BS_IS!H53:H55))</f>
        <v>#DIV/0!</v>
      </c>
      <c r="I85" s="383" t="n">
        <f aca="false">(BS_IS!I50+BS_IS!I52)/-(SUM(BS_IS!I53:I55))</f>
        <v>-5.65414051289619</v>
      </c>
      <c r="J85" s="383" t="n">
        <f aca="false">(BS_IS!J50+BS_IS!J52)/-(SUM(BS_IS!J53:J55))</f>
        <v>-0.414988833783672</v>
      </c>
      <c r="K85" s="383" t="n">
        <f aca="false">(BS_IS!K50+BS_IS!K52)/-(SUM(BS_IS!K53:K55))</f>
        <v>0.803178321046263</v>
      </c>
      <c r="L85" s="383" t="n">
        <f aca="false">(BS_IS!L50+BS_IS!L52)/-(SUM(BS_IS!L53:L55))</f>
        <v>0.927056551992888</v>
      </c>
      <c r="M85" s="383" t="n">
        <f aca="false">(BS_IS!M50+BS_IS!M52)/-(SUM(BS_IS!M53:M55))</f>
        <v>1.19096607097376</v>
      </c>
      <c r="N85" s="383" t="n">
        <f aca="false">(BS_IS!N50+BS_IS!N52)/-(SUM(BS_IS!N53:N55))</f>
        <v>1.64006737221266</v>
      </c>
      <c r="O85" s="383" t="n">
        <f aca="false">(BS_IS!O50+BS_IS!O52)/-(SUM(BS_IS!O53:O55))</f>
        <v>1.85393017541438</v>
      </c>
      <c r="P85" s="383" t="n">
        <f aca="false">(BS_IS!P50+BS_IS!P52)/-(SUM(BS_IS!P53:P55))</f>
        <v>2.06870372258398</v>
      </c>
      <c r="Q85" s="383" t="n">
        <f aca="false">(BS_IS!Q50+BS_IS!Q52)/-(SUM(BS_IS!Q53:Q55))</f>
        <v>2.16794034954716</v>
      </c>
      <c r="R85" s="383" t="n">
        <f aca="false">(BS_IS!R50+BS_IS!R52)/-(SUM(BS_IS!R53:R55))</f>
        <v>2.20070707876702</v>
      </c>
      <c r="S85" s="383" t="n">
        <f aca="false">(BS_IS!S50+BS_IS!S52)/-(SUM(BS_IS!S53:S55))</f>
        <v>2.47401042179489</v>
      </c>
      <c r="T85" s="383" t="n">
        <f aca="false">(BS_IS!T50+BS_IS!T52)/-(SUM(BS_IS!T53:T55))</f>
        <v>3.0662956037586</v>
      </c>
      <c r="U85" s="383" t="n">
        <f aca="false">(BS_IS!U50+BS_IS!U52)/-(SUM(BS_IS!U53:U55))</f>
        <v>3.80770480496509</v>
      </c>
      <c r="V85" s="383" t="n">
        <f aca="false">(BS_IS!V50+BS_IS!V52)/-(SUM(BS_IS!V53:V55))</f>
        <v>4.05495939050292</v>
      </c>
      <c r="W85" s="383" t="n">
        <f aca="false">(BS_IS!W50+BS_IS!W52)/-(SUM(BS_IS!W53:W55))</f>
        <v>7.61787811571729</v>
      </c>
      <c r="X85" s="383" t="n">
        <f aca="false">(BS_IS!X50+BS_IS!X52)/-(SUM(BS_IS!X53:X55))</f>
        <v>5.01370900416269</v>
      </c>
      <c r="Y85" s="383" t="n">
        <f aca="false">(BS_IS!Y50+BS_IS!Y52)/-(SUM(BS_IS!Y53:Y55))</f>
        <v>-9.67959232851801</v>
      </c>
      <c r="Z85" s="383" t="e">
        <f aca="false">(BS_IS!Z50+BS_IS!Z52)/-(SUM(BS_IS!Z53:Z55))</f>
        <v>#DIV/0!</v>
      </c>
      <c r="AA85" s="383" t="e">
        <f aca="false">(BS_IS!AA50+BS_IS!AA52)/-(SUM(BS_IS!AA53:AA55))</f>
        <v>#DIV/0!</v>
      </c>
      <c r="AB85" s="383" t="e">
        <f aca="false">(BS_IS!AB50+BS_IS!AB52)/-(SUM(BS_IS!AB53:AB55))</f>
        <v>#DIV/0!</v>
      </c>
      <c r="AC85" s="383" t="e">
        <f aca="false">(BS_IS!AC50+BS_IS!AC52)/-(SUM(BS_IS!AC53:AC55))</f>
        <v>#DIV/0!</v>
      </c>
      <c r="AD85" s="383"/>
      <c r="AE85" s="383"/>
      <c r="AF85" s="383"/>
      <c r="AG85" s="383"/>
      <c r="AH85" s="383"/>
      <c r="AI85" s="383"/>
      <c r="AJ85" s="383"/>
      <c r="AK85" s="383"/>
      <c r="AL85" s="383"/>
      <c r="AM85" s="383"/>
      <c r="AN85" s="383"/>
      <c r="AO85" s="383"/>
      <c r="AP85" s="383"/>
      <c r="AQ85" s="383"/>
      <c r="AR85" s="383"/>
      <c r="AS85" s="383"/>
      <c r="AT85" s="383"/>
      <c r="AU85" s="383"/>
      <c r="AV85" s="383"/>
      <c r="AW85" s="383"/>
      <c r="AX85" s="383"/>
      <c r="AY85" s="383"/>
      <c r="AZ85" s="383"/>
      <c r="BA85" s="383"/>
      <c r="BB85" s="383"/>
      <c r="BC85" s="383"/>
      <c r="BD85" s="383"/>
      <c r="BE85" s="383"/>
      <c r="BF85" s="383"/>
      <c r="BG85" s="383"/>
      <c r="BH85" s="383"/>
      <c r="BI85" s="383"/>
      <c r="BJ85" s="383"/>
      <c r="BK85" s="383"/>
      <c r="BL85" s="383"/>
      <c r="BM85" s="383"/>
      <c r="BN85" s="383"/>
      <c r="BO85" s="383"/>
      <c r="BP85" s="383"/>
      <c r="BQ85" s="383"/>
      <c r="BR85" s="383"/>
      <c r="BS85" s="383"/>
      <c r="BT85" s="383"/>
      <c r="BU85" s="383"/>
      <c r="BV85" s="383"/>
      <c r="BW85" s="383"/>
      <c r="BX85" s="383"/>
      <c r="BY85" s="383"/>
      <c r="BZ85" s="383"/>
      <c r="CA85" s="383"/>
      <c r="CB85" s="383"/>
      <c r="CC85" s="383"/>
      <c r="CD85" s="383"/>
      <c r="CE85" s="383"/>
      <c r="CF85" s="383"/>
      <c r="CG85" s="383"/>
      <c r="CH85" s="383"/>
      <c r="CI85" s="383"/>
      <c r="CJ85" s="383"/>
      <c r="CK85" s="383"/>
      <c r="CL85" s="383"/>
      <c r="CM85" s="383"/>
      <c r="CN85" s="383"/>
      <c r="CO85" s="383"/>
      <c r="CP85" s="383"/>
      <c r="CQ85" s="383"/>
      <c r="CR85" s="383"/>
      <c r="CS85" s="383"/>
      <c r="CT85" s="383"/>
      <c r="CU85" s="383"/>
      <c r="CV85" s="383"/>
      <c r="CW85" s="383"/>
      <c r="CX85" s="383"/>
      <c r="CY85" s="383"/>
      <c r="CZ85" s="383"/>
      <c r="DA85" s="383"/>
      <c r="DB85" s="383"/>
      <c r="DC85" s="383"/>
      <c r="DD85" s="383"/>
      <c r="DE85" s="383"/>
      <c r="DF85" s="383"/>
      <c r="DG85" s="383"/>
      <c r="DH85" s="383"/>
      <c r="DI85" s="383"/>
      <c r="DJ85" s="383"/>
      <c r="DK85" s="383"/>
      <c r="DL85" s="383"/>
      <c r="DM85" s="383"/>
      <c r="DN85" s="383"/>
      <c r="DO85" s="383"/>
      <c r="DP85" s="383"/>
      <c r="DQ85" s="383"/>
      <c r="DR85" s="383"/>
      <c r="DS85" s="383"/>
      <c r="DT85" s="383"/>
      <c r="DU85" s="383"/>
      <c r="DV85" s="383"/>
      <c r="DW85" s="383"/>
      <c r="DX85" s="383"/>
      <c r="DY85" s="383"/>
      <c r="DZ85" s="383"/>
      <c r="EA85" s="383"/>
      <c r="EB85" s="383"/>
      <c r="EC85" s="383"/>
      <c r="ED85" s="383"/>
      <c r="EE85" s="383"/>
      <c r="EF85" s="383"/>
      <c r="EG85" s="383"/>
      <c r="EH85" s="383"/>
      <c r="EI85" s="383"/>
      <c r="EJ85" s="383"/>
      <c r="EK85" s="383"/>
      <c r="EL85" s="383"/>
      <c r="EM85" s="383"/>
      <c r="EN85" s="383"/>
      <c r="EO85" s="383"/>
      <c r="EP85" s="383"/>
      <c r="EQ85" s="383"/>
      <c r="ER85" s="383"/>
      <c r="ES85" s="383"/>
      <c r="ET85" s="383"/>
      <c r="EU85" s="383"/>
      <c r="EV85" s="383"/>
      <c r="EW85" s="383"/>
      <c r="EX85" s="383"/>
      <c r="EY85" s="383"/>
      <c r="EZ85" s="383"/>
      <c r="FA85" s="383"/>
      <c r="FB85" s="383"/>
      <c r="FC85" s="383"/>
      <c r="FD85" s="383"/>
      <c r="FE85" s="383"/>
      <c r="FF85" s="383"/>
      <c r="FG85" s="383"/>
      <c r="FH85" s="383"/>
      <c r="FI85" s="383"/>
      <c r="FJ85" s="383"/>
      <c r="FK85" s="383"/>
      <c r="FL85" s="383"/>
      <c r="FM85" s="383"/>
      <c r="FN85" s="383"/>
      <c r="FO85" s="383"/>
      <c r="FP85" s="383"/>
      <c r="FQ85" s="383"/>
      <c r="FR85" s="383"/>
      <c r="FS85" s="383"/>
      <c r="FT85" s="383"/>
      <c r="FU85" s="383"/>
      <c r="FV85" s="383"/>
      <c r="FW85" s="383"/>
      <c r="FX85" s="383"/>
      <c r="FY85" s="383"/>
      <c r="FZ85" s="383"/>
      <c r="GA85" s="383"/>
      <c r="GB85" s="383"/>
      <c r="GC85" s="383"/>
      <c r="GD85" s="383"/>
      <c r="GE85" s="383"/>
      <c r="GF85" s="383"/>
      <c r="GG85" s="383"/>
      <c r="GH85" s="383"/>
      <c r="GI85" s="383"/>
      <c r="GJ85" s="383"/>
      <c r="GK85" s="383"/>
      <c r="GL85" s="383"/>
      <c r="GM85" s="383"/>
      <c r="GN85" s="383"/>
      <c r="GO85" s="383"/>
      <c r="GP85" s="383"/>
      <c r="GQ85" s="383"/>
      <c r="GR85" s="383"/>
      <c r="GS85" s="383"/>
      <c r="GT85" s="383"/>
      <c r="GU85" s="383"/>
      <c r="GV85" s="383"/>
      <c r="GW85" s="383"/>
      <c r="GX85" s="383"/>
      <c r="GY85" s="383"/>
      <c r="GZ85" s="383"/>
      <c r="HA85" s="383"/>
      <c r="HB85" s="383"/>
      <c r="HC85" s="383"/>
      <c r="HD85" s="383"/>
      <c r="HE85" s="383"/>
      <c r="HF85" s="383"/>
      <c r="HG85" s="383"/>
      <c r="HH85" s="383"/>
      <c r="HI85" s="383"/>
      <c r="HJ85" s="383"/>
      <c r="HK85" s="383"/>
      <c r="HL85" s="383"/>
      <c r="HM85" s="383"/>
      <c r="HN85" s="383"/>
      <c r="HO85" s="383"/>
      <c r="HP85" s="383"/>
      <c r="HQ85" s="383"/>
      <c r="HR85" s="383"/>
      <c r="HS85" s="383"/>
      <c r="HT85" s="383"/>
      <c r="HU85" s="383"/>
      <c r="HV85" s="383"/>
      <c r="HW85" s="383"/>
      <c r="HX85" s="383"/>
      <c r="HY85" s="383"/>
      <c r="HZ85" s="383"/>
      <c r="IA85" s="383"/>
      <c r="IB85" s="383"/>
      <c r="IC85" s="383"/>
      <c r="ID85" s="383"/>
      <c r="IE85" s="383"/>
      <c r="IF85" s="383"/>
      <c r="IG85" s="383"/>
      <c r="IH85" s="383"/>
      <c r="II85" s="383"/>
      <c r="IJ85" s="383"/>
      <c r="IK85" s="383"/>
      <c r="IL85" s="383"/>
      <c r="IM85" s="383"/>
      <c r="IN85" s="383"/>
      <c r="IO85" s="383"/>
      <c r="IP85" s="383"/>
      <c r="IQ85" s="383"/>
      <c r="IR85" s="383"/>
      <c r="IS85" s="383"/>
      <c r="IT85" s="383"/>
      <c r="IU85" s="383"/>
      <c r="IV85" s="383"/>
      <c r="IW85" s="383"/>
    </row>
    <row r="86" customFormat="false" ht="12.75" hidden="false" customHeight="false" outlineLevel="0" collapsed="false">
      <c r="A86" s="924" t="s">
        <v>1581</v>
      </c>
      <c r="B86" s="924"/>
      <c r="C86" s="924"/>
      <c r="D86" s="383"/>
      <c r="E86" s="383"/>
      <c r="F86" s="1246" t="n">
        <f aca="false">AVERAGE(K86:Y86)</f>
        <v>1.94079428217227</v>
      </c>
      <c r="G86" s="383" t="s">
        <v>1582</v>
      </c>
      <c r="H86" s="383" t="s">
        <v>1582</v>
      </c>
      <c r="I86" s="383" t="s">
        <v>1582</v>
      </c>
      <c r="J86" s="383" t="s">
        <v>1582</v>
      </c>
      <c r="K86" s="383" t="n">
        <f aca="false">BS_IS!K50/('Debt Amort'!G14)</f>
        <v>3.6196500200832</v>
      </c>
      <c r="L86" s="383" t="n">
        <f aca="false">BS_IS!L50/('Debt Amort'!H14)</f>
        <v>1.36583880835331</v>
      </c>
      <c r="M86" s="383" t="n">
        <f aca="false">BS_IS!M50/('Debt Amort'!I14)</f>
        <v>1.54671828517507</v>
      </c>
      <c r="N86" s="383" t="n">
        <f aca="false">BS_IS!N50/('Debt Amort'!J14)</f>
        <v>1.75913428976444</v>
      </c>
      <c r="O86" s="383" t="n">
        <f aca="false">BS_IS!O50/('Debt Amort'!K14)</f>
        <v>1.82603014188286</v>
      </c>
      <c r="P86" s="383" t="n">
        <f aca="false">BS_IS!P50/('Debt Amort'!L14)</f>
        <v>1.88278421871042</v>
      </c>
      <c r="Q86" s="383" t="n">
        <f aca="false">BS_IS!Q50/('Debt Amort'!M14)</f>
        <v>1.85566978841994</v>
      </c>
      <c r="R86" s="383" t="n">
        <f aca="false">BS_IS!R50/('Debt Amort'!N14)</f>
        <v>1.86045500046469</v>
      </c>
      <c r="S86" s="383" t="n">
        <f aca="false">BS_IS!S50/('Debt Amort'!O14)</f>
        <v>1.96899892384303</v>
      </c>
      <c r="T86" s="383" t="n">
        <f aca="false">BS_IS!T50/('Debt Amort'!P14)</f>
        <v>2.07654461875614</v>
      </c>
      <c r="U86" s="383" t="n">
        <f aca="false">BS_IS!U50/('Debt Amort'!Q14)</f>
        <v>2.06244225869945</v>
      </c>
      <c r="V86" s="383" t="n">
        <f aca="false">BS_IS!V50/('Debt Amort'!R14)</f>
        <v>2.16831679737561</v>
      </c>
      <c r="W86" s="383" t="n">
        <f aca="false">BS_IS!W50/('Debt Amort'!S14)</f>
        <v>2.48315121596883</v>
      </c>
      <c r="X86" s="383" t="n">
        <f aca="false">BS_IS!X50/('Debt Amort'!T14)</f>
        <v>1.78926780564378</v>
      </c>
      <c r="Y86" s="383" t="n">
        <f aca="false">BS_IS!Y50/('Debt Amort'!U14)</f>
        <v>0.846912059443331</v>
      </c>
      <c r="Z86" s="383" t="e">
        <f aca="false">BS_IS!Z50/('Debt Amort'!V14)</f>
        <v>#DIV/0!</v>
      </c>
      <c r="AA86" s="383" t="e">
        <f aca="false">BS_IS!AA50/('Debt Amort'!W14)</f>
        <v>#DIV/0!</v>
      </c>
      <c r="AB86" s="383" t="e">
        <f aca="false">BS_IS!AB50/('Debt Amort'!X14)</f>
        <v>#DIV/0!</v>
      </c>
      <c r="AC86" s="383" t="e">
        <f aca="false">BS_IS!AC50/('Debt Amort'!Y14)</f>
        <v>#DIV/0!</v>
      </c>
      <c r="AD86" s="383"/>
      <c r="AE86" s="383"/>
      <c r="AF86" s="383"/>
      <c r="AG86" s="383"/>
      <c r="AH86" s="383"/>
      <c r="AI86" s="383"/>
      <c r="AJ86" s="383"/>
      <c r="AK86" s="383"/>
      <c r="AL86" s="383"/>
      <c r="AM86" s="383"/>
      <c r="AN86" s="383"/>
      <c r="AO86" s="383"/>
      <c r="AP86" s="383"/>
      <c r="AQ86" s="383"/>
      <c r="AR86" s="383"/>
      <c r="AS86" s="383"/>
      <c r="AT86" s="383"/>
      <c r="AU86" s="383"/>
      <c r="AV86" s="383"/>
      <c r="AW86" s="383"/>
      <c r="AX86" s="383"/>
      <c r="AY86" s="383"/>
      <c r="AZ86" s="383"/>
      <c r="BA86" s="383"/>
      <c r="BB86" s="383"/>
      <c r="BC86" s="383"/>
      <c r="BD86" s="383"/>
      <c r="BE86" s="383"/>
      <c r="BF86" s="383"/>
      <c r="BG86" s="383"/>
      <c r="BH86" s="383"/>
      <c r="BI86" s="383"/>
      <c r="BJ86" s="383"/>
      <c r="BK86" s="383"/>
      <c r="BL86" s="383"/>
      <c r="BM86" s="383"/>
      <c r="BN86" s="383"/>
      <c r="BO86" s="383"/>
      <c r="BP86" s="383"/>
      <c r="BQ86" s="383"/>
      <c r="BR86" s="383"/>
      <c r="BS86" s="383"/>
      <c r="BT86" s="383"/>
      <c r="BU86" s="383"/>
      <c r="BV86" s="383"/>
      <c r="BW86" s="383"/>
      <c r="BX86" s="383"/>
      <c r="BY86" s="383"/>
      <c r="BZ86" s="383"/>
      <c r="CA86" s="383"/>
      <c r="CB86" s="383"/>
      <c r="CC86" s="383"/>
      <c r="CD86" s="383"/>
      <c r="CE86" s="383"/>
      <c r="CF86" s="383"/>
      <c r="CG86" s="383"/>
      <c r="CH86" s="383"/>
      <c r="CI86" s="383"/>
      <c r="CJ86" s="383"/>
      <c r="CK86" s="383"/>
      <c r="CL86" s="383"/>
      <c r="CM86" s="383"/>
      <c r="CN86" s="383"/>
      <c r="CO86" s="383"/>
      <c r="CP86" s="383"/>
      <c r="CQ86" s="383"/>
      <c r="CR86" s="383"/>
      <c r="CS86" s="383"/>
      <c r="CT86" s="383"/>
      <c r="CU86" s="383"/>
      <c r="CV86" s="383"/>
      <c r="CW86" s="383"/>
      <c r="CX86" s="383"/>
      <c r="CY86" s="383"/>
      <c r="CZ86" s="383"/>
      <c r="DA86" s="383"/>
      <c r="DB86" s="383"/>
      <c r="DC86" s="383"/>
      <c r="DD86" s="383"/>
      <c r="DE86" s="383"/>
      <c r="DF86" s="383"/>
      <c r="DG86" s="383"/>
      <c r="DH86" s="383"/>
      <c r="DI86" s="383"/>
      <c r="DJ86" s="383"/>
      <c r="DK86" s="383"/>
      <c r="DL86" s="383"/>
      <c r="DM86" s="383"/>
      <c r="DN86" s="383"/>
      <c r="DO86" s="383"/>
      <c r="DP86" s="383"/>
      <c r="DQ86" s="383"/>
      <c r="DR86" s="383"/>
      <c r="DS86" s="383"/>
      <c r="DT86" s="383"/>
      <c r="DU86" s="383"/>
      <c r="DV86" s="383"/>
      <c r="DW86" s="383"/>
      <c r="DX86" s="383"/>
      <c r="DY86" s="383"/>
      <c r="DZ86" s="383"/>
      <c r="EA86" s="383"/>
      <c r="EB86" s="383"/>
      <c r="EC86" s="383"/>
      <c r="ED86" s="383"/>
      <c r="EE86" s="383"/>
      <c r="EF86" s="383"/>
      <c r="EG86" s="383"/>
      <c r="EH86" s="383"/>
      <c r="EI86" s="383"/>
      <c r="EJ86" s="383"/>
      <c r="EK86" s="383"/>
      <c r="EL86" s="383"/>
      <c r="EM86" s="383"/>
      <c r="EN86" s="383"/>
      <c r="EO86" s="383"/>
      <c r="EP86" s="383"/>
      <c r="EQ86" s="383"/>
      <c r="ER86" s="383"/>
      <c r="ES86" s="383"/>
      <c r="ET86" s="383"/>
      <c r="EU86" s="383"/>
      <c r="EV86" s="383"/>
      <c r="EW86" s="383"/>
      <c r="EX86" s="383"/>
      <c r="EY86" s="383"/>
      <c r="EZ86" s="383"/>
      <c r="FA86" s="383"/>
      <c r="FB86" s="383"/>
      <c r="FC86" s="383"/>
      <c r="FD86" s="383"/>
      <c r="FE86" s="383"/>
      <c r="FF86" s="383"/>
      <c r="FG86" s="383"/>
      <c r="FH86" s="383"/>
      <c r="FI86" s="383"/>
      <c r="FJ86" s="383"/>
      <c r="FK86" s="383"/>
      <c r="FL86" s="383"/>
      <c r="FM86" s="383"/>
      <c r="FN86" s="383"/>
      <c r="FO86" s="383"/>
      <c r="FP86" s="383"/>
      <c r="FQ86" s="383"/>
      <c r="FR86" s="383"/>
      <c r="FS86" s="383"/>
      <c r="FT86" s="383"/>
      <c r="FU86" s="383"/>
      <c r="FV86" s="383"/>
      <c r="FW86" s="383"/>
      <c r="FX86" s="383"/>
      <c r="FY86" s="383"/>
      <c r="FZ86" s="383"/>
      <c r="GA86" s="383"/>
      <c r="GB86" s="383"/>
      <c r="GC86" s="383"/>
      <c r="GD86" s="383"/>
      <c r="GE86" s="383"/>
      <c r="GF86" s="383"/>
      <c r="GG86" s="383"/>
      <c r="GH86" s="383"/>
      <c r="GI86" s="383"/>
      <c r="GJ86" s="383"/>
      <c r="GK86" s="383"/>
      <c r="GL86" s="383"/>
      <c r="GM86" s="383"/>
      <c r="GN86" s="383"/>
      <c r="GO86" s="383"/>
      <c r="GP86" s="383"/>
      <c r="GQ86" s="383"/>
      <c r="GR86" s="383"/>
      <c r="GS86" s="383"/>
      <c r="GT86" s="383"/>
      <c r="GU86" s="383"/>
      <c r="GV86" s="383"/>
      <c r="GW86" s="383"/>
      <c r="GX86" s="383"/>
      <c r="GY86" s="383"/>
      <c r="GZ86" s="383"/>
      <c r="HA86" s="383"/>
      <c r="HB86" s="383"/>
      <c r="HC86" s="383"/>
      <c r="HD86" s="383"/>
      <c r="HE86" s="383"/>
      <c r="HF86" s="383"/>
      <c r="HG86" s="383"/>
      <c r="HH86" s="383"/>
      <c r="HI86" s="383"/>
      <c r="HJ86" s="383"/>
      <c r="HK86" s="383"/>
      <c r="HL86" s="383"/>
      <c r="HM86" s="383"/>
      <c r="HN86" s="383"/>
      <c r="HO86" s="383"/>
      <c r="HP86" s="383"/>
      <c r="HQ86" s="383"/>
      <c r="HR86" s="383"/>
      <c r="HS86" s="383"/>
      <c r="HT86" s="383"/>
      <c r="HU86" s="383"/>
      <c r="HV86" s="383"/>
      <c r="HW86" s="383"/>
      <c r="HX86" s="383"/>
      <c r="HY86" s="383"/>
      <c r="HZ86" s="383"/>
      <c r="IA86" s="383"/>
      <c r="IB86" s="383"/>
      <c r="IC86" s="383"/>
      <c r="ID86" s="383"/>
      <c r="IE86" s="383"/>
      <c r="IF86" s="383"/>
      <c r="IG86" s="383"/>
      <c r="IH86" s="383"/>
      <c r="II86" s="383"/>
      <c r="IJ86" s="383"/>
      <c r="IK86" s="383"/>
      <c r="IL86" s="383"/>
      <c r="IM86" s="383"/>
      <c r="IN86" s="383"/>
      <c r="IO86" s="383"/>
      <c r="IP86" s="383"/>
      <c r="IQ86" s="383"/>
      <c r="IR86" s="383"/>
      <c r="IS86" s="383"/>
      <c r="IT86" s="383"/>
      <c r="IU86" s="383"/>
      <c r="IV86" s="383"/>
      <c r="IW86" s="383"/>
    </row>
    <row r="87" customFormat="false" ht="12.75" hidden="false" customHeight="false" outlineLevel="0" collapsed="false">
      <c r="A87" s="1053"/>
      <c r="B87" s="1053"/>
      <c r="C87" s="1053"/>
      <c r="D87" s="350"/>
      <c r="E87" s="350"/>
      <c r="F87" s="350"/>
      <c r="G87" s="350"/>
      <c r="H87" s="1250"/>
      <c r="I87" s="417"/>
      <c r="J87" s="417"/>
      <c r="K87" s="417"/>
      <c r="L87" s="417"/>
      <c r="M87" s="417"/>
      <c r="N87" s="417"/>
      <c r="O87" s="417"/>
      <c r="P87" s="417"/>
      <c r="Q87" s="417"/>
      <c r="R87" s="417"/>
      <c r="S87" s="417"/>
      <c r="T87" s="417"/>
      <c r="U87" s="417"/>
      <c r="V87" s="417"/>
      <c r="W87" s="417"/>
      <c r="X87" s="417"/>
      <c r="Y87" s="417"/>
      <c r="Z87" s="417"/>
      <c r="AA87" s="417"/>
      <c r="AB87" s="417"/>
      <c r="AC87" s="417"/>
      <c r="AD87" s="350"/>
      <c r="AE87" s="350"/>
      <c r="AF87" s="350"/>
      <c r="AG87" s="350"/>
      <c r="AH87" s="350"/>
      <c r="AI87" s="350"/>
      <c r="AJ87" s="350"/>
      <c r="AK87" s="350"/>
      <c r="AL87" s="350"/>
      <c r="AM87" s="350"/>
      <c r="AN87" s="350"/>
      <c r="AO87" s="350"/>
      <c r="AP87" s="350"/>
      <c r="AQ87" s="350"/>
      <c r="AR87" s="350"/>
      <c r="AS87" s="350"/>
      <c r="AT87" s="350"/>
      <c r="AU87" s="350"/>
      <c r="AV87" s="350"/>
      <c r="AW87" s="350"/>
      <c r="AX87" s="350"/>
      <c r="AY87" s="350"/>
      <c r="AZ87" s="350"/>
      <c r="BA87" s="350"/>
    </row>
    <row r="88" customFormat="false" ht="12.75" hidden="false" customHeight="false" outlineLevel="0" collapsed="false">
      <c r="A88" s="1053"/>
      <c r="B88" s="1053"/>
      <c r="C88" s="1053"/>
      <c r="D88" s="350"/>
      <c r="E88" s="350"/>
      <c r="F88" s="350"/>
      <c r="G88" s="350"/>
      <c r="H88" s="417"/>
      <c r="I88" s="417"/>
      <c r="J88" s="417"/>
      <c r="K88" s="417"/>
      <c r="L88" s="417"/>
      <c r="M88" s="417"/>
      <c r="N88" s="417"/>
      <c r="O88" s="417"/>
      <c r="P88" s="417"/>
      <c r="Q88" s="417"/>
      <c r="R88" s="417"/>
      <c r="S88" s="417"/>
      <c r="T88" s="417"/>
      <c r="U88" s="417"/>
      <c r="V88" s="417"/>
      <c r="W88" s="417"/>
      <c r="X88" s="417"/>
      <c r="Y88" s="417"/>
      <c r="Z88" s="417"/>
      <c r="AA88" s="417"/>
      <c r="AB88" s="417"/>
      <c r="AC88" s="417"/>
      <c r="AD88" s="350"/>
      <c r="AE88" s="350"/>
      <c r="AF88" s="350"/>
      <c r="AG88" s="350"/>
      <c r="AH88" s="350"/>
      <c r="AI88" s="350"/>
      <c r="AJ88" s="350"/>
      <c r="AK88" s="350"/>
      <c r="AL88" s="350"/>
      <c r="AM88" s="350"/>
      <c r="AN88" s="350"/>
      <c r="AO88" s="350"/>
      <c r="AP88" s="350"/>
      <c r="AQ88" s="350"/>
      <c r="AR88" s="350"/>
      <c r="AS88" s="350"/>
      <c r="AT88" s="350"/>
      <c r="AU88" s="350"/>
      <c r="AV88" s="350"/>
      <c r="AW88" s="350"/>
      <c r="AX88" s="350"/>
      <c r="AY88" s="350"/>
      <c r="AZ88" s="350"/>
      <c r="BA88" s="350"/>
    </row>
    <row r="89" customFormat="false" ht="12.75" hidden="false" customHeight="false" outlineLevel="0" collapsed="false">
      <c r="F89" s="293"/>
      <c r="G89" s="293"/>
    </row>
    <row r="90" customFormat="false" ht="12.75" hidden="false" customHeight="false" outlineLevel="0" collapsed="false">
      <c r="F90" s="293"/>
      <c r="G90" s="2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4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I59" activeCellId="0" sqref="I59:AC6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2" min="1" style="38" width="1.7"/>
    <col collapsed="false" customWidth="true" hidden="false" outlineLevel="0" max="5" min="3" style="38" width="10.71"/>
    <col collapsed="false" customWidth="false" hidden="false" outlineLevel="0" max="6" min="6" style="1" width="9.14"/>
    <col collapsed="false" customWidth="true" hidden="false" outlineLevel="0" max="29" min="7" style="1" width="10.71"/>
    <col collapsed="false" customWidth="true" hidden="false" outlineLevel="0" max="30" min="30" style="38" width="12.7"/>
    <col collapsed="false" customWidth="false" hidden="false" outlineLevel="0" max="257" min="31" style="1" width="9.14"/>
  </cols>
  <sheetData>
    <row r="1" customFormat="false" ht="15.75" hidden="false" customHeight="false" outlineLevel="0" collapsed="false">
      <c r="A1" s="18" t="s">
        <v>1583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"/>
      <c r="AF1" s="3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8"/>
      <c r="AE2" s="38"/>
      <c r="AF2" s="3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"/>
      <c r="AF3" s="3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1584</v>
      </c>
      <c r="B4" s="632"/>
      <c r="C4" s="632"/>
      <c r="D4" s="632"/>
      <c r="E4" s="632"/>
      <c r="F4" s="632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"/>
      <c r="AF4" s="3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C5" s="388"/>
      <c r="AA5" s="388"/>
      <c r="AB5" s="388"/>
      <c r="AC5" s="388"/>
      <c r="AD5" s="388"/>
      <c r="AE5" s="38"/>
      <c r="AF5" s="536" t="s">
        <v>762</v>
      </c>
      <c r="AG5" s="388"/>
      <c r="AH5" s="388"/>
      <c r="AI5" s="388"/>
      <c r="AJ5" s="388"/>
      <c r="AK5" s="388"/>
      <c r="AL5" s="388"/>
      <c r="AM5" s="388"/>
      <c r="AN5" s="388"/>
      <c r="AO5" s="388"/>
      <c r="AP5" s="388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/>
      <c r="B6" s="28"/>
      <c r="C6" s="28"/>
      <c r="D6" s="28"/>
      <c r="E6" s="28"/>
      <c r="F6" s="125" t="s">
        <v>1525</v>
      </c>
      <c r="G6" s="1251" t="n">
        <v>0</v>
      </c>
      <c r="H6" s="28" t="n">
        <f aca="false">IF(H$7&lt;YEAR(Startops1),0,G$6+1)</f>
        <v>0</v>
      </c>
      <c r="I6" s="28" t="n">
        <f aca="false">IF(I$7&lt;YEAR(Startops1),0,H$6+1)</f>
        <v>1</v>
      </c>
      <c r="J6" s="28" t="n">
        <f aca="false">IF(J$7&lt;YEAR(Startops1),0,I$6+1)</f>
        <v>2</v>
      </c>
      <c r="K6" s="28" t="n">
        <f aca="false">IF(K$7&lt;YEAR(Startops1),0,J$6+1)</f>
        <v>3</v>
      </c>
      <c r="L6" s="28" t="n">
        <f aca="false">IF(L$7&lt;YEAR(Startops1),0,K$6+1)</f>
        <v>4</v>
      </c>
      <c r="M6" s="28" t="n">
        <f aca="false">IF(M$7&lt;YEAR(Startops1),0,L$6+1)</f>
        <v>5</v>
      </c>
      <c r="N6" s="28" t="n">
        <f aca="false">IF(N$7&lt;YEAR(Startops1),0,M$6+1)</f>
        <v>6</v>
      </c>
      <c r="O6" s="28" t="n">
        <f aca="false">IF(O$7&lt;YEAR(Startops1),0,N$6+1)</f>
        <v>7</v>
      </c>
      <c r="P6" s="28" t="n">
        <f aca="false">IF(P$7&lt;YEAR(Startops1),0,O$6+1)</f>
        <v>8</v>
      </c>
      <c r="Q6" s="28" t="n">
        <f aca="false">IF(Q$7&lt;YEAR(Startops1),0,P$6+1)</f>
        <v>9</v>
      </c>
      <c r="R6" s="28" t="n">
        <f aca="false">IF(R$7&lt;YEAR(Startops1),0,Q$6+1)</f>
        <v>10</v>
      </c>
      <c r="S6" s="28" t="n">
        <f aca="false">IF(S$7&lt;YEAR(Startops1),0,R$6+1)</f>
        <v>11</v>
      </c>
      <c r="T6" s="28" t="n">
        <f aca="false">IF(T$7&lt;YEAR(Startops1),0,S$6+1)</f>
        <v>12</v>
      </c>
      <c r="U6" s="28" t="n">
        <f aca="false">IF(U$7&lt;YEAR(Startops1),0,T$6+1)</f>
        <v>13</v>
      </c>
      <c r="V6" s="28" t="n">
        <f aca="false">IF(V$7&lt;YEAR(Startops1),0,U$6+1)</f>
        <v>14</v>
      </c>
      <c r="W6" s="28" t="n">
        <f aca="false">IF(W$7&lt;YEAR(Startops1),0,V$6+1)</f>
        <v>15</v>
      </c>
      <c r="X6" s="28" t="n">
        <f aca="false">IF(X$7&lt;YEAR(Startops1),0,W$6+1)</f>
        <v>16</v>
      </c>
      <c r="Y6" s="28" t="n">
        <f aca="false">IF(Y$7&lt;YEAR(Startops1),0,X$6+1)</f>
        <v>17</v>
      </c>
      <c r="Z6" s="28" t="n">
        <f aca="false">IF(Z$7&lt;YEAR(Startops1),0,Y$6+1)</f>
        <v>18</v>
      </c>
      <c r="AA6" s="28" t="n">
        <f aca="false">IF(AA$7&lt;YEAR(Startops1),0,Z$6+1)</f>
        <v>19</v>
      </c>
      <c r="AB6" s="28" t="n">
        <f aca="false">IF(AB$7&lt;YEAR(Startops1),0,AA$6+1)</f>
        <v>20</v>
      </c>
      <c r="AC6" s="28" t="n">
        <f aca="false">IF(AC$7&lt;YEAR(Startops1),0,AB$6+1)</f>
        <v>21</v>
      </c>
      <c r="AD6" s="539"/>
      <c r="AE6" s="38"/>
      <c r="AF6" s="612" t="s">
        <v>1526</v>
      </c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541" t="s">
        <v>1527</v>
      </c>
      <c r="B7" s="71"/>
      <c r="C7" s="71"/>
      <c r="D7" s="71"/>
      <c r="E7" s="71"/>
      <c r="F7" s="329" t="s">
        <v>1528</v>
      </c>
      <c r="G7" s="635" t="n">
        <f aca="false">YEAR(Startconst)</f>
        <v>1997</v>
      </c>
      <c r="H7" s="372" t="n">
        <f aca="false">G7+1</f>
        <v>1998</v>
      </c>
      <c r="I7" s="372" t="n">
        <f aca="false">H7+1</f>
        <v>1999</v>
      </c>
      <c r="J7" s="372" t="n">
        <f aca="false">I7+1</f>
        <v>2000</v>
      </c>
      <c r="K7" s="372" t="n">
        <f aca="false">J7+1</f>
        <v>2001</v>
      </c>
      <c r="L7" s="372" t="n">
        <f aca="false">K7+1</f>
        <v>2002</v>
      </c>
      <c r="M7" s="372" t="n">
        <f aca="false">L7+1</f>
        <v>2003</v>
      </c>
      <c r="N7" s="372" t="n">
        <f aca="false">M7+1</f>
        <v>2004</v>
      </c>
      <c r="O7" s="372" t="n">
        <f aca="false">N7+1</f>
        <v>2005</v>
      </c>
      <c r="P7" s="372" t="n">
        <f aca="false">O7+1</f>
        <v>2006</v>
      </c>
      <c r="Q7" s="372" t="n">
        <f aca="false">P7+1</f>
        <v>2007</v>
      </c>
      <c r="R7" s="372" t="n">
        <f aca="false">Q7+1</f>
        <v>2008</v>
      </c>
      <c r="S7" s="372" t="n">
        <f aca="false">R7+1</f>
        <v>2009</v>
      </c>
      <c r="T7" s="372" t="n">
        <f aca="false">S7+1</f>
        <v>2010</v>
      </c>
      <c r="U7" s="372" t="n">
        <f aca="false">T7+1</f>
        <v>2011</v>
      </c>
      <c r="V7" s="372" t="n">
        <f aca="false">U7+1</f>
        <v>2012</v>
      </c>
      <c r="W7" s="372" t="n">
        <f aca="false">V7+1</f>
        <v>2013</v>
      </c>
      <c r="X7" s="372" t="n">
        <f aca="false">W7+1</f>
        <v>2014</v>
      </c>
      <c r="Y7" s="372" t="n">
        <f aca="false">X7+1</f>
        <v>2015</v>
      </c>
      <c r="Z7" s="372" t="n">
        <f aca="false">Y7+1</f>
        <v>2016</v>
      </c>
      <c r="AA7" s="372" t="n">
        <f aca="false">Z7+1</f>
        <v>2017</v>
      </c>
      <c r="AB7" s="372" t="n">
        <f aca="false">AA7+1</f>
        <v>2018</v>
      </c>
      <c r="AC7" s="372" t="n">
        <f aca="false">AB7+1</f>
        <v>2019</v>
      </c>
      <c r="AD7" s="544" t="s">
        <v>766</v>
      </c>
      <c r="AE7" s="38"/>
      <c r="AF7" s="78" t="n">
        <v>1</v>
      </c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1165" t="s">
        <v>1529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555"/>
      <c r="AF8" s="175" t="n">
        <f aca="false">AF7+1</f>
        <v>2</v>
      </c>
    </row>
    <row r="9" customFormat="false" ht="12.75" hidden="false" customHeight="false" outlineLevel="0" collapsed="false">
      <c r="A9" s="37"/>
      <c r="B9" s="38" t="s">
        <v>1530</v>
      </c>
      <c r="F9" s="189" t="n">
        <v>0</v>
      </c>
      <c r="G9" s="217" t="n">
        <f aca="false">G104</f>
        <v>0</v>
      </c>
      <c r="H9" s="217" t="n">
        <f aca="false">H104</f>
        <v>0</v>
      </c>
      <c r="I9" s="217" t="n">
        <f aca="false">I104</f>
        <v>1.61435309564695E-011</v>
      </c>
      <c r="J9" s="217" t="n">
        <f aca="false">J104</f>
        <v>6.52562448522076E-011</v>
      </c>
      <c r="K9" s="217" t="n">
        <f aca="false">K104</f>
        <v>6.52562448522076E-011</v>
      </c>
      <c r="L9" s="217" t="n">
        <f aca="false">L104</f>
        <v>6.52562448522076E-011</v>
      </c>
      <c r="M9" s="217" t="n">
        <f aca="false">M104</f>
        <v>6.52562448522076E-011</v>
      </c>
      <c r="N9" s="217" t="n">
        <f aca="false">N104</f>
        <v>20778.9574676981</v>
      </c>
      <c r="O9" s="217" t="n">
        <f aca="false">O104</f>
        <v>20778.9574676981</v>
      </c>
      <c r="P9" s="217" t="n">
        <f aca="false">P104</f>
        <v>20778.9574676981</v>
      </c>
      <c r="Q9" s="217" t="n">
        <f aca="false">Q104</f>
        <v>20778.9574676981</v>
      </c>
      <c r="R9" s="217" t="n">
        <f aca="false">R104</f>
        <v>20778.9574676981</v>
      </c>
      <c r="S9" s="217" t="n">
        <f aca="false">S104</f>
        <v>20778.9574676981</v>
      </c>
      <c r="T9" s="217" t="n">
        <f aca="false">T104</f>
        <v>20778.9574676981</v>
      </c>
      <c r="U9" s="217" t="n">
        <f aca="false">U104</f>
        <v>20778.9574676981</v>
      </c>
      <c r="V9" s="217" t="n">
        <f aca="false">V104</f>
        <v>20778.9574676981</v>
      </c>
      <c r="W9" s="217" t="n">
        <f aca="false">W104</f>
        <v>20778.9574676981</v>
      </c>
      <c r="X9" s="217" t="n">
        <f aca="false">X104</f>
        <v>20778.9574676981</v>
      </c>
      <c r="Y9" s="217" t="n">
        <f aca="false">Y104</f>
        <v>20778.9574676981</v>
      </c>
      <c r="Z9" s="217" t="n">
        <f aca="false">Z104</f>
        <v>20778.9574676981</v>
      </c>
      <c r="AA9" s="217" t="n">
        <f aca="false">AA104</f>
        <v>20778.957467698</v>
      </c>
      <c r="AB9" s="217" t="n">
        <f aca="false">AB104</f>
        <v>20778.957467698</v>
      </c>
      <c r="AC9" s="217" t="n">
        <f aca="false">AC104</f>
        <v>20778.957467698</v>
      </c>
      <c r="AD9" s="574"/>
      <c r="AF9" s="175" t="n">
        <f aca="false">AF8+1</f>
        <v>3</v>
      </c>
    </row>
    <row r="10" customFormat="false" ht="12.75" hidden="false" customHeight="false" outlineLevel="0" collapsed="false">
      <c r="A10" s="37"/>
      <c r="B10" s="38" t="s">
        <v>1531</v>
      </c>
      <c r="F10" s="189" t="n">
        <v>0</v>
      </c>
      <c r="G10" s="217" t="n">
        <f aca="false">-SUM($G86:G87)</f>
        <v>-0</v>
      </c>
      <c r="H10" s="217" t="n">
        <f aca="false">-SUM($G86:H87)</f>
        <v>-0</v>
      </c>
      <c r="I10" s="217" t="n">
        <f aca="false">-SUM($G86:I87)</f>
        <v>1363.3482</v>
      </c>
      <c r="J10" s="217" t="n">
        <f aca="false">-SUM($G86:J87)</f>
        <v>1363.3482</v>
      </c>
      <c r="K10" s="217" t="n">
        <f aca="false">-SUM($G86:K87)</f>
        <v>4644.494</v>
      </c>
      <c r="L10" s="217" t="n">
        <f aca="false">-SUM($G86:L87)</f>
        <v>4644.494</v>
      </c>
      <c r="M10" s="217" t="n">
        <f aca="false">-SUM($G86:M87)</f>
        <v>4644.494</v>
      </c>
      <c r="N10" s="217" t="n">
        <f aca="false">-SUM($G86:N87)</f>
        <v>4644.494</v>
      </c>
      <c r="O10" s="217" t="n">
        <f aca="false">-SUM($G86:O87)</f>
        <v>4644.494</v>
      </c>
      <c r="P10" s="217" t="n">
        <f aca="false">-SUM($G86:P87)</f>
        <v>4644.494</v>
      </c>
      <c r="Q10" s="217" t="n">
        <f aca="false">-SUM($G86:Q87)</f>
        <v>4644.494</v>
      </c>
      <c r="R10" s="217" t="n">
        <f aca="false">-SUM($G86:R87)</f>
        <v>4644.494</v>
      </c>
      <c r="S10" s="217" t="n">
        <f aca="false">-SUM($G86:S87)</f>
        <v>4644.494</v>
      </c>
      <c r="T10" s="217" t="n">
        <f aca="false">-SUM($G86:T87)</f>
        <v>4644.494</v>
      </c>
      <c r="U10" s="217" t="n">
        <f aca="false">-SUM($G86:U87)</f>
        <v>4644.494</v>
      </c>
      <c r="V10" s="217" t="n">
        <f aca="false">-SUM($G86:V87)</f>
        <v>4644.494</v>
      </c>
      <c r="W10" s="217" t="n">
        <f aca="false">-SUM($G86:W87)</f>
        <v>4644.494</v>
      </c>
      <c r="X10" s="217" t="n">
        <f aca="false">-SUM($G86:X87)</f>
        <v>4644.494</v>
      </c>
      <c r="Y10" s="217" t="n">
        <f aca="false">-SUM($G86:Y87)</f>
        <v>4644.494</v>
      </c>
      <c r="Z10" s="217" t="n">
        <f aca="false">-SUM($G86:Z87)</f>
        <v>4644.494</v>
      </c>
      <c r="AA10" s="217" t="n">
        <f aca="false">-SUM($G86:AA87)</f>
        <v>4644.494</v>
      </c>
      <c r="AB10" s="217" t="n">
        <f aca="false">-SUM($G86:AB87)</f>
        <v>4644.494</v>
      </c>
      <c r="AC10" s="217" t="n">
        <f aca="false">-SUM($G86:AC87)</f>
        <v>-0</v>
      </c>
      <c r="AD10" s="574"/>
      <c r="AF10" s="175" t="n">
        <f aca="false">AF9+1</f>
        <v>4</v>
      </c>
    </row>
    <row r="11" customFormat="false" ht="12.75" hidden="false" customHeight="false" outlineLevel="0" collapsed="false">
      <c r="A11" s="37"/>
      <c r="B11" s="38" t="s">
        <v>1532</v>
      </c>
      <c r="F11" s="189" t="n">
        <v>0</v>
      </c>
      <c r="G11" s="217" t="n">
        <f aca="false">-SUM($G88:G89)</f>
        <v>-0</v>
      </c>
      <c r="H11" s="217" t="n">
        <f aca="false">-SUM($G88:H89)</f>
        <v>-0</v>
      </c>
      <c r="I11" s="217" t="n">
        <f aca="false">-SUM($G88:I89)</f>
        <v>-1978.50807527969</v>
      </c>
      <c r="J11" s="217" t="n">
        <f aca="false">-SUM($G88:J89)</f>
        <v>1379.83072455757</v>
      </c>
      <c r="K11" s="217" t="n">
        <f aca="false">-SUM($G88:K89)</f>
        <v>16671.9300273138</v>
      </c>
      <c r="L11" s="217" t="n">
        <f aca="false">-SUM($G88:L89)</f>
        <v>18436.2522778291</v>
      </c>
      <c r="M11" s="217" t="n">
        <f aca="false">-SUM($G88:M89)</f>
        <v>23037.7232755998</v>
      </c>
      <c r="N11" s="217" t="n">
        <f aca="false">-SUM($G88:N89)</f>
        <v>15480.2265513606</v>
      </c>
      <c r="O11" s="217" t="n">
        <f aca="false">-SUM($G88:O89)</f>
        <v>21837.5040854959</v>
      </c>
      <c r="P11" s="217" t="n">
        <f aca="false">-SUM($G88:P89)</f>
        <v>28280.858371352</v>
      </c>
      <c r="Q11" s="217" t="n">
        <f aca="false">-SUM($G88:Q89)</f>
        <v>30079.7671670197</v>
      </c>
      <c r="R11" s="217" t="n">
        <f aca="false">-SUM($G88:R89)</f>
        <v>27560.9504811354</v>
      </c>
      <c r="S11" s="217" t="n">
        <f aca="false">-SUM($G88:S89)</f>
        <v>26415.5682767194</v>
      </c>
      <c r="T11" s="217" t="n">
        <f aca="false">-SUM($G88:T89)</f>
        <v>24119.3244019399</v>
      </c>
      <c r="U11" s="217" t="n">
        <f aca="false">-SUM($G88:U89)</f>
        <v>16605.4269965915</v>
      </c>
      <c r="V11" s="217" t="n">
        <f aca="false">-SUM($G88:V89)</f>
        <v>11387.0933300933</v>
      </c>
      <c r="W11" s="217" t="n">
        <f aca="false">-SUM($G88:W89)</f>
        <v>18605.8192126017</v>
      </c>
      <c r="X11" s="217" t="n">
        <f aca="false">-SUM($G88:X89)</f>
        <v>22005.0826297656</v>
      </c>
      <c r="Y11" s="217" t="n">
        <f aca="false">-SUM($G88:Y89)</f>
        <v>20015.669656253</v>
      </c>
      <c r="Z11" s="217" t="n">
        <f aca="false">-SUM($G88:Z89)</f>
        <v>26101.3201200841</v>
      </c>
      <c r="AA11" s="217" t="n">
        <f aca="false">-SUM($G88:AA89)</f>
        <v>30791.2337585927</v>
      </c>
      <c r="AB11" s="217" t="n">
        <f aca="false">-SUM($G88:AB89)</f>
        <v>37015.8390512002</v>
      </c>
      <c r="AC11" s="217" t="n">
        <f aca="false">-SUM($G88:AC89)</f>
        <v>-0</v>
      </c>
      <c r="AD11" s="574"/>
      <c r="AF11" s="175" t="n">
        <f aca="false">AF10+1</f>
        <v>5</v>
      </c>
    </row>
    <row r="12" customFormat="false" ht="12.75" hidden="false" customHeight="false" outlineLevel="0" collapsed="false">
      <c r="A12" s="37"/>
      <c r="B12" s="38" t="s">
        <v>1533</v>
      </c>
      <c r="F12" s="1130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574"/>
      <c r="AF12" s="175" t="n">
        <f aca="false">AF11+1</f>
        <v>6</v>
      </c>
    </row>
    <row r="13" customFormat="false" ht="12.75" hidden="false" customHeight="false" outlineLevel="0" collapsed="false">
      <c r="A13" s="37"/>
      <c r="C13" s="38" t="s">
        <v>1534</v>
      </c>
      <c r="F13" s="189" t="n">
        <v>0</v>
      </c>
      <c r="G13" s="217" t="n">
        <f aca="false">-SUM($G83:G83)</f>
        <v>7598.20788530466</v>
      </c>
      <c r="H13" s="217" t="n">
        <f aca="false">-SUM($G83:H83)</f>
        <v>119281.173621676</v>
      </c>
      <c r="I13" s="217" t="n">
        <f aca="false">-SUM($G83:I83)</f>
        <v>176162.258615231</v>
      </c>
      <c r="J13" s="217" t="n">
        <f aca="false">-SUM($G83:J83)</f>
        <v>276224.88730267</v>
      </c>
      <c r="K13" s="217" t="n">
        <f aca="false">-SUM($G83:K83)</f>
        <v>329316.493333414</v>
      </c>
      <c r="L13" s="217" t="n">
        <f aca="false">-SUM($G83:L83)</f>
        <v>329316.493333414</v>
      </c>
      <c r="M13" s="217" t="n">
        <f aca="false">-SUM($G83:M83)</f>
        <v>329316.493333414</v>
      </c>
      <c r="N13" s="217" t="n">
        <f aca="false">-SUM($G83:N83)</f>
        <v>329316.493333414</v>
      </c>
      <c r="O13" s="217" t="n">
        <f aca="false">-SUM($G83:O83)</f>
        <v>329316.493333414</v>
      </c>
      <c r="P13" s="217" t="n">
        <f aca="false">-SUM($G83:P83)</f>
        <v>329316.493333414</v>
      </c>
      <c r="Q13" s="217" t="n">
        <f aca="false">-SUM($G83:Q83)</f>
        <v>329316.493333414</v>
      </c>
      <c r="R13" s="217" t="n">
        <f aca="false">-SUM($G83:R83)</f>
        <v>329316.493333414</v>
      </c>
      <c r="S13" s="217" t="n">
        <f aca="false">-SUM($G83:S83)</f>
        <v>329316.493333414</v>
      </c>
      <c r="T13" s="217" t="n">
        <f aca="false">-SUM($G83:T83)</f>
        <v>329316.493333414</v>
      </c>
      <c r="U13" s="217" t="n">
        <f aca="false">-SUM($G83:U83)</f>
        <v>329316.493333414</v>
      </c>
      <c r="V13" s="217" t="n">
        <f aca="false">-SUM($G83:V83)</f>
        <v>329316.493333414</v>
      </c>
      <c r="W13" s="217" t="n">
        <f aca="false">-SUM($G83:W83)</f>
        <v>329316.493333414</v>
      </c>
      <c r="X13" s="217" t="n">
        <f aca="false">-SUM($G83:X83)</f>
        <v>329316.493333414</v>
      </c>
      <c r="Y13" s="217" t="n">
        <f aca="false">-SUM($G83:Y83)</f>
        <v>329316.493333414</v>
      </c>
      <c r="Z13" s="217" t="n">
        <f aca="false">-SUM($G83:Z83)</f>
        <v>329316.493333414</v>
      </c>
      <c r="AA13" s="217" t="n">
        <f aca="false">-SUM($G83:AA83)</f>
        <v>329316.493333414</v>
      </c>
      <c r="AB13" s="217" t="n">
        <f aca="false">-SUM($G83:AB83)</f>
        <v>329316.493333414</v>
      </c>
      <c r="AC13" s="217" t="n">
        <f aca="false">-SUM($G83:AC83)</f>
        <v>329316.493333414</v>
      </c>
      <c r="AD13" s="574"/>
      <c r="AF13" s="175" t="n">
        <f aca="false">AF12+1</f>
        <v>7</v>
      </c>
    </row>
    <row r="14" customFormat="false" ht="12.75" hidden="false" customHeight="false" outlineLevel="0" collapsed="false">
      <c r="A14" s="37"/>
      <c r="C14" s="38" t="s">
        <v>1535</v>
      </c>
      <c r="F14" s="1054" t="n">
        <v>0</v>
      </c>
      <c r="G14" s="220" t="n">
        <f aca="false">SUM($G52:G52)</f>
        <v>0</v>
      </c>
      <c r="H14" s="220" t="n">
        <f aca="false">SUM($G52:H52)</f>
        <v>0</v>
      </c>
      <c r="I14" s="220" t="n">
        <f aca="false">SUM($G52:I52)</f>
        <v>-3704.81055000091</v>
      </c>
      <c r="J14" s="220" t="n">
        <f aca="false">SUM($G52:J52)</f>
        <v>-8644.55795000212</v>
      </c>
      <c r="K14" s="220" t="n">
        <f aca="false">SUM($G52:K52)</f>
        <v>-21208.3573449514</v>
      </c>
      <c r="L14" s="220" t="n">
        <f aca="false">SUM($G52:L52)</f>
        <v>-39007.5755144781</v>
      </c>
      <c r="M14" s="220" t="n">
        <f aca="false">SUM($G52:M52)</f>
        <v>-56806.7936840048</v>
      </c>
      <c r="N14" s="220" t="n">
        <f aca="false">SUM($G52:N52)</f>
        <v>-74606.0118535315</v>
      </c>
      <c r="O14" s="220" t="n">
        <f aca="false">SUM($G52:O52)</f>
        <v>-92405.2300230582</v>
      </c>
      <c r="P14" s="220" t="n">
        <f aca="false">SUM($G52:P52)</f>
        <v>-110204.448192585</v>
      </c>
      <c r="Q14" s="220" t="n">
        <f aca="false">SUM($G52:Q52)</f>
        <v>-128003.666362112</v>
      </c>
      <c r="R14" s="220" t="n">
        <f aca="false">SUM($G52:R52)</f>
        <v>-145802.884531638</v>
      </c>
      <c r="S14" s="220" t="n">
        <f aca="false">SUM($G52:S52)</f>
        <v>-163602.102701165</v>
      </c>
      <c r="T14" s="220" t="n">
        <f aca="false">SUM($G52:T52)</f>
        <v>-181401.320870692</v>
      </c>
      <c r="U14" s="220" t="n">
        <f aca="false">SUM($G52:U52)</f>
        <v>-199200.539040218</v>
      </c>
      <c r="V14" s="220" t="n">
        <f aca="false">SUM($G52:V52)</f>
        <v>-216999.757209745</v>
      </c>
      <c r="W14" s="220" t="n">
        <f aca="false">SUM($G52:W52)</f>
        <v>-234798.975379272</v>
      </c>
      <c r="X14" s="220" t="n">
        <f aca="false">SUM($G52:X52)</f>
        <v>-252598.193548798</v>
      </c>
      <c r="Y14" s="220" t="n">
        <f aca="false">SUM($G52:Y52)</f>
        <v>-270397.411718325</v>
      </c>
      <c r="Z14" s="220" t="n">
        <f aca="false">SUM($G52:Z52)</f>
        <v>-288196.629887852</v>
      </c>
      <c r="AA14" s="220" t="n">
        <f aca="false">SUM($G52:AA52)</f>
        <v>-305995.848057379</v>
      </c>
      <c r="AB14" s="220" t="n">
        <f aca="false">SUM($G52:AB52)</f>
        <v>-323795.066226905</v>
      </c>
      <c r="AC14" s="220" t="n">
        <f aca="false">SUM($G52:AC52)</f>
        <v>-329316.493333414</v>
      </c>
      <c r="AD14" s="576"/>
      <c r="AF14" s="175" t="n">
        <f aca="false">AF13+1</f>
        <v>8</v>
      </c>
    </row>
    <row r="15" customFormat="false" ht="12.75" hidden="false" customHeight="false" outlineLevel="0" collapsed="false">
      <c r="A15" s="37"/>
      <c r="C15" s="38" t="s">
        <v>1536</v>
      </c>
      <c r="F15" s="217" t="n">
        <f aca="false">SUM(F13:F14)</f>
        <v>0</v>
      </c>
      <c r="G15" s="217" t="n">
        <f aca="false">SUM(G13:G14)</f>
        <v>7598.20788530466</v>
      </c>
      <c r="H15" s="217" t="n">
        <f aca="false">SUM(H13:H14)</f>
        <v>119281.173621676</v>
      </c>
      <c r="I15" s="217" t="n">
        <f aca="false">SUM(I13:I14)</f>
        <v>172457.448065231</v>
      </c>
      <c r="J15" s="217" t="n">
        <f aca="false">SUM(J13:J14)</f>
        <v>267580.329352667</v>
      </c>
      <c r="K15" s="217" t="n">
        <f aca="false">SUM(K13:K14)</f>
        <v>308108.135988462</v>
      </c>
      <c r="L15" s="217" t="n">
        <f aca="false">SUM(L13:L14)</f>
        <v>290308.917818936</v>
      </c>
      <c r="M15" s="217" t="n">
        <f aca="false">SUM(M13:M14)</f>
        <v>272509.699649409</v>
      </c>
      <c r="N15" s="217" t="n">
        <f aca="false">SUM(N13:N14)</f>
        <v>254710.481479882</v>
      </c>
      <c r="O15" s="217" t="n">
        <f aca="false">SUM(O13:O14)</f>
        <v>236911.263310356</v>
      </c>
      <c r="P15" s="217" t="n">
        <f aca="false">SUM(P13:P14)</f>
        <v>219112.045140829</v>
      </c>
      <c r="Q15" s="217" t="n">
        <f aca="false">SUM(Q13:Q14)</f>
        <v>201312.826971302</v>
      </c>
      <c r="R15" s="217" t="n">
        <f aca="false">SUM(R13:R14)</f>
        <v>183513.608801776</v>
      </c>
      <c r="S15" s="217" t="n">
        <f aca="false">SUM(S13:S14)</f>
        <v>165714.390632249</v>
      </c>
      <c r="T15" s="217" t="n">
        <f aca="false">SUM(T13:T14)</f>
        <v>147915.172462722</v>
      </c>
      <c r="U15" s="217" t="n">
        <f aca="false">SUM(U13:U14)</f>
        <v>130115.954293195</v>
      </c>
      <c r="V15" s="217" t="n">
        <f aca="false">SUM(V13:V14)</f>
        <v>112316.736123669</v>
      </c>
      <c r="W15" s="217" t="n">
        <f aca="false">SUM(W13:W14)</f>
        <v>94517.5179541421</v>
      </c>
      <c r="X15" s="217" t="n">
        <f aca="false">SUM(X13:X14)</f>
        <v>76718.2997846154</v>
      </c>
      <c r="Y15" s="217" t="n">
        <f aca="false">SUM(Y13:Y14)</f>
        <v>58919.0816150887</v>
      </c>
      <c r="Z15" s="217" t="n">
        <f aca="false">SUM(Z13:Z14)</f>
        <v>41119.863445562</v>
      </c>
      <c r="AA15" s="217" t="n">
        <f aca="false">SUM(AA13:AA14)</f>
        <v>23320.6452760352</v>
      </c>
      <c r="AB15" s="217" t="n">
        <f aca="false">SUM(AB13:AB14)</f>
        <v>5521.42710650858</v>
      </c>
      <c r="AC15" s="217" t="n">
        <f aca="false">SUM(AC13:AC14)</f>
        <v>0</v>
      </c>
      <c r="AD15" s="574"/>
      <c r="AF15" s="175" t="n">
        <f aca="false">AF14+1</f>
        <v>9</v>
      </c>
    </row>
    <row r="16" customFormat="false" ht="12.75" hidden="false" customHeight="false" outlineLevel="0" collapsed="false">
      <c r="A16" s="37"/>
      <c r="B16" s="38" t="s">
        <v>1537</v>
      </c>
      <c r="F16" s="189" t="n">
        <v>0</v>
      </c>
      <c r="G16" s="217" t="n">
        <f aca="false">-SUM($G84:G85)</f>
        <v>-0</v>
      </c>
      <c r="H16" s="217" t="n">
        <f aca="false">-SUM($G84:H85)</f>
        <v>-0</v>
      </c>
      <c r="I16" s="217" t="n">
        <f aca="false">-SUM($G84:I85)</f>
        <v>162</v>
      </c>
      <c r="J16" s="217" t="n">
        <f aca="false">-SUM($G84:J85)</f>
        <v>162</v>
      </c>
      <c r="K16" s="217" t="n">
        <f aca="false">-SUM($G84:K85)</f>
        <v>540</v>
      </c>
      <c r="L16" s="217" t="n">
        <f aca="false">-SUM($G84:L85)</f>
        <v>540</v>
      </c>
      <c r="M16" s="217" t="n">
        <f aca="false">-SUM($G84:M85)</f>
        <v>540</v>
      </c>
      <c r="N16" s="217" t="n">
        <f aca="false">-SUM($G84:N85)</f>
        <v>540</v>
      </c>
      <c r="O16" s="217" t="n">
        <f aca="false">-SUM($G84:O85)</f>
        <v>540</v>
      </c>
      <c r="P16" s="217" t="n">
        <f aca="false">-SUM($G84:P85)</f>
        <v>540</v>
      </c>
      <c r="Q16" s="217" t="n">
        <f aca="false">-SUM($G84:Q85)</f>
        <v>540</v>
      </c>
      <c r="R16" s="217" t="n">
        <f aca="false">-SUM($G84:R85)</f>
        <v>540</v>
      </c>
      <c r="S16" s="217" t="n">
        <f aca="false">-SUM($G84:S85)</f>
        <v>540</v>
      </c>
      <c r="T16" s="217" t="n">
        <f aca="false">-SUM($G84:T85)</f>
        <v>540</v>
      </c>
      <c r="U16" s="217" t="n">
        <f aca="false">-SUM($G84:U85)</f>
        <v>540</v>
      </c>
      <c r="V16" s="217" t="n">
        <f aca="false">-SUM($G84:V85)</f>
        <v>540</v>
      </c>
      <c r="W16" s="217" t="n">
        <f aca="false">-SUM($G84:W85)</f>
        <v>540</v>
      </c>
      <c r="X16" s="217" t="n">
        <f aca="false">-SUM($G84:X85)</f>
        <v>540</v>
      </c>
      <c r="Y16" s="217" t="n">
        <f aca="false">-SUM($G84:Y85)</f>
        <v>540</v>
      </c>
      <c r="Z16" s="217" t="n">
        <f aca="false">-SUM($G84:Z85)</f>
        <v>540</v>
      </c>
      <c r="AA16" s="217" t="n">
        <f aca="false">-SUM($G84:AA85)</f>
        <v>540</v>
      </c>
      <c r="AB16" s="217" t="n">
        <f aca="false">-SUM($G84:AB85)</f>
        <v>540</v>
      </c>
      <c r="AC16" s="217" t="n">
        <f aca="false">-SUM($G84:AC85)</f>
        <v>-0</v>
      </c>
      <c r="AD16" s="574"/>
      <c r="AF16" s="175" t="n">
        <f aca="false">AF15+1</f>
        <v>10</v>
      </c>
    </row>
    <row r="17" customFormat="false" ht="12.75" hidden="false" customHeight="false" outlineLevel="0" collapsed="false">
      <c r="A17" s="37"/>
      <c r="B17" s="38" t="s">
        <v>1538</v>
      </c>
      <c r="F17" s="1054" t="n">
        <v>0</v>
      </c>
      <c r="G17" s="220" t="n">
        <f aca="false">IF(Taxes!C$90&gt;0,Taxes!C$90,0)</f>
        <v>0</v>
      </c>
      <c r="H17" s="220" t="n">
        <f aca="false">IF(Taxes!D$90&gt;0,Taxes!D$90,0)</f>
        <v>0</v>
      </c>
      <c r="I17" s="220" t="n">
        <f aca="false">IF(Taxes!E$90&gt;0,Taxes!E$90,0)</f>
        <v>210.76625056318</v>
      </c>
      <c r="J17" s="220" t="n">
        <f aca="false">IF(Taxes!F$90&gt;0,Taxes!F$90,0)</f>
        <v>1306.26659917985</v>
      </c>
      <c r="K17" s="220" t="n">
        <f aca="false">IF(Taxes!G$90&gt;0,Taxes!G$90,0)</f>
        <v>1306.26659917985</v>
      </c>
      <c r="L17" s="220" t="n">
        <f aca="false">IF(Taxes!H$90&gt;0,Taxes!H$90,0)</f>
        <v>1306.26659917985</v>
      </c>
      <c r="M17" s="220" t="n">
        <f aca="false">IF(Taxes!I$90&gt;0,Taxes!I$90,0)</f>
        <v>1011.94812230686</v>
      </c>
      <c r="N17" s="220" t="n">
        <f aca="false">IF(Taxes!J$90&gt;0,Taxes!J$90,0)</f>
        <v>1011.94812230686</v>
      </c>
      <c r="O17" s="220" t="n">
        <f aca="false">IF(Taxes!K$90&gt;0,Taxes!K$90,0)</f>
        <v>632.720911853936</v>
      </c>
      <c r="P17" s="220" t="n">
        <f aca="false">IF(Taxes!L$90&gt;0,Taxes!L$90,0)</f>
        <v>0</v>
      </c>
      <c r="Q17" s="220" t="n">
        <f aca="false">IF(Taxes!M$90&gt;0,Taxes!M$90,0)</f>
        <v>1382.1618484235</v>
      </c>
      <c r="R17" s="220" t="n">
        <f aca="false">IF(Taxes!N$90&gt;0,Taxes!N$90,0)</f>
        <v>2984.87802990154</v>
      </c>
      <c r="S17" s="220" t="n">
        <f aca="false">IF(Taxes!O$90&gt;0,Taxes!O$90,0)</f>
        <v>1577.62020971305</v>
      </c>
      <c r="T17" s="220" t="n">
        <f aca="false">IF(Taxes!P$90&gt;0,Taxes!P$90,0)</f>
        <v>384.849021452726</v>
      </c>
      <c r="U17" s="220" t="n">
        <f aca="false">IF(Taxes!Q$90&gt;0,Taxes!Q$90,0)</f>
        <v>3663.87450122627</v>
      </c>
      <c r="V17" s="220" t="n">
        <f aca="false">IF(Taxes!R$90&gt;0,Taxes!R$90,0)</f>
        <v>6648.18476900505</v>
      </c>
      <c r="W17" s="220" t="n">
        <f aca="false">IF(Taxes!S$90&gt;0,Taxes!S$90,0)</f>
        <v>4170.79306506149</v>
      </c>
      <c r="X17" s="220" t="n">
        <f aca="false">IF(Taxes!T$90&gt;0,Taxes!T$90,0)</f>
        <v>5403.8104667292</v>
      </c>
      <c r="Y17" s="220" t="n">
        <f aca="false">IF(Taxes!U$90&gt;0,Taxes!U$90,0)</f>
        <v>5403.8104667292</v>
      </c>
      <c r="Z17" s="220" t="n">
        <f aca="false">IF(Taxes!V$90&gt;0,Taxes!V$90,0)</f>
        <v>5403.8104667292</v>
      </c>
      <c r="AA17" s="220" t="n">
        <f aca="false">IF(Taxes!W$90&gt;0,Taxes!W$90,0)</f>
        <v>5403.8104667292</v>
      </c>
      <c r="AB17" s="220" t="n">
        <f aca="false">IF(Taxes!X$90&gt;0,Taxes!X$90,0)</f>
        <v>5403.8104667292</v>
      </c>
      <c r="AC17" s="220" t="n">
        <f aca="false">IF(Taxes!Y$90&gt;0,Taxes!Y$90,0)</f>
        <v>5403.8104667292</v>
      </c>
      <c r="AD17" s="576"/>
      <c r="AF17" s="175" t="n">
        <f aca="false">AF16+1</f>
        <v>11</v>
      </c>
    </row>
    <row r="18" customFormat="false" ht="12.75" hidden="false" customHeight="false" outlineLevel="0" collapsed="false">
      <c r="A18" s="37" t="s">
        <v>1539</v>
      </c>
      <c r="F18" s="220" t="n">
        <f aca="false">SUM(F9:F11)+F15+SUM(F16:F17)</f>
        <v>0</v>
      </c>
      <c r="G18" s="220" t="n">
        <f aca="false">SUM(G9:G11)+G15+SUM(G16:G17)</f>
        <v>7598.20788530466</v>
      </c>
      <c r="H18" s="220" t="n">
        <f aca="false">SUM(H9:H11)+H15+SUM(H16:H17)</f>
        <v>119281.173621676</v>
      </c>
      <c r="I18" s="220" t="n">
        <f aca="false">SUM(I9:I11)+I15+SUM(I16:I17)</f>
        <v>172215.054440514</v>
      </c>
      <c r="J18" s="220" t="n">
        <f aca="false">SUM(J9:J11)+J15+SUM(J16:J17)</f>
        <v>271791.774876405</v>
      </c>
      <c r="K18" s="220" t="n">
        <f aca="false">SUM(K9:K11)+K15+SUM(K16:K17)</f>
        <v>331270.826614956</v>
      </c>
      <c r="L18" s="220" t="n">
        <f aca="false">SUM(L9:L11)+L15+SUM(L16:L17)</f>
        <v>315235.930695945</v>
      </c>
      <c r="M18" s="220" t="n">
        <f aca="false">SUM(M9:M11)+M15+SUM(M16:M17)</f>
        <v>301743.865047316</v>
      </c>
      <c r="N18" s="220" t="n">
        <f aca="false">SUM(N9:N11)+N15+SUM(N16:N17)</f>
        <v>297166.107621248</v>
      </c>
      <c r="O18" s="220" t="n">
        <f aca="false">SUM(O9:O11)+O15+SUM(O16:O17)</f>
        <v>285344.939775404</v>
      </c>
      <c r="P18" s="220" t="n">
        <f aca="false">SUM(P9:P11)+P15+SUM(P16:P17)</f>
        <v>273356.354979879</v>
      </c>
      <c r="Q18" s="220" t="n">
        <f aca="false">SUM(Q9:Q11)+Q15+SUM(Q16:Q17)</f>
        <v>258738.207454443</v>
      </c>
      <c r="R18" s="220" t="n">
        <f aca="false">SUM(R9:R11)+R15+SUM(R16:R17)</f>
        <v>240022.888780511</v>
      </c>
      <c r="S18" s="220" t="n">
        <f aca="false">SUM(S9:S11)+S15+SUM(S16:S17)</f>
        <v>219671.030586379</v>
      </c>
      <c r="T18" s="220" t="n">
        <f aca="false">SUM(T9:T11)+T15+SUM(T16:T17)</f>
        <v>198382.797353813</v>
      </c>
      <c r="U18" s="220" t="n">
        <f aca="false">SUM(U9:U11)+U15+SUM(U16:U17)</f>
        <v>176348.707258711</v>
      </c>
      <c r="V18" s="220" t="n">
        <f aca="false">SUM(V9:V11)+V15+SUM(V16:V17)</f>
        <v>156315.465690465</v>
      </c>
      <c r="W18" s="220" t="n">
        <f aca="false">SUM(W9:W11)+W15+SUM(W16:W17)</f>
        <v>143257.581699503</v>
      </c>
      <c r="X18" s="220" t="n">
        <f aca="false">SUM(X9:X11)+X15+SUM(X16:X17)</f>
        <v>130090.644348808</v>
      </c>
      <c r="Y18" s="220" t="n">
        <f aca="false">SUM(Y9:Y11)+Y15+SUM(Y16:Y17)</f>
        <v>110302.013205769</v>
      </c>
      <c r="Z18" s="220" t="n">
        <f aca="false">SUM(Z9:Z11)+Z15+SUM(Z16:Z17)</f>
        <v>98588.4455000734</v>
      </c>
      <c r="AA18" s="220" t="n">
        <f aca="false">SUM(AA9:AA11)+AA15+SUM(AA16:AA17)</f>
        <v>85479.1409690552</v>
      </c>
      <c r="AB18" s="220" t="n">
        <f aca="false">SUM(AB9:AB11)+AB15+SUM(AB16:AB17)</f>
        <v>73904.528092136</v>
      </c>
      <c r="AC18" s="220" t="n">
        <f aca="false">SUM(AC9:AC11)+AC15+SUM(AC16:AC17)</f>
        <v>26182.7679344272</v>
      </c>
      <c r="AD18" s="576"/>
      <c r="AF18" s="175" t="n">
        <f aca="false">AF17+1</f>
        <v>12</v>
      </c>
    </row>
    <row r="19" customFormat="false" ht="12.75" hidden="false" customHeight="false" outlineLevel="0" collapsed="false">
      <c r="A19" s="37"/>
      <c r="F19" s="1130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574"/>
      <c r="AF19" s="175" t="n">
        <f aca="false">AF18+1</f>
        <v>13</v>
      </c>
    </row>
    <row r="20" customFormat="false" ht="12.75" hidden="false" customHeight="false" outlineLevel="0" collapsed="false">
      <c r="A20" s="130" t="s">
        <v>1540</v>
      </c>
      <c r="F20" s="1130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574"/>
      <c r="AF20" s="175" t="n">
        <f aca="false">AF19+1</f>
        <v>14</v>
      </c>
    </row>
    <row r="21" customFormat="false" ht="12.75" hidden="false" customHeight="false" outlineLevel="0" collapsed="false">
      <c r="A21" s="37"/>
      <c r="B21" s="38" t="s">
        <v>1541</v>
      </c>
      <c r="F21" s="189" t="n">
        <v>0</v>
      </c>
      <c r="G21" s="217" t="n">
        <f aca="false">IF(Taxes!C$90&lt;0,-Taxes!C$90,0)</f>
        <v>0</v>
      </c>
      <c r="H21" s="217" t="n">
        <f aca="false">IF(Taxes!D$90&lt;0,-Taxes!D$90,0)</f>
        <v>0</v>
      </c>
      <c r="I21" s="217" t="n">
        <f aca="false">IF(Taxes!E$90&lt;0,-Taxes!E$90,0)</f>
        <v>0</v>
      </c>
      <c r="J21" s="217" t="n">
        <f aca="false">IF(Taxes!F$90&lt;0,-Taxes!F$90,0)</f>
        <v>0</v>
      </c>
      <c r="K21" s="217" t="n">
        <f aca="false">IF(Taxes!G$90&lt;0,-Taxes!G$90,0)</f>
        <v>0</v>
      </c>
      <c r="L21" s="217" t="n">
        <f aca="false">IF(Taxes!H$90&lt;0,-Taxes!H$90,0)</f>
        <v>0</v>
      </c>
      <c r="M21" s="217" t="n">
        <f aca="false">IF(Taxes!I$90&lt;0,-Taxes!I$90,0)</f>
        <v>0</v>
      </c>
      <c r="N21" s="217" t="n">
        <f aca="false">IF(Taxes!J$90&lt;0,-Taxes!J$90,0)</f>
        <v>0</v>
      </c>
      <c r="O21" s="217" t="n">
        <f aca="false">IF(Taxes!K$90&lt;0,-Taxes!K$90,0)</f>
        <v>0</v>
      </c>
      <c r="P21" s="217" t="n">
        <f aca="false">IF(Taxes!L$90&lt;0,-Taxes!L$90,0)</f>
        <v>222.798867951219</v>
      </c>
      <c r="Q21" s="217" t="n">
        <f aca="false">IF(Taxes!M$90&lt;0,-Taxes!M$90,0)</f>
        <v>0</v>
      </c>
      <c r="R21" s="217" t="n">
        <f aca="false">IF(Taxes!N$90&lt;0,-Taxes!N$90,0)</f>
        <v>0</v>
      </c>
      <c r="S21" s="217" t="n">
        <f aca="false">IF(Taxes!O$90&lt;0,-Taxes!O$90,0)</f>
        <v>0</v>
      </c>
      <c r="T21" s="217" t="n">
        <f aca="false">IF(Taxes!P$90&lt;0,-Taxes!P$90,0)</f>
        <v>0</v>
      </c>
      <c r="U21" s="217" t="n">
        <f aca="false">IF(Taxes!Q$90&lt;0,-Taxes!Q$90,0)</f>
        <v>0</v>
      </c>
      <c r="V21" s="217" t="n">
        <f aca="false">IF(Taxes!R$90&lt;0,-Taxes!R$90,0)</f>
        <v>0</v>
      </c>
      <c r="W21" s="217" t="n">
        <f aca="false">IF(Taxes!S$90&lt;0,-Taxes!S$90,0)</f>
        <v>0</v>
      </c>
      <c r="X21" s="217" t="n">
        <f aca="false">IF(Taxes!T$90&lt;0,-Taxes!T$90,0)</f>
        <v>0</v>
      </c>
      <c r="Y21" s="217" t="n">
        <f aca="false">IF(Taxes!U$90&lt;0,-Taxes!U$90,0)</f>
        <v>0</v>
      </c>
      <c r="Z21" s="217" t="n">
        <f aca="false">IF(Taxes!V$90&lt;0,-Taxes!V$90,0)</f>
        <v>0</v>
      </c>
      <c r="AA21" s="217" t="n">
        <f aca="false">IF(Taxes!W$90&lt;0,-Taxes!W$90,0)</f>
        <v>0</v>
      </c>
      <c r="AB21" s="217" t="n">
        <f aca="false">IF(Taxes!X$90&lt;0,-Taxes!X$90,0)</f>
        <v>0</v>
      </c>
      <c r="AC21" s="217" t="n">
        <f aca="false">IF(Taxes!Y$90&lt;0,-Taxes!Y$90,0)</f>
        <v>0</v>
      </c>
      <c r="AD21" s="574"/>
      <c r="AF21" s="175" t="n">
        <f aca="false">AF20+1</f>
        <v>15</v>
      </c>
    </row>
    <row r="22" customFormat="false" ht="12.75" hidden="false" customHeight="false" outlineLevel="0" collapsed="false">
      <c r="A22" s="37"/>
      <c r="B22" s="38" t="s">
        <v>1542</v>
      </c>
      <c r="F22" s="189" t="n">
        <v>0</v>
      </c>
      <c r="G22" s="217" t="n">
        <f aca="false">SUM($G77:G78)</f>
        <v>0</v>
      </c>
      <c r="H22" s="217" t="n">
        <f aca="false">SUM($G77:H78)</f>
        <v>26487.6034167572</v>
      </c>
      <c r="I22" s="217" t="n">
        <f aca="false">SUM($G77:I78)</f>
        <v>85882.6031930569</v>
      </c>
      <c r="J22" s="217" t="n">
        <f aca="false">SUM($G77:J78)</f>
        <v>0</v>
      </c>
      <c r="K22" s="217" t="n">
        <f aca="false">SUM($G77:K78)</f>
        <v>0</v>
      </c>
      <c r="L22" s="217" t="n">
        <f aca="false">SUM($G77:L78)</f>
        <v>0</v>
      </c>
      <c r="M22" s="217" t="n">
        <f aca="false">SUM($G77:M78)</f>
        <v>0</v>
      </c>
      <c r="N22" s="217" t="n">
        <f aca="false">SUM($G77:N78)</f>
        <v>0</v>
      </c>
      <c r="O22" s="217" t="n">
        <f aca="false">SUM($G77:O78)</f>
        <v>0</v>
      </c>
      <c r="P22" s="217" t="n">
        <f aca="false">SUM($G77:P78)</f>
        <v>0</v>
      </c>
      <c r="Q22" s="217" t="n">
        <f aca="false">SUM($G77:Q78)</f>
        <v>0</v>
      </c>
      <c r="R22" s="217" t="n">
        <f aca="false">SUM($G77:R78)</f>
        <v>0</v>
      </c>
      <c r="S22" s="217" t="n">
        <f aca="false">SUM($G77:S78)</f>
        <v>0</v>
      </c>
      <c r="T22" s="217" t="n">
        <f aca="false">SUM($G77:T78)</f>
        <v>0</v>
      </c>
      <c r="U22" s="217" t="n">
        <f aca="false">SUM($G77:U78)</f>
        <v>0</v>
      </c>
      <c r="V22" s="217" t="n">
        <f aca="false">SUM($G77:V78)</f>
        <v>0</v>
      </c>
      <c r="W22" s="217" t="n">
        <f aca="false">SUM($G77:W78)</f>
        <v>0</v>
      </c>
      <c r="X22" s="217" t="n">
        <f aca="false">SUM($G77:X78)</f>
        <v>0</v>
      </c>
      <c r="Y22" s="217" t="n">
        <f aca="false">SUM($G77:Y78)</f>
        <v>0</v>
      </c>
      <c r="Z22" s="217" t="n">
        <f aca="false">SUM($G77:Z78)</f>
        <v>0</v>
      </c>
      <c r="AA22" s="217" t="n">
        <f aca="false">SUM($G77:AA78)</f>
        <v>0</v>
      </c>
      <c r="AB22" s="217" t="n">
        <f aca="false">SUM($G77:AB78)</f>
        <v>0</v>
      </c>
      <c r="AC22" s="217" t="n">
        <f aca="false">SUM($G77:AC78)</f>
        <v>0</v>
      </c>
      <c r="AD22" s="576"/>
      <c r="AF22" s="175" t="n">
        <f aca="false">AF21+1</f>
        <v>16</v>
      </c>
    </row>
    <row r="23" customFormat="false" ht="12.75" hidden="false" customHeight="false" outlineLevel="0" collapsed="false">
      <c r="A23" s="37"/>
      <c r="B23" s="38" t="s">
        <v>305</v>
      </c>
      <c r="F23" s="189" t="n">
        <v>0</v>
      </c>
      <c r="G23" s="217" t="n">
        <f aca="false">SUM($G79:G80)</f>
        <v>0</v>
      </c>
      <c r="H23" s="217" t="n">
        <f aca="false">SUM($G79:H80)</f>
        <v>0</v>
      </c>
      <c r="I23" s="217" t="n">
        <f aca="false">SUM($G79:I80)</f>
        <v>0</v>
      </c>
      <c r="J23" s="217" t="n">
        <f aca="false">SUM($G79:J80)</f>
        <v>151241.604975653</v>
      </c>
      <c r="K23" s="217" t="n">
        <f aca="false">SUM($G79:K80)</f>
        <v>201351.119911058</v>
      </c>
      <c r="L23" s="217" t="n">
        <f aca="false">SUM($G79:L80)</f>
        <v>189196.306084247</v>
      </c>
      <c r="M23" s="217" t="n">
        <f aca="false">SUM($G79:M80)</f>
        <v>176511.376035713</v>
      </c>
      <c r="N23" s="217" t="n">
        <f aca="false">SUM($G79:N80)</f>
        <v>161989.000795687</v>
      </c>
      <c r="O23" s="217" t="n">
        <f aca="false">SUM($G79:O80)</f>
        <v>146585.860373825</v>
      </c>
      <c r="P23" s="217" t="n">
        <f aca="false">SUM($G79:P80)</f>
        <v>130546.552610081</v>
      </c>
      <c r="Q23" s="217" t="n">
        <f aca="false">SUM($G79:Q80)</f>
        <v>114017.682199916</v>
      </c>
      <c r="R23" s="217" t="n">
        <f aca="false">SUM($G79:R80)</f>
        <v>98218.246957108</v>
      </c>
      <c r="S23" s="217" t="n">
        <f aca="false">SUM($G79:S80)</f>
        <v>83125.7199666488</v>
      </c>
      <c r="T23" s="217" t="n">
        <f aca="false">SUM($G79:T80)</f>
        <v>67748.4978837957</v>
      </c>
      <c r="U23" s="217" t="n">
        <f aca="false">SUM($G79:U80)</f>
        <v>51576.107961794</v>
      </c>
      <c r="V23" s="217" t="n">
        <f aca="false">SUM($G79:V80)</f>
        <v>38518.2239708321</v>
      </c>
      <c r="W23" s="217" t="n">
        <f aca="false">SUM($G79:W80)</f>
        <v>25460.3399798703</v>
      </c>
      <c r="X23" s="217" t="n">
        <f aca="false">SUM($G79:X80)</f>
        <v>12293.4026291753</v>
      </c>
      <c r="Y23" s="217" t="n">
        <f aca="false">SUM($G79:Y80)</f>
        <v>0</v>
      </c>
      <c r="Z23" s="217" t="n">
        <f aca="false">SUM($G79:Z80)</f>
        <v>0</v>
      </c>
      <c r="AA23" s="217" t="n">
        <f aca="false">SUM($G79:AA80)</f>
        <v>0</v>
      </c>
      <c r="AB23" s="217" t="n">
        <f aca="false">SUM($G79:AB80)</f>
        <v>0</v>
      </c>
      <c r="AC23" s="217" t="n">
        <f aca="false">SUM($G79:AC80)</f>
        <v>0</v>
      </c>
      <c r="AD23" s="576"/>
      <c r="AF23" s="175" t="n">
        <f aca="false">AF22+1</f>
        <v>17</v>
      </c>
    </row>
    <row r="24" customFormat="false" ht="12.75" hidden="false" customHeight="false" outlineLevel="0" collapsed="false">
      <c r="A24" s="37"/>
      <c r="B24" s="38" t="s">
        <v>949</v>
      </c>
      <c r="F24" s="1054" t="n">
        <v>0</v>
      </c>
      <c r="G24" s="220" t="n">
        <f aca="false">SUM($G81:G82)</f>
        <v>0</v>
      </c>
      <c r="H24" s="220" t="n">
        <f aca="false">SUM($G81:H82)</f>
        <v>0</v>
      </c>
      <c r="I24" s="220" t="n">
        <f aca="false">SUM($G81:I82)</f>
        <v>0</v>
      </c>
      <c r="J24" s="220" t="n">
        <f aca="false">SUM($G81:J82)</f>
        <v>37368.7595067085</v>
      </c>
      <c r="K24" s="220" t="n">
        <f aca="false">SUM($G81:K82)</f>
        <v>49749.8130727587</v>
      </c>
      <c r="L24" s="220" t="n">
        <f aca="false">SUM($G81:L82)</f>
        <v>47521.402683883</v>
      </c>
      <c r="M24" s="220" t="n">
        <f aca="false">SUM($G81:M82)</f>
        <v>44993.8839105604</v>
      </c>
      <c r="N24" s="220" t="n">
        <f aca="false">SUM($G81:N82)</f>
        <v>42127.1089298887</v>
      </c>
      <c r="O24" s="220" t="n">
        <f aca="false">SUM($G81:O82)</f>
        <v>38875.5410774362</v>
      </c>
      <c r="P24" s="220" t="n">
        <f aca="false">SUM($G81:P82)</f>
        <v>35187.5315299884</v>
      </c>
      <c r="Q24" s="220" t="n">
        <f aca="false">SUM($G81:Q82)</f>
        <v>31004.4989010344</v>
      </c>
      <c r="R24" s="220" t="n">
        <f aca="false">SUM($G81:R82)</f>
        <v>26259.998717459</v>
      </c>
      <c r="S24" s="220" t="n">
        <f aca="false">SUM($G81:S82)</f>
        <v>20878.6679967432</v>
      </c>
      <c r="T24" s="220" t="n">
        <f aca="false">SUM($G81:T82)</f>
        <v>14775.0281600393</v>
      </c>
      <c r="U24" s="220" t="n">
        <f aca="false">SUM($G81:U82)</f>
        <v>7852.12726625382</v>
      </c>
      <c r="V24" s="220" t="n">
        <f aca="false">SUM($G81:V82)</f>
        <v>0</v>
      </c>
      <c r="W24" s="220" t="n">
        <f aca="false">SUM($G81:W82)</f>
        <v>0</v>
      </c>
      <c r="X24" s="220" t="n">
        <f aca="false">SUM($G81:X82)</f>
        <v>0</v>
      </c>
      <c r="Y24" s="220" t="n">
        <f aca="false">SUM($G81:Y82)</f>
        <v>0</v>
      </c>
      <c r="Z24" s="220" t="n">
        <f aca="false">SUM($G81:Z82)</f>
        <v>0</v>
      </c>
      <c r="AA24" s="220" t="n">
        <f aca="false">SUM($G81:AA82)</f>
        <v>0</v>
      </c>
      <c r="AB24" s="220" t="n">
        <f aca="false">SUM($G81:AB82)</f>
        <v>0</v>
      </c>
      <c r="AC24" s="220" t="n">
        <f aca="false">SUM($G81:AC82)</f>
        <v>0</v>
      </c>
      <c r="AD24" s="576"/>
      <c r="AF24" s="175" t="n">
        <f aca="false">AF23+1</f>
        <v>18</v>
      </c>
    </row>
    <row r="25" customFormat="false" ht="12.75" hidden="false" customHeight="false" outlineLevel="0" collapsed="false">
      <c r="A25" s="37"/>
      <c r="C25" s="38" t="s">
        <v>1543</v>
      </c>
      <c r="F25" s="217" t="n">
        <f aca="false">SUM(F21:F24)</f>
        <v>0</v>
      </c>
      <c r="G25" s="217" t="n">
        <f aca="false">SUM(G21:G24)</f>
        <v>0</v>
      </c>
      <c r="H25" s="217" t="n">
        <f aca="false">SUM(H21:H24)</f>
        <v>26487.6034167572</v>
      </c>
      <c r="I25" s="217" t="n">
        <f aca="false">SUM(I21:I24)</f>
        <v>85882.6031930569</v>
      </c>
      <c r="J25" s="217" t="n">
        <f aca="false">SUM(J21:J24)</f>
        <v>188610.364482362</v>
      </c>
      <c r="K25" s="217" t="n">
        <f aca="false">SUM(K21:K24)</f>
        <v>251100.932983817</v>
      </c>
      <c r="L25" s="217" t="n">
        <f aca="false">SUM(L21:L24)</f>
        <v>236717.70876813</v>
      </c>
      <c r="M25" s="217" t="n">
        <f aca="false">SUM(M21:M24)</f>
        <v>221505.259946274</v>
      </c>
      <c r="N25" s="217" t="n">
        <f aca="false">SUM(N21:N24)</f>
        <v>204116.109725575</v>
      </c>
      <c r="O25" s="217" t="n">
        <f aca="false">SUM(O21:O24)</f>
        <v>185461.401451261</v>
      </c>
      <c r="P25" s="217" t="n">
        <f aca="false">SUM(P21:P24)</f>
        <v>165956.883008021</v>
      </c>
      <c r="Q25" s="217" t="n">
        <f aca="false">SUM(Q21:Q24)</f>
        <v>145022.18110095</v>
      </c>
      <c r="R25" s="217" t="n">
        <f aca="false">SUM(R21:R24)</f>
        <v>124478.245674567</v>
      </c>
      <c r="S25" s="217" t="n">
        <f aca="false">SUM(S21:S24)</f>
        <v>104004.387963392</v>
      </c>
      <c r="T25" s="217" t="n">
        <f aca="false">SUM(T21:T24)</f>
        <v>82523.526043835</v>
      </c>
      <c r="U25" s="217" t="n">
        <f aca="false">SUM(U21:U24)</f>
        <v>59428.2352280478</v>
      </c>
      <c r="V25" s="217" t="n">
        <f aca="false">SUM(V21:V24)</f>
        <v>38518.2239708321</v>
      </c>
      <c r="W25" s="217" t="n">
        <f aca="false">SUM(W21:W24)</f>
        <v>25460.3399798703</v>
      </c>
      <c r="X25" s="217" t="n">
        <f aca="false">SUM(X21:X24)</f>
        <v>12293.4026291753</v>
      </c>
      <c r="Y25" s="217" t="n">
        <f aca="false">SUM(Y21:Y24)</f>
        <v>0</v>
      </c>
      <c r="Z25" s="217" t="n">
        <f aca="false">SUM(Z21:Z24)</f>
        <v>0</v>
      </c>
      <c r="AA25" s="217" t="n">
        <f aca="false">SUM(AA21:AA24)</f>
        <v>0</v>
      </c>
      <c r="AB25" s="217" t="n">
        <f aca="false">SUM(AB21:AB24)</f>
        <v>0</v>
      </c>
      <c r="AC25" s="217" t="n">
        <f aca="false">SUM(AC21:AC24)</f>
        <v>0</v>
      </c>
      <c r="AD25" s="574"/>
      <c r="AF25" s="175" t="n">
        <f aca="false">AF24+1</f>
        <v>19</v>
      </c>
    </row>
    <row r="26" customFormat="false" ht="12.75" hidden="false" customHeight="false" outlineLevel="0" collapsed="false">
      <c r="A26" s="37"/>
      <c r="F26" s="1130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574"/>
      <c r="AF26" s="175" t="n">
        <f aca="false">AF25+1</f>
        <v>20</v>
      </c>
    </row>
    <row r="27" customFormat="false" ht="12.75" hidden="false" customHeight="false" outlineLevel="0" collapsed="false">
      <c r="A27" s="130" t="s">
        <v>1544</v>
      </c>
      <c r="F27" s="1130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574"/>
      <c r="AF27" s="175" t="n">
        <f aca="false">AF26+1</f>
        <v>21</v>
      </c>
    </row>
    <row r="28" customFormat="false" ht="12.75" hidden="false" customHeight="false" outlineLevel="0" collapsed="false">
      <c r="A28" s="37"/>
      <c r="B28" s="38" t="s">
        <v>1545</v>
      </c>
      <c r="F28" s="189" t="n">
        <v>0</v>
      </c>
      <c r="G28" s="217" t="n">
        <f aca="false">SUM($G76:G76)</f>
        <v>7598.20788530466</v>
      </c>
      <c r="H28" s="217" t="n">
        <f aca="false">SUM($G76:H76)</f>
        <v>92793.5702049191</v>
      </c>
      <c r="I28" s="217" t="n">
        <f aca="false">SUM($G76:I76)</f>
        <v>92793.5702049191</v>
      </c>
      <c r="J28" s="217" t="n">
        <f aca="false">SUM($G76:J76)</f>
        <v>92793.5702049191</v>
      </c>
      <c r="K28" s="217" t="n">
        <f aca="false">SUM($G76:K76)</f>
        <v>92793.5702049191</v>
      </c>
      <c r="L28" s="217" t="n">
        <f aca="false">SUM($G76:L76)</f>
        <v>92793.5702049191</v>
      </c>
      <c r="M28" s="217" t="n">
        <f aca="false">SUM($G76:M76)</f>
        <v>92793.5702049191</v>
      </c>
      <c r="N28" s="217" t="n">
        <f aca="false">SUM($G76:N76)</f>
        <v>92793.5702049191</v>
      </c>
      <c r="O28" s="217" t="n">
        <f aca="false">SUM($G76:O76)</f>
        <v>92793.5702049191</v>
      </c>
      <c r="P28" s="217" t="n">
        <f aca="false">SUM($G76:P76)</f>
        <v>92793.5702049191</v>
      </c>
      <c r="Q28" s="217" t="n">
        <f aca="false">SUM($G76:Q76)</f>
        <v>92793.5702049191</v>
      </c>
      <c r="R28" s="217" t="n">
        <f aca="false">SUM($G76:R76)</f>
        <v>92793.5702049191</v>
      </c>
      <c r="S28" s="217" t="n">
        <f aca="false">SUM($G76:S76)</f>
        <v>92793.5702049191</v>
      </c>
      <c r="T28" s="217" t="n">
        <f aca="false">SUM($G76:T76)</f>
        <v>92793.5702049191</v>
      </c>
      <c r="U28" s="217" t="n">
        <f aca="false">SUM($G76:U76)</f>
        <v>92793.5702049191</v>
      </c>
      <c r="V28" s="217" t="n">
        <f aca="false">SUM($G76:V76)</f>
        <v>92793.5702049191</v>
      </c>
      <c r="W28" s="217" t="n">
        <f aca="false">SUM($G76:W76)</f>
        <v>92793.5702049191</v>
      </c>
      <c r="X28" s="217" t="n">
        <f aca="false">SUM($G76:X76)</f>
        <v>92793.5702049191</v>
      </c>
      <c r="Y28" s="217" t="n">
        <f aca="false">SUM($G76:Y76)</f>
        <v>92793.5702049191</v>
      </c>
      <c r="Z28" s="217" t="n">
        <f aca="false">SUM($G76:Z76)</f>
        <v>92793.5702049191</v>
      </c>
      <c r="AA28" s="217" t="n">
        <f aca="false">SUM($G76:AA76)</f>
        <v>92793.5702049191</v>
      </c>
      <c r="AB28" s="217" t="n">
        <f aca="false">SUM($G76:AB76)</f>
        <v>92793.5702049191</v>
      </c>
      <c r="AC28" s="217" t="n">
        <f aca="false">SUM($G76:AC76)</f>
        <v>92793.5702049191</v>
      </c>
      <c r="AD28" s="574"/>
      <c r="AF28" s="175" t="n">
        <f aca="false">AF27+1</f>
        <v>22</v>
      </c>
    </row>
    <row r="29" customFormat="false" ht="12.75" hidden="false" customHeight="false" outlineLevel="0" collapsed="false">
      <c r="A29" s="37"/>
      <c r="B29" s="38" t="s">
        <v>1546</v>
      </c>
      <c r="F29" s="189" t="n">
        <v>0</v>
      </c>
      <c r="G29" s="217" t="n">
        <f aca="false">IF(G$7&lt;YEAR(Startops1),0,HLOOKUP(G$7,Reserve_Table,Trapped!$AD$46))</f>
        <v>0</v>
      </c>
      <c r="H29" s="217" t="n">
        <f aca="false">IF(H$7&lt;YEAR(Startops1),0,HLOOKUP(H$7,Reserve_Table,Trapped!$AD$46))</f>
        <v>0</v>
      </c>
      <c r="I29" s="217" t="n">
        <f aca="false">IF(I$7&lt;YEAR(Startops1),0,HLOOKUP(I$7,Reserve_Table,Trapped!$AD$46))</f>
        <v>0</v>
      </c>
      <c r="J29" s="217" t="n">
        <f aca="false">IF(J$7&lt;YEAR(Startops1),0,HLOOKUP(J$7,Reserve_Table,Trapped!$AD$46))</f>
        <v>0</v>
      </c>
      <c r="K29" s="217" t="n">
        <f aca="false">IF(K$7&lt;YEAR(Startops1),0,HLOOKUP(K$7,Reserve_Table,Trapped!$AD$46))</f>
        <v>0</v>
      </c>
      <c r="L29" s="217" t="n">
        <f aca="false">IF(L$7&lt;YEAR(Startops1),0,HLOOKUP(L$7,Reserve_Table,Trapped!$AD$46))</f>
        <v>0</v>
      </c>
      <c r="M29" s="217" t="n">
        <f aca="false">IF(M$7&lt;YEAR(Startops1),0,HLOOKUP(M$7,Reserve_Table,Trapped!$AD$46))</f>
        <v>0</v>
      </c>
      <c r="N29" s="217" t="n">
        <f aca="false">IF(N$7&lt;YEAR(Startops1),0,HLOOKUP(N$7,Reserve_Table,Trapped!$AD$46))</f>
        <v>0</v>
      </c>
      <c r="O29" s="217" t="n">
        <f aca="false">IF(O$7&lt;YEAR(Startops1),0,HLOOKUP(O$7,Reserve_Table,Trapped!$AD$46))</f>
        <v>0</v>
      </c>
      <c r="P29" s="217" t="n">
        <f aca="false">IF(P$7&lt;YEAR(Startops1),0,HLOOKUP(P$7,Reserve_Table,Trapped!$AD$46))</f>
        <v>0</v>
      </c>
      <c r="Q29" s="217" t="n">
        <f aca="false">IF(Q$7&lt;YEAR(Startops1),0,HLOOKUP(Q$7,Reserve_Table,Trapped!$AD$46))</f>
        <v>143.498680876223</v>
      </c>
      <c r="R29" s="217" t="n">
        <f aca="false">IF(R$7&lt;YEAR(Startops1),0,HLOOKUP(R$7,Reserve_Table,Trapped!$AD$46))</f>
        <v>1972.1154333266</v>
      </c>
      <c r="S29" s="217" t="n">
        <f aca="false">IF(S$7&lt;YEAR(Startops1),0,HLOOKUP(S$7,Reserve_Table,Trapped!$AD$46))</f>
        <v>2094.11495037033</v>
      </c>
      <c r="T29" s="217" t="n">
        <f aca="false">IF(T$7&lt;YEAR(Startops1),0,HLOOKUP(T$7,Reserve_Table,Trapped!$AD$46))</f>
        <v>2286.74363736087</v>
      </c>
      <c r="U29" s="217" t="n">
        <f aca="false">IF(U$7&lt;YEAR(Startops1),0,HLOOKUP(U$7,Reserve_Table,Trapped!$AD$46))</f>
        <v>3347.94435804646</v>
      </c>
      <c r="V29" s="217" t="n">
        <f aca="false">IF(V$7&lt;YEAR(Startops1),0,HLOOKUP(V$7,Reserve_Table,Trapped!$AD$46))</f>
        <v>4224.71404701599</v>
      </c>
      <c r="W29" s="217" t="n">
        <f aca="false">IF(W$7&lt;YEAR(Startops1),0,HLOOKUP(W$7,Reserve_Table,Trapped!$AD$46))</f>
        <v>4224.71404701599</v>
      </c>
      <c r="X29" s="217" t="n">
        <f aca="false">IF(X$7&lt;YEAR(Startops1),0,HLOOKUP(X$7,Reserve_Table,Trapped!$AD$46))</f>
        <v>4224.71404701599</v>
      </c>
      <c r="Y29" s="217" t="n">
        <f aca="false">IF(Y$7&lt;YEAR(Startops1),0,HLOOKUP(Y$7,Reserve_Table,Trapped!$AD$46))</f>
        <v>4224.71404701599</v>
      </c>
      <c r="Z29" s="217" t="n">
        <f aca="false">IF(Z$7&lt;YEAR(Startops1),0,HLOOKUP(Z$7,Reserve_Table,Trapped!$AD$46))</f>
        <v>4224.71404701599</v>
      </c>
      <c r="AA29" s="217" t="n">
        <f aca="false">IF(AA$7&lt;YEAR(Startops1),0,HLOOKUP(AA$7,Reserve_Table,Trapped!$AD$46))</f>
        <v>4224.71404701599</v>
      </c>
      <c r="AB29" s="217" t="n">
        <f aca="false">IF(AB$7&lt;YEAR(Startops1),0,HLOOKUP(AB$7,Reserve_Table,Trapped!$AD$46))</f>
        <v>629.916135114482</v>
      </c>
      <c r="AC29" s="217" t="n">
        <f aca="false">IF(AC$7&lt;YEAR(Startops1),0,HLOOKUP(AC$7,Reserve_Table,Trapped!$AD$46))</f>
        <v>0</v>
      </c>
      <c r="AD29" s="574"/>
      <c r="AF29" s="175" t="n">
        <f aca="false">AF28+1</f>
        <v>23</v>
      </c>
    </row>
    <row r="30" customFormat="false" ht="12.75" hidden="false" customHeight="false" outlineLevel="0" collapsed="false">
      <c r="A30" s="37"/>
      <c r="B30" s="38" t="s">
        <v>1547</v>
      </c>
      <c r="F30" s="189" t="n">
        <v>0</v>
      </c>
      <c r="G30" s="217" t="n">
        <f aca="false">SUM($G62:G62)</f>
        <v>0</v>
      </c>
      <c r="H30" s="217" t="n">
        <f aca="false">SUM($G62:H62)</f>
        <v>0</v>
      </c>
      <c r="I30" s="217" t="n">
        <f aca="false">SUM($G62:I62)</f>
        <v>-6461.11895746196</v>
      </c>
      <c r="J30" s="217" t="n">
        <f aca="false">SUM($G62:J62)</f>
        <v>-9612.15981087598</v>
      </c>
      <c r="K30" s="217" t="n">
        <f aca="false">SUM($G62:K62)</f>
        <v>-12623.67657378</v>
      </c>
      <c r="L30" s="217" t="n">
        <f aca="false">SUM($G62:L62)</f>
        <v>-14275.3482771039</v>
      </c>
      <c r="M30" s="217" t="n">
        <f aca="false">SUM($G62:M62)</f>
        <v>-12554.9651038768</v>
      </c>
      <c r="N30" s="217" t="n">
        <f aca="false">SUM($G62:N62)</f>
        <v>256.427690753524</v>
      </c>
      <c r="O30" s="217" t="n">
        <f aca="false">SUM($G62:O62)</f>
        <v>7089.96811922315</v>
      </c>
      <c r="P30" s="217" t="n">
        <f aca="false">SUM($G62:P62)</f>
        <v>14605.901766939</v>
      </c>
      <c r="Q30" s="217" t="n">
        <f aca="false">SUM($G62:Q62)</f>
        <v>23076.0163400597</v>
      </c>
      <c r="R30" s="217" t="n">
        <f aca="false">SUM($G62:R62)</f>
        <v>29020.8126965903</v>
      </c>
      <c r="S30" s="217" t="n">
        <f aca="false">SUM($G62:S62)</f>
        <v>35236.224764794</v>
      </c>
      <c r="T30" s="217" t="n">
        <f aca="false">SUM($G62:T62)</f>
        <v>42390.1392351334</v>
      </c>
      <c r="U30" s="217" t="n">
        <f aca="false">SUM($G62:U62)</f>
        <v>50162.7621901323</v>
      </c>
      <c r="V30" s="217" t="n">
        <f aca="false">SUM($G62:V62)</f>
        <v>55673.6502579642</v>
      </c>
      <c r="W30" s="217" t="n">
        <f aca="false">SUM($G62:W62)</f>
        <v>62766.9127227265</v>
      </c>
      <c r="X30" s="217" t="n">
        <f aca="false">SUM($G62:X62)</f>
        <v>65177.4176459131</v>
      </c>
      <c r="Y30" s="217" t="n">
        <f aca="false">SUM($G62:Y62)</f>
        <v>57682.189132049</v>
      </c>
      <c r="Z30" s="217" t="n">
        <f aca="false">SUM($G62:Z62)</f>
        <v>45968.6214263534</v>
      </c>
      <c r="AA30" s="217" t="n">
        <f aca="false">SUM($G62:AA62)</f>
        <v>32859.3168953353</v>
      </c>
      <c r="AB30" s="217" t="n">
        <f aca="false">SUM($G62:AB62)</f>
        <v>24879.5019303175</v>
      </c>
      <c r="AC30" s="217" t="n">
        <f aca="false">SUM($G62:AC62)</f>
        <v>22405.9431798142</v>
      </c>
      <c r="AD30" s="574"/>
      <c r="AF30" s="175" t="n">
        <f aca="false">AF29+1</f>
        <v>24</v>
      </c>
    </row>
    <row r="31" customFormat="false" ht="12.75" hidden="false" customHeight="false" outlineLevel="0" collapsed="false">
      <c r="A31" s="37"/>
      <c r="B31" s="38" t="s">
        <v>1548</v>
      </c>
      <c r="F31" s="189" t="n">
        <v>0</v>
      </c>
      <c r="G31" s="220" t="n">
        <f aca="false">SUM($G99:G99)</f>
        <v>0</v>
      </c>
      <c r="H31" s="220" t="n">
        <f aca="false">SUM($G99:H99)</f>
        <v>0</v>
      </c>
      <c r="I31" s="220" t="n">
        <f aca="false">SUM($G99:I99)</f>
        <v>0</v>
      </c>
      <c r="J31" s="220" t="n">
        <f aca="false">SUM($G99:J99)</f>
        <v>0</v>
      </c>
      <c r="K31" s="220" t="n">
        <f aca="false">SUM($G99:K99)</f>
        <v>0</v>
      </c>
      <c r="L31" s="220" t="n">
        <f aca="false">SUM($G99:L99)</f>
        <v>0</v>
      </c>
      <c r="M31" s="220" t="n">
        <f aca="false">SUM($G99:M99)</f>
        <v>0</v>
      </c>
      <c r="N31" s="220" t="n">
        <f aca="false">SUM($G99:N99)</f>
        <v>0</v>
      </c>
      <c r="O31" s="220" t="n">
        <f aca="false">SUM($G99:O99)</f>
        <v>0</v>
      </c>
      <c r="P31" s="220" t="n">
        <f aca="false">SUM($G99:P99)</f>
        <v>0</v>
      </c>
      <c r="Q31" s="220" t="n">
        <f aca="false">SUM($G99:Q99)</f>
        <v>-2297.05887236159</v>
      </c>
      <c r="R31" s="220" t="n">
        <f aca="false">SUM($G99:R99)</f>
        <v>-8241.85522889224</v>
      </c>
      <c r="S31" s="220" t="n">
        <f aca="false">SUM($G99:S99)</f>
        <v>-14457.2672970959</v>
      </c>
      <c r="T31" s="220" t="n">
        <f aca="false">SUM($G99:T99)</f>
        <v>-21611.1817674353</v>
      </c>
      <c r="U31" s="220" t="n">
        <f aca="false">SUM($G99:U99)</f>
        <v>-29383.8047224343</v>
      </c>
      <c r="V31" s="220" t="n">
        <f aca="false">SUM($G99:V99)</f>
        <v>-34894.6927902662</v>
      </c>
      <c r="W31" s="220" t="n">
        <f aca="false">SUM($G99:W99)</f>
        <v>-41987.9552550284</v>
      </c>
      <c r="X31" s="220" t="n">
        <f aca="false">SUM($G99:X99)</f>
        <v>-44398.460178215</v>
      </c>
      <c r="Y31" s="220" t="n">
        <f aca="false">SUM($G99:Y99)</f>
        <v>-44398.460178215</v>
      </c>
      <c r="Z31" s="220" t="n">
        <f aca="false">SUM($G99:Z99)</f>
        <v>-44398.460178215</v>
      </c>
      <c r="AA31" s="220" t="n">
        <f aca="false">SUM($G99:AA99)</f>
        <v>-44398.460178215</v>
      </c>
      <c r="AB31" s="220" t="n">
        <f aca="false">SUM($G99:AB99)</f>
        <v>-44398.460178215</v>
      </c>
      <c r="AC31" s="220" t="n">
        <f aca="false">SUM($G99:AC99)</f>
        <v>-89016.7454503061</v>
      </c>
      <c r="AD31" s="574"/>
      <c r="AF31" s="175" t="n">
        <f aca="false">AF30+1</f>
        <v>25</v>
      </c>
    </row>
    <row r="32" customFormat="false" ht="12.75" hidden="false" customHeight="false" outlineLevel="0" collapsed="false">
      <c r="A32" s="37"/>
      <c r="B32" s="38" t="s">
        <v>1549</v>
      </c>
      <c r="F32" s="217" t="n">
        <f aca="false">SUM(F28:F31)</f>
        <v>0</v>
      </c>
      <c r="G32" s="217" t="n">
        <f aca="false">SUM(G28:G31)</f>
        <v>7598.20788530466</v>
      </c>
      <c r="H32" s="217" t="n">
        <f aca="false">SUM(H28:H31)</f>
        <v>92793.5702049191</v>
      </c>
      <c r="I32" s="217" t="n">
        <f aca="false">SUM(I28:I31)</f>
        <v>86332.4512474571</v>
      </c>
      <c r="J32" s="217" t="n">
        <f aca="false">SUM(J28:J31)</f>
        <v>83181.4103940431</v>
      </c>
      <c r="K32" s="217" t="n">
        <f aca="false">SUM(K28:K31)</f>
        <v>80169.8936311391</v>
      </c>
      <c r="L32" s="217" t="n">
        <f aca="false">SUM(L28:L31)</f>
        <v>78518.2219278152</v>
      </c>
      <c r="M32" s="217" t="n">
        <f aca="false">SUM(M28:M31)</f>
        <v>80238.6051010423</v>
      </c>
      <c r="N32" s="217" t="n">
        <f aca="false">SUM(N28:N31)</f>
        <v>93049.9978956726</v>
      </c>
      <c r="O32" s="217" t="n">
        <f aca="false">SUM(O28:O31)</f>
        <v>99883.5383241422</v>
      </c>
      <c r="P32" s="217" t="n">
        <f aca="false">SUM(P28:P31)</f>
        <v>107399.471971858</v>
      </c>
      <c r="Q32" s="217" t="n">
        <f aca="false">SUM(Q28:Q31)</f>
        <v>113716.026353493</v>
      </c>
      <c r="R32" s="217" t="n">
        <f aca="false">SUM(R28:R31)</f>
        <v>115544.643105944</v>
      </c>
      <c r="S32" s="217" t="n">
        <f aca="false">SUM(S28:S31)</f>
        <v>115666.642622987</v>
      </c>
      <c r="T32" s="217" t="n">
        <f aca="false">SUM(T28:T31)</f>
        <v>115859.271309978</v>
      </c>
      <c r="U32" s="217" t="n">
        <f aca="false">SUM(U28:U31)</f>
        <v>116920.472030664</v>
      </c>
      <c r="V32" s="217" t="n">
        <f aca="false">SUM(V28:V31)</f>
        <v>117797.241719633</v>
      </c>
      <c r="W32" s="217" t="n">
        <f aca="false">SUM(W28:W31)</f>
        <v>117797.241719633</v>
      </c>
      <c r="X32" s="217" t="n">
        <f aca="false">SUM(X28:X31)</f>
        <v>117797.241719633</v>
      </c>
      <c r="Y32" s="217" t="n">
        <f aca="false">SUM(Y28:Y31)</f>
        <v>110302.013205769</v>
      </c>
      <c r="Z32" s="217" t="n">
        <f aca="false">SUM(Z28:Z31)</f>
        <v>98588.4455000735</v>
      </c>
      <c r="AA32" s="217" t="n">
        <f aca="false">SUM(AA28:AA31)</f>
        <v>85479.1409690554</v>
      </c>
      <c r="AB32" s="217" t="n">
        <f aca="false">SUM(AB28:AB31)</f>
        <v>73904.5280921361</v>
      </c>
      <c r="AC32" s="217" t="n">
        <f aca="false">SUM(AC28:AC31)</f>
        <v>26182.7679344272</v>
      </c>
      <c r="AD32" s="574"/>
      <c r="AF32" s="175" t="n">
        <f aca="false">AF31+1</f>
        <v>26</v>
      </c>
    </row>
    <row r="33" customFormat="false" ht="12.75" hidden="false" customHeight="false" outlineLevel="0" collapsed="false">
      <c r="A33" s="37"/>
      <c r="F33" s="1130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574"/>
      <c r="AF33" s="175" t="n">
        <f aca="false">AF32+1</f>
        <v>27</v>
      </c>
    </row>
    <row r="34" customFormat="false" ht="12.75" hidden="false" customHeight="false" outlineLevel="0" collapsed="false">
      <c r="A34" s="37" t="s">
        <v>1550</v>
      </c>
      <c r="F34" s="220" t="n">
        <f aca="false">SUM(F25,F32)</f>
        <v>0</v>
      </c>
      <c r="G34" s="220" t="n">
        <f aca="false">SUM(G25,G32)</f>
        <v>7598.20788530466</v>
      </c>
      <c r="H34" s="220" t="n">
        <f aca="false">SUM(H25,H32)</f>
        <v>119281.173621676</v>
      </c>
      <c r="I34" s="220" t="n">
        <f aca="false">SUM(I25,I32)</f>
        <v>172215.054440514</v>
      </c>
      <c r="J34" s="220" t="n">
        <f aca="false">SUM(J25,J32)</f>
        <v>271791.774876405</v>
      </c>
      <c r="K34" s="220" t="n">
        <f aca="false">SUM(K25,K32)</f>
        <v>331270.826614956</v>
      </c>
      <c r="L34" s="220" t="n">
        <f aca="false">SUM(L25,L32)</f>
        <v>315235.930695945</v>
      </c>
      <c r="M34" s="220" t="n">
        <f aca="false">SUM(M25,M32)</f>
        <v>301743.865047316</v>
      </c>
      <c r="N34" s="220" t="n">
        <f aca="false">SUM(N25,N32)</f>
        <v>297166.107621248</v>
      </c>
      <c r="O34" s="220" t="n">
        <f aca="false">SUM(O25,O32)</f>
        <v>285344.939775404</v>
      </c>
      <c r="P34" s="220" t="n">
        <f aca="false">SUM(P25,P32)</f>
        <v>273356.354979879</v>
      </c>
      <c r="Q34" s="220" t="n">
        <f aca="false">SUM(Q25,Q32)</f>
        <v>258738.207454444</v>
      </c>
      <c r="R34" s="220" t="n">
        <f aca="false">SUM(R25,R32)</f>
        <v>240022.888780511</v>
      </c>
      <c r="S34" s="220" t="n">
        <f aca="false">SUM(S25,S32)</f>
        <v>219671.030586379</v>
      </c>
      <c r="T34" s="220" t="n">
        <f aca="false">SUM(T25,T32)</f>
        <v>198382.797353813</v>
      </c>
      <c r="U34" s="220" t="n">
        <f aca="false">SUM(U25,U32)</f>
        <v>176348.707258711</v>
      </c>
      <c r="V34" s="220" t="n">
        <f aca="false">SUM(V25,V32)</f>
        <v>156315.465690465</v>
      </c>
      <c r="W34" s="220" t="n">
        <f aca="false">SUM(W25,W32)</f>
        <v>143257.581699503</v>
      </c>
      <c r="X34" s="220" t="n">
        <f aca="false">SUM(X25,X32)</f>
        <v>130090.644348808</v>
      </c>
      <c r="Y34" s="220" t="n">
        <f aca="false">SUM(Y25,Y32)</f>
        <v>110302.013205769</v>
      </c>
      <c r="Z34" s="220" t="n">
        <f aca="false">SUM(Z25,Z32)</f>
        <v>98588.4455000735</v>
      </c>
      <c r="AA34" s="220" t="n">
        <f aca="false">SUM(AA25,AA32)</f>
        <v>85479.1409690554</v>
      </c>
      <c r="AB34" s="220" t="n">
        <f aca="false">SUM(AB25,AB32)</f>
        <v>73904.5280921361</v>
      </c>
      <c r="AC34" s="220" t="n">
        <f aca="false">SUM(AC25,AC32)</f>
        <v>26182.7679344272</v>
      </c>
      <c r="AD34" s="576"/>
      <c r="AF34" s="175" t="n">
        <f aca="false">AF33+1</f>
        <v>28</v>
      </c>
    </row>
    <row r="35" customFormat="false" ht="12.75" hidden="false" customHeight="false" outlineLevel="0" collapsed="false">
      <c r="A35" s="37"/>
      <c r="F35" s="1130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574"/>
      <c r="AF35" s="175" t="n">
        <f aca="false">AF34+1</f>
        <v>29</v>
      </c>
    </row>
    <row r="36" customFormat="false" ht="12.75" hidden="false" customHeight="false" outlineLevel="0" collapsed="false">
      <c r="A36" s="1252" t="s">
        <v>1585</v>
      </c>
      <c r="B36" s="1253"/>
      <c r="C36" s="1253"/>
      <c r="D36" s="1253"/>
      <c r="E36" s="1253"/>
      <c r="F36" s="1254" t="n">
        <f aca="false">F18-F34</f>
        <v>0</v>
      </c>
      <c r="G36" s="1254" t="n">
        <f aca="false">G18-G34</f>
        <v>0</v>
      </c>
      <c r="H36" s="1254" t="n">
        <f aca="false">H18-H34</f>
        <v>0</v>
      </c>
      <c r="I36" s="1254" t="n">
        <f aca="false">I18-I34</f>
        <v>0</v>
      </c>
      <c r="J36" s="1254" t="n">
        <f aca="false">J18-J34</f>
        <v>0</v>
      </c>
      <c r="K36" s="1254" t="n">
        <f aca="false">K18-K34</f>
        <v>0</v>
      </c>
      <c r="L36" s="1254" t="n">
        <f aca="false">L18-L34</f>
        <v>0</v>
      </c>
      <c r="M36" s="1254" t="n">
        <f aca="false">M18-M34</f>
        <v>0</v>
      </c>
      <c r="N36" s="1254" t="n">
        <f aca="false">N18-N34</f>
        <v>0</v>
      </c>
      <c r="O36" s="1254" t="n">
        <f aca="false">O18-O34</f>
        <v>0</v>
      </c>
      <c r="P36" s="1254" t="n">
        <f aca="false">P18-P34</f>
        <v>0</v>
      </c>
      <c r="Q36" s="1254" t="n">
        <f aca="false">Q18-Q34</f>
        <v>0</v>
      </c>
      <c r="R36" s="1254" t="n">
        <f aca="false">R18-R34</f>
        <v>0</v>
      </c>
      <c r="S36" s="1254" t="n">
        <f aca="false">S18-S34</f>
        <v>0</v>
      </c>
      <c r="T36" s="1254" t="n">
        <f aca="false">T18-T34</f>
        <v>0</v>
      </c>
      <c r="U36" s="1254" t="n">
        <f aca="false">U18-U34</f>
        <v>0</v>
      </c>
      <c r="V36" s="1254" t="n">
        <f aca="false">V18-V34</f>
        <v>0</v>
      </c>
      <c r="W36" s="1254" t="n">
        <f aca="false">W18-W34</f>
        <v>0</v>
      </c>
      <c r="X36" s="1254" t="n">
        <f aca="false">X18-X34</f>
        <v>0</v>
      </c>
      <c r="Y36" s="1254" t="n">
        <f aca="false">Y18-Y34</f>
        <v>0</v>
      </c>
      <c r="Z36" s="1254" t="n">
        <f aca="false">Z18-Z34</f>
        <v>0</v>
      </c>
      <c r="AA36" s="1254" t="n">
        <f aca="false">AA18-AA34</f>
        <v>0</v>
      </c>
      <c r="AB36" s="1254" t="n">
        <f aca="false">AB18-AB34</f>
        <v>0</v>
      </c>
      <c r="AC36" s="1254" t="n">
        <f aca="false">AC18-AC34</f>
        <v>0</v>
      </c>
      <c r="AD36" s="1255"/>
      <c r="AF36" s="175" t="n">
        <f aca="false">AF35+1</f>
        <v>30</v>
      </c>
    </row>
    <row r="37" customFormat="false" ht="12.75" hidden="false" customHeight="false" outlineLevel="0" collapsed="false">
      <c r="A37" s="37"/>
      <c r="F37" s="38"/>
      <c r="G37" s="38"/>
      <c r="H37" s="38"/>
      <c r="I37" s="38"/>
      <c r="J37" s="556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555"/>
    </row>
    <row r="38" customFormat="false" ht="16.5" hidden="false" customHeight="false" outlineLevel="0" collapsed="false">
      <c r="A38" s="1256" t="s">
        <v>1551</v>
      </c>
      <c r="B38" s="71"/>
      <c r="C38" s="71"/>
      <c r="D38" s="71"/>
      <c r="E38" s="71"/>
      <c r="F38" s="71"/>
      <c r="G38" s="372" t="n">
        <f aca="false">G$7</f>
        <v>1997</v>
      </c>
      <c r="H38" s="372" t="n">
        <f aca="false">H$7</f>
        <v>1998</v>
      </c>
      <c r="I38" s="372" t="n">
        <f aca="false">I$7</f>
        <v>1999</v>
      </c>
      <c r="J38" s="372" t="n">
        <f aca="false">J$7</f>
        <v>2000</v>
      </c>
      <c r="K38" s="372" t="n">
        <f aca="false">K$7</f>
        <v>2001</v>
      </c>
      <c r="L38" s="372" t="n">
        <f aca="false">L$7</f>
        <v>2002</v>
      </c>
      <c r="M38" s="372" t="n">
        <f aca="false">M$7</f>
        <v>2003</v>
      </c>
      <c r="N38" s="372" t="n">
        <f aca="false">N$7</f>
        <v>2004</v>
      </c>
      <c r="O38" s="372" t="n">
        <f aca="false">O$7</f>
        <v>2005</v>
      </c>
      <c r="P38" s="372" t="n">
        <f aca="false">P$7</f>
        <v>2006</v>
      </c>
      <c r="Q38" s="372" t="n">
        <f aca="false">Q$7</f>
        <v>2007</v>
      </c>
      <c r="R38" s="372" t="n">
        <f aca="false">R$7</f>
        <v>2008</v>
      </c>
      <c r="S38" s="372" t="n">
        <f aca="false">S$7</f>
        <v>2009</v>
      </c>
      <c r="T38" s="372" t="n">
        <f aca="false">T$7</f>
        <v>2010</v>
      </c>
      <c r="U38" s="372" t="n">
        <f aca="false">U$7</f>
        <v>2011</v>
      </c>
      <c r="V38" s="372" t="n">
        <f aca="false">V$7</f>
        <v>2012</v>
      </c>
      <c r="W38" s="372" t="n">
        <f aca="false">W$7</f>
        <v>2013</v>
      </c>
      <c r="X38" s="372" t="n">
        <f aca="false">X$7</f>
        <v>2014</v>
      </c>
      <c r="Y38" s="372" t="n">
        <f aca="false">Y$7</f>
        <v>2015</v>
      </c>
      <c r="Z38" s="372" t="n">
        <f aca="false">Z$7</f>
        <v>2016</v>
      </c>
      <c r="AA38" s="372" t="n">
        <f aca="false">AA$7</f>
        <v>2017</v>
      </c>
      <c r="AB38" s="372" t="n">
        <f aca="false">AB$7</f>
        <v>2018</v>
      </c>
      <c r="AC38" s="372" t="n">
        <f aca="false">AC$7</f>
        <v>2019</v>
      </c>
      <c r="AD38" s="544" t="str">
        <f aca="false">AD$7</f>
        <v>Totals</v>
      </c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</row>
    <row r="39" customFormat="false" ht="12.75" hidden="false" customHeight="false" outlineLevel="0" collapsed="false">
      <c r="A39" s="523" t="s">
        <v>1552</v>
      </c>
      <c r="F39" s="38"/>
      <c r="G39" s="217" t="n">
        <f aca="false">IF(G$7&lt;YEAR(Startops1),0,HLOOKUP(G$7,CF_Table,CF!$AB$17))</f>
        <v>0</v>
      </c>
      <c r="H39" s="217" t="n">
        <f aca="false">IF(H$7&lt;YEAR(Startops1),0,HLOOKUP(H$7,CF_Table,CF!$AB$17))</f>
        <v>0</v>
      </c>
      <c r="I39" s="217" t="n">
        <f aca="false">IF(I$7&lt;YEAR(Startops1),0,HLOOKUP(I$7,CF_Table,CF!$AB$17))</f>
        <v>8945.7685336101</v>
      </c>
      <c r="J39" s="217" t="n">
        <f aca="false">IF(J$7&lt;YEAR(Startops1),0,HLOOKUP(J$7,CF_Table,CF!$AB$17))</f>
        <v>14802.628097733</v>
      </c>
      <c r="K39" s="217" t="n">
        <f aca="false">IF(K$7&lt;YEAR(Startops1),0,HLOOKUP(K$7,CF_Table,CF!$AB$17))</f>
        <v>101970.746381367</v>
      </c>
      <c r="L39" s="573" t="n">
        <f aca="false">IF(L$7&lt;YEAR(Startops1),0,HLOOKUP(L$7,CF_Table,CF!$AB$17))</f>
        <v>145216.283637798</v>
      </c>
      <c r="M39" s="217" t="n">
        <f aca="false">IF(M$7&lt;YEAR(Startops1),0,HLOOKUP(M$7,CF_Table,CF!$AB$17))</f>
        <v>152037.894049232</v>
      </c>
      <c r="N39" s="217" t="n">
        <f aca="false">IF(N$7&lt;YEAR(Startops1),0,HLOOKUP(N$7,CF_Table,CF!$AB$17))</f>
        <v>157887.512342606</v>
      </c>
      <c r="O39" s="217" t="n">
        <f aca="false">IF(O$7&lt;YEAR(Startops1),0,HLOOKUP(O$7,CF_Table,CF!$AB$17))</f>
        <v>161622.686903701</v>
      </c>
      <c r="P39" s="217" t="n">
        <f aca="false">IF(P$7&lt;YEAR(Startops1),0,HLOOKUP(P$7,CF_Table,CF!$AB$17))</f>
        <v>164884.128866027</v>
      </c>
      <c r="Q39" s="217" t="n">
        <f aca="false">IF(Q$7&lt;YEAR(Startops1),0,HLOOKUP(Q$7,CF_Table,CF!$AB$17))</f>
        <v>164736.219122707</v>
      </c>
      <c r="R39" s="217" t="n">
        <f aca="false">IF(R$7&lt;YEAR(Startops1),0,HLOOKUP(R$7,CF_Table,CF!$AB$17))</f>
        <v>163138.861544056</v>
      </c>
      <c r="S39" s="217" t="n">
        <f aca="false">IF(S$7&lt;YEAR(Startops1),0,HLOOKUP(S$7,CF_Table,CF!$AB$17))</f>
        <v>164515.351060799</v>
      </c>
      <c r="T39" s="217" t="n">
        <f aca="false">IF(T$7&lt;YEAR(Startops1),0,HLOOKUP(T$7,CF_Table,CF!$AB$17))</f>
        <v>168252.201576615</v>
      </c>
      <c r="U39" s="217" t="n">
        <f aca="false">IF(U$7&lt;YEAR(Startops1),0,HLOOKUP(U$7,CF_Table,CF!$AB$17))</f>
        <v>169682.393472279</v>
      </c>
      <c r="V39" s="217" t="n">
        <f aca="false">IF(V$7&lt;YEAR(Startops1),0,HLOOKUP(V$7,CF_Table,CF!$AB$17))</f>
        <v>164987.360619456</v>
      </c>
      <c r="W39" s="217" t="n">
        <f aca="false">IF(W$7&lt;YEAR(Startops1),0,HLOOKUP(W$7,CF_Table,CF!$AB$17))</f>
        <v>171248.368037486</v>
      </c>
      <c r="X39" s="217" t="n">
        <f aca="false">IF(X$7&lt;YEAR(Startops1),0,HLOOKUP(X$7,CF_Table,CF!$AB$17))</f>
        <v>161278.955756918</v>
      </c>
      <c r="Y39" s="217" t="n">
        <f aca="false">IF(Y$7&lt;YEAR(Startops1),0,HLOOKUP(Y$7,CF_Table,CF!$AB$17))</f>
        <v>147577.302691905</v>
      </c>
      <c r="Z39" s="217" t="n">
        <f aca="false">IF(Z$7&lt;YEAR(Startops1),0,HLOOKUP(Z$7,CF_Table,CF!$AB$17))</f>
        <v>145918.536654761</v>
      </c>
      <c r="AA39" s="217" t="n">
        <f aca="false">IF(AA$7&lt;YEAR(Startops1),0,HLOOKUP(AA$7,CF_Table,CF!$AB$17))</f>
        <v>147984.340659969</v>
      </c>
      <c r="AB39" s="217" t="n">
        <f aca="false">IF(AB$7&lt;YEAR(Startops1),0,HLOOKUP(AB$7,CF_Table,CF!$AB$17))</f>
        <v>146294.84173599</v>
      </c>
      <c r="AC39" s="217" t="n">
        <f aca="false">IF(AC$7&lt;YEAR(Startops1),0,HLOOKUP(AC$7,CF_Table,CF!$AB$17))</f>
        <v>48340.6575205201</v>
      </c>
      <c r="AD39" s="574" t="n">
        <f aca="false">SUM(G39:AC39)</f>
        <v>2871323.03926553</v>
      </c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</row>
    <row r="40" customFormat="false" ht="12.75" hidden="false" customHeight="false" outlineLevel="0" collapsed="false">
      <c r="A40" s="37" t="s">
        <v>1553</v>
      </c>
      <c r="F40" s="38"/>
      <c r="G40" s="220" t="n">
        <f aca="false">IF(G$7&lt;YEAR(Startops1),0,HLOOKUP(G$7,CF_Table,CF!$AB$18))</f>
        <v>0</v>
      </c>
      <c r="H40" s="220" t="n">
        <f aca="false">IF(H$7&lt;YEAR(Startops1),0,HLOOKUP(H$7,CF_Table,CF!$AB$18))</f>
        <v>0</v>
      </c>
      <c r="I40" s="220" t="n">
        <f aca="false">IF(I$7&lt;YEAR(Startops1),0,HLOOKUP(I$7,CF_Table,CF!$AB$18))</f>
        <v>-237.062866140668</v>
      </c>
      <c r="J40" s="220" t="n">
        <f aca="false">IF(J$7&lt;YEAR(Startops1),0,HLOOKUP(J$7,CF_Table,CF!$AB$18))</f>
        <v>-392.269644589925</v>
      </c>
      <c r="K40" s="220" t="n">
        <f aca="false">IF(K$7&lt;YEAR(Startops1),0,HLOOKUP(K$7,CF_Table,CF!$AB$18))</f>
        <v>-2702.22477910622</v>
      </c>
      <c r="L40" s="220" t="n">
        <f aca="false">IF(L$7&lt;YEAR(Startops1),0,HLOOKUP(L$7,CF_Table,CF!$AB$18))</f>
        <v>-3848.23151640164</v>
      </c>
      <c r="M40" s="220" t="n">
        <f aca="false">IF(M$7&lt;YEAR(Startops1),0,HLOOKUP(M$7,CF_Table,CF!$AB$18))</f>
        <v>-4029.00419230466</v>
      </c>
      <c r="N40" s="220" t="n">
        <f aca="false">IF(N$7&lt;YEAR(Startops1),0,HLOOKUP(N$7,CF_Table,CF!$AB$18))</f>
        <v>-4184.01907707906</v>
      </c>
      <c r="O40" s="220" t="n">
        <f aca="false">IF(O$7&lt;YEAR(Startops1),0,HLOOKUP(O$7,CF_Table,CF!$AB$18))</f>
        <v>-4283.00120294806</v>
      </c>
      <c r="P40" s="220" t="n">
        <f aca="false">IF(P$7&lt;YEAR(Startops1),0,HLOOKUP(P$7,CF_Table,CF!$AB$18))</f>
        <v>-4369.42941494973</v>
      </c>
      <c r="Q40" s="220" t="n">
        <f aca="false">IF(Q$7&lt;YEAR(Startops1),0,HLOOKUP(Q$7,CF_Table,CF!$AB$18))</f>
        <v>-4365.50980675172</v>
      </c>
      <c r="R40" s="220" t="n">
        <f aca="false">IF(R$7&lt;YEAR(Startops1),0,HLOOKUP(R$7,CF_Table,CF!$AB$18))</f>
        <v>-4323.17983091748</v>
      </c>
      <c r="S40" s="220" t="n">
        <f aca="false">IF(S$7&lt;YEAR(Startops1),0,HLOOKUP(S$7,CF_Table,CF!$AB$18))</f>
        <v>-4359.65680311116</v>
      </c>
      <c r="T40" s="220" t="n">
        <f aca="false">IF(T$7&lt;YEAR(Startops1),0,HLOOKUP(T$7,CF_Table,CF!$AB$18))</f>
        <v>-4458.68334178029</v>
      </c>
      <c r="U40" s="220" t="n">
        <f aca="false">IF(U$7&lt;YEAR(Startops1),0,HLOOKUP(U$7,CF_Table,CF!$AB$18))</f>
        <v>-4496.58342701541</v>
      </c>
      <c r="V40" s="220" t="n">
        <f aca="false">IF(V$7&lt;YEAR(Startops1),0,HLOOKUP(V$7,CF_Table,CF!$AB$18))</f>
        <v>-4372.16505641557</v>
      </c>
      <c r="W40" s="220" t="n">
        <f aca="false">IF(W$7&lt;YEAR(Startops1),0,HLOOKUP(W$7,CF_Table,CF!$AB$18))</f>
        <v>-4538.08175299339</v>
      </c>
      <c r="X40" s="220" t="n">
        <f aca="false">IF(X$7&lt;YEAR(Startops1),0,HLOOKUP(X$7,CF_Table,CF!$AB$18))</f>
        <v>-4273.89232755833</v>
      </c>
      <c r="Y40" s="220" t="n">
        <f aca="false">IF(Y$7&lt;YEAR(Startops1),0,HLOOKUP(Y$7,CF_Table,CF!$AB$18))</f>
        <v>-3910.79852133548</v>
      </c>
      <c r="Z40" s="220" t="n">
        <f aca="false">IF(Z$7&lt;YEAR(Startops1),0,HLOOKUP(Z$7,CF_Table,CF!$AB$18))</f>
        <v>-3866.84122135117</v>
      </c>
      <c r="AA40" s="220" t="n">
        <f aca="false">IF(AA$7&lt;YEAR(Startops1),0,HLOOKUP(AA$7,CF_Table,CF!$AB$18))</f>
        <v>-3921.58502748917</v>
      </c>
      <c r="AB40" s="220" t="n">
        <f aca="false">IF(AB$7&lt;YEAR(Startops1),0,HLOOKUP(AB$7,CF_Table,CF!$AB$18))</f>
        <v>-3876.81330600374</v>
      </c>
      <c r="AC40" s="220" t="n">
        <f aca="false">IF(AC$7&lt;YEAR(Startops1),0,HLOOKUP(AC$7,CF_Table,CF!$AB$18))</f>
        <v>-1281.02742429378</v>
      </c>
      <c r="AD40" s="576" t="n">
        <f aca="false">SUM(G40:AC40)</f>
        <v>-76090.0605405367</v>
      </c>
    </row>
    <row r="41" customFormat="false" ht="12.75" hidden="false" customHeight="false" outlineLevel="0" collapsed="false">
      <c r="A41" s="37"/>
      <c r="B41" s="38" t="s">
        <v>1554</v>
      </c>
      <c r="F41" s="38"/>
      <c r="G41" s="217" t="n">
        <f aca="false">SUM(G39:G40)</f>
        <v>0</v>
      </c>
      <c r="H41" s="217" t="n">
        <f aca="false">SUM(H39:H40)</f>
        <v>0</v>
      </c>
      <c r="I41" s="217" t="n">
        <f aca="false">SUM(I39:I40)</f>
        <v>8708.70566746943</v>
      </c>
      <c r="J41" s="217" t="n">
        <f aca="false">SUM(J39:J40)</f>
        <v>14410.3584531431</v>
      </c>
      <c r="K41" s="217" t="n">
        <f aca="false">SUM(K39:K40)</f>
        <v>99268.5216022606</v>
      </c>
      <c r="L41" s="573" t="n">
        <f aca="false">SUM(L39:L40)</f>
        <v>141368.052121396</v>
      </c>
      <c r="M41" s="217" t="n">
        <f aca="false">SUM(M39:M40)</f>
        <v>148008.889856928</v>
      </c>
      <c r="N41" s="217" t="n">
        <f aca="false">SUM(N39:N40)</f>
        <v>153703.493265527</v>
      </c>
      <c r="O41" s="217" t="n">
        <f aca="false">SUM(O39:O40)</f>
        <v>157339.685700752</v>
      </c>
      <c r="P41" s="217" t="n">
        <f aca="false">SUM(P39:P40)</f>
        <v>160514.699451078</v>
      </c>
      <c r="Q41" s="217" t="n">
        <f aca="false">SUM(Q39:Q40)</f>
        <v>160370.709315955</v>
      </c>
      <c r="R41" s="217" t="n">
        <f aca="false">SUM(R39:R40)</f>
        <v>158815.681713138</v>
      </c>
      <c r="S41" s="217" t="n">
        <f aca="false">SUM(S39:S40)</f>
        <v>160155.694257687</v>
      </c>
      <c r="T41" s="217" t="n">
        <f aca="false">SUM(T39:T40)</f>
        <v>163793.518234834</v>
      </c>
      <c r="U41" s="217" t="n">
        <f aca="false">SUM(U39:U40)</f>
        <v>165185.810045264</v>
      </c>
      <c r="V41" s="217" t="n">
        <f aca="false">SUM(V39:V40)</f>
        <v>160615.19556304</v>
      </c>
      <c r="W41" s="217" t="n">
        <f aca="false">SUM(W39:W40)</f>
        <v>166710.286284493</v>
      </c>
      <c r="X41" s="217" t="n">
        <f aca="false">SUM(X39:X40)</f>
        <v>157005.06342936</v>
      </c>
      <c r="Y41" s="217" t="n">
        <f aca="false">SUM(Y39:Y40)</f>
        <v>143666.504170569</v>
      </c>
      <c r="Z41" s="217" t="n">
        <f aca="false">SUM(Z39:Z40)</f>
        <v>142051.69543341</v>
      </c>
      <c r="AA41" s="217" t="n">
        <f aca="false">SUM(AA39:AA40)</f>
        <v>144062.755632479</v>
      </c>
      <c r="AB41" s="217" t="n">
        <f aca="false">SUM(AB39:AB40)</f>
        <v>142418.028429986</v>
      </c>
      <c r="AC41" s="217" t="n">
        <f aca="false">SUM(AC39:AC40)</f>
        <v>47059.6300962263</v>
      </c>
      <c r="AD41" s="574" t="n">
        <f aca="false">SUM(G41:AC41)</f>
        <v>2795232.978725</v>
      </c>
      <c r="AE41" s="621" t="str">
        <f aca="false">IF(ROUND(AD41-CF!Z19,2)=0," ","CHECK REVENUES")</f>
        <v> </v>
      </c>
    </row>
    <row r="42" customFormat="false" ht="12.75" hidden="false" customHeight="false" outlineLevel="0" collapsed="false">
      <c r="A42" s="37"/>
      <c r="F42" s="38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574"/>
    </row>
    <row r="43" customFormat="false" ht="12.75" hidden="false" customHeight="false" outlineLevel="0" collapsed="false">
      <c r="A43" s="37" t="s">
        <v>799</v>
      </c>
      <c r="F43" s="38"/>
      <c r="G43" s="217" t="n">
        <f aca="false">IF(G$7&lt;YEAR(Startops1),0,-HLOOKUP(G$7,CF_Table,CF!$AB$22))</f>
        <v>0</v>
      </c>
      <c r="H43" s="217" t="n">
        <f aca="false">IF(H$7&lt;YEAR(Startops1),0,-HLOOKUP(H$7,CF_Table,CF!$AB$22))</f>
        <v>0</v>
      </c>
      <c r="I43" s="217" t="n">
        <f aca="false">IF(I$7&lt;YEAR(Startops1),0,-HLOOKUP(I$7,CF_Table,CF!$AB$22))</f>
        <v>-0</v>
      </c>
      <c r="J43" s="217" t="n">
        <f aca="false">IF(J$7&lt;YEAR(Startops1),0,-HLOOKUP(J$7,CF_Table,CF!$AB$22))</f>
        <v>-0</v>
      </c>
      <c r="K43" s="217" t="n">
        <f aca="false">IF(K$7&lt;YEAR(Startops1),0,-HLOOKUP(K$7,CF_Table,CF!$AB$22))</f>
        <v>-27315.1273139394</v>
      </c>
      <c r="L43" s="217" t="n">
        <f aca="false">IF(L$7&lt;YEAR(Startops1),0,-HLOOKUP(L$7,CF_Table,CF!$AB$22))</f>
        <v>-39461.5101704932</v>
      </c>
      <c r="M43" s="217" t="n">
        <f aca="false">IF(M$7&lt;YEAR(Startops1),0,-HLOOKUP(M$7,CF_Table,CF!$AB$22))</f>
        <v>-40400.3901140874</v>
      </c>
      <c r="N43" s="217" t="n">
        <f aca="false">IF(N$7&lt;YEAR(Startops1),0,-HLOOKUP(N$7,CF_Table,CF!$AB$22))</f>
        <v>-41436.3691096761</v>
      </c>
      <c r="O43" s="217" t="n">
        <f aca="false">IF(O$7&lt;YEAR(Startops1),0,-HLOOKUP(O$7,CF_Table,CF!$AB$22))</f>
        <v>-42248.3990711667</v>
      </c>
      <c r="P43" s="217" t="n">
        <f aca="false">IF(P$7&lt;YEAR(Startops1),0,-HLOOKUP(P$7,CF_Table,CF!$AB$22))</f>
        <v>-43175.0620770091</v>
      </c>
      <c r="Q43" s="217" t="n">
        <f aca="false">IF(Q$7&lt;YEAR(Startops1),0,-HLOOKUP(Q$7,CF_Table,CF!$AB$22))</f>
        <v>-44102.5048522423</v>
      </c>
      <c r="R43" s="217" t="n">
        <f aca="false">IF(R$7&lt;YEAR(Startops1),0,-HLOOKUP(R$7,CF_Table,CF!$AB$22))</f>
        <v>-45151.6381553276</v>
      </c>
      <c r="S43" s="217" t="n">
        <f aca="false">IF(S$7&lt;YEAR(Startops1),0,-HLOOKUP(S$7,CF_Table,CF!$AB$22))</f>
        <v>-45960.00596728</v>
      </c>
      <c r="T43" s="217" t="n">
        <f aca="false">IF(T$7&lt;YEAR(Startops1),0,-HLOOKUP(T$7,CF_Table,CF!$AB$22))</f>
        <v>-46894.4952333789</v>
      </c>
      <c r="U43" s="217" t="n">
        <f aca="false">IF(U$7&lt;YEAR(Startops1),0,-HLOOKUP(U$7,CF_Table,CF!$AB$22))</f>
        <v>-47835.2266267676</v>
      </c>
      <c r="V43" s="217" t="n">
        <f aca="false">IF(V$7&lt;YEAR(Startops1),0,-HLOOKUP(V$7,CF_Table,CF!$AB$22))</f>
        <v>-48917.3216349565</v>
      </c>
      <c r="W43" s="217" t="n">
        <f aca="false">IF(W$7&lt;YEAR(Startops1),0,-HLOOKUP(W$7,CF_Table,CF!$AB$22))</f>
        <v>-49750.5058075092</v>
      </c>
      <c r="X43" s="217" t="n">
        <f aca="false">IF(X$7&lt;YEAR(Startops1),0,-HLOOKUP(X$7,CF_Table,CF!$AB$22))</f>
        <v>-50740.7677871399</v>
      </c>
      <c r="Y43" s="217" t="n">
        <f aca="false">IF(Y$7&lt;YEAR(Startops1),0,-HLOOKUP(Y$7,CF_Table,CF!$AB$22))</f>
        <v>-51767.0485230667</v>
      </c>
      <c r="Z43" s="217" t="n">
        <f aca="false">IF(Z$7&lt;YEAR(Startops1),0,-HLOOKUP(Z$7,CF_Table,CF!$AB$22))</f>
        <v>-52978.6246952897</v>
      </c>
      <c r="AA43" s="217" t="n">
        <f aca="false">IF(AA$7&lt;YEAR(Startops1),0,-HLOOKUP(AA$7,CF_Table,CF!$AB$22))</f>
        <v>-53952.1835645744</v>
      </c>
      <c r="AB43" s="217" t="n">
        <f aca="false">IF(AB$7&lt;YEAR(Startops1),0,-HLOOKUP(AB$7,CF_Table,CF!$AB$22))</f>
        <v>-55117.3056307232</v>
      </c>
      <c r="AC43" s="217" t="n">
        <f aca="false">IF(AC$7&lt;YEAR(Startops1),0,-HLOOKUP(AC$7,CF_Table,CF!$AB$22))</f>
        <v>-18248.4209093138</v>
      </c>
      <c r="AD43" s="574" t="n">
        <f aca="false">SUM(G43:AC43)</f>
        <v>-845452.907243942</v>
      </c>
    </row>
    <row r="44" customFormat="false" ht="12.75" hidden="false" customHeight="false" outlineLevel="0" collapsed="false">
      <c r="A44" s="37" t="s">
        <v>1555</v>
      </c>
      <c r="F44" s="38"/>
      <c r="G44" s="217" t="n">
        <f aca="false">IF(G$7&lt;YEAR(Startops1),0,-HLOOKUP(G$7,CF_Table,CF!$AB$23))</f>
        <v>0</v>
      </c>
      <c r="H44" s="217" t="n">
        <f aca="false">IF(H$7&lt;YEAR(Startops1),0,-HLOOKUP(H$7,CF_Table,CF!$AB$23))</f>
        <v>0</v>
      </c>
      <c r="I44" s="217" t="n">
        <f aca="false">IF(I$7&lt;YEAR(Startops1),0,-HLOOKUP(I$7,CF_Table,CF!$AB$23))</f>
        <v>-0</v>
      </c>
      <c r="J44" s="217" t="n">
        <f aca="false">IF(J$7&lt;YEAR(Startops1),0,-HLOOKUP(J$7,CF_Table,CF!$AB$23))</f>
        <v>-0</v>
      </c>
      <c r="K44" s="217" t="n">
        <f aca="false">IF(K$7&lt;YEAR(Startops1),0,-HLOOKUP(K$7,CF_Table,CF!$AB$23))</f>
        <v>-27484.7218623678</v>
      </c>
      <c r="L44" s="217" t="n">
        <f aca="false">IF(L$7&lt;YEAR(Startops1),0,-HLOOKUP(L$7,CF_Table,CF!$AB$23))</f>
        <v>-43789.9974668233</v>
      </c>
      <c r="M44" s="217" t="n">
        <f aca="false">IF(M$7&lt;YEAR(Startops1),0,-HLOOKUP(M$7,CF_Table,CF!$AB$23))</f>
        <v>-45152.9074807657</v>
      </c>
      <c r="N44" s="217" t="n">
        <f aca="false">IF(N$7&lt;YEAR(Startops1),0,-HLOOKUP(N$7,CF_Table,CF!$AB$23))</f>
        <v>-46518.3306722354</v>
      </c>
      <c r="O44" s="217" t="n">
        <f aca="false">IF(O$7&lt;YEAR(Startops1),0,-HLOOKUP(O$7,CF_Table,CF!$AB$23))</f>
        <v>-47815.1308425646</v>
      </c>
      <c r="P44" s="217" t="n">
        <f aca="false">IF(P$7&lt;YEAR(Startops1),0,-HLOOKUP(P$7,CF_Table,CF!$AB$23))</f>
        <v>-49176.961187941</v>
      </c>
      <c r="Q44" s="217" t="n">
        <f aca="false">IF(Q$7&lt;YEAR(Startops1),0,-HLOOKUP(Q$7,CF_Table,CF!$AB$23))</f>
        <v>-50569.9896674611</v>
      </c>
      <c r="R44" s="217" t="n">
        <f aca="false">IF(R$7&lt;YEAR(Startops1),0,-HLOOKUP(R$7,CF_Table,CF!$AB$23))</f>
        <v>-51900.5055773843</v>
      </c>
      <c r="S44" s="217" t="n">
        <f aca="false">IF(S$7&lt;YEAR(Startops1),0,-HLOOKUP(S$7,CF_Table,CF!$AB$23))</f>
        <v>-53285.1036667399</v>
      </c>
      <c r="T44" s="217" t="n">
        <f aca="false">IF(T$7&lt;YEAR(Startops1),0,-HLOOKUP(T$7,CF_Table,CF!$AB$23))</f>
        <v>-54702.1606881802</v>
      </c>
      <c r="U44" s="217" t="n">
        <f aca="false">IF(U$7&lt;YEAR(Startops1),0,-HLOOKUP(U$7,CF_Table,CF!$AB$23))</f>
        <v>-56038.3797172867</v>
      </c>
      <c r="V44" s="217" t="n">
        <f aca="false">IF(V$7&lt;YEAR(Startops1),0,-HLOOKUP(V$7,CF_Table,CF!$AB$23))</f>
        <v>-57466.1576921476</v>
      </c>
      <c r="W44" s="217" t="n">
        <f aca="false">IF(W$7&lt;YEAR(Startops1),0,-HLOOKUP(W$7,CF_Table,CF!$AB$23))</f>
        <v>-58955.0260865737</v>
      </c>
      <c r="X44" s="217" t="n">
        <f aca="false">IF(X$7&lt;YEAR(Startops1),0,-HLOOKUP(X$7,CF_Table,CF!$AB$23))</f>
        <v>-60404.2781303534</v>
      </c>
      <c r="Y44" s="217" t="n">
        <f aca="false">IF(Y$7&lt;YEAR(Startops1),0,-HLOOKUP(Y$7,CF_Table,CF!$AB$23))</f>
        <v>-61960.7584663856</v>
      </c>
      <c r="Z44" s="217" t="n">
        <f aca="false">IF(Z$7&lt;YEAR(Startops1),0,-HLOOKUP(Z$7,CF_Table,CF!$AB$23))</f>
        <v>-63605.5762876779</v>
      </c>
      <c r="AA44" s="217" t="n">
        <f aca="false">IF(AA$7&lt;YEAR(Startops1),0,-HLOOKUP(AA$7,CF_Table,CF!$AB$23))</f>
        <v>-65211.2692435926</v>
      </c>
      <c r="AB44" s="217" t="n">
        <f aca="false">IF(AB$7&lt;YEAR(Startops1),0,-HLOOKUP(AB$7,CF_Table,CF!$AB$23))</f>
        <v>-66975.6253191717</v>
      </c>
      <c r="AC44" s="217" t="n">
        <f aca="false">IF(AC$7&lt;YEAR(Startops1),0,-HLOOKUP(AC$7,CF_Table,CF!$AB$23))</f>
        <v>-22531.5008709648</v>
      </c>
      <c r="AD44" s="574" t="n">
        <f aca="false">SUM(G44:AC44)</f>
        <v>-983544.380926618</v>
      </c>
    </row>
    <row r="45" customFormat="false" ht="12.75" hidden="false" customHeight="false" outlineLevel="0" collapsed="false">
      <c r="A45" s="37" t="s">
        <v>1556</v>
      </c>
      <c r="F45" s="38"/>
      <c r="G45" s="220" t="n">
        <f aca="false">IF(G$7&lt;YEAR(Startops1),0,-HLOOKUP(G$7,CF_Table,CF!$AB$24)-HLOOKUP(G$7,CF_Table,CF!$AB$25)-HLOOKUP(G$7,CF_Table,CF!$AB$26))</f>
        <v>0</v>
      </c>
      <c r="H45" s="220" t="n">
        <f aca="false">IF(H$7&lt;YEAR(Startops1),0,-HLOOKUP(H$7,CF_Table,CF!$AB$24)-HLOOKUP(H$7,CF_Table,CF!$AB$25)-HLOOKUP(H$7,CF_Table,CF!$AB$26))</f>
        <v>0</v>
      </c>
      <c r="I45" s="220" t="n">
        <f aca="false">IF(I$7&lt;YEAR(Startops1),0,-HLOOKUP(I$7,CF_Table,CF!$AB$24)-HLOOKUP(I$7,CF_Table,CF!$AB$25)-HLOOKUP(I$7,CF_Table,CF!$AB$26))</f>
        <v>-10458.104630295</v>
      </c>
      <c r="J45" s="220" t="n">
        <f aca="false">IF(J$7&lt;YEAR(Startops1),0,-HLOOKUP(J$7,CF_Table,CF!$AB$24)-HLOOKUP(J$7,CF_Table,CF!$AB$25)-HLOOKUP(J$7,CF_Table,CF!$AB$26))</f>
        <v>-10609.7153890468</v>
      </c>
      <c r="K45" s="220" t="n">
        <f aca="false">IF(K$7&lt;YEAR(Startops1),0,-HLOOKUP(K$7,CF_Table,CF!$AB$24)-HLOOKUP(K$7,CF_Table,CF!$AB$25)-HLOOKUP(K$7,CF_Table,CF!$AB$26))</f>
        <v>-15283.7269441198</v>
      </c>
      <c r="L45" s="220" t="n">
        <f aca="false">IF(L$7&lt;YEAR(Startops1),0,-HLOOKUP(L$7,CF_Table,CF!$AB$24)-HLOOKUP(L$7,CF_Table,CF!$AB$25)-HLOOKUP(L$7,CF_Table,CF!$AB$26))</f>
        <v>-15587.1171904338</v>
      </c>
      <c r="M45" s="220" t="n">
        <f aca="false">IF(M$7&lt;YEAR(Startops1),0,-HLOOKUP(M$7,CF_Table,CF!$AB$24)-HLOOKUP(M$7,CF_Table,CF!$AB$25)-HLOOKUP(M$7,CF_Table,CF!$AB$26))</f>
        <v>-15691.6362516791</v>
      </c>
      <c r="N45" s="220" t="n">
        <f aca="false">IF(N$7&lt;YEAR(Startops1),0,-HLOOKUP(N$7,CF_Table,CF!$AB$24)-HLOOKUP(N$7,CF_Table,CF!$AB$25)-HLOOKUP(N$7,CF_Table,CF!$AB$26))</f>
        <v>-15940.0875565788</v>
      </c>
      <c r="O45" s="220" t="n">
        <f aca="false">IF(O$7&lt;YEAR(Startops1),0,-HLOOKUP(O$7,CF_Table,CF!$AB$24)-HLOOKUP(O$7,CF_Table,CF!$AB$25)-HLOOKUP(O$7,CF_Table,CF!$AB$26))</f>
        <v>-16262.1674779895</v>
      </c>
      <c r="P45" s="220" t="n">
        <f aca="false">IF(P$7&lt;YEAR(Startops1),0,-HLOOKUP(P$7,CF_Table,CF!$AB$24)-HLOOKUP(P$7,CF_Table,CF!$AB$25)-HLOOKUP(P$7,CF_Table,CF!$AB$26))</f>
        <v>-16596.4183713221</v>
      </c>
      <c r="Q45" s="220" t="n">
        <f aca="false">IF(Q$7&lt;YEAR(Startops1),0,-HLOOKUP(Q$7,CF_Table,CF!$AB$24)-HLOOKUP(Q$7,CF_Table,CF!$AB$25)-HLOOKUP(Q$7,CF_Table,CF!$AB$26))</f>
        <v>-16949.9420234306</v>
      </c>
      <c r="R45" s="220" t="n">
        <f aca="false">IF(R$7&lt;YEAR(Startops1),0,-HLOOKUP(R$7,CF_Table,CF!$AB$24)-HLOOKUP(R$7,CF_Table,CF!$AB$25)-HLOOKUP(R$7,CF_Table,CF!$AB$26))</f>
        <v>-17321.1150968397</v>
      </c>
      <c r="S45" s="220" t="n">
        <f aca="false">IF(S$7&lt;YEAR(Startops1),0,-HLOOKUP(S$7,CF_Table,CF!$AB$24)-HLOOKUP(S$7,CF_Table,CF!$AB$25)-HLOOKUP(S$7,CF_Table,CF!$AB$26))</f>
        <v>-17702.4241118285</v>
      </c>
      <c r="T45" s="220" t="n">
        <f aca="false">IF(T$7&lt;YEAR(Startops1),0,-HLOOKUP(T$7,CF_Table,CF!$AB$24)-HLOOKUP(T$7,CF_Table,CF!$AB$25)-HLOOKUP(T$7,CF_Table,CF!$AB$26))</f>
        <v>-18094.1952876598</v>
      </c>
      <c r="U45" s="220" t="n">
        <f aca="false">IF(U$7&lt;YEAR(Startops1),0,-HLOOKUP(U$7,CF_Table,CF!$AB$24)-HLOOKUP(U$7,CF_Table,CF!$AB$25)-HLOOKUP(U$7,CF_Table,CF!$AB$26))</f>
        <v>-18507.0466000943</v>
      </c>
      <c r="V45" s="220" t="n">
        <f aca="false">IF(V$7&lt;YEAR(Startops1),0,-HLOOKUP(V$7,CF_Table,CF!$AB$24)-HLOOKUP(V$7,CF_Table,CF!$AB$25)-HLOOKUP(V$7,CF_Table,CF!$AB$26))</f>
        <v>-18952.3676340164</v>
      </c>
      <c r="W45" s="220" t="n">
        <f aca="false">IF(W$7&lt;YEAR(Startops1),0,-HLOOKUP(W$7,CF_Table,CF!$AB$24)-HLOOKUP(W$7,CF_Table,CF!$AB$25)-HLOOKUP(W$7,CF_Table,CF!$AB$26))</f>
        <v>-19419.1408923961</v>
      </c>
      <c r="X45" s="220" t="n">
        <f aca="false">IF(X$7&lt;YEAR(Startops1),0,-HLOOKUP(X$7,CF_Table,CF!$AB$24)-HLOOKUP(X$7,CF_Table,CF!$AB$25)-HLOOKUP(X$7,CF_Table,CF!$AB$26))</f>
        <v>-19903.0681238665</v>
      </c>
      <c r="Y45" s="220" t="n">
        <f aca="false">IF(Y$7&lt;YEAR(Startops1),0,-HLOOKUP(Y$7,CF_Table,CF!$AB$24)-HLOOKUP(Y$7,CF_Table,CF!$AB$25)-HLOOKUP(Y$7,CF_Table,CF!$AB$26))</f>
        <v>-20407.1633063244</v>
      </c>
      <c r="Z45" s="220" t="n">
        <f aca="false">IF(Z$7&lt;YEAR(Startops1),0,-HLOOKUP(Z$7,CF_Table,CF!$AB$24)-HLOOKUP(Z$7,CF_Table,CF!$AB$25)-HLOOKUP(Z$7,CF_Table,CF!$AB$26))</f>
        <v>-20933.4275448923</v>
      </c>
      <c r="AA45" s="220" t="n">
        <f aca="false">IF(AA$7&lt;YEAR(Startops1),0,-HLOOKUP(AA$7,CF_Table,CF!$AB$24)-HLOOKUP(AA$7,CF_Table,CF!$AB$25)-HLOOKUP(AA$7,CF_Table,CF!$AB$26))</f>
        <v>-21475.4943063131</v>
      </c>
      <c r="AB45" s="220" t="n">
        <f aca="false">IF(AB$7&lt;YEAR(Startops1),0,-HLOOKUP(AB$7,CF_Table,CF!$AB$24)-HLOOKUP(AB$7,CF_Table,CF!$AB$25)-HLOOKUP(AB$7,CF_Table,CF!$AB$26))</f>
        <v>-15217.5538754137</v>
      </c>
      <c r="AC45" s="220" t="n">
        <f aca="false">IF(AC$7&lt;YEAR(Startops1),0,-HLOOKUP(AC$7,CF_Table,CF!$AB$24)-HLOOKUP(AC$7,CF_Table,CF!$AB$25)-HLOOKUP(AC$7,CF_Table,CF!$AB$26))</f>
        <v>-5571.71471428336</v>
      </c>
      <c r="AD45" s="576" t="n">
        <f aca="false">SUM(G45:AC45)</f>
        <v>-346883.627328824</v>
      </c>
    </row>
    <row r="46" customFormat="false" ht="12.75" hidden="false" customHeight="false" outlineLevel="0" collapsed="false">
      <c r="A46" s="37"/>
      <c r="B46" s="38" t="s">
        <v>824</v>
      </c>
      <c r="F46" s="38"/>
      <c r="G46" s="217" t="n">
        <f aca="false">SUM(G43:G45)</f>
        <v>0</v>
      </c>
      <c r="H46" s="217" t="n">
        <f aca="false">SUM(H43:H45)</f>
        <v>0</v>
      </c>
      <c r="I46" s="217" t="n">
        <f aca="false">SUM(I43:I45)</f>
        <v>-10458.104630295</v>
      </c>
      <c r="J46" s="217" t="n">
        <f aca="false">SUM(J43:J45)</f>
        <v>-10609.7153890468</v>
      </c>
      <c r="K46" s="217" t="n">
        <f aca="false">SUM(K43:K45)</f>
        <v>-70083.5761204269</v>
      </c>
      <c r="L46" s="217" t="n">
        <f aca="false">SUM(L43:L45)</f>
        <v>-98838.6248277503</v>
      </c>
      <c r="M46" s="217" t="n">
        <f aca="false">SUM(M43:M45)</f>
        <v>-101244.933846532</v>
      </c>
      <c r="N46" s="217" t="n">
        <f aca="false">SUM(N43:N45)</f>
        <v>-103894.78733849</v>
      </c>
      <c r="O46" s="217" t="n">
        <f aca="false">SUM(O43:O45)</f>
        <v>-106325.697391721</v>
      </c>
      <c r="P46" s="217" t="n">
        <f aca="false">SUM(P43:P45)</f>
        <v>-108948.441636272</v>
      </c>
      <c r="Q46" s="217" t="n">
        <f aca="false">SUM(Q43:Q45)</f>
        <v>-111622.436543134</v>
      </c>
      <c r="R46" s="217" t="n">
        <f aca="false">SUM(R43:R45)</f>
        <v>-114373.258829552</v>
      </c>
      <c r="S46" s="217" t="n">
        <f aca="false">SUM(S43:S45)</f>
        <v>-116947.533745848</v>
      </c>
      <c r="T46" s="217" t="n">
        <f aca="false">SUM(T43:T45)</f>
        <v>-119690.851209219</v>
      </c>
      <c r="U46" s="217" t="n">
        <f aca="false">SUM(U43:U45)</f>
        <v>-122380.652944149</v>
      </c>
      <c r="V46" s="217" t="n">
        <f aca="false">SUM(V43:V45)</f>
        <v>-125335.846961121</v>
      </c>
      <c r="W46" s="217" t="n">
        <f aca="false">SUM(W43:W45)</f>
        <v>-128124.672786479</v>
      </c>
      <c r="X46" s="217" t="n">
        <f aca="false">SUM(X43:X45)</f>
        <v>-131048.11404136</v>
      </c>
      <c r="Y46" s="217" t="n">
        <f aca="false">SUM(Y43:Y45)</f>
        <v>-134134.970295777</v>
      </c>
      <c r="Z46" s="217" t="n">
        <f aca="false">SUM(Z43:Z45)</f>
        <v>-137517.62852786</v>
      </c>
      <c r="AA46" s="217" t="n">
        <f aca="false">SUM(AA43:AA45)</f>
        <v>-140638.94711448</v>
      </c>
      <c r="AB46" s="217" t="n">
        <f aca="false">SUM(AB43:AB45)</f>
        <v>-137310.484825309</v>
      </c>
      <c r="AC46" s="217" t="n">
        <f aca="false">SUM(AC43:AC45)</f>
        <v>-46351.636494562</v>
      </c>
      <c r="AD46" s="574" t="n">
        <f aca="false">SUM(G46:AC46)</f>
        <v>-2175880.91549938</v>
      </c>
      <c r="AE46" s="621" t="str">
        <f aca="false">IF(ROUND(AD46+CF!Z27,2)=0," ","CHECK EXPENSES")</f>
        <v>CHECK EXPENSES</v>
      </c>
    </row>
    <row r="47" customFormat="false" ht="12.75" hidden="false" customHeight="false" outlineLevel="0" collapsed="false">
      <c r="A47" s="37"/>
      <c r="F47" s="38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574" t="s">
        <v>49</v>
      </c>
    </row>
    <row r="48" customFormat="false" ht="12.75" hidden="false" customHeight="false" outlineLevel="0" collapsed="false">
      <c r="A48" s="37" t="s">
        <v>838</v>
      </c>
      <c r="F48" s="38"/>
      <c r="G48" s="220" t="n">
        <f aca="false">IF(G$7&lt;YEAR(Startops1),0,HLOOKUP(G$7,CF_Table,CF!$AB$38))</f>
        <v>0</v>
      </c>
      <c r="H48" s="220" t="n">
        <f aca="false">IF(H$7&lt;YEAR(Startops1),0,HLOOKUP(H$7,CF_Table,CF!$AB$38))</f>
        <v>0</v>
      </c>
      <c r="I48" s="220" t="n">
        <f aca="false">IF(I$7&lt;YEAR(Startops1),0,HLOOKUP(I$7,CF_Table,CF!$AB$38))</f>
        <v>-135.284852364692</v>
      </c>
      <c r="J48" s="220" t="n">
        <f aca="false">IF(J$7&lt;YEAR(Startops1),0,HLOOKUP(J$7,CF_Table,CF!$AB$38))</f>
        <v>33.1040655774165</v>
      </c>
      <c r="K48" s="220" t="n">
        <f aca="false">IF(K$7&lt;YEAR(Startops1),0,HLOOKUP(K$7,CF_Table,CF!$AB$38))</f>
        <v>-4331.92576171657</v>
      </c>
      <c r="L48" s="220" t="n">
        <f aca="false">IF(L$7&lt;YEAR(Startops1),0,HLOOKUP(L$7,CF_Table,CF!$AB$38))</f>
        <v>-3738.69972688846</v>
      </c>
      <c r="M48" s="220" t="n">
        <f aca="false">IF(M$7&lt;YEAR(Startops1),0,HLOOKUP(M$7,CF_Table,CF!$AB$38))</f>
        <v>-3483.6159665374</v>
      </c>
      <c r="N48" s="220" t="n">
        <f aca="false">IF(N$7&lt;YEAR(Startops1),0,HLOOKUP(N$7,CF_Table,CF!$AB$38))</f>
        <v>817.599244969586</v>
      </c>
      <c r="O48" s="220" t="n">
        <f aca="false">IF(O$7&lt;YEAR(Startops1),0,HLOOKUP(O$7,CF_Table,CF!$AB$38))</f>
        <v>938.421576733146</v>
      </c>
      <c r="P48" s="220" t="n">
        <f aca="false">IF(P$7&lt;YEAR(Startops1),0,HLOOKUP(P$7,CF_Table,CF!$AB$38))</f>
        <v>755.7902604194</v>
      </c>
      <c r="Q48" s="220" t="n">
        <f aca="false">IF(Q$7&lt;YEAR(Startops1),0,HLOOKUP(Q$7,CF_Table,CF!$AB$38))</f>
        <v>1185.75884174353</v>
      </c>
      <c r="R48" s="220" t="n">
        <f aca="false">IF(R$7&lt;YEAR(Startops1),0,HLOOKUP(R$7,CF_Table,CF!$AB$38))</f>
        <v>1647.55187518274</v>
      </c>
      <c r="S48" s="220" t="n">
        <f aca="false">IF(S$7&lt;YEAR(Startops1),0,HLOOKUP(S$7,CF_Table,CF!$AB$38))</f>
        <v>1680.64966890816</v>
      </c>
      <c r="T48" s="220" t="n">
        <f aca="false">IF(T$7&lt;YEAR(Startops1),0,HLOOKUP(T$7,CF_Table,CF!$AB$38))</f>
        <v>1253.71824360462</v>
      </c>
      <c r="U48" s="220" t="n">
        <f aca="false">IF(U$7&lt;YEAR(Startops1),0,HLOOKUP(U$7,CF_Table,CF!$AB$38))</f>
        <v>1269.57687135997</v>
      </c>
      <c r="V48" s="220" t="n">
        <f aca="false">IF(V$7&lt;YEAR(Startops1),0,HLOOKUP(V$7,CF_Table,CF!$AB$38))</f>
        <v>1513.15833215757</v>
      </c>
      <c r="W48" s="220" t="n">
        <f aca="false">IF(W$7&lt;YEAR(Startops1),0,HLOOKUP(W$7,CF_Table,CF!$AB$38))</f>
        <v>911.962545190703</v>
      </c>
      <c r="X48" s="220" t="n">
        <f aca="false">IF(X$7&lt;YEAR(Startops1),0,HLOOKUP(X$7,CF_Table,CF!$AB$38))</f>
        <v>798.474268924112</v>
      </c>
      <c r="Y48" s="220" t="n">
        <f aca="false">IF(Y$7&lt;YEAR(Startops1),0,HLOOKUP(Y$7,CF_Table,CF!$AB$38))</f>
        <v>1474.28299330467</v>
      </c>
      <c r="Z48" s="220" t="n">
        <f aca="false">IF(Z$7&lt;YEAR(Startops1),0,HLOOKUP(Z$7,CF_Table,CF!$AB$38))</f>
        <v>1551.583558281</v>
      </c>
      <c r="AA48" s="220" t="n">
        <f aca="false">IF(AA$7&lt;YEAR(Startops1),0,HLOOKUP(AA$7,CF_Table,CF!$AB$38))</f>
        <v>1266.10512050922</v>
      </c>
      <c r="AB48" s="220" t="n">
        <f aca="false">IF(AB$7&lt;YEAR(Startops1),0,HLOOKUP(AB$7,CF_Table,CF!$AB$38))</f>
        <v>1117.06168792964</v>
      </c>
      <c r="AC48" s="220" t="n">
        <f aca="false">IF(AC$7&lt;YEAR(Startops1),0,HLOOKUP(AC$7,CF_Table,CF!$AB$38))</f>
        <v>1709.95861922667</v>
      </c>
      <c r="AD48" s="576" t="n">
        <f aca="false">SUM(G48:AC48)</f>
        <v>8235.23146651501</v>
      </c>
      <c r="AE48" s="621" t="str">
        <f aca="false">IF(ROUND(AD48-CF!Z38,2)=0," ","CHECK OTHER INC &amp; EXP")</f>
        <v> </v>
      </c>
    </row>
    <row r="49" customFormat="false" ht="12.75" hidden="false" customHeight="false" outlineLevel="0" collapsed="false">
      <c r="A49" s="37"/>
      <c r="F49" s="38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7"/>
      <c r="AC49" s="217"/>
      <c r="AD49" s="574" t="s">
        <v>49</v>
      </c>
    </row>
    <row r="50" customFormat="false" ht="12.75" hidden="false" customHeight="false" outlineLevel="0" collapsed="false">
      <c r="A50" s="37" t="s">
        <v>1455</v>
      </c>
      <c r="F50" s="38"/>
      <c r="G50" s="217" t="n">
        <f aca="false">SUM(G41,G46,G48)</f>
        <v>0</v>
      </c>
      <c r="H50" s="217" t="n">
        <f aca="false">SUM(H41,H46,H48)</f>
        <v>0</v>
      </c>
      <c r="I50" s="217" t="n">
        <f aca="false">SUM(I41,I46,I48)</f>
        <v>-1884.6838151903</v>
      </c>
      <c r="J50" s="217" t="n">
        <f aca="false">SUM(J41,J46,J48)</f>
        <v>3833.74712967368</v>
      </c>
      <c r="K50" s="217" t="n">
        <f aca="false">SUM(K41,K46,K48)</f>
        <v>24853.0197201171</v>
      </c>
      <c r="L50" s="573" t="n">
        <f aca="false">SUM(L41,L46,L48)</f>
        <v>38790.7275667575</v>
      </c>
      <c r="M50" s="217" t="n">
        <f aca="false">SUM(M41,M46,M48)</f>
        <v>43280.3400438581</v>
      </c>
      <c r="N50" s="217" t="n">
        <f aca="false">SUM(N41,N46,N48)</f>
        <v>50626.3051720063</v>
      </c>
      <c r="O50" s="217" t="n">
        <f aca="false">SUM(O41,O46,O48)</f>
        <v>51952.4098857647</v>
      </c>
      <c r="P50" s="217" t="n">
        <f aca="false">SUM(P41,P46,P48)</f>
        <v>52322.0480752249</v>
      </c>
      <c r="Q50" s="217" t="n">
        <f aca="false">SUM(Q41,Q46,Q48)</f>
        <v>49934.0316145643</v>
      </c>
      <c r="R50" s="217" t="n">
        <f aca="false">SUM(R41,R46,R48)</f>
        <v>46089.9747587696</v>
      </c>
      <c r="S50" s="217" t="n">
        <f aca="false">SUM(S41,S46,S48)</f>
        <v>44888.8101807472</v>
      </c>
      <c r="T50" s="217" t="n">
        <f aca="false">SUM(T41,T46,T48)</f>
        <v>45356.3852692199</v>
      </c>
      <c r="U50" s="217" t="n">
        <f aca="false">SUM(U41,U46,U48)</f>
        <v>44074.7339724755</v>
      </c>
      <c r="V50" s="217" t="n">
        <f aca="false">SUM(V41,V46,V48)</f>
        <v>36792.506934077</v>
      </c>
      <c r="W50" s="217" t="n">
        <f aca="false">SUM(W41,W46,W48)</f>
        <v>39497.5760432047</v>
      </c>
      <c r="X50" s="217" t="n">
        <f aca="false">SUM(X41,X46,X48)</f>
        <v>26755.4236569239</v>
      </c>
      <c r="Y50" s="217" t="n">
        <f aca="false">SUM(Y41,Y46,Y48)</f>
        <v>11005.8168680974</v>
      </c>
      <c r="Z50" s="217" t="n">
        <f aca="false">SUM(Z41,Z46,Z48)</f>
        <v>6085.65046383107</v>
      </c>
      <c r="AA50" s="217" t="n">
        <f aca="false">SUM(AA41,AA46,AA48)</f>
        <v>4689.91363850861</v>
      </c>
      <c r="AB50" s="217" t="n">
        <f aca="false">SUM(AB41,AB46,AB48)</f>
        <v>6224.60529260741</v>
      </c>
      <c r="AC50" s="217" t="n">
        <f aca="false">SUM(AC41,AC46,AC48)</f>
        <v>2417.95222089096</v>
      </c>
      <c r="AD50" s="574" t="n">
        <f aca="false">SUM(G50:AC50)</f>
        <v>627587.29469213</v>
      </c>
      <c r="AE50" s="621" t="str">
        <f aca="false">IF(ROUND(AD50-CF!Z40,2)=0," ","CHECK EBDIT")</f>
        <v>CHECK EBDIT</v>
      </c>
    </row>
    <row r="51" customFormat="false" ht="12.75" hidden="false" customHeight="false" outlineLevel="0" collapsed="false">
      <c r="A51" s="37"/>
      <c r="F51" s="38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574" t="s">
        <v>49</v>
      </c>
    </row>
    <row r="52" customFormat="false" ht="12.75" hidden="false" customHeight="false" outlineLevel="0" collapsed="false">
      <c r="A52" s="37" t="s">
        <v>33</v>
      </c>
      <c r="F52" s="38"/>
      <c r="G52" s="217" t="n">
        <f aca="false">IF(G$7&lt;YEAR(Startops1),0,HLOOKUP(G$7,CF_Table,CF!$AB$41))</f>
        <v>0</v>
      </c>
      <c r="H52" s="217" t="n">
        <f aca="false">IF(H$7&lt;YEAR(Startops1),0,HLOOKUP(H$7,CF_Table,CF!$AB$41))</f>
        <v>0</v>
      </c>
      <c r="I52" s="217" t="n">
        <f aca="false">IF(I$7&lt;YEAR(Startops1),0,HLOOKUP(I$7,CF_Table,CF!$AB$41))</f>
        <v>-3704.81055000091</v>
      </c>
      <c r="J52" s="217" t="n">
        <f aca="false">IF(J$7&lt;YEAR(Startops1),0,HLOOKUP(J$7,CF_Table,CF!$AB$41))</f>
        <v>-4939.74740000121</v>
      </c>
      <c r="K52" s="217" t="n">
        <f aca="false">IF(K$7&lt;YEAR(Startops1),0,HLOOKUP(K$7,CF_Table,CF!$AB$41))</f>
        <v>-12563.7993949493</v>
      </c>
      <c r="L52" s="217" t="n">
        <f aca="false">IF(L$7&lt;YEAR(Startops1),0,HLOOKUP(L$7,CF_Table,CF!$AB$41))</f>
        <v>-17799.2181695267</v>
      </c>
      <c r="M52" s="217" t="n">
        <f aca="false">IF(M$7&lt;YEAR(Startops1),0,HLOOKUP(M$7,CF_Table,CF!$AB$41))</f>
        <v>-17799.2181695267</v>
      </c>
      <c r="N52" s="217" t="n">
        <f aca="false">IF(N$7&lt;YEAR(Startops1),0,HLOOKUP(N$7,CF_Table,CF!$AB$41))</f>
        <v>-17799.2181695267</v>
      </c>
      <c r="O52" s="217" t="n">
        <f aca="false">IF(O$7&lt;YEAR(Startops1),0,HLOOKUP(O$7,CF_Table,CF!$AB$41))</f>
        <v>-17799.2181695267</v>
      </c>
      <c r="P52" s="217" t="n">
        <f aca="false">IF(P$7&lt;YEAR(Startops1),0,HLOOKUP(P$7,CF_Table,CF!$AB$41))</f>
        <v>-17799.2181695267</v>
      </c>
      <c r="Q52" s="217" t="n">
        <f aca="false">IF(Q$7&lt;YEAR(Startops1),0,HLOOKUP(Q$7,CF_Table,CF!$AB$41))</f>
        <v>-17799.2181695267</v>
      </c>
      <c r="R52" s="217" t="n">
        <f aca="false">IF(R$7&lt;YEAR(Startops1),0,HLOOKUP(R$7,CF_Table,CF!$AB$41))</f>
        <v>-17799.2181695267</v>
      </c>
      <c r="S52" s="217" t="n">
        <f aca="false">IF(S$7&lt;YEAR(Startops1),0,HLOOKUP(S$7,CF_Table,CF!$AB$41))</f>
        <v>-17799.2181695267</v>
      </c>
      <c r="T52" s="217" t="n">
        <f aca="false">IF(T$7&lt;YEAR(Startops1),0,HLOOKUP(T$7,CF_Table,CF!$AB$41))</f>
        <v>-17799.2181695267</v>
      </c>
      <c r="U52" s="217" t="n">
        <f aca="false">IF(U$7&lt;YEAR(Startops1),0,HLOOKUP(U$7,CF_Table,CF!$AB$41))</f>
        <v>-17799.2181695267</v>
      </c>
      <c r="V52" s="217" t="n">
        <f aca="false">IF(V$7&lt;YEAR(Startops1),0,HLOOKUP(V$7,CF_Table,CF!$AB$41))</f>
        <v>-17799.2181695267</v>
      </c>
      <c r="W52" s="217" t="n">
        <f aca="false">IF(W$7&lt;YEAR(Startops1),0,HLOOKUP(W$7,CF_Table,CF!$AB$41))</f>
        <v>-17799.2181695267</v>
      </c>
      <c r="X52" s="217" t="n">
        <f aca="false">IF(X$7&lt;YEAR(Startops1),0,HLOOKUP(X$7,CF_Table,CF!$AB$41))</f>
        <v>-17799.2181695267</v>
      </c>
      <c r="Y52" s="217" t="n">
        <f aca="false">IF(Y$7&lt;YEAR(Startops1),0,HLOOKUP(Y$7,CF_Table,CF!$AB$41))</f>
        <v>-17799.2181695267</v>
      </c>
      <c r="Z52" s="217" t="n">
        <f aca="false">IF(Z$7&lt;YEAR(Startops1),0,HLOOKUP(Z$7,CF_Table,CF!$AB$41))</f>
        <v>-17799.2181695267</v>
      </c>
      <c r="AA52" s="217" t="n">
        <f aca="false">IF(AA$7&lt;YEAR(Startops1),0,HLOOKUP(AA$7,CF_Table,CF!$AB$41))</f>
        <v>-17799.2181695267</v>
      </c>
      <c r="AB52" s="217" t="n">
        <f aca="false">IF(AB$7&lt;YEAR(Startops1),0,HLOOKUP(AB$7,CF_Table,CF!$AB$41))</f>
        <v>-17799.2181695267</v>
      </c>
      <c r="AC52" s="217" t="n">
        <f aca="false">IF(AC$7&lt;YEAR(Startops1),0,HLOOKUP(AC$7,CF_Table,CF!$AB$41))</f>
        <v>-5521.42710650878</v>
      </c>
      <c r="AD52" s="574" t="n">
        <f aca="false">SUM(G52:AC52)</f>
        <v>-329316.493333414</v>
      </c>
    </row>
    <row r="53" customFormat="false" ht="12.75" hidden="false" customHeight="false" outlineLevel="0" collapsed="false">
      <c r="A53" s="37" t="s">
        <v>1557</v>
      </c>
      <c r="F53" s="38"/>
      <c r="G53" s="217" t="n">
        <f aca="false">IF(G$7&lt;YEAR(Startops1),0,HLOOKUP(G$7,CF_Table,CF!$AB$44))</f>
        <v>0</v>
      </c>
      <c r="H53" s="217" t="n">
        <f aca="false">IF(H$7&lt;YEAR(Startops1),0,HLOOKUP(H$7,CF_Table,CF!$AB$44))</f>
        <v>0</v>
      </c>
      <c r="I53" s="217" t="n">
        <f aca="false">IF(I$7&lt;YEAR(Startops1),0,HLOOKUP(I$7,CF_Table,CF!$AB$44))</f>
        <v>-0</v>
      </c>
      <c r="J53" s="217" t="n">
        <f aca="false">IF(J$7&lt;YEAR(Startops1),0,HLOOKUP(J$7,CF_Table,CF!$AB$44))</f>
        <v>-0</v>
      </c>
      <c r="K53" s="217" t="n">
        <f aca="false">IF(K$7&lt;YEAR(Startops1),0,HLOOKUP(K$7,CF_Table,CF!$AB$44))</f>
        <v>-6866.1388759198</v>
      </c>
      <c r="L53" s="217" t="n">
        <f aca="false">IF(L$7&lt;YEAR(Startops1),0,HLOOKUP(L$7,CF_Table,CF!$AB$44))</f>
        <v>-16245.849069511</v>
      </c>
      <c r="M53" s="217" t="n">
        <f aca="false">IF(M$7&lt;YEAR(Startops1),0,HLOOKUP(M$7,CF_Table,CF!$AB$44))</f>
        <v>-15297.1145543459</v>
      </c>
      <c r="N53" s="217" t="n">
        <f aca="false">IF(N$7&lt;YEAR(Startops1),0,HLOOKUP(N$7,CF_Table,CF!$AB$44))</f>
        <v>-14256.7267686017</v>
      </c>
      <c r="O53" s="217" t="n">
        <f aca="false">IF(O$7&lt;YEAR(Startops1),0,HLOOKUP(O$7,CF_Table,CF!$AB$44))</f>
        <v>-13047.8739914031</v>
      </c>
      <c r="P53" s="217" t="n">
        <f aca="false">IF(P$7&lt;YEAR(Startops1),0,HLOOKUP(P$7,CF_Table,CF!$AB$44))</f>
        <v>-11750.4132012332</v>
      </c>
      <c r="Q53" s="217" t="n">
        <f aca="false">IF(Q$7&lt;YEAR(Startops1),0,HLOOKUP(Q$7,CF_Table,CF!$AB$44))</f>
        <v>-10380.0289673911</v>
      </c>
      <c r="R53" s="217" t="n">
        <f aca="false">IF(R$7&lt;YEAR(Startops1),0,HLOOKUP(R$7,CF_Table,CF!$AB$44))</f>
        <v>-8974.06088972822</v>
      </c>
      <c r="S53" s="217" t="n">
        <f aca="false">IF(S$7&lt;YEAR(Startops1),0,HLOOKUP(S$7,CF_Table,CF!$AB$44))</f>
        <v>-7705.25600331445</v>
      </c>
      <c r="T53" s="217" t="n">
        <f aca="false">IF(T$7&lt;YEAR(Startops1),0,HLOOKUP(T$7,CF_Table,CF!$AB$44))</f>
        <v>-6465.01759721142</v>
      </c>
      <c r="U53" s="217" t="n">
        <f aca="false">IF(U$7&lt;YEAR(Startops1),0,HLOOKUP(U$7,CF_Table,CF!$AB$44))</f>
        <v>-5197.77633917085</v>
      </c>
      <c r="V53" s="217" t="n">
        <f aca="false">IF(V$7&lt;YEAR(Startops1),0,HLOOKUP(V$7,CF_Table,CF!$AB$44))</f>
        <v>-3910.35006902801</v>
      </c>
      <c r="W53" s="217" t="n">
        <f aca="false">IF(W$7&lt;YEAR(Startops1),0,HLOOKUP(W$7,CF_Table,CF!$AB$44))</f>
        <v>-2848.34668448025</v>
      </c>
      <c r="X53" s="217" t="n">
        <f aca="false">IF(X$7&lt;YEAR(Startops1),0,HLOOKUP(X$7,CF_Table,CF!$AB$44))</f>
        <v>-1786.34329993249</v>
      </c>
      <c r="Y53" s="217" t="n">
        <f aca="false">IF(Y$7&lt;YEAR(Startops1),0,HLOOKUP(Y$7,CF_Table,CF!$AB$44))</f>
        <v>-701.827212434818</v>
      </c>
      <c r="Z53" s="217" t="n">
        <f aca="false">IF(Z$7&lt;YEAR(Startops1),0,HLOOKUP(Z$7,CF_Table,CF!$AB$44))</f>
        <v>-0</v>
      </c>
      <c r="AA53" s="217" t="n">
        <f aca="false">IF(AA$7&lt;YEAR(Startops1),0,HLOOKUP(AA$7,CF_Table,CF!$AB$44))</f>
        <v>-0</v>
      </c>
      <c r="AB53" s="217" t="n">
        <f aca="false">IF(AB$7&lt;YEAR(Startops1),0,HLOOKUP(AB$7,CF_Table,CF!$AB$44))</f>
        <v>-0</v>
      </c>
      <c r="AC53" s="217" t="n">
        <f aca="false">IF(AC$7&lt;YEAR(Startops1),0,HLOOKUP(AC$7,CF_Table,CF!$AB$44))</f>
        <v>-0</v>
      </c>
      <c r="AD53" s="574" t="n">
        <f aca="false">SUM(G53:AC53)</f>
        <v>-125433.123523706</v>
      </c>
    </row>
    <row r="54" customFormat="false" ht="12.75" hidden="false" customHeight="false" outlineLevel="0" collapsed="false">
      <c r="A54" s="37" t="s">
        <v>1558</v>
      </c>
      <c r="F54" s="38"/>
      <c r="G54" s="217" t="n">
        <f aca="false">IF(G$7&lt;YEAR(Startops1),0,HLOOKUP(G$7,CF_Table,CF!$AB$45))</f>
        <v>0</v>
      </c>
      <c r="H54" s="217" t="n">
        <f aca="false">IF(H$7&lt;YEAR(Startops1),0,HLOOKUP(H$7,CF_Table,CF!$AB$45))</f>
        <v>0</v>
      </c>
      <c r="I54" s="217" t="n">
        <f aca="false">IF(I$7&lt;YEAR(Startops1),0,HLOOKUP(I$7,CF_Table,CF!$AB$45))</f>
        <v>-0</v>
      </c>
      <c r="J54" s="217" t="n">
        <f aca="false">IF(J$7&lt;YEAR(Startops1),0,HLOOKUP(J$7,CF_Table,CF!$AB$45))</f>
        <v>-0</v>
      </c>
      <c r="K54" s="217" t="n">
        <f aca="false">IF(K$7&lt;YEAR(Startops1),0,HLOOKUP(K$7,CF_Table,CF!$AB$45))</f>
        <v>-2694.78154144109</v>
      </c>
      <c r="L54" s="217" t="n">
        <f aca="false">IF(L$7&lt;YEAR(Startops1),0,HLOOKUP(L$7,CF_Table,CF!$AB$45))</f>
        <v>-6397.33203104365</v>
      </c>
      <c r="M54" s="217" t="n">
        <f aca="false">IF(M$7&lt;YEAR(Startops1),0,HLOOKUP(M$7,CF_Table,CF!$AB$45))</f>
        <v>-6098.22364659681</v>
      </c>
      <c r="N54" s="217" t="n">
        <f aca="false">IF(N$7&lt;YEAR(Startops1),0,HLOOKUP(N$7,CF_Table,CF!$AB$45))</f>
        <v>-5758.9674392476</v>
      </c>
      <c r="O54" s="217" t="n">
        <f aca="false">IF(O$7&lt;YEAR(Startops1),0,HLOOKUP(O$7,CF_Table,CF!$AB$45))</f>
        <v>-5374.17456746693</v>
      </c>
      <c r="P54" s="217" t="n">
        <f aca="false">IF(P$7&lt;YEAR(Startops1),0,HLOOKUP(P$7,CF_Table,CF!$AB$45))</f>
        <v>-4937.7328724715</v>
      </c>
      <c r="Q54" s="217" t="n">
        <f aca="false">IF(Q$7&lt;YEAR(Startops1),0,HLOOKUP(Q$7,CF_Table,CF!$AB$45))</f>
        <v>-4442.70979096531</v>
      </c>
      <c r="R54" s="217" t="n">
        <f aca="false">IF(R$7&lt;YEAR(Startops1),0,HLOOKUP(R$7,CF_Table,CF!$AB$45))</f>
        <v>-3881.24223634396</v>
      </c>
      <c r="S54" s="217" t="n">
        <f aca="false">IF(S$7&lt;YEAR(Startops1),0,HLOOKUP(S$7,CF_Table,CF!$AB$45))</f>
        <v>-3244.41169920355</v>
      </c>
      <c r="T54" s="217" t="n">
        <f aca="false">IF(T$7&lt;YEAR(Startops1),0,HLOOKUP(T$7,CF_Table,CF!$AB$45))</f>
        <v>-2522.10258321547</v>
      </c>
      <c r="U54" s="217" t="n">
        <f aca="false">IF(U$7&lt;YEAR(Startops1),0,HLOOKUP(U$7,CF_Table,CF!$AB$45))</f>
        <v>-1702.84152613389</v>
      </c>
      <c r="V54" s="217" t="n">
        <f aca="false">IF(V$7&lt;YEAR(Startops1),0,HLOOKUP(V$7,CF_Table,CF!$AB$45))</f>
        <v>-773.615153665539</v>
      </c>
      <c r="W54" s="217" t="n">
        <f aca="false">IF(W$7&lt;YEAR(Startops1),0,HLOOKUP(W$7,CF_Table,CF!$AB$45))</f>
        <v>-0</v>
      </c>
      <c r="X54" s="217" t="n">
        <f aca="false">IF(X$7&lt;YEAR(Startops1),0,HLOOKUP(X$7,CF_Table,CF!$AB$45))</f>
        <v>-0</v>
      </c>
      <c r="Y54" s="217" t="n">
        <f aca="false">IF(Y$7&lt;YEAR(Startops1),0,HLOOKUP(Y$7,CF_Table,CF!$AB$45))</f>
        <v>-0</v>
      </c>
      <c r="Z54" s="217" t="n">
        <f aca="false">IF(Z$7&lt;YEAR(Startops1),0,HLOOKUP(Z$7,CF_Table,CF!$AB$45))</f>
        <v>-0</v>
      </c>
      <c r="AA54" s="217" t="n">
        <f aca="false">IF(AA$7&lt;YEAR(Startops1),0,HLOOKUP(AA$7,CF_Table,CF!$AB$45))</f>
        <v>-0</v>
      </c>
      <c r="AB54" s="217" t="n">
        <f aca="false">IF(AB$7&lt;YEAR(Startops1),0,HLOOKUP(AB$7,CF_Table,CF!$AB$45))</f>
        <v>-0</v>
      </c>
      <c r="AC54" s="217" t="n">
        <f aca="false">IF(AC$7&lt;YEAR(Startops1),0,HLOOKUP(AC$7,CF_Table,CF!$AB$45))</f>
        <v>-0</v>
      </c>
      <c r="AD54" s="574" t="n">
        <f aca="false">SUM(G54:AC54)</f>
        <v>-47828.1350877953</v>
      </c>
    </row>
    <row r="55" customFormat="false" ht="12.75" hidden="false" customHeight="false" outlineLevel="0" collapsed="false">
      <c r="A55" s="37" t="s">
        <v>1559</v>
      </c>
      <c r="F55" s="38"/>
      <c r="G55" s="220" t="n">
        <f aca="false">IF(G$7&lt;YEAR(Startops1),0,HLOOKUP(G$7,CF_Table,CF!$AB$46))</f>
        <v>0</v>
      </c>
      <c r="H55" s="220" t="n">
        <f aca="false">IF(H$7&lt;YEAR(Startops1),0,HLOOKUP(H$7,CF_Table,CF!$AB$46))</f>
        <v>0</v>
      </c>
      <c r="I55" s="220" t="n">
        <f aca="false">IF(I$7&lt;YEAR(Startops1),0,HLOOKUP(I$7,CF_Table,CF!$AB$46))</f>
        <v>-988.566582744534</v>
      </c>
      <c r="J55" s="220" t="n">
        <f aca="false">IF(J$7&lt;YEAR(Startops1),0,HLOOKUP(J$7,CF_Table,CF!$AB$46))</f>
        <v>-2665.13260186675</v>
      </c>
      <c r="K55" s="220" t="n">
        <f aca="false">IF(K$7&lt;YEAR(Startops1),0,HLOOKUP(K$7,CF_Table,CF!$AB$46))</f>
        <v>-5739.81667071093</v>
      </c>
      <c r="L55" s="220" t="n">
        <f aca="false">IF(L$7&lt;YEAR(Startops1),0,HLOOKUP(L$7,CF_Table,CF!$AB$46))</f>
        <v>0</v>
      </c>
      <c r="M55" s="220" t="n">
        <f aca="false">IF(M$7&lt;YEAR(Startops1),0,HLOOKUP(M$7,CF_Table,CF!$AB$46))</f>
        <v>0</v>
      </c>
      <c r="N55" s="220" t="n">
        <f aca="false">IF(N$7&lt;YEAR(Startops1),0,HLOOKUP(N$7,CF_Table,CF!$AB$46))</f>
        <v>0</v>
      </c>
      <c r="O55" s="220" t="n">
        <f aca="false">IF(O$7&lt;YEAR(Startops1),0,HLOOKUP(O$7,CF_Table,CF!$AB$46))</f>
        <v>0</v>
      </c>
      <c r="P55" s="220" t="n">
        <f aca="false">IF(P$7&lt;YEAR(Startops1),0,HLOOKUP(P$7,CF_Table,CF!$AB$46))</f>
        <v>0</v>
      </c>
      <c r="Q55" s="220" t="n">
        <f aca="false">IF(Q$7&lt;YEAR(Startops1),0,HLOOKUP(Q$7,CF_Table,CF!$AB$46))</f>
        <v>0</v>
      </c>
      <c r="R55" s="220" t="n">
        <f aca="false">IF(R$7&lt;YEAR(Startops1),0,HLOOKUP(R$7,CF_Table,CF!$AB$46))</f>
        <v>0</v>
      </c>
      <c r="S55" s="220" t="n">
        <f aca="false">IF(S$7&lt;YEAR(Startops1),0,HLOOKUP(S$7,CF_Table,CF!$AB$46))</f>
        <v>0</v>
      </c>
      <c r="T55" s="220" t="n">
        <f aca="false">IF(T$7&lt;YEAR(Startops1),0,HLOOKUP(T$7,CF_Table,CF!$AB$46))</f>
        <v>0</v>
      </c>
      <c r="U55" s="220" t="n">
        <f aca="false">IF(U$7&lt;YEAR(Startops1),0,HLOOKUP(U$7,CF_Table,CF!$AB$46))</f>
        <v>0</v>
      </c>
      <c r="V55" s="220" t="n">
        <f aca="false">IF(V$7&lt;YEAR(Startops1),0,HLOOKUP(V$7,CF_Table,CF!$AB$46))</f>
        <v>0</v>
      </c>
      <c r="W55" s="220" t="n">
        <f aca="false">IF(W$7&lt;YEAR(Startops1),0,HLOOKUP(W$7,CF_Table,CF!$AB$46))</f>
        <v>0</v>
      </c>
      <c r="X55" s="220" t="n">
        <f aca="false">IF(X$7&lt;YEAR(Startops1),0,HLOOKUP(X$7,CF_Table,CF!$AB$46))</f>
        <v>0</v>
      </c>
      <c r="Y55" s="220" t="n">
        <f aca="false">IF(Y$7&lt;YEAR(Startops1),0,HLOOKUP(Y$7,CF_Table,CF!$AB$46))</f>
        <v>0</v>
      </c>
      <c r="Z55" s="220" t="n">
        <f aca="false">IF(Z$7&lt;YEAR(Startops1),0,HLOOKUP(Z$7,CF_Table,CF!$AB$46))</f>
        <v>0</v>
      </c>
      <c r="AA55" s="220" t="n">
        <f aca="false">IF(AA$7&lt;YEAR(Startops1),0,HLOOKUP(AA$7,CF_Table,CF!$AB$46))</f>
        <v>0</v>
      </c>
      <c r="AB55" s="220" t="n">
        <f aca="false">IF(AB$7&lt;YEAR(Startops1),0,HLOOKUP(AB$7,CF_Table,CF!$AB$46))</f>
        <v>0</v>
      </c>
      <c r="AC55" s="220" t="n">
        <f aca="false">IF(AC$7&lt;YEAR(Startops1),0,HLOOKUP(AC$7,CF_Table,CF!$AB$46))</f>
        <v>0</v>
      </c>
      <c r="AD55" s="576" t="n">
        <f aca="false">SUM(G55:AC55)</f>
        <v>-9393.51585532221</v>
      </c>
    </row>
    <row r="56" customFormat="false" ht="12.75" hidden="false" customHeight="false" outlineLevel="0" collapsed="false">
      <c r="A56" s="37"/>
      <c r="B56" s="38" t="s">
        <v>1560</v>
      </c>
      <c r="F56" s="38"/>
      <c r="G56" s="217" t="n">
        <f aca="false">SUM(G52:G55)</f>
        <v>0</v>
      </c>
      <c r="H56" s="217" t="n">
        <f aca="false">SUM(H52:H55)</f>
        <v>0</v>
      </c>
      <c r="I56" s="217" t="n">
        <f aca="false">SUM(I52:I55)</f>
        <v>-4693.37713274544</v>
      </c>
      <c r="J56" s="217" t="n">
        <f aca="false">SUM(J52:J55)</f>
        <v>-7604.88000186796</v>
      </c>
      <c r="K56" s="217" t="n">
        <f aca="false">SUM(K52:K55)</f>
        <v>-27864.5364830211</v>
      </c>
      <c r="L56" s="217" t="n">
        <f aca="false">SUM(L52:L55)</f>
        <v>-40442.3992700814</v>
      </c>
      <c r="M56" s="217" t="n">
        <f aca="false">SUM(M52:M55)</f>
        <v>-39194.5563704694</v>
      </c>
      <c r="N56" s="217" t="n">
        <f aca="false">SUM(N52:N55)</f>
        <v>-37814.912377376</v>
      </c>
      <c r="O56" s="217" t="n">
        <f aca="false">SUM(O52:O55)</f>
        <v>-36221.2667283967</v>
      </c>
      <c r="P56" s="217" t="n">
        <f aca="false">SUM(P52:P55)</f>
        <v>-34487.3642432314</v>
      </c>
      <c r="Q56" s="217" t="n">
        <f aca="false">SUM(Q52:Q55)</f>
        <v>-32621.9569278832</v>
      </c>
      <c r="R56" s="217" t="n">
        <f aca="false">SUM(R52:R55)</f>
        <v>-30654.5212955989</v>
      </c>
      <c r="S56" s="217" t="n">
        <f aca="false">SUM(S52:S55)</f>
        <v>-28748.8858720447</v>
      </c>
      <c r="T56" s="217" t="n">
        <f aca="false">SUM(T52:T55)</f>
        <v>-26786.3383499536</v>
      </c>
      <c r="U56" s="217" t="n">
        <f aca="false">SUM(U52:U55)</f>
        <v>-24699.8360348314</v>
      </c>
      <c r="V56" s="217" t="n">
        <f aca="false">SUM(V52:V55)</f>
        <v>-22483.1833922202</v>
      </c>
      <c r="W56" s="217" t="n">
        <f aca="false">SUM(W52:W55)</f>
        <v>-20647.5648540069</v>
      </c>
      <c r="X56" s="217" t="n">
        <f aca="false">SUM(X52:X55)</f>
        <v>-19585.5614694592</v>
      </c>
      <c r="Y56" s="217" t="n">
        <f aca="false">SUM(Y52:Y55)</f>
        <v>-18501.0453819615</v>
      </c>
      <c r="Z56" s="217" t="n">
        <f aca="false">SUM(Z52:Z55)</f>
        <v>-17799.2181695267</v>
      </c>
      <c r="AA56" s="217" t="n">
        <f aca="false">SUM(AA52:AA55)</f>
        <v>-17799.2181695267</v>
      </c>
      <c r="AB56" s="217" t="n">
        <f aca="false">SUM(AB52:AB55)</f>
        <v>-17799.2181695267</v>
      </c>
      <c r="AC56" s="217" t="n">
        <f aca="false">SUM(AC52:AC55)</f>
        <v>-5521.42710650878</v>
      </c>
      <c r="AD56" s="574" t="n">
        <f aca="false">SUM(G56:AC56)</f>
        <v>-511971.267800238</v>
      </c>
      <c r="AE56" s="621" t="str">
        <f aca="false">IF(ROUND(AD56-CF!Z41-SUM(CF!Z44:Z46),2)=0," ","CHECK DEPR &amp; INT")</f>
        <v> </v>
      </c>
    </row>
    <row r="57" customFormat="false" ht="12.75" hidden="false" customHeight="false" outlineLevel="0" collapsed="false">
      <c r="A57" s="37"/>
      <c r="F57" s="38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576"/>
    </row>
    <row r="58" customFormat="false" ht="12.75" hidden="false" customHeight="false" outlineLevel="0" collapsed="false">
      <c r="A58" s="37" t="s">
        <v>1561</v>
      </c>
      <c r="F58" s="38"/>
      <c r="G58" s="217" t="n">
        <f aca="false">SUM(G50,G56)</f>
        <v>0</v>
      </c>
      <c r="H58" s="217" t="n">
        <f aca="false">SUM(H50,H56)</f>
        <v>0</v>
      </c>
      <c r="I58" s="217" t="n">
        <f aca="false">SUM(I50,I56)</f>
        <v>-6578.06094793574</v>
      </c>
      <c r="J58" s="217" t="n">
        <f aca="false">SUM(J50,J56)</f>
        <v>-3771.13287219427</v>
      </c>
      <c r="K58" s="217" t="n">
        <f aca="false">SUM(K50,K56)</f>
        <v>-3011.51676290401</v>
      </c>
      <c r="L58" s="573" t="n">
        <f aca="false">SUM(L50,L56)</f>
        <v>-1651.67170332393</v>
      </c>
      <c r="M58" s="217" t="n">
        <f aca="false">SUM(M50,M56)</f>
        <v>4085.78367338872</v>
      </c>
      <c r="N58" s="217" t="n">
        <f aca="false">SUM(N50,N56)</f>
        <v>12811.3927946303</v>
      </c>
      <c r="O58" s="217" t="n">
        <f aca="false">SUM(O50,O56)</f>
        <v>15731.143157368</v>
      </c>
      <c r="P58" s="217" t="n">
        <f aca="false">SUM(P50,P56)</f>
        <v>17834.6838319935</v>
      </c>
      <c r="Q58" s="217" t="n">
        <f aca="false">SUM(Q50,Q56)</f>
        <v>17312.0746866811</v>
      </c>
      <c r="R58" s="217" t="n">
        <f aca="false">SUM(R50,R56)</f>
        <v>15435.4534631707</v>
      </c>
      <c r="S58" s="217" t="n">
        <f aca="false">SUM(S50,S56)</f>
        <v>16139.9243087025</v>
      </c>
      <c r="T58" s="217" t="n">
        <f aca="false">SUM(T50,T56)</f>
        <v>18570.0469192663</v>
      </c>
      <c r="U58" s="217" t="n">
        <f aca="false">SUM(U50,U56)</f>
        <v>19374.8979376441</v>
      </c>
      <c r="V58" s="217" t="n">
        <f aca="false">SUM(V50,V56)</f>
        <v>14309.3235418567</v>
      </c>
      <c r="W58" s="217" t="n">
        <f aca="false">SUM(W50,W56)</f>
        <v>18850.0111891977</v>
      </c>
      <c r="X58" s="217" t="n">
        <f aca="false">SUM(X50,X56)</f>
        <v>7169.86218746474</v>
      </c>
      <c r="Y58" s="217" t="n">
        <f aca="false">SUM(Y50,Y56)</f>
        <v>-7495.22851386407</v>
      </c>
      <c r="Z58" s="217" t="n">
        <f aca="false">SUM(Z50,Z56)</f>
        <v>-11713.5677056956</v>
      </c>
      <c r="AA58" s="217" t="n">
        <f aca="false">SUM(AA50,AA56)</f>
        <v>-13109.3045310181</v>
      </c>
      <c r="AB58" s="217" t="n">
        <f aca="false">SUM(AB50,AB56)</f>
        <v>-11574.6128769193</v>
      </c>
      <c r="AC58" s="217" t="n">
        <f aca="false">SUM(AC50,AC56)</f>
        <v>-3103.47488561782</v>
      </c>
      <c r="AD58" s="574" t="n">
        <f aca="false">SUM(G58:AC58)</f>
        <v>115616.026891892</v>
      </c>
      <c r="AE58" s="621" t="str">
        <f aca="false">IF(ROUND(AD58-CF!Z48,2)=0," ","CHECK EARNINGS BEFORE TAXES")</f>
        <v>CHECK EARNINGS BEFORE TAXES</v>
      </c>
    </row>
    <row r="59" customFormat="false" ht="12.75" hidden="false" customHeight="false" outlineLevel="0" collapsed="false">
      <c r="A59" s="37" t="s">
        <v>855</v>
      </c>
      <c r="F59" s="38"/>
      <c r="G59" s="217" t="n">
        <f aca="false">IF(G$7&lt;YEAR(Startops1),0,HLOOKUP(G$7,CF_Table,CF!$AB$49))</f>
        <v>0</v>
      </c>
      <c r="H59" s="217" t="n">
        <f aca="false">IF(H$7&lt;YEAR(Startops1),0,HLOOKUP(H$7,CF_Table,CF!$AB$49))</f>
        <v>0</v>
      </c>
      <c r="I59" s="217" t="n">
        <f aca="false">IF(I$7&lt;YEAR(Startops1),0,HLOOKUP(I$7,CF_Table,CF!$AB$49))</f>
        <v>-0</v>
      </c>
      <c r="J59" s="217" t="n">
        <f aca="false">IF(J$7&lt;YEAR(Startops1),0,HLOOKUP(J$7,CF_Table,CF!$AB$49))</f>
        <v>-0</v>
      </c>
      <c r="K59" s="217" t="n">
        <f aca="false">IF(K$7&lt;YEAR(Startops1),0,HLOOKUP(K$7,CF_Table,CF!$AB$49))</f>
        <v>-0</v>
      </c>
      <c r="L59" s="217" t="n">
        <f aca="false">IF(L$7&lt;YEAR(Startops1),0,HLOOKUP(L$7,CF_Table,CF!$AB$49))</f>
        <v>-0</v>
      </c>
      <c r="M59" s="217" t="n">
        <f aca="false">IF(M$7&lt;YEAR(Startops1),0,HLOOKUP(M$7,CF_Table,CF!$AB$49))</f>
        <v>-2042.89183669435</v>
      </c>
      <c r="N59" s="217" t="n">
        <f aca="false">IF(N$7&lt;YEAR(Startops1),0,HLOOKUP(N$7,CF_Table,CF!$AB$49))</f>
        <v>-0</v>
      </c>
      <c r="O59" s="217" t="n">
        <f aca="false">IF(O$7&lt;YEAR(Startops1),0,HLOOKUP(O$7,CF_Table,CF!$AB$49))</f>
        <v>-7865.571578684</v>
      </c>
      <c r="P59" s="217" t="n">
        <f aca="false">IF(P$7&lt;YEAR(Startops1),0,HLOOKUP(P$7,CF_Table,CF!$AB$49))</f>
        <v>-8917.34191599675</v>
      </c>
      <c r="Q59" s="217" t="n">
        <f aca="false">IF(Q$7&lt;YEAR(Startops1),0,HLOOKUP(Q$7,CF_Table,CF!$AB$49))</f>
        <v>-8656.03734334056</v>
      </c>
      <c r="R59" s="217" t="n">
        <f aca="false">IF(R$7&lt;YEAR(Startops1),0,HLOOKUP(R$7,CF_Table,CF!$AB$49))</f>
        <v>-7717.72673158535</v>
      </c>
      <c r="S59" s="217" t="n">
        <f aca="false">IF(S$7&lt;YEAR(Startops1),0,HLOOKUP(S$7,CF_Table,CF!$AB$49))</f>
        <v>-8069.96215435123</v>
      </c>
      <c r="T59" s="217" t="n">
        <f aca="false">IF(T$7&lt;YEAR(Startops1),0,HLOOKUP(T$7,CF_Table,CF!$AB$49))</f>
        <v>-9279.35702049191</v>
      </c>
      <c r="U59" s="217" t="n">
        <f aca="false">IF(U$7&lt;YEAR(Startops1),0,HLOOKUP(U$7,CF_Table,CF!$AB$49))</f>
        <v>-9279.35702049191</v>
      </c>
      <c r="V59" s="217" t="n">
        <f aca="false">IF(V$7&lt;YEAR(Startops1),0,HLOOKUP(V$7,CF_Table,CF!$AB$49))</f>
        <v>-7154.66177092837</v>
      </c>
      <c r="W59" s="217" t="n">
        <f aca="false">IF(W$7&lt;YEAR(Startops1),0,HLOOKUP(W$7,CF_Table,CF!$AB$49))</f>
        <v>-9279.35702049191</v>
      </c>
      <c r="X59" s="217" t="n">
        <f aca="false">IF(X$7&lt;YEAR(Startops1),0,HLOOKUP(X$7,CF_Table,CF!$AB$49))</f>
        <v>-3584.93109373236</v>
      </c>
      <c r="Y59" s="217" t="n">
        <f aca="false">IF(Y$7&lt;YEAR(Startops1),0,HLOOKUP(Y$7,CF_Table,CF!$AB$49))</f>
        <v>-0</v>
      </c>
      <c r="Z59" s="217" t="n">
        <f aca="false">IF(Z$7&lt;YEAR(Startops1),0,HLOOKUP(Z$7,CF_Table,CF!$AB$49))</f>
        <v>-0</v>
      </c>
      <c r="AA59" s="217" t="n">
        <f aca="false">IF(AA$7&lt;YEAR(Startops1),0,HLOOKUP(AA$7,CF_Table,CF!$AB$49))</f>
        <v>-0</v>
      </c>
      <c r="AB59" s="217" t="n">
        <f aca="false">IF(AB$7&lt;YEAR(Startops1),0,HLOOKUP(AB$7,CF_Table,CF!$AB$49))</f>
        <v>-0</v>
      </c>
      <c r="AC59" s="217" t="n">
        <f aca="false">IF(AC$7&lt;YEAR(Startops1),0,HLOOKUP(AC$7,CF_Table,CF!$AB$49))</f>
        <v>-0</v>
      </c>
      <c r="AD59" s="574" t="n">
        <f aca="false">SUM(G59:AC59)</f>
        <v>-81847.1954867887</v>
      </c>
    </row>
    <row r="60" customFormat="false" ht="12.75" hidden="false" customHeight="false" outlineLevel="0" collapsed="false">
      <c r="A60" s="37" t="s">
        <v>1562</v>
      </c>
      <c r="F60" s="38"/>
      <c r="G60" s="217" t="n">
        <f aca="false">IF(G$7&lt;YEAR(Startops1),0,HLOOKUP(G$7,CF_Table,CF!$AB$52))</f>
        <v>0</v>
      </c>
      <c r="H60" s="217" t="n">
        <f aca="false">IF(H$7&lt;YEAR(Startops1),0,HLOOKUP(H$7,CF_Table,CF!$AB$52))</f>
        <v>0</v>
      </c>
      <c r="I60" s="217" t="n">
        <f aca="false">IF(I$7&lt;YEAR(Startops1),0,HLOOKUP(I$7,CF_Table,CF!$AB$52))</f>
        <v>-0</v>
      </c>
      <c r="J60" s="217" t="n">
        <f aca="false">IF(J$7&lt;YEAR(Startops1),0,HLOOKUP(J$7,CF_Table,CF!$AB$52))</f>
        <v>-0</v>
      </c>
      <c r="K60" s="217" t="n">
        <f aca="false">IF(K$7&lt;YEAR(Startops1),0,HLOOKUP(K$7,CF_Table,CF!$AB$52))</f>
        <v>-0</v>
      </c>
      <c r="L60" s="217" t="n">
        <f aca="false">IF(L$7&lt;YEAR(Startops1),0,HLOOKUP(L$7,CF_Table,CF!$AB$52))</f>
        <v>-0</v>
      </c>
      <c r="M60" s="217" t="n">
        <f aca="false">IF(M$7&lt;YEAR(Startops1),0,HLOOKUP(M$7,CF_Table,CF!$AB$52))</f>
        <v>-460.275018193669</v>
      </c>
      <c r="N60" s="217" t="n">
        <f aca="false">IF(N$7&lt;YEAR(Startops1),0,HLOOKUP(N$7,CF_Table,CF!$AB$52))</f>
        <v>-0</v>
      </c>
      <c r="O60" s="217" t="n">
        <f aca="false">IF(O$7&lt;YEAR(Startops1),0,HLOOKUP(O$7,CF_Table,CF!$AB$52))</f>
        <v>-1806.21410149204</v>
      </c>
      <c r="P60" s="217" t="n">
        <f aca="false">IF(P$7&lt;YEAR(Startops1),0,HLOOKUP(P$7,CF_Table,CF!$AB$52))</f>
        <v>-2049.48382538435</v>
      </c>
      <c r="Q60" s="217" t="n">
        <f aca="false">IF(Q$7&lt;YEAR(Startops1),0,HLOOKUP(Q$7,CF_Table,CF!$AB$52))</f>
        <v>-1989.40836047784</v>
      </c>
      <c r="R60" s="217" t="n">
        <f aca="false">IF(R$7&lt;YEAR(Startops1),0,HLOOKUP(R$7,CF_Table,CF!$AB$52))</f>
        <v>-1772.9303750547</v>
      </c>
      <c r="S60" s="217" t="n">
        <f aca="false">IF(S$7&lt;YEAR(Startops1),0,HLOOKUP(S$7,CF_Table,CF!$AB$52))</f>
        <v>-1854.55008614752</v>
      </c>
      <c r="T60" s="217" t="n">
        <f aca="false">IF(T$7&lt;YEAR(Startops1),0,HLOOKUP(T$7,CF_Table,CF!$AB$52))</f>
        <v>-2136.77542843503</v>
      </c>
      <c r="U60" s="217" t="n">
        <f aca="false">IF(U$7&lt;YEAR(Startops1),0,HLOOKUP(U$7,CF_Table,CF!$AB$52))</f>
        <v>-2322.91796215321</v>
      </c>
      <c r="V60" s="217" t="n">
        <f aca="false">IF(V$7&lt;YEAR(Startops1),0,HLOOKUP(V$7,CF_Table,CF!$AB$52))</f>
        <v>-1643.77370309649</v>
      </c>
      <c r="W60" s="217" t="n">
        <f aca="false">IF(W$7&lt;YEAR(Startops1),0,HLOOKUP(W$7,CF_Table,CF!$AB$52))</f>
        <v>-2477.39170394355</v>
      </c>
      <c r="X60" s="217" t="n">
        <f aca="false">IF(X$7&lt;YEAR(Startops1),0,HLOOKUP(X$7,CF_Table,CF!$AB$52))</f>
        <v>-1174.42617054581</v>
      </c>
      <c r="Y60" s="217" t="n">
        <f aca="false">IF(Y$7&lt;YEAR(Startops1),0,HLOOKUP(Y$7,CF_Table,CF!$AB$52))</f>
        <v>-0</v>
      </c>
      <c r="Z60" s="217" t="n">
        <f aca="false">IF(Z$7&lt;YEAR(Startops1),0,HLOOKUP(Z$7,CF_Table,CF!$AB$52))</f>
        <v>-0</v>
      </c>
      <c r="AA60" s="217" t="n">
        <f aca="false">IF(AA$7&lt;YEAR(Startops1),0,HLOOKUP(AA$7,CF_Table,CF!$AB$52))</f>
        <v>-0</v>
      </c>
      <c r="AB60" s="217" t="n">
        <f aca="false">IF(AB$7&lt;YEAR(Startops1),0,HLOOKUP(AB$7,CF_Table,CF!$AB$52))</f>
        <v>-0</v>
      </c>
      <c r="AC60" s="217" t="n">
        <f aca="false">IF(AC$7&lt;YEAR(Startops1),0,HLOOKUP(AC$7,CF_Table,CF!$AB$52))</f>
        <v>-0</v>
      </c>
      <c r="AD60" s="574" t="n">
        <f aca="false">SUM(G60:AC60)</f>
        <v>-19688.1467349242</v>
      </c>
    </row>
    <row r="61" customFormat="false" ht="12.75" hidden="false" customHeight="false" outlineLevel="0" collapsed="false">
      <c r="A61" s="37" t="s">
        <v>859</v>
      </c>
      <c r="F61" s="38"/>
      <c r="G61" s="220" t="n">
        <f aca="false">IF(G$7&lt;YEAR(Startops1),0,HLOOKUP(G$7,CF_Table,CF!$AB$55))</f>
        <v>0</v>
      </c>
      <c r="H61" s="220" t="n">
        <f aca="false">IF(H$7&lt;YEAR(Startops1),0,HLOOKUP(H$7,CF_Table,CF!$AB$55))</f>
        <v>0</v>
      </c>
      <c r="I61" s="220" t="n">
        <f aca="false">IF(I$7&lt;YEAR(Startops1),0,HLOOKUP(I$7,CF_Table,CF!$AB$55))</f>
        <v>116.94199047379</v>
      </c>
      <c r="J61" s="220" t="n">
        <f aca="false">IF(J$7&lt;YEAR(Startops1),0,HLOOKUP(J$7,CF_Table,CF!$AB$55))</f>
        <v>620.092018780245</v>
      </c>
      <c r="K61" s="220" t="n">
        <f aca="false">IF(K$7&lt;YEAR(Startops1),0,HLOOKUP(K$7,CF_Table,CF!$AB$55))</f>
        <v>0</v>
      </c>
      <c r="L61" s="220" t="n">
        <f aca="false">IF(L$7&lt;YEAR(Startops1),0,HLOOKUP(L$7,CF_Table,CF!$AB$55))</f>
        <v>0</v>
      </c>
      <c r="M61" s="220" t="n">
        <f aca="false">IF(M$7&lt;YEAR(Startops1),0,HLOOKUP(M$7,CF_Table,CF!$AB$55))</f>
        <v>137.766354726435</v>
      </c>
      <c r="N61" s="220" t="n">
        <f aca="false">IF(N$7&lt;YEAR(Startops1),0,HLOOKUP(N$7,CF_Table,CF!$AB$55))</f>
        <v>0</v>
      </c>
      <c r="O61" s="220" t="n">
        <f aca="false">IF(O$7&lt;YEAR(Startops1),0,HLOOKUP(O$7,CF_Table,CF!$AB$55))</f>
        <v>774.182951277645</v>
      </c>
      <c r="P61" s="220" t="n">
        <f aca="false">IF(P$7&lt;YEAR(Startops1),0,HLOOKUP(P$7,CF_Table,CF!$AB$55))</f>
        <v>648.075557103475</v>
      </c>
      <c r="Q61" s="220" t="n">
        <f aca="false">IF(Q$7&lt;YEAR(Startops1),0,HLOOKUP(Q$7,CF_Table,CF!$AB$55))</f>
        <v>1803.48559025793</v>
      </c>
      <c r="R61" s="220" t="n">
        <f aca="false">IF(R$7&lt;YEAR(Startops1),0,HLOOKUP(R$7,CF_Table,CF!$AB$55))</f>
        <v>0</v>
      </c>
      <c r="S61" s="220" t="n">
        <f aca="false">IF(S$7&lt;YEAR(Startops1),0,HLOOKUP(S$7,CF_Table,CF!$AB$55))</f>
        <v>0</v>
      </c>
      <c r="T61" s="220" t="n">
        <f aca="false">IF(T$7&lt;YEAR(Startops1),0,HLOOKUP(T$7,CF_Table,CF!$AB$55))</f>
        <v>0</v>
      </c>
      <c r="U61" s="220" t="n">
        <f aca="false">IF(U$7&lt;YEAR(Startops1),0,HLOOKUP(U$7,CF_Table,CF!$AB$55))</f>
        <v>0</v>
      </c>
      <c r="V61" s="220" t="n">
        <f aca="false">IF(V$7&lt;YEAR(Startops1),0,HLOOKUP(V$7,CF_Table,CF!$AB$55))</f>
        <v>0</v>
      </c>
      <c r="W61" s="220" t="n">
        <f aca="false">IF(W$7&lt;YEAR(Startops1),0,HLOOKUP(W$7,CF_Table,CF!$AB$55))</f>
        <v>0</v>
      </c>
      <c r="X61" s="220" t="n">
        <f aca="false">IF(X$7&lt;YEAR(Startops1),0,HLOOKUP(X$7,CF_Table,CF!$AB$55))</f>
        <v>0</v>
      </c>
      <c r="Y61" s="220" t="n">
        <f aca="false">IF(Y$7&lt;YEAR(Startops1),0,HLOOKUP(Y$7,CF_Table,CF!$AB$55))</f>
        <v>0</v>
      </c>
      <c r="Z61" s="220" t="n">
        <f aca="false">IF(Z$7&lt;YEAR(Startops1),0,HLOOKUP(Z$7,CF_Table,CF!$AB$55))</f>
        <v>0</v>
      </c>
      <c r="AA61" s="220" t="n">
        <f aca="false">IF(AA$7&lt;YEAR(Startops1),0,HLOOKUP(AA$7,CF_Table,CF!$AB$55))</f>
        <v>0</v>
      </c>
      <c r="AB61" s="220" t="n">
        <f aca="false">IF(AB$7&lt;YEAR(Startops1),0,HLOOKUP(AB$7,CF_Table,CF!$AB$55))</f>
        <v>3594.79791190151</v>
      </c>
      <c r="AC61" s="220" t="n">
        <f aca="false">IF(AC$7&lt;YEAR(Startops1),0,HLOOKUP(AC$7,CF_Table,CF!$AB$55))</f>
        <v>629.916135114482</v>
      </c>
      <c r="AD61" s="576" t="n">
        <f aca="false">SUM(G61:AC61)</f>
        <v>8325.25850963551</v>
      </c>
    </row>
    <row r="62" customFormat="false" ht="12.75" hidden="false" customHeight="false" outlineLevel="0" collapsed="false">
      <c r="A62" s="463" t="s">
        <v>1547</v>
      </c>
      <c r="B62" s="664"/>
      <c r="C62" s="664"/>
      <c r="D62" s="664"/>
      <c r="E62" s="664" t="s">
        <v>49</v>
      </c>
      <c r="F62" s="664"/>
      <c r="G62" s="1257" t="n">
        <f aca="false">SUM(G58:G61)</f>
        <v>0</v>
      </c>
      <c r="H62" s="1257" t="n">
        <f aca="false">SUM(H58:H61)</f>
        <v>0</v>
      </c>
      <c r="I62" s="1257" t="n">
        <f aca="false">SUM(I58:I61)</f>
        <v>-6461.11895746196</v>
      </c>
      <c r="J62" s="1257" t="n">
        <f aca="false">SUM(J58:J61)</f>
        <v>-3151.04085341403</v>
      </c>
      <c r="K62" s="1257" t="n">
        <f aca="false">SUM(K58:K61)</f>
        <v>-3011.51676290401</v>
      </c>
      <c r="L62" s="1258" t="n">
        <f aca="false">SUM(L58:L61)</f>
        <v>-1651.67170332393</v>
      </c>
      <c r="M62" s="1257" t="n">
        <f aca="false">SUM(M58:M61)</f>
        <v>1720.38317322713</v>
      </c>
      <c r="N62" s="1257" t="n">
        <f aca="false">SUM(N58:N61)</f>
        <v>12811.3927946303</v>
      </c>
      <c r="O62" s="1257" t="n">
        <f aca="false">SUM(O58:O61)</f>
        <v>6833.54042846963</v>
      </c>
      <c r="P62" s="1257" t="n">
        <f aca="false">SUM(P58:P61)</f>
        <v>7515.93364771588</v>
      </c>
      <c r="Q62" s="1257" t="n">
        <f aca="false">SUM(Q58:Q61)</f>
        <v>8470.11457312066</v>
      </c>
      <c r="R62" s="1257" t="n">
        <f aca="false">SUM(R58:R61)</f>
        <v>5944.79635653063</v>
      </c>
      <c r="S62" s="1257" t="n">
        <f aca="false">SUM(S58:S61)</f>
        <v>6215.41206820371</v>
      </c>
      <c r="T62" s="1257" t="n">
        <f aca="false">SUM(T58:T61)</f>
        <v>7153.91447033935</v>
      </c>
      <c r="U62" s="1257" t="n">
        <f aca="false">SUM(U58:U61)</f>
        <v>7772.62295499895</v>
      </c>
      <c r="V62" s="1257" t="n">
        <f aca="false">SUM(V58:V61)</f>
        <v>5510.88806783188</v>
      </c>
      <c r="W62" s="1257" t="n">
        <f aca="false">SUM(W58:W61)</f>
        <v>7093.26246476228</v>
      </c>
      <c r="X62" s="1257" t="n">
        <f aca="false">SUM(X58:X61)</f>
        <v>2410.50492318656</v>
      </c>
      <c r="Y62" s="1257" t="n">
        <f aca="false">SUM(Y58:Y61)</f>
        <v>-7495.22851386407</v>
      </c>
      <c r="Z62" s="1257" t="n">
        <f aca="false">SUM(Z58:Z61)</f>
        <v>-11713.5677056956</v>
      </c>
      <c r="AA62" s="1257" t="n">
        <f aca="false">SUM(AA58:AA61)</f>
        <v>-13109.3045310181</v>
      </c>
      <c r="AB62" s="1257" t="n">
        <f aca="false">SUM(AB58:AB61)</f>
        <v>-7979.81496501777</v>
      </c>
      <c r="AC62" s="1257" t="n">
        <f aca="false">SUM(AC58:AC61)</f>
        <v>-2473.55875050334</v>
      </c>
      <c r="AD62" s="1259" t="n">
        <f aca="false">SUM(G62:AC62)</f>
        <v>22405.9431798142</v>
      </c>
      <c r="AE62" s="621" t="str">
        <f aca="false">IF(ROUND(AD62-CF!Z57,2)=0," ","CHECK NET INCOME")</f>
        <v>CHECK NET INCOME</v>
      </c>
    </row>
    <row r="63" customFormat="false" ht="12.75" hidden="false" customHeight="false" outlineLevel="0" collapsed="false">
      <c r="A63" s="37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1202"/>
    </row>
    <row r="64" customFormat="false" ht="16.5" hidden="false" customHeight="false" outlineLevel="0" collapsed="false">
      <c r="A64" s="1256" t="s">
        <v>1586</v>
      </c>
      <c r="B64" s="71"/>
      <c r="C64" s="71"/>
      <c r="D64" s="71"/>
      <c r="E64" s="71"/>
      <c r="F64" s="71"/>
      <c r="G64" s="372" t="n">
        <f aca="false">G$7</f>
        <v>1997</v>
      </c>
      <c r="H64" s="372" t="n">
        <f aca="false">H$7</f>
        <v>1998</v>
      </c>
      <c r="I64" s="372" t="n">
        <f aca="false">I$7</f>
        <v>1999</v>
      </c>
      <c r="J64" s="372" t="n">
        <f aca="false">J$7</f>
        <v>2000</v>
      </c>
      <c r="K64" s="372" t="n">
        <f aca="false">K$7</f>
        <v>2001</v>
      </c>
      <c r="L64" s="372" t="n">
        <f aca="false">L$7</f>
        <v>2002</v>
      </c>
      <c r="M64" s="372" t="n">
        <f aca="false">M$7</f>
        <v>2003</v>
      </c>
      <c r="N64" s="372" t="n">
        <f aca="false">N$7</f>
        <v>2004</v>
      </c>
      <c r="O64" s="372" t="n">
        <f aca="false">O$7</f>
        <v>2005</v>
      </c>
      <c r="P64" s="372" t="n">
        <f aca="false">P$7</f>
        <v>2006</v>
      </c>
      <c r="Q64" s="372" t="n">
        <f aca="false">Q$7</f>
        <v>2007</v>
      </c>
      <c r="R64" s="372" t="n">
        <f aca="false">R$7</f>
        <v>2008</v>
      </c>
      <c r="S64" s="372" t="n">
        <f aca="false">S$7</f>
        <v>2009</v>
      </c>
      <c r="T64" s="372" t="n">
        <f aca="false">T$7</f>
        <v>2010</v>
      </c>
      <c r="U64" s="372" t="n">
        <f aca="false">U$7</f>
        <v>2011</v>
      </c>
      <c r="V64" s="372" t="n">
        <f aca="false">V$7</f>
        <v>2012</v>
      </c>
      <c r="W64" s="372" t="n">
        <f aca="false">W$7</f>
        <v>2013</v>
      </c>
      <c r="X64" s="372" t="n">
        <f aca="false">X$7</f>
        <v>2014</v>
      </c>
      <c r="Y64" s="372" t="n">
        <f aca="false">Y$7</f>
        <v>2015</v>
      </c>
      <c r="Z64" s="372" t="n">
        <f aca="false">Z$7</f>
        <v>2016</v>
      </c>
      <c r="AA64" s="372" t="n">
        <f aca="false">AA$7</f>
        <v>2017</v>
      </c>
      <c r="AB64" s="372" t="n">
        <f aca="false">AB$7</f>
        <v>2018</v>
      </c>
      <c r="AC64" s="372" t="n">
        <f aca="false">AC$7</f>
        <v>2019</v>
      </c>
      <c r="AD64" s="544" t="str">
        <f aca="false">AD$7</f>
        <v>Totals</v>
      </c>
    </row>
    <row r="65" customFormat="false" ht="12.75" hidden="false" customHeight="false" outlineLevel="0" collapsed="false">
      <c r="A65" s="1165" t="s">
        <v>1587</v>
      </c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555"/>
    </row>
    <row r="66" customFormat="false" ht="12.75" hidden="false" customHeight="false" outlineLevel="0" collapsed="false">
      <c r="A66" s="37"/>
      <c r="B66" s="38" t="s">
        <v>1588</v>
      </c>
      <c r="F66" s="38"/>
      <c r="G66" s="217" t="n">
        <f aca="false">G39</f>
        <v>0</v>
      </c>
      <c r="H66" s="217" t="n">
        <f aca="false">H39</f>
        <v>0</v>
      </c>
      <c r="I66" s="217" t="n">
        <f aca="false">I39</f>
        <v>8945.7685336101</v>
      </c>
      <c r="J66" s="217" t="n">
        <f aca="false">J39</f>
        <v>14802.628097733</v>
      </c>
      <c r="K66" s="217" t="n">
        <f aca="false">K39</f>
        <v>101970.746381367</v>
      </c>
      <c r="L66" s="217" t="n">
        <f aca="false">L39</f>
        <v>145216.283637798</v>
      </c>
      <c r="M66" s="217" t="n">
        <f aca="false">M39</f>
        <v>152037.894049232</v>
      </c>
      <c r="N66" s="217" t="n">
        <f aca="false">N39</f>
        <v>157887.512342606</v>
      </c>
      <c r="O66" s="217" t="n">
        <f aca="false">O39</f>
        <v>161622.686903701</v>
      </c>
      <c r="P66" s="217" t="n">
        <f aca="false">P39</f>
        <v>164884.128866027</v>
      </c>
      <c r="Q66" s="217" t="n">
        <f aca="false">Q39</f>
        <v>164736.219122707</v>
      </c>
      <c r="R66" s="217" t="n">
        <f aca="false">R39</f>
        <v>163138.861544056</v>
      </c>
      <c r="S66" s="217" t="n">
        <f aca="false">S39</f>
        <v>164515.351060799</v>
      </c>
      <c r="T66" s="217" t="n">
        <f aca="false">T39</f>
        <v>168252.201576615</v>
      </c>
      <c r="U66" s="217" t="n">
        <f aca="false">U39</f>
        <v>169682.393472279</v>
      </c>
      <c r="V66" s="217" t="n">
        <f aca="false">V39</f>
        <v>164987.360619456</v>
      </c>
      <c r="W66" s="217" t="n">
        <f aca="false">W39</f>
        <v>171248.368037486</v>
      </c>
      <c r="X66" s="217" t="n">
        <f aca="false">X39</f>
        <v>161278.955756918</v>
      </c>
      <c r="Y66" s="217" t="n">
        <f aca="false">Y39</f>
        <v>147577.302691905</v>
      </c>
      <c r="Z66" s="217" t="n">
        <f aca="false">Z39</f>
        <v>145918.536654761</v>
      </c>
      <c r="AA66" s="217" t="n">
        <f aca="false">AA39</f>
        <v>147984.340659969</v>
      </c>
      <c r="AB66" s="217" t="n">
        <f aca="false">AB39</f>
        <v>146294.84173599</v>
      </c>
      <c r="AC66" s="217" t="n">
        <f aca="false">AC39</f>
        <v>48340.6575205201</v>
      </c>
      <c r="AD66" s="574" t="n">
        <f aca="false">SUM(G66:AC66)</f>
        <v>2871323.03926553</v>
      </c>
    </row>
    <row r="67" customFormat="false" ht="12.75" hidden="false" customHeight="false" outlineLevel="0" collapsed="false">
      <c r="A67" s="37"/>
      <c r="B67" s="38" t="s">
        <v>792</v>
      </c>
      <c r="F67" s="38"/>
      <c r="G67" s="217" t="n">
        <f aca="false">G40</f>
        <v>0</v>
      </c>
      <c r="H67" s="217" t="n">
        <f aca="false">H40</f>
        <v>0</v>
      </c>
      <c r="I67" s="217" t="n">
        <f aca="false">I40</f>
        <v>-237.062866140668</v>
      </c>
      <c r="J67" s="217" t="n">
        <f aca="false">J40</f>
        <v>-392.269644589925</v>
      </c>
      <c r="K67" s="217" t="n">
        <f aca="false">K40</f>
        <v>-2702.22477910622</v>
      </c>
      <c r="L67" s="217" t="n">
        <f aca="false">L40</f>
        <v>-3848.23151640164</v>
      </c>
      <c r="M67" s="217" t="n">
        <f aca="false">M40</f>
        <v>-4029.00419230466</v>
      </c>
      <c r="N67" s="217" t="n">
        <f aca="false">N40</f>
        <v>-4184.01907707906</v>
      </c>
      <c r="O67" s="217" t="n">
        <f aca="false">O40</f>
        <v>-4283.00120294806</v>
      </c>
      <c r="P67" s="217" t="n">
        <f aca="false">P40</f>
        <v>-4369.42941494973</v>
      </c>
      <c r="Q67" s="217" t="n">
        <f aca="false">Q40</f>
        <v>-4365.50980675172</v>
      </c>
      <c r="R67" s="217" t="n">
        <f aca="false">R40</f>
        <v>-4323.17983091748</v>
      </c>
      <c r="S67" s="217" t="n">
        <f aca="false">S40</f>
        <v>-4359.65680311116</v>
      </c>
      <c r="T67" s="217" t="n">
        <f aca="false">T40</f>
        <v>-4458.68334178029</v>
      </c>
      <c r="U67" s="217" t="n">
        <f aca="false">U40</f>
        <v>-4496.58342701541</v>
      </c>
      <c r="V67" s="217" t="n">
        <f aca="false">V40</f>
        <v>-4372.16505641557</v>
      </c>
      <c r="W67" s="217" t="n">
        <f aca="false">W40</f>
        <v>-4538.08175299339</v>
      </c>
      <c r="X67" s="217" t="n">
        <f aca="false">X40</f>
        <v>-4273.89232755833</v>
      </c>
      <c r="Y67" s="217" t="n">
        <f aca="false">Y40</f>
        <v>-3910.79852133548</v>
      </c>
      <c r="Z67" s="217" t="n">
        <f aca="false">Z40</f>
        <v>-3866.84122135117</v>
      </c>
      <c r="AA67" s="217" t="n">
        <f aca="false">AA40</f>
        <v>-3921.58502748917</v>
      </c>
      <c r="AB67" s="217" t="n">
        <f aca="false">AB40</f>
        <v>-3876.81330600374</v>
      </c>
      <c r="AC67" s="217" t="n">
        <f aca="false">AC40</f>
        <v>-1281.02742429378</v>
      </c>
      <c r="AD67" s="574" t="n">
        <f aca="false">SUM(G67:AC67)</f>
        <v>-76090.0605405367</v>
      </c>
    </row>
    <row r="68" customFormat="false" ht="12.75" hidden="false" customHeight="false" outlineLevel="0" collapsed="false">
      <c r="A68" s="37"/>
      <c r="B68" s="38" t="s">
        <v>1589</v>
      </c>
      <c r="F68" s="38"/>
      <c r="G68" s="217" t="n">
        <f aca="false">G46</f>
        <v>0</v>
      </c>
      <c r="H68" s="217" t="n">
        <f aca="false">H46</f>
        <v>0</v>
      </c>
      <c r="I68" s="217" t="n">
        <f aca="false">I46</f>
        <v>-10458.104630295</v>
      </c>
      <c r="J68" s="217" t="n">
        <f aca="false">J46</f>
        <v>-10609.7153890468</v>
      </c>
      <c r="K68" s="217" t="n">
        <f aca="false">K46</f>
        <v>-70083.5761204269</v>
      </c>
      <c r="L68" s="217" t="n">
        <f aca="false">L46</f>
        <v>-98838.6248277503</v>
      </c>
      <c r="M68" s="217" t="n">
        <f aca="false">M46</f>
        <v>-101244.933846532</v>
      </c>
      <c r="N68" s="217" t="n">
        <f aca="false">N46</f>
        <v>-103894.78733849</v>
      </c>
      <c r="O68" s="217" t="n">
        <f aca="false">O46</f>
        <v>-106325.697391721</v>
      </c>
      <c r="P68" s="217" t="n">
        <f aca="false">P46</f>
        <v>-108948.441636272</v>
      </c>
      <c r="Q68" s="217" t="n">
        <f aca="false">Q46</f>
        <v>-111622.436543134</v>
      </c>
      <c r="R68" s="217" t="n">
        <f aca="false">R46</f>
        <v>-114373.258829552</v>
      </c>
      <c r="S68" s="217" t="n">
        <f aca="false">S46</f>
        <v>-116947.533745848</v>
      </c>
      <c r="T68" s="217" t="n">
        <f aca="false">T46</f>
        <v>-119690.851209219</v>
      </c>
      <c r="U68" s="217" t="n">
        <f aca="false">U46</f>
        <v>-122380.652944149</v>
      </c>
      <c r="V68" s="217" t="n">
        <f aca="false">V46</f>
        <v>-125335.846961121</v>
      </c>
      <c r="W68" s="217" t="n">
        <f aca="false">W46</f>
        <v>-128124.672786479</v>
      </c>
      <c r="X68" s="217" t="n">
        <f aca="false">X46</f>
        <v>-131048.11404136</v>
      </c>
      <c r="Y68" s="217" t="n">
        <f aca="false">Y46</f>
        <v>-134134.970295777</v>
      </c>
      <c r="Z68" s="217" t="n">
        <f aca="false">Z46</f>
        <v>-137517.62852786</v>
      </c>
      <c r="AA68" s="217" t="n">
        <f aca="false">AA46</f>
        <v>-140638.94711448</v>
      </c>
      <c r="AB68" s="217" t="n">
        <f aca="false">AB46</f>
        <v>-137310.484825309</v>
      </c>
      <c r="AC68" s="217" t="n">
        <f aca="false">AC46</f>
        <v>-46351.636494562</v>
      </c>
      <c r="AD68" s="574" t="n">
        <f aca="false">SUM(G68:AC68)</f>
        <v>-2175880.91549938</v>
      </c>
    </row>
    <row r="69" customFormat="false" ht="12.75" hidden="false" customHeight="false" outlineLevel="0" collapsed="false">
      <c r="A69" s="37"/>
      <c r="B69" s="38" t="s">
        <v>1417</v>
      </c>
      <c r="F69" s="38"/>
      <c r="G69" s="217" t="n">
        <f aca="false">IF(G$7&lt;YEAR(Startops1),0,HLOOKUP(G$7,CF_Table,CF!$AB$31))</f>
        <v>0</v>
      </c>
      <c r="H69" s="217" t="n">
        <f aca="false">IF(H$7&lt;YEAR(Startops1),0,HLOOKUP(H$7,CF_Table,CF!$AB$31))</f>
        <v>0</v>
      </c>
      <c r="I69" s="217" t="n">
        <f aca="false">IF(I$7&lt;YEAR(Startops1),0,HLOOKUP(I$7,CF_Table,CF!$AB$31))</f>
        <v>-0</v>
      </c>
      <c r="J69" s="217" t="n">
        <f aca="false">IF(J$7&lt;YEAR(Startops1),0,HLOOKUP(J$7,CF_Table,CF!$AB$31))</f>
        <v>-0</v>
      </c>
      <c r="K69" s="217" t="n">
        <f aca="false">IF(K$7&lt;YEAR(Startops1),0,HLOOKUP(K$7,CF_Table,CF!$AB$31))</f>
        <v>-0</v>
      </c>
      <c r="L69" s="217" t="n">
        <f aca="false">IF(L$7&lt;YEAR(Startops1),0,HLOOKUP(L$7,CF_Table,CF!$AB$31))</f>
        <v>-0</v>
      </c>
      <c r="M69" s="217" t="n">
        <f aca="false">IF(M$7&lt;YEAR(Startops1),0,HLOOKUP(M$7,CF_Table,CF!$AB$31))</f>
        <v>-0</v>
      </c>
      <c r="N69" s="217" t="n">
        <f aca="false">IF(N$7&lt;YEAR(Startops1),0,HLOOKUP(N$7,CF_Table,CF!$AB$31))</f>
        <v>-0</v>
      </c>
      <c r="O69" s="217" t="n">
        <f aca="false">IF(O$7&lt;YEAR(Startops1),0,HLOOKUP(O$7,CF_Table,CF!$AB$31))</f>
        <v>-0</v>
      </c>
      <c r="P69" s="217" t="n">
        <f aca="false">IF(P$7&lt;YEAR(Startops1),0,HLOOKUP(P$7,CF_Table,CF!$AB$31))</f>
        <v>-0</v>
      </c>
      <c r="Q69" s="217" t="n">
        <f aca="false">IF(Q$7&lt;YEAR(Startops1),0,HLOOKUP(Q$7,CF_Table,CF!$AB$31))</f>
        <v>-0</v>
      </c>
      <c r="R69" s="217" t="n">
        <f aca="false">IF(R$7&lt;YEAR(Startops1),0,HLOOKUP(R$7,CF_Table,CF!$AB$31))</f>
        <v>-0</v>
      </c>
      <c r="S69" s="217" t="n">
        <f aca="false">IF(S$7&lt;YEAR(Startops1),0,HLOOKUP(S$7,CF_Table,CF!$AB$31))</f>
        <v>-0</v>
      </c>
      <c r="T69" s="217" t="n">
        <f aca="false">IF(T$7&lt;YEAR(Startops1),0,HLOOKUP(T$7,CF_Table,CF!$AB$31))</f>
        <v>-0</v>
      </c>
      <c r="U69" s="217" t="n">
        <f aca="false">IF(U$7&lt;YEAR(Startops1),0,HLOOKUP(U$7,CF_Table,CF!$AB$31))</f>
        <v>-0</v>
      </c>
      <c r="V69" s="217" t="n">
        <f aca="false">IF(V$7&lt;YEAR(Startops1),0,HLOOKUP(V$7,CF_Table,CF!$AB$31))</f>
        <v>-0</v>
      </c>
      <c r="W69" s="217" t="n">
        <f aca="false">IF(W$7&lt;YEAR(Startops1),0,HLOOKUP(W$7,CF_Table,CF!$AB$31))</f>
        <v>-0</v>
      </c>
      <c r="X69" s="217" t="n">
        <f aca="false">IF(X$7&lt;YEAR(Startops1),0,HLOOKUP(X$7,CF_Table,CF!$AB$31))</f>
        <v>-0</v>
      </c>
      <c r="Y69" s="217" t="n">
        <f aca="false">IF(Y$7&lt;YEAR(Startops1),0,HLOOKUP(Y$7,CF_Table,CF!$AB$31))</f>
        <v>-0</v>
      </c>
      <c r="Z69" s="217" t="n">
        <f aca="false">IF(Z$7&lt;YEAR(Startops1),0,HLOOKUP(Z$7,CF_Table,CF!$AB$31))</f>
        <v>-0</v>
      </c>
      <c r="AA69" s="217" t="n">
        <f aca="false">IF(AA$7&lt;YEAR(Startops1),0,HLOOKUP(AA$7,CF_Table,CF!$AB$31))</f>
        <v>-0</v>
      </c>
      <c r="AB69" s="217" t="n">
        <f aca="false">IF(AB$7&lt;YEAR(Startops1),0,HLOOKUP(AB$7,CF_Table,CF!$AB$31))</f>
        <v>-0</v>
      </c>
      <c r="AC69" s="217" t="n">
        <f aca="false">IF(AC$7&lt;YEAR(Startops1),0,HLOOKUP(AC$7,CF_Table,CF!$AB$31))</f>
        <v>-0</v>
      </c>
      <c r="AD69" s="574" t="n">
        <f aca="false">SUM(G69:AC69)</f>
        <v>0</v>
      </c>
    </row>
    <row r="70" customFormat="false" ht="12.75" hidden="false" customHeight="false" outlineLevel="0" collapsed="false">
      <c r="A70" s="37"/>
      <c r="B70" s="38" t="s">
        <v>1590</v>
      </c>
      <c r="F70" s="38"/>
      <c r="G70" s="217" t="n">
        <f aca="false">IF(G$7&lt;YEAR(Startops1),0,HLOOKUP(G$7,CF_Table,CF!$AB$32))</f>
        <v>0</v>
      </c>
      <c r="H70" s="217" t="n">
        <f aca="false">IF(H$7&lt;YEAR(Startops1),0,HLOOKUP(H$7,CF_Table,CF!$AB$32))</f>
        <v>0</v>
      </c>
      <c r="I70" s="217" t="n">
        <f aca="false">IF(I$7&lt;YEAR(Startops1),0,HLOOKUP(I$7,CF_Table,CF!$AB$32))</f>
        <v>181.590147635308</v>
      </c>
      <c r="J70" s="217" t="n">
        <f aca="false">IF(J$7&lt;YEAR(Startops1),0,HLOOKUP(J$7,CF_Table,CF!$AB$32))</f>
        <v>541.430801526414</v>
      </c>
      <c r="K70" s="217" t="n">
        <f aca="false">IF(K$7&lt;YEAR(Startops1),0,HLOOKUP(K$7,CF_Table,CF!$AB$32))</f>
        <v>574.106537989869</v>
      </c>
      <c r="L70" s="217" t="n">
        <f aca="false">IF(L$7&lt;YEAR(Startops1),0,HLOOKUP(L$7,CF_Table,CF!$AB$32))</f>
        <v>397.494879012124</v>
      </c>
      <c r="M70" s="217" t="n">
        <f aca="false">IF(M$7&lt;YEAR(Startops1),0,HLOOKUP(M$7,CF_Table,CF!$AB$32))</f>
        <v>334.605340814493</v>
      </c>
      <c r="N70" s="217" t="n">
        <f aca="false">IF(N$7&lt;YEAR(Startops1),0,HLOOKUP(N$7,CF_Table,CF!$AB$32))</f>
        <v>456.350761355405</v>
      </c>
      <c r="O70" s="217" t="n">
        <f aca="false">IF(O$7&lt;YEAR(Startops1),0,HLOOKUP(O$7,CF_Table,CF!$AB$32))</f>
        <v>568.90692501537</v>
      </c>
      <c r="P70" s="217" t="n">
        <f aca="false">IF(P$7&lt;YEAR(Startops1),0,HLOOKUP(P$7,CF_Table,CF!$AB$32))</f>
        <v>435.276298364062</v>
      </c>
      <c r="Q70" s="217" t="n">
        <f aca="false">IF(Q$7&lt;YEAR(Startops1),0,HLOOKUP(Q$7,CF_Table,CF!$AB$32))</f>
        <v>516.38462483263</v>
      </c>
      <c r="R70" s="217" t="n">
        <f aca="false">IF(R$7&lt;YEAR(Startops1),0,HLOOKUP(R$7,CF_Table,CF!$AB$32))</f>
        <v>863.535804253924</v>
      </c>
      <c r="S70" s="217" t="n">
        <f aca="false">IF(S$7&lt;YEAR(Startops1),0,HLOOKUP(S$7,CF_Table,CF!$AB$32))</f>
        <v>884.689306557988</v>
      </c>
      <c r="T70" s="217" t="n">
        <f aca="false">IF(T$7&lt;YEAR(Startops1),0,HLOOKUP(T$7,CF_Table,CF!$AB$32))</f>
        <v>577.797797812503</v>
      </c>
      <c r="U70" s="217" t="n">
        <f aca="false">IF(U$7&lt;YEAR(Startops1),0,HLOOKUP(U$7,CF_Table,CF!$AB$32))</f>
        <v>595.901383273871</v>
      </c>
      <c r="V70" s="217" t="n">
        <f aca="false">IF(V$7&lt;YEAR(Startops1),0,HLOOKUP(V$7,CF_Table,CF!$AB$32))</f>
        <v>941.019995503595</v>
      </c>
      <c r="W70" s="217" t="n">
        <f aca="false">IF(W$7&lt;YEAR(Startops1),0,HLOOKUP(W$7,CF_Table,CF!$AB$32))</f>
        <v>703.607203493972</v>
      </c>
      <c r="X70" s="217" t="n">
        <f aca="false">IF(X$7&lt;YEAR(Startops1),0,HLOOKUP(X$7,CF_Table,CF!$AB$32))</f>
        <v>465.623681314155</v>
      </c>
      <c r="Y70" s="217" t="n">
        <f aca="false">IF(Y$7&lt;YEAR(Startops1),0,HLOOKUP(Y$7,CF_Table,CF!$AB$32))</f>
        <v>809.028861816385</v>
      </c>
      <c r="Z70" s="217" t="n">
        <f aca="false">IF(Z$7&lt;YEAR(Startops1),0,HLOOKUP(Z$7,CF_Table,CF!$AB$32))</f>
        <v>873.829426792717</v>
      </c>
      <c r="AA70" s="217" t="n">
        <f aca="false">IF(AA$7&lt;YEAR(Startops1),0,HLOOKUP(AA$7,CF_Table,CF!$AB$32))</f>
        <v>383.539114505012</v>
      </c>
      <c r="AB70" s="217" t="n">
        <f aca="false">IF(AB$7&lt;YEAR(Startops1),0,HLOOKUP(AB$7,CF_Table,CF!$AB$32))</f>
        <v>0</v>
      </c>
      <c r="AC70" s="217" t="n">
        <f aca="false">IF(AC$7&lt;YEAR(Startops1),0,HLOOKUP(AC$7,CF_Table,CF!$AB$32))</f>
        <v>0</v>
      </c>
      <c r="AD70" s="574" t="n">
        <f aca="false">SUM(G70:AC70)</f>
        <v>11104.7188918698</v>
      </c>
    </row>
    <row r="71" customFormat="false" ht="12.75" hidden="false" customHeight="false" outlineLevel="0" collapsed="false">
      <c r="A71" s="37"/>
      <c r="B71" s="38" t="s">
        <v>394</v>
      </c>
      <c r="F71" s="38"/>
      <c r="G71" s="217" t="n">
        <f aca="false">IF(G$7&lt;YEAR(Startops1),0,HLOOKUP(G$7,CF_Table,CF!$AB$37))</f>
        <v>0</v>
      </c>
      <c r="H71" s="217" t="n">
        <f aca="false">IF(H$7&lt;YEAR(Startops1),0,HLOOKUP(H$7,CF_Table,CF!$AB$37))</f>
        <v>0</v>
      </c>
      <c r="I71" s="217" t="n">
        <f aca="false">IF(I$7&lt;YEAR(Startops1),0,HLOOKUP(I$7,CF_Table,CF!$AB$37))</f>
        <v>-82.5</v>
      </c>
      <c r="J71" s="217" t="n">
        <f aca="false">IF(J$7&lt;YEAR(Startops1),0,HLOOKUP(J$7,CF_Table,CF!$AB$37))</f>
        <v>-110</v>
      </c>
      <c r="K71" s="217" t="n">
        <f aca="false">IF(K$7&lt;YEAR(Startops1),0,HLOOKUP(K$7,CF_Table,CF!$AB$37))</f>
        <v>-110</v>
      </c>
      <c r="L71" s="217" t="n">
        <f aca="false">IF(L$7&lt;YEAR(Startops1),0,HLOOKUP(L$7,CF_Table,CF!$AB$37))</f>
        <v>-110</v>
      </c>
      <c r="M71" s="217" t="n">
        <f aca="false">IF(M$7&lt;YEAR(Startops1),0,HLOOKUP(M$7,CF_Table,CF!$AB$37))</f>
        <v>-110</v>
      </c>
      <c r="N71" s="217" t="n">
        <f aca="false">IF(N$7&lt;YEAR(Startops1),0,HLOOKUP(N$7,CF_Table,CF!$AB$37))</f>
        <v>-110</v>
      </c>
      <c r="O71" s="217" t="n">
        <f aca="false">IF(O$7&lt;YEAR(Startops1),0,HLOOKUP(O$7,CF_Table,CF!$AB$37))</f>
        <v>-110</v>
      </c>
      <c r="P71" s="217" t="n">
        <f aca="false">IF(P$7&lt;YEAR(Startops1),0,HLOOKUP(P$7,CF_Table,CF!$AB$37))</f>
        <v>-110</v>
      </c>
      <c r="Q71" s="217" t="n">
        <f aca="false">IF(Q$7&lt;YEAR(Startops1),0,HLOOKUP(Q$7,CF_Table,CF!$AB$37))</f>
        <v>-110</v>
      </c>
      <c r="R71" s="217" t="n">
        <f aca="false">IF(R$7&lt;YEAR(Startops1),0,HLOOKUP(R$7,CF_Table,CF!$AB$37))</f>
        <v>-110</v>
      </c>
      <c r="S71" s="217" t="n">
        <f aca="false">IF(S$7&lt;YEAR(Startops1),0,HLOOKUP(S$7,CF_Table,CF!$AB$37))</f>
        <v>-110</v>
      </c>
      <c r="T71" s="217" t="n">
        <f aca="false">IF(T$7&lt;YEAR(Startops1),0,HLOOKUP(T$7,CF_Table,CF!$AB$37))</f>
        <v>-110</v>
      </c>
      <c r="U71" s="217" t="n">
        <f aca="false">IF(U$7&lt;YEAR(Startops1),0,HLOOKUP(U$7,CF_Table,CF!$AB$37))</f>
        <v>-110</v>
      </c>
      <c r="V71" s="217" t="n">
        <f aca="false">IF(V$7&lt;YEAR(Startops1),0,HLOOKUP(V$7,CF_Table,CF!$AB$37))</f>
        <v>-110</v>
      </c>
      <c r="W71" s="217" t="n">
        <f aca="false">IF(W$7&lt;YEAR(Startops1),0,HLOOKUP(W$7,CF_Table,CF!$AB$37))</f>
        <v>-110</v>
      </c>
      <c r="X71" s="217" t="n">
        <f aca="false">IF(X$7&lt;YEAR(Startops1),0,HLOOKUP(X$7,CF_Table,CF!$AB$37))</f>
        <v>-110</v>
      </c>
      <c r="Y71" s="217" t="n">
        <f aca="false">IF(Y$7&lt;YEAR(Startops1),0,HLOOKUP(Y$7,CF_Table,CF!$AB$37))</f>
        <v>-110</v>
      </c>
      <c r="Z71" s="217" t="n">
        <f aca="false">IF(Z$7&lt;YEAR(Startops1),0,HLOOKUP(Z$7,CF_Table,CF!$AB$37))</f>
        <v>-110</v>
      </c>
      <c r="AA71" s="217" t="n">
        <f aca="false">IF(AA$7&lt;YEAR(Startops1),0,HLOOKUP(AA$7,CF_Table,CF!$AB$37))</f>
        <v>-110</v>
      </c>
      <c r="AB71" s="217" t="n">
        <f aca="false">IF(AB$7&lt;YEAR(Startops1),0,HLOOKUP(AB$7,CF_Table,CF!$AB$37))</f>
        <v>-110</v>
      </c>
      <c r="AC71" s="217" t="n">
        <f aca="false">IF(AC$7&lt;YEAR(Startops1),0,HLOOKUP(AC$7,CF_Table,CF!$AB$37))</f>
        <v>-36.6666666666667</v>
      </c>
      <c r="AD71" s="574" t="n">
        <f aca="false">SUM(G71:AC71)</f>
        <v>-2209.16666666667</v>
      </c>
    </row>
    <row r="72" customFormat="false" ht="12.75" hidden="false" customHeight="false" outlineLevel="0" collapsed="false">
      <c r="A72" s="37"/>
      <c r="B72" s="38" t="s">
        <v>1591</v>
      </c>
      <c r="F72" s="38"/>
      <c r="G72" s="220" t="n">
        <f aca="false">IF(G$7&lt;YEAR(Startops1),0,HLOOKUP(G$7,CF_Table,CF!$AB$66))</f>
        <v>0</v>
      </c>
      <c r="H72" s="220" t="n">
        <f aca="false">IF(H$7&lt;YEAR(Startops1),0,HLOOKUP(H$7,CF_Table,CF!$AB$66))</f>
        <v>0</v>
      </c>
      <c r="I72" s="220" t="n">
        <f aca="false">IF(I$7&lt;YEAR(Startops1),0,HLOOKUP(I$7,CF_Table,CF!$AB$66))</f>
        <v>-93.8242600893902</v>
      </c>
      <c r="J72" s="220" t="n">
        <f aca="false">IF(J$7&lt;YEAR(Startops1),0,HLOOKUP(J$7,CF_Table,CF!$AB$66))</f>
        <v>-475.408329836425</v>
      </c>
      <c r="K72" s="220" t="n">
        <f aca="false">IF(K$7&lt;YEAR(Startops1),0,HLOOKUP(K$7,CF_Table,CF!$AB$66))</f>
        <v>-0</v>
      </c>
      <c r="L72" s="220" t="n">
        <f aca="false">IF(L$7&lt;YEAR(Startops1),0,HLOOKUP(L$7,CF_Table,CF!$AB$66))</f>
        <v>-0</v>
      </c>
      <c r="M72" s="220" t="n">
        <f aca="false">IF(M$7&lt;YEAR(Startops1),0,HLOOKUP(M$7,CF_Table,CF!$AB$66))</f>
        <v>-28.1901865942473</v>
      </c>
      <c r="N72" s="220" t="n">
        <f aca="false">IF(N$7&lt;YEAR(Startops1),0,HLOOKUP(N$7,CF_Table,CF!$AB$66))</f>
        <v>-0</v>
      </c>
      <c r="O72" s="220" t="n">
        <f aca="false">IF(O$7&lt;YEAR(Startops1),0,HLOOKUP(O$7,CF_Table,CF!$AB$66))</f>
        <v>-652.803939761463</v>
      </c>
      <c r="P72" s="220" t="n">
        <f aca="false">IF(P$7&lt;YEAR(Startops1),0,HLOOKUP(P$7,CF_Table,CF!$AB$66))</f>
        <v>-545.888488475719</v>
      </c>
      <c r="Q72" s="220" t="n">
        <f aca="false">IF(Q$7&lt;YEAR(Startops1),0,HLOOKUP(Q$7,CF_Table,CF!$AB$66))</f>
        <v>-1647.3848057184</v>
      </c>
      <c r="R72" s="220" t="n">
        <f aca="false">IF(R$7&lt;YEAR(Startops1),0,HLOOKUP(R$7,CF_Table,CF!$AB$66))</f>
        <v>-1547.02980408237</v>
      </c>
      <c r="S72" s="220" t="n">
        <f aca="false">IF(S$7&lt;YEAR(Startops1),0,HLOOKUP(S$7,CF_Table,CF!$AB$66))</f>
        <v>-325.292748915306</v>
      </c>
      <c r="T72" s="220" t="n">
        <f aca="false">IF(T$7&lt;YEAR(Startops1),0,HLOOKUP(T$7,CF_Table,CF!$AB$66))</f>
        <v>-751.375553184158</v>
      </c>
      <c r="U72" s="220" t="n">
        <f aca="false">IF(U$7&lt;YEAR(Startops1),0,HLOOKUP(U$7,CF_Table,CF!$AB$66))</f>
        <v>-4540.74272124117</v>
      </c>
      <c r="V72" s="220" t="n">
        <f aca="false">IF(V$7&lt;YEAR(Startops1),0,HLOOKUP(V$7,CF_Table,CF!$AB$66))</f>
        <v>-3751.31428190574</v>
      </c>
      <c r="W72" s="220" t="n">
        <f aca="false">IF(W$7&lt;YEAR(Startops1),0,HLOOKUP(W$7,CF_Table,CF!$AB$66))</f>
        <v>-0</v>
      </c>
      <c r="X72" s="220" t="n">
        <f aca="false">IF(X$7&lt;YEAR(Startops1),0,HLOOKUP(X$7,CF_Table,CF!$AB$66))</f>
        <v>-2407.44357221352</v>
      </c>
      <c r="Y72" s="220" t="n">
        <f aca="false">IF(Y$7&lt;YEAR(Startops1),0,HLOOKUP(Y$7,CF_Table,CF!$AB$66))</f>
        <v>-0</v>
      </c>
      <c r="Z72" s="220" t="n">
        <f aca="false">IF(Z$7&lt;YEAR(Startops1),0,HLOOKUP(Z$7,CF_Table,CF!$AB$66))</f>
        <v>-0</v>
      </c>
      <c r="AA72" s="220" t="n">
        <f aca="false">IF(AA$7&lt;YEAR(Startops1),0,HLOOKUP(AA$7,CF_Table,CF!$AB$66))</f>
        <v>-0</v>
      </c>
      <c r="AB72" s="220" t="n">
        <f aca="false">IF(AB$7&lt;YEAR(Startops1),0,HLOOKUP(AB$7,CF_Table,CF!$AB$66))</f>
        <v>-0</v>
      </c>
      <c r="AC72" s="220" t="n">
        <f aca="false">IF(AC$7&lt;YEAR(Startops1),0,HLOOKUP(AC$7,CF_Table,CF!$AB$66))</f>
        <v>-0</v>
      </c>
      <c r="AD72" s="576" t="n">
        <f aca="false">SUM(G72:AC72)</f>
        <v>-16766.6986920179</v>
      </c>
    </row>
    <row r="73" customFormat="false" ht="12.75" hidden="false" customHeight="false" outlineLevel="0" collapsed="false">
      <c r="A73" s="37"/>
      <c r="C73" s="38" t="s">
        <v>1592</v>
      </c>
      <c r="F73" s="38"/>
      <c r="G73" s="217" t="n">
        <f aca="false">SUM(G66:G72)</f>
        <v>0</v>
      </c>
      <c r="H73" s="217" t="n">
        <f aca="false">SUM(H66:H72)</f>
        <v>0</v>
      </c>
      <c r="I73" s="217" t="n">
        <f aca="false">SUM(I66:I72)</f>
        <v>-1744.13307527969</v>
      </c>
      <c r="J73" s="217" t="n">
        <f aca="false">SUM(J66:J72)</f>
        <v>3756.66553578626</v>
      </c>
      <c r="K73" s="217" t="n">
        <f aca="false">SUM(K66:K72)</f>
        <v>29649.0520198236</v>
      </c>
      <c r="L73" s="217" t="n">
        <f aca="false">SUM(L66:L72)</f>
        <v>42816.922172658</v>
      </c>
      <c r="M73" s="217" t="n">
        <f aca="false">SUM(M66:M72)</f>
        <v>46960.3711646157</v>
      </c>
      <c r="N73" s="217" t="n">
        <f aca="false">SUM(N66:N72)</f>
        <v>50155.0566883921</v>
      </c>
      <c r="O73" s="217" t="n">
        <f aca="false">SUM(O66:O72)</f>
        <v>50820.0912942855</v>
      </c>
      <c r="P73" s="217" t="n">
        <f aca="false">SUM(P66:P72)</f>
        <v>51345.6456246939</v>
      </c>
      <c r="Q73" s="217" t="n">
        <f aca="false">SUM(Q66:Q72)</f>
        <v>47507.272591935</v>
      </c>
      <c r="R73" s="217" t="n">
        <f aca="false">SUM(R66:R72)</f>
        <v>43648.9288837584</v>
      </c>
      <c r="S73" s="217" t="n">
        <f aca="false">SUM(S66:S72)</f>
        <v>43657.5570694817</v>
      </c>
      <c r="T73" s="217" t="n">
        <f aca="false">SUM(T66:T72)</f>
        <v>43819.0892702436</v>
      </c>
      <c r="U73" s="217" t="n">
        <f aca="false">SUM(U66:U72)</f>
        <v>38750.3157631482</v>
      </c>
      <c r="V73" s="217" t="n">
        <f aca="false">SUM(V66:V72)</f>
        <v>32359.0543155173</v>
      </c>
      <c r="W73" s="217" t="n">
        <f aca="false">SUM(W66:W72)</f>
        <v>39179.220701508</v>
      </c>
      <c r="X73" s="217" t="n">
        <f aca="false">SUM(X66:X72)</f>
        <v>23905.1294971005</v>
      </c>
      <c r="Y73" s="217" t="n">
        <f aca="false">SUM(Y66:Y72)</f>
        <v>10230.5627366091</v>
      </c>
      <c r="Z73" s="217" t="n">
        <f aca="false">SUM(Z66:Z72)</f>
        <v>5297.8963323428</v>
      </c>
      <c r="AA73" s="217" t="n">
        <f aca="false">SUM(AA66:AA72)</f>
        <v>3697.34763250441</v>
      </c>
      <c r="AB73" s="217" t="n">
        <f aca="false">SUM(AB66:AB72)</f>
        <v>4997.54360467779</v>
      </c>
      <c r="AC73" s="217" t="n">
        <f aca="false">SUM(AC66:AC72)</f>
        <v>671.326934997622</v>
      </c>
      <c r="AD73" s="574" t="n">
        <f aca="false">SUM(G73:AC73)</f>
        <v>611480.9167588</v>
      </c>
    </row>
    <row r="74" customFormat="false" ht="12.75" hidden="false" customHeight="false" outlineLevel="0" collapsed="false">
      <c r="A74" s="37"/>
      <c r="F74" s="38"/>
      <c r="G74" s="556"/>
      <c r="H74" s="556"/>
      <c r="I74" s="556"/>
      <c r="J74" s="556"/>
      <c r="K74" s="556"/>
      <c r="L74" s="556"/>
      <c r="M74" s="556"/>
      <c r="N74" s="556"/>
      <c r="O74" s="556"/>
      <c r="P74" s="556"/>
      <c r="Q74" s="556"/>
      <c r="R74" s="556"/>
      <c r="S74" s="556"/>
      <c r="T74" s="556"/>
      <c r="U74" s="556"/>
      <c r="V74" s="556"/>
      <c r="W74" s="556"/>
      <c r="X74" s="556"/>
      <c r="Y74" s="556"/>
      <c r="Z74" s="556"/>
      <c r="AA74" s="556"/>
      <c r="AB74" s="556"/>
      <c r="AC74" s="556"/>
      <c r="AD74" s="557"/>
    </row>
    <row r="75" customFormat="false" ht="12.75" hidden="false" customHeight="false" outlineLevel="0" collapsed="false">
      <c r="A75" s="130" t="s">
        <v>1593</v>
      </c>
      <c r="F75" s="38"/>
      <c r="G75" s="556"/>
      <c r="H75" s="556"/>
      <c r="I75" s="556"/>
      <c r="J75" s="556"/>
      <c r="K75" s="556"/>
      <c r="L75" s="556"/>
      <c r="M75" s="556"/>
      <c r="N75" s="556"/>
      <c r="O75" s="556"/>
      <c r="P75" s="556"/>
      <c r="Q75" s="556"/>
      <c r="R75" s="556"/>
      <c r="S75" s="556"/>
      <c r="T75" s="556"/>
      <c r="U75" s="556"/>
      <c r="V75" s="556"/>
      <c r="W75" s="556"/>
      <c r="X75" s="556"/>
      <c r="Y75" s="556"/>
      <c r="Z75" s="556"/>
      <c r="AA75" s="556"/>
      <c r="AB75" s="556"/>
      <c r="AC75" s="556"/>
      <c r="AD75" s="557"/>
    </row>
    <row r="76" customFormat="false" ht="12.75" hidden="false" customHeight="false" outlineLevel="0" collapsed="false">
      <c r="A76" s="37"/>
      <c r="B76" s="38" t="s">
        <v>1594</v>
      </c>
      <c r="F76" s="38"/>
      <c r="G76" s="217" t="n">
        <f aca="false">(HLOOKUP(DATE(G$7,12,31),Idc_Table,IDC!$BB$72)+HLOOKUP(DATE(G$7,12,31),Idc_Table,IDC!$BB$84))-SUM($F76:F76)</f>
        <v>7598.20788530466</v>
      </c>
      <c r="H76" s="217" t="n">
        <f aca="false">(HLOOKUP(DATE(H$7,12,31),Idc_Table,IDC!$BB$72)+HLOOKUP(DATE(H$7,12,31),Idc_Table,IDC!$BB$84))-SUM($F76:G76)</f>
        <v>85195.3623196144</v>
      </c>
      <c r="I76" s="217" t="n">
        <f aca="false">(HLOOKUP(DATE(I$7,12,31),Idc_Table,IDC!$BB$72)+HLOOKUP(DATE(I$7,12,31),Idc_Table,IDC!$BB$84))-SUM($F76:H76)</f>
        <v>0</v>
      </c>
      <c r="J76" s="217" t="n">
        <f aca="false">(HLOOKUP(DATE(J$7,12,31),Idc_Table,IDC!$BB$72)+HLOOKUP(DATE(J$7,12,31),Idc_Table,IDC!$BB$84))-SUM($F76:I76)</f>
        <v>0</v>
      </c>
      <c r="K76" s="217" t="n">
        <f aca="false">(HLOOKUP(DATE(K$7,12,31),Idc_Table,IDC!$BB$72)+HLOOKUP(DATE(K$7,12,31),Idc_Table,IDC!$BB$84))-SUM($F76:J76)</f>
        <v>0</v>
      </c>
      <c r="L76" s="217" t="n">
        <f aca="false">(HLOOKUP(DATE(L$7,12,31),Idc_Table,IDC!$BB$72)+HLOOKUP(DATE(L$7,12,31),Idc_Table,IDC!$BB$84))-SUM($F76:K76)</f>
        <v>0</v>
      </c>
      <c r="M76" s="217" t="n">
        <f aca="false">(HLOOKUP(DATE(M$7,12,31),Idc_Table,IDC!$BB$72)+HLOOKUP(DATE(M$7,12,31),Idc_Table,IDC!$BB$84))-SUM($F76:L76)</f>
        <v>0</v>
      </c>
      <c r="N76" s="217" t="n">
        <f aca="false">(HLOOKUP(DATE(N$7,12,31),Idc_Table,IDC!$BB$72)+HLOOKUP(DATE(N$7,12,31),Idc_Table,IDC!$BB$84))-SUM($F76:M76)</f>
        <v>0</v>
      </c>
      <c r="O76" s="217" t="n">
        <f aca="false">(HLOOKUP(DATE(O$7,12,31),Idc_Table,IDC!$BB$72)+HLOOKUP(DATE(O$7,12,31),Idc_Table,IDC!$BB$84))-SUM($F76:N76)</f>
        <v>0</v>
      </c>
      <c r="P76" s="217" t="n">
        <f aca="false">(HLOOKUP(DATE(P$7,12,31),Idc_Table,IDC!$BB$72)+HLOOKUP(DATE(P$7,12,31),Idc_Table,IDC!$BB$84))-SUM($F76:O76)</f>
        <v>0</v>
      </c>
      <c r="Q76" s="217" t="n">
        <f aca="false">(HLOOKUP(DATE(Q$7,12,31),Idc_Table,IDC!$BB$72)+HLOOKUP(DATE(Q$7,12,31),Idc_Table,IDC!$BB$84))-SUM($F76:P76)</f>
        <v>0</v>
      </c>
      <c r="R76" s="217" t="n">
        <f aca="false">(HLOOKUP(DATE(R$7,12,31),Idc_Table,IDC!$BB$72)+HLOOKUP(DATE(R$7,12,31),Idc_Table,IDC!$BB$84))-SUM($F76:Q76)</f>
        <v>0</v>
      </c>
      <c r="S76" s="217" t="n">
        <f aca="false">(HLOOKUP(DATE(S$7,12,31),Idc_Table,IDC!$BB$72)+HLOOKUP(DATE(S$7,12,31),Idc_Table,IDC!$BB$84))-SUM($F76:R76)</f>
        <v>0</v>
      </c>
      <c r="T76" s="217" t="n">
        <f aca="false">(HLOOKUP(DATE(T$7,12,31),Idc_Table,IDC!$BB$72)+HLOOKUP(DATE(T$7,12,31),Idc_Table,IDC!$BB$84))-SUM($F76:S76)</f>
        <v>0</v>
      </c>
      <c r="U76" s="217" t="n">
        <f aca="false">(HLOOKUP(DATE(U$7,12,31),Idc_Table,IDC!$BB$72)+HLOOKUP(DATE(U$7,12,31),Idc_Table,IDC!$BB$84))-SUM($F76:T76)</f>
        <v>0</v>
      </c>
      <c r="V76" s="217" t="n">
        <f aca="false">(HLOOKUP(DATE(V$7,12,31),Idc_Table,IDC!$BB$72)+HLOOKUP(DATE(V$7,12,31),Idc_Table,IDC!$BB$84))-SUM($F76:U76)</f>
        <v>0</v>
      </c>
      <c r="W76" s="217" t="n">
        <f aca="false">(HLOOKUP(DATE(W$7,12,31),Idc_Table,IDC!$BB$72)+HLOOKUP(DATE(W$7,12,31),Idc_Table,IDC!$BB$84))-SUM($F76:V76)</f>
        <v>0</v>
      </c>
      <c r="X76" s="217" t="n">
        <f aca="false">(HLOOKUP(DATE(X$7,12,31),Idc_Table,IDC!$BB$72)+HLOOKUP(DATE(X$7,12,31),Idc_Table,IDC!$BB$84))-SUM($F76:W76)</f>
        <v>0</v>
      </c>
      <c r="Y76" s="217" t="n">
        <f aca="false">(HLOOKUP(DATE(Y$7,12,31),Idc_Table,IDC!$BB$72)+HLOOKUP(DATE(Y$7,12,31),Idc_Table,IDC!$BB$84))-SUM($F76:X76)</f>
        <v>0</v>
      </c>
      <c r="Z76" s="217" t="n">
        <f aca="false">(HLOOKUP(DATE(Z$7,12,31),Idc_Table,IDC!$BB$72)+HLOOKUP(DATE(Z$7,12,31),Idc_Table,IDC!$BB$84))-SUM($F76:Y76)</f>
        <v>0</v>
      </c>
      <c r="AA76" s="217" t="n">
        <f aca="false">(HLOOKUP(DATE(AA$7,12,31),Idc_Table,IDC!$BB$72)+HLOOKUP(DATE(AA$7,12,31),Idc_Table,IDC!$BB$84))-SUM($F76:Z76)</f>
        <v>0</v>
      </c>
      <c r="AB76" s="217" t="n">
        <f aca="false">(HLOOKUP(DATE(AB$7,12,31),Idc_Table,IDC!$BB$72)+HLOOKUP(DATE(AB$7,12,31),Idc_Table,IDC!$BB$84))-SUM($F76:AA76)</f>
        <v>0</v>
      </c>
      <c r="AC76" s="217" t="n">
        <f aca="false">(HLOOKUP(DATE(AC$7,12,31),Idc_Table,IDC!$BB$72)+HLOOKUP(DATE(AC$7,12,31),Idc_Table,IDC!$BB$84))-SUM($F76:AB76)</f>
        <v>0</v>
      </c>
      <c r="AD76" s="574" t="n">
        <f aca="false">SUM(G76:AC76)</f>
        <v>92793.5702049191</v>
      </c>
    </row>
    <row r="77" customFormat="false" ht="12.75" hidden="false" customHeight="false" outlineLevel="0" collapsed="false">
      <c r="A77" s="37"/>
      <c r="B77" s="38" t="s">
        <v>1595</v>
      </c>
      <c r="F77" s="556"/>
      <c r="G77" s="217" t="n">
        <f aca="false">HLOOKUP(DATE(G$7,12,31),Idc_Table,IDC!$BB$92)-SUM($F77:F77)</f>
        <v>0</v>
      </c>
      <c r="H77" s="217" t="n">
        <f aca="false">HLOOKUP(DATE(H$7,12,31),Idc_Table,IDC!$BB$92)-SUM($F77:G77)</f>
        <v>26487.6034167572</v>
      </c>
      <c r="I77" s="217" t="n">
        <f aca="false">HLOOKUP(DATE(I$7,12,31),Idc_Table,IDC!$BB$92)-SUM($F77:H77)</f>
        <v>59394.9997762997</v>
      </c>
      <c r="J77" s="217" t="n">
        <f aca="false">HLOOKUP(DATE(J$7,12,31),Idc_Table,IDC!$BB$92)-SUM($F77:I77)</f>
        <v>44565.8658679376</v>
      </c>
      <c r="K77" s="217" t="n">
        <f aca="false">HLOOKUP(DATE(K$7,12,31),Idc_Table,IDC!$BB$92)-SUM($F77:J77)</f>
        <v>0</v>
      </c>
      <c r="L77" s="217" t="n">
        <f aca="false">HLOOKUP(DATE(L$7,12,31),Idc_Table,IDC!$BB$92)-SUM($F77:K77)</f>
        <v>0</v>
      </c>
      <c r="M77" s="217" t="n">
        <f aca="false">HLOOKUP(DATE(M$7,12,31),Idc_Table,IDC!$BB$92)-SUM($F77:L77)</f>
        <v>0</v>
      </c>
      <c r="N77" s="217" t="n">
        <f aca="false">HLOOKUP(DATE(N$7,12,31),Idc_Table,IDC!$BB$92)-SUM($F77:M77)</f>
        <v>0</v>
      </c>
      <c r="O77" s="217" t="n">
        <f aca="false">HLOOKUP(DATE(O$7,12,31),Idc_Table,IDC!$BB$92)-SUM($F77:N77)</f>
        <v>0</v>
      </c>
      <c r="P77" s="217" t="n">
        <f aca="false">HLOOKUP(DATE(P$7,12,31),Idc_Table,IDC!$BB$92)-SUM($F77:O77)</f>
        <v>0</v>
      </c>
      <c r="Q77" s="217" t="n">
        <f aca="false">HLOOKUP(DATE(Q$7,12,31),Idc_Table,IDC!$BB$92)-SUM($F77:P77)</f>
        <v>0</v>
      </c>
      <c r="R77" s="217" t="n">
        <f aca="false">HLOOKUP(DATE(R$7,12,31),Idc_Table,IDC!$BB$92)-SUM($F77:Q77)</f>
        <v>0</v>
      </c>
      <c r="S77" s="217" t="n">
        <f aca="false">HLOOKUP(DATE(S$7,12,31),Idc_Table,IDC!$BB$92)-SUM($F77:R77)</f>
        <v>0</v>
      </c>
      <c r="T77" s="217" t="n">
        <f aca="false">HLOOKUP(DATE(T$7,12,31),Idc_Table,IDC!$BB$92)-SUM($F77:S77)</f>
        <v>0</v>
      </c>
      <c r="U77" s="217" t="n">
        <f aca="false">HLOOKUP(DATE(U$7,12,31),Idc_Table,IDC!$BB$92)-SUM($F77:T77)</f>
        <v>0</v>
      </c>
      <c r="V77" s="217" t="n">
        <f aca="false">HLOOKUP(DATE(V$7,12,31),Idc_Table,IDC!$BB$92)-SUM($F77:U77)</f>
        <v>0</v>
      </c>
      <c r="W77" s="217" t="n">
        <f aca="false">HLOOKUP(DATE(W$7,12,31),Idc_Table,IDC!$BB$92)-SUM($F77:V77)</f>
        <v>0</v>
      </c>
      <c r="X77" s="217" t="n">
        <f aca="false">HLOOKUP(DATE(X$7,12,31),Idc_Table,IDC!$BB$92)-SUM($F77:W77)</f>
        <v>0</v>
      </c>
      <c r="Y77" s="217" t="n">
        <f aca="false">HLOOKUP(DATE(Y$7,12,31),Idc_Table,IDC!$BB$92)-SUM($F77:X77)</f>
        <v>0</v>
      </c>
      <c r="Z77" s="217" t="n">
        <f aca="false">HLOOKUP(DATE(Z$7,12,31),Idc_Table,IDC!$BB$92)-SUM($F77:Y77)</f>
        <v>0</v>
      </c>
      <c r="AA77" s="217" t="n">
        <f aca="false">HLOOKUP(DATE(AA$7,12,31),Idc_Table,IDC!$BB$92)-SUM($F77:Z77)</f>
        <v>0</v>
      </c>
      <c r="AB77" s="217" t="n">
        <f aca="false">HLOOKUP(DATE(AB$7,12,31),Idc_Table,IDC!$BB$92)-SUM($F77:AA77)</f>
        <v>0</v>
      </c>
      <c r="AC77" s="217" t="n">
        <f aca="false">HLOOKUP(DATE(AC$7,12,31),Idc_Table,IDC!$BB$92)-SUM($F77:AB77)</f>
        <v>0</v>
      </c>
      <c r="AD77" s="574" t="n">
        <f aca="false">SUM(G77:AC77)</f>
        <v>130448.469060994</v>
      </c>
    </row>
    <row r="78" customFormat="false" ht="12.75" hidden="false" customHeight="false" outlineLevel="0" collapsed="false">
      <c r="A78" s="37"/>
      <c r="B78" s="38" t="s">
        <v>1596</v>
      </c>
      <c r="F78" s="38"/>
      <c r="G78" s="217" t="n">
        <f aca="false">IF(G$64=YEAR(Fin_Close),-SUM($F77:G77),0)</f>
        <v>0</v>
      </c>
      <c r="H78" s="217" t="n">
        <f aca="false">IF(H$64=YEAR(Fin_Close),-SUM($F77:H77),0)</f>
        <v>0</v>
      </c>
      <c r="I78" s="217" t="n">
        <f aca="false">IF(I$64=YEAR(Fin_Close),-SUM($F77:I77),0)</f>
        <v>0</v>
      </c>
      <c r="J78" s="217" t="n">
        <f aca="false">IF(J$64=YEAR(Fin_Close),-SUM($F77:J77),0)</f>
        <v>-130448.469060994</v>
      </c>
      <c r="K78" s="217" t="n">
        <f aca="false">IF(K$64=YEAR(Fin_Close),-SUM($F77:K77),0)</f>
        <v>0</v>
      </c>
      <c r="L78" s="217" t="n">
        <f aca="false">IF(L$64=YEAR(Fin_Close),-SUM($F77:L77),0)</f>
        <v>0</v>
      </c>
      <c r="M78" s="217" t="n">
        <f aca="false">IF(M$64=YEAR(Fin_Close),-SUM($F77:M77),0)</f>
        <v>0</v>
      </c>
      <c r="N78" s="217" t="n">
        <f aca="false">IF(N$64=YEAR(Fin_Close),-SUM($F77:N77),0)</f>
        <v>0</v>
      </c>
      <c r="O78" s="217" t="n">
        <f aca="false">IF(O$64=YEAR(Fin_Close),-SUM($F77:O77),0)</f>
        <v>0</v>
      </c>
      <c r="P78" s="217" t="n">
        <f aca="false">IF(P$64=YEAR(Fin_Close),-SUM($F77:P77),0)</f>
        <v>0</v>
      </c>
      <c r="Q78" s="217" t="n">
        <f aca="false">IF(Q$64=YEAR(Fin_Close),-SUM($F77:Q77),0)</f>
        <v>0</v>
      </c>
      <c r="R78" s="217" t="n">
        <f aca="false">IF(R$64=YEAR(Fin_Close),-SUM($F77:R77),0)</f>
        <v>0</v>
      </c>
      <c r="S78" s="217" t="n">
        <f aca="false">IF(S$64=YEAR(Fin_Close),-SUM($F77:S77),0)</f>
        <v>0</v>
      </c>
      <c r="T78" s="217" t="n">
        <f aca="false">IF(T$64=YEAR(Fin_Close),-SUM($F77:T77),0)</f>
        <v>0</v>
      </c>
      <c r="U78" s="217" t="n">
        <f aca="false">IF(U$64=YEAR(Fin_Close),-SUM($F77:U77),0)</f>
        <v>0</v>
      </c>
      <c r="V78" s="217" t="n">
        <f aca="false">IF(V$64=YEAR(Fin_Close),-SUM($F77:V77),0)</f>
        <v>0</v>
      </c>
      <c r="W78" s="217" t="n">
        <f aca="false">IF(W$64=YEAR(Fin_Close),-SUM($F77:W77),0)</f>
        <v>0</v>
      </c>
      <c r="X78" s="217" t="n">
        <f aca="false">IF(X$64=YEAR(Fin_Close),-SUM($F77:X77),0)</f>
        <v>0</v>
      </c>
      <c r="Y78" s="217" t="n">
        <f aca="false">IF(Y$64=YEAR(Fin_Close),-SUM($F77:Y77),0)</f>
        <v>0</v>
      </c>
      <c r="Z78" s="217" t="n">
        <f aca="false">IF(Z$64=YEAR(Fin_Close),-SUM($F77:Z77),0)</f>
        <v>0</v>
      </c>
      <c r="AA78" s="217" t="n">
        <f aca="false">IF(AA$64=YEAR(Fin_Close),-SUM($F77:AA77),0)</f>
        <v>0</v>
      </c>
      <c r="AB78" s="217" t="n">
        <f aca="false">IF(AB$64=YEAR(Fin_Close),-SUM($F77:AB77),0)</f>
        <v>0</v>
      </c>
      <c r="AC78" s="217" t="n">
        <f aca="false">IF(AC$64=YEAR(Fin_Close),-SUM($F77:AC77),0)</f>
        <v>0</v>
      </c>
      <c r="AD78" s="574" t="n">
        <f aca="false">SUM(G78:AC78)</f>
        <v>-130448.469060994</v>
      </c>
    </row>
    <row r="79" customFormat="false" ht="12.75" hidden="false" customHeight="false" outlineLevel="0" collapsed="false">
      <c r="A79" s="37"/>
      <c r="B79" s="38" t="s">
        <v>1597</v>
      </c>
      <c r="F79" s="556"/>
      <c r="G79" s="217" t="n">
        <f aca="false">HLOOKUP(DATE(G$7,12,31),Idc_Table,IDC!$BB$40)-SUM($F79:F79)</f>
        <v>0</v>
      </c>
      <c r="H79" s="217" t="n">
        <f aca="false">HLOOKUP(DATE(H$7,12,31),Idc_Table,IDC!$BB$40)-SUM($F79:G79)</f>
        <v>0</v>
      </c>
      <c r="I79" s="217" t="n">
        <f aca="false">HLOOKUP(DATE(I$7,12,31),Idc_Table,IDC!$BB$40)-SUM($F79:H79)</f>
        <v>0</v>
      </c>
      <c r="J79" s="217" t="n">
        <f aca="false">HLOOKUP(DATE(J$7,12,31),Idc_Table,IDC!$BB$40)-SUM($F79:I79)</f>
        <v>151241.604975653</v>
      </c>
      <c r="K79" s="217" t="n">
        <f aca="false">HLOOKUP(DATE(K$7,12,31),Idc_Table,IDC!$BB$40)-SUM($F79:J79)</f>
        <v>50109.5149354051</v>
      </c>
      <c r="L79" s="217" t="n">
        <f aca="false">HLOOKUP(DATE(L$7,12,31),Idc_Table,IDC!$BB$40)-SUM($F79:K79)</f>
        <v>0</v>
      </c>
      <c r="M79" s="217" t="n">
        <f aca="false">HLOOKUP(DATE(M$7,12,31),Idc_Table,IDC!$BB$40)-SUM($F79:L79)</f>
        <v>0</v>
      </c>
      <c r="N79" s="217" t="n">
        <f aca="false">HLOOKUP(DATE(N$7,12,31),Idc_Table,IDC!$BB$40)-SUM($F79:M79)</f>
        <v>0</v>
      </c>
      <c r="O79" s="217" t="n">
        <f aca="false">HLOOKUP(DATE(O$7,12,31),Idc_Table,IDC!$BB$40)-SUM($F79:N79)</f>
        <v>0</v>
      </c>
      <c r="P79" s="217" t="n">
        <f aca="false">HLOOKUP(DATE(P$7,12,31),Idc_Table,IDC!$BB$40)-SUM($F79:O79)</f>
        <v>0</v>
      </c>
      <c r="Q79" s="217" t="n">
        <f aca="false">HLOOKUP(DATE(Q$7,12,31),Idc_Table,IDC!$BB$40)-SUM($F79:P79)</f>
        <v>0</v>
      </c>
      <c r="R79" s="217" t="n">
        <f aca="false">HLOOKUP(DATE(R$7,12,31),Idc_Table,IDC!$BB$40)-SUM($F79:Q79)</f>
        <v>0</v>
      </c>
      <c r="S79" s="217" t="n">
        <f aca="false">HLOOKUP(DATE(S$7,12,31),Idc_Table,IDC!$BB$40)-SUM($F79:R79)</f>
        <v>0</v>
      </c>
      <c r="T79" s="217" t="n">
        <f aca="false">HLOOKUP(DATE(T$7,12,31),Idc_Table,IDC!$BB$40)-SUM($F79:S79)</f>
        <v>0</v>
      </c>
      <c r="U79" s="217" t="n">
        <f aca="false">HLOOKUP(DATE(U$7,12,31),Idc_Table,IDC!$BB$40)-SUM($F79:T79)</f>
        <v>0</v>
      </c>
      <c r="V79" s="217" t="n">
        <f aca="false">HLOOKUP(DATE(V$7,12,31),Idc_Table,IDC!$BB$40)-SUM($F79:U79)</f>
        <v>0</v>
      </c>
      <c r="W79" s="217" t="n">
        <f aca="false">HLOOKUP(DATE(W$7,12,31),Idc_Table,IDC!$BB$40)-SUM($F79:V79)</f>
        <v>0</v>
      </c>
      <c r="X79" s="217" t="n">
        <f aca="false">HLOOKUP(DATE(X$7,12,31),Idc_Table,IDC!$BB$40)-SUM($F79:W79)</f>
        <v>0</v>
      </c>
      <c r="Y79" s="217" t="n">
        <f aca="false">HLOOKUP(DATE(Y$7,12,31),Idc_Table,IDC!$BB$40)-SUM($F79:X79)</f>
        <v>0</v>
      </c>
      <c r="Z79" s="217" t="n">
        <f aca="false">HLOOKUP(DATE(Z$7,12,31),Idc_Table,IDC!$BB$40)-SUM($F79:Y79)</f>
        <v>0</v>
      </c>
      <c r="AA79" s="217" t="n">
        <f aca="false">HLOOKUP(DATE(AA$7,12,31),Idc_Table,IDC!$BB$40)-SUM($F79:Z79)</f>
        <v>0</v>
      </c>
      <c r="AB79" s="217" t="n">
        <f aca="false">HLOOKUP(DATE(AB$7,12,31),Idc_Table,IDC!$BB$40)-SUM($F79:AA79)</f>
        <v>0</v>
      </c>
      <c r="AC79" s="217" t="n">
        <f aca="false">HLOOKUP(DATE(AC$7,12,31),Idc_Table,IDC!$BB$40)-SUM($F79:AB79)</f>
        <v>0</v>
      </c>
      <c r="AD79" s="574" t="n">
        <f aca="false">SUM(G79:AC79)</f>
        <v>201351.119911058</v>
      </c>
    </row>
    <row r="80" customFormat="false" ht="12.75" hidden="false" customHeight="false" outlineLevel="0" collapsed="false">
      <c r="A80" s="37"/>
      <c r="B80" s="38" t="s">
        <v>1598</v>
      </c>
      <c r="F80" s="38"/>
      <c r="G80" s="217" t="n">
        <f aca="false">IF(G$7&lt;YEAR(Startops1),0,HLOOKUP(G$7,CF_Table,CF!$AB$67))</f>
        <v>0</v>
      </c>
      <c r="H80" s="217" t="n">
        <f aca="false">IF(H$7&lt;YEAR(Startops1),0,HLOOKUP(H$7,CF_Table,CF!$AB$67))</f>
        <v>0</v>
      </c>
      <c r="I80" s="217" t="n">
        <f aca="false">IF(I$7&lt;YEAR(Startops1),0,HLOOKUP(I$7,CF_Table,CF!$AB$67))</f>
        <v>-0</v>
      </c>
      <c r="J80" s="217" t="n">
        <f aca="false">IF(J$7&lt;YEAR(Startops1),0,HLOOKUP(J$7,CF_Table,CF!$AB$67))</f>
        <v>-0</v>
      </c>
      <c r="K80" s="217" t="n">
        <f aca="false">IF(K$7&lt;YEAR(Startops1),0,HLOOKUP(K$7,CF_Table,CF!$AB$67))</f>
        <v>-0</v>
      </c>
      <c r="L80" s="217" t="n">
        <f aca="false">IF(L$7&lt;YEAR(Startops1),0,HLOOKUP(L$7,CF_Table,CF!$AB$67))</f>
        <v>-12154.8138268118</v>
      </c>
      <c r="M80" s="217" t="n">
        <f aca="false">IF(M$7&lt;YEAR(Startops1),0,HLOOKUP(M$7,CF_Table,CF!$AB$67))</f>
        <v>-12684.9300485336</v>
      </c>
      <c r="N80" s="217" t="n">
        <f aca="false">IF(N$7&lt;YEAR(Startops1),0,HLOOKUP(N$7,CF_Table,CF!$AB$67))</f>
        <v>-14522.3752400263</v>
      </c>
      <c r="O80" s="217" t="n">
        <f aca="false">IF(O$7&lt;YEAR(Startops1),0,HLOOKUP(O$7,CF_Table,CF!$AB$67))</f>
        <v>-15403.1404218615</v>
      </c>
      <c r="P80" s="217" t="n">
        <f aca="false">IF(P$7&lt;YEAR(Startops1),0,HLOOKUP(P$7,CF_Table,CF!$AB$67))</f>
        <v>-16039.3077637438</v>
      </c>
      <c r="Q80" s="217" t="n">
        <f aca="false">IF(Q$7&lt;YEAR(Startops1),0,HLOOKUP(Q$7,CF_Table,CF!$AB$67))</f>
        <v>-16528.8704101656</v>
      </c>
      <c r="R80" s="217" t="n">
        <f aca="false">IF(R$7&lt;YEAR(Startops1),0,HLOOKUP(R$7,CF_Table,CF!$AB$67))</f>
        <v>-15799.4352428079</v>
      </c>
      <c r="S80" s="217" t="n">
        <f aca="false">IF(S$7&lt;YEAR(Startops1),0,HLOOKUP(S$7,CF_Table,CF!$AB$67))</f>
        <v>-15092.5269904591</v>
      </c>
      <c r="T80" s="217" t="n">
        <f aca="false">IF(T$7&lt;YEAR(Startops1),0,HLOOKUP(T$7,CF_Table,CF!$AB$67))</f>
        <v>-15377.2220828531</v>
      </c>
      <c r="U80" s="217" t="n">
        <f aca="false">IF(U$7&lt;YEAR(Startops1),0,HLOOKUP(U$7,CF_Table,CF!$AB$67))</f>
        <v>-16172.3899220017</v>
      </c>
      <c r="V80" s="217" t="n">
        <f aca="false">IF(V$7&lt;YEAR(Startops1),0,HLOOKUP(V$7,CF_Table,CF!$AB$67))</f>
        <v>-13057.8839909619</v>
      </c>
      <c r="W80" s="217" t="n">
        <f aca="false">IF(W$7&lt;YEAR(Startops1),0,HLOOKUP(W$7,CF_Table,CF!$AB$67))</f>
        <v>-13057.8839909619</v>
      </c>
      <c r="X80" s="217" t="n">
        <f aca="false">IF(X$7&lt;YEAR(Startops1),0,HLOOKUP(X$7,CF_Table,CF!$AB$67))</f>
        <v>-13166.937350695</v>
      </c>
      <c r="Y80" s="217" t="n">
        <f aca="false">IF(Y$7&lt;YEAR(Startops1),0,HLOOKUP(Y$7,CF_Table,CF!$AB$67))</f>
        <v>-12293.4026291753</v>
      </c>
      <c r="Z80" s="217" t="n">
        <f aca="false">IF(Z$7&lt;YEAR(Startops1),0,HLOOKUP(Z$7,CF_Table,CF!$AB$67))</f>
        <v>-0</v>
      </c>
      <c r="AA80" s="217" t="n">
        <f aca="false">IF(AA$7&lt;YEAR(Startops1),0,HLOOKUP(AA$7,CF_Table,CF!$AB$67))</f>
        <v>-0</v>
      </c>
      <c r="AB80" s="217" t="n">
        <f aca="false">IF(AB$7&lt;YEAR(Startops1),0,HLOOKUP(AB$7,CF_Table,CF!$AB$67))</f>
        <v>-0</v>
      </c>
      <c r="AC80" s="217" t="n">
        <f aca="false">IF(AC$7&lt;YEAR(Startops1),0,HLOOKUP(AC$7,CF_Table,CF!$AB$67))</f>
        <v>-0</v>
      </c>
      <c r="AD80" s="574" t="n">
        <f aca="false">SUM(G80:AC80)</f>
        <v>-201351.119911058</v>
      </c>
    </row>
    <row r="81" customFormat="false" ht="12.75" hidden="false" customHeight="false" outlineLevel="0" collapsed="false">
      <c r="A81" s="37"/>
      <c r="B81" s="38" t="s">
        <v>1599</v>
      </c>
      <c r="F81" s="556"/>
      <c r="G81" s="217" t="n">
        <f aca="false">HLOOKUP(DATE(G$7,12,31),Idc_Table,IDC!$BB$49)-SUM($F81:F81)</f>
        <v>0</v>
      </c>
      <c r="H81" s="217" t="n">
        <f aca="false">HLOOKUP(DATE(H$7,12,31),Idc_Table,IDC!$BB$49)-SUM($F81:G81)</f>
        <v>0</v>
      </c>
      <c r="I81" s="217" t="n">
        <f aca="false">HLOOKUP(DATE(I$7,12,31),Idc_Table,IDC!$BB$49)-SUM($F81:H81)</f>
        <v>0</v>
      </c>
      <c r="J81" s="217" t="n">
        <f aca="false">HLOOKUP(DATE(J$7,12,31),Idc_Table,IDC!$BB$49)-SUM($F81:I81)</f>
        <v>37368.7595067085</v>
      </c>
      <c r="K81" s="217" t="n">
        <f aca="false">HLOOKUP(DATE(K$7,12,31),Idc_Table,IDC!$BB$49)-SUM($F81:J81)</f>
        <v>12381.0535660502</v>
      </c>
      <c r="L81" s="217" t="n">
        <f aca="false">HLOOKUP(DATE(L$7,12,31),Idc_Table,IDC!$BB$49)-SUM($F81:K81)</f>
        <v>0</v>
      </c>
      <c r="M81" s="217" t="n">
        <f aca="false">HLOOKUP(DATE(M$7,12,31),Idc_Table,IDC!$BB$49)-SUM($F81:L81)</f>
        <v>0</v>
      </c>
      <c r="N81" s="217" t="n">
        <f aca="false">HLOOKUP(DATE(N$7,12,31),Idc_Table,IDC!$BB$49)-SUM($F81:M81)</f>
        <v>0</v>
      </c>
      <c r="O81" s="217" t="n">
        <f aca="false">HLOOKUP(DATE(O$7,12,31),Idc_Table,IDC!$BB$49)-SUM($F81:N81)</f>
        <v>0</v>
      </c>
      <c r="P81" s="217" t="n">
        <f aca="false">HLOOKUP(DATE(P$7,12,31),Idc_Table,IDC!$BB$49)-SUM($F81:O81)</f>
        <v>0</v>
      </c>
      <c r="Q81" s="217" t="n">
        <f aca="false">HLOOKUP(DATE(Q$7,12,31),Idc_Table,IDC!$BB$49)-SUM($F81:P81)</f>
        <v>0</v>
      </c>
      <c r="R81" s="217" t="n">
        <f aca="false">HLOOKUP(DATE(R$7,12,31),Idc_Table,IDC!$BB$49)-SUM($F81:Q81)</f>
        <v>0</v>
      </c>
      <c r="S81" s="217" t="n">
        <f aca="false">HLOOKUP(DATE(S$7,12,31),Idc_Table,IDC!$BB$49)-SUM($F81:R81)</f>
        <v>0</v>
      </c>
      <c r="T81" s="217" t="n">
        <f aca="false">HLOOKUP(DATE(T$7,12,31),Idc_Table,IDC!$BB$49)-SUM($F81:S81)</f>
        <v>0</v>
      </c>
      <c r="U81" s="217" t="n">
        <f aca="false">HLOOKUP(DATE(U$7,12,31),Idc_Table,IDC!$BB$49)-SUM($F81:T81)</f>
        <v>0</v>
      </c>
      <c r="V81" s="217" t="n">
        <f aca="false">HLOOKUP(DATE(V$7,12,31),Idc_Table,IDC!$BB$49)-SUM($F81:U81)</f>
        <v>0</v>
      </c>
      <c r="W81" s="217" t="n">
        <f aca="false">HLOOKUP(DATE(W$7,12,31),Idc_Table,IDC!$BB$49)-SUM($F81:V81)</f>
        <v>0</v>
      </c>
      <c r="X81" s="217" t="n">
        <f aca="false">HLOOKUP(DATE(X$7,12,31),Idc_Table,IDC!$BB$49)-SUM($F81:W81)</f>
        <v>0</v>
      </c>
      <c r="Y81" s="217" t="n">
        <f aca="false">HLOOKUP(DATE(Y$7,12,31),Idc_Table,IDC!$BB$49)-SUM($F81:X81)</f>
        <v>0</v>
      </c>
      <c r="Z81" s="217" t="n">
        <f aca="false">HLOOKUP(DATE(Z$7,12,31),Idc_Table,IDC!$BB$49)-SUM($F81:Y81)</f>
        <v>0</v>
      </c>
      <c r="AA81" s="217" t="n">
        <f aca="false">HLOOKUP(DATE(AA$7,12,31),Idc_Table,IDC!$BB$49)-SUM($F81:Z81)</f>
        <v>0</v>
      </c>
      <c r="AB81" s="217" t="n">
        <f aca="false">HLOOKUP(DATE(AB$7,12,31),Idc_Table,IDC!$BB$49)-SUM($F81:AA81)</f>
        <v>0</v>
      </c>
      <c r="AC81" s="217" t="n">
        <f aca="false">HLOOKUP(DATE(AC$7,12,31),Idc_Table,IDC!$BB$49)-SUM($F81:AB81)</f>
        <v>0</v>
      </c>
      <c r="AD81" s="574" t="n">
        <f aca="false">SUM(G81:AC81)</f>
        <v>49749.8130727587</v>
      </c>
    </row>
    <row r="82" customFormat="false" ht="12.75" hidden="false" customHeight="false" outlineLevel="0" collapsed="false">
      <c r="A82" s="37"/>
      <c r="B82" s="38" t="s">
        <v>1600</v>
      </c>
      <c r="F82" s="38"/>
      <c r="G82" s="217" t="n">
        <f aca="false">IF(G$7&lt;YEAR(Startops1),0,HLOOKUP(G$7,CF_Table,CF!$AB$71))</f>
        <v>0</v>
      </c>
      <c r="H82" s="217" t="n">
        <f aca="false">IF(H$7&lt;YEAR(Startops1),0,HLOOKUP(H$7,CF_Table,CF!$AB$71))</f>
        <v>0</v>
      </c>
      <c r="I82" s="217" t="n">
        <f aca="false">IF(I$7&lt;YEAR(Startops1),0,HLOOKUP(I$7,CF_Table,CF!$AB$71))</f>
        <v>-0</v>
      </c>
      <c r="J82" s="217" t="n">
        <f aca="false">IF(J$7&lt;YEAR(Startops1),0,HLOOKUP(J$7,CF_Table,CF!$AB$71))</f>
        <v>-0</v>
      </c>
      <c r="K82" s="217" t="n">
        <f aca="false">IF(K$7&lt;YEAR(Startops1),0,HLOOKUP(K$7,CF_Table,CF!$AB$71))</f>
        <v>-0</v>
      </c>
      <c r="L82" s="217" t="n">
        <f aca="false">IF(L$7&lt;YEAR(Startops1),0,HLOOKUP(L$7,CF_Table,CF!$AB$71))</f>
        <v>-2228.4103888757</v>
      </c>
      <c r="M82" s="217" t="n">
        <f aca="false">IF(M$7&lt;YEAR(Startops1),0,HLOOKUP(M$7,CF_Table,CF!$AB$71))</f>
        <v>-2527.51877332254</v>
      </c>
      <c r="N82" s="217" t="n">
        <f aca="false">IF(N$7&lt;YEAR(Startops1),0,HLOOKUP(N$7,CF_Table,CF!$AB$71))</f>
        <v>-2866.77498067176</v>
      </c>
      <c r="O82" s="217" t="n">
        <f aca="false">IF(O$7&lt;YEAR(Startops1),0,HLOOKUP(O$7,CF_Table,CF!$AB$71))</f>
        <v>-3251.56785245242</v>
      </c>
      <c r="P82" s="217" t="n">
        <f aca="false">IF(P$7&lt;YEAR(Startops1),0,HLOOKUP(P$7,CF_Table,CF!$AB$71))</f>
        <v>-3688.00954744785</v>
      </c>
      <c r="Q82" s="217" t="n">
        <f aca="false">IF(Q$7&lt;YEAR(Startops1),0,HLOOKUP(Q$7,CF_Table,CF!$AB$71))</f>
        <v>-4183.03262895404</v>
      </c>
      <c r="R82" s="217" t="n">
        <f aca="false">IF(R$7&lt;YEAR(Startops1),0,HLOOKUP(R$7,CF_Table,CF!$AB$71))</f>
        <v>-4744.5001835754</v>
      </c>
      <c r="S82" s="217" t="n">
        <f aca="false">IF(S$7&lt;YEAR(Startops1),0,HLOOKUP(S$7,CF_Table,CF!$AB$71))</f>
        <v>-5381.3307207158</v>
      </c>
      <c r="T82" s="217" t="n">
        <f aca="false">IF(T$7&lt;YEAR(Startops1),0,HLOOKUP(T$7,CF_Table,CF!$AB$71))</f>
        <v>-6103.63983670388</v>
      </c>
      <c r="U82" s="217" t="n">
        <f aca="false">IF(U$7&lt;YEAR(Startops1),0,HLOOKUP(U$7,CF_Table,CF!$AB$71))</f>
        <v>-6922.90089378546</v>
      </c>
      <c r="V82" s="217" t="n">
        <f aca="false">IF(V$7&lt;YEAR(Startops1),0,HLOOKUP(V$7,CF_Table,CF!$AB$71))</f>
        <v>-7852.12726625381</v>
      </c>
      <c r="W82" s="217" t="n">
        <f aca="false">IF(W$7&lt;YEAR(Startops1),0,HLOOKUP(W$7,CF_Table,CF!$AB$71))</f>
        <v>-0</v>
      </c>
      <c r="X82" s="217" t="n">
        <f aca="false">IF(X$7&lt;YEAR(Startops1),0,HLOOKUP(X$7,CF_Table,CF!$AB$71))</f>
        <v>-0</v>
      </c>
      <c r="Y82" s="217" t="n">
        <f aca="false">IF(Y$7&lt;YEAR(Startops1),0,HLOOKUP(Y$7,CF_Table,CF!$AB$71))</f>
        <v>-0</v>
      </c>
      <c r="Z82" s="217" t="n">
        <f aca="false">IF(Z$7&lt;YEAR(Startops1),0,HLOOKUP(Z$7,CF_Table,CF!$AB$71))</f>
        <v>-0</v>
      </c>
      <c r="AA82" s="217" t="n">
        <f aca="false">IF(AA$7&lt;YEAR(Startops1),0,HLOOKUP(AA$7,CF_Table,CF!$AB$71))</f>
        <v>-0</v>
      </c>
      <c r="AB82" s="217" t="n">
        <f aca="false">IF(AB$7&lt;YEAR(Startops1),0,HLOOKUP(AB$7,CF_Table,CF!$AB$71))</f>
        <v>-0</v>
      </c>
      <c r="AC82" s="217" t="n">
        <f aca="false">IF(AC$7&lt;YEAR(Startops1),0,HLOOKUP(AC$7,CF_Table,CF!$AB$71))</f>
        <v>-0</v>
      </c>
      <c r="AD82" s="574" t="n">
        <f aca="false">SUM(G82:AC82)</f>
        <v>-49749.8130727587</v>
      </c>
    </row>
    <row r="83" customFormat="false" ht="12.75" hidden="false" customHeight="false" outlineLevel="0" collapsed="false">
      <c r="A83" s="37"/>
      <c r="B83" s="38" t="s">
        <v>1601</v>
      </c>
      <c r="F83" s="556"/>
      <c r="G83" s="217" t="n">
        <f aca="false">-HLOOKUP(DATE(G$7,12,31),Idc_Table,IDC!$BB$21)+HLOOKUP(DATE(G$7,12,31),Idc_Table,IDC!$BB$63)+IF(G$7&gt;=YEAR(Startops1),Land1+Wcap1+Spares1,0)+IF(G$7&gt;=YEAR(Startops2),Land2+Wcap2+Spares2,0)+IF(G$7&gt;=YEAR(Startops3),Land3+Wcap3+Spares3+Spares_WTF,0)-SUM($F83:F83)</f>
        <v>-7598.20788530466</v>
      </c>
      <c r="H83" s="217" t="n">
        <f aca="false">-HLOOKUP(DATE(H$7,12,31),Idc_Table,IDC!$BB$21)+HLOOKUP(DATE(H$7,12,31),Idc_Table,IDC!$BB$63)+IF(H$7&gt;=YEAR(Startops1),Land1+Wcap1+Spares1,0)+IF(H$7&gt;=YEAR(Startops2),Land2+Wcap2+Spares2,0)+IF(H$7&gt;=YEAR(Startops3),Land3+Wcap3+Spares3+Spares_WTF,0)-SUM($F83:G83)</f>
        <v>-111682.965736372</v>
      </c>
      <c r="I83" s="217" t="n">
        <f aca="false">-HLOOKUP(DATE(I$7,12,31),Idc_Table,IDC!$BB$21)+HLOOKUP(DATE(I$7,12,31),Idc_Table,IDC!$BB$63)+IF(I$7&gt;=YEAR(Startops1),Land1+Wcap1+Spares1,0)+IF(I$7&gt;=YEAR(Startops2),Land2+Wcap2+Spares2,0)+IF(I$7&gt;=YEAR(Startops3),Land3+Wcap3+Spares3+Spares_WTF,0)-SUM($F83:H83)</f>
        <v>-56881.0849935552</v>
      </c>
      <c r="J83" s="217" t="n">
        <f aca="false">-HLOOKUP(DATE(J$7,12,31),Idc_Table,IDC!$BB$21)+HLOOKUP(DATE(J$7,12,31),Idc_Table,IDC!$BB$63)+IF(J$7&gt;=YEAR(Startops1),Land1+Wcap1+Spares1,0)+IF(J$7&gt;=YEAR(Startops2),Land2+Wcap2+Spares2,0)+IF(J$7&gt;=YEAR(Startops3),Land3+Wcap3+Spares3+Spares_WTF,0)-SUM($F83:I83)</f>
        <v>-100062.628687438</v>
      </c>
      <c r="K83" s="217" t="n">
        <f aca="false">-HLOOKUP(DATE(K$7,12,31),Idc_Table,IDC!$BB$21)+HLOOKUP(DATE(K$7,12,31),Idc_Table,IDC!$BB$63)+IF(K$7&gt;=YEAR(Startops1),Land1+Wcap1+Spares1,0)+IF(K$7&gt;=YEAR(Startops2),Land2+Wcap2+Spares2,0)+IF(K$7&gt;=YEAR(Startops3),Land3+Wcap3+Spares3+Spares_WTF,0)-SUM($F83:J83)</f>
        <v>-53091.6060307442</v>
      </c>
      <c r="L83" s="217" t="n">
        <f aca="false">-HLOOKUP(DATE(L$7,12,31),Idc_Table,IDC!$BB$21)+HLOOKUP(DATE(L$7,12,31),Idc_Table,IDC!$BB$63)+IF(L$7&gt;=YEAR(Startops1),Land1+Wcap1+Spares1,0)+IF(L$7&gt;=YEAR(Startops2),Land2+Wcap2+Spares2,0)+IF(L$7&gt;=YEAR(Startops3),Land3+Wcap3+Spares3+Spares_WTF,0)-SUM($F83:K83)</f>
        <v>0</v>
      </c>
      <c r="M83" s="217" t="n">
        <f aca="false">-HLOOKUP(DATE(M$7,12,31),Idc_Table,IDC!$BB$21)+HLOOKUP(DATE(M$7,12,31),Idc_Table,IDC!$BB$63)+IF(M$7&gt;=YEAR(Startops1),Land1+Wcap1+Spares1,0)+IF(M$7&gt;=YEAR(Startops2),Land2+Wcap2+Spares2,0)+IF(M$7&gt;=YEAR(Startops3),Land3+Wcap3+Spares3+Spares_WTF,0)-SUM($F83:L83)</f>
        <v>0</v>
      </c>
      <c r="N83" s="217" t="n">
        <f aca="false">-HLOOKUP(DATE(N$7,12,31),Idc_Table,IDC!$BB$21)+HLOOKUP(DATE(N$7,12,31),Idc_Table,IDC!$BB$63)+IF(N$7&gt;=YEAR(Startops1),Land1+Wcap1+Spares1,0)+IF(N$7&gt;=YEAR(Startops2),Land2+Wcap2+Spares2,0)+IF(N$7&gt;=YEAR(Startops3),Land3+Wcap3+Spares3+Spares_WTF,0)-SUM($F83:M83)</f>
        <v>0</v>
      </c>
      <c r="O83" s="217" t="n">
        <f aca="false">-HLOOKUP(DATE(O$7,12,31),Idc_Table,IDC!$BB$21)+HLOOKUP(DATE(O$7,12,31),Idc_Table,IDC!$BB$63)+IF(O$7&gt;=YEAR(Startops1),Land1+Wcap1+Spares1,0)+IF(O$7&gt;=YEAR(Startops2),Land2+Wcap2+Spares2,0)+IF(O$7&gt;=YEAR(Startops3),Land3+Wcap3+Spares3+Spares_WTF,0)-SUM($F83:N83)</f>
        <v>0</v>
      </c>
      <c r="P83" s="217" t="n">
        <f aca="false">-HLOOKUP(DATE(P$7,12,31),Idc_Table,IDC!$BB$21)+HLOOKUP(DATE(P$7,12,31),Idc_Table,IDC!$BB$63)+IF(P$7&gt;=YEAR(Startops1),Land1+Wcap1+Spares1,0)+IF(P$7&gt;=YEAR(Startops2),Land2+Wcap2+Spares2,0)+IF(P$7&gt;=YEAR(Startops3),Land3+Wcap3+Spares3+Spares_WTF,0)-SUM($F83:O83)</f>
        <v>0</v>
      </c>
      <c r="Q83" s="217" t="n">
        <f aca="false">-HLOOKUP(DATE(Q$7,12,31),Idc_Table,IDC!$BB$21)+HLOOKUP(DATE(Q$7,12,31),Idc_Table,IDC!$BB$63)+IF(Q$7&gt;=YEAR(Startops1),Land1+Wcap1+Spares1,0)+IF(Q$7&gt;=YEAR(Startops2),Land2+Wcap2+Spares2,0)+IF(Q$7&gt;=YEAR(Startops3),Land3+Wcap3+Spares3+Spares_WTF,0)-SUM($F83:P83)</f>
        <v>0</v>
      </c>
      <c r="R83" s="217" t="n">
        <f aca="false">-HLOOKUP(DATE(R$7,12,31),Idc_Table,IDC!$BB$21)+HLOOKUP(DATE(R$7,12,31),Idc_Table,IDC!$BB$63)+IF(R$7&gt;=YEAR(Startops1),Land1+Wcap1+Spares1,0)+IF(R$7&gt;=YEAR(Startops2),Land2+Wcap2+Spares2,0)+IF(R$7&gt;=YEAR(Startops3),Land3+Wcap3+Spares3+Spares_WTF,0)-SUM($F83:Q83)</f>
        <v>0</v>
      </c>
      <c r="S83" s="217" t="n">
        <f aca="false">-HLOOKUP(DATE(S$7,12,31),Idc_Table,IDC!$BB$21)+HLOOKUP(DATE(S$7,12,31),Idc_Table,IDC!$BB$63)+IF(S$7&gt;=YEAR(Startops1),Land1+Wcap1+Spares1,0)+IF(S$7&gt;=YEAR(Startops2),Land2+Wcap2+Spares2,0)+IF(S$7&gt;=YEAR(Startops3),Land3+Wcap3+Spares3+Spares_WTF,0)-SUM($F83:R83)</f>
        <v>0</v>
      </c>
      <c r="T83" s="217" t="n">
        <f aca="false">-HLOOKUP(DATE(T$7,12,31),Idc_Table,IDC!$BB$21)+HLOOKUP(DATE(T$7,12,31),Idc_Table,IDC!$BB$63)+IF(T$7&gt;=YEAR(Startops1),Land1+Wcap1+Spares1,0)+IF(T$7&gt;=YEAR(Startops2),Land2+Wcap2+Spares2,0)+IF(T$7&gt;=YEAR(Startops3),Land3+Wcap3+Spares3+Spares_WTF,0)-SUM($F83:S83)</f>
        <v>0</v>
      </c>
      <c r="U83" s="217" t="n">
        <f aca="false">-HLOOKUP(DATE(U$7,12,31),Idc_Table,IDC!$BB$21)+HLOOKUP(DATE(U$7,12,31),Idc_Table,IDC!$BB$63)+IF(U$7&gt;=YEAR(Startops1),Land1+Wcap1+Spares1,0)+IF(U$7&gt;=YEAR(Startops2),Land2+Wcap2+Spares2,0)+IF(U$7&gt;=YEAR(Startops3),Land3+Wcap3+Spares3+Spares_WTF,0)-SUM($F83:T83)</f>
        <v>0</v>
      </c>
      <c r="V83" s="217" t="n">
        <f aca="false">-HLOOKUP(DATE(V$7,12,31),Idc_Table,IDC!$BB$21)+HLOOKUP(DATE(V$7,12,31),Idc_Table,IDC!$BB$63)+IF(V$7&gt;=YEAR(Startops1),Land1+Wcap1+Spares1,0)+IF(V$7&gt;=YEAR(Startops2),Land2+Wcap2+Spares2,0)+IF(V$7&gt;=YEAR(Startops3),Land3+Wcap3+Spares3+Spares_WTF,0)-SUM($F83:U83)</f>
        <v>0</v>
      </c>
      <c r="W83" s="217" t="n">
        <f aca="false">-HLOOKUP(DATE(W$7,12,31),Idc_Table,IDC!$BB$21)+HLOOKUP(DATE(W$7,12,31),Idc_Table,IDC!$BB$63)+IF(W$7&gt;=YEAR(Startops1),Land1+Wcap1+Spares1,0)+IF(W$7&gt;=YEAR(Startops2),Land2+Wcap2+Spares2,0)+IF(W$7&gt;=YEAR(Startops3),Land3+Wcap3+Spares3+Spares_WTF,0)-SUM($F83:V83)</f>
        <v>0</v>
      </c>
      <c r="X83" s="217" t="n">
        <f aca="false">-HLOOKUP(DATE(X$7,12,31),Idc_Table,IDC!$BB$21)+HLOOKUP(DATE(X$7,12,31),Idc_Table,IDC!$BB$63)+IF(X$7&gt;=YEAR(Startops1),Land1+Wcap1+Spares1,0)+IF(X$7&gt;=YEAR(Startops2),Land2+Wcap2+Spares2,0)+IF(X$7&gt;=YEAR(Startops3),Land3+Wcap3+Spares3+Spares_WTF,0)-SUM($F83:W83)</f>
        <v>0</v>
      </c>
      <c r="Y83" s="217" t="n">
        <f aca="false">-HLOOKUP(DATE(Y$7,12,31),Idc_Table,IDC!$BB$21)+HLOOKUP(DATE(Y$7,12,31),Idc_Table,IDC!$BB$63)+IF(Y$7&gt;=YEAR(Startops1),Land1+Wcap1+Spares1,0)+IF(Y$7&gt;=YEAR(Startops2),Land2+Wcap2+Spares2,0)+IF(Y$7&gt;=YEAR(Startops3),Land3+Wcap3+Spares3+Spares_WTF,0)-SUM($F83:X83)</f>
        <v>0</v>
      </c>
      <c r="Z83" s="217" t="n">
        <f aca="false">-HLOOKUP(DATE(Z$7,12,31),Idc_Table,IDC!$BB$21)+HLOOKUP(DATE(Z$7,12,31),Idc_Table,IDC!$BB$63)+IF(Z$7&gt;=YEAR(Startops1),Land1+Wcap1+Spares1,0)+IF(Z$7&gt;=YEAR(Startops2),Land2+Wcap2+Spares2,0)+IF(Z$7&gt;=YEAR(Startops3),Land3+Wcap3+Spares3+Spares_WTF,0)-SUM($F83:Y83)</f>
        <v>0</v>
      </c>
      <c r="AA83" s="217" t="n">
        <f aca="false">-HLOOKUP(DATE(AA$7,12,31),Idc_Table,IDC!$BB$21)+HLOOKUP(DATE(AA$7,12,31),Idc_Table,IDC!$BB$63)+IF(AA$7&gt;=YEAR(Startops1),Land1+Wcap1+Spares1,0)+IF(AA$7&gt;=YEAR(Startops2),Land2+Wcap2+Spares2,0)+IF(AA$7&gt;=YEAR(Startops3),Land3+Wcap3+Spares3+Spares_WTF,0)-SUM($F83:Z83)</f>
        <v>0</v>
      </c>
      <c r="AB83" s="217" t="n">
        <f aca="false">-HLOOKUP(DATE(AB$7,12,31),Idc_Table,IDC!$BB$21)+HLOOKUP(DATE(AB$7,12,31),Idc_Table,IDC!$BB$63)+IF(AB$7&gt;=YEAR(Startops1),Land1+Wcap1+Spares1,0)+IF(AB$7&gt;=YEAR(Startops2),Land2+Wcap2+Spares2,0)+IF(AB$7&gt;=YEAR(Startops3),Land3+Wcap3+Spares3+Spares_WTF,0)-SUM($F83:AA83)</f>
        <v>0</v>
      </c>
      <c r="AC83" s="217" t="n">
        <f aca="false">-HLOOKUP(DATE(AC$7,12,31),Idc_Table,IDC!$BB$21)+HLOOKUP(DATE(AC$7,12,31),Idc_Table,IDC!$BB$63)+IF(AC$7&gt;=YEAR(Startops1),Land1+Wcap1+Spares1,0)+IF(AC$7&gt;=YEAR(Startops2),Land2+Wcap2+Spares2,0)+IF(AC$7&gt;=YEAR(Startops3),Land3+Wcap3+Spares3+Spares_WTF,0)-SUM($F83:AB83)</f>
        <v>0</v>
      </c>
      <c r="AD83" s="574" t="n">
        <f aca="false">SUM(G83:AC83)</f>
        <v>-329316.493333414</v>
      </c>
    </row>
    <row r="84" customFormat="false" ht="12.75" hidden="false" customHeight="false" outlineLevel="0" collapsed="false">
      <c r="A84" s="37"/>
      <c r="B84" s="38" t="s">
        <v>1602</v>
      </c>
      <c r="F84" s="38"/>
      <c r="G84" s="217" t="n">
        <f aca="false">IF(G$7=YEAR(Startops1),-Land1,0)+IF(G$7=YEAR(Startops2),-Land2,0)+IF(G$7=YEAR(Startops3),-Land3,0)</f>
        <v>0</v>
      </c>
      <c r="H84" s="217" t="n">
        <f aca="false">IF(H$7=YEAR(Startops1),-Land1,0)+IF(H$7=YEAR(Startops2),-Land2,0)+IF(H$7=YEAR(Startops3),-Land3,0)</f>
        <v>0</v>
      </c>
      <c r="I84" s="217" t="n">
        <f aca="false">IF(I$7=YEAR(Startops1),-Land1,0)+IF(I$7=YEAR(Startops2),-Land2,0)+IF(I$7=YEAR(Startops3),-Land3,0)</f>
        <v>-162</v>
      </c>
      <c r="J84" s="217" t="n">
        <f aca="false">IF(J$7=YEAR(Startops1),-Land1,0)+IF(J$7=YEAR(Startops2),-Land2,0)+IF(J$7=YEAR(Startops3),-Land3,0)</f>
        <v>0</v>
      </c>
      <c r="K84" s="217" t="n">
        <f aca="false">IF(K$7=YEAR(Startops1),-Land1,0)+IF(K$7=YEAR(Startops2),-Land2,0)+IF(K$7=YEAR(Startops3),-Land3,0)</f>
        <v>-378</v>
      </c>
      <c r="L84" s="217" t="n">
        <f aca="false">IF(L$7=YEAR(Startops1),-Land1,0)+IF(L$7=YEAR(Startops2),-Land2,0)+IF(L$7=YEAR(Startops3),-Land3,0)</f>
        <v>0</v>
      </c>
      <c r="M84" s="217" t="n">
        <f aca="false">IF(M$7=YEAR(Startops1),-Land1,0)+IF(M$7=YEAR(Startops2),-Land2,0)+IF(M$7=YEAR(Startops3),-Land3,0)</f>
        <v>0</v>
      </c>
      <c r="N84" s="217" t="n">
        <f aca="false">IF(N$7=YEAR(Startops1),-Land1,0)+IF(N$7=YEAR(Startops2),-Land2,0)+IF(N$7=YEAR(Startops3),-Land3,0)</f>
        <v>0</v>
      </c>
      <c r="O84" s="217" t="n">
        <f aca="false">IF(O$7=YEAR(Startops1),-Land1,0)+IF(O$7=YEAR(Startops2),-Land2,0)+IF(O$7=YEAR(Startops3),-Land3,0)</f>
        <v>0</v>
      </c>
      <c r="P84" s="217" t="n">
        <f aca="false">IF(P$7=YEAR(Startops1),-Land1,0)+IF(P$7=YEAR(Startops2),-Land2,0)+IF(P$7=YEAR(Startops3),-Land3,0)</f>
        <v>0</v>
      </c>
      <c r="Q84" s="217" t="n">
        <f aca="false">IF(Q$7=YEAR(Startops1),-Land1,0)+IF(Q$7=YEAR(Startops2),-Land2,0)+IF(Q$7=YEAR(Startops3),-Land3,0)</f>
        <v>0</v>
      </c>
      <c r="R84" s="217" t="n">
        <f aca="false">IF(R$7=YEAR(Startops1),-Land1,0)+IF(R$7=YEAR(Startops2),-Land2,0)+IF(R$7=YEAR(Startops3),-Land3,0)</f>
        <v>0</v>
      </c>
      <c r="S84" s="217" t="n">
        <f aca="false">IF(S$7=YEAR(Startops1),-Land1,0)+IF(S$7=YEAR(Startops2),-Land2,0)+IF(S$7=YEAR(Startops3),-Land3,0)</f>
        <v>0</v>
      </c>
      <c r="T84" s="217" t="n">
        <f aca="false">IF(T$7=YEAR(Startops1),-Land1,0)+IF(T$7=YEAR(Startops2),-Land2,0)+IF(T$7=YEAR(Startops3),-Land3,0)</f>
        <v>0</v>
      </c>
      <c r="U84" s="217" t="n">
        <f aca="false">IF(U$7=YEAR(Startops1),-Land1,0)+IF(U$7=YEAR(Startops2),-Land2,0)+IF(U$7=YEAR(Startops3),-Land3,0)</f>
        <v>0</v>
      </c>
      <c r="V84" s="217" t="n">
        <f aca="false">IF(V$7=YEAR(Startops1),-Land1,0)+IF(V$7=YEAR(Startops2),-Land2,0)+IF(V$7=YEAR(Startops3),-Land3,0)</f>
        <v>0</v>
      </c>
      <c r="W84" s="217" t="n">
        <f aca="false">IF(W$7=YEAR(Startops1),-Land1,0)+IF(W$7=YEAR(Startops2),-Land2,0)+IF(W$7=YEAR(Startops3),-Land3,0)</f>
        <v>0</v>
      </c>
      <c r="X84" s="217" t="n">
        <f aca="false">IF(X$7=YEAR(Startops1),-Land1,0)+IF(X$7=YEAR(Startops2),-Land2,0)+IF(X$7=YEAR(Startops3),-Land3,0)</f>
        <v>0</v>
      </c>
      <c r="Y84" s="217" t="n">
        <f aca="false">IF(Y$7=YEAR(Startops1),-Land1,0)+IF(Y$7=YEAR(Startops2),-Land2,0)+IF(Y$7=YEAR(Startops3),-Land3,0)</f>
        <v>0</v>
      </c>
      <c r="Z84" s="217" t="n">
        <f aca="false">IF(Z$7=YEAR(Startops1),-Land1,0)+IF(Z$7=YEAR(Startops2),-Land2,0)+IF(Z$7=YEAR(Startops3),-Land3,0)</f>
        <v>0</v>
      </c>
      <c r="AA84" s="217" t="n">
        <f aca="false">IF(AA$7=YEAR(Startops1),-Land1,0)+IF(AA$7=YEAR(Startops2),-Land2,0)+IF(AA$7=YEAR(Startops3),-Land3,0)</f>
        <v>0</v>
      </c>
      <c r="AB84" s="217" t="n">
        <f aca="false">IF(AB$7=YEAR(Startops1),-Land1,0)+IF(AB$7=YEAR(Startops2),-Land2,0)+IF(AB$7=YEAR(Startops3),-Land3,0)</f>
        <v>0</v>
      </c>
      <c r="AC84" s="217" t="n">
        <f aca="false">IF(AC$7=YEAR(Startops1),-Land1,0)+IF(AC$7=YEAR(Startops2),-Land2,0)+IF(AC$7=YEAR(Startops3),-Land3,0)</f>
        <v>0</v>
      </c>
      <c r="AD84" s="574" t="n">
        <f aca="false">SUM(G84:AC84)</f>
        <v>-540</v>
      </c>
    </row>
    <row r="85" customFormat="false" ht="12.75" hidden="false" customHeight="false" outlineLevel="0" collapsed="false">
      <c r="A85" s="37"/>
      <c r="B85" s="38" t="s">
        <v>1603</v>
      </c>
      <c r="F85" s="38"/>
      <c r="G85" s="217" t="n">
        <f aca="false">IF(G$7&lt;YEAR(Startops1),0,HLOOKUP(G$7,CF_Table,CF!$AB$61))</f>
        <v>0</v>
      </c>
      <c r="H85" s="217" t="n">
        <f aca="false">IF(H$7&lt;YEAR(Startops1),0,HLOOKUP(H$7,CF_Table,CF!$AB$61))</f>
        <v>0</v>
      </c>
      <c r="I85" s="217" t="n">
        <f aca="false">IF(I$7&lt;YEAR(Startops1),0,HLOOKUP(I$7,CF_Table,CF!$AB$61))</f>
        <v>0</v>
      </c>
      <c r="J85" s="217" t="n">
        <f aca="false">IF(J$7&lt;YEAR(Startops1),0,HLOOKUP(J$7,CF_Table,CF!$AB$61))</f>
        <v>0</v>
      </c>
      <c r="K85" s="217" t="n">
        <f aca="false">IF(K$7&lt;YEAR(Startops1),0,HLOOKUP(K$7,CF_Table,CF!$AB$61))</f>
        <v>0</v>
      </c>
      <c r="L85" s="217" t="n">
        <f aca="false">IF(L$7&lt;YEAR(Startops1),0,HLOOKUP(L$7,CF_Table,CF!$AB$61))</f>
        <v>0</v>
      </c>
      <c r="M85" s="217" t="n">
        <f aca="false">IF(M$7&lt;YEAR(Startops1),0,HLOOKUP(M$7,CF_Table,CF!$AB$61))</f>
        <v>0</v>
      </c>
      <c r="N85" s="217" t="n">
        <f aca="false">IF(N$7&lt;YEAR(Startops1),0,HLOOKUP(N$7,CF_Table,CF!$AB$61))</f>
        <v>0</v>
      </c>
      <c r="O85" s="217" t="n">
        <f aca="false">IF(O$7&lt;YEAR(Startops1),0,HLOOKUP(O$7,CF_Table,CF!$AB$61))</f>
        <v>0</v>
      </c>
      <c r="P85" s="217" t="n">
        <f aca="false">IF(P$7&lt;YEAR(Startops1),0,HLOOKUP(P$7,CF_Table,CF!$AB$61))</f>
        <v>0</v>
      </c>
      <c r="Q85" s="217" t="n">
        <f aca="false">IF(Q$7&lt;YEAR(Startops1),0,HLOOKUP(Q$7,CF_Table,CF!$AB$61))</f>
        <v>0</v>
      </c>
      <c r="R85" s="217" t="n">
        <f aca="false">IF(R$7&lt;YEAR(Startops1),0,HLOOKUP(R$7,CF_Table,CF!$AB$61))</f>
        <v>0</v>
      </c>
      <c r="S85" s="217" t="n">
        <f aca="false">IF(S$7&lt;YEAR(Startops1),0,HLOOKUP(S$7,CF_Table,CF!$AB$61))</f>
        <v>0</v>
      </c>
      <c r="T85" s="217" t="n">
        <f aca="false">IF(T$7&lt;YEAR(Startops1),0,HLOOKUP(T$7,CF_Table,CF!$AB$61))</f>
        <v>0</v>
      </c>
      <c r="U85" s="217" t="n">
        <f aca="false">IF(U$7&lt;YEAR(Startops1),0,HLOOKUP(U$7,CF_Table,CF!$AB$61))</f>
        <v>0</v>
      </c>
      <c r="V85" s="217" t="n">
        <f aca="false">IF(V$7&lt;YEAR(Startops1),0,HLOOKUP(V$7,CF_Table,CF!$AB$61))</f>
        <v>0</v>
      </c>
      <c r="W85" s="217" t="n">
        <f aca="false">IF(W$7&lt;YEAR(Startops1),0,HLOOKUP(W$7,CF_Table,CF!$AB$61))</f>
        <v>0</v>
      </c>
      <c r="X85" s="217" t="n">
        <f aca="false">IF(X$7&lt;YEAR(Startops1),0,HLOOKUP(X$7,CF_Table,CF!$AB$61))</f>
        <v>0</v>
      </c>
      <c r="Y85" s="217" t="n">
        <f aca="false">IF(Y$7&lt;YEAR(Startops1),0,HLOOKUP(Y$7,CF_Table,CF!$AB$61))</f>
        <v>0</v>
      </c>
      <c r="Z85" s="217" t="n">
        <f aca="false">IF(Z$7&lt;YEAR(Startops1),0,HLOOKUP(Z$7,CF_Table,CF!$AB$61))</f>
        <v>0</v>
      </c>
      <c r="AA85" s="217" t="n">
        <f aca="false">IF(AA$7&lt;YEAR(Startops1),0,HLOOKUP(AA$7,CF_Table,CF!$AB$61))</f>
        <v>0</v>
      </c>
      <c r="AB85" s="217" t="n">
        <f aca="false">IF(AB$7&lt;YEAR(Startops1),0,HLOOKUP(AB$7,CF_Table,CF!$AB$61))</f>
        <v>0</v>
      </c>
      <c r="AC85" s="217" t="n">
        <f aca="false">IF(AC$7&lt;YEAR(Startops1),0,HLOOKUP(AC$7,CF_Table,CF!$AB$61))</f>
        <v>540</v>
      </c>
      <c r="AD85" s="574" t="n">
        <f aca="false">SUM(G85:AC85)</f>
        <v>540</v>
      </c>
    </row>
    <row r="86" customFormat="false" ht="12.75" hidden="false" customHeight="false" outlineLevel="0" collapsed="false">
      <c r="A86" s="37"/>
      <c r="B86" s="38" t="s">
        <v>1604</v>
      </c>
      <c r="F86" s="38"/>
      <c r="G86" s="217" t="n">
        <f aca="false">IF(G$7=YEAR(Startops1),-Spares1,0)+IF(G$7=YEAR(Startops2),-Spares2,0)+IF(G$7=YEAR(Startops3),-Spares3-Spares_WTF,0)</f>
        <v>0</v>
      </c>
      <c r="H86" s="217" t="n">
        <f aca="false">IF(H$7=YEAR(Startops1),-Spares1,0)+IF(H$7=YEAR(Startops2),-Spares2,0)+IF(H$7=YEAR(Startops3),-Spares3-Spares_WTF,0)</f>
        <v>0</v>
      </c>
      <c r="I86" s="217" t="n">
        <f aca="false">IF(I$7=YEAR(Startops1),-Spares1,0)+IF(I$7=YEAR(Startops2),-Spares2,0)+IF(I$7=YEAR(Startops3),-Spares3-Spares_WTF,0)</f>
        <v>-1363.3482</v>
      </c>
      <c r="J86" s="217" t="n">
        <f aca="false">IF(J$7=YEAR(Startops1),-Spares1,0)+IF(J$7=YEAR(Startops2),-Spares2,0)+IF(J$7=YEAR(Startops3),-Spares3-Spares_WTF,0)</f>
        <v>0</v>
      </c>
      <c r="K86" s="217" t="n">
        <f aca="false">IF(K$7=YEAR(Startops1),-Spares1,0)+IF(K$7=YEAR(Startops2),-Spares2,0)+IF(K$7=YEAR(Startops3),-Spares3-Spares_WTF,0)</f>
        <v>-3281.1458</v>
      </c>
      <c r="L86" s="217" t="n">
        <f aca="false">IF(L$7=YEAR(Startops1),-Spares1,0)+IF(L$7=YEAR(Startops2),-Spares2,0)+IF(L$7=YEAR(Startops3),-Spares3-Spares_WTF,0)</f>
        <v>0</v>
      </c>
      <c r="M86" s="217" t="n">
        <f aca="false">IF(M$7=YEAR(Startops1),-Spares1,0)+IF(M$7=YEAR(Startops2),-Spares2,0)+IF(M$7=YEAR(Startops3),-Spares3-Spares_WTF,0)</f>
        <v>0</v>
      </c>
      <c r="N86" s="217" t="n">
        <f aca="false">IF(N$7=YEAR(Startops1),-Spares1,0)+IF(N$7=YEAR(Startops2),-Spares2,0)+IF(N$7=YEAR(Startops3),-Spares3-Spares_WTF,0)</f>
        <v>0</v>
      </c>
      <c r="O86" s="217" t="n">
        <f aca="false">IF(O$7=YEAR(Startops1),-Spares1,0)+IF(O$7=YEAR(Startops2),-Spares2,0)+IF(O$7=YEAR(Startops3),-Spares3-Spares_WTF,0)</f>
        <v>0</v>
      </c>
      <c r="P86" s="217" t="n">
        <f aca="false">IF(P$7=YEAR(Startops1),-Spares1,0)+IF(P$7=YEAR(Startops2),-Spares2,0)+IF(P$7=YEAR(Startops3),-Spares3-Spares_WTF,0)</f>
        <v>0</v>
      </c>
      <c r="Q86" s="217" t="n">
        <f aca="false">IF(Q$7=YEAR(Startops1),-Spares1,0)+IF(Q$7=YEAR(Startops2),-Spares2,0)+IF(Q$7=YEAR(Startops3),-Spares3-Spares_WTF,0)</f>
        <v>0</v>
      </c>
      <c r="R86" s="217" t="n">
        <f aca="false">IF(R$7=YEAR(Startops1),-Spares1,0)+IF(R$7=YEAR(Startops2),-Spares2,0)+IF(R$7=YEAR(Startops3),-Spares3-Spares_WTF,0)</f>
        <v>0</v>
      </c>
      <c r="S86" s="217" t="n">
        <f aca="false">IF(S$7=YEAR(Startops1),-Spares1,0)+IF(S$7=YEAR(Startops2),-Spares2,0)+IF(S$7=YEAR(Startops3),-Spares3-Spares_WTF,0)</f>
        <v>0</v>
      </c>
      <c r="T86" s="217" t="n">
        <f aca="false">IF(T$7=YEAR(Startops1),-Spares1,0)+IF(T$7=YEAR(Startops2),-Spares2,0)+IF(T$7=YEAR(Startops3),-Spares3-Spares_WTF,0)</f>
        <v>0</v>
      </c>
      <c r="U86" s="217" t="n">
        <f aca="false">IF(U$7=YEAR(Startops1),-Spares1,0)+IF(U$7=YEAR(Startops2),-Spares2,0)+IF(U$7=YEAR(Startops3),-Spares3-Spares_WTF,0)</f>
        <v>0</v>
      </c>
      <c r="V86" s="217" t="n">
        <f aca="false">IF(V$7=YEAR(Startops1),-Spares1,0)+IF(V$7=YEAR(Startops2),-Spares2,0)+IF(V$7=YEAR(Startops3),-Spares3-Spares_WTF,0)</f>
        <v>0</v>
      </c>
      <c r="W86" s="217" t="n">
        <f aca="false">IF(W$7=YEAR(Startops1),-Spares1,0)+IF(W$7=YEAR(Startops2),-Spares2,0)+IF(W$7=YEAR(Startops3),-Spares3-Spares_WTF,0)</f>
        <v>0</v>
      </c>
      <c r="X86" s="217" t="n">
        <f aca="false">IF(X$7=YEAR(Startops1),-Spares1,0)+IF(X$7=YEAR(Startops2),-Spares2,0)+IF(X$7=YEAR(Startops3),-Spares3-Spares_WTF,0)</f>
        <v>0</v>
      </c>
      <c r="Y86" s="217" t="n">
        <f aca="false">IF(Y$7=YEAR(Startops1),-Spares1,0)+IF(Y$7=YEAR(Startops2),-Spares2,0)+IF(Y$7=YEAR(Startops3),-Spares3-Spares_WTF,0)</f>
        <v>0</v>
      </c>
      <c r="Z86" s="217" t="n">
        <f aca="false">IF(Z$7=YEAR(Startops1),-Spares1,0)+IF(Z$7=YEAR(Startops2),-Spares2,0)+IF(Z$7=YEAR(Startops3),-Spares3-Spares_WTF,0)</f>
        <v>0</v>
      </c>
      <c r="AA86" s="217" t="n">
        <f aca="false">IF(AA$7=YEAR(Startops1),-Spares1,0)+IF(AA$7=YEAR(Startops2),-Spares2,0)+IF(AA$7=YEAR(Startops3),-Spares3-Spares_WTF,0)</f>
        <v>0</v>
      </c>
      <c r="AB86" s="217" t="n">
        <f aca="false">IF(AB$7=YEAR(Startops1),-Spares1,0)+IF(AB$7=YEAR(Startops2),-Spares2,0)+IF(AB$7=YEAR(Startops3),-Spares3-Spares_WTF,0)</f>
        <v>0</v>
      </c>
      <c r="AC86" s="217" t="n">
        <f aca="false">IF(AC$7=YEAR(Startops1),-Spares1,0)+IF(AC$7=YEAR(Startops2),-Spares2,0)+IF(AC$7=YEAR(Startops3),-Spares3-Spares_WTF,0)</f>
        <v>0</v>
      </c>
      <c r="AD86" s="574" t="n">
        <f aca="false">SUM(G86:AC86)</f>
        <v>-4644.494</v>
      </c>
    </row>
    <row r="87" customFormat="false" ht="12.75" hidden="false" customHeight="false" outlineLevel="0" collapsed="false">
      <c r="A87" s="37"/>
      <c r="B87" s="38" t="s">
        <v>1605</v>
      </c>
      <c r="F87" s="38"/>
      <c r="G87" s="217" t="n">
        <f aca="false">IF(G$7&lt;YEAR(Startops1),0,HLOOKUP(G$7,CF_Table,CF!$AB$63))</f>
        <v>0</v>
      </c>
      <c r="H87" s="217" t="n">
        <f aca="false">IF(H$7&lt;YEAR(Startops1),0,HLOOKUP(H$7,CF_Table,CF!$AB$63))</f>
        <v>0</v>
      </c>
      <c r="I87" s="217" t="n">
        <f aca="false">IF(I$7&lt;YEAR(Startops1),0,HLOOKUP(I$7,CF_Table,CF!$AB$63))</f>
        <v>0</v>
      </c>
      <c r="J87" s="217" t="n">
        <f aca="false">IF(J$7&lt;YEAR(Startops1),0,HLOOKUP(J$7,CF_Table,CF!$AB$63))</f>
        <v>0</v>
      </c>
      <c r="K87" s="217" t="n">
        <f aca="false">IF(K$7&lt;YEAR(Startops1),0,HLOOKUP(K$7,CF_Table,CF!$AB$63))</f>
        <v>0</v>
      </c>
      <c r="L87" s="217" t="n">
        <f aca="false">IF(L$7&lt;YEAR(Startops1),0,HLOOKUP(L$7,CF_Table,CF!$AB$63))</f>
        <v>0</v>
      </c>
      <c r="M87" s="217" t="n">
        <f aca="false">IF(M$7&lt;YEAR(Startops1),0,HLOOKUP(M$7,CF_Table,CF!$AB$63))</f>
        <v>0</v>
      </c>
      <c r="N87" s="217" t="n">
        <f aca="false">IF(N$7&lt;YEAR(Startops1),0,HLOOKUP(N$7,CF_Table,CF!$AB$63))</f>
        <v>0</v>
      </c>
      <c r="O87" s="217" t="n">
        <f aca="false">IF(O$7&lt;YEAR(Startops1),0,HLOOKUP(O$7,CF_Table,CF!$AB$63))</f>
        <v>0</v>
      </c>
      <c r="P87" s="217" t="n">
        <f aca="false">IF(P$7&lt;YEAR(Startops1),0,HLOOKUP(P$7,CF_Table,CF!$AB$63))</f>
        <v>0</v>
      </c>
      <c r="Q87" s="217" t="n">
        <f aca="false">IF(Q$7&lt;YEAR(Startops1),0,HLOOKUP(Q$7,CF_Table,CF!$AB$63))</f>
        <v>0</v>
      </c>
      <c r="R87" s="217" t="n">
        <f aca="false">IF(R$7&lt;YEAR(Startops1),0,HLOOKUP(R$7,CF_Table,CF!$AB$63))</f>
        <v>0</v>
      </c>
      <c r="S87" s="217" t="n">
        <f aca="false">IF(S$7&lt;YEAR(Startops1),0,HLOOKUP(S$7,CF_Table,CF!$AB$63))</f>
        <v>0</v>
      </c>
      <c r="T87" s="217" t="n">
        <f aca="false">IF(T$7&lt;YEAR(Startops1),0,HLOOKUP(T$7,CF_Table,CF!$AB$63))</f>
        <v>0</v>
      </c>
      <c r="U87" s="217" t="n">
        <f aca="false">IF(U$7&lt;YEAR(Startops1),0,HLOOKUP(U$7,CF_Table,CF!$AB$63))</f>
        <v>0</v>
      </c>
      <c r="V87" s="217" t="n">
        <f aca="false">IF(V$7&lt;YEAR(Startops1),0,HLOOKUP(V$7,CF_Table,CF!$AB$63))</f>
        <v>0</v>
      </c>
      <c r="W87" s="217" t="n">
        <f aca="false">IF(W$7&lt;YEAR(Startops1),0,HLOOKUP(W$7,CF_Table,CF!$AB$63))</f>
        <v>0</v>
      </c>
      <c r="X87" s="217" t="n">
        <f aca="false">IF(X$7&lt;YEAR(Startops1),0,HLOOKUP(X$7,CF_Table,CF!$AB$63))</f>
        <v>0</v>
      </c>
      <c r="Y87" s="217" t="n">
        <f aca="false">IF(Y$7&lt;YEAR(Startops1),0,HLOOKUP(Y$7,CF_Table,CF!$AB$63))</f>
        <v>0</v>
      </c>
      <c r="Z87" s="217" t="n">
        <f aca="false">IF(Z$7&lt;YEAR(Startops1),0,HLOOKUP(Z$7,CF_Table,CF!$AB$63))</f>
        <v>0</v>
      </c>
      <c r="AA87" s="217" t="n">
        <f aca="false">IF(AA$7&lt;YEAR(Startops1),0,HLOOKUP(AA$7,CF_Table,CF!$AB$63))</f>
        <v>0</v>
      </c>
      <c r="AB87" s="217" t="n">
        <f aca="false">IF(AB$7&lt;YEAR(Startops1),0,HLOOKUP(AB$7,CF_Table,CF!$AB$63))</f>
        <v>0</v>
      </c>
      <c r="AC87" s="217" t="n">
        <f aca="false">IF(AC$7&lt;YEAR(Startops1),0,HLOOKUP(AC$7,CF_Table,CF!$AB$63))</f>
        <v>4644.494</v>
      </c>
      <c r="AD87" s="574" t="n">
        <f aca="false">SUM(G87:AC87)</f>
        <v>4644.494</v>
      </c>
    </row>
    <row r="88" customFormat="false" ht="12.75" hidden="false" customHeight="false" outlineLevel="0" collapsed="false">
      <c r="A88" s="37"/>
      <c r="B88" s="38" t="s">
        <v>1606</v>
      </c>
      <c r="F88" s="38"/>
      <c r="G88" s="217" t="n">
        <f aca="false">IF(G$7&lt;YEAR(Startops1),0,HLOOKUP(G$7,CF_Table,CF!$AB$75))</f>
        <v>0</v>
      </c>
      <c r="H88" s="217" t="n">
        <f aca="false">IF(H$7&lt;YEAR(Startops1),0,HLOOKUP(H$7,CF_Table,CF!$AB$75))</f>
        <v>0</v>
      </c>
      <c r="I88" s="217" t="n">
        <f aca="false">IF(I$7&lt;YEAR(Startops1),0,HLOOKUP(I$7,CF_Table,CF!$AB$75))</f>
        <v>-0</v>
      </c>
      <c r="J88" s="217" t="n">
        <f aca="false">IF(J$7&lt;YEAR(Startops1),0,HLOOKUP(J$7,CF_Table,CF!$AB$75))</f>
        <v>-3358.33879983726</v>
      </c>
      <c r="K88" s="217" t="n">
        <f aca="false">IF(K$7&lt;YEAR(Startops1),0,HLOOKUP(K$7,CF_Table,CF!$AB$75))</f>
        <v>-15292.0993027562</v>
      </c>
      <c r="L88" s="217" t="n">
        <f aca="false">IF(L$7&lt;YEAR(Startops1),0,HLOOKUP(L$7,CF_Table,CF!$AB$75))</f>
        <v>-1764.3222505153</v>
      </c>
      <c r="M88" s="217" t="n">
        <f aca="false">IF(M$7&lt;YEAR(Startops1),0,HLOOKUP(M$7,CF_Table,CF!$AB$75))</f>
        <v>-4601.47099777068</v>
      </c>
      <c r="N88" s="217" t="n">
        <f aca="false">IF(N$7&lt;YEAR(Startops1),0,HLOOKUP(N$7,CF_Table,CF!$AB$75))</f>
        <v>-0</v>
      </c>
      <c r="O88" s="217" t="n">
        <f aca="false">IF(O$7&lt;YEAR(Startops1),0,HLOOKUP(O$7,CF_Table,CF!$AB$75))</f>
        <v>-6357.2775341353</v>
      </c>
      <c r="P88" s="217" t="n">
        <f aca="false">IF(P$7&lt;YEAR(Startops1),0,HLOOKUP(P$7,CF_Table,CF!$AB$75))</f>
        <v>-6443.35428585609</v>
      </c>
      <c r="Q88" s="217" t="n">
        <f aca="false">IF(Q$7&lt;YEAR(Startops1),0,HLOOKUP(Q$7,CF_Table,CF!$AB$75))</f>
        <v>-1798.90879566763</v>
      </c>
      <c r="R88" s="217" t="n">
        <f aca="false">IF(R$7&lt;YEAR(Startops1),0,HLOOKUP(R$7,CF_Table,CF!$AB$75))</f>
        <v>-0</v>
      </c>
      <c r="S88" s="217" t="n">
        <f aca="false">IF(S$7&lt;YEAR(Startops1),0,HLOOKUP(S$7,CF_Table,CF!$AB$75))</f>
        <v>-0</v>
      </c>
      <c r="T88" s="217" t="n">
        <f aca="false">IF(T$7&lt;YEAR(Startops1),0,HLOOKUP(T$7,CF_Table,CF!$AB$75))</f>
        <v>-0</v>
      </c>
      <c r="U88" s="217" t="n">
        <f aca="false">IF(U$7&lt;YEAR(Startops1),0,HLOOKUP(U$7,CF_Table,CF!$AB$75))</f>
        <v>-0</v>
      </c>
      <c r="V88" s="217" t="n">
        <f aca="false">IF(V$7&lt;YEAR(Startops1),0,HLOOKUP(V$7,CF_Table,CF!$AB$75))</f>
        <v>-0</v>
      </c>
      <c r="W88" s="217" t="n">
        <f aca="false">IF(W$7&lt;YEAR(Startops1),0,HLOOKUP(W$7,CF_Table,CF!$AB$75))</f>
        <v>-7218.72588250839</v>
      </c>
      <c r="X88" s="217" t="n">
        <f aca="false">IF(X$7&lt;YEAR(Startops1),0,HLOOKUP(X$7,CF_Table,CF!$AB$75))</f>
        <v>-3399.26341716396</v>
      </c>
      <c r="Y88" s="217" t="n">
        <f aca="false">IF(Y$7&lt;YEAR(Startops1),0,HLOOKUP(Y$7,CF_Table,CF!$AB$75))</f>
        <v>-0</v>
      </c>
      <c r="Z88" s="217" t="n">
        <f aca="false">IF(Z$7&lt;YEAR(Startops1),0,HLOOKUP(Z$7,CF_Table,CF!$AB$75))</f>
        <v>-6085.65046383107</v>
      </c>
      <c r="AA88" s="217" t="n">
        <f aca="false">IF(AA$7&lt;YEAR(Startops1),0,HLOOKUP(AA$7,CF_Table,CF!$AB$75))</f>
        <v>-4689.91363850864</v>
      </c>
      <c r="AB88" s="217" t="n">
        <f aca="false">IF(AB$7&lt;YEAR(Startops1),0,HLOOKUP(AB$7,CF_Table,CF!$AB$75))</f>
        <v>-6224.60529260744</v>
      </c>
      <c r="AC88" s="217" t="n">
        <f aca="false">IF(AC$7&lt;YEAR(Startops1),0,HLOOKUP(AC$7,CF_Table,CF!$AB$75))</f>
        <v>-0</v>
      </c>
      <c r="AD88" s="574" t="n">
        <f aca="false">SUM(G88:AC88)</f>
        <v>-67233.930661158</v>
      </c>
    </row>
    <row r="89" customFormat="false" ht="12.75" hidden="false" customHeight="false" outlineLevel="0" collapsed="false">
      <c r="A89" s="37"/>
      <c r="B89" s="38" t="s">
        <v>1345</v>
      </c>
      <c r="F89" s="38"/>
      <c r="G89" s="217" t="n">
        <f aca="false">IF(G$7&lt;YEAR(Startops1),0,HLOOKUP(G$7,CF_Table,CF!$AB$76))</f>
        <v>0</v>
      </c>
      <c r="H89" s="217" t="n">
        <f aca="false">IF(H$7&lt;YEAR(Startops1),0,HLOOKUP(H$7,CF_Table,CF!$AB$76))</f>
        <v>0</v>
      </c>
      <c r="I89" s="217" t="n">
        <f aca="false">IF(I$7&lt;YEAR(Startops1),0,HLOOKUP(I$7,CF_Table,CF!$AB$76))</f>
        <v>1978.50807527969</v>
      </c>
      <c r="J89" s="217" t="n">
        <f aca="false">IF(J$7&lt;YEAR(Startops1),0,HLOOKUP(J$7,CF_Table,CF!$AB$76))</f>
        <v>-0</v>
      </c>
      <c r="K89" s="217" t="n">
        <f aca="false">IF(K$7&lt;YEAR(Startops1),0,HLOOKUP(K$7,CF_Table,CF!$AB$76))</f>
        <v>-0</v>
      </c>
      <c r="L89" s="217" t="n">
        <f aca="false">IF(L$7&lt;YEAR(Startops1),0,HLOOKUP(L$7,CF_Table,CF!$AB$76))</f>
        <v>-0</v>
      </c>
      <c r="M89" s="217" t="n">
        <f aca="false">IF(M$7&lt;YEAR(Startops1),0,HLOOKUP(M$7,CF_Table,CF!$AB$76))</f>
        <v>-0</v>
      </c>
      <c r="N89" s="217" t="n">
        <f aca="false">IF(N$7&lt;YEAR(Startops1),0,HLOOKUP(N$7,CF_Table,CF!$AB$76))</f>
        <v>7557.49672423914</v>
      </c>
      <c r="O89" s="217" t="n">
        <f aca="false">IF(O$7&lt;YEAR(Startops1),0,HLOOKUP(O$7,CF_Table,CF!$AB$76))</f>
        <v>-0</v>
      </c>
      <c r="P89" s="217" t="n">
        <f aca="false">IF(P$7&lt;YEAR(Startops1),0,HLOOKUP(P$7,CF_Table,CF!$AB$76))</f>
        <v>-0</v>
      </c>
      <c r="Q89" s="217" t="n">
        <f aca="false">IF(Q$7&lt;YEAR(Startops1),0,HLOOKUP(Q$7,CF_Table,CF!$AB$76))</f>
        <v>-0</v>
      </c>
      <c r="R89" s="217" t="n">
        <f aca="false">IF(R$7&lt;YEAR(Startops1),0,HLOOKUP(R$7,CF_Table,CF!$AB$76))</f>
        <v>2518.81668588427</v>
      </c>
      <c r="S89" s="217" t="n">
        <f aca="false">IF(S$7&lt;YEAR(Startops1),0,HLOOKUP(S$7,CF_Table,CF!$AB$76))</f>
        <v>1145.38220441602</v>
      </c>
      <c r="T89" s="217" t="n">
        <f aca="false">IF(T$7&lt;YEAR(Startops1),0,HLOOKUP(T$7,CF_Table,CF!$AB$76))</f>
        <v>2296.24387477943</v>
      </c>
      <c r="U89" s="217" t="n">
        <f aca="false">IF(U$7&lt;YEAR(Startops1),0,HLOOKUP(U$7,CF_Table,CF!$AB$76))</f>
        <v>7513.89740534845</v>
      </c>
      <c r="V89" s="217" t="n">
        <f aca="false">IF(V$7&lt;YEAR(Startops1),0,HLOOKUP(V$7,CF_Table,CF!$AB$76))</f>
        <v>5218.33366649822</v>
      </c>
      <c r="W89" s="217" t="n">
        <f aca="false">IF(W$7&lt;YEAR(Startops1),0,HLOOKUP(W$7,CF_Table,CF!$AB$76))</f>
        <v>-0</v>
      </c>
      <c r="X89" s="217" t="n">
        <f aca="false">IF(X$7&lt;YEAR(Startops1),0,HLOOKUP(X$7,CF_Table,CF!$AB$76))</f>
        <v>-0</v>
      </c>
      <c r="Y89" s="217" t="n">
        <f aca="false">IF(Y$7&lt;YEAR(Startops1),0,HLOOKUP(Y$7,CF_Table,CF!$AB$76))</f>
        <v>1989.41297351263</v>
      </c>
      <c r="Z89" s="217" t="n">
        <f aca="false">IF(Z$7&lt;YEAR(Startops1),0,HLOOKUP(Z$7,CF_Table,CF!$AB$76))</f>
        <v>-0</v>
      </c>
      <c r="AA89" s="217" t="n">
        <f aca="false">IF(AA$7&lt;YEAR(Startops1),0,HLOOKUP(AA$7,CF_Table,CF!$AB$76))</f>
        <v>-0</v>
      </c>
      <c r="AB89" s="217" t="n">
        <f aca="false">IF(AB$7&lt;YEAR(Startops1),0,HLOOKUP(AB$7,CF_Table,CF!$AB$76))</f>
        <v>-0</v>
      </c>
      <c r="AC89" s="217" t="n">
        <f aca="false">IF(AC$7&lt;YEAR(Startops1),0,HLOOKUP(AC$7,CF_Table,CF!$AB$76))</f>
        <v>37015.8390512002</v>
      </c>
      <c r="AD89" s="574" t="n">
        <f aca="false">SUM(G89:AC89)</f>
        <v>67233.930661158</v>
      </c>
    </row>
    <row r="90" customFormat="false" ht="12.75" hidden="false" customHeight="false" outlineLevel="0" collapsed="false">
      <c r="A90" s="37"/>
      <c r="B90" s="38" t="s">
        <v>1607</v>
      </c>
      <c r="F90" s="38"/>
      <c r="G90" s="217" t="n">
        <f aca="false">IF(G$7&lt;YEAR(Startops1),0,HLOOKUP(G$7,CF_Table,CF!$AB$30))</f>
        <v>0</v>
      </c>
      <c r="H90" s="217" t="n">
        <f aca="false">IF(H$7&lt;YEAR(Startops1),0,HLOOKUP(H$7,CF_Table,CF!$AB$30))</f>
        <v>0</v>
      </c>
      <c r="I90" s="217" t="n">
        <f aca="false">IF(I$7&lt;YEAR(Startops1),0,HLOOKUP(I$7,CF_Table,CF!$AB$30))</f>
        <v>0</v>
      </c>
      <c r="J90" s="217" t="n">
        <f aca="false">IF(J$7&lt;YEAR(Startops1),0,HLOOKUP(J$7,CF_Table,CF!$AB$30))</f>
        <v>0</v>
      </c>
      <c r="K90" s="217" t="n">
        <f aca="false">IF(K$7&lt;YEAR(Startops1),0,HLOOKUP(K$7,CF_Table,CF!$AB$30))</f>
        <v>68.9915362278783</v>
      </c>
      <c r="L90" s="217" t="n">
        <f aca="false">IF(L$7&lt;YEAR(Startops1),0,HLOOKUP(L$7,CF_Table,CF!$AB$30))</f>
        <v>833.59650136569</v>
      </c>
      <c r="M90" s="217" t="n">
        <f aca="false">IF(M$7&lt;YEAR(Startops1),0,HLOOKUP(M$7,CF_Table,CF!$AB$30))</f>
        <v>921.812613891455</v>
      </c>
      <c r="N90" s="217" t="n">
        <f aca="false">IF(N$7&lt;YEAR(Startops1),0,HLOOKUP(N$7,CF_Table,CF!$AB$30))</f>
        <v>1151.88616377999</v>
      </c>
      <c r="O90" s="217" t="n">
        <f aca="false">IF(O$7&lt;YEAR(Startops1),0,HLOOKUP(O$7,CF_Table,CF!$AB$30))</f>
        <v>1151.88616377999</v>
      </c>
      <c r="P90" s="217" t="n">
        <f aca="false">IF(P$7&lt;YEAR(Startops1),0,HLOOKUP(P$7,CF_Table,CF!$AB$30))</f>
        <v>1091.8752042748</v>
      </c>
      <c r="Q90" s="217" t="n">
        <f aca="false">IF(Q$7&lt;YEAR(Startops1),0,HLOOKUP(Q$7,CF_Table,CF!$AB$30))</f>
        <v>1414.0429185676</v>
      </c>
      <c r="R90" s="217" t="n">
        <f aca="false">IF(R$7&lt;YEAR(Startops1),0,HLOOKUP(R$7,CF_Table,CF!$AB$30))</f>
        <v>1503.98835835098</v>
      </c>
      <c r="S90" s="217" t="n">
        <f aca="false">IF(S$7&lt;YEAR(Startops1),0,HLOOKUP(S$7,CF_Table,CF!$AB$30))</f>
        <v>1503.98835835098</v>
      </c>
      <c r="T90" s="217" t="n">
        <f aca="false">IF(T$7&lt;YEAR(Startops1),0,HLOOKUP(T$7,CF_Table,CF!$AB$30))</f>
        <v>1378.04752405677</v>
      </c>
      <c r="U90" s="217" t="n">
        <f aca="false">IF(U$7&lt;YEAR(Startops1),0,HLOOKUP(U$7,CF_Table,CF!$AB$30))</f>
        <v>1320.77841383597</v>
      </c>
      <c r="V90" s="217" t="n">
        <f aca="false">IF(V$7&lt;YEAR(Startops1),0,HLOOKUP(V$7,CF_Table,CF!$AB$30))</f>
        <v>1205.966220097</v>
      </c>
      <c r="W90" s="217" t="n">
        <f aca="false">IF(W$7&lt;YEAR(Startops1),0,HLOOKUP(W$7,CF_Table,CF!$AB$30))</f>
        <v>830.271349829575</v>
      </c>
      <c r="X90" s="217" t="n">
        <f aca="false">IF(X$7&lt;YEAR(Startops1),0,HLOOKUP(X$7,CF_Table,CF!$AB$30))</f>
        <v>930.290960630083</v>
      </c>
      <c r="Y90" s="217" t="n">
        <f aca="false">IF(Y$7&lt;YEAR(Startops1),0,HLOOKUP(Y$7,CF_Table,CF!$AB$30))</f>
        <v>1100.25413148828</v>
      </c>
      <c r="Z90" s="217" t="n">
        <f aca="false">IF(Z$7&lt;YEAR(Startops1),0,HLOOKUP(Z$7,CF_Table,CF!$AB$30))</f>
        <v>1100.25413148828</v>
      </c>
      <c r="AA90" s="217" t="n">
        <f aca="false">IF(AA$7&lt;YEAR(Startops1),0,HLOOKUP(AA$7,CF_Table,CF!$AB$30))</f>
        <v>1305.0660060042</v>
      </c>
      <c r="AB90" s="217" t="n">
        <f aca="false">IF(AB$7&lt;YEAR(Startops1),0,HLOOKUP(AB$7,CF_Table,CF!$AB$30))</f>
        <v>1539.56168792964</v>
      </c>
      <c r="AC90" s="217" t="n">
        <f aca="false">IF(AC$7&lt;YEAR(Startops1),0,HLOOKUP(AC$7,CF_Table,CF!$AB$30))</f>
        <v>1850.79195256001</v>
      </c>
      <c r="AD90" s="574" t="n">
        <f aca="false">SUM(G90:AC90)</f>
        <v>22203.3501965092</v>
      </c>
    </row>
    <row r="91" customFormat="false" ht="12.75" hidden="false" customHeight="false" outlineLevel="0" collapsed="false">
      <c r="A91" s="37"/>
      <c r="B91" s="38" t="s">
        <v>1608</v>
      </c>
      <c r="F91" s="38"/>
      <c r="G91" s="217" t="n">
        <f aca="false">G53</f>
        <v>0</v>
      </c>
      <c r="H91" s="217" t="n">
        <f aca="false">H53</f>
        <v>0</v>
      </c>
      <c r="I91" s="217" t="n">
        <f aca="false">I53</f>
        <v>-0</v>
      </c>
      <c r="J91" s="217" t="n">
        <f aca="false">J53</f>
        <v>-0</v>
      </c>
      <c r="K91" s="217" t="n">
        <f aca="false">K53</f>
        <v>-6866.1388759198</v>
      </c>
      <c r="L91" s="217" t="n">
        <f aca="false">L53</f>
        <v>-16245.849069511</v>
      </c>
      <c r="M91" s="217" t="n">
        <f aca="false">M53</f>
        <v>-15297.1145543459</v>
      </c>
      <c r="N91" s="217" t="n">
        <f aca="false">N53</f>
        <v>-14256.7267686017</v>
      </c>
      <c r="O91" s="217" t="n">
        <f aca="false">O53</f>
        <v>-13047.8739914031</v>
      </c>
      <c r="P91" s="217" t="n">
        <f aca="false">P53</f>
        <v>-11750.4132012332</v>
      </c>
      <c r="Q91" s="217" t="n">
        <f aca="false">Q53</f>
        <v>-10380.0289673911</v>
      </c>
      <c r="R91" s="217" t="n">
        <f aca="false">R53</f>
        <v>-8974.06088972822</v>
      </c>
      <c r="S91" s="217" t="n">
        <f aca="false">S53</f>
        <v>-7705.25600331445</v>
      </c>
      <c r="T91" s="217" t="n">
        <f aca="false">T53</f>
        <v>-6465.01759721142</v>
      </c>
      <c r="U91" s="217" t="n">
        <f aca="false">U53</f>
        <v>-5197.77633917085</v>
      </c>
      <c r="V91" s="217" t="n">
        <f aca="false">V53</f>
        <v>-3910.35006902801</v>
      </c>
      <c r="W91" s="217" t="n">
        <f aca="false">W53</f>
        <v>-2848.34668448025</v>
      </c>
      <c r="X91" s="217" t="n">
        <f aca="false">X53</f>
        <v>-1786.34329993249</v>
      </c>
      <c r="Y91" s="217" t="n">
        <f aca="false">Y53</f>
        <v>-701.827212434818</v>
      </c>
      <c r="Z91" s="217" t="n">
        <f aca="false">Z53</f>
        <v>-0</v>
      </c>
      <c r="AA91" s="217" t="n">
        <f aca="false">AA53</f>
        <v>-0</v>
      </c>
      <c r="AB91" s="217" t="n">
        <f aca="false">AB53</f>
        <v>-0</v>
      </c>
      <c r="AC91" s="217" t="n">
        <f aca="false">AC53</f>
        <v>-0</v>
      </c>
      <c r="AD91" s="574" t="n">
        <f aca="false">SUM(G91:AC91)</f>
        <v>-125433.123523706</v>
      </c>
    </row>
    <row r="92" customFormat="false" ht="12.75" hidden="false" customHeight="false" outlineLevel="0" collapsed="false">
      <c r="A92" s="37"/>
      <c r="B92" s="38" t="s">
        <v>1609</v>
      </c>
      <c r="F92" s="38"/>
      <c r="G92" s="217" t="n">
        <f aca="false">G54</f>
        <v>0</v>
      </c>
      <c r="H92" s="217" t="n">
        <f aca="false">H54</f>
        <v>0</v>
      </c>
      <c r="I92" s="217" t="n">
        <f aca="false">I54</f>
        <v>-0</v>
      </c>
      <c r="J92" s="217" t="n">
        <f aca="false">J54</f>
        <v>-0</v>
      </c>
      <c r="K92" s="217" t="n">
        <f aca="false">K54</f>
        <v>-2694.78154144109</v>
      </c>
      <c r="L92" s="217" t="n">
        <f aca="false">L54</f>
        <v>-6397.33203104365</v>
      </c>
      <c r="M92" s="217" t="n">
        <f aca="false">M54</f>
        <v>-6098.22364659681</v>
      </c>
      <c r="N92" s="217" t="n">
        <f aca="false">N54</f>
        <v>-5758.9674392476</v>
      </c>
      <c r="O92" s="217" t="n">
        <f aca="false">O54</f>
        <v>-5374.17456746693</v>
      </c>
      <c r="P92" s="217" t="n">
        <f aca="false">P54</f>
        <v>-4937.7328724715</v>
      </c>
      <c r="Q92" s="217" t="n">
        <f aca="false">Q54</f>
        <v>-4442.70979096531</v>
      </c>
      <c r="R92" s="217" t="n">
        <f aca="false">R54</f>
        <v>-3881.24223634396</v>
      </c>
      <c r="S92" s="217" t="n">
        <f aca="false">S54</f>
        <v>-3244.41169920355</v>
      </c>
      <c r="T92" s="217" t="n">
        <f aca="false">T54</f>
        <v>-2522.10258321547</v>
      </c>
      <c r="U92" s="217" t="n">
        <f aca="false">U54</f>
        <v>-1702.84152613389</v>
      </c>
      <c r="V92" s="217" t="n">
        <f aca="false">V54</f>
        <v>-773.615153665539</v>
      </c>
      <c r="W92" s="217" t="n">
        <f aca="false">W54</f>
        <v>-0</v>
      </c>
      <c r="X92" s="217" t="n">
        <f aca="false">X54</f>
        <v>-0</v>
      </c>
      <c r="Y92" s="217" t="n">
        <f aca="false">Y54</f>
        <v>-0</v>
      </c>
      <c r="Z92" s="217" t="n">
        <f aca="false">Z54</f>
        <v>-0</v>
      </c>
      <c r="AA92" s="217" t="n">
        <f aca="false">AA54</f>
        <v>-0</v>
      </c>
      <c r="AB92" s="217" t="n">
        <f aca="false">AB54</f>
        <v>-0</v>
      </c>
      <c r="AC92" s="217" t="n">
        <f aca="false">AC54</f>
        <v>-0</v>
      </c>
      <c r="AD92" s="574" t="n">
        <f aca="false">SUM(G92:AC92)</f>
        <v>-47828.1350877953</v>
      </c>
    </row>
    <row r="93" customFormat="false" ht="12.75" hidden="false" customHeight="false" outlineLevel="0" collapsed="false">
      <c r="A93" s="37"/>
      <c r="B93" s="38" t="s">
        <v>1559</v>
      </c>
      <c r="F93" s="38"/>
      <c r="G93" s="217" t="n">
        <f aca="false">G55</f>
        <v>0</v>
      </c>
      <c r="H93" s="217" t="n">
        <f aca="false">H55</f>
        <v>0</v>
      </c>
      <c r="I93" s="217" t="n">
        <f aca="false">I55</f>
        <v>-988.566582744534</v>
      </c>
      <c r="J93" s="217" t="n">
        <f aca="false">J55</f>
        <v>-2665.13260186675</v>
      </c>
      <c r="K93" s="217" t="n">
        <f aca="false">K55</f>
        <v>-5739.81667071093</v>
      </c>
      <c r="L93" s="217" t="n">
        <f aca="false">L55</f>
        <v>0</v>
      </c>
      <c r="M93" s="217" t="n">
        <f aca="false">M55</f>
        <v>0</v>
      </c>
      <c r="N93" s="217" t="n">
        <f aca="false">N55</f>
        <v>0</v>
      </c>
      <c r="O93" s="217" t="n">
        <f aca="false">O55</f>
        <v>0</v>
      </c>
      <c r="P93" s="217" t="n">
        <f aca="false">P55</f>
        <v>0</v>
      </c>
      <c r="Q93" s="217" t="n">
        <f aca="false">Q55</f>
        <v>0</v>
      </c>
      <c r="R93" s="217" t="n">
        <f aca="false">R55</f>
        <v>0</v>
      </c>
      <c r="S93" s="217" t="n">
        <f aca="false">S55</f>
        <v>0</v>
      </c>
      <c r="T93" s="217" t="n">
        <f aca="false">T55</f>
        <v>0</v>
      </c>
      <c r="U93" s="217" t="n">
        <f aca="false">U55</f>
        <v>0</v>
      </c>
      <c r="V93" s="217" t="n">
        <f aca="false">V55</f>
        <v>0</v>
      </c>
      <c r="W93" s="217" t="n">
        <f aca="false">W55</f>
        <v>0</v>
      </c>
      <c r="X93" s="217" t="n">
        <f aca="false">X55</f>
        <v>0</v>
      </c>
      <c r="Y93" s="217" t="n">
        <f aca="false">Y55</f>
        <v>0</v>
      </c>
      <c r="Z93" s="217" t="n">
        <f aca="false">Z55</f>
        <v>0</v>
      </c>
      <c r="AA93" s="217" t="n">
        <f aca="false">AA55</f>
        <v>0</v>
      </c>
      <c r="AB93" s="217" t="n">
        <f aca="false">AB55</f>
        <v>0</v>
      </c>
      <c r="AC93" s="217" t="n">
        <f aca="false">AC55</f>
        <v>0</v>
      </c>
      <c r="AD93" s="574" t="n">
        <f aca="false">SUM(G93:AC93)</f>
        <v>-9393.51585532221</v>
      </c>
    </row>
    <row r="94" customFormat="false" ht="12.75" hidden="false" customHeight="false" outlineLevel="0" collapsed="false">
      <c r="A94" s="37"/>
      <c r="B94" s="38" t="s">
        <v>1610</v>
      </c>
      <c r="F94" s="38"/>
      <c r="G94" s="217" t="n">
        <f aca="false">G59</f>
        <v>0</v>
      </c>
      <c r="H94" s="217" t="n">
        <f aca="false">H59</f>
        <v>0</v>
      </c>
      <c r="I94" s="217" t="n">
        <f aca="false">I59</f>
        <v>-0</v>
      </c>
      <c r="J94" s="217" t="n">
        <f aca="false">J59</f>
        <v>-0</v>
      </c>
      <c r="K94" s="217" t="n">
        <f aca="false">K59</f>
        <v>-0</v>
      </c>
      <c r="L94" s="217" t="n">
        <f aca="false">L59</f>
        <v>-0</v>
      </c>
      <c r="M94" s="217" t="n">
        <f aca="false">M59</f>
        <v>-2042.89183669435</v>
      </c>
      <c r="N94" s="217" t="n">
        <f aca="false">N59</f>
        <v>-0</v>
      </c>
      <c r="O94" s="217" t="n">
        <f aca="false">O59</f>
        <v>-7865.571578684</v>
      </c>
      <c r="P94" s="217" t="n">
        <f aca="false">P59</f>
        <v>-8917.34191599675</v>
      </c>
      <c r="Q94" s="217" t="n">
        <f aca="false">Q59</f>
        <v>-8656.03734334056</v>
      </c>
      <c r="R94" s="217" t="n">
        <f aca="false">R59</f>
        <v>-7717.72673158535</v>
      </c>
      <c r="S94" s="217" t="n">
        <f aca="false">S59</f>
        <v>-8069.96215435123</v>
      </c>
      <c r="T94" s="217" t="n">
        <f aca="false">T59</f>
        <v>-9279.35702049191</v>
      </c>
      <c r="U94" s="217" t="n">
        <f aca="false">U59</f>
        <v>-9279.35702049191</v>
      </c>
      <c r="V94" s="217" t="n">
        <f aca="false">V59</f>
        <v>-7154.66177092837</v>
      </c>
      <c r="W94" s="217" t="n">
        <f aca="false">W59</f>
        <v>-9279.35702049191</v>
      </c>
      <c r="X94" s="217" t="n">
        <f aca="false">X59</f>
        <v>-3584.93109373236</v>
      </c>
      <c r="Y94" s="217" t="n">
        <f aca="false">Y59</f>
        <v>-0</v>
      </c>
      <c r="Z94" s="217" t="n">
        <f aca="false">Z59</f>
        <v>-0</v>
      </c>
      <c r="AA94" s="217" t="n">
        <f aca="false">AA59</f>
        <v>-0</v>
      </c>
      <c r="AB94" s="217" t="n">
        <f aca="false">AB59</f>
        <v>-0</v>
      </c>
      <c r="AC94" s="217" t="n">
        <f aca="false">AC59</f>
        <v>-0</v>
      </c>
      <c r="AD94" s="574" t="n">
        <f aca="false">SUM(G94:AC94)</f>
        <v>-81847.1954867887</v>
      </c>
    </row>
    <row r="95" customFormat="false" ht="12.75" hidden="false" customHeight="false" outlineLevel="0" collapsed="false">
      <c r="A95" s="37"/>
      <c r="B95" s="38" t="s">
        <v>1611</v>
      </c>
      <c r="F95" s="38"/>
      <c r="G95" s="217" t="n">
        <f aca="false">IF(G$7&lt;YEAR(Startops1),0,HLOOKUP(G$7,CF_Table,CF!$AB$33))</f>
        <v>0</v>
      </c>
      <c r="H95" s="217" t="n">
        <f aca="false">IF(H$7&lt;YEAR(Startops1),0,HLOOKUP(H$7,CF_Table,CF!$AB$33))</f>
        <v>0</v>
      </c>
      <c r="I95" s="217" t="n">
        <f aca="false">IF(I$7&lt;YEAR(Startops1),0,HLOOKUP(I$7,CF_Table,CF!$AB$33))</f>
        <v>0</v>
      </c>
      <c r="J95" s="217" t="n">
        <f aca="false">IF(J$7&lt;YEAR(Startops1),0,HLOOKUP(J$7,CF_Table,CF!$AB$33))</f>
        <v>0</v>
      </c>
      <c r="K95" s="217" t="n">
        <f aca="false">IF(K$7&lt;YEAR(Startops1),0,HLOOKUP(K$7,CF_Table,CF!$AB$33))</f>
        <v>-12.5</v>
      </c>
      <c r="L95" s="217" t="n">
        <f aca="false">IF(L$7&lt;YEAR(Startops1),0,HLOOKUP(L$7,CF_Table,CF!$AB$33))</f>
        <v>-12.5</v>
      </c>
      <c r="M95" s="217" t="n">
        <f aca="false">IF(M$7&lt;YEAR(Startops1),0,HLOOKUP(M$7,CF_Table,CF!$AB$33))</f>
        <v>-12.5</v>
      </c>
      <c r="N95" s="217" t="n">
        <f aca="false">IF(N$7&lt;YEAR(Startops1),0,HLOOKUP(N$7,CF_Table,CF!$AB$33))</f>
        <v>-12.5</v>
      </c>
      <c r="O95" s="217" t="n">
        <f aca="false">IF(O$7&lt;YEAR(Startops1),0,HLOOKUP(O$7,CF_Table,CF!$AB$33))</f>
        <v>-12.5</v>
      </c>
      <c r="P95" s="217" t="n">
        <f aca="false">IF(P$7&lt;YEAR(Startops1),0,HLOOKUP(P$7,CF_Table,CF!$AB$33))</f>
        <v>-12.5</v>
      </c>
      <c r="Q95" s="217" t="n">
        <f aca="false">IF(Q$7&lt;YEAR(Startops1),0,HLOOKUP(Q$7,CF_Table,CF!$AB$33))</f>
        <v>-12.5</v>
      </c>
      <c r="R95" s="217" t="n">
        <f aca="false">IF(R$7&lt;YEAR(Startops1),0,HLOOKUP(R$7,CF_Table,CF!$AB$33))</f>
        <v>-12.5</v>
      </c>
      <c r="S95" s="217" t="n">
        <f aca="false">IF(S$7&lt;YEAR(Startops1),0,HLOOKUP(S$7,CF_Table,CF!$AB$33))</f>
        <v>-12.5</v>
      </c>
      <c r="T95" s="217" t="n">
        <f aca="false">IF(T$7&lt;YEAR(Startops1),0,HLOOKUP(T$7,CF_Table,CF!$AB$33))</f>
        <v>-12.5</v>
      </c>
      <c r="U95" s="217" t="n">
        <f aca="false">IF(U$7&lt;YEAR(Startops1),0,HLOOKUP(U$7,CF_Table,CF!$AB$33))</f>
        <v>-12.5</v>
      </c>
      <c r="V95" s="217" t="n">
        <f aca="false">IF(V$7&lt;YEAR(Startops1),0,HLOOKUP(V$7,CF_Table,CF!$AB$33))</f>
        <v>-12.5</v>
      </c>
      <c r="W95" s="217" t="n">
        <f aca="false">IF(W$7&lt;YEAR(Startops1),0,HLOOKUP(W$7,CF_Table,CF!$AB$33))</f>
        <v>-12.5</v>
      </c>
      <c r="X95" s="217" t="n">
        <f aca="false">IF(X$7&lt;YEAR(Startops1),0,HLOOKUP(X$7,CF_Table,CF!$AB$33))</f>
        <v>-12.5</v>
      </c>
      <c r="Y95" s="217" t="n">
        <f aca="false">IF(Y$7&lt;YEAR(Startops1),0,HLOOKUP(Y$7,CF_Table,CF!$AB$33))</f>
        <v>-12.5</v>
      </c>
      <c r="Z95" s="217" t="n">
        <f aca="false">IF(Z$7&lt;YEAR(Startops1),0,HLOOKUP(Z$7,CF_Table,CF!$AB$33))</f>
        <v>0</v>
      </c>
      <c r="AA95" s="217" t="n">
        <f aca="false">IF(AA$7&lt;YEAR(Startops1),0,HLOOKUP(AA$7,CF_Table,CF!$AB$33))</f>
        <v>0</v>
      </c>
      <c r="AB95" s="217" t="n">
        <f aca="false">IF(AB$7&lt;YEAR(Startops1),0,HLOOKUP(AB$7,CF_Table,CF!$AB$33))</f>
        <v>0</v>
      </c>
      <c r="AC95" s="217" t="n">
        <f aca="false">IF(AC$7&lt;YEAR(Startops1),0,HLOOKUP(AC$7,CF_Table,CF!$AB$33))</f>
        <v>0</v>
      </c>
      <c r="AD95" s="574" t="n">
        <f aca="false">SUM(G95:AC95)</f>
        <v>-187.5</v>
      </c>
    </row>
    <row r="96" customFormat="false" ht="12.75" hidden="false" customHeight="false" outlineLevel="0" collapsed="false">
      <c r="A96" s="37"/>
      <c r="B96" s="38" t="s">
        <v>1612</v>
      </c>
      <c r="F96" s="38"/>
      <c r="G96" s="217" t="n">
        <f aca="false">IF(G$7&lt;YEAR(Startops1),0,HLOOKUP(G$7,CF_Table,CF!$AB$34))</f>
        <v>0</v>
      </c>
      <c r="H96" s="217" t="n">
        <f aca="false">IF(H$7&lt;YEAR(Startops1),0,HLOOKUP(H$7,CF_Table,CF!$AB$34))</f>
        <v>0</v>
      </c>
      <c r="I96" s="217" t="n">
        <f aca="false">IF(I$7&lt;YEAR(Startops1),0,HLOOKUP(I$7,CF_Table,CF!$AB$34))</f>
        <v>-0</v>
      </c>
      <c r="J96" s="217" t="n">
        <f aca="false">IF(J$7&lt;YEAR(Startops1),0,HLOOKUP(J$7,CF_Table,CF!$AB$34))</f>
        <v>-85.8267359489975</v>
      </c>
      <c r="K96" s="217" t="n">
        <f aca="false">IF(K$7&lt;YEAR(Startops1),0,HLOOKUP(K$7,CF_Table,CF!$AB$34))</f>
        <v>-355.008286204035</v>
      </c>
      <c r="L96" s="217" t="n">
        <f aca="false">IF(L$7&lt;YEAR(Startops1),0,HLOOKUP(L$7,CF_Table,CF!$AB$34))</f>
        <v>-349.775557535993</v>
      </c>
      <c r="M96" s="217" t="n">
        <f aca="false">IF(M$7&lt;YEAR(Startops1),0,HLOOKUP(M$7,CF_Table,CF!$AB$34))</f>
        <v>-359.73877510785</v>
      </c>
      <c r="N96" s="217" t="n">
        <f aca="false">IF(N$7&lt;YEAR(Startops1),0,HLOOKUP(N$7,CF_Table,CF!$AB$34))</f>
        <v>-355.637680165807</v>
      </c>
      <c r="O96" s="217" t="n">
        <f aca="false">IF(O$7&lt;YEAR(Startops1),0,HLOOKUP(O$7,CF_Table,CF!$AB$34))</f>
        <v>-347.371512062213</v>
      </c>
      <c r="P96" s="217" t="n">
        <f aca="false">IF(P$7&lt;YEAR(Startops1),0,HLOOKUP(P$7,CF_Table,CF!$AB$34))</f>
        <v>-336.361242219459</v>
      </c>
      <c r="Q96" s="217" t="n">
        <f aca="false">IF(Q$7&lt;YEAR(Startops1),0,HLOOKUP(Q$7,CF_Table,CF!$AB$34))</f>
        <v>-309.668701656701</v>
      </c>
      <c r="R96" s="217" t="n">
        <f aca="false">IF(R$7&lt;YEAR(Startops1),0,HLOOKUP(R$7,CF_Table,CF!$AB$34))</f>
        <v>-284.97228742217</v>
      </c>
      <c r="S96" s="217" t="n">
        <f aca="false">IF(S$7&lt;YEAR(Startops1),0,HLOOKUP(S$7,CF_Table,CF!$AB$34))</f>
        <v>-273.027996000807</v>
      </c>
      <c r="T96" s="217" t="n">
        <f aca="false">IF(T$7&lt;YEAR(Startops1),0,HLOOKUP(T$7,CF_Table,CF!$AB$34))</f>
        <v>-267.127078264657</v>
      </c>
      <c r="U96" s="217" t="n">
        <f aca="false">IF(U$7&lt;YEAR(Startops1),0,HLOOKUP(U$7,CF_Table,CF!$AB$34))</f>
        <v>-212.102925749873</v>
      </c>
      <c r="V96" s="217" t="n">
        <f aca="false">IF(V$7&lt;YEAR(Startops1),0,HLOOKUP(V$7,CF_Table,CF!$AB$34))</f>
        <v>-198.827883443026</v>
      </c>
      <c r="W96" s="217" t="n">
        <f aca="false">IF(W$7&lt;YEAR(Startops1),0,HLOOKUP(W$7,CF_Table,CF!$AB$34))</f>
        <v>-186.916008132844</v>
      </c>
      <c r="X96" s="217" t="n">
        <f aca="false">IF(X$7&lt;YEAR(Startops1),0,HLOOKUP(X$7,CF_Table,CF!$AB$34))</f>
        <v>-162.440373020126</v>
      </c>
      <c r="Y96" s="217" t="n">
        <f aca="false">IF(Y$7&lt;YEAR(Startops1),0,HLOOKUP(Y$7,CF_Table,CF!$AB$34))</f>
        <v>-0</v>
      </c>
      <c r="Z96" s="217" t="n">
        <f aca="false">IF(Z$7&lt;YEAR(Startops1),0,HLOOKUP(Z$7,CF_Table,CF!$AB$34))</f>
        <v>-0</v>
      </c>
      <c r="AA96" s="217" t="n">
        <f aca="false">IF(AA$7&lt;YEAR(Startops1),0,HLOOKUP(AA$7,CF_Table,CF!$AB$34))</f>
        <v>-0</v>
      </c>
      <c r="AB96" s="217" t="n">
        <f aca="false">IF(AB$7&lt;YEAR(Startops1),0,HLOOKUP(AB$7,CF_Table,CF!$AB$34))</f>
        <v>-0</v>
      </c>
      <c r="AC96" s="217" t="n">
        <f aca="false">IF(AC$7&lt;YEAR(Startops1),0,HLOOKUP(AC$7,CF_Table,CF!$AB$34))</f>
        <v>-0</v>
      </c>
      <c r="AD96" s="574" t="n">
        <f aca="false">SUM(G96:AC96)</f>
        <v>-4084.80304293456</v>
      </c>
    </row>
    <row r="97" customFormat="false" ht="12.75" hidden="false" customHeight="false" outlineLevel="0" collapsed="false">
      <c r="A97" s="37"/>
      <c r="B97" s="38" t="s">
        <v>1613</v>
      </c>
      <c r="F97" s="38"/>
      <c r="G97" s="217" t="n">
        <f aca="false">IF(G$7&lt;YEAR(Startops1),0,HLOOKUP(G$7,CF_Table,CF!$AB$35))</f>
        <v>0</v>
      </c>
      <c r="H97" s="217" t="n">
        <f aca="false">IF(H$7&lt;YEAR(Startops1),0,HLOOKUP(H$7,CF_Table,CF!$AB$35))</f>
        <v>0</v>
      </c>
      <c r="I97" s="217" t="n">
        <f aca="false">IF(I$7&lt;YEAR(Startops1),0,HLOOKUP(I$7,CF_Table,CF!$AB$35))</f>
        <v>-0</v>
      </c>
      <c r="J97" s="217" t="n">
        <f aca="false">IF(J$7&lt;YEAR(Startops1),0,HLOOKUP(J$7,CF_Table,CF!$AB$35))</f>
        <v>-0</v>
      </c>
      <c r="K97" s="217" t="n">
        <f aca="false">IF(K$7&lt;YEAR(Startops1),0,HLOOKUP(K$7,CF_Table,CF!$AB$35))</f>
        <v>-0</v>
      </c>
      <c r="L97" s="217" t="n">
        <f aca="false">IF(L$7&lt;YEAR(Startops1),0,HLOOKUP(L$7,CF_Table,CF!$AB$35))</f>
        <v>-0</v>
      </c>
      <c r="M97" s="217" t="n">
        <f aca="false">IF(M$7&lt;YEAR(Startops1),0,HLOOKUP(M$7,CF_Table,CF!$AB$35))</f>
        <v>-0</v>
      </c>
      <c r="N97" s="217" t="n">
        <f aca="false">IF(N$7&lt;YEAR(Startops1),0,HLOOKUP(N$7,CF_Table,CF!$AB$35))</f>
        <v>-0</v>
      </c>
      <c r="O97" s="217" t="n">
        <f aca="false">IF(O$7&lt;YEAR(Startops1),0,HLOOKUP(O$7,CF_Table,CF!$AB$35))</f>
        <v>-0</v>
      </c>
      <c r="P97" s="217" t="n">
        <f aca="false">IF(P$7&lt;YEAR(Startops1),0,HLOOKUP(P$7,CF_Table,CF!$AB$35))</f>
        <v>-0</v>
      </c>
      <c r="Q97" s="217" t="n">
        <f aca="false">IF(Q$7&lt;YEAR(Startops1),0,HLOOKUP(Q$7,CF_Table,CF!$AB$35))</f>
        <v>-0</v>
      </c>
      <c r="R97" s="217" t="n">
        <f aca="false">IF(R$7&lt;YEAR(Startops1),0,HLOOKUP(R$7,CF_Table,CF!$AB$35))</f>
        <v>-0</v>
      </c>
      <c r="S97" s="217" t="n">
        <f aca="false">IF(S$7&lt;YEAR(Startops1),0,HLOOKUP(S$7,CF_Table,CF!$AB$35))</f>
        <v>-0</v>
      </c>
      <c r="T97" s="217" t="n">
        <f aca="false">IF(T$7&lt;YEAR(Startops1),0,HLOOKUP(T$7,CF_Table,CF!$AB$35))</f>
        <v>-0</v>
      </c>
      <c r="U97" s="217" t="n">
        <f aca="false">IF(U$7&lt;YEAR(Startops1),0,HLOOKUP(U$7,CF_Table,CF!$AB$35))</f>
        <v>-0</v>
      </c>
      <c r="V97" s="217" t="n">
        <f aca="false">IF(V$7&lt;YEAR(Startops1),0,HLOOKUP(V$7,CF_Table,CF!$AB$35))</f>
        <v>-0</v>
      </c>
      <c r="W97" s="217" t="n">
        <f aca="false">IF(W$7&lt;YEAR(Startops1),0,HLOOKUP(W$7,CF_Table,CF!$AB$35))</f>
        <v>-0</v>
      </c>
      <c r="X97" s="217" t="n">
        <f aca="false">IF(X$7&lt;YEAR(Startops1),0,HLOOKUP(X$7,CF_Table,CF!$AB$35))</f>
        <v>-0</v>
      </c>
      <c r="Y97" s="217" t="n">
        <f aca="false">IF(Y$7&lt;YEAR(Startops1),0,HLOOKUP(Y$7,CF_Table,CF!$AB$35))</f>
        <v>-0</v>
      </c>
      <c r="Z97" s="217" t="n">
        <f aca="false">IF(Z$7&lt;YEAR(Startops1),0,HLOOKUP(Z$7,CF_Table,CF!$AB$35))</f>
        <v>-0</v>
      </c>
      <c r="AA97" s="217" t="n">
        <f aca="false">IF(AA$7&lt;YEAR(Startops1),0,HLOOKUP(AA$7,CF_Table,CF!$AB$35))</f>
        <v>-0</v>
      </c>
      <c r="AB97" s="217" t="n">
        <f aca="false">IF(AB$7&lt;YEAR(Startops1),0,HLOOKUP(AB$7,CF_Table,CF!$AB$35))</f>
        <v>-0</v>
      </c>
      <c r="AC97" s="217" t="n">
        <f aca="false">IF(AC$7&lt;YEAR(Startops1),0,HLOOKUP(AC$7,CF_Table,CF!$AB$35))</f>
        <v>-0</v>
      </c>
      <c r="AD97" s="574" t="n">
        <f aca="false">SUM(G97:AC97)</f>
        <v>0</v>
      </c>
    </row>
    <row r="98" customFormat="false" ht="12.75" hidden="false" customHeight="false" outlineLevel="0" collapsed="false">
      <c r="A98" s="37"/>
      <c r="B98" s="38" t="s">
        <v>1614</v>
      </c>
      <c r="F98" s="38"/>
      <c r="G98" s="217" t="n">
        <f aca="false">IF(G$7&lt;YEAR(Startops1),0,HLOOKUP(G$7,CF_Table,CF!$AB$36))</f>
        <v>0</v>
      </c>
      <c r="H98" s="217" t="n">
        <f aca="false">IF(H$7&lt;YEAR(Startops1),0,HLOOKUP(H$7,CF_Table,CF!$AB$36))</f>
        <v>0</v>
      </c>
      <c r="I98" s="217" t="n">
        <f aca="false">IF(I$7&lt;YEAR(Startops1),0,HLOOKUP(I$7,CF_Table,CF!$AB$36))</f>
        <v>-234.375</v>
      </c>
      <c r="J98" s="217" t="n">
        <f aca="false">IF(J$7&lt;YEAR(Startops1),0,HLOOKUP(J$7,CF_Table,CF!$AB$36))</f>
        <v>-312.5</v>
      </c>
      <c r="K98" s="217" t="n">
        <f aca="false">IF(K$7&lt;YEAR(Startops1),0,HLOOKUP(K$7,CF_Table,CF!$AB$36))</f>
        <v>-4497.51554973028</v>
      </c>
      <c r="L98" s="217" t="n">
        <f aca="false">IF(L$7&lt;YEAR(Startops1),0,HLOOKUP(L$7,CF_Table,CF!$AB$36))</f>
        <v>-4497.51554973028</v>
      </c>
      <c r="M98" s="217" t="n">
        <f aca="false">IF(M$7&lt;YEAR(Startops1),0,HLOOKUP(M$7,CF_Table,CF!$AB$36))</f>
        <v>-4257.79514613549</v>
      </c>
      <c r="N98" s="217" t="n">
        <f aca="false">IF(N$7&lt;YEAR(Startops1),0,HLOOKUP(N$7,CF_Table,CF!$AB$36))</f>
        <v>-312.5</v>
      </c>
      <c r="O98" s="217" t="n">
        <f aca="false">IF(O$7&lt;YEAR(Startops1),0,HLOOKUP(O$7,CF_Table,CF!$AB$36))</f>
        <v>-312.5</v>
      </c>
      <c r="P98" s="217" t="n">
        <f aca="false">IF(P$7&lt;YEAR(Startops1),0,HLOOKUP(P$7,CF_Table,CF!$AB$36))</f>
        <v>-312.5</v>
      </c>
      <c r="Q98" s="217" t="n">
        <f aca="false">IF(Q$7&lt;YEAR(Startops1),0,HLOOKUP(Q$7,CF_Table,CF!$AB$36))</f>
        <v>-312.5</v>
      </c>
      <c r="R98" s="217" t="n">
        <f aca="false">IF(R$7&lt;YEAR(Startops1),0,HLOOKUP(R$7,CF_Table,CF!$AB$36))</f>
        <v>-312.5</v>
      </c>
      <c r="S98" s="217" t="n">
        <f aca="false">IF(S$7&lt;YEAR(Startops1),0,HLOOKUP(S$7,CF_Table,CF!$AB$36))</f>
        <v>-312.5</v>
      </c>
      <c r="T98" s="217" t="n">
        <f aca="false">IF(T$7&lt;YEAR(Startops1),0,HLOOKUP(T$7,CF_Table,CF!$AB$36))</f>
        <v>-312.5</v>
      </c>
      <c r="U98" s="217" t="n">
        <f aca="false">IF(U$7&lt;YEAR(Startops1),0,HLOOKUP(U$7,CF_Table,CF!$AB$36))</f>
        <v>-312.5</v>
      </c>
      <c r="V98" s="217" t="n">
        <f aca="false">IF(V$7&lt;YEAR(Startops1),0,HLOOKUP(V$7,CF_Table,CF!$AB$36))</f>
        <v>-312.5</v>
      </c>
      <c r="W98" s="217" t="n">
        <f aca="false">IF(W$7&lt;YEAR(Startops1),0,HLOOKUP(W$7,CF_Table,CF!$AB$36))</f>
        <v>-312.5</v>
      </c>
      <c r="X98" s="217" t="n">
        <f aca="false">IF(X$7&lt;YEAR(Startops1),0,HLOOKUP(X$7,CF_Table,CF!$AB$36))</f>
        <v>-312.5</v>
      </c>
      <c r="Y98" s="217" t="n">
        <f aca="false">IF(Y$7&lt;YEAR(Startops1),0,HLOOKUP(Y$7,CF_Table,CF!$AB$36))</f>
        <v>-312.5</v>
      </c>
      <c r="Z98" s="217" t="n">
        <f aca="false">IF(Z$7&lt;YEAR(Startops1),0,HLOOKUP(Z$7,CF_Table,CF!$AB$36))</f>
        <v>-312.5</v>
      </c>
      <c r="AA98" s="217" t="n">
        <f aca="false">IF(AA$7&lt;YEAR(Startops1),0,HLOOKUP(AA$7,CF_Table,CF!$AB$36))</f>
        <v>-312.5</v>
      </c>
      <c r="AB98" s="217" t="n">
        <f aca="false">IF(AB$7&lt;YEAR(Startops1),0,HLOOKUP(AB$7,CF_Table,CF!$AB$36))</f>
        <v>-312.5</v>
      </c>
      <c r="AC98" s="217" t="n">
        <f aca="false">IF(AC$7&lt;YEAR(Startops1),0,HLOOKUP(AC$7,CF_Table,CF!$AB$36))</f>
        <v>-104.166666666667</v>
      </c>
      <c r="AD98" s="574" t="n">
        <f aca="false">SUM(G98:AC98)</f>
        <v>-18591.3679122627</v>
      </c>
    </row>
    <row r="99" customFormat="false" ht="12.75" hidden="false" customHeight="false" outlineLevel="0" collapsed="false">
      <c r="A99" s="37"/>
      <c r="B99" s="38" t="s">
        <v>1548</v>
      </c>
      <c r="F99" s="38"/>
      <c r="G99" s="220" t="n">
        <f aca="false">IF(G$7&lt;YEAR(Startops1),0,-HLOOKUP(G$7,CF_Table,CF!$AB$78))</f>
        <v>0</v>
      </c>
      <c r="H99" s="220" t="n">
        <f aca="false">IF(H$7&lt;YEAR(Startops1),0,-HLOOKUP(H$7,CF_Table,CF!$AB$78))</f>
        <v>0</v>
      </c>
      <c r="I99" s="220" t="n">
        <f aca="false">IF(I$7&lt;YEAR(Startops1),0,-HLOOKUP(I$7,CF_Table,CF!$AB$78))</f>
        <v>-0</v>
      </c>
      <c r="J99" s="220" t="n">
        <f aca="false">IF(J$7&lt;YEAR(Startops1),0,-HLOOKUP(J$7,CF_Table,CF!$AB$78))</f>
        <v>-0</v>
      </c>
      <c r="K99" s="220" t="n">
        <f aca="false">IF(K$7&lt;YEAR(Startops1),0,-HLOOKUP(K$7,CF_Table,CF!$AB$78))</f>
        <v>-0</v>
      </c>
      <c r="L99" s="220" t="n">
        <f aca="false">IF(L$7&lt;YEAR(Startops1),0,-HLOOKUP(L$7,CF_Table,CF!$AB$78))</f>
        <v>-0</v>
      </c>
      <c r="M99" s="220" t="n">
        <f aca="false">IF(M$7&lt;YEAR(Startops1),0,-HLOOKUP(M$7,CF_Table,CF!$AB$78))</f>
        <v>-0</v>
      </c>
      <c r="N99" s="220" t="n">
        <f aca="false">IF(N$7&lt;YEAR(Startops1),0,-HLOOKUP(N$7,CF_Table,CF!$AB$78))</f>
        <v>-0</v>
      </c>
      <c r="O99" s="220" t="n">
        <f aca="false">IF(O$7&lt;YEAR(Startops1),0,-HLOOKUP(O$7,CF_Table,CF!$AB$78))</f>
        <v>-0</v>
      </c>
      <c r="P99" s="220" t="n">
        <f aca="false">IF(P$7&lt;YEAR(Startops1),0,-HLOOKUP(P$7,CF_Table,CF!$AB$78))</f>
        <v>-0</v>
      </c>
      <c r="Q99" s="220" t="n">
        <f aca="false">IF(Q$7&lt;YEAR(Startops1),0,-HLOOKUP(Q$7,CF_Table,CF!$AB$78))</f>
        <v>-2297.05887236159</v>
      </c>
      <c r="R99" s="220" t="n">
        <f aca="false">IF(R$7&lt;YEAR(Startops1),0,-HLOOKUP(R$7,CF_Table,CF!$AB$78))</f>
        <v>-5944.79635653065</v>
      </c>
      <c r="S99" s="220" t="n">
        <f aca="false">IF(S$7&lt;YEAR(Startops1),0,-HLOOKUP(S$7,CF_Table,CF!$AB$78))</f>
        <v>-6215.41206820371</v>
      </c>
      <c r="T99" s="220" t="n">
        <f aca="false">IF(T$7&lt;YEAR(Startops1),0,-HLOOKUP(T$7,CF_Table,CF!$AB$78))</f>
        <v>-7153.91447033936</v>
      </c>
      <c r="U99" s="220" t="n">
        <f aca="false">IF(U$7&lt;YEAR(Startops1),0,-HLOOKUP(U$7,CF_Table,CF!$AB$78))</f>
        <v>-7772.62295499896</v>
      </c>
      <c r="V99" s="220" t="n">
        <f aca="false">IF(V$7&lt;YEAR(Startops1),0,-HLOOKUP(V$7,CF_Table,CF!$AB$78))</f>
        <v>-5510.88806783188</v>
      </c>
      <c r="W99" s="220" t="n">
        <f aca="false">IF(W$7&lt;YEAR(Startops1),0,-HLOOKUP(W$7,CF_Table,CF!$AB$78))</f>
        <v>-7093.26246476228</v>
      </c>
      <c r="X99" s="220" t="n">
        <f aca="false">IF(X$7&lt;YEAR(Startops1),0,-HLOOKUP(X$7,CF_Table,CF!$AB$78))</f>
        <v>-2410.50492318655</v>
      </c>
      <c r="Y99" s="220" t="n">
        <f aca="false">IF(Y$7&lt;YEAR(Startops1),0,-HLOOKUP(Y$7,CF_Table,CF!$AB$78))</f>
        <v>-0</v>
      </c>
      <c r="Z99" s="220" t="n">
        <f aca="false">IF(Z$7&lt;YEAR(Startops1),0,-HLOOKUP(Z$7,CF_Table,CF!$AB$78))</f>
        <v>-0</v>
      </c>
      <c r="AA99" s="220" t="n">
        <f aca="false">IF(AA$7&lt;YEAR(Startops1),0,-HLOOKUP(AA$7,CF_Table,CF!$AB$78))</f>
        <v>-0</v>
      </c>
      <c r="AB99" s="220" t="n">
        <f aca="false">IF(AB$7&lt;YEAR(Startops1),0,-HLOOKUP(AB$7,CF_Table,CF!$AB$78))</f>
        <v>-0</v>
      </c>
      <c r="AC99" s="220" t="n">
        <f aca="false">IF(AC$7&lt;YEAR(Startops1),0,-HLOOKUP(AC$7,CF_Table,CF!$AB$78))</f>
        <v>-44618.2852720911</v>
      </c>
      <c r="AD99" s="576" t="n">
        <f aca="false">SUM(G99:AC99)</f>
        <v>-89016.7454503061</v>
      </c>
    </row>
    <row r="100" customFormat="false" ht="12.75" hidden="false" customHeight="false" outlineLevel="0" collapsed="false">
      <c r="A100" s="37"/>
      <c r="C100" s="38" t="s">
        <v>1615</v>
      </c>
      <c r="F100" s="38"/>
      <c r="G100" s="217" t="n">
        <f aca="false">SUM(G76:G99)</f>
        <v>0</v>
      </c>
      <c r="H100" s="217" t="n">
        <f aca="false">SUM(H76:H99)</f>
        <v>0</v>
      </c>
      <c r="I100" s="217" t="n">
        <f aca="false">SUM(I76:I99)</f>
        <v>1744.13307527971</v>
      </c>
      <c r="J100" s="217" t="n">
        <f aca="false">SUM(J76:J99)</f>
        <v>-3756.66553578621</v>
      </c>
      <c r="K100" s="217" t="n">
        <f aca="false">SUM(K76:K99)</f>
        <v>-29649.0520198235</v>
      </c>
      <c r="L100" s="217" t="n">
        <f aca="false">SUM(L76:L99)</f>
        <v>-42816.922172658</v>
      </c>
      <c r="M100" s="217" t="n">
        <f aca="false">SUM(M76:M99)</f>
        <v>-46960.3711646157</v>
      </c>
      <c r="N100" s="217" t="n">
        <f aca="false">SUM(N76:N99)</f>
        <v>-29376.0992206941</v>
      </c>
      <c r="O100" s="217" t="n">
        <f aca="false">SUM(O76:O99)</f>
        <v>-50820.0912942855</v>
      </c>
      <c r="P100" s="217" t="n">
        <f aca="false">SUM(P76:P99)</f>
        <v>-51345.6456246939</v>
      </c>
      <c r="Q100" s="217" t="n">
        <f aca="false">SUM(Q76:Q99)</f>
        <v>-47507.272591935</v>
      </c>
      <c r="R100" s="217" t="n">
        <f aca="false">SUM(R76:R99)</f>
        <v>-43648.9288837584</v>
      </c>
      <c r="S100" s="217" t="n">
        <f aca="false">SUM(S76:S99)</f>
        <v>-43657.5570694817</v>
      </c>
      <c r="T100" s="217" t="n">
        <f aca="false">SUM(T76:T99)</f>
        <v>-43819.0892702436</v>
      </c>
      <c r="U100" s="217" t="n">
        <f aca="false">SUM(U76:U99)</f>
        <v>-38750.3157631482</v>
      </c>
      <c r="V100" s="217" t="n">
        <f aca="false">SUM(V76:V99)</f>
        <v>-32359.0543155173</v>
      </c>
      <c r="W100" s="217" t="n">
        <f aca="false">SUM(W76:W99)</f>
        <v>-39179.220701508</v>
      </c>
      <c r="X100" s="217" t="n">
        <f aca="false">SUM(X76:X99)</f>
        <v>-23905.1294971004</v>
      </c>
      <c r="Y100" s="217" t="n">
        <f aca="false">SUM(Y76:Y99)</f>
        <v>-10230.5627366092</v>
      </c>
      <c r="Z100" s="217" t="n">
        <f aca="false">SUM(Z76:Z99)</f>
        <v>-5297.89633234279</v>
      </c>
      <c r="AA100" s="217" t="n">
        <f aca="false">SUM(AA76:AA99)</f>
        <v>-3697.34763250444</v>
      </c>
      <c r="AB100" s="217" t="n">
        <f aca="false">SUM(AB76:AB99)</f>
        <v>-4997.54360467781</v>
      </c>
      <c r="AC100" s="217" t="n">
        <f aca="false">SUM(AC76:AC99)</f>
        <v>-671.326934997618</v>
      </c>
      <c r="AD100" s="574" t="n">
        <f aca="false">SUM(G100:AC100)</f>
        <v>-590701.959291101</v>
      </c>
    </row>
    <row r="101" customFormat="false" ht="12.75" hidden="false" customHeight="false" outlineLevel="0" collapsed="false">
      <c r="A101" s="37"/>
      <c r="F101" s="38"/>
      <c r="G101" s="556"/>
      <c r="H101" s="556"/>
      <c r="I101" s="556"/>
      <c r="J101" s="556"/>
      <c r="K101" s="556"/>
      <c r="L101" s="556"/>
      <c r="M101" s="556"/>
      <c r="N101" s="556"/>
      <c r="O101" s="556"/>
      <c r="P101" s="556"/>
      <c r="Q101" s="556"/>
      <c r="R101" s="556"/>
      <c r="S101" s="556"/>
      <c r="T101" s="556"/>
      <c r="U101" s="556"/>
      <c r="V101" s="556"/>
      <c r="W101" s="556"/>
      <c r="X101" s="556"/>
      <c r="Y101" s="556"/>
      <c r="Z101" s="556"/>
      <c r="AA101" s="556"/>
      <c r="AB101" s="556"/>
      <c r="AC101" s="556"/>
      <c r="AD101" s="557"/>
    </row>
    <row r="102" customFormat="false" ht="12.75" hidden="false" customHeight="false" outlineLevel="0" collapsed="false">
      <c r="A102" s="37" t="s">
        <v>1616</v>
      </c>
      <c r="F102" s="38"/>
      <c r="G102" s="217" t="n">
        <f aca="false">G73+G100</f>
        <v>0</v>
      </c>
      <c r="H102" s="217" t="n">
        <f aca="false">H73+H100</f>
        <v>0</v>
      </c>
      <c r="I102" s="217" t="n">
        <f aca="false">I73+I100</f>
        <v>1.61435309564695E-011</v>
      </c>
      <c r="J102" s="217" t="n">
        <f aca="false">J73+J100</f>
        <v>4.91127138957381E-011</v>
      </c>
      <c r="K102" s="217" t="n">
        <f aca="false">K73+K100</f>
        <v>0</v>
      </c>
      <c r="L102" s="217" t="n">
        <f aca="false">L73+L100</f>
        <v>0</v>
      </c>
      <c r="M102" s="217" t="n">
        <f aca="false">M73+M100</f>
        <v>0</v>
      </c>
      <c r="N102" s="217" t="n">
        <f aca="false">N73+N100</f>
        <v>20778.957467698</v>
      </c>
      <c r="O102" s="217" t="n">
        <f aca="false">O73+O100</f>
        <v>0</v>
      </c>
      <c r="P102" s="217" t="n">
        <f aca="false">P73+P100</f>
        <v>0</v>
      </c>
      <c r="Q102" s="217" t="n">
        <f aca="false">Q73+Q100</f>
        <v>0</v>
      </c>
      <c r="R102" s="217" t="n">
        <f aca="false">R73+R100</f>
        <v>0</v>
      </c>
      <c r="S102" s="217" t="n">
        <f aca="false">S73+S100</f>
        <v>0</v>
      </c>
      <c r="T102" s="217" t="n">
        <f aca="false">T73+T100</f>
        <v>0</v>
      </c>
      <c r="U102" s="217" t="n">
        <f aca="false">U73+U100</f>
        <v>0</v>
      </c>
      <c r="V102" s="217" t="n">
        <f aca="false">V73+V100</f>
        <v>0</v>
      </c>
      <c r="W102" s="217" t="n">
        <f aca="false">W73+W100</f>
        <v>0</v>
      </c>
      <c r="X102" s="217" t="n">
        <f aca="false">X73+X100</f>
        <v>0</v>
      </c>
      <c r="Y102" s="217" t="n">
        <f aca="false">Y73+Y100</f>
        <v>-4.18367562815547E-011</v>
      </c>
      <c r="Z102" s="217" t="n">
        <f aca="false">Z73+Z100</f>
        <v>0</v>
      </c>
      <c r="AA102" s="217" t="n">
        <f aca="false">AA73+AA100</f>
        <v>-2.50111042987555E-011</v>
      </c>
      <c r="AB102" s="217" t="n">
        <f aca="false">AB73+AB100</f>
        <v>-1.81898940354586E-011</v>
      </c>
      <c r="AC102" s="217" t="n">
        <f aca="false">AC73+AC100</f>
        <v>3.75166564481333E-012</v>
      </c>
      <c r="AD102" s="574"/>
    </row>
    <row r="103" customFormat="false" ht="12.75" hidden="false" customHeight="false" outlineLevel="0" collapsed="false">
      <c r="A103" s="37" t="s">
        <v>1617</v>
      </c>
      <c r="F103" s="38"/>
      <c r="G103" s="189" t="n">
        <v>0</v>
      </c>
      <c r="H103" s="217" t="n">
        <f aca="false">G104</f>
        <v>0</v>
      </c>
      <c r="I103" s="217" t="n">
        <f aca="false">H104</f>
        <v>0</v>
      </c>
      <c r="J103" s="217" t="n">
        <f aca="false">I104</f>
        <v>1.61435309564695E-011</v>
      </c>
      <c r="K103" s="217" t="n">
        <f aca="false">J104</f>
        <v>6.52562448522076E-011</v>
      </c>
      <c r="L103" s="217" t="n">
        <f aca="false">K104</f>
        <v>6.52562448522076E-011</v>
      </c>
      <c r="M103" s="217" t="n">
        <f aca="false">L104</f>
        <v>6.52562448522076E-011</v>
      </c>
      <c r="N103" s="217" t="n">
        <f aca="false">M104</f>
        <v>6.52562448522076E-011</v>
      </c>
      <c r="O103" s="217" t="n">
        <f aca="false">N104</f>
        <v>20778.9574676981</v>
      </c>
      <c r="P103" s="217" t="n">
        <f aca="false">O104</f>
        <v>20778.9574676981</v>
      </c>
      <c r="Q103" s="217" t="n">
        <f aca="false">P104</f>
        <v>20778.9574676981</v>
      </c>
      <c r="R103" s="217" t="n">
        <f aca="false">Q104</f>
        <v>20778.9574676981</v>
      </c>
      <c r="S103" s="217" t="n">
        <f aca="false">R104</f>
        <v>20778.9574676981</v>
      </c>
      <c r="T103" s="217" t="n">
        <f aca="false">S104</f>
        <v>20778.9574676981</v>
      </c>
      <c r="U103" s="217" t="n">
        <f aca="false">T104</f>
        <v>20778.9574676981</v>
      </c>
      <c r="V103" s="217" t="n">
        <f aca="false">U104</f>
        <v>20778.9574676981</v>
      </c>
      <c r="W103" s="217" t="n">
        <f aca="false">V104</f>
        <v>20778.9574676981</v>
      </c>
      <c r="X103" s="217" t="n">
        <f aca="false">W104</f>
        <v>20778.9574676981</v>
      </c>
      <c r="Y103" s="217" t="n">
        <f aca="false">X104</f>
        <v>20778.9574676981</v>
      </c>
      <c r="Z103" s="217" t="n">
        <f aca="false">Y104</f>
        <v>20778.9574676981</v>
      </c>
      <c r="AA103" s="217" t="n">
        <f aca="false">Z104</f>
        <v>20778.9574676981</v>
      </c>
      <c r="AB103" s="217" t="n">
        <f aca="false">AA104</f>
        <v>20778.957467698</v>
      </c>
      <c r="AC103" s="217" t="n">
        <f aca="false">AB104</f>
        <v>20778.957467698</v>
      </c>
      <c r="AD103" s="574"/>
    </row>
    <row r="104" customFormat="false" ht="13.5" hidden="false" customHeight="false" outlineLevel="0" collapsed="false">
      <c r="A104" s="70" t="s">
        <v>1618</v>
      </c>
      <c r="B104" s="71"/>
      <c r="C104" s="71"/>
      <c r="D104" s="71"/>
      <c r="E104" s="71"/>
      <c r="F104" s="71"/>
      <c r="G104" s="286" t="n">
        <f aca="false">G102+G103</f>
        <v>0</v>
      </c>
      <c r="H104" s="286" t="n">
        <f aca="false">H102+H103</f>
        <v>0</v>
      </c>
      <c r="I104" s="286" t="n">
        <f aca="false">I102+I103</f>
        <v>1.61435309564695E-011</v>
      </c>
      <c r="J104" s="286" t="n">
        <f aca="false">J102+J103</f>
        <v>6.52562448522076E-011</v>
      </c>
      <c r="K104" s="286" t="n">
        <f aca="false">K102+K103</f>
        <v>6.52562448522076E-011</v>
      </c>
      <c r="L104" s="286" t="n">
        <f aca="false">L102+L103</f>
        <v>6.52562448522076E-011</v>
      </c>
      <c r="M104" s="286" t="n">
        <f aca="false">M102+M103</f>
        <v>6.52562448522076E-011</v>
      </c>
      <c r="N104" s="286" t="n">
        <f aca="false">N102+N103</f>
        <v>20778.9574676981</v>
      </c>
      <c r="O104" s="286" t="n">
        <f aca="false">O102+O103</f>
        <v>20778.9574676981</v>
      </c>
      <c r="P104" s="286" t="n">
        <f aca="false">P102+P103</f>
        <v>20778.9574676981</v>
      </c>
      <c r="Q104" s="286" t="n">
        <f aca="false">Q102+Q103</f>
        <v>20778.9574676981</v>
      </c>
      <c r="R104" s="286" t="n">
        <f aca="false">R102+R103</f>
        <v>20778.9574676981</v>
      </c>
      <c r="S104" s="286" t="n">
        <f aca="false">S102+S103</f>
        <v>20778.9574676981</v>
      </c>
      <c r="T104" s="286" t="n">
        <f aca="false">T102+T103</f>
        <v>20778.9574676981</v>
      </c>
      <c r="U104" s="286" t="n">
        <f aca="false">U102+U103</f>
        <v>20778.9574676981</v>
      </c>
      <c r="V104" s="286" t="n">
        <f aca="false">V102+V103</f>
        <v>20778.9574676981</v>
      </c>
      <c r="W104" s="286" t="n">
        <f aca="false">W102+W103</f>
        <v>20778.9574676981</v>
      </c>
      <c r="X104" s="286" t="n">
        <f aca="false">X102+X103</f>
        <v>20778.9574676981</v>
      </c>
      <c r="Y104" s="286" t="n">
        <f aca="false">Y102+Y103</f>
        <v>20778.9574676981</v>
      </c>
      <c r="Z104" s="286" t="n">
        <f aca="false">Z102+Z103</f>
        <v>20778.9574676981</v>
      </c>
      <c r="AA104" s="286" t="n">
        <f aca="false">AA102+AA103</f>
        <v>20778.957467698</v>
      </c>
      <c r="AB104" s="286" t="n">
        <f aca="false">AB102+AB103</f>
        <v>20778.957467698</v>
      </c>
      <c r="AC104" s="286" t="n">
        <f aca="false">AC102+AC103</f>
        <v>20778.957467698</v>
      </c>
      <c r="AD104" s="770"/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75"/>
  <sheetViews>
    <sheetView showFormulas="false" showGridLines="false" showRowColHeaders="true" showZeros="true" rightToLeft="false" tabSelected="false" showOutlineSymbols="true" defaultGridColor="true" view="normal" topLeftCell="C36" colorId="64" zoomScale="75" zoomScaleNormal="75" zoomScalePageLayoutView="100" workbookViewId="0">
      <selection pane="topLeft" activeCell="H75" activeCellId="0" sqref="H7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30.7"/>
    <col collapsed="false" customWidth="true" hidden="false" outlineLevel="0" max="2" min="2" style="1" width="47.7"/>
    <col collapsed="false" customWidth="true" hidden="false" outlineLevel="0" max="6" min="3" style="1" width="10.71"/>
    <col collapsed="false" customWidth="true" hidden="false" outlineLevel="0" max="7" min="7" style="1" width="23.7"/>
    <col collapsed="false" customWidth="true" hidden="false" outlineLevel="0" max="8" min="8" style="1260" width="13.7"/>
    <col collapsed="false" customWidth="true" hidden="false" outlineLevel="0" max="9" min="9" style="1" width="23.7"/>
    <col collapsed="false" customWidth="true" hidden="false" outlineLevel="0" max="10" min="10" style="1" width="35.7"/>
    <col collapsed="false" customWidth="false" hidden="false" outlineLevel="0" max="257" min="11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1261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1261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1261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1619</v>
      </c>
      <c r="B4" s="388"/>
      <c r="C4" s="388"/>
      <c r="D4" s="388"/>
      <c r="E4" s="388"/>
      <c r="F4" s="388"/>
      <c r="G4" s="388"/>
      <c r="H4" s="1261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38"/>
      <c r="C5" s="388"/>
      <c r="D5" s="38"/>
      <c r="E5" s="38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1262"/>
      <c r="B6" s="882"/>
      <c r="C6" s="854"/>
      <c r="D6" s="854"/>
      <c r="E6" s="854"/>
      <c r="F6" s="1263"/>
      <c r="G6" s="882"/>
      <c r="H6" s="1264"/>
      <c r="I6" s="882" t="s">
        <v>1620</v>
      </c>
      <c r="J6" s="883"/>
    </row>
    <row r="7" customFormat="false" ht="12.75" hidden="false" customHeight="false" outlineLevel="0" collapsed="false">
      <c r="A7" s="1103"/>
      <c r="B7" s="1265"/>
      <c r="C7" s="1265" t="s">
        <v>1621</v>
      </c>
      <c r="D7" s="1265"/>
      <c r="E7" s="1265"/>
      <c r="F7" s="1265"/>
      <c r="G7" s="1265"/>
      <c r="H7" s="1266" t="s">
        <v>708</v>
      </c>
      <c r="I7" s="1265" t="s">
        <v>1622</v>
      </c>
      <c r="J7" s="1267"/>
    </row>
    <row r="8" customFormat="false" ht="13.5" hidden="false" customHeight="false" outlineLevel="0" collapsed="false">
      <c r="A8" s="1268" t="s">
        <v>1623</v>
      </c>
      <c r="B8" s="1269" t="s">
        <v>1624</v>
      </c>
      <c r="C8" s="1269" t="s">
        <v>1625</v>
      </c>
      <c r="D8" s="1269"/>
      <c r="E8" s="1269"/>
      <c r="F8" s="1269"/>
      <c r="G8" s="1269" t="s">
        <v>1626</v>
      </c>
      <c r="H8" s="1270" t="s">
        <v>1627</v>
      </c>
      <c r="I8" s="1269" t="s">
        <v>1628</v>
      </c>
      <c r="J8" s="1271" t="s">
        <v>1629</v>
      </c>
    </row>
    <row r="9" customFormat="false" ht="13.5" hidden="false" customHeight="false" outlineLevel="0" collapsed="false">
      <c r="A9" s="38"/>
      <c r="B9" s="38"/>
      <c r="C9" s="38"/>
      <c r="D9" s="38"/>
      <c r="E9" s="38"/>
      <c r="F9" s="38"/>
      <c r="G9" s="38"/>
      <c r="H9" s="1272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1273" t="str">
        <f aca="false">Assm!A6</f>
        <v>Power Plant Data</v>
      </c>
      <c r="B10" s="1095"/>
      <c r="C10" s="1274" t="str">
        <f aca="false">Assm!C6</f>
        <v>Phase I</v>
      </c>
      <c r="D10" s="1275" t="str">
        <f aca="false">Assm!D6</f>
        <v>Phase II</v>
      </c>
      <c r="E10" s="1275" t="str">
        <f aca="false">Assm!E6</f>
        <v>Phase III</v>
      </c>
      <c r="F10" s="1094"/>
      <c r="G10" s="1276"/>
      <c r="H10" s="1277"/>
      <c r="I10" s="1276"/>
      <c r="J10" s="1278"/>
    </row>
    <row r="11" customFormat="false" ht="12.75" hidden="false" customHeight="false" outlineLevel="0" collapsed="false">
      <c r="A11" s="1279"/>
      <c r="B11" s="877" t="str">
        <f aca="false">Assm!A7</f>
        <v>Capacity</v>
      </c>
      <c r="C11" s="556" t="n">
        <f aca="false">Assm!C7</f>
        <v>150</v>
      </c>
      <c r="D11" s="556" t="n">
        <f aca="false">Assm!D7</f>
        <v>237.779371584699</v>
      </c>
      <c r="E11" s="556" t="n">
        <f aca="false">Assm!E7</f>
        <v>480</v>
      </c>
      <c r="F11" s="878" t="str">
        <f aca="false">Assm!F7</f>
        <v>MW</v>
      </c>
      <c r="G11" s="1280" t="s">
        <v>1630</v>
      </c>
      <c r="H11" s="1281" t="n">
        <v>35664</v>
      </c>
      <c r="I11" s="1280" t="s">
        <v>1631</v>
      </c>
      <c r="J11" s="1282" t="s">
        <v>1632</v>
      </c>
    </row>
    <row r="12" customFormat="false" ht="12.75" hidden="false" customHeight="false" outlineLevel="0" collapsed="false">
      <c r="A12" s="1283"/>
      <c r="B12" s="877" t="str">
        <f aca="false">Assm!A8</f>
        <v>Availability</v>
      </c>
      <c r="C12" s="1284" t="str">
        <f aca="false">Assm!C8</f>
        <v>See Availability Table (Tariff Sheet)</v>
      </c>
      <c r="D12" s="1284"/>
      <c r="E12" s="1284"/>
      <c r="F12" s="1284"/>
      <c r="G12" s="1280" t="s">
        <v>1633</v>
      </c>
      <c r="H12" s="1281" t="n">
        <v>36386</v>
      </c>
      <c r="I12" s="1280" t="s">
        <v>1634</v>
      </c>
      <c r="J12" s="1282" t="s">
        <v>1635</v>
      </c>
    </row>
    <row r="13" customFormat="false" ht="12.75" hidden="false" customHeight="false" outlineLevel="0" collapsed="false">
      <c r="A13" s="1283"/>
      <c r="B13" s="877" t="str">
        <f aca="false">Assm!A9</f>
        <v>Heat Rate</v>
      </c>
      <c r="C13" s="556" t="n">
        <f aca="false">Assm!C9</f>
        <v>10100</v>
      </c>
      <c r="D13" s="556" t="n">
        <f aca="false">Assm!D9</f>
        <v>10100</v>
      </c>
      <c r="E13" s="556" t="n">
        <f aca="false">Assm!E9</f>
        <v>7000</v>
      </c>
      <c r="F13" s="878" t="str">
        <f aca="false">Assm!F9</f>
        <v>Btu / Kwh</v>
      </c>
      <c r="G13" s="1280" t="s">
        <v>1636</v>
      </c>
      <c r="H13" s="1281" t="n">
        <v>36238</v>
      </c>
      <c r="I13" s="1280" t="s">
        <v>1637</v>
      </c>
      <c r="J13" s="1282" t="s">
        <v>1638</v>
      </c>
    </row>
    <row r="14" customFormat="false" ht="12.75" hidden="false" customHeight="false" outlineLevel="0" collapsed="false">
      <c r="A14" s="1283"/>
      <c r="B14" s="877" t="str">
        <f aca="false">Assm!A10</f>
        <v>Dispatch </v>
      </c>
      <c r="C14" s="1285" t="str">
        <f aca="false">Assm!C10</f>
        <v>See Dispatch Table (Tariff Sheet)</v>
      </c>
      <c r="D14" s="1285"/>
      <c r="E14" s="1285"/>
      <c r="F14" s="1285"/>
      <c r="G14" s="1280" t="s">
        <v>1639</v>
      </c>
      <c r="H14" s="1281" t="n">
        <v>36020</v>
      </c>
      <c r="I14" s="1280" t="s">
        <v>1634</v>
      </c>
      <c r="J14" s="1282" t="s">
        <v>1640</v>
      </c>
    </row>
    <row r="15" customFormat="false" ht="13.5" hidden="false" customHeight="false" outlineLevel="0" collapsed="false">
      <c r="A15" s="1286"/>
      <c r="B15" s="1287" t="str">
        <f aca="false">Assm!A11</f>
        <v>Equipment</v>
      </c>
      <c r="C15" s="513" t="str">
        <f aca="false">Assm!C11</f>
        <v>2 V84.3A Seimens / 1 Steam Turbine</v>
      </c>
      <c r="D15" s="513"/>
      <c r="E15" s="513"/>
      <c r="F15" s="513"/>
      <c r="G15" s="1288" t="s">
        <v>1630</v>
      </c>
      <c r="H15" s="1289" t="n">
        <v>35664</v>
      </c>
      <c r="I15" s="1288" t="s">
        <v>1631</v>
      </c>
      <c r="J15" s="1290" t="s">
        <v>1641</v>
      </c>
    </row>
    <row r="16" customFormat="false" ht="13.5" hidden="false" customHeight="false" outlineLevel="0" collapsed="false">
      <c r="A16" s="38"/>
      <c r="B16" s="38"/>
      <c r="C16" s="38"/>
      <c r="D16" s="38"/>
      <c r="E16" s="38"/>
      <c r="F16" s="38"/>
      <c r="G16" s="38"/>
      <c r="H16" s="1272"/>
      <c r="I16" s="77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</row>
    <row r="17" customFormat="false" ht="12.75" hidden="false" customHeight="false" outlineLevel="0" collapsed="false">
      <c r="A17" s="1273" t="str">
        <f aca="false">Assm!A13</f>
        <v>Project Operations</v>
      </c>
      <c r="B17" s="1291" t="str">
        <f aca="false">Assm!A14</f>
        <v>Start Of Construction</v>
      </c>
      <c r="C17" s="1292" t="n">
        <f aca="false">Assm!C14</f>
        <v>35765</v>
      </c>
      <c r="D17" s="1293" t="n">
        <f aca="false">Assm!C14</f>
        <v>35765</v>
      </c>
      <c r="E17" s="1293" t="n">
        <f aca="false">Assm!C14</f>
        <v>35765</v>
      </c>
      <c r="F17" s="1094"/>
      <c r="G17" s="1276" t="s">
        <v>1642</v>
      </c>
      <c r="H17" s="1277" t="n">
        <v>35664</v>
      </c>
      <c r="I17" s="1276" t="s">
        <v>1631</v>
      </c>
      <c r="J17" s="1278" t="s">
        <v>1643</v>
      </c>
    </row>
    <row r="18" customFormat="false" ht="12.75" hidden="false" customHeight="false" outlineLevel="0" collapsed="false">
      <c r="A18" s="1283"/>
      <c r="B18" s="877" t="str">
        <f aca="false">Assm!A15</f>
        <v>Term Of Construction - Months</v>
      </c>
      <c r="C18" s="1294" t="n">
        <f aca="false">Assm!C15</f>
        <v>16</v>
      </c>
      <c r="D18" s="556" t="n">
        <f aca="false">Assm!D15</f>
        <v>39</v>
      </c>
      <c r="E18" s="556" t="n">
        <f aca="false">Assm!E15</f>
        <v>44</v>
      </c>
      <c r="F18" s="1295" t="s">
        <v>1644</v>
      </c>
      <c r="G18" s="1280" t="s">
        <v>1645</v>
      </c>
      <c r="H18" s="1281"/>
      <c r="I18" s="1280"/>
      <c r="J18" s="1282" t="s">
        <v>1646</v>
      </c>
    </row>
    <row r="19" customFormat="false" ht="12.75" hidden="false" customHeight="false" outlineLevel="0" collapsed="false">
      <c r="A19" s="1283"/>
      <c r="B19" s="877" t="str">
        <f aca="false">Assm!A16</f>
        <v>Start Of Operations</v>
      </c>
      <c r="C19" s="1296" t="n">
        <f aca="false">Assm!C16</f>
        <v>36251</v>
      </c>
      <c r="D19" s="1297" t="n">
        <f aca="false">Assm!D16</f>
        <v>36951</v>
      </c>
      <c r="E19" s="1297" t="n">
        <f aca="false">Assm!E16</f>
        <v>37104</v>
      </c>
      <c r="F19" s="878"/>
      <c r="G19" s="1280" t="s">
        <v>1647</v>
      </c>
      <c r="H19" s="1281" t="n">
        <v>36622</v>
      </c>
      <c r="I19" s="1280" t="s">
        <v>1648</v>
      </c>
      <c r="J19" s="1282" t="s">
        <v>1649</v>
      </c>
    </row>
    <row r="20" customFormat="false" ht="12.75" hidden="false" customHeight="false" outlineLevel="0" collapsed="false">
      <c r="A20" s="1283"/>
      <c r="B20" s="877" t="str">
        <f aca="false">Assm!A17</f>
        <v>Term of Operations - Months</v>
      </c>
      <c r="C20" s="1294" t="n">
        <f aca="false">Assm!C17</f>
        <v>23</v>
      </c>
      <c r="D20" s="556" t="n">
        <f aca="false">Assm!D17</f>
        <v>5</v>
      </c>
      <c r="E20" s="556" t="n">
        <f aca="false">Assm!E17</f>
        <v>9</v>
      </c>
      <c r="F20" s="1295" t="s">
        <v>1644</v>
      </c>
      <c r="G20" s="1280" t="s">
        <v>1645</v>
      </c>
      <c r="H20" s="1281"/>
      <c r="I20" s="1280"/>
      <c r="J20" s="1282" t="s">
        <v>1650</v>
      </c>
    </row>
    <row r="21" customFormat="false" ht="12.75" hidden="false" customHeight="false" outlineLevel="0" collapsed="false">
      <c r="A21" s="1283"/>
      <c r="B21" s="877" t="str">
        <f aca="false">Assm!A19</f>
        <v>Term Of Contract - Years</v>
      </c>
      <c r="C21" s="1298"/>
      <c r="D21" s="1299"/>
      <c r="E21" s="556" t="n">
        <f aca="false">Assm!F19</f>
        <v>20</v>
      </c>
      <c r="F21" s="1295" t="s">
        <v>1651</v>
      </c>
      <c r="G21" s="1280" t="s">
        <v>1652</v>
      </c>
      <c r="H21" s="1281" t="n">
        <v>35759</v>
      </c>
      <c r="I21" s="1280"/>
      <c r="J21" s="1282" t="s">
        <v>1653</v>
      </c>
    </row>
    <row r="22" customFormat="false" ht="12.75" hidden="false" customHeight="false" outlineLevel="0" collapsed="false">
      <c r="A22" s="1283"/>
      <c r="B22" s="877" t="str">
        <f aca="false">Assm!A20</f>
        <v>End Date Of PPA</v>
      </c>
      <c r="C22" s="1298"/>
      <c r="D22" s="1299"/>
      <c r="E22" s="1297" t="n">
        <f aca="false">Assm!F20</f>
        <v>43585</v>
      </c>
      <c r="F22" s="878"/>
      <c r="G22" s="1280" t="s">
        <v>1652</v>
      </c>
      <c r="H22" s="1281" t="n">
        <v>35759</v>
      </c>
      <c r="I22" s="1280"/>
      <c r="J22" s="1282" t="s">
        <v>1654</v>
      </c>
    </row>
    <row r="23" customFormat="false" ht="13.5" hidden="false" customHeight="false" outlineLevel="0" collapsed="false">
      <c r="A23" s="1286"/>
      <c r="B23" s="1287" t="n">
        <f aca="false">Assm!A21</f>
        <v>0</v>
      </c>
      <c r="C23" s="1300"/>
      <c r="D23" s="1301"/>
      <c r="E23" s="1302" t="str">
        <f aca="false">Assm!F21</f>
        <v>BOT</v>
      </c>
      <c r="F23" s="535"/>
      <c r="G23" s="1288" t="s">
        <v>1652</v>
      </c>
      <c r="H23" s="1289" t="n">
        <v>35759</v>
      </c>
      <c r="I23" s="1288"/>
      <c r="J23" s="1290" t="s">
        <v>1653</v>
      </c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</row>
    <row r="24" customFormat="false" ht="13.5" hidden="false" customHeight="false" outlineLevel="0" collapsed="false">
      <c r="A24" s="38"/>
      <c r="B24" s="38"/>
      <c r="C24" s="38"/>
      <c r="D24" s="38"/>
      <c r="E24" s="38"/>
      <c r="F24" s="38"/>
      <c r="G24" s="38"/>
      <c r="H24" s="1272"/>
      <c r="I24" s="77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</row>
    <row r="25" customFormat="false" ht="12.75" hidden="false" customHeight="false" outlineLevel="0" collapsed="false">
      <c r="A25" s="1273" t="str">
        <f aca="false">Assm!A23</f>
        <v>Financial Closing</v>
      </c>
      <c r="B25" s="1291" t="str">
        <f aca="false">Assm!A24</f>
        <v>Date Of Financial Close</v>
      </c>
      <c r="C25" s="1292" t="n">
        <f aca="false">Fin_Close</f>
        <v>36770</v>
      </c>
      <c r="D25" s="538"/>
      <c r="E25" s="538"/>
      <c r="F25" s="1303"/>
      <c r="G25" s="1276" t="s">
        <v>1647</v>
      </c>
      <c r="H25" s="1277" t="n">
        <v>36622</v>
      </c>
      <c r="I25" s="1276" t="s">
        <v>1648</v>
      </c>
      <c r="J25" s="1278" t="s">
        <v>1655</v>
      </c>
    </row>
    <row r="26" customFormat="false" ht="12.75" hidden="false" customHeight="false" outlineLevel="0" collapsed="false">
      <c r="A26" s="1283"/>
      <c r="B26" s="877" t="str">
        <f aca="false">Assm!A25</f>
        <v>PPA To Financial Close - Months</v>
      </c>
      <c r="C26" s="825" t="n">
        <f aca="false">Term_Fc</f>
        <v>33</v>
      </c>
      <c r="D26" s="215"/>
      <c r="E26" s="215"/>
      <c r="F26" s="1304"/>
      <c r="G26" s="1280" t="s">
        <v>1645</v>
      </c>
      <c r="H26" s="1281"/>
      <c r="I26" s="1280"/>
      <c r="J26" s="1282" t="s">
        <v>1656</v>
      </c>
    </row>
    <row r="27" customFormat="false" ht="13.5" hidden="false" customHeight="false" outlineLevel="0" collapsed="false">
      <c r="A27" s="1286"/>
      <c r="B27" s="1287" t="str">
        <f aca="false">Assm!A26</f>
        <v>First Debt Service Payment</v>
      </c>
      <c r="C27" s="1305" t="n">
        <f aca="false">Debt_Serv</f>
        <v>37288</v>
      </c>
      <c r="D27" s="231"/>
      <c r="E27" s="231"/>
      <c r="F27" s="1306"/>
      <c r="G27" s="1288" t="s">
        <v>1657</v>
      </c>
      <c r="H27" s="1289" t="n">
        <v>36076</v>
      </c>
      <c r="I27" s="1288" t="s">
        <v>1657</v>
      </c>
      <c r="J27" s="1290" t="s">
        <v>1658</v>
      </c>
    </row>
    <row r="28" customFormat="false" ht="13.5" hidden="false" customHeight="false" outlineLevel="0" collapsed="false">
      <c r="A28" s="38"/>
      <c r="B28" s="38"/>
      <c r="C28" s="38"/>
      <c r="D28" s="38"/>
      <c r="E28" s="38"/>
      <c r="F28" s="38"/>
      <c r="G28" s="38"/>
      <c r="H28" s="1272"/>
      <c r="I28" s="7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</row>
    <row r="29" customFormat="false" ht="12.75" hidden="false" customHeight="false" outlineLevel="0" collapsed="false">
      <c r="A29" s="1273" t="str">
        <f aca="false">Assm!A28</f>
        <v>Pricing</v>
      </c>
      <c r="B29" s="1307" t="str">
        <f aca="false">Assm!E28</f>
        <v>Base Year For Tariff Pricing</v>
      </c>
      <c r="C29" s="1308" t="n">
        <f aca="false">Assm!F28</f>
        <v>1997</v>
      </c>
      <c r="D29" s="1308"/>
      <c r="E29" s="1308"/>
      <c r="F29" s="1309" t="s">
        <v>172</v>
      </c>
      <c r="G29" s="1276"/>
      <c r="H29" s="1277"/>
      <c r="I29" s="1276"/>
      <c r="J29" s="1278"/>
    </row>
    <row r="30" customFormat="false" ht="12.75" hidden="false" customHeight="false" outlineLevel="0" collapsed="false">
      <c r="A30" s="1283"/>
      <c r="B30" s="877" t="str">
        <f aca="false">Assm!E29</f>
        <v>Annex 12 Escalation (0=Off, 1=On)</v>
      </c>
      <c r="C30" s="1310" t="n">
        <f aca="false">Assm!F29</f>
        <v>1</v>
      </c>
      <c r="D30" s="1310" t="str">
        <f aca="false">IF(C30=0,"Off","On")</f>
        <v>On</v>
      </c>
      <c r="E30" s="1311"/>
      <c r="F30" s="1312"/>
      <c r="G30" s="1280"/>
      <c r="H30" s="1281"/>
      <c r="I30" s="1280"/>
      <c r="J30" s="1282"/>
    </row>
    <row r="31" customFormat="false" ht="12.75" hidden="false" customHeight="false" outlineLevel="0" collapsed="false">
      <c r="A31" s="1279"/>
      <c r="B31" s="1313" t="s">
        <v>171</v>
      </c>
      <c r="C31" s="303"/>
      <c r="D31" s="303"/>
      <c r="E31" s="303"/>
      <c r="F31" s="303"/>
      <c r="G31" s="1280"/>
      <c r="H31" s="1281"/>
      <c r="I31" s="1280"/>
      <c r="J31" s="1282"/>
    </row>
    <row r="32" customFormat="false" ht="12.75" hidden="false" customHeight="false" outlineLevel="0" collapsed="false">
      <c r="A32" s="1283"/>
      <c r="B32" s="877" t="str">
        <f aca="false">Assm!A31</f>
        <v>Plant &amp; Transmission ($/Kw-Mo)</v>
      </c>
      <c r="C32" s="1314" t="str">
        <f aca="false">Assm!C31</f>
        <v>See Tariff Sheet</v>
      </c>
      <c r="D32" s="1314"/>
      <c r="E32" s="1314"/>
      <c r="F32" s="1284" t="str">
        <f aca="false">Assm!F31</f>
        <v>CPI / IGPM</v>
      </c>
      <c r="G32" s="1280" t="s">
        <v>1659</v>
      </c>
      <c r="H32" s="1281" t="n">
        <v>35759</v>
      </c>
      <c r="I32" s="1280" t="s">
        <v>1660</v>
      </c>
      <c r="J32" s="1282" t="s">
        <v>1661</v>
      </c>
    </row>
    <row r="33" customFormat="false" ht="12.75" hidden="false" customHeight="false" outlineLevel="0" collapsed="false">
      <c r="A33" s="1283"/>
      <c r="B33" s="877" t="str">
        <f aca="false">Assm!A32</f>
        <v>Transport Gas ($/Kw-Mo)</v>
      </c>
      <c r="C33" s="1314" t="str">
        <f aca="false">Assm!C32</f>
        <v>See Tariff Sheet</v>
      </c>
      <c r="D33" s="1314"/>
      <c r="E33" s="1314"/>
      <c r="F33" s="1284" t="str">
        <f aca="false">Assm!F32</f>
        <v>CPI</v>
      </c>
      <c r="G33" s="1280" t="s">
        <v>1652</v>
      </c>
      <c r="H33" s="1281" t="n">
        <v>35759</v>
      </c>
      <c r="I33" s="1280" t="s">
        <v>1634</v>
      </c>
      <c r="J33" s="1282" t="s">
        <v>1662</v>
      </c>
    </row>
    <row r="34" customFormat="false" ht="12.75" hidden="false" customHeight="false" outlineLevel="0" collapsed="false">
      <c r="A34" s="1283"/>
      <c r="B34" s="877" t="str">
        <f aca="false">Assm!A33</f>
        <v>Commodity Gas ($/Kw-Mo)</v>
      </c>
      <c r="C34" s="1314" t="str">
        <f aca="false">Assm!C33</f>
        <v>See Tariff Sheet</v>
      </c>
      <c r="D34" s="1314"/>
      <c r="E34" s="1314"/>
      <c r="F34" s="1315" t="str">
        <f aca="false">Assm!F33</f>
        <v>CPI Less .0025</v>
      </c>
      <c r="G34" s="1280" t="s">
        <v>1652</v>
      </c>
      <c r="H34" s="1281" t="n">
        <v>35759</v>
      </c>
      <c r="I34" s="1280" t="s">
        <v>1634</v>
      </c>
      <c r="J34" s="1282" t="s">
        <v>1663</v>
      </c>
    </row>
    <row r="35" customFormat="false" ht="12.75" hidden="false" customHeight="false" outlineLevel="0" collapsed="false">
      <c r="A35" s="1283"/>
      <c r="B35" s="1313" t="str">
        <f aca="false">Assm!A34</f>
        <v>Energy (Variable) Payments</v>
      </c>
      <c r="C35" s="876"/>
      <c r="D35" s="38"/>
      <c r="E35" s="38"/>
      <c r="F35" s="878"/>
      <c r="G35" s="1280"/>
      <c r="H35" s="1281"/>
      <c r="I35" s="1280"/>
      <c r="J35" s="1282"/>
    </row>
    <row r="36" customFormat="false" ht="12.75" hidden="false" customHeight="false" outlineLevel="0" collapsed="false">
      <c r="A36" s="1283"/>
      <c r="B36" s="877" t="str">
        <f aca="false">Assm!A35</f>
        <v>Variable Commodity</v>
      </c>
      <c r="C36" s="79" t="str">
        <f aca="false">Assm!C35</f>
        <v>See Tariff Sheet</v>
      </c>
      <c r="D36" s="79"/>
      <c r="E36" s="79"/>
      <c r="F36" s="1315" t="str">
        <f aca="false">Assm!F35</f>
        <v>CPI Less .0025</v>
      </c>
      <c r="G36" s="1280" t="s">
        <v>1652</v>
      </c>
      <c r="H36" s="1281" t="n">
        <v>35759</v>
      </c>
      <c r="I36" s="1280" t="s">
        <v>1634</v>
      </c>
      <c r="J36" s="1282" t="s">
        <v>1664</v>
      </c>
    </row>
    <row r="37" customFormat="false" ht="13.5" hidden="false" customHeight="false" outlineLevel="0" collapsed="false">
      <c r="A37" s="1286"/>
      <c r="B37" s="1287" t="str">
        <f aca="false">Assm!A36</f>
        <v>Variable O&amp;M</v>
      </c>
      <c r="C37" s="329" t="str">
        <f aca="false">Assm!C36</f>
        <v>See Tariff Sheet</v>
      </c>
      <c r="D37" s="329"/>
      <c r="E37" s="329"/>
      <c r="F37" s="1316" t="str">
        <f aca="false">Assm!F36</f>
        <v>IGPM</v>
      </c>
      <c r="G37" s="1288" t="s">
        <v>1652</v>
      </c>
      <c r="H37" s="1289" t="n">
        <v>35759</v>
      </c>
      <c r="I37" s="1288" t="s">
        <v>1634</v>
      </c>
      <c r="J37" s="1290" t="s">
        <v>1665</v>
      </c>
    </row>
    <row r="38" customFormat="false" ht="13.5" hidden="false" customHeight="false" outlineLevel="0" collapsed="false">
      <c r="A38" s="38"/>
      <c r="B38" s="38"/>
      <c r="C38" s="38"/>
      <c r="D38" s="38"/>
      <c r="E38" s="38"/>
      <c r="F38" s="38"/>
      <c r="G38" s="38"/>
      <c r="H38" s="1272"/>
      <c r="I38" s="77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</row>
    <row r="39" customFormat="false" ht="12.75" hidden="false" customHeight="false" outlineLevel="0" collapsed="false">
      <c r="A39" s="1273" t="str">
        <f aca="false">Assm!A38</f>
        <v>Fuel Purchases</v>
      </c>
      <c r="B39" s="1317" t="s">
        <v>1666</v>
      </c>
      <c r="C39" s="1318" t="n">
        <f aca="false">Assm!F38</f>
        <v>1998</v>
      </c>
      <c r="D39" s="1318"/>
      <c r="E39" s="1318"/>
      <c r="F39" s="1309" t="s">
        <v>172</v>
      </c>
      <c r="G39" s="1276"/>
      <c r="H39" s="1277"/>
      <c r="I39" s="1276"/>
      <c r="J39" s="1278"/>
    </row>
    <row r="40" customFormat="false" ht="12.75" hidden="false" customHeight="false" outlineLevel="0" collapsed="false">
      <c r="A40" s="1279"/>
      <c r="B40" s="1313" t="str">
        <f aca="false">Assm!A40</f>
        <v>Diesel (Petrobras-Phase I Only)</v>
      </c>
      <c r="D40" s="23"/>
      <c r="E40" s="23"/>
      <c r="F40" s="1319"/>
      <c r="G40" s="1280"/>
      <c r="H40" s="1281"/>
      <c r="I40" s="1280"/>
      <c r="J40" s="1282"/>
    </row>
    <row r="41" customFormat="false" ht="12.75" hidden="false" customHeight="false" outlineLevel="0" collapsed="false">
      <c r="A41" s="1283"/>
      <c r="B41" s="877" t="str">
        <f aca="false">Assm!A41</f>
        <v>Kcal / Kg</v>
      </c>
      <c r="D41" s="1320" t="n">
        <f aca="false">Assm!B41</f>
        <v>10400</v>
      </c>
      <c r="E41" s="23"/>
      <c r="F41" s="467"/>
      <c r="G41" s="1280" t="s">
        <v>1667</v>
      </c>
      <c r="H41" s="1281" t="n">
        <v>36220</v>
      </c>
      <c r="I41" s="1280" t="s">
        <v>1631</v>
      </c>
      <c r="J41" s="1282" t="s">
        <v>1668</v>
      </c>
    </row>
    <row r="42" customFormat="false" ht="12.75" hidden="false" customHeight="false" outlineLevel="0" collapsed="false">
      <c r="A42" s="1283"/>
      <c r="B42" s="877" t="str">
        <f aca="false">Assm!A42</f>
        <v>Kg / CM</v>
      </c>
      <c r="D42" s="1320" t="n">
        <f aca="false">Assm!B42</f>
        <v>850</v>
      </c>
      <c r="E42" s="23"/>
      <c r="F42" s="467"/>
      <c r="G42" s="1280" t="s">
        <v>1667</v>
      </c>
      <c r="H42" s="1281" t="n">
        <v>36220</v>
      </c>
      <c r="I42" s="1280" t="s">
        <v>1631</v>
      </c>
      <c r="J42" s="1282" t="s">
        <v>1668</v>
      </c>
    </row>
    <row r="43" customFormat="false" ht="12.75" hidden="false" customHeight="false" outlineLevel="0" collapsed="false">
      <c r="A43" s="1283"/>
      <c r="B43" s="877" t="str">
        <f aca="false">Assm!A43</f>
        <v>BTU / Kcal</v>
      </c>
      <c r="D43" s="1164" t="n">
        <f aca="false">Assm!B43</f>
        <v>3.9683</v>
      </c>
      <c r="E43" s="23"/>
      <c r="F43" s="467"/>
      <c r="G43" s="1280" t="s">
        <v>1669</v>
      </c>
      <c r="H43" s="1281"/>
      <c r="I43" s="1280"/>
      <c r="J43" s="1282"/>
    </row>
    <row r="44" customFormat="false" ht="12.75" hidden="false" customHeight="false" outlineLevel="0" collapsed="false">
      <c r="A44" s="1283"/>
      <c r="B44" s="877" t="str">
        <f aca="false">Assm!A44</f>
        <v>MMBTU / CM</v>
      </c>
      <c r="D44" s="289" t="n">
        <f aca="false">Assm!B44</f>
        <v>35.079772</v>
      </c>
      <c r="E44" s="23"/>
      <c r="F44" s="467"/>
      <c r="G44" s="1280" t="s">
        <v>1645</v>
      </c>
      <c r="H44" s="1281"/>
      <c r="I44" s="1280"/>
      <c r="J44" s="1282"/>
    </row>
    <row r="45" customFormat="false" ht="12.75" hidden="false" customHeight="false" outlineLevel="0" collapsed="false">
      <c r="A45" s="1283"/>
      <c r="B45" s="877" t="str">
        <f aca="false">Assm!C41</f>
        <v>R$ / Cubic Meter (CM)</v>
      </c>
      <c r="D45" s="289" t="n">
        <f aca="false">Assm!E41</f>
        <v>360.4</v>
      </c>
      <c r="E45" s="23"/>
      <c r="F45" s="467" t="str">
        <f aca="false">Assm!F41</f>
        <v>ANP Index</v>
      </c>
      <c r="G45" s="1280" t="s">
        <v>1667</v>
      </c>
      <c r="H45" s="1281" t="n">
        <v>36220</v>
      </c>
      <c r="I45" s="1280" t="s">
        <v>1631</v>
      </c>
      <c r="J45" s="1282" t="s">
        <v>1670</v>
      </c>
    </row>
    <row r="46" customFormat="false" ht="12.75" hidden="false" customHeight="false" outlineLevel="0" collapsed="false">
      <c r="A46" s="1283"/>
      <c r="B46" s="877"/>
      <c r="D46" s="293"/>
      <c r="E46" s="23"/>
      <c r="F46" s="467"/>
      <c r="G46" s="1280"/>
      <c r="H46" s="1281"/>
      <c r="I46" s="1280"/>
      <c r="J46" s="1282"/>
    </row>
    <row r="47" customFormat="false" ht="12.75" hidden="false" customHeight="false" outlineLevel="0" collapsed="false">
      <c r="A47" s="1283"/>
      <c r="B47" s="1313" t="str">
        <f aca="false">Assm!A46</f>
        <v>Natural Gas (TBS Contract)</v>
      </c>
      <c r="C47" s="293"/>
      <c r="D47" s="293"/>
      <c r="E47" s="23"/>
      <c r="F47" s="1319"/>
      <c r="G47" s="1280"/>
      <c r="H47" s="1281"/>
      <c r="I47" s="1280"/>
      <c r="J47" s="1282"/>
    </row>
    <row r="48" customFormat="false" ht="12.75" hidden="false" customHeight="false" outlineLevel="0" collapsed="false">
      <c r="A48" s="1283"/>
      <c r="B48" s="877" t="str">
        <f aca="false">Assm!A47</f>
        <v>Variable Rate</v>
      </c>
      <c r="C48" s="1321" t="n">
        <f aca="false">Assm!C47</f>
        <v>1.21</v>
      </c>
      <c r="D48" s="293" t="str">
        <f aca="false">Assm!D47</f>
        <v>/ MMBTU</v>
      </c>
      <c r="E48" s="23"/>
      <c r="F48" s="1322" t="str">
        <f aca="false">Assm!F47</f>
        <v>CPI Less .0025</v>
      </c>
      <c r="G48" s="1280" t="s">
        <v>1671</v>
      </c>
      <c r="H48" s="1281" t="n">
        <v>36235</v>
      </c>
      <c r="I48" s="1280" t="s">
        <v>1631</v>
      </c>
      <c r="J48" s="1282" t="s">
        <v>1672</v>
      </c>
    </row>
    <row r="49" customFormat="false" ht="12.75" hidden="false" customHeight="false" outlineLevel="0" collapsed="false">
      <c r="A49" s="1283"/>
      <c r="B49" s="877" t="str">
        <f aca="false">Assm!A48</f>
        <v>Yabog Rate</v>
      </c>
      <c r="C49" s="1321" t="n">
        <f aca="false">Assm!C48</f>
        <v>0.25</v>
      </c>
      <c r="D49" s="293" t="str">
        <f aca="false">Assm!D48</f>
        <v>/ MMBTU</v>
      </c>
      <c r="E49" s="23"/>
      <c r="F49" s="467" t="str">
        <f aca="false">Assm!F48</f>
        <v>None</v>
      </c>
      <c r="G49" s="1280" t="s">
        <v>1671</v>
      </c>
      <c r="H49" s="1281" t="n">
        <v>36235</v>
      </c>
      <c r="I49" s="1280" t="s">
        <v>1631</v>
      </c>
      <c r="J49" s="1282" t="s">
        <v>1672</v>
      </c>
    </row>
    <row r="50" customFormat="false" ht="12.75" hidden="false" customHeight="false" outlineLevel="0" collapsed="false">
      <c r="A50" s="1283"/>
      <c r="B50" s="1209" t="str">
        <f aca="false">Assm!A49</f>
        <v>(Variable &amp; Yabog Rates Based On Greater Of Consumed / Take Or Pay Volumes)</v>
      </c>
      <c r="C50" s="293"/>
      <c r="D50" s="293"/>
      <c r="E50" s="23"/>
      <c r="F50" s="1319"/>
      <c r="G50" s="1280"/>
      <c r="H50" s="1281"/>
      <c r="I50" s="1280"/>
      <c r="J50" s="1282"/>
    </row>
    <row r="51" customFormat="false" ht="12.75" hidden="false" customHeight="false" outlineLevel="0" collapsed="false">
      <c r="A51" s="1283"/>
      <c r="B51" s="877" t="str">
        <f aca="false">Assm!A51</f>
        <v>Fixed Transportation Rate</v>
      </c>
      <c r="C51" s="1323" t="str">
        <f aca="false">Assm!C51</f>
        <v>See Tariff Sheet For Pricing</v>
      </c>
      <c r="D51" s="1323"/>
      <c r="E51" s="1323"/>
      <c r="F51" s="1324" t="str">
        <f aca="false">Assm!F51</f>
        <v>CPI</v>
      </c>
      <c r="G51" s="1280" t="s">
        <v>1671</v>
      </c>
      <c r="H51" s="1281" t="n">
        <v>36235</v>
      </c>
      <c r="I51" s="1280" t="s">
        <v>1631</v>
      </c>
      <c r="J51" s="1282" t="s">
        <v>1673</v>
      </c>
    </row>
    <row r="52" customFormat="false" ht="12.75" hidden="false" customHeight="false" outlineLevel="0" collapsed="false">
      <c r="A52" s="1283"/>
      <c r="B52" s="877"/>
      <c r="C52" s="1323"/>
      <c r="D52" s="1325"/>
      <c r="F52" s="1326"/>
      <c r="G52" s="1280"/>
      <c r="H52" s="1281"/>
      <c r="I52" s="1280"/>
      <c r="J52" s="1282"/>
    </row>
    <row r="53" customFormat="false" ht="12.75" hidden="false" customHeight="false" outlineLevel="0" collapsed="false">
      <c r="A53" s="1283"/>
      <c r="B53" s="877"/>
      <c r="C53" s="1327"/>
      <c r="D53" s="1327" t="str">
        <f aca="false">Assm!C53</f>
        <v>Outage</v>
      </c>
      <c r="E53" s="1327" t="str">
        <f aca="false">Assm!D53</f>
        <v>Average</v>
      </c>
      <c r="F53" s="1327" t="str">
        <f aca="false">Assm!E54</f>
        <v>TOP%</v>
      </c>
      <c r="G53" s="1280"/>
      <c r="H53" s="1281"/>
      <c r="I53" s="1280"/>
      <c r="J53" s="1282"/>
    </row>
    <row r="54" customFormat="false" ht="12.75" hidden="false" customHeight="false" outlineLevel="0" collapsed="false">
      <c r="A54" s="1283"/>
      <c r="B54" s="1313" t="str">
        <f aca="false">Assm!A53</f>
        <v>TOP Obligation (TBS)</v>
      </c>
      <c r="C54" s="1328" t="str">
        <f aca="false">Assm!B54</f>
        <v>DCQ</v>
      </c>
      <c r="D54" s="1328" t="str">
        <f aca="false">Assm!C54</f>
        <v>Days</v>
      </c>
      <c r="E54" s="1328" t="str">
        <f aca="false">Assm!D54</f>
        <v>DCQ</v>
      </c>
      <c r="F54" s="1329" t="n">
        <f aca="false">Assm!E55</f>
        <v>0.8</v>
      </c>
      <c r="G54" s="1280"/>
      <c r="H54" s="1281"/>
      <c r="I54" s="1280"/>
      <c r="J54" s="1282"/>
    </row>
    <row r="55" customFormat="false" ht="13.5" hidden="false" customHeight="false" outlineLevel="0" collapsed="false">
      <c r="A55" s="1286"/>
      <c r="B55" s="1330" t="n">
        <f aca="false">Assm!A55</f>
        <v>37104</v>
      </c>
      <c r="C55" s="1331" t="n">
        <f aca="false">Assm!B55</f>
        <v>80800</v>
      </c>
      <c r="D55" s="1331" t="n">
        <f aca="false">Assm!C55</f>
        <v>32</v>
      </c>
      <c r="E55" s="1331" t="n">
        <f aca="false">Assm!D55</f>
        <v>73716.1643835616</v>
      </c>
      <c r="F55" s="1331" t="n">
        <f aca="false">Assm!F55</f>
        <v>58972.9315068493</v>
      </c>
      <c r="G55" s="1288" t="s">
        <v>1671</v>
      </c>
      <c r="H55" s="1289" t="n">
        <v>36235</v>
      </c>
      <c r="I55" s="1288" t="s">
        <v>1631</v>
      </c>
      <c r="J55" s="1290" t="s">
        <v>1674</v>
      </c>
    </row>
    <row r="56" customFormat="false" ht="13.5" hidden="false" customHeight="false" outlineLevel="0" collapsed="false">
      <c r="A56" s="38"/>
      <c r="B56" s="38"/>
      <c r="C56" s="38"/>
      <c r="D56" s="38"/>
      <c r="E56" s="38"/>
      <c r="F56" s="38"/>
      <c r="G56" s="38"/>
      <c r="H56" s="1272"/>
      <c r="I56" s="77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</row>
    <row r="57" customFormat="false" ht="12.75" hidden="false" customHeight="false" outlineLevel="0" collapsed="false">
      <c r="A57" s="1273" t="str">
        <f aca="false">Assm!A57</f>
        <v>Operating Expenses ($000) - Power Plant</v>
      </c>
      <c r="B57" s="1317" t="s">
        <v>1666</v>
      </c>
      <c r="C57" s="1332" t="n">
        <f aca="false">Assm!F57</f>
        <v>1998</v>
      </c>
      <c r="D57" s="1332"/>
      <c r="E57" s="1332"/>
      <c r="F57" s="1309" t="s">
        <v>172</v>
      </c>
      <c r="G57" s="1276"/>
      <c r="H57" s="1277"/>
      <c r="I57" s="1276"/>
      <c r="J57" s="1278"/>
    </row>
    <row r="58" customFormat="false" ht="12.75" hidden="false" customHeight="false" outlineLevel="0" collapsed="false">
      <c r="A58" s="1283"/>
      <c r="B58" s="1333" t="s">
        <v>1675</v>
      </c>
      <c r="C58" s="1334" t="str">
        <f aca="false">Assm!F60</f>
        <v>IGP</v>
      </c>
      <c r="D58" s="1334"/>
      <c r="E58" s="1334"/>
      <c r="F58" s="1319"/>
      <c r="G58" s="1280"/>
      <c r="H58" s="1281"/>
      <c r="I58" s="1280"/>
      <c r="J58" s="1282"/>
    </row>
    <row r="59" customFormat="false" ht="12.75" hidden="false" customHeight="false" outlineLevel="0" collapsed="false">
      <c r="A59" s="1283"/>
      <c r="B59" s="1313" t="str">
        <f aca="false">Assm!A59</f>
        <v>Fixed (R$ Based)</v>
      </c>
      <c r="C59" s="1335" t="n">
        <f aca="false">Assm!C59</f>
        <v>1999</v>
      </c>
      <c r="D59" s="1336" t="n">
        <f aca="false">Assm!D59</f>
        <v>2001</v>
      </c>
      <c r="E59" s="1336" t="n">
        <f aca="false">Assm!E59</f>
        <v>2002</v>
      </c>
      <c r="G59" s="1280"/>
      <c r="H59" s="1281"/>
      <c r="I59" s="1280"/>
      <c r="J59" s="1282"/>
    </row>
    <row r="60" customFormat="false" ht="12.75" hidden="false" customHeight="false" outlineLevel="0" collapsed="false">
      <c r="A60" s="1283"/>
      <c r="B60" s="877" t="str">
        <f aca="false">Assm!A60</f>
        <v>Payroll &amp; Burden (Includes WTF)</v>
      </c>
      <c r="C60" s="1337" t="n">
        <f aca="false">Assm!C60</f>
        <v>1623.035</v>
      </c>
      <c r="D60" s="1338" t="n">
        <f aca="false">Assm!D60</f>
        <v>2120.28</v>
      </c>
      <c r="E60" s="1338" t="n">
        <f aca="false">Assm!E60</f>
        <v>1765.57</v>
      </c>
      <c r="F60" s="3" t="str">
        <f aca="false">Assm!F60</f>
        <v>IGP</v>
      </c>
      <c r="G60" s="1280" t="s">
        <v>1676</v>
      </c>
      <c r="H60" s="1281" t="n">
        <v>36048</v>
      </c>
      <c r="I60" s="1280" t="s">
        <v>1676</v>
      </c>
      <c r="J60" s="1282" t="s">
        <v>1677</v>
      </c>
    </row>
    <row r="61" customFormat="false" ht="12.75" hidden="false" customHeight="false" outlineLevel="0" collapsed="false">
      <c r="A61" s="1283"/>
      <c r="B61" s="877" t="str">
        <f aca="false">Assm!A61</f>
        <v>Other O&amp;M Expenses</v>
      </c>
      <c r="C61" s="1337" t="n">
        <f aca="false">Assm!C61</f>
        <v>692.502</v>
      </c>
      <c r="D61" s="1338" t="n">
        <f aca="false">Assm!D61</f>
        <v>706.359</v>
      </c>
      <c r="E61" s="1338" t="n">
        <f aca="false">Assm!E61</f>
        <v>727.959</v>
      </c>
      <c r="F61" s="3" t="str">
        <f aca="false">Assm!F61</f>
        <v>IGP</v>
      </c>
      <c r="G61" s="1280" t="s">
        <v>1676</v>
      </c>
      <c r="H61" s="1281" t="n">
        <v>36048</v>
      </c>
      <c r="I61" s="1280" t="s">
        <v>1676</v>
      </c>
      <c r="J61" s="1282" t="s">
        <v>1677</v>
      </c>
    </row>
    <row r="62" customFormat="false" ht="12.75" hidden="false" customHeight="false" outlineLevel="0" collapsed="false">
      <c r="A62" s="1283"/>
      <c r="B62" s="877" t="str">
        <f aca="false">Assm!A62</f>
        <v>Commercial Office</v>
      </c>
      <c r="C62" s="1337" t="n">
        <f aca="false">Assm!C62</f>
        <v>874.148</v>
      </c>
      <c r="D62" s="1338" t="n">
        <f aca="false">Assm!D62</f>
        <v>874.148</v>
      </c>
      <c r="E62" s="1338" t="n">
        <f aca="false">Assm!E62</f>
        <v>874.148</v>
      </c>
      <c r="F62" s="3" t="str">
        <f aca="false">Assm!F62</f>
        <v>IGP</v>
      </c>
      <c r="G62" s="1280" t="s">
        <v>1676</v>
      </c>
      <c r="H62" s="1281" t="n">
        <v>36048</v>
      </c>
      <c r="I62" s="1280" t="s">
        <v>1676</v>
      </c>
      <c r="J62" s="1282" t="s">
        <v>1677</v>
      </c>
    </row>
    <row r="63" customFormat="false" ht="12.75" hidden="false" customHeight="false" outlineLevel="0" collapsed="false">
      <c r="A63" s="1283"/>
      <c r="B63" s="877" t="str">
        <f aca="false">Assm!A63</f>
        <v>Sustaining Capital</v>
      </c>
      <c r="C63" s="1337" t="n">
        <f aca="false">Assm!C63</f>
        <v>0</v>
      </c>
      <c r="D63" s="1338" t="n">
        <f aca="false">Assm!D63</f>
        <v>337.5</v>
      </c>
      <c r="E63" s="1338" t="n">
        <f aca="false">Assm!E63</f>
        <v>337.5</v>
      </c>
      <c r="F63" s="3" t="str">
        <f aca="false">Assm!F63</f>
        <v>IGP</v>
      </c>
      <c r="G63" s="1280" t="s">
        <v>1676</v>
      </c>
      <c r="H63" s="1281" t="n">
        <v>36048</v>
      </c>
      <c r="I63" s="1280" t="s">
        <v>1676</v>
      </c>
      <c r="J63" s="1282" t="s">
        <v>1677</v>
      </c>
    </row>
    <row r="64" customFormat="false" ht="12.75" hidden="false" customHeight="false" outlineLevel="0" collapsed="false">
      <c r="A64" s="1283"/>
      <c r="B64" s="877" t="str">
        <f aca="false">Assm!A64</f>
        <v>Minor Maintenance (Incl WTF)</v>
      </c>
      <c r="C64" s="1337" t="n">
        <f aca="false">Assm!C64</f>
        <v>200.4625</v>
      </c>
      <c r="D64" s="1338" t="n">
        <f aca="false">Assm!D64</f>
        <v>992.8548</v>
      </c>
      <c r="E64" s="1338" t="n">
        <f aca="false">Assm!E64</f>
        <v>1144.0793</v>
      </c>
      <c r="F64" s="3" t="str">
        <f aca="false">Assm!F64</f>
        <v>IGP</v>
      </c>
      <c r="G64" s="1280" t="s">
        <v>1676</v>
      </c>
      <c r="H64" s="1281" t="n">
        <v>36048</v>
      </c>
      <c r="I64" s="1280" t="s">
        <v>1676</v>
      </c>
      <c r="J64" s="1282" t="s">
        <v>1677</v>
      </c>
    </row>
    <row r="65" customFormat="false" ht="12.75" hidden="false" customHeight="false" outlineLevel="0" collapsed="false">
      <c r="A65" s="1283"/>
      <c r="B65" s="877" t="str">
        <f aca="false">Assm!A65</f>
        <v>Major Maintenance (Avg)</v>
      </c>
      <c r="C65" s="1337" t="n">
        <f aca="false">Assm!C65</f>
        <v>215.768345454545</v>
      </c>
      <c r="D65" s="1338" t="n">
        <f aca="false">Assm!D65</f>
        <v>215.768345454545</v>
      </c>
      <c r="E65" s="1338" t="n">
        <f aca="false">Assm!E65</f>
        <v>215.768345454545</v>
      </c>
      <c r="F65" s="3" t="str">
        <f aca="false">Assm!F65</f>
        <v>IGP</v>
      </c>
      <c r="G65" s="1280" t="s">
        <v>1676</v>
      </c>
      <c r="H65" s="1281" t="n">
        <v>36048</v>
      </c>
      <c r="I65" s="1280" t="s">
        <v>1676</v>
      </c>
      <c r="J65" s="1282" t="s">
        <v>1677</v>
      </c>
    </row>
    <row r="66" customFormat="false" ht="12.75" hidden="false" customHeight="false" outlineLevel="0" collapsed="false">
      <c r="A66" s="1283"/>
      <c r="B66" s="1313" t="str">
        <f aca="false">Assm!A67</f>
        <v>Fixed (US$ Based)</v>
      </c>
      <c r="C66" s="1337"/>
      <c r="D66" s="1338"/>
      <c r="E66" s="1338"/>
      <c r="G66" s="1280"/>
      <c r="H66" s="1281"/>
      <c r="I66" s="1280"/>
      <c r="J66" s="1282"/>
    </row>
    <row r="67" customFormat="false" ht="12.75" hidden="false" customHeight="false" outlineLevel="0" collapsed="false">
      <c r="A67" s="1283"/>
      <c r="B67" s="877" t="str">
        <f aca="false">Assm!A68</f>
        <v>JVM Management Fee</v>
      </c>
      <c r="C67" s="1337" t="n">
        <f aca="false">Assm!C68</f>
        <v>450</v>
      </c>
      <c r="D67" s="1338" t="n">
        <f aca="false">Assm!D68</f>
        <v>900</v>
      </c>
      <c r="E67" s="1338" t="n">
        <f aca="false">Assm!E68</f>
        <v>900</v>
      </c>
      <c r="F67" s="3" t="str">
        <f aca="false">Assm!F68</f>
        <v>CPI</v>
      </c>
      <c r="G67" s="1280" t="s">
        <v>1676</v>
      </c>
      <c r="H67" s="1281" t="n">
        <v>36048</v>
      </c>
      <c r="I67" s="1280" t="s">
        <v>1676</v>
      </c>
      <c r="J67" s="1282" t="s">
        <v>1677</v>
      </c>
    </row>
    <row r="68" customFormat="false" ht="12.75" hidden="false" customHeight="false" outlineLevel="0" collapsed="false">
      <c r="A68" s="1283"/>
      <c r="B68" s="877" t="str">
        <f aca="false">Assm!A69</f>
        <v>JVM G&amp;A</v>
      </c>
      <c r="C68" s="1337" t="n">
        <f aca="false">Assm!C69</f>
        <v>75</v>
      </c>
      <c r="D68" s="1338" t="n">
        <f aca="false">Assm!D69</f>
        <v>150</v>
      </c>
      <c r="E68" s="1338" t="n">
        <f aca="false">Assm!E69</f>
        <v>150</v>
      </c>
      <c r="F68" s="3" t="str">
        <f aca="false">Assm!F69</f>
        <v>CPI</v>
      </c>
      <c r="G68" s="1280" t="s">
        <v>1676</v>
      </c>
      <c r="H68" s="1281" t="n">
        <v>36048</v>
      </c>
      <c r="I68" s="1280" t="s">
        <v>1676</v>
      </c>
      <c r="J68" s="1282" t="s">
        <v>1677</v>
      </c>
    </row>
    <row r="69" customFormat="false" ht="12.75" hidden="false" customHeight="false" outlineLevel="0" collapsed="false">
      <c r="A69" s="1283"/>
      <c r="B69" s="877" t="str">
        <f aca="false">Assm!A70</f>
        <v>Operating Insurance</v>
      </c>
      <c r="C69" s="1337" t="n">
        <f aca="false">Assm!C70</f>
        <v>0</v>
      </c>
      <c r="D69" s="1338" t="n">
        <f aca="false">Assm!D70</f>
        <v>1390.002</v>
      </c>
      <c r="E69" s="1338" t="n">
        <f aca="false">Assm!E70</f>
        <v>1390.002</v>
      </c>
      <c r="F69" s="3" t="str">
        <f aca="false">Assm!F70</f>
        <v>CPI</v>
      </c>
      <c r="G69" s="1280" t="s">
        <v>1678</v>
      </c>
      <c r="H69" s="1281" t="n">
        <v>36171</v>
      </c>
      <c r="I69" s="1280" t="s">
        <v>1679</v>
      </c>
      <c r="J69" s="1282"/>
    </row>
    <row r="70" customFormat="false" ht="12.75" hidden="false" customHeight="false" outlineLevel="0" collapsed="false">
      <c r="A70" s="1283"/>
      <c r="B70" s="877" t="str">
        <f aca="false">Assm!A71</f>
        <v>Minor Maintenance (Incl WTF)</v>
      </c>
      <c r="C70" s="1337" t="n">
        <f aca="false">Assm!C71</f>
        <v>85.9125</v>
      </c>
      <c r="D70" s="1338" t="n">
        <f aca="false">Assm!D71</f>
        <v>425.5092</v>
      </c>
      <c r="E70" s="1338" t="n">
        <f aca="false">Assm!E71</f>
        <v>490.3197</v>
      </c>
      <c r="F70" s="3" t="str">
        <f aca="false">Assm!F71</f>
        <v>CPI</v>
      </c>
      <c r="G70" s="1280" t="s">
        <v>1676</v>
      </c>
      <c r="H70" s="1281" t="n">
        <v>36048</v>
      </c>
      <c r="I70" s="1280" t="s">
        <v>1676</v>
      </c>
      <c r="J70" s="1282" t="s">
        <v>1677</v>
      </c>
    </row>
    <row r="71" customFormat="false" ht="12.75" hidden="false" customHeight="false" outlineLevel="0" collapsed="false">
      <c r="A71" s="1283"/>
      <c r="B71" s="877" t="str">
        <f aca="false">Assm!A72</f>
        <v>Major Maintenance (Avg)</v>
      </c>
      <c r="C71" s="1337" t="n">
        <f aca="false">Assm!C72</f>
        <v>4409.70482</v>
      </c>
      <c r="D71" s="1338" t="n">
        <f aca="false">Assm!D72</f>
        <v>4409.70482</v>
      </c>
      <c r="E71" s="1338" t="n">
        <f aca="false">Assm!E72</f>
        <v>4409.70482</v>
      </c>
      <c r="F71" s="3" t="str">
        <f aca="false">Assm!F72</f>
        <v>CPI</v>
      </c>
      <c r="G71" s="1280" t="s">
        <v>1676</v>
      </c>
      <c r="H71" s="1281" t="n">
        <v>36048</v>
      </c>
      <c r="I71" s="1280" t="s">
        <v>1676</v>
      </c>
      <c r="J71" s="1282" t="s">
        <v>1680</v>
      </c>
    </row>
    <row r="72" customFormat="false" ht="12.75" hidden="false" customHeight="false" outlineLevel="0" collapsed="false">
      <c r="A72" s="1283"/>
      <c r="B72" s="1313" t="str">
        <f aca="false">Assm!A74</f>
        <v>Variable</v>
      </c>
      <c r="C72" s="876"/>
      <c r="D72" s="38"/>
      <c r="E72" s="38"/>
      <c r="F72" s="878"/>
      <c r="G72" s="1280"/>
      <c r="H72" s="1281"/>
      <c r="I72" s="1280"/>
      <c r="J72" s="1282"/>
    </row>
    <row r="73" customFormat="false" ht="12.75" hidden="false" customHeight="false" outlineLevel="0" collapsed="false">
      <c r="A73" s="1283"/>
      <c r="B73" s="877" t="str">
        <f aca="false">Assm!A75</f>
        <v>Chemicals (Includes WTF)</v>
      </c>
      <c r="C73" s="1337" t="n">
        <f aca="false">Assm!C75</f>
        <v>75</v>
      </c>
      <c r="D73" s="1338" t="n">
        <f aca="false">Assm!D75</f>
        <v>726.071</v>
      </c>
      <c r="E73" s="1338" t="n">
        <f aca="false">Assm!E75</f>
        <v>726.071</v>
      </c>
      <c r="F73" s="3" t="str">
        <f aca="false">Assm!F75</f>
        <v>IGP</v>
      </c>
      <c r="G73" s="1280" t="s">
        <v>1676</v>
      </c>
      <c r="H73" s="1281" t="n">
        <v>36048</v>
      </c>
      <c r="I73" s="1280" t="s">
        <v>1676</v>
      </c>
      <c r="J73" s="1282" t="s">
        <v>1681</v>
      </c>
    </row>
    <row r="74" customFormat="false" ht="12.75" hidden="false" customHeight="false" outlineLevel="0" collapsed="false">
      <c r="A74" s="1283"/>
      <c r="B74" s="877" t="str">
        <f aca="false">Assm!A76</f>
        <v>Based On Usage (Kwh)</v>
      </c>
      <c r="C74" s="1339" t="n">
        <f aca="false">Assm!C76</f>
        <v>479562.696</v>
      </c>
      <c r="D74" s="1340" t="n">
        <f aca="false">Assm!D76</f>
        <v>3504784.896</v>
      </c>
      <c r="E74" s="1340" t="n">
        <f aca="false">Assm!E76</f>
        <v>3504784.896</v>
      </c>
      <c r="G74" s="1280" t="s">
        <v>1676</v>
      </c>
      <c r="H74" s="1281" t="n">
        <v>36048</v>
      </c>
      <c r="I74" s="1280" t="s">
        <v>1676</v>
      </c>
      <c r="J74" s="1282" t="s">
        <v>1681</v>
      </c>
    </row>
    <row r="75" customFormat="false" ht="13.5" hidden="false" customHeight="false" outlineLevel="0" collapsed="false">
      <c r="A75" s="1286"/>
      <c r="B75" s="1287" t="str">
        <f aca="false">Assm!A77</f>
        <v>Chemicals ($ / Kwh)</v>
      </c>
      <c r="C75" s="1341" t="n">
        <f aca="false">Assm!C77</f>
        <v>0.000156392481370152</v>
      </c>
      <c r="D75" s="284" t="n">
        <f aca="false">Assm!D77</f>
        <v>0.000207165638276022</v>
      </c>
      <c r="E75" s="284" t="n">
        <f aca="false">Assm!E77</f>
        <v>0.000207165638276022</v>
      </c>
      <c r="F75" s="535"/>
      <c r="G75" s="1288" t="s">
        <v>1676</v>
      </c>
      <c r="H75" s="1289" t="n">
        <v>36048</v>
      </c>
      <c r="I75" s="1288" t="s">
        <v>1676</v>
      </c>
      <c r="J75" s="1290" t="s">
        <v>1681</v>
      </c>
    </row>
  </sheetData>
  <mergeCells count="15">
    <mergeCell ref="C7:F7"/>
    <mergeCell ref="C8:F8"/>
    <mergeCell ref="C12:F12"/>
    <mergeCell ref="C14:F14"/>
    <mergeCell ref="C15:F15"/>
    <mergeCell ref="C29:E29"/>
    <mergeCell ref="C32:E32"/>
    <mergeCell ref="C33:E33"/>
    <mergeCell ref="C34:E34"/>
    <mergeCell ref="C36:E36"/>
    <mergeCell ref="C37:E37"/>
    <mergeCell ref="C39:E39"/>
    <mergeCell ref="C51:E51"/>
    <mergeCell ref="C57:E57"/>
    <mergeCell ref="C58:E58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77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B17" activeCellId="0" sqref="B1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30.7"/>
    <col collapsed="false" customWidth="true" hidden="false" outlineLevel="0" max="2" min="2" style="1" width="47.7"/>
    <col collapsed="false" customWidth="true" hidden="false" outlineLevel="0" max="6" min="3" style="1" width="10.71"/>
    <col collapsed="false" customWidth="true" hidden="false" outlineLevel="0" max="7" min="7" style="1" width="23.7"/>
    <col collapsed="false" customWidth="true" hidden="false" outlineLevel="0" max="8" min="8" style="1260" width="13.7"/>
    <col collapsed="false" customWidth="true" hidden="false" outlineLevel="0" max="9" min="9" style="1" width="23.7"/>
    <col collapsed="false" customWidth="true" hidden="false" outlineLevel="0" max="10" min="10" style="1" width="35.7"/>
    <col collapsed="false" customWidth="false" hidden="false" outlineLevel="0" max="257" min="11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1261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1261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1261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1682</v>
      </c>
      <c r="B4" s="388"/>
      <c r="C4" s="388"/>
      <c r="D4" s="388"/>
      <c r="E4" s="388"/>
      <c r="F4" s="388"/>
      <c r="G4" s="388"/>
      <c r="H4" s="1261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38"/>
      <c r="C5" s="388"/>
      <c r="D5" s="38"/>
      <c r="E5" s="38"/>
      <c r="F5" s="38"/>
      <c r="G5" s="38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1262"/>
      <c r="B6" s="882"/>
      <c r="C6" s="881"/>
      <c r="D6" s="854"/>
      <c r="E6" s="854"/>
      <c r="F6" s="1263"/>
      <c r="G6" s="882"/>
      <c r="H6" s="1264"/>
      <c r="I6" s="882" t="s">
        <v>1620</v>
      </c>
      <c r="J6" s="883"/>
    </row>
    <row r="7" customFormat="false" ht="12.75" hidden="false" customHeight="false" outlineLevel="0" collapsed="false">
      <c r="A7" s="1103"/>
      <c r="B7" s="1265"/>
      <c r="C7" s="1265" t="s">
        <v>1621</v>
      </c>
      <c r="D7" s="1265"/>
      <c r="E7" s="1265"/>
      <c r="F7" s="1265"/>
      <c r="G7" s="1265"/>
      <c r="H7" s="1266" t="s">
        <v>708</v>
      </c>
      <c r="I7" s="1265" t="s">
        <v>1683</v>
      </c>
      <c r="J7" s="1267"/>
    </row>
    <row r="8" customFormat="false" ht="13.5" hidden="false" customHeight="false" outlineLevel="0" collapsed="false">
      <c r="A8" s="1268" t="s">
        <v>1623</v>
      </c>
      <c r="B8" s="1269" t="s">
        <v>1624</v>
      </c>
      <c r="C8" s="1269" t="s">
        <v>1625</v>
      </c>
      <c r="D8" s="1269"/>
      <c r="E8" s="1269"/>
      <c r="F8" s="1269"/>
      <c r="G8" s="1269" t="s">
        <v>1626</v>
      </c>
      <c r="H8" s="1270" t="s">
        <v>1627</v>
      </c>
      <c r="I8" s="1269" t="s">
        <v>1628</v>
      </c>
      <c r="J8" s="1271" t="s">
        <v>1629</v>
      </c>
    </row>
    <row r="9" customFormat="false" ht="13.5" hidden="false" customHeight="false" outlineLevel="0" collapsed="false">
      <c r="A9" s="876"/>
      <c r="B9" s="38"/>
      <c r="C9" s="38"/>
      <c r="D9" s="38"/>
      <c r="E9" s="38"/>
      <c r="F9" s="38"/>
      <c r="G9" s="38"/>
      <c r="H9" s="1272"/>
      <c r="I9" s="38"/>
      <c r="J9" s="38"/>
    </row>
    <row r="10" customFormat="false" ht="12.75" hidden="false" customHeight="false" outlineLevel="0" collapsed="false">
      <c r="A10" s="1273" t="str">
        <f aca="false">Assm!H6</f>
        <v>Brazilian Taxes</v>
      </c>
      <c r="B10" s="1342" t="str">
        <f aca="false">Assm!H7</f>
        <v>Operating Taxes</v>
      </c>
      <c r="C10" s="1343"/>
      <c r="D10" s="1344"/>
      <c r="E10" s="33"/>
      <c r="F10" s="1345"/>
      <c r="G10" s="1276"/>
      <c r="H10" s="1277"/>
      <c r="I10" s="1276"/>
      <c r="J10" s="1278"/>
    </row>
    <row r="11" customFormat="false" ht="12.75" hidden="false" customHeight="false" outlineLevel="0" collapsed="false">
      <c r="A11" s="1283"/>
      <c r="B11" s="876" t="str">
        <f aca="false">Assm!K6</f>
        <v>Project Structure</v>
      </c>
      <c r="C11" s="1346" t="str">
        <f aca="false">Assm!L6</f>
        <v>Limitada</v>
      </c>
      <c r="D11" s="1347"/>
      <c r="E11" s="23"/>
      <c r="F11" s="1347"/>
      <c r="G11" s="1280" t="s">
        <v>1684</v>
      </c>
      <c r="H11" s="1281" t="n">
        <v>36250</v>
      </c>
      <c r="I11" s="1280" t="s">
        <v>1685</v>
      </c>
      <c r="J11" s="1282"/>
    </row>
    <row r="12" customFormat="false" ht="12.75" hidden="false" customHeight="false" outlineLevel="0" collapsed="false">
      <c r="A12" s="1279"/>
      <c r="B12" s="876" t="str">
        <f aca="false">Assm!H8</f>
        <v>Corporate Income Tax</v>
      </c>
      <c r="C12" s="1348" t="n">
        <f aca="false">Assm!J8</f>
        <v>0.15</v>
      </c>
      <c r="D12" s="1349" t="str">
        <f aca="false">Assm!K8</f>
        <v>On Taxable income</v>
      </c>
      <c r="E12" s="1349"/>
      <c r="F12" s="1349"/>
      <c r="G12" s="1280" t="s">
        <v>1684</v>
      </c>
      <c r="H12" s="1281" t="n">
        <v>35993</v>
      </c>
      <c r="I12" s="1280" t="s">
        <v>1685</v>
      </c>
      <c r="J12" s="1282" t="s">
        <v>1686</v>
      </c>
    </row>
    <row r="13" customFormat="false" ht="12.75" hidden="false" customHeight="false" outlineLevel="0" collapsed="false">
      <c r="A13" s="1279"/>
      <c r="B13" s="876" t="str">
        <f aca="false">Assm!H9</f>
        <v>Additional Income Tax</v>
      </c>
      <c r="C13" s="1348" t="n">
        <f aca="false">Assm!J9</f>
        <v>0.1</v>
      </c>
      <c r="D13" s="1349" t="str">
        <f aca="false">Assm!K9</f>
        <v>Income Over R$</v>
      </c>
      <c r="E13" s="1349"/>
      <c r="F13" s="1349"/>
      <c r="G13" s="1280" t="s">
        <v>1684</v>
      </c>
      <c r="H13" s="1281" t="n">
        <v>35993</v>
      </c>
      <c r="I13" s="1280" t="s">
        <v>1685</v>
      </c>
      <c r="J13" s="1282" t="s">
        <v>1687</v>
      </c>
    </row>
    <row r="14" customFormat="false" ht="12.75" hidden="false" customHeight="false" outlineLevel="0" collapsed="false">
      <c r="A14" s="1279"/>
      <c r="B14" s="876" t="str">
        <f aca="false">Assm!H10</f>
        <v>Social Contribution Tax</v>
      </c>
      <c r="C14" s="1348" t="n">
        <f aca="false">Assm!J10</f>
        <v>0.08</v>
      </c>
      <c r="D14" s="1349" t="str">
        <f aca="false">Assm!K10</f>
        <v>On Taxable income</v>
      </c>
      <c r="E14" s="1349"/>
      <c r="F14" s="1349"/>
      <c r="G14" s="1280" t="s">
        <v>1684</v>
      </c>
      <c r="H14" s="1281" t="n">
        <v>35993</v>
      </c>
      <c r="I14" s="1280" t="s">
        <v>1685</v>
      </c>
      <c r="J14" s="1282" t="s">
        <v>1688</v>
      </c>
    </row>
    <row r="15" customFormat="false" ht="12.75" hidden="false" customHeight="false" outlineLevel="0" collapsed="false">
      <c r="A15" s="1279"/>
      <c r="B15" s="876" t="str">
        <f aca="false">Assm!H11</f>
        <v>NOL (Unlimited Carryforward, No Carryback) - Capped @</v>
      </c>
      <c r="C15" s="1348" t="n">
        <f aca="false">Assm!J11</f>
        <v>0.3</v>
      </c>
      <c r="D15" s="1349" t="str">
        <f aca="false">Assm!K11</f>
        <v>Of Taxable Income</v>
      </c>
      <c r="E15" s="1349"/>
      <c r="F15" s="1349"/>
      <c r="G15" s="1280" t="s">
        <v>1684</v>
      </c>
      <c r="H15" s="1281" t="n">
        <v>35993</v>
      </c>
      <c r="I15" s="1280" t="s">
        <v>1685</v>
      </c>
      <c r="J15" s="1282" t="s">
        <v>1689</v>
      </c>
    </row>
    <row r="16" customFormat="false" ht="12.75" hidden="false" customHeight="false" outlineLevel="0" collapsed="false">
      <c r="A16" s="1279"/>
      <c r="B16" s="876" t="str">
        <f aca="false">Assm!H12</f>
        <v>Withholding Tax - Dividends (Non-Residents)</v>
      </c>
      <c r="C16" s="1348" t="n">
        <f aca="false">Assm!J12</f>
        <v>0</v>
      </c>
      <c r="D16" s="1349" t="str">
        <f aca="false">Assm!K12</f>
        <v>Income Earned After 1/1/96 Exempt</v>
      </c>
      <c r="E16" s="1349"/>
      <c r="F16" s="1349"/>
      <c r="G16" s="1280" t="s">
        <v>1684</v>
      </c>
      <c r="H16" s="1281" t="n">
        <v>35993</v>
      </c>
      <c r="I16" s="1280" t="s">
        <v>1685</v>
      </c>
      <c r="J16" s="1282" t="s">
        <v>1690</v>
      </c>
    </row>
    <row r="17" customFormat="false" ht="12.75" hidden="false" customHeight="false" outlineLevel="0" collapsed="false">
      <c r="A17" s="1279"/>
      <c r="B17" s="877" t="str">
        <f aca="false">Assm!H13</f>
        <v>Withholding Tax - Interest (Non-MLA's)</v>
      </c>
      <c r="C17" s="1348" t="n">
        <f aca="false">Assm!J13</f>
        <v>0.15</v>
      </c>
      <c r="D17" s="1349" t="str">
        <f aca="false">Assm!K13</f>
        <v>Gross Up For Interest Payments</v>
      </c>
      <c r="E17" s="1349"/>
      <c r="F17" s="1349"/>
      <c r="G17" s="1280" t="s">
        <v>1684</v>
      </c>
      <c r="H17" s="1281" t="n">
        <v>35993</v>
      </c>
      <c r="I17" s="1280" t="s">
        <v>1685</v>
      </c>
      <c r="J17" s="1282" t="s">
        <v>1691</v>
      </c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</row>
    <row r="18" customFormat="false" ht="12.75" hidden="false" customHeight="false" outlineLevel="0" collapsed="false">
      <c r="A18" s="1279"/>
      <c r="B18" s="876" t="str">
        <f aca="false">Assm!H15</f>
        <v>Withholding Tax - Services (Non-Residents)</v>
      </c>
      <c r="C18" s="1348" t="n">
        <f aca="false">Assm!J15</f>
        <v>0.15</v>
      </c>
      <c r="D18" s="1349" t="str">
        <f aca="false">Assm!K15</f>
        <v>Gross Up At Project Level</v>
      </c>
      <c r="E18" s="1349"/>
      <c r="F18" s="1349"/>
      <c r="G18" s="1280" t="s">
        <v>1684</v>
      </c>
      <c r="H18" s="1281" t="n">
        <v>35993</v>
      </c>
      <c r="I18" s="1280" t="s">
        <v>1685</v>
      </c>
      <c r="J18" s="1282" t="s">
        <v>1692</v>
      </c>
    </row>
    <row r="19" customFormat="false" ht="12.75" hidden="false" customHeight="false" outlineLevel="0" collapsed="false">
      <c r="A19" s="1279"/>
      <c r="B19" s="876" t="str">
        <f aca="false">Assm!H16</f>
        <v>PIS - Social Contribution</v>
      </c>
      <c r="C19" s="1348" t="n">
        <f aca="false">Assm!J16</f>
        <v>0.0065</v>
      </c>
      <c r="D19" s="1349" t="str">
        <f aca="false">Assm!K16</f>
        <v>On Gross Revenue</v>
      </c>
      <c r="E19" s="1349"/>
      <c r="F19" s="1349"/>
      <c r="G19" s="1280" t="s">
        <v>1684</v>
      </c>
      <c r="H19" s="1281" t="n">
        <v>35993</v>
      </c>
      <c r="I19" s="1280" t="s">
        <v>1685</v>
      </c>
      <c r="J19" s="1282" t="s">
        <v>1693</v>
      </c>
    </row>
    <row r="20" customFormat="false" ht="12.75" hidden="false" customHeight="false" outlineLevel="0" collapsed="false">
      <c r="A20" s="1279"/>
      <c r="B20" s="876" t="str">
        <f aca="false">Assm!H17</f>
        <v>COFINS - Social Contribution</v>
      </c>
      <c r="C20" s="1348" t="n">
        <f aca="false">Assm!J17</f>
        <v>0.02</v>
      </c>
      <c r="D20" s="1349" t="str">
        <f aca="false">Assm!K17</f>
        <v>On Gross Revenue</v>
      </c>
      <c r="E20" s="1349"/>
      <c r="F20" s="1349"/>
      <c r="G20" s="1280" t="s">
        <v>1684</v>
      </c>
      <c r="H20" s="1281" t="n">
        <v>35993</v>
      </c>
      <c r="I20" s="1280" t="s">
        <v>1685</v>
      </c>
      <c r="J20" s="1282" t="s">
        <v>1694</v>
      </c>
    </row>
    <row r="21" customFormat="false" ht="12.75" hidden="false" customHeight="false" outlineLevel="0" collapsed="false">
      <c r="A21" s="1279"/>
      <c r="B21" s="876" t="str">
        <f aca="false">Assm!H18</f>
        <v>Payroll Tax</v>
      </c>
      <c r="C21" s="1348" t="n">
        <f aca="false">Assm!J18</f>
        <v>0.29</v>
      </c>
      <c r="D21" s="1349" t="str">
        <f aca="false">Assm!K18</f>
        <v>On Payroll (Included In O&amp;M)</v>
      </c>
      <c r="E21" s="1349"/>
      <c r="F21" s="1349"/>
      <c r="G21" s="1280" t="s">
        <v>1684</v>
      </c>
      <c r="H21" s="1281" t="n">
        <v>35993</v>
      </c>
      <c r="I21" s="1280" t="s">
        <v>1685</v>
      </c>
      <c r="J21" s="1282" t="s">
        <v>1695</v>
      </c>
    </row>
    <row r="22" customFormat="false" ht="12.75" hidden="false" customHeight="false" outlineLevel="0" collapsed="false">
      <c r="A22" s="1279"/>
      <c r="B22" s="876" t="str">
        <f aca="false">Assm!H19</f>
        <v>Severance Fund</v>
      </c>
      <c r="C22" s="1348" t="n">
        <f aca="false">Assm!J19</f>
        <v>0.08</v>
      </c>
      <c r="D22" s="1349" t="str">
        <f aca="false">Assm!K19</f>
        <v>On Payroll (Included In O&amp;M)</v>
      </c>
      <c r="E22" s="1349"/>
      <c r="F22" s="1349"/>
      <c r="G22" s="1280" t="s">
        <v>1684</v>
      </c>
      <c r="H22" s="1281" t="n">
        <v>35993</v>
      </c>
      <c r="I22" s="1280" t="s">
        <v>1685</v>
      </c>
      <c r="J22" s="1282" t="s">
        <v>1696</v>
      </c>
    </row>
    <row r="23" customFormat="false" ht="12.75" hidden="false" customHeight="false" outlineLevel="0" collapsed="false">
      <c r="A23" s="1279"/>
      <c r="B23" s="876" t="str">
        <f aca="false">Assm!H20</f>
        <v>Education Fund</v>
      </c>
      <c r="C23" s="1348" t="n">
        <f aca="false">Assm!J20</f>
        <v>0.025</v>
      </c>
      <c r="D23" s="1349" t="str">
        <f aca="false">Assm!K20</f>
        <v>On Payroll (Included In O&amp;M)</v>
      </c>
      <c r="E23" s="1349"/>
      <c r="F23" s="1349"/>
      <c r="G23" s="1280" t="s">
        <v>1697</v>
      </c>
      <c r="H23" s="1281" t="n">
        <v>36130</v>
      </c>
      <c r="I23" s="1280" t="s">
        <v>1685</v>
      </c>
      <c r="J23" s="1282" t="s">
        <v>1698</v>
      </c>
    </row>
    <row r="24" customFormat="false" ht="12.75" hidden="false" customHeight="false" outlineLevel="0" collapsed="false">
      <c r="A24" s="1279"/>
      <c r="B24" s="876" t="str">
        <f aca="false">Assm!H21</f>
        <v>ICMS - Electricity Sales</v>
      </c>
      <c r="C24" s="1348" t="n">
        <f aca="false">Assm!J21</f>
        <v>0</v>
      </c>
      <c r="D24" s="1349" t="str">
        <f aca="false">Assm!K21</f>
        <v>Exempt</v>
      </c>
      <c r="E24" s="1349"/>
      <c r="F24" s="1349"/>
      <c r="G24" s="1280" t="s">
        <v>1684</v>
      </c>
      <c r="H24" s="1281" t="n">
        <v>36059</v>
      </c>
      <c r="I24" s="1280" t="s">
        <v>1685</v>
      </c>
      <c r="J24" s="1282" t="s">
        <v>1699</v>
      </c>
    </row>
    <row r="25" customFormat="false" ht="12.75" hidden="false" customHeight="false" outlineLevel="0" collapsed="false">
      <c r="A25" s="1279"/>
      <c r="B25" s="876" t="str">
        <f aca="false">Assm!H22</f>
        <v>ICMS - Transportation</v>
      </c>
      <c r="C25" s="1348" t="n">
        <f aca="false">Assm!J22</f>
        <v>0</v>
      </c>
      <c r="D25" s="1349" t="str">
        <f aca="false">Assm!K22</f>
        <v>Exempt</v>
      </c>
      <c r="E25" s="1349"/>
      <c r="F25" s="1349"/>
      <c r="G25" s="1280" t="s">
        <v>1684</v>
      </c>
      <c r="H25" s="1281" t="n">
        <v>36059</v>
      </c>
      <c r="I25" s="1280" t="s">
        <v>1685</v>
      </c>
      <c r="J25" s="1282" t="s">
        <v>1699</v>
      </c>
    </row>
    <row r="26" customFormat="false" ht="12.75" hidden="false" customHeight="false" outlineLevel="0" collapsed="false">
      <c r="A26" s="1279"/>
      <c r="B26" s="876" t="str">
        <f aca="false">Assm!H23</f>
        <v>ICMS - Fuel Purchases</v>
      </c>
      <c r="C26" s="1348" t="n">
        <f aca="false">Assm!J23</f>
        <v>0</v>
      </c>
      <c r="D26" s="1349" t="str">
        <f aca="false">Assm!K23</f>
        <v>Exempt</v>
      </c>
      <c r="E26" s="1349"/>
      <c r="F26" s="1349"/>
      <c r="G26" s="1280" t="s">
        <v>1684</v>
      </c>
      <c r="H26" s="1281" t="n">
        <v>36059</v>
      </c>
      <c r="I26" s="1280" t="s">
        <v>1685</v>
      </c>
      <c r="J26" s="1282" t="s">
        <v>1699</v>
      </c>
    </row>
    <row r="27" customFormat="false" ht="12.75" hidden="false" customHeight="false" outlineLevel="0" collapsed="false">
      <c r="A27" s="1279"/>
      <c r="B27" s="876" t="str">
        <f aca="false">Assm!H24</f>
        <v>ISS - Services Rendered Tax </v>
      </c>
      <c r="C27" s="1348" t="n">
        <f aca="false">Assm!J24</f>
        <v>0</v>
      </c>
      <c r="D27" s="1349" t="str">
        <f aca="false">Assm!K24</f>
        <v>Avg Between 2%-5% (Exempt)</v>
      </c>
      <c r="E27" s="1349"/>
      <c r="F27" s="1349"/>
      <c r="G27" s="1280" t="s">
        <v>1684</v>
      </c>
      <c r="H27" s="1281" t="n">
        <v>35993</v>
      </c>
      <c r="I27" s="1280" t="s">
        <v>1685</v>
      </c>
      <c r="J27" s="1282" t="s">
        <v>1700</v>
      </c>
    </row>
    <row r="28" customFormat="false" ht="12.75" hidden="false" customHeight="false" outlineLevel="0" collapsed="false">
      <c r="A28" s="1279"/>
      <c r="B28" s="876" t="str">
        <f aca="false">Assm!H25</f>
        <v>CCC - Conta Compensador De Combustivel</v>
      </c>
      <c r="C28" s="1348" t="n">
        <f aca="false">Assm!J25</f>
        <v>1</v>
      </c>
      <c r="D28" s="1349" t="str">
        <f aca="false">Assm!K25</f>
        <v>Subsidy Of Fuel Costs</v>
      </c>
      <c r="E28" s="1349"/>
      <c r="F28" s="1349"/>
      <c r="G28" s="1280" t="s">
        <v>1701</v>
      </c>
      <c r="H28" s="1281" t="n">
        <v>35759</v>
      </c>
      <c r="I28" s="1280"/>
      <c r="J28" s="1282" t="s">
        <v>1702</v>
      </c>
    </row>
    <row r="29" customFormat="false" ht="12.75" hidden="false" customHeight="false" outlineLevel="0" collapsed="false">
      <c r="A29" s="1279"/>
      <c r="B29" s="876" t="str">
        <f aca="false">Assm!H26</f>
        <v>TJLP Interest Rate (From Finance Plan)</v>
      </c>
      <c r="C29" s="1348" t="n">
        <f aca="false">Assm!J26</f>
        <v>0.1</v>
      </c>
      <c r="D29" s="1349" t="str">
        <f aca="false">Assm!K26</f>
        <v>Published Monthly In Diario Official By Banco Central</v>
      </c>
      <c r="E29" s="1349"/>
      <c r="F29" s="1349"/>
      <c r="G29" s="1280" t="s">
        <v>1684</v>
      </c>
      <c r="H29" s="1281" t="n">
        <v>35573</v>
      </c>
      <c r="I29" s="1280" t="s">
        <v>1703</v>
      </c>
      <c r="J29" s="1282" t="s">
        <v>1704</v>
      </c>
    </row>
    <row r="30" customFormat="false" ht="12.75" hidden="false" customHeight="false" outlineLevel="0" collapsed="false">
      <c r="A30" s="1279"/>
      <c r="B30" s="876" t="str">
        <f aca="false">Assm!H27</f>
        <v>Real Estate Transfer Tax</v>
      </c>
      <c r="C30" s="1348" t="n">
        <f aca="false">Assm!J27</f>
        <v>0</v>
      </c>
      <c r="D30" s="1349" t="str">
        <f aca="false">Assm!K27</f>
        <v>Calc'd On Land Costs, Assumed Exempt</v>
      </c>
      <c r="E30" s="1349"/>
      <c r="F30" s="1349"/>
      <c r="G30" s="1280" t="s">
        <v>1684</v>
      </c>
      <c r="H30" s="1281" t="n">
        <v>35993</v>
      </c>
      <c r="I30" s="1280" t="s">
        <v>1685</v>
      </c>
      <c r="J30" s="1282" t="s">
        <v>1705</v>
      </c>
    </row>
    <row r="31" customFormat="false" ht="12.75" hidden="false" customHeight="false" outlineLevel="0" collapsed="false">
      <c r="A31" s="1279"/>
      <c r="B31" s="876" t="str">
        <f aca="false">Assm!H28</f>
        <v>Real Property Tax</v>
      </c>
      <c r="C31" s="1348" t="n">
        <f aca="false">Assm!J28</f>
        <v>0</v>
      </c>
      <c r="D31" s="1349" t="str">
        <f aca="false">Assm!K28</f>
        <v>Annual On Land, Assumed Exempt</v>
      </c>
      <c r="E31" s="1349"/>
      <c r="F31" s="1349"/>
      <c r="G31" s="1280" t="s">
        <v>1684</v>
      </c>
      <c r="H31" s="1281" t="n">
        <v>35993</v>
      </c>
      <c r="I31" s="1280" t="s">
        <v>1685</v>
      </c>
      <c r="J31" s="1282" t="s">
        <v>1706</v>
      </c>
    </row>
    <row r="32" customFormat="false" ht="12.75" hidden="false" customHeight="false" outlineLevel="0" collapsed="false">
      <c r="A32" s="1279"/>
      <c r="B32" s="1350" t="str">
        <f aca="false">Assm!H29</f>
        <v>Customs Duties</v>
      </c>
      <c r="C32" s="1348"/>
      <c r="D32" s="1349"/>
      <c r="E32" s="1349"/>
      <c r="F32" s="1349"/>
      <c r="G32" s="1280"/>
      <c r="H32" s="1281"/>
      <c r="I32" s="1280"/>
      <c r="J32" s="1282"/>
    </row>
    <row r="33" customFormat="false" ht="12.75" hidden="false" customHeight="false" outlineLevel="0" collapsed="false">
      <c r="A33" s="1279"/>
      <c r="B33" s="876" t="str">
        <f aca="false">Assm!H30</f>
        <v>ICMS - Equipment</v>
      </c>
      <c r="C33" s="1348" t="n">
        <f aca="false">Assm!J30</f>
        <v>0.17</v>
      </c>
      <c r="D33" s="1349" t="str">
        <f aca="false">Assm!K30</f>
        <v>See Construction Tax Schedule</v>
      </c>
      <c r="E33" s="1349"/>
      <c r="F33" s="1349"/>
      <c r="G33" s="1280" t="s">
        <v>1684</v>
      </c>
      <c r="H33" s="1281" t="s">
        <v>1707</v>
      </c>
      <c r="I33" s="1280" t="s">
        <v>1685</v>
      </c>
      <c r="J33" s="1282" t="s">
        <v>1708</v>
      </c>
    </row>
    <row r="34" customFormat="false" ht="12.75" hidden="false" customHeight="false" outlineLevel="0" collapsed="false">
      <c r="A34" s="1279"/>
      <c r="B34" s="876" t="str">
        <f aca="false">Assm!H31</f>
        <v>Import Duties - Equipment</v>
      </c>
      <c r="C34" s="1348" t="n">
        <f aca="false">Assm!J31</f>
        <v>0.15</v>
      </c>
      <c r="D34" s="1349" t="str">
        <f aca="false">Assm!K31</f>
        <v>See Construction Tax Schedule</v>
      </c>
      <c r="E34" s="1349"/>
      <c r="F34" s="1349"/>
      <c r="G34" s="1280" t="s">
        <v>1684</v>
      </c>
      <c r="H34" s="1281" t="s">
        <v>1707</v>
      </c>
      <c r="I34" s="1280" t="s">
        <v>1685</v>
      </c>
      <c r="J34" s="1282" t="s">
        <v>1708</v>
      </c>
    </row>
    <row r="35" customFormat="false" ht="12.75" hidden="false" customHeight="false" outlineLevel="0" collapsed="false">
      <c r="A35" s="1279"/>
      <c r="B35" s="876" t="str">
        <f aca="false">Assm!H32</f>
        <v>Import Duties - Major Maintenance</v>
      </c>
      <c r="C35" s="1348" t="n">
        <f aca="false">Assm!J32</f>
        <v>0.1</v>
      </c>
      <c r="D35" s="1349" t="str">
        <f aca="false">Assm!K32</f>
        <v>On Imported Equipment</v>
      </c>
      <c r="E35" s="1349"/>
      <c r="F35" s="1349"/>
      <c r="G35" s="1280" t="s">
        <v>1684</v>
      </c>
      <c r="H35" s="1281" t="s">
        <v>1707</v>
      </c>
      <c r="I35" s="1280" t="s">
        <v>1685</v>
      </c>
      <c r="J35" s="1282" t="s">
        <v>1708</v>
      </c>
    </row>
    <row r="36" customFormat="false" ht="13.5" hidden="false" customHeight="false" outlineLevel="0" collapsed="false">
      <c r="A36" s="1351"/>
      <c r="B36" s="880" t="str">
        <f aca="false">Assm!H33</f>
        <v>IPI - Industrial Products Tax</v>
      </c>
      <c r="C36" s="1352" t="n">
        <f aca="false">Assm!J33</f>
        <v>0.087</v>
      </c>
      <c r="D36" s="1353" t="str">
        <f aca="false">Assm!K33</f>
        <v>Rate Varies By Equipment Type</v>
      </c>
      <c r="E36" s="1353"/>
      <c r="F36" s="1353"/>
      <c r="G36" s="1288" t="s">
        <v>1684</v>
      </c>
      <c r="H36" s="1289" t="s">
        <v>1707</v>
      </c>
      <c r="I36" s="1288" t="s">
        <v>1685</v>
      </c>
      <c r="J36" s="1290" t="s">
        <v>1708</v>
      </c>
    </row>
    <row r="37" customFormat="false" ht="13.5" hidden="false" customHeight="false" outlineLevel="0" collapsed="false">
      <c r="A37" s="38"/>
      <c r="B37" s="38"/>
      <c r="C37" s="38"/>
      <c r="D37" s="38"/>
      <c r="E37" s="38"/>
      <c r="F37" s="38"/>
      <c r="G37" s="38"/>
      <c r="H37" s="1272"/>
      <c r="I37" s="77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</row>
    <row r="38" customFormat="false" ht="12.75" hidden="false" customHeight="false" outlineLevel="0" collapsed="false">
      <c r="A38" s="1273" t="str">
        <f aca="false">Assm!H35</f>
        <v>Sudam Tax Credits Reserve</v>
      </c>
      <c r="B38" s="1354" t="str">
        <f aca="false">Assm!K35</f>
        <v>(0 = Off, 1 = On)</v>
      </c>
      <c r="C38" s="1355" t="n">
        <f aca="false">Assm!L35</f>
        <v>1</v>
      </c>
      <c r="D38" s="1356"/>
      <c r="E38" s="1356"/>
      <c r="F38" s="1357"/>
      <c r="G38" s="1358"/>
      <c r="H38" s="1277"/>
      <c r="I38" s="1358"/>
      <c r="J38" s="1359"/>
    </row>
    <row r="39" customFormat="false" ht="12.75" hidden="false" customHeight="false" outlineLevel="0" collapsed="false">
      <c r="A39" s="1279"/>
      <c r="B39" s="1360" t="str">
        <f aca="false">Assm!H36</f>
        <v>Credits Held In A Reserve (Non Distributable As Dividends, Only As Trapped Cash Loans)</v>
      </c>
      <c r="C39" s="215"/>
      <c r="D39" s="1163"/>
      <c r="E39" s="1163"/>
      <c r="F39" s="1163"/>
      <c r="G39" s="1361" t="s">
        <v>1684</v>
      </c>
      <c r="H39" s="1281" t="n">
        <v>36061</v>
      </c>
      <c r="I39" s="1361" t="s">
        <v>1685</v>
      </c>
      <c r="J39" s="1362"/>
    </row>
    <row r="40" customFormat="false" ht="12.75" hidden="false" customHeight="false" outlineLevel="0" collapsed="false">
      <c r="A40" s="1279"/>
      <c r="B40" s="1360" t="str">
        <f aca="false">Assm!H37</f>
        <v>Reserve Can Be Used Against Net Losses (Forward &amp; Backward)</v>
      </c>
      <c r="C40" s="215"/>
      <c r="D40" s="1163"/>
      <c r="E40" s="1163"/>
      <c r="F40" s="1163"/>
      <c r="G40" s="1361" t="s">
        <v>1684</v>
      </c>
      <c r="H40" s="1281" t="n">
        <v>36061</v>
      </c>
      <c r="I40" s="1361" t="s">
        <v>1685</v>
      </c>
      <c r="J40" s="1362"/>
    </row>
    <row r="41" customFormat="false" ht="12.75" hidden="false" customHeight="false" outlineLevel="0" collapsed="false">
      <c r="A41" s="1279"/>
      <c r="B41" s="1360" t="str">
        <f aca="false">Assm!H38</f>
        <v>Credit Available = Tax Rate X Operating Income Reduced By Below %</v>
      </c>
      <c r="C41" s="215"/>
      <c r="D41" s="1163"/>
      <c r="E41" s="1163"/>
      <c r="F41" s="1163"/>
      <c r="G41" s="1361" t="s">
        <v>1684</v>
      </c>
      <c r="H41" s="1281" t="n">
        <v>36061</v>
      </c>
      <c r="I41" s="1361" t="s">
        <v>1685</v>
      </c>
      <c r="J41" s="1362"/>
    </row>
    <row r="42" customFormat="false" ht="12.75" hidden="false" customHeight="false" outlineLevel="0" collapsed="false">
      <c r="A42" s="1279"/>
      <c r="B42" s="1360" t="str">
        <f aca="false">Assm!H39</f>
        <v>Final Year Of Tax Credits ==&gt;</v>
      </c>
      <c r="C42" s="1326" t="n">
        <f aca="false">Assm!I39</f>
        <v>2013</v>
      </c>
      <c r="D42" s="1163"/>
      <c r="E42" s="1163"/>
      <c r="F42" s="1163"/>
      <c r="G42" s="1361" t="s">
        <v>1684</v>
      </c>
      <c r="H42" s="1281" t="n">
        <v>36139</v>
      </c>
      <c r="I42" s="1361" t="s">
        <v>1685</v>
      </c>
      <c r="J42" s="1362" t="s">
        <v>1709</v>
      </c>
    </row>
    <row r="43" customFormat="false" ht="12.75" hidden="false" customHeight="false" outlineLevel="0" collapsed="false">
      <c r="A43" s="1279"/>
      <c r="B43" s="876" t="str">
        <f aca="false">Assm!H41</f>
        <v>Tax Period Starting In Year</v>
      </c>
      <c r="C43" s="1363" t="n">
        <f aca="false">Assm!I41</f>
        <v>1998</v>
      </c>
      <c r="D43" s="1364" t="n">
        <f aca="false">Assm!J41</f>
        <v>2004</v>
      </c>
      <c r="E43" s="1364" t="n">
        <f aca="false">Assm!K41</f>
        <v>2009</v>
      </c>
      <c r="F43" s="1365"/>
      <c r="G43" s="1361" t="s">
        <v>1684</v>
      </c>
      <c r="H43" s="1281" t="n">
        <v>36139</v>
      </c>
      <c r="I43" s="1361" t="s">
        <v>1685</v>
      </c>
      <c r="J43" s="1362" t="s">
        <v>1709</v>
      </c>
    </row>
    <row r="44" customFormat="false" ht="13.5" hidden="false" customHeight="false" outlineLevel="0" collapsed="false">
      <c r="A44" s="1351"/>
      <c r="B44" s="880" t="str">
        <f aca="false">Assm!H42</f>
        <v>Operating Income Rate</v>
      </c>
      <c r="C44" s="1366" t="n">
        <f aca="false">Assm!I42</f>
        <v>0.75</v>
      </c>
      <c r="D44" s="805" t="n">
        <f aca="false">Assm!J42</f>
        <v>0.5</v>
      </c>
      <c r="E44" s="805" t="n">
        <f aca="false">Assm!K42</f>
        <v>0.25</v>
      </c>
      <c r="F44" s="1367"/>
      <c r="G44" s="1368" t="s">
        <v>1710</v>
      </c>
      <c r="H44" s="1289" t="n">
        <v>36598</v>
      </c>
      <c r="I44" s="1368" t="s">
        <v>1711</v>
      </c>
      <c r="J44" s="1369" t="s">
        <v>1708</v>
      </c>
    </row>
    <row r="45" customFormat="false" ht="13.5" hidden="false" customHeight="false" outlineLevel="0" collapsed="false">
      <c r="A45" s="38"/>
      <c r="B45" s="38"/>
      <c r="C45" s="38"/>
      <c r="D45" s="38"/>
      <c r="E45" s="38"/>
      <c r="F45" s="38"/>
      <c r="G45" s="38"/>
      <c r="H45" s="1272"/>
      <c r="I45" s="77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</row>
    <row r="46" customFormat="false" ht="12.75" hidden="false" customHeight="false" outlineLevel="0" collapsed="false">
      <c r="A46" s="1273" t="str">
        <f aca="false">Assm!H44</f>
        <v>US Taxes</v>
      </c>
      <c r="B46" s="1291" t="str">
        <f aca="false">Assm!H45</f>
        <v>Tax Position / Structure</v>
      </c>
      <c r="C46" s="1370" t="str">
        <f aca="false">Assm!J45</f>
        <v>Deferral</v>
      </c>
      <c r="D46" s="538"/>
      <c r="E46" s="538"/>
      <c r="F46" s="1303"/>
      <c r="G46" s="1276" t="s">
        <v>1684</v>
      </c>
      <c r="H46" s="1277" t="n">
        <v>36250</v>
      </c>
      <c r="I46" s="1276" t="s">
        <v>1685</v>
      </c>
      <c r="J46" s="1278"/>
    </row>
    <row r="47" customFormat="false" ht="13.5" hidden="false" customHeight="false" outlineLevel="0" collapsed="false">
      <c r="A47" s="1286"/>
      <c r="B47" s="1287" t="str">
        <f aca="false">Assm!H46</f>
        <v>Federal Income Tax</v>
      </c>
      <c r="C47" s="1352" t="n">
        <f aca="false">Assm!J46</f>
        <v>0.37</v>
      </c>
      <c r="D47" s="71"/>
      <c r="E47" s="71"/>
      <c r="F47" s="535"/>
      <c r="G47" s="1288" t="s">
        <v>1712</v>
      </c>
      <c r="H47" s="1289"/>
      <c r="I47" s="1288"/>
      <c r="J47" s="1290"/>
    </row>
    <row r="48" customFormat="false" ht="13.5" hidden="false" customHeight="false" outlineLevel="0" collapsed="false">
      <c r="A48" s="38"/>
      <c r="B48" s="38"/>
      <c r="C48" s="38"/>
      <c r="D48" s="38"/>
      <c r="E48" s="38"/>
      <c r="F48" s="38"/>
      <c r="G48" s="38"/>
      <c r="H48" s="1272"/>
      <c r="I48" s="77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</row>
    <row r="49" customFormat="false" ht="12.75" hidden="false" customHeight="false" outlineLevel="0" collapsed="false">
      <c r="A49" s="1273" t="str">
        <f aca="false">Assm!H48</f>
        <v>Depreciation Assumptions</v>
      </c>
      <c r="B49" s="1371" t="str">
        <f aca="false">Assm!H50</f>
        <v>Tax</v>
      </c>
      <c r="C49" s="1095"/>
      <c r="D49" s="158" t="s">
        <v>51</v>
      </c>
      <c r="E49" s="158" t="s">
        <v>52</v>
      </c>
      <c r="F49" s="158" t="s">
        <v>53</v>
      </c>
      <c r="G49" s="1276"/>
      <c r="H49" s="1277"/>
      <c r="I49" s="1276"/>
      <c r="J49" s="1372"/>
    </row>
    <row r="50" customFormat="false" ht="12.75" hidden="false" customHeight="false" outlineLevel="0" collapsed="false">
      <c r="A50" s="1283"/>
      <c r="B50" s="1333" t="s">
        <v>1713</v>
      </c>
      <c r="C50" s="466" t="str">
        <f aca="false">Assm!L50</f>
        <v>S/L</v>
      </c>
      <c r="D50" s="217" t="n">
        <f aca="false">Assm!J50</f>
        <v>98794.9480000242</v>
      </c>
      <c r="E50" s="217" t="n">
        <f aca="false">Assm!J51</f>
        <v>98794.9480000242</v>
      </c>
      <c r="F50" s="847" t="n">
        <f aca="false">Assm!J52</f>
        <v>131726.597333366</v>
      </c>
      <c r="G50" s="1280"/>
      <c r="H50" s="1281"/>
      <c r="I50" s="1280"/>
      <c r="J50" s="294"/>
    </row>
    <row r="51" customFormat="false" ht="12.75" hidden="false" customHeight="false" outlineLevel="0" collapsed="false">
      <c r="A51" s="1283"/>
      <c r="B51" s="1333" t="s">
        <v>1714</v>
      </c>
      <c r="C51" s="1373" t="n">
        <f aca="false">Assm!K50</f>
        <v>20</v>
      </c>
      <c r="D51" s="38"/>
      <c r="E51" s="38"/>
      <c r="F51" s="878"/>
      <c r="G51" s="1280" t="s">
        <v>1715</v>
      </c>
      <c r="H51" s="1281" t="n">
        <v>35993</v>
      </c>
      <c r="I51" s="1280" t="s">
        <v>1685</v>
      </c>
      <c r="J51" s="294" t="s">
        <v>1716</v>
      </c>
    </row>
    <row r="52" customFormat="false" ht="12.75" hidden="false" customHeight="false" outlineLevel="0" collapsed="false">
      <c r="A52" s="1283"/>
      <c r="B52" s="1374" t="str">
        <f aca="false">Assm!H54</f>
        <v>Book</v>
      </c>
      <c r="C52" s="876"/>
      <c r="D52" s="38"/>
      <c r="E52" s="38"/>
      <c r="F52" s="878"/>
      <c r="G52" s="1280"/>
      <c r="H52" s="1281"/>
      <c r="I52" s="1280"/>
      <c r="J52" s="294"/>
    </row>
    <row r="53" customFormat="false" ht="12.75" hidden="false" customHeight="false" outlineLevel="0" collapsed="false">
      <c r="A53" s="1283"/>
      <c r="B53" s="1333" t="s">
        <v>1713</v>
      </c>
      <c r="C53" s="466" t="str">
        <f aca="false">Assm!L54</f>
        <v>S/L</v>
      </c>
      <c r="D53" s="217" t="n">
        <f aca="false">Assm!J54</f>
        <v>98794.9480000242</v>
      </c>
      <c r="E53" s="217" t="n">
        <f aca="false">Assm!J55</f>
        <v>98794.9480000242</v>
      </c>
      <c r="F53" s="847" t="n">
        <f aca="false">Assm!J56</f>
        <v>131726.597333366</v>
      </c>
      <c r="G53" s="1280"/>
      <c r="H53" s="1281"/>
      <c r="I53" s="1280"/>
      <c r="J53" s="294"/>
    </row>
    <row r="54" customFormat="false" ht="12.75" hidden="false" customHeight="false" outlineLevel="0" collapsed="false">
      <c r="A54" s="1283"/>
      <c r="B54" s="1333" t="s">
        <v>1714</v>
      </c>
      <c r="C54" s="1373" t="n">
        <f aca="false">Assm!K54</f>
        <v>20</v>
      </c>
      <c r="D54" s="38"/>
      <c r="E54" s="38"/>
      <c r="F54" s="878"/>
      <c r="G54" s="1280" t="s">
        <v>1717</v>
      </c>
      <c r="H54" s="1281"/>
      <c r="I54" s="1280"/>
      <c r="J54" s="294"/>
    </row>
    <row r="55" customFormat="false" ht="12.75" hidden="false" customHeight="false" outlineLevel="0" collapsed="false">
      <c r="A55" s="37"/>
      <c r="B55" s="1374" t="s">
        <v>1718</v>
      </c>
      <c r="C55" s="556"/>
      <c r="D55" s="38"/>
      <c r="E55" s="38"/>
      <c r="F55" s="878"/>
      <c r="G55" s="1280"/>
      <c r="H55" s="1281"/>
      <c r="I55" s="1280"/>
      <c r="J55" s="294"/>
    </row>
    <row r="56" customFormat="false" ht="12.75" hidden="false" customHeight="false" outlineLevel="0" collapsed="false">
      <c r="A56" s="37"/>
      <c r="B56" s="1375" t="s">
        <v>1713</v>
      </c>
      <c r="C56" s="190" t="str">
        <f aca="false">Assm!L58</f>
        <v>S/L</v>
      </c>
      <c r="D56" s="217" t="n">
        <f aca="false">Assm!J58</f>
        <v>98794.9480000242</v>
      </c>
      <c r="E56" s="217" t="n">
        <f aca="false">Assm!J59</f>
        <v>98794.9480000242</v>
      </c>
      <c r="F56" s="847" t="n">
        <f aca="false">Assm!J60</f>
        <v>131726.597333366</v>
      </c>
      <c r="G56" s="1280"/>
      <c r="H56" s="1281"/>
      <c r="I56" s="1280"/>
      <c r="J56" s="294"/>
    </row>
    <row r="57" customFormat="false" ht="13.5" hidden="false" customHeight="false" outlineLevel="0" collapsed="false">
      <c r="A57" s="70"/>
      <c r="B57" s="1376" t="s">
        <v>1714</v>
      </c>
      <c r="C57" s="1377" t="n">
        <f aca="false">Assm!K58</f>
        <v>20</v>
      </c>
      <c r="D57" s="71"/>
      <c r="E57" s="71"/>
      <c r="F57" s="71"/>
      <c r="G57" s="1288" t="s">
        <v>1717</v>
      </c>
      <c r="H57" s="1289"/>
      <c r="I57" s="1288"/>
      <c r="J57" s="1290"/>
    </row>
    <row r="58" customFormat="false" ht="13.5" hidden="false" customHeight="false" outlineLevel="0" collapsed="false">
      <c r="A58" s="38"/>
      <c r="B58" s="38"/>
      <c r="C58" s="38"/>
      <c r="D58" s="38"/>
      <c r="E58" s="38"/>
      <c r="F58" s="38"/>
      <c r="G58" s="38"/>
      <c r="H58" s="1272"/>
      <c r="I58" s="77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</row>
    <row r="59" customFormat="false" ht="12.75" hidden="false" customHeight="false" outlineLevel="0" collapsed="false">
      <c r="A59" s="453" t="str">
        <f aca="false">Assm!H62</f>
        <v>Trapped Cash</v>
      </c>
      <c r="B59" s="1378" t="str">
        <f aca="false">Assm!H63</f>
        <v>Distributions Are Limited To Retained Earnings</v>
      </c>
      <c r="C59" s="1379"/>
      <c r="D59" s="538"/>
      <c r="E59" s="538"/>
      <c r="F59" s="1303"/>
      <c r="G59" s="1380"/>
      <c r="H59" s="1277"/>
      <c r="I59" s="1358"/>
      <c r="J59" s="1359"/>
    </row>
    <row r="60" customFormat="false" ht="12.75" hidden="false" customHeight="false" outlineLevel="0" collapsed="false">
      <c r="A60" s="55"/>
      <c r="B60" s="877" t="str">
        <f aca="false">Assm!H68</f>
        <v>Interest Income To Project On Trapped Cash Loans</v>
      </c>
      <c r="C60" s="1381"/>
      <c r="D60" s="278" t="n">
        <f aca="false">Assm!L68</f>
        <v>0.05</v>
      </c>
      <c r="E60" s="1311"/>
      <c r="F60" s="1382"/>
      <c r="G60" s="1383" t="s">
        <v>1719</v>
      </c>
      <c r="H60" s="1281" t="n">
        <v>36004</v>
      </c>
      <c r="I60" s="1361" t="s">
        <v>1631</v>
      </c>
      <c r="J60" s="1362" t="s">
        <v>1720</v>
      </c>
    </row>
    <row r="61" customFormat="false" ht="13.5" hidden="false" customHeight="false" outlineLevel="0" collapsed="false">
      <c r="A61" s="634"/>
      <c r="B61" s="1287" t="str">
        <f aca="false">Assm!H69</f>
        <v>Interest Expense To Shareholders On Trapped Cash Loans</v>
      </c>
      <c r="C61" s="1384"/>
      <c r="D61" s="298" t="n">
        <f aca="false">Assm!L69</f>
        <v>0.06</v>
      </c>
      <c r="E61" s="1385"/>
      <c r="F61" s="1386"/>
      <c r="G61" s="1387" t="s">
        <v>1719</v>
      </c>
      <c r="H61" s="1289" t="n">
        <v>36004</v>
      </c>
      <c r="I61" s="1368" t="s">
        <v>1631</v>
      </c>
      <c r="J61" s="1369" t="s">
        <v>1720</v>
      </c>
    </row>
    <row r="62" customFormat="false" ht="13.5" hidden="false" customHeight="false" outlineLevel="0" collapsed="false"/>
    <row r="63" customFormat="false" ht="12.75" hidden="false" customHeight="false" outlineLevel="0" collapsed="false">
      <c r="A63" s="453" t="str">
        <f aca="false">Assm!H71</f>
        <v>Exchange Rate</v>
      </c>
      <c r="B63" s="1378" t="str">
        <f aca="false">Assm!H72</f>
        <v>Base Exchange Rate Per PPA (R$ Per US$)</v>
      </c>
      <c r="C63" s="1355" t="n">
        <f aca="false">Exch</f>
        <v>1.065</v>
      </c>
      <c r="D63" s="538"/>
      <c r="E63" s="538"/>
      <c r="F63" s="1303"/>
      <c r="G63" s="1380" t="s">
        <v>1652</v>
      </c>
      <c r="H63" s="1277" t="n">
        <v>35759</v>
      </c>
      <c r="I63" s="1358" t="s">
        <v>1634</v>
      </c>
      <c r="J63" s="1359" t="s">
        <v>1721</v>
      </c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</row>
    <row r="64" customFormat="false" ht="13.5" hidden="false" customHeight="false" outlineLevel="0" collapsed="false">
      <c r="A64" s="634"/>
      <c r="B64" s="1287" t="str">
        <f aca="false">Assm!H73</f>
        <v>Start Date For Economic Equilibrium</v>
      </c>
      <c r="C64" s="1388" t="n">
        <f aca="false">EE_Date</f>
        <v>36404</v>
      </c>
      <c r="D64" s="71"/>
      <c r="E64" s="71"/>
      <c r="F64" s="535"/>
      <c r="G64" s="1387"/>
      <c r="H64" s="1289"/>
      <c r="I64" s="1368"/>
      <c r="J64" s="1369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</row>
    <row r="65" customFormat="false" ht="13.5" hidden="false" customHeight="false" outlineLevel="0" collapsed="false"/>
    <row r="66" customFormat="false" ht="12.75" hidden="false" customHeight="false" outlineLevel="0" collapsed="false">
      <c r="A66" s="453" t="str">
        <f aca="false">Assm!H80</f>
        <v>Interest On Net Equity (INE)</v>
      </c>
      <c r="B66" s="1378" t="str">
        <f aca="false">Assm!H81</f>
        <v>Limited To The Lesser Of</v>
      </c>
      <c r="C66" s="1389" t="n">
        <f aca="false">Assm!I81</f>
        <v>0.5</v>
      </c>
      <c r="D66" s="1390" t="str">
        <f aca="false">Assm!J81</f>
        <v>Of Earnings Before Taxes</v>
      </c>
      <c r="E66" s="1390"/>
      <c r="F66" s="1391"/>
      <c r="G66" s="1392" t="s">
        <v>1684</v>
      </c>
      <c r="H66" s="1277" t="n">
        <v>35579</v>
      </c>
      <c r="I66" s="1358" t="s">
        <v>1685</v>
      </c>
      <c r="J66" s="1359" t="s">
        <v>1722</v>
      </c>
    </row>
    <row r="67" customFormat="false" ht="13.5" hidden="false" customHeight="false" outlineLevel="0" collapsed="false">
      <c r="A67" s="634"/>
      <c r="B67" s="1287"/>
      <c r="C67" s="1352" t="n">
        <f aca="false">Assm!I82</f>
        <v>0.1</v>
      </c>
      <c r="D67" s="1385" t="str">
        <f aca="false">Assm!J82</f>
        <v>TJLP Rate Of Project Equity</v>
      </c>
      <c r="E67" s="1385"/>
      <c r="F67" s="1393"/>
      <c r="G67" s="1394" t="s">
        <v>1684</v>
      </c>
      <c r="H67" s="1289" t="n">
        <v>35579</v>
      </c>
      <c r="I67" s="1368" t="s">
        <v>1685</v>
      </c>
      <c r="J67" s="1369" t="s">
        <v>1722</v>
      </c>
    </row>
    <row r="68" customFormat="false" ht="13.5" hidden="false" customHeight="false" outlineLevel="0" collapsed="false"/>
    <row r="69" customFormat="false" ht="12.75" hidden="false" customHeight="false" outlineLevel="0" collapsed="false">
      <c r="A69" s="453" t="str">
        <f aca="false">Assm!H113</f>
        <v>Political Risk Insurance</v>
      </c>
      <c r="B69" s="1378" t="str">
        <f aca="false">Assm!K113</f>
        <v>Partner Level Only</v>
      </c>
      <c r="C69" s="1389"/>
      <c r="D69" s="538"/>
      <c r="E69" s="538"/>
      <c r="F69" s="1303"/>
      <c r="G69" s="1380"/>
      <c r="H69" s="1277"/>
      <c r="I69" s="1358"/>
      <c r="J69" s="1359"/>
    </row>
    <row r="70" customFormat="false" ht="13.5" hidden="false" customHeight="false" outlineLevel="0" collapsed="false">
      <c r="A70" s="634"/>
      <c r="B70" s="1395" t="str">
        <f aca="false">Assm!H114</f>
        <v>Book Earnings Method</v>
      </c>
      <c r="C70" s="1396" t="n">
        <f aca="false">Opic</f>
        <v>0.01</v>
      </c>
      <c r="D70" s="71" t="str">
        <f aca="false">Assm!K114</f>
        <v>Of Equity Book Value</v>
      </c>
      <c r="E70" s="71"/>
      <c r="F70" s="535"/>
      <c r="G70" s="1387" t="s">
        <v>1723</v>
      </c>
      <c r="H70" s="1289" t="n">
        <v>36084</v>
      </c>
      <c r="I70" s="1368" t="s">
        <v>1724</v>
      </c>
      <c r="J70" s="1369" t="s">
        <v>1725</v>
      </c>
    </row>
    <row r="71" customFormat="false" ht="13.5" hidden="false" customHeight="false" outlineLevel="0" collapsed="false"/>
    <row r="72" customFormat="false" ht="12.75" hidden="false" customHeight="false" outlineLevel="0" collapsed="false">
      <c r="A72" s="453" t="str">
        <f aca="false">Assm!A99</f>
        <v>Electronorte Purchase Price Option</v>
      </c>
      <c r="B72" s="1378"/>
      <c r="C72" s="1389"/>
      <c r="D72" s="1397"/>
      <c r="E72" s="1397"/>
      <c r="F72" s="1398"/>
      <c r="G72" s="1380"/>
      <c r="H72" s="1277"/>
      <c r="I72" s="1358"/>
      <c r="J72" s="1359"/>
    </row>
    <row r="73" customFormat="false" ht="12.75" hidden="false" customHeight="false" outlineLevel="0" collapsed="false">
      <c r="A73" s="55"/>
      <c r="B73" s="1399" t="str">
        <f aca="false">Assm!A100</f>
        <v>Final Year Plant &amp; Transmission Capacity Tariff (R$/Mw-Month)</v>
      </c>
      <c r="C73" s="876"/>
      <c r="D73" s="289" t="n">
        <f aca="false">Assm!F100</f>
        <v>1291.01851851852</v>
      </c>
      <c r="E73" s="1400"/>
      <c r="F73" s="1382"/>
      <c r="G73" s="1280" t="s">
        <v>1659</v>
      </c>
      <c r="H73" s="1281" t="n">
        <v>35759</v>
      </c>
      <c r="I73" s="1280" t="s">
        <v>1660</v>
      </c>
      <c r="J73" s="1282" t="s">
        <v>1661</v>
      </c>
    </row>
    <row r="74" customFormat="false" ht="12.75" hidden="false" customHeight="false" outlineLevel="0" collapsed="false">
      <c r="A74" s="55"/>
      <c r="B74" s="1399" t="str">
        <f aca="false">Assm!A101</f>
        <v>Final Year Plant Capacity (Mw)</v>
      </c>
      <c r="C74" s="876"/>
      <c r="D74" s="1320" t="n">
        <f aca="false">Assm!F101</f>
        <v>480</v>
      </c>
      <c r="E74" s="1400"/>
      <c r="F74" s="1382"/>
      <c r="G74" s="1383" t="s">
        <v>1652</v>
      </c>
      <c r="H74" s="1281" t="n">
        <v>35759</v>
      </c>
      <c r="I74" s="1361" t="s">
        <v>1634</v>
      </c>
      <c r="J74" s="1362" t="s">
        <v>1726</v>
      </c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</row>
    <row r="75" customFormat="false" ht="12.75" hidden="false" customHeight="false" outlineLevel="0" collapsed="false">
      <c r="A75" s="55"/>
      <c r="B75" s="1399" t="str">
        <f aca="false">Assm!A102</f>
        <v>PPA Multiple</v>
      </c>
      <c r="C75" s="876"/>
      <c r="D75" s="1401" t="n">
        <f aca="false">Assm!F102</f>
        <v>2.4</v>
      </c>
      <c r="E75" s="1400"/>
      <c r="F75" s="1382"/>
      <c r="G75" s="1383" t="s">
        <v>1652</v>
      </c>
      <c r="H75" s="1281" t="n">
        <v>35759</v>
      </c>
      <c r="I75" s="1361" t="s">
        <v>1634</v>
      </c>
      <c r="J75" s="1362" t="s">
        <v>1726</v>
      </c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</row>
    <row r="76" customFormat="false" ht="12.75" hidden="false" customHeight="false" outlineLevel="0" collapsed="false">
      <c r="A76" s="55"/>
      <c r="B76" s="1399" t="str">
        <f aca="false">Assm!A103</f>
        <v>Electronorte Purchase Price (R$000)</v>
      </c>
      <c r="C76" s="876"/>
      <c r="D76" s="289" t="n">
        <f aca="false">Assm!F103</f>
        <v>1487.25333333333</v>
      </c>
      <c r="E76" s="1400"/>
      <c r="F76" s="1382"/>
      <c r="G76" s="1383" t="s">
        <v>1645</v>
      </c>
      <c r="H76" s="1281"/>
      <c r="I76" s="1361"/>
      <c r="J76" s="1362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</row>
    <row r="77" customFormat="false" ht="13.5" hidden="false" customHeight="false" outlineLevel="0" collapsed="false">
      <c r="A77" s="634"/>
      <c r="B77" s="1395" t="str">
        <f aca="false">Assm!A104</f>
        <v>Electronorte Purchase Price (US$000 @ Bid Exchange)</v>
      </c>
      <c r="C77" s="880"/>
      <c r="D77" s="1402" t="n">
        <f aca="false">Assm!F104</f>
        <v>1396.48200312989</v>
      </c>
      <c r="E77" s="1403"/>
      <c r="F77" s="1386"/>
      <c r="G77" s="1387" t="s">
        <v>1645</v>
      </c>
      <c r="H77" s="1289"/>
      <c r="I77" s="1368"/>
      <c r="J77" s="1369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</row>
  </sheetData>
  <mergeCells count="2">
    <mergeCell ref="C7:F7"/>
    <mergeCell ref="C8:F8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77"/>
  <sheetViews>
    <sheetView showFormulas="false" showGridLines="false" showRowColHeaders="true" showZeros="true" rightToLeft="false" tabSelected="false" showOutlineSymbols="true" defaultGridColor="true" view="normal" topLeftCell="C1" colorId="64" zoomScale="75" zoomScaleNormal="75" zoomScalePageLayoutView="100" workbookViewId="0">
      <selection pane="topLeft" activeCell="G35" activeCellId="0" sqref="G3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30.7"/>
    <col collapsed="false" customWidth="true" hidden="false" outlineLevel="0" max="2" min="2" style="1" width="47.7"/>
    <col collapsed="false" customWidth="true" hidden="false" outlineLevel="0" max="6" min="3" style="1" width="10.71"/>
    <col collapsed="false" customWidth="true" hidden="false" outlineLevel="0" max="7" min="7" style="1" width="23.7"/>
    <col collapsed="false" customWidth="true" hidden="false" outlineLevel="0" max="8" min="8" style="1260" width="13.7"/>
    <col collapsed="false" customWidth="true" hidden="false" outlineLevel="0" max="9" min="9" style="1" width="23.7"/>
    <col collapsed="false" customWidth="true" hidden="false" outlineLevel="0" max="10" min="10" style="1" width="35.7"/>
    <col collapsed="false" customWidth="false" hidden="false" outlineLevel="0" max="257" min="11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"/>
      <c r="C1" s="38"/>
      <c r="D1" s="38"/>
      <c r="E1" s="38"/>
      <c r="F1" s="38"/>
      <c r="G1" s="388"/>
      <c r="H1" s="1261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"/>
      <c r="C2" s="38"/>
      <c r="D2" s="38"/>
      <c r="E2" s="38"/>
      <c r="F2" s="38"/>
      <c r="G2" s="388"/>
      <c r="H2" s="1261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"/>
      <c r="C3" s="38"/>
      <c r="D3" s="38"/>
      <c r="E3" s="38"/>
      <c r="F3" s="38"/>
      <c r="G3" s="388"/>
      <c r="H3" s="1261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1727</v>
      </c>
      <c r="B4" s="38"/>
      <c r="C4" s="38"/>
      <c r="D4" s="38"/>
      <c r="E4" s="38"/>
      <c r="F4" s="38"/>
      <c r="G4" s="388"/>
      <c r="H4" s="1261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38"/>
      <c r="C5" s="38"/>
      <c r="D5" s="38"/>
      <c r="E5" s="38"/>
      <c r="F5" s="38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1262"/>
      <c r="B6" s="882"/>
      <c r="C6" s="881"/>
      <c r="D6" s="854"/>
      <c r="E6" s="854"/>
      <c r="F6" s="1263"/>
      <c r="G6" s="882"/>
      <c r="H6" s="1264"/>
      <c r="I6" s="882" t="s">
        <v>1620</v>
      </c>
      <c r="J6" s="883"/>
    </row>
    <row r="7" customFormat="false" ht="12.75" hidden="false" customHeight="false" outlineLevel="0" collapsed="false">
      <c r="A7" s="1103"/>
      <c r="B7" s="1265"/>
      <c r="C7" s="1265" t="s">
        <v>1621</v>
      </c>
      <c r="D7" s="1265"/>
      <c r="E7" s="1265"/>
      <c r="F7" s="1265"/>
      <c r="G7" s="1265"/>
      <c r="H7" s="1266" t="s">
        <v>708</v>
      </c>
      <c r="I7" s="1265" t="s">
        <v>1683</v>
      </c>
      <c r="J7" s="1267"/>
    </row>
    <row r="8" customFormat="false" ht="13.5" hidden="false" customHeight="false" outlineLevel="0" collapsed="false">
      <c r="A8" s="1268" t="s">
        <v>1623</v>
      </c>
      <c r="B8" s="1269" t="s">
        <v>1624</v>
      </c>
      <c r="C8" s="1269" t="s">
        <v>1625</v>
      </c>
      <c r="D8" s="1269"/>
      <c r="E8" s="1269"/>
      <c r="F8" s="1269"/>
      <c r="G8" s="1269" t="s">
        <v>1626</v>
      </c>
      <c r="H8" s="1270" t="s">
        <v>1627</v>
      </c>
      <c r="I8" s="1269" t="s">
        <v>1628</v>
      </c>
      <c r="J8" s="1271" t="s">
        <v>1629</v>
      </c>
    </row>
    <row r="9" customFormat="false" ht="13.5" hidden="false" customHeight="false" outlineLevel="0" collapsed="false">
      <c r="A9" s="876"/>
      <c r="B9" s="38"/>
      <c r="C9" s="38"/>
      <c r="D9" s="38"/>
      <c r="E9" s="38"/>
      <c r="F9" s="38"/>
      <c r="G9" s="38"/>
      <c r="H9" s="1272"/>
      <c r="I9" s="38"/>
      <c r="J9" s="38"/>
    </row>
    <row r="10" customFormat="false" ht="12.75" hidden="false" customHeight="false" outlineLevel="0" collapsed="false">
      <c r="A10" s="1273" t="str">
        <f aca="false">Assm!N6</f>
        <v>Project Costs ($000)</v>
      </c>
      <c r="B10" s="1291"/>
      <c r="C10" s="158" t="str">
        <f aca="false">Assm!S6</f>
        <v>Phase I</v>
      </c>
      <c r="D10" s="158" t="str">
        <f aca="false">Assm!T6</f>
        <v>Phase II</v>
      </c>
      <c r="E10" s="158" t="str">
        <f aca="false">Assm!U6</f>
        <v>Phase III</v>
      </c>
      <c r="F10" s="1404" t="str">
        <f aca="false">Assm!V7</f>
        <v>Total</v>
      </c>
      <c r="G10" s="1276"/>
      <c r="H10" s="1277"/>
      <c r="I10" s="1276"/>
      <c r="J10" s="1278"/>
    </row>
    <row r="11" customFormat="false" ht="12.75" hidden="false" customHeight="false" outlineLevel="0" collapsed="false">
      <c r="A11" s="1279"/>
      <c r="B11" s="877" t="str">
        <f aca="false">Assm!N8</f>
        <v>EPC Turnkey Contract</v>
      </c>
      <c r="C11" s="217" t="n">
        <f aca="false">Assm!S8</f>
        <v>71539.9149</v>
      </c>
      <c r="D11" s="217" t="n">
        <f aca="false">Assm!T8</f>
        <v>71539.9149</v>
      </c>
      <c r="E11" s="217" t="n">
        <f aca="false">Assm!U8</f>
        <v>95386.5532</v>
      </c>
      <c r="F11" s="1405" t="n">
        <f aca="false">Assm!V8</f>
        <v>238466.383</v>
      </c>
      <c r="G11" s="1280" t="s">
        <v>1642</v>
      </c>
      <c r="H11" s="1281" t="n">
        <v>35664</v>
      </c>
      <c r="I11" s="1280" t="s">
        <v>1631</v>
      </c>
      <c r="J11" s="1282" t="s">
        <v>1643</v>
      </c>
    </row>
    <row r="12" customFormat="false" ht="12.75" hidden="false" customHeight="false" outlineLevel="0" collapsed="false">
      <c r="A12" s="1279"/>
      <c r="B12" s="877" t="str">
        <f aca="false">Assm!N9</f>
        <v>Approved Change Orders</v>
      </c>
      <c r="C12" s="217" t="n">
        <f aca="false">Assm!S9</f>
        <v>3960.1374</v>
      </c>
      <c r="D12" s="217" t="n">
        <f aca="false">Assm!T9</f>
        <v>3960.1374</v>
      </c>
      <c r="E12" s="217" t="n">
        <f aca="false">Assm!U9</f>
        <v>5280.1832</v>
      </c>
      <c r="F12" s="1405" t="n">
        <f aca="false">Assm!V9</f>
        <v>13200.458</v>
      </c>
      <c r="G12" s="1280" t="s">
        <v>1728</v>
      </c>
      <c r="H12" s="1281" t="n">
        <v>36209</v>
      </c>
      <c r="I12" s="1280" t="s">
        <v>1729</v>
      </c>
      <c r="J12" s="1282" t="s">
        <v>1730</v>
      </c>
    </row>
    <row r="13" customFormat="false" ht="12.75" hidden="false" customHeight="false" outlineLevel="0" collapsed="false">
      <c r="A13" s="1279"/>
      <c r="B13" s="877" t="str">
        <f aca="false">Assm!N10</f>
        <v>Pending Change Orders</v>
      </c>
      <c r="C13" s="217" t="n">
        <f aca="false">Assm!S10</f>
        <v>1221.9</v>
      </c>
      <c r="D13" s="217" t="n">
        <f aca="false">Assm!T10</f>
        <v>1221.9</v>
      </c>
      <c r="E13" s="217" t="n">
        <f aca="false">Assm!U10</f>
        <v>1629.2</v>
      </c>
      <c r="F13" s="1405" t="n">
        <f aca="false">Assm!V10</f>
        <v>4073</v>
      </c>
      <c r="G13" s="1280" t="s">
        <v>1731</v>
      </c>
      <c r="H13" s="1281" t="n">
        <v>36407</v>
      </c>
      <c r="I13" s="1280" t="s">
        <v>1732</v>
      </c>
      <c r="J13" s="1282" t="s">
        <v>1733</v>
      </c>
    </row>
    <row r="14" customFormat="false" ht="12.75" hidden="false" customHeight="false" outlineLevel="0" collapsed="false">
      <c r="A14" s="1279"/>
      <c r="B14" s="877" t="str">
        <f aca="false">Assm!N11</f>
        <v>Onshore Payment Adjustment</v>
      </c>
      <c r="C14" s="217" t="n">
        <f aca="false">Assm!S11</f>
        <v>-2302.57016695694</v>
      </c>
      <c r="D14" s="217" t="n">
        <f aca="false">Assm!T11</f>
        <v>-2302.57016695694</v>
      </c>
      <c r="E14" s="217" t="n">
        <f aca="false">Assm!U11</f>
        <v>-3070.09355594259</v>
      </c>
      <c r="F14" s="1405" t="n">
        <f aca="false">Assm!V11</f>
        <v>-7675.23388985648</v>
      </c>
      <c r="G14" s="1280" t="s">
        <v>1642</v>
      </c>
      <c r="H14" s="1281" t="n">
        <v>36296</v>
      </c>
      <c r="I14" s="1280" t="s">
        <v>1648</v>
      </c>
      <c r="J14" s="1282" t="s">
        <v>1734</v>
      </c>
    </row>
    <row r="15" customFormat="false" ht="12.75" hidden="false" customHeight="false" outlineLevel="0" collapsed="false">
      <c r="A15" s="1279"/>
      <c r="B15" s="877" t="str">
        <f aca="false">Assm!N12</f>
        <v>Turnkey Tax Adjustment (0=Off, 1=On)</v>
      </c>
      <c r="C15" s="217" t="n">
        <f aca="false">Assm!S12</f>
        <v>-2254.1505054</v>
      </c>
      <c r="D15" s="217" t="n">
        <f aca="false">Assm!T12</f>
        <v>-2254.1505054</v>
      </c>
      <c r="E15" s="217" t="n">
        <f aca="false">Assm!U12</f>
        <v>-3005.5340072</v>
      </c>
      <c r="F15" s="1405" t="n">
        <f aca="false">Assm!V12</f>
        <v>-7513.835018</v>
      </c>
      <c r="G15" s="1280" t="s">
        <v>1642</v>
      </c>
      <c r="H15" s="1281" t="n">
        <v>36296</v>
      </c>
      <c r="I15" s="1280" t="s">
        <v>1685</v>
      </c>
      <c r="J15" s="1282" t="s">
        <v>1735</v>
      </c>
    </row>
    <row r="16" customFormat="false" ht="12.75" hidden="false" customHeight="false" outlineLevel="0" collapsed="false">
      <c r="A16" s="1279"/>
      <c r="B16" s="877" t="str">
        <f aca="false">Assm!N13</f>
        <v>Delay/Performance Damages From SCC (0=Off, 1=On)</v>
      </c>
      <c r="C16" s="220" t="n">
        <f aca="false">Assm!S13</f>
        <v>-2190.4065</v>
      </c>
      <c r="D16" s="220" t="n">
        <f aca="false">Assm!T13</f>
        <v>-2190.4065</v>
      </c>
      <c r="E16" s="220" t="n">
        <f aca="false">Assm!U13</f>
        <v>-2920.542</v>
      </c>
      <c r="F16" s="1406" t="n">
        <f aca="false">Assm!V13</f>
        <v>-7301.355</v>
      </c>
      <c r="G16" s="1280" t="s">
        <v>1736</v>
      </c>
      <c r="H16" s="1281" t="n">
        <v>36407</v>
      </c>
      <c r="I16" s="1280" t="s">
        <v>1648</v>
      </c>
      <c r="J16" s="1282"/>
    </row>
    <row r="17" customFormat="false" ht="12.75" hidden="false" customHeight="false" outlineLevel="0" collapsed="false">
      <c r="A17" s="1283"/>
      <c r="B17" s="1407" t="str">
        <f aca="false">Assm!N14</f>
        <v>Total Turnkey Construction</v>
      </c>
      <c r="C17" s="577" t="n">
        <f aca="false">Assm!S14</f>
        <v>69974.8251276431</v>
      </c>
      <c r="D17" s="577" t="n">
        <f aca="false">Assm!T14</f>
        <v>69974.8251276431</v>
      </c>
      <c r="E17" s="577" t="n">
        <f aca="false">Assm!U14</f>
        <v>93299.7668368574</v>
      </c>
      <c r="F17" s="1408" t="n">
        <f aca="false">Assm!V14</f>
        <v>233249.417092144</v>
      </c>
      <c r="G17" s="1280"/>
      <c r="H17" s="1281"/>
      <c r="I17" s="1280"/>
      <c r="J17" s="1282"/>
    </row>
    <row r="18" customFormat="false" ht="12.75" hidden="false" customHeight="false" outlineLevel="0" collapsed="false">
      <c r="A18" s="824"/>
      <c r="B18" s="1409"/>
      <c r="C18" s="217"/>
      <c r="D18" s="217"/>
      <c r="E18" s="217"/>
      <c r="F18" s="1405"/>
      <c r="G18" s="1361"/>
      <c r="H18" s="1281"/>
      <c r="I18" s="1361"/>
      <c r="J18" s="1362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  <c r="X18" s="1180"/>
      <c r="Y18" s="1180"/>
      <c r="Z18" s="1180"/>
      <c r="AA18" s="1180"/>
      <c r="AB18" s="1180"/>
      <c r="AC18" s="1180"/>
      <c r="AD18" s="1180"/>
      <c r="AE18" s="1180"/>
      <c r="AF18" s="1180"/>
      <c r="AG18" s="1180"/>
      <c r="AH18" s="1180"/>
      <c r="AI18" s="1180"/>
      <c r="AJ18" s="1180"/>
      <c r="AK18" s="1180"/>
      <c r="AL18" s="1180"/>
      <c r="AM18" s="1180"/>
      <c r="AN18" s="1180"/>
      <c r="AO18" s="1180"/>
      <c r="AP18" s="1180"/>
      <c r="AQ18" s="1180"/>
      <c r="AR18" s="1180"/>
      <c r="AS18" s="1180"/>
      <c r="AT18" s="1180"/>
      <c r="AU18" s="1180"/>
      <c r="AV18" s="1180"/>
      <c r="AW18" s="1180"/>
      <c r="AX18" s="1180"/>
      <c r="AY18" s="1180"/>
      <c r="AZ18" s="1180"/>
      <c r="BA18" s="1180"/>
      <c r="BB18" s="1180"/>
      <c r="BC18" s="1180"/>
      <c r="BD18" s="1180"/>
      <c r="BE18" s="1180"/>
      <c r="BF18" s="1180"/>
      <c r="BG18" s="1180"/>
      <c r="BH18" s="1180"/>
      <c r="BI18" s="1180"/>
      <c r="BJ18" s="1180"/>
      <c r="BK18" s="1180"/>
      <c r="BL18" s="1180"/>
      <c r="BM18" s="1180"/>
      <c r="BN18" s="1180"/>
      <c r="BO18" s="1180"/>
      <c r="BP18" s="1180"/>
      <c r="BQ18" s="1180"/>
      <c r="BR18" s="1180"/>
      <c r="BS18" s="1180"/>
      <c r="BT18" s="1180"/>
      <c r="BU18" s="1180"/>
      <c r="BV18" s="1180"/>
      <c r="BW18" s="1180"/>
      <c r="BX18" s="1180"/>
      <c r="BY18" s="1180"/>
      <c r="BZ18" s="1180"/>
      <c r="CA18" s="1180"/>
      <c r="CB18" s="1180"/>
      <c r="CC18" s="1180"/>
      <c r="CD18" s="1180"/>
      <c r="CE18" s="1180"/>
      <c r="CF18" s="1180"/>
      <c r="CG18" s="1180"/>
      <c r="CH18" s="1180"/>
      <c r="CI18" s="1180"/>
      <c r="CJ18" s="1180"/>
      <c r="CK18" s="1180"/>
      <c r="CL18" s="1180"/>
      <c r="CM18" s="1180"/>
      <c r="CN18" s="1180"/>
      <c r="CO18" s="1180"/>
      <c r="CP18" s="1180"/>
      <c r="CQ18" s="1180"/>
      <c r="CR18" s="1180"/>
      <c r="CS18" s="1180"/>
      <c r="CT18" s="1180"/>
      <c r="CU18" s="1180"/>
      <c r="CV18" s="1180"/>
      <c r="CW18" s="1180"/>
      <c r="CX18" s="1180"/>
      <c r="CY18" s="1180"/>
      <c r="CZ18" s="1180"/>
      <c r="DA18" s="1180"/>
      <c r="DB18" s="1180"/>
      <c r="DC18" s="1180"/>
      <c r="DD18" s="1180"/>
      <c r="DE18" s="1180"/>
      <c r="DF18" s="1180"/>
      <c r="DG18" s="1180"/>
      <c r="DH18" s="1180"/>
      <c r="DI18" s="1180"/>
      <c r="DJ18" s="1180"/>
      <c r="DK18" s="1180"/>
      <c r="DL18" s="1180"/>
      <c r="DM18" s="1180"/>
      <c r="DN18" s="1180"/>
      <c r="DO18" s="1180"/>
      <c r="DP18" s="1180"/>
      <c r="DQ18" s="1180"/>
      <c r="DR18" s="1180"/>
      <c r="DS18" s="1180"/>
      <c r="DT18" s="1180"/>
      <c r="DU18" s="1180"/>
      <c r="DV18" s="1180"/>
      <c r="DW18" s="1180"/>
      <c r="DX18" s="1180"/>
      <c r="DY18" s="1180"/>
      <c r="DZ18" s="1180"/>
      <c r="EA18" s="1180"/>
      <c r="EB18" s="1180"/>
      <c r="EC18" s="1180"/>
      <c r="ED18" s="1180"/>
      <c r="EE18" s="1180"/>
      <c r="EF18" s="1180"/>
      <c r="EG18" s="1180"/>
      <c r="EH18" s="1180"/>
      <c r="EI18" s="1180"/>
      <c r="EJ18" s="1180"/>
      <c r="EK18" s="1180"/>
      <c r="EL18" s="1180"/>
      <c r="EM18" s="1180"/>
      <c r="EN18" s="1180"/>
      <c r="EO18" s="1180"/>
      <c r="EP18" s="1180"/>
      <c r="EQ18" s="1180"/>
      <c r="ER18" s="1180"/>
      <c r="ES18" s="1180"/>
      <c r="ET18" s="1180"/>
      <c r="EU18" s="1180"/>
      <c r="EV18" s="1180"/>
      <c r="EW18" s="1180"/>
      <c r="EX18" s="1180"/>
      <c r="EY18" s="1180"/>
      <c r="EZ18" s="1180"/>
      <c r="FA18" s="1180"/>
      <c r="FB18" s="1180"/>
      <c r="FC18" s="1180"/>
      <c r="FD18" s="1180"/>
      <c r="FE18" s="1180"/>
      <c r="FF18" s="1180"/>
      <c r="FG18" s="1180"/>
      <c r="FH18" s="1180"/>
      <c r="FI18" s="1180"/>
      <c r="FJ18" s="1180"/>
      <c r="FK18" s="1180"/>
      <c r="FL18" s="1180"/>
      <c r="FM18" s="1180"/>
      <c r="FN18" s="1180"/>
      <c r="FO18" s="1180"/>
      <c r="FP18" s="1180"/>
      <c r="FQ18" s="1180"/>
      <c r="FR18" s="1180"/>
      <c r="FS18" s="1180"/>
      <c r="FT18" s="1180"/>
      <c r="FU18" s="1180"/>
      <c r="FV18" s="1180"/>
      <c r="FW18" s="1180"/>
      <c r="FX18" s="1180"/>
      <c r="FY18" s="1180"/>
      <c r="FZ18" s="1180"/>
      <c r="GA18" s="1180"/>
      <c r="GB18" s="1180"/>
      <c r="GC18" s="1180"/>
      <c r="GD18" s="1180"/>
      <c r="GE18" s="1180"/>
      <c r="GF18" s="1180"/>
      <c r="GG18" s="1180"/>
      <c r="GH18" s="1180"/>
      <c r="GI18" s="1180"/>
      <c r="GJ18" s="1180"/>
      <c r="GK18" s="1180"/>
      <c r="GL18" s="1180"/>
      <c r="GM18" s="1180"/>
      <c r="GN18" s="1180"/>
      <c r="GO18" s="1180"/>
      <c r="GP18" s="1180"/>
      <c r="GQ18" s="1180"/>
      <c r="GR18" s="1180"/>
      <c r="GS18" s="1180"/>
      <c r="GT18" s="1180"/>
      <c r="GU18" s="1180"/>
      <c r="GV18" s="1180"/>
      <c r="GW18" s="1180"/>
      <c r="GX18" s="1180"/>
      <c r="GY18" s="1180"/>
      <c r="GZ18" s="1180"/>
      <c r="HA18" s="1180"/>
      <c r="HB18" s="1180"/>
      <c r="HC18" s="1180"/>
      <c r="HD18" s="1180"/>
      <c r="HE18" s="1180"/>
      <c r="HF18" s="1180"/>
      <c r="HG18" s="1180"/>
      <c r="HH18" s="1180"/>
      <c r="HI18" s="1180"/>
      <c r="HJ18" s="1180"/>
      <c r="HK18" s="1180"/>
      <c r="HL18" s="1180"/>
      <c r="HM18" s="1180"/>
      <c r="HN18" s="1180"/>
      <c r="HO18" s="1180"/>
      <c r="HP18" s="1180"/>
      <c r="HQ18" s="1180"/>
      <c r="HR18" s="1180"/>
      <c r="HS18" s="1180"/>
      <c r="HT18" s="1180"/>
      <c r="HU18" s="1180"/>
      <c r="HV18" s="1180"/>
      <c r="HW18" s="1180"/>
      <c r="HX18" s="1180"/>
      <c r="HY18" s="1180"/>
      <c r="HZ18" s="1180"/>
      <c r="IA18" s="1180"/>
      <c r="IB18" s="1180"/>
      <c r="IC18" s="1180"/>
      <c r="ID18" s="1180"/>
      <c r="IE18" s="1180"/>
      <c r="IF18" s="1180"/>
      <c r="IG18" s="1180"/>
      <c r="IH18" s="1180"/>
      <c r="II18" s="1180"/>
      <c r="IJ18" s="1180"/>
      <c r="IK18" s="1180"/>
      <c r="IL18" s="1180"/>
      <c r="IM18" s="1180"/>
      <c r="IN18" s="1180"/>
      <c r="IO18" s="1180"/>
      <c r="IP18" s="1180"/>
      <c r="IQ18" s="1180"/>
      <c r="IR18" s="1180"/>
      <c r="IS18" s="1180"/>
      <c r="IT18" s="1180"/>
      <c r="IU18" s="1180"/>
      <c r="IV18" s="1180"/>
      <c r="IW18" s="1180"/>
    </row>
    <row r="19" customFormat="false" ht="12.75" hidden="false" customHeight="false" outlineLevel="0" collapsed="false">
      <c r="A19" s="1283"/>
      <c r="B19" s="877" t="str">
        <f aca="false">Assm!N16</f>
        <v>Diesel Fuel Inventory</v>
      </c>
      <c r="C19" s="217" t="n">
        <f aca="false">Assm!S16</f>
        <v>520.5</v>
      </c>
      <c r="D19" s="217" t="n">
        <f aca="false">Assm!T16</f>
        <v>520.5</v>
      </c>
      <c r="E19" s="217" t="n">
        <f aca="false">Assm!U16</f>
        <v>694</v>
      </c>
      <c r="F19" s="1405" t="n">
        <f aca="false">Assm!V16</f>
        <v>1735</v>
      </c>
      <c r="G19" s="1280" t="s">
        <v>1737</v>
      </c>
      <c r="H19" s="1281" t="n">
        <v>36298</v>
      </c>
      <c r="I19" s="1280" t="s">
        <v>1738</v>
      </c>
      <c r="J19" s="1282" t="s">
        <v>1739</v>
      </c>
    </row>
    <row r="20" customFormat="false" ht="12.75" hidden="false" customHeight="false" outlineLevel="0" collapsed="false">
      <c r="A20" s="1283"/>
      <c r="B20" s="877" t="str">
        <f aca="false">Assm!N17</f>
        <v>Land &amp; Rights Of Way</v>
      </c>
      <c r="C20" s="217" t="n">
        <f aca="false">Assm!S17</f>
        <v>162</v>
      </c>
      <c r="D20" s="217" t="n">
        <f aca="false">Assm!T17</f>
        <v>162</v>
      </c>
      <c r="E20" s="217" t="n">
        <f aca="false">Assm!U17</f>
        <v>216</v>
      </c>
      <c r="F20" s="1405" t="n">
        <f aca="false">Assm!V17</f>
        <v>540</v>
      </c>
      <c r="G20" s="1280" t="s">
        <v>1737</v>
      </c>
      <c r="H20" s="1281" t="n">
        <v>36291</v>
      </c>
      <c r="I20" s="1280" t="s">
        <v>1738</v>
      </c>
      <c r="J20" s="1282" t="s">
        <v>1739</v>
      </c>
    </row>
    <row r="21" customFormat="false" ht="12.75" hidden="false" customHeight="false" outlineLevel="0" collapsed="false">
      <c r="A21" s="1283"/>
      <c r="B21" s="877" t="str">
        <f aca="false">Assm!N18</f>
        <v>Owner's Engineer (Parson's)</v>
      </c>
      <c r="C21" s="217" t="n">
        <f aca="false">Assm!S18</f>
        <v>577.5</v>
      </c>
      <c r="D21" s="217" t="n">
        <f aca="false">Assm!T18</f>
        <v>577.5</v>
      </c>
      <c r="E21" s="217" t="n">
        <f aca="false">Assm!U18</f>
        <v>770</v>
      </c>
      <c r="F21" s="1405" t="n">
        <f aca="false">Assm!V18</f>
        <v>1925</v>
      </c>
      <c r="G21" s="1280" t="s">
        <v>1740</v>
      </c>
      <c r="H21" s="1281" t="n">
        <v>36259</v>
      </c>
      <c r="I21" s="1280" t="s">
        <v>1741</v>
      </c>
      <c r="J21" s="1282" t="s">
        <v>1739</v>
      </c>
    </row>
    <row r="22" customFormat="false" ht="12.75" hidden="false" customHeight="false" outlineLevel="0" collapsed="false">
      <c r="A22" s="1283"/>
      <c r="B22" s="877" t="str">
        <f aca="false">Assm!N19</f>
        <v>Environmental &amp; Permitting</v>
      </c>
      <c r="C22" s="217" t="n">
        <f aca="false">Assm!S19</f>
        <v>377.026716</v>
      </c>
      <c r="D22" s="217" t="n">
        <f aca="false">Assm!T19</f>
        <v>377.026716</v>
      </c>
      <c r="E22" s="217" t="n">
        <f aca="false">Assm!U19</f>
        <v>502.702288</v>
      </c>
      <c r="F22" s="1405" t="n">
        <f aca="false">Assm!V19</f>
        <v>1256.75572</v>
      </c>
      <c r="G22" s="1280" t="s">
        <v>1737</v>
      </c>
      <c r="H22" s="1281" t="n">
        <v>36298</v>
      </c>
      <c r="I22" s="1280" t="s">
        <v>1738</v>
      </c>
      <c r="J22" s="1282" t="s">
        <v>1739</v>
      </c>
    </row>
    <row r="23" customFormat="false" ht="12.75" hidden="false" customHeight="false" outlineLevel="0" collapsed="false">
      <c r="A23" s="1283"/>
      <c r="B23" s="877" t="str">
        <f aca="false">Assm!N20</f>
        <v>Consulting Fee</v>
      </c>
      <c r="C23" s="220" t="n">
        <f aca="false">Assm!S20</f>
        <v>792.6</v>
      </c>
      <c r="D23" s="220" t="n">
        <f aca="false">Assm!T20</f>
        <v>792.6</v>
      </c>
      <c r="E23" s="220" t="n">
        <f aca="false">Assm!U20</f>
        <v>1056.8</v>
      </c>
      <c r="F23" s="1406" t="n">
        <f aca="false">Assm!V20</f>
        <v>2642</v>
      </c>
      <c r="G23" s="1280" t="s">
        <v>1737</v>
      </c>
      <c r="H23" s="1281" t="n">
        <v>36298</v>
      </c>
      <c r="I23" s="1280" t="s">
        <v>1738</v>
      </c>
      <c r="J23" s="1282" t="s">
        <v>1739</v>
      </c>
    </row>
    <row r="24" customFormat="false" ht="12.75" hidden="false" customHeight="false" outlineLevel="0" collapsed="false">
      <c r="A24" s="1283"/>
      <c r="B24" s="1407" t="str">
        <f aca="false">Assm!N21</f>
        <v>Total Other Construction</v>
      </c>
      <c r="C24" s="577" t="n">
        <f aca="false">Assm!S21</f>
        <v>2429.626716</v>
      </c>
      <c r="D24" s="577" t="n">
        <f aca="false">Assm!T21</f>
        <v>2429.626716</v>
      </c>
      <c r="E24" s="577" t="n">
        <f aca="false">Assm!U21</f>
        <v>3239.502288</v>
      </c>
      <c r="F24" s="1408" t="n">
        <f aca="false">Assm!V21</f>
        <v>8098.75572</v>
      </c>
      <c r="G24" s="1280"/>
      <c r="H24" s="1281"/>
      <c r="I24" s="1280"/>
      <c r="J24" s="1282"/>
    </row>
    <row r="25" customFormat="false" ht="12.75" hidden="false" customHeight="false" outlineLevel="0" collapsed="false">
      <c r="A25" s="824"/>
      <c r="B25" s="1409"/>
      <c r="C25" s="217"/>
      <c r="D25" s="217"/>
      <c r="E25" s="217"/>
      <c r="F25" s="1405"/>
      <c r="G25" s="1361"/>
      <c r="H25" s="1281"/>
      <c r="I25" s="1361"/>
      <c r="J25" s="1362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  <c r="X25" s="1180"/>
      <c r="Y25" s="1180"/>
      <c r="Z25" s="1180"/>
      <c r="AA25" s="1180"/>
      <c r="AB25" s="1180"/>
      <c r="AC25" s="1180"/>
      <c r="AD25" s="1180"/>
      <c r="AE25" s="1180"/>
      <c r="AF25" s="1180"/>
      <c r="AG25" s="1180"/>
      <c r="AH25" s="1180"/>
      <c r="AI25" s="1180"/>
      <c r="AJ25" s="1180"/>
      <c r="AK25" s="1180"/>
      <c r="AL25" s="1180"/>
      <c r="AM25" s="1180"/>
      <c r="AN25" s="1180"/>
      <c r="AO25" s="1180"/>
      <c r="AP25" s="1180"/>
      <c r="AQ25" s="1180"/>
      <c r="AR25" s="1180"/>
      <c r="AS25" s="1180"/>
      <c r="AT25" s="1180"/>
      <c r="AU25" s="1180"/>
      <c r="AV25" s="1180"/>
      <c r="AW25" s="1180"/>
      <c r="AX25" s="1180"/>
      <c r="AY25" s="1180"/>
      <c r="AZ25" s="1180"/>
      <c r="BA25" s="1180"/>
      <c r="BB25" s="1180"/>
      <c r="BC25" s="1180"/>
      <c r="BD25" s="1180"/>
      <c r="BE25" s="1180"/>
      <c r="BF25" s="1180"/>
      <c r="BG25" s="1180"/>
      <c r="BH25" s="1180"/>
      <c r="BI25" s="1180"/>
      <c r="BJ25" s="1180"/>
      <c r="BK25" s="1180"/>
      <c r="BL25" s="1180"/>
      <c r="BM25" s="1180"/>
      <c r="BN25" s="1180"/>
      <c r="BO25" s="1180"/>
      <c r="BP25" s="1180"/>
      <c r="BQ25" s="1180"/>
      <c r="BR25" s="1180"/>
      <c r="BS25" s="1180"/>
      <c r="BT25" s="1180"/>
      <c r="BU25" s="1180"/>
      <c r="BV25" s="1180"/>
      <c r="BW25" s="1180"/>
      <c r="BX25" s="1180"/>
      <c r="BY25" s="1180"/>
      <c r="BZ25" s="1180"/>
      <c r="CA25" s="1180"/>
      <c r="CB25" s="1180"/>
      <c r="CC25" s="1180"/>
      <c r="CD25" s="1180"/>
      <c r="CE25" s="1180"/>
      <c r="CF25" s="1180"/>
      <c r="CG25" s="1180"/>
      <c r="CH25" s="1180"/>
      <c r="CI25" s="1180"/>
      <c r="CJ25" s="1180"/>
      <c r="CK25" s="1180"/>
      <c r="CL25" s="1180"/>
      <c r="CM25" s="1180"/>
      <c r="CN25" s="1180"/>
      <c r="CO25" s="1180"/>
      <c r="CP25" s="1180"/>
      <c r="CQ25" s="1180"/>
      <c r="CR25" s="1180"/>
      <c r="CS25" s="1180"/>
      <c r="CT25" s="1180"/>
      <c r="CU25" s="1180"/>
      <c r="CV25" s="1180"/>
      <c r="CW25" s="1180"/>
      <c r="CX25" s="1180"/>
      <c r="CY25" s="1180"/>
      <c r="CZ25" s="1180"/>
      <c r="DA25" s="1180"/>
      <c r="DB25" s="1180"/>
      <c r="DC25" s="1180"/>
      <c r="DD25" s="1180"/>
      <c r="DE25" s="1180"/>
      <c r="DF25" s="1180"/>
      <c r="DG25" s="1180"/>
      <c r="DH25" s="1180"/>
      <c r="DI25" s="1180"/>
      <c r="DJ25" s="1180"/>
      <c r="DK25" s="1180"/>
      <c r="DL25" s="1180"/>
      <c r="DM25" s="1180"/>
      <c r="DN25" s="1180"/>
      <c r="DO25" s="1180"/>
      <c r="DP25" s="1180"/>
      <c r="DQ25" s="1180"/>
      <c r="DR25" s="1180"/>
      <c r="DS25" s="1180"/>
      <c r="DT25" s="1180"/>
      <c r="DU25" s="1180"/>
      <c r="DV25" s="1180"/>
      <c r="DW25" s="1180"/>
      <c r="DX25" s="1180"/>
      <c r="DY25" s="1180"/>
      <c r="DZ25" s="1180"/>
      <c r="EA25" s="1180"/>
      <c r="EB25" s="1180"/>
      <c r="EC25" s="1180"/>
      <c r="ED25" s="1180"/>
      <c r="EE25" s="1180"/>
      <c r="EF25" s="1180"/>
      <c r="EG25" s="1180"/>
      <c r="EH25" s="1180"/>
      <c r="EI25" s="1180"/>
      <c r="EJ25" s="1180"/>
      <c r="EK25" s="1180"/>
      <c r="EL25" s="1180"/>
      <c r="EM25" s="1180"/>
      <c r="EN25" s="1180"/>
      <c r="EO25" s="1180"/>
      <c r="EP25" s="1180"/>
      <c r="EQ25" s="1180"/>
      <c r="ER25" s="1180"/>
      <c r="ES25" s="1180"/>
      <c r="ET25" s="1180"/>
      <c r="EU25" s="1180"/>
      <c r="EV25" s="1180"/>
      <c r="EW25" s="1180"/>
      <c r="EX25" s="1180"/>
      <c r="EY25" s="1180"/>
      <c r="EZ25" s="1180"/>
      <c r="FA25" s="1180"/>
      <c r="FB25" s="1180"/>
      <c r="FC25" s="1180"/>
      <c r="FD25" s="1180"/>
      <c r="FE25" s="1180"/>
      <c r="FF25" s="1180"/>
      <c r="FG25" s="1180"/>
      <c r="FH25" s="1180"/>
      <c r="FI25" s="1180"/>
      <c r="FJ25" s="1180"/>
      <c r="FK25" s="1180"/>
      <c r="FL25" s="1180"/>
      <c r="FM25" s="1180"/>
      <c r="FN25" s="1180"/>
      <c r="FO25" s="1180"/>
      <c r="FP25" s="1180"/>
      <c r="FQ25" s="1180"/>
      <c r="FR25" s="1180"/>
      <c r="FS25" s="1180"/>
      <c r="FT25" s="1180"/>
      <c r="FU25" s="1180"/>
      <c r="FV25" s="1180"/>
      <c r="FW25" s="1180"/>
      <c r="FX25" s="1180"/>
      <c r="FY25" s="1180"/>
      <c r="FZ25" s="1180"/>
      <c r="GA25" s="1180"/>
      <c r="GB25" s="1180"/>
      <c r="GC25" s="1180"/>
      <c r="GD25" s="1180"/>
      <c r="GE25" s="1180"/>
      <c r="GF25" s="1180"/>
      <c r="GG25" s="1180"/>
      <c r="GH25" s="1180"/>
      <c r="GI25" s="1180"/>
      <c r="GJ25" s="1180"/>
      <c r="GK25" s="1180"/>
      <c r="GL25" s="1180"/>
      <c r="GM25" s="1180"/>
      <c r="GN25" s="1180"/>
      <c r="GO25" s="1180"/>
      <c r="GP25" s="1180"/>
      <c r="GQ25" s="1180"/>
      <c r="GR25" s="1180"/>
      <c r="GS25" s="1180"/>
      <c r="GT25" s="1180"/>
      <c r="GU25" s="1180"/>
      <c r="GV25" s="1180"/>
      <c r="GW25" s="1180"/>
      <c r="GX25" s="1180"/>
      <c r="GY25" s="1180"/>
      <c r="GZ25" s="1180"/>
      <c r="HA25" s="1180"/>
      <c r="HB25" s="1180"/>
      <c r="HC25" s="1180"/>
      <c r="HD25" s="1180"/>
      <c r="HE25" s="1180"/>
      <c r="HF25" s="1180"/>
      <c r="HG25" s="1180"/>
      <c r="HH25" s="1180"/>
      <c r="HI25" s="1180"/>
      <c r="HJ25" s="1180"/>
      <c r="HK25" s="1180"/>
      <c r="HL25" s="1180"/>
      <c r="HM25" s="1180"/>
      <c r="HN25" s="1180"/>
      <c r="HO25" s="1180"/>
      <c r="HP25" s="1180"/>
      <c r="HQ25" s="1180"/>
      <c r="HR25" s="1180"/>
      <c r="HS25" s="1180"/>
      <c r="HT25" s="1180"/>
      <c r="HU25" s="1180"/>
      <c r="HV25" s="1180"/>
      <c r="HW25" s="1180"/>
      <c r="HX25" s="1180"/>
      <c r="HY25" s="1180"/>
      <c r="HZ25" s="1180"/>
      <c r="IA25" s="1180"/>
      <c r="IB25" s="1180"/>
      <c r="IC25" s="1180"/>
      <c r="ID25" s="1180"/>
      <c r="IE25" s="1180"/>
      <c r="IF25" s="1180"/>
      <c r="IG25" s="1180"/>
      <c r="IH25" s="1180"/>
      <c r="II25" s="1180"/>
      <c r="IJ25" s="1180"/>
      <c r="IK25" s="1180"/>
      <c r="IL25" s="1180"/>
      <c r="IM25" s="1180"/>
      <c r="IN25" s="1180"/>
      <c r="IO25" s="1180"/>
      <c r="IP25" s="1180"/>
      <c r="IQ25" s="1180"/>
      <c r="IR25" s="1180"/>
      <c r="IS25" s="1180"/>
      <c r="IT25" s="1180"/>
      <c r="IU25" s="1180"/>
      <c r="IV25" s="1180"/>
      <c r="IW25" s="1180"/>
    </row>
    <row r="26" customFormat="false" ht="12.75" hidden="false" customHeight="false" outlineLevel="0" collapsed="false">
      <c r="A26" s="1283"/>
      <c r="B26" s="877" t="str">
        <f aca="false">Assm!N23</f>
        <v>Interest During Construction "IDC "</v>
      </c>
      <c r="C26" s="217" t="n">
        <f aca="false">Assm!S23</f>
        <v>7127.2789620047</v>
      </c>
      <c r="D26" s="217" t="n">
        <f aca="false">Assm!T23</f>
        <v>7127.2789620047</v>
      </c>
      <c r="E26" s="217" t="n">
        <f aca="false">Assm!U23</f>
        <v>9503.03861600627</v>
      </c>
      <c r="F26" s="1405" t="n">
        <f aca="false">Assm!V23</f>
        <v>23757.5965400157</v>
      </c>
      <c r="G26" s="1280" t="s">
        <v>1645</v>
      </c>
      <c r="H26" s="1281"/>
      <c r="I26" s="1280"/>
      <c r="J26" s="1282"/>
    </row>
    <row r="27" customFormat="false" ht="12.75" hidden="false" customHeight="false" outlineLevel="0" collapsed="false">
      <c r="A27" s="1283"/>
      <c r="B27" s="877" t="str">
        <f aca="false">Assm!N24</f>
        <v>Withholding Tax - IDC</v>
      </c>
      <c r="C27" s="217" t="n">
        <f aca="false">Assm!S24</f>
        <v>650.45947446866</v>
      </c>
      <c r="D27" s="217" t="n">
        <f aca="false">Assm!T24</f>
        <v>650.45947446866</v>
      </c>
      <c r="E27" s="217" t="n">
        <f aca="false">Assm!U24</f>
        <v>867.279299291547</v>
      </c>
      <c r="F27" s="1405" t="n">
        <f aca="false">Assm!V24</f>
        <v>2168.19824822887</v>
      </c>
      <c r="G27" s="1280" t="s">
        <v>1645</v>
      </c>
      <c r="H27" s="1281"/>
      <c r="I27" s="1280"/>
      <c r="J27" s="1282"/>
    </row>
    <row r="28" customFormat="false" ht="12.75" hidden="false" customHeight="false" outlineLevel="0" collapsed="false">
      <c r="A28" s="1283"/>
      <c r="B28" s="877" t="str">
        <f aca="false">Assm!N25</f>
        <v>Commitment Fee</v>
      </c>
      <c r="C28" s="217" t="n">
        <f aca="false">Assm!S25</f>
        <v>49.8050166446624</v>
      </c>
      <c r="D28" s="217" t="n">
        <f aca="false">Assm!T25</f>
        <v>49.8050166446624</v>
      </c>
      <c r="E28" s="217" t="n">
        <f aca="false">Assm!U25</f>
        <v>66.4066888595498</v>
      </c>
      <c r="F28" s="1405" t="n">
        <f aca="false">Assm!V25</f>
        <v>166.016722148875</v>
      </c>
      <c r="G28" s="1280" t="s">
        <v>1645</v>
      </c>
      <c r="H28" s="1281"/>
      <c r="I28" s="1280"/>
      <c r="J28" s="1282"/>
    </row>
    <row r="29" customFormat="false" ht="12.75" hidden="false" customHeight="false" outlineLevel="0" collapsed="false">
      <c r="A29" s="1283"/>
      <c r="B29" s="877" t="str">
        <f aca="false">Assm!N26</f>
        <v>Upfront Fee</v>
      </c>
      <c r="C29" s="217" t="n">
        <f aca="false">Assm!S26</f>
        <v>8858.25503959976</v>
      </c>
      <c r="D29" s="217" t="n">
        <f aca="false">Assm!T26</f>
        <v>8858.25503959976</v>
      </c>
      <c r="E29" s="217" t="n">
        <f aca="false">Assm!U26</f>
        <v>11811.0067194664</v>
      </c>
      <c r="F29" s="1405" t="n">
        <f aca="false">Assm!V26</f>
        <v>29527.5167986659</v>
      </c>
      <c r="G29" s="1280" t="s">
        <v>1645</v>
      </c>
      <c r="H29" s="1281"/>
      <c r="I29" s="1280"/>
      <c r="J29" s="1282"/>
    </row>
    <row r="30" customFormat="false" ht="12.75" hidden="false" customHeight="false" outlineLevel="0" collapsed="false">
      <c r="A30" s="1283"/>
      <c r="B30" s="877" t="str">
        <f aca="false">Assm!N27</f>
        <v>Financing Costs (Borrower And Lender)</v>
      </c>
      <c r="C30" s="217" t="n">
        <f aca="false">Assm!S27</f>
        <v>2225.9625</v>
      </c>
      <c r="D30" s="217" t="n">
        <f aca="false">Assm!T27</f>
        <v>2225.9625</v>
      </c>
      <c r="E30" s="217" t="n">
        <f aca="false">Assm!U27</f>
        <v>2967.95</v>
      </c>
      <c r="F30" s="1405" t="n">
        <f aca="false">Assm!V27</f>
        <v>7419.875</v>
      </c>
      <c r="G30" s="1280" t="s">
        <v>1737</v>
      </c>
      <c r="H30" s="1281" t="n">
        <v>36294</v>
      </c>
      <c r="I30" s="1280" t="s">
        <v>1738</v>
      </c>
      <c r="J30" s="1282" t="s">
        <v>1742</v>
      </c>
    </row>
    <row r="31" customFormat="false" ht="12.75" hidden="false" customHeight="false" outlineLevel="0" collapsed="false">
      <c r="A31" s="1283"/>
      <c r="B31" s="877" t="str">
        <f aca="false">Assm!N28</f>
        <v>Financing Costs (Other)</v>
      </c>
      <c r="C31" s="217" t="n">
        <f aca="false">Assm!S28</f>
        <v>0</v>
      </c>
      <c r="D31" s="217" t="n">
        <f aca="false">Assm!T28</f>
        <v>0</v>
      </c>
      <c r="E31" s="217" t="n">
        <f aca="false">Assm!U28</f>
        <v>0</v>
      </c>
      <c r="F31" s="1405" t="n">
        <f aca="false">Assm!V28</f>
        <v>0</v>
      </c>
      <c r="G31" s="1280" t="s">
        <v>1737</v>
      </c>
      <c r="H31" s="1281" t="n">
        <v>36294</v>
      </c>
      <c r="I31" s="1280" t="s">
        <v>1738</v>
      </c>
      <c r="J31" s="1282" t="s">
        <v>1742</v>
      </c>
    </row>
    <row r="32" customFormat="false" ht="12.75" hidden="false" customHeight="false" outlineLevel="0" collapsed="false">
      <c r="A32" s="1283"/>
      <c r="B32" s="877" t="str">
        <f aca="false">Assm!N29</f>
        <v>3rd Party Legal Fees</v>
      </c>
      <c r="C32" s="217" t="n">
        <f aca="false">Assm!S29</f>
        <v>1286.4375</v>
      </c>
      <c r="D32" s="217" t="n">
        <f aca="false">Assm!T29</f>
        <v>1286.4375</v>
      </c>
      <c r="E32" s="217" t="n">
        <f aca="false">Assm!U29</f>
        <v>1715.25</v>
      </c>
      <c r="F32" s="1405" t="n">
        <f aca="false">Assm!V29</f>
        <v>4288.125</v>
      </c>
      <c r="G32" s="1280" t="s">
        <v>1737</v>
      </c>
      <c r="H32" s="1281" t="n">
        <v>36403</v>
      </c>
      <c r="I32" s="1280" t="s">
        <v>1738</v>
      </c>
      <c r="J32" s="1282" t="s">
        <v>1743</v>
      </c>
    </row>
    <row r="33" customFormat="false" ht="12.75" hidden="false" customHeight="false" outlineLevel="0" collapsed="false">
      <c r="A33" s="1283"/>
      <c r="B33" s="877" t="str">
        <f aca="false">Assm!N30</f>
        <v>Construction Insurance</v>
      </c>
      <c r="C33" s="220" t="n">
        <f aca="false">Assm!S30</f>
        <v>1710.654</v>
      </c>
      <c r="D33" s="220" t="n">
        <f aca="false">Assm!T30</f>
        <v>1710.654</v>
      </c>
      <c r="E33" s="220" t="n">
        <f aca="false">Assm!U30</f>
        <v>2280.872</v>
      </c>
      <c r="F33" s="1406" t="n">
        <f aca="false">Assm!V30</f>
        <v>5702.18</v>
      </c>
      <c r="G33" s="1280" t="s">
        <v>1678</v>
      </c>
      <c r="H33" s="1281" t="n">
        <v>36230</v>
      </c>
      <c r="I33" s="1280" t="s">
        <v>1679</v>
      </c>
      <c r="J33" s="1282"/>
    </row>
    <row r="34" customFormat="false" ht="12.75" hidden="false" customHeight="false" outlineLevel="0" collapsed="false">
      <c r="A34" s="1283"/>
      <c r="B34" s="1407" t="str">
        <f aca="false">Assm!N31</f>
        <v>Total 3rd Party Dev / Financing Costs</v>
      </c>
      <c r="C34" s="577" t="n">
        <f aca="false">Assm!S31</f>
        <v>21908.8524927178</v>
      </c>
      <c r="D34" s="577" t="n">
        <f aca="false">Assm!T31</f>
        <v>21908.8524927178</v>
      </c>
      <c r="E34" s="577" t="n">
        <f aca="false">Assm!U31</f>
        <v>29211.8033236237</v>
      </c>
      <c r="F34" s="1408" t="n">
        <f aca="false">Assm!V31</f>
        <v>73029.5083090593</v>
      </c>
      <c r="G34" s="1280"/>
      <c r="H34" s="1281"/>
      <c r="I34" s="1280"/>
      <c r="J34" s="1282"/>
    </row>
    <row r="35" customFormat="false" ht="12.75" hidden="false" customHeight="false" outlineLevel="0" collapsed="false">
      <c r="A35" s="824"/>
      <c r="B35" s="1409"/>
      <c r="C35" s="217"/>
      <c r="D35" s="217"/>
      <c r="E35" s="217"/>
      <c r="F35" s="1405"/>
      <c r="G35" s="1361"/>
      <c r="H35" s="1281"/>
      <c r="I35" s="1361"/>
      <c r="J35" s="1362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  <c r="X35" s="1180"/>
      <c r="Y35" s="1180"/>
      <c r="Z35" s="1180"/>
      <c r="AA35" s="1180"/>
      <c r="AB35" s="1180"/>
      <c r="AC35" s="1180"/>
      <c r="AD35" s="1180"/>
      <c r="AE35" s="1180"/>
      <c r="AF35" s="1180"/>
      <c r="AG35" s="1180"/>
      <c r="AH35" s="1180"/>
      <c r="AI35" s="1180"/>
      <c r="AJ35" s="1180"/>
      <c r="AK35" s="1180"/>
      <c r="AL35" s="1180"/>
      <c r="AM35" s="1180"/>
      <c r="AN35" s="1180"/>
      <c r="AO35" s="1180"/>
      <c r="AP35" s="1180"/>
      <c r="AQ35" s="1180"/>
      <c r="AR35" s="1180"/>
      <c r="AS35" s="1180"/>
      <c r="AT35" s="1180"/>
      <c r="AU35" s="1180"/>
      <c r="AV35" s="1180"/>
      <c r="AW35" s="1180"/>
      <c r="AX35" s="1180"/>
      <c r="AY35" s="1180"/>
      <c r="AZ35" s="1180"/>
      <c r="BA35" s="1180"/>
      <c r="BB35" s="1180"/>
      <c r="BC35" s="1180"/>
      <c r="BD35" s="1180"/>
      <c r="BE35" s="1180"/>
      <c r="BF35" s="1180"/>
      <c r="BG35" s="1180"/>
      <c r="BH35" s="1180"/>
      <c r="BI35" s="1180"/>
      <c r="BJ35" s="1180"/>
      <c r="BK35" s="1180"/>
      <c r="BL35" s="1180"/>
      <c r="BM35" s="1180"/>
      <c r="BN35" s="1180"/>
      <c r="BO35" s="1180"/>
      <c r="BP35" s="1180"/>
      <c r="BQ35" s="1180"/>
      <c r="BR35" s="1180"/>
      <c r="BS35" s="1180"/>
      <c r="BT35" s="1180"/>
      <c r="BU35" s="1180"/>
      <c r="BV35" s="1180"/>
      <c r="BW35" s="1180"/>
      <c r="BX35" s="1180"/>
      <c r="BY35" s="1180"/>
      <c r="BZ35" s="1180"/>
      <c r="CA35" s="1180"/>
      <c r="CB35" s="1180"/>
      <c r="CC35" s="1180"/>
      <c r="CD35" s="1180"/>
      <c r="CE35" s="1180"/>
      <c r="CF35" s="1180"/>
      <c r="CG35" s="1180"/>
      <c r="CH35" s="1180"/>
      <c r="CI35" s="1180"/>
      <c r="CJ35" s="1180"/>
      <c r="CK35" s="1180"/>
      <c r="CL35" s="1180"/>
      <c r="CM35" s="1180"/>
      <c r="CN35" s="1180"/>
      <c r="CO35" s="1180"/>
      <c r="CP35" s="1180"/>
      <c r="CQ35" s="1180"/>
      <c r="CR35" s="1180"/>
      <c r="CS35" s="1180"/>
      <c r="CT35" s="1180"/>
      <c r="CU35" s="1180"/>
      <c r="CV35" s="1180"/>
      <c r="CW35" s="1180"/>
      <c r="CX35" s="1180"/>
      <c r="CY35" s="1180"/>
      <c r="CZ35" s="1180"/>
      <c r="DA35" s="1180"/>
      <c r="DB35" s="1180"/>
      <c r="DC35" s="1180"/>
      <c r="DD35" s="1180"/>
      <c r="DE35" s="1180"/>
      <c r="DF35" s="1180"/>
      <c r="DG35" s="1180"/>
      <c r="DH35" s="1180"/>
      <c r="DI35" s="1180"/>
      <c r="DJ35" s="1180"/>
      <c r="DK35" s="1180"/>
      <c r="DL35" s="1180"/>
      <c r="DM35" s="1180"/>
      <c r="DN35" s="1180"/>
      <c r="DO35" s="1180"/>
      <c r="DP35" s="1180"/>
      <c r="DQ35" s="1180"/>
      <c r="DR35" s="1180"/>
      <c r="DS35" s="1180"/>
      <c r="DT35" s="1180"/>
      <c r="DU35" s="1180"/>
      <c r="DV35" s="1180"/>
      <c r="DW35" s="1180"/>
      <c r="DX35" s="1180"/>
      <c r="DY35" s="1180"/>
      <c r="DZ35" s="1180"/>
      <c r="EA35" s="1180"/>
      <c r="EB35" s="1180"/>
      <c r="EC35" s="1180"/>
      <c r="ED35" s="1180"/>
      <c r="EE35" s="1180"/>
      <c r="EF35" s="1180"/>
      <c r="EG35" s="1180"/>
      <c r="EH35" s="1180"/>
      <c r="EI35" s="1180"/>
      <c r="EJ35" s="1180"/>
      <c r="EK35" s="1180"/>
      <c r="EL35" s="1180"/>
      <c r="EM35" s="1180"/>
      <c r="EN35" s="1180"/>
      <c r="EO35" s="1180"/>
      <c r="EP35" s="1180"/>
      <c r="EQ35" s="1180"/>
      <c r="ER35" s="1180"/>
      <c r="ES35" s="1180"/>
      <c r="ET35" s="1180"/>
      <c r="EU35" s="1180"/>
      <c r="EV35" s="1180"/>
      <c r="EW35" s="1180"/>
      <c r="EX35" s="1180"/>
      <c r="EY35" s="1180"/>
      <c r="EZ35" s="1180"/>
      <c r="FA35" s="1180"/>
      <c r="FB35" s="1180"/>
      <c r="FC35" s="1180"/>
      <c r="FD35" s="1180"/>
      <c r="FE35" s="1180"/>
      <c r="FF35" s="1180"/>
      <c r="FG35" s="1180"/>
      <c r="FH35" s="1180"/>
      <c r="FI35" s="1180"/>
      <c r="FJ35" s="1180"/>
      <c r="FK35" s="1180"/>
      <c r="FL35" s="1180"/>
      <c r="FM35" s="1180"/>
      <c r="FN35" s="1180"/>
      <c r="FO35" s="1180"/>
      <c r="FP35" s="1180"/>
      <c r="FQ35" s="1180"/>
      <c r="FR35" s="1180"/>
      <c r="FS35" s="1180"/>
      <c r="FT35" s="1180"/>
      <c r="FU35" s="1180"/>
      <c r="FV35" s="1180"/>
      <c r="FW35" s="1180"/>
      <c r="FX35" s="1180"/>
      <c r="FY35" s="1180"/>
      <c r="FZ35" s="1180"/>
      <c r="GA35" s="1180"/>
      <c r="GB35" s="1180"/>
      <c r="GC35" s="1180"/>
      <c r="GD35" s="1180"/>
      <c r="GE35" s="1180"/>
      <c r="GF35" s="1180"/>
      <c r="GG35" s="1180"/>
      <c r="GH35" s="1180"/>
      <c r="GI35" s="1180"/>
      <c r="GJ35" s="1180"/>
      <c r="GK35" s="1180"/>
      <c r="GL35" s="1180"/>
      <c r="GM35" s="1180"/>
      <c r="GN35" s="1180"/>
      <c r="GO35" s="1180"/>
      <c r="GP35" s="1180"/>
      <c r="GQ35" s="1180"/>
      <c r="GR35" s="1180"/>
      <c r="GS35" s="1180"/>
      <c r="GT35" s="1180"/>
      <c r="GU35" s="1180"/>
      <c r="GV35" s="1180"/>
      <c r="GW35" s="1180"/>
      <c r="GX35" s="1180"/>
      <c r="GY35" s="1180"/>
      <c r="GZ35" s="1180"/>
      <c r="HA35" s="1180"/>
      <c r="HB35" s="1180"/>
      <c r="HC35" s="1180"/>
      <c r="HD35" s="1180"/>
      <c r="HE35" s="1180"/>
      <c r="HF35" s="1180"/>
      <c r="HG35" s="1180"/>
      <c r="HH35" s="1180"/>
      <c r="HI35" s="1180"/>
      <c r="HJ35" s="1180"/>
      <c r="HK35" s="1180"/>
      <c r="HL35" s="1180"/>
      <c r="HM35" s="1180"/>
      <c r="HN35" s="1180"/>
      <c r="HO35" s="1180"/>
      <c r="HP35" s="1180"/>
      <c r="HQ35" s="1180"/>
      <c r="HR35" s="1180"/>
      <c r="HS35" s="1180"/>
      <c r="HT35" s="1180"/>
      <c r="HU35" s="1180"/>
      <c r="HV35" s="1180"/>
      <c r="HW35" s="1180"/>
      <c r="HX35" s="1180"/>
      <c r="HY35" s="1180"/>
      <c r="HZ35" s="1180"/>
      <c r="IA35" s="1180"/>
      <c r="IB35" s="1180"/>
      <c r="IC35" s="1180"/>
      <c r="ID35" s="1180"/>
      <c r="IE35" s="1180"/>
      <c r="IF35" s="1180"/>
      <c r="IG35" s="1180"/>
      <c r="IH35" s="1180"/>
      <c r="II35" s="1180"/>
      <c r="IJ35" s="1180"/>
      <c r="IK35" s="1180"/>
      <c r="IL35" s="1180"/>
      <c r="IM35" s="1180"/>
      <c r="IN35" s="1180"/>
      <c r="IO35" s="1180"/>
      <c r="IP35" s="1180"/>
      <c r="IQ35" s="1180"/>
      <c r="IR35" s="1180"/>
      <c r="IS35" s="1180"/>
      <c r="IT35" s="1180"/>
      <c r="IU35" s="1180"/>
      <c r="IV35" s="1180"/>
      <c r="IW35" s="1180"/>
    </row>
    <row r="36" customFormat="false" ht="12.75" hidden="false" customHeight="false" outlineLevel="0" collapsed="false">
      <c r="A36" s="1283"/>
      <c r="B36" s="877" t="str">
        <f aca="false">Assm!N33</f>
        <v>Development Costs</v>
      </c>
      <c r="C36" s="217" t="n">
        <f aca="false">Assm!S33</f>
        <v>4216.77592026</v>
      </c>
      <c r="D36" s="217" t="n">
        <f aca="false">Assm!T33</f>
        <v>4216.77592026</v>
      </c>
      <c r="E36" s="217" t="n">
        <f aca="false">Assm!U33</f>
        <v>5622.36789368</v>
      </c>
      <c r="F36" s="1405" t="n">
        <f aca="false">Assm!V33</f>
        <v>14055.9197342</v>
      </c>
      <c r="G36" s="1280" t="s">
        <v>1737</v>
      </c>
      <c r="H36" s="1281" t="n">
        <v>36403</v>
      </c>
      <c r="I36" s="1280" t="s">
        <v>1738</v>
      </c>
      <c r="J36" s="1282" t="s">
        <v>1743</v>
      </c>
    </row>
    <row r="37" customFormat="false" ht="12.75" hidden="false" customHeight="false" outlineLevel="0" collapsed="false">
      <c r="A37" s="1283"/>
      <c r="B37" s="877" t="str">
        <f aca="false">Assm!N34</f>
        <v>Operations Mobilization - Plant</v>
      </c>
      <c r="C37" s="217" t="n">
        <f aca="false">Assm!S34</f>
        <v>1962</v>
      </c>
      <c r="D37" s="217" t="n">
        <f aca="false">Assm!T34</f>
        <v>1962</v>
      </c>
      <c r="E37" s="217" t="n">
        <f aca="false">Assm!U34</f>
        <v>2616</v>
      </c>
      <c r="F37" s="1405" t="n">
        <f aca="false">Assm!V34</f>
        <v>6540</v>
      </c>
      <c r="G37" s="1280" t="s">
        <v>1737</v>
      </c>
      <c r="H37" s="1281" t="n">
        <v>36294</v>
      </c>
      <c r="I37" s="1280" t="s">
        <v>1738</v>
      </c>
      <c r="J37" s="1282" t="s">
        <v>1742</v>
      </c>
    </row>
    <row r="38" customFormat="false" ht="12.75" hidden="false" customHeight="false" outlineLevel="0" collapsed="false">
      <c r="A38" s="1283"/>
      <c r="B38" s="877" t="str">
        <f aca="false">Assm!N35</f>
        <v>Operations Mobilization - WTF</v>
      </c>
      <c r="C38" s="220" t="n">
        <f aca="false">Assm!S35</f>
        <v>29.1</v>
      </c>
      <c r="D38" s="220" t="n">
        <f aca="false">Assm!T35</f>
        <v>29.1</v>
      </c>
      <c r="E38" s="220" t="n">
        <f aca="false">Assm!U35</f>
        <v>38.8</v>
      </c>
      <c r="F38" s="1406" t="n">
        <f aca="false">Assm!V35</f>
        <v>97</v>
      </c>
      <c r="G38" s="1280" t="s">
        <v>1744</v>
      </c>
      <c r="H38" s="1281" t="n">
        <v>36364</v>
      </c>
      <c r="I38" s="1280" t="s">
        <v>1676</v>
      </c>
      <c r="J38" s="1282" t="s">
        <v>1745</v>
      </c>
    </row>
    <row r="39" customFormat="false" ht="12.75" hidden="false" customHeight="false" outlineLevel="0" collapsed="false">
      <c r="A39" s="1283"/>
      <c r="B39" s="1407" t="str">
        <f aca="false">Assm!N36</f>
        <v>Total Development Costs / Fees</v>
      </c>
      <c r="C39" s="577" t="n">
        <f aca="false">Assm!S36</f>
        <v>6207.87592026</v>
      </c>
      <c r="D39" s="577" t="n">
        <f aca="false">Assm!T36</f>
        <v>6207.87592026</v>
      </c>
      <c r="E39" s="577" t="n">
        <f aca="false">Assm!U36</f>
        <v>8277.16789368</v>
      </c>
      <c r="F39" s="1408" t="n">
        <f aca="false">Assm!V36</f>
        <v>20692.9197342</v>
      </c>
      <c r="G39" s="1280"/>
      <c r="H39" s="1281"/>
      <c r="I39" s="1280"/>
      <c r="J39" s="1282"/>
    </row>
    <row r="40" customFormat="false" ht="12.75" hidden="false" customHeight="false" outlineLevel="0" collapsed="false">
      <c r="A40" s="824"/>
      <c r="B40" s="1409"/>
      <c r="C40" s="217"/>
      <c r="D40" s="217"/>
      <c r="E40" s="217"/>
      <c r="F40" s="1405"/>
      <c r="G40" s="1361"/>
      <c r="H40" s="1281"/>
      <c r="I40" s="1361"/>
      <c r="J40" s="1362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  <c r="X40" s="1180"/>
      <c r="Y40" s="1180"/>
      <c r="Z40" s="1180"/>
      <c r="AA40" s="1180"/>
      <c r="AB40" s="1180"/>
      <c r="AC40" s="1180"/>
      <c r="AD40" s="1180"/>
      <c r="AE40" s="1180"/>
      <c r="AF40" s="1180"/>
      <c r="AG40" s="1180"/>
      <c r="AH40" s="1180"/>
      <c r="AI40" s="1180"/>
      <c r="AJ40" s="1180"/>
      <c r="AK40" s="1180"/>
      <c r="AL40" s="1180"/>
      <c r="AM40" s="1180"/>
      <c r="AN40" s="1180"/>
      <c r="AO40" s="1180"/>
      <c r="AP40" s="1180"/>
      <c r="AQ40" s="1180"/>
      <c r="AR40" s="1180"/>
      <c r="AS40" s="1180"/>
      <c r="AT40" s="1180"/>
      <c r="AU40" s="1180"/>
      <c r="AV40" s="1180"/>
      <c r="AW40" s="1180"/>
      <c r="AX40" s="1180"/>
      <c r="AY40" s="1180"/>
      <c r="AZ40" s="1180"/>
      <c r="BA40" s="1180"/>
      <c r="BB40" s="1180"/>
      <c r="BC40" s="1180"/>
      <c r="BD40" s="1180"/>
      <c r="BE40" s="1180"/>
      <c r="BF40" s="1180"/>
      <c r="BG40" s="1180"/>
      <c r="BH40" s="1180"/>
      <c r="BI40" s="1180"/>
      <c r="BJ40" s="1180"/>
      <c r="BK40" s="1180"/>
      <c r="BL40" s="1180"/>
      <c r="BM40" s="1180"/>
      <c r="BN40" s="1180"/>
      <c r="BO40" s="1180"/>
      <c r="BP40" s="1180"/>
      <c r="BQ40" s="1180"/>
      <c r="BR40" s="1180"/>
      <c r="BS40" s="1180"/>
      <c r="BT40" s="1180"/>
      <c r="BU40" s="1180"/>
      <c r="BV40" s="1180"/>
      <c r="BW40" s="1180"/>
      <c r="BX40" s="1180"/>
      <c r="BY40" s="1180"/>
      <c r="BZ40" s="1180"/>
      <c r="CA40" s="1180"/>
      <c r="CB40" s="1180"/>
      <c r="CC40" s="1180"/>
      <c r="CD40" s="1180"/>
      <c r="CE40" s="1180"/>
      <c r="CF40" s="1180"/>
      <c r="CG40" s="1180"/>
      <c r="CH40" s="1180"/>
      <c r="CI40" s="1180"/>
      <c r="CJ40" s="1180"/>
      <c r="CK40" s="1180"/>
      <c r="CL40" s="1180"/>
      <c r="CM40" s="1180"/>
      <c r="CN40" s="1180"/>
      <c r="CO40" s="1180"/>
      <c r="CP40" s="1180"/>
      <c r="CQ40" s="1180"/>
      <c r="CR40" s="1180"/>
      <c r="CS40" s="1180"/>
      <c r="CT40" s="1180"/>
      <c r="CU40" s="1180"/>
      <c r="CV40" s="1180"/>
      <c r="CW40" s="1180"/>
      <c r="CX40" s="1180"/>
      <c r="CY40" s="1180"/>
      <c r="CZ40" s="1180"/>
      <c r="DA40" s="1180"/>
      <c r="DB40" s="1180"/>
      <c r="DC40" s="1180"/>
      <c r="DD40" s="1180"/>
      <c r="DE40" s="1180"/>
      <c r="DF40" s="1180"/>
      <c r="DG40" s="1180"/>
      <c r="DH40" s="1180"/>
      <c r="DI40" s="1180"/>
      <c r="DJ40" s="1180"/>
      <c r="DK40" s="1180"/>
      <c r="DL40" s="1180"/>
      <c r="DM40" s="1180"/>
      <c r="DN40" s="1180"/>
      <c r="DO40" s="1180"/>
      <c r="DP40" s="1180"/>
      <c r="DQ40" s="1180"/>
      <c r="DR40" s="1180"/>
      <c r="DS40" s="1180"/>
      <c r="DT40" s="1180"/>
      <c r="DU40" s="1180"/>
      <c r="DV40" s="1180"/>
      <c r="DW40" s="1180"/>
      <c r="DX40" s="1180"/>
      <c r="DY40" s="1180"/>
      <c r="DZ40" s="1180"/>
      <c r="EA40" s="1180"/>
      <c r="EB40" s="1180"/>
      <c r="EC40" s="1180"/>
      <c r="ED40" s="1180"/>
      <c r="EE40" s="1180"/>
      <c r="EF40" s="1180"/>
      <c r="EG40" s="1180"/>
      <c r="EH40" s="1180"/>
      <c r="EI40" s="1180"/>
      <c r="EJ40" s="1180"/>
      <c r="EK40" s="1180"/>
      <c r="EL40" s="1180"/>
      <c r="EM40" s="1180"/>
      <c r="EN40" s="1180"/>
      <c r="EO40" s="1180"/>
      <c r="EP40" s="1180"/>
      <c r="EQ40" s="1180"/>
      <c r="ER40" s="1180"/>
      <c r="ES40" s="1180"/>
      <c r="ET40" s="1180"/>
      <c r="EU40" s="1180"/>
      <c r="EV40" s="1180"/>
      <c r="EW40" s="1180"/>
      <c r="EX40" s="1180"/>
      <c r="EY40" s="1180"/>
      <c r="EZ40" s="1180"/>
      <c r="FA40" s="1180"/>
      <c r="FB40" s="1180"/>
      <c r="FC40" s="1180"/>
      <c r="FD40" s="1180"/>
      <c r="FE40" s="1180"/>
      <c r="FF40" s="1180"/>
      <c r="FG40" s="1180"/>
      <c r="FH40" s="1180"/>
      <c r="FI40" s="1180"/>
      <c r="FJ40" s="1180"/>
      <c r="FK40" s="1180"/>
      <c r="FL40" s="1180"/>
      <c r="FM40" s="1180"/>
      <c r="FN40" s="1180"/>
      <c r="FO40" s="1180"/>
      <c r="FP40" s="1180"/>
      <c r="FQ40" s="1180"/>
      <c r="FR40" s="1180"/>
      <c r="FS40" s="1180"/>
      <c r="FT40" s="1180"/>
      <c r="FU40" s="1180"/>
      <c r="FV40" s="1180"/>
      <c r="FW40" s="1180"/>
      <c r="FX40" s="1180"/>
      <c r="FY40" s="1180"/>
      <c r="FZ40" s="1180"/>
      <c r="GA40" s="1180"/>
      <c r="GB40" s="1180"/>
      <c r="GC40" s="1180"/>
      <c r="GD40" s="1180"/>
      <c r="GE40" s="1180"/>
      <c r="GF40" s="1180"/>
      <c r="GG40" s="1180"/>
      <c r="GH40" s="1180"/>
      <c r="GI40" s="1180"/>
      <c r="GJ40" s="1180"/>
      <c r="GK40" s="1180"/>
      <c r="GL40" s="1180"/>
      <c r="GM40" s="1180"/>
      <c r="GN40" s="1180"/>
      <c r="GO40" s="1180"/>
      <c r="GP40" s="1180"/>
      <c r="GQ40" s="1180"/>
      <c r="GR40" s="1180"/>
      <c r="GS40" s="1180"/>
      <c r="GT40" s="1180"/>
      <c r="GU40" s="1180"/>
      <c r="GV40" s="1180"/>
      <c r="GW40" s="1180"/>
      <c r="GX40" s="1180"/>
      <c r="GY40" s="1180"/>
      <c r="GZ40" s="1180"/>
      <c r="HA40" s="1180"/>
      <c r="HB40" s="1180"/>
      <c r="HC40" s="1180"/>
      <c r="HD40" s="1180"/>
      <c r="HE40" s="1180"/>
      <c r="HF40" s="1180"/>
      <c r="HG40" s="1180"/>
      <c r="HH40" s="1180"/>
      <c r="HI40" s="1180"/>
      <c r="HJ40" s="1180"/>
      <c r="HK40" s="1180"/>
      <c r="HL40" s="1180"/>
      <c r="HM40" s="1180"/>
      <c r="HN40" s="1180"/>
      <c r="HO40" s="1180"/>
      <c r="HP40" s="1180"/>
      <c r="HQ40" s="1180"/>
      <c r="HR40" s="1180"/>
      <c r="HS40" s="1180"/>
      <c r="HT40" s="1180"/>
      <c r="HU40" s="1180"/>
      <c r="HV40" s="1180"/>
      <c r="HW40" s="1180"/>
      <c r="HX40" s="1180"/>
      <c r="HY40" s="1180"/>
      <c r="HZ40" s="1180"/>
      <c r="IA40" s="1180"/>
      <c r="IB40" s="1180"/>
      <c r="IC40" s="1180"/>
      <c r="ID40" s="1180"/>
      <c r="IE40" s="1180"/>
      <c r="IF40" s="1180"/>
      <c r="IG40" s="1180"/>
      <c r="IH40" s="1180"/>
      <c r="II40" s="1180"/>
      <c r="IJ40" s="1180"/>
      <c r="IK40" s="1180"/>
      <c r="IL40" s="1180"/>
      <c r="IM40" s="1180"/>
      <c r="IN40" s="1180"/>
      <c r="IO40" s="1180"/>
      <c r="IP40" s="1180"/>
      <c r="IQ40" s="1180"/>
      <c r="IR40" s="1180"/>
      <c r="IS40" s="1180"/>
      <c r="IT40" s="1180"/>
      <c r="IU40" s="1180"/>
      <c r="IV40" s="1180"/>
      <c r="IW40" s="1180"/>
    </row>
    <row r="41" customFormat="false" ht="12.75" hidden="false" customHeight="false" outlineLevel="0" collapsed="false">
      <c r="A41" s="1283"/>
      <c r="B41" s="877" t="str">
        <f aca="false">Assm!N38</f>
        <v>Working Capital </v>
      </c>
      <c r="C41" s="217" t="n">
        <f aca="false">Assm!S38</f>
        <v>0</v>
      </c>
      <c r="D41" s="217" t="n">
        <f aca="false">Assm!T38</f>
        <v>0</v>
      </c>
      <c r="E41" s="217" t="n">
        <f aca="false">Assm!U38</f>
        <v>0</v>
      </c>
      <c r="F41" s="1405" t="n">
        <f aca="false">Assm!V38</f>
        <v>0</v>
      </c>
      <c r="G41" s="1280" t="s">
        <v>1645</v>
      </c>
      <c r="H41" s="1281"/>
      <c r="I41" s="1280"/>
      <c r="J41" s="1282" t="s">
        <v>1746</v>
      </c>
    </row>
    <row r="42" customFormat="false" ht="12.75" hidden="false" customHeight="false" outlineLevel="0" collapsed="false">
      <c r="A42" s="1283"/>
      <c r="B42" s="877" t="str">
        <f aca="false">Assm!N39</f>
        <v>Spare Parts - Plant</v>
      </c>
      <c r="C42" s="220" t="n">
        <f aca="false">Assm!S39</f>
        <v>1363.3482</v>
      </c>
      <c r="D42" s="220" t="n">
        <f aca="false">Assm!T39</f>
        <v>1363.3482</v>
      </c>
      <c r="E42" s="220" t="n">
        <f aca="false">Assm!U39</f>
        <v>1817.7976</v>
      </c>
      <c r="F42" s="1406" t="n">
        <f aca="false">Assm!V39</f>
        <v>4544.494</v>
      </c>
      <c r="G42" s="1280" t="s">
        <v>1676</v>
      </c>
      <c r="H42" s="1281" t="n">
        <v>36048</v>
      </c>
      <c r="I42" s="1280" t="s">
        <v>1676</v>
      </c>
      <c r="J42" s="1282" t="s">
        <v>1747</v>
      </c>
    </row>
    <row r="43" customFormat="false" ht="12.75" hidden="false" customHeight="false" outlineLevel="0" collapsed="false">
      <c r="A43" s="1283"/>
      <c r="B43" s="1407" t="str">
        <f aca="false">Assm!N41</f>
        <v>Total Other Costs</v>
      </c>
      <c r="C43" s="577" t="n">
        <f aca="false">Assm!S41</f>
        <v>1393.3482</v>
      </c>
      <c r="D43" s="577" t="n">
        <f aca="false">Assm!T41</f>
        <v>1393.3482</v>
      </c>
      <c r="E43" s="577" t="n">
        <f aca="false">Assm!U41</f>
        <v>1857.7976</v>
      </c>
      <c r="F43" s="1408" t="n">
        <f aca="false">Assm!V41</f>
        <v>4644.494</v>
      </c>
      <c r="G43" s="1280"/>
      <c r="H43" s="1281"/>
      <c r="I43" s="1280"/>
      <c r="J43" s="1282"/>
    </row>
    <row r="44" customFormat="false" ht="12.75" hidden="false" customHeight="false" outlineLevel="0" collapsed="false">
      <c r="A44" s="824"/>
      <c r="B44" s="1409"/>
      <c r="C44" s="217"/>
      <c r="D44" s="217"/>
      <c r="E44" s="217"/>
      <c r="F44" s="1405"/>
      <c r="G44" s="1361"/>
      <c r="H44" s="1281"/>
      <c r="I44" s="1361"/>
      <c r="J44" s="1362"/>
      <c r="K44" s="1180"/>
      <c r="L44" s="1180"/>
      <c r="M44" s="1180"/>
      <c r="N44" s="1180"/>
      <c r="O44" s="1180"/>
      <c r="P44" s="1180"/>
      <c r="Q44" s="1180"/>
      <c r="R44" s="1180"/>
      <c r="S44" s="1180"/>
      <c r="T44" s="1180"/>
      <c r="U44" s="1180"/>
      <c r="V44" s="1180"/>
      <c r="W44" s="1180"/>
      <c r="X44" s="1180"/>
      <c r="Y44" s="1180"/>
      <c r="Z44" s="1180"/>
      <c r="AA44" s="1180"/>
      <c r="AB44" s="1180"/>
      <c r="AC44" s="1180"/>
      <c r="AD44" s="1180"/>
      <c r="AE44" s="1180"/>
      <c r="AF44" s="1180"/>
      <c r="AG44" s="1180"/>
      <c r="AH44" s="1180"/>
      <c r="AI44" s="1180"/>
      <c r="AJ44" s="1180"/>
      <c r="AK44" s="1180"/>
      <c r="AL44" s="1180"/>
      <c r="AM44" s="1180"/>
      <c r="AN44" s="1180"/>
      <c r="AO44" s="1180"/>
      <c r="AP44" s="1180"/>
      <c r="AQ44" s="1180"/>
      <c r="AR44" s="1180"/>
      <c r="AS44" s="1180"/>
      <c r="AT44" s="1180"/>
      <c r="AU44" s="1180"/>
      <c r="AV44" s="1180"/>
      <c r="AW44" s="1180"/>
      <c r="AX44" s="1180"/>
      <c r="AY44" s="1180"/>
      <c r="AZ44" s="1180"/>
      <c r="BA44" s="1180"/>
      <c r="BB44" s="1180"/>
      <c r="BC44" s="1180"/>
      <c r="BD44" s="1180"/>
      <c r="BE44" s="1180"/>
      <c r="BF44" s="1180"/>
      <c r="BG44" s="1180"/>
      <c r="BH44" s="1180"/>
      <c r="BI44" s="1180"/>
      <c r="BJ44" s="1180"/>
      <c r="BK44" s="1180"/>
      <c r="BL44" s="1180"/>
      <c r="BM44" s="1180"/>
      <c r="BN44" s="1180"/>
      <c r="BO44" s="1180"/>
      <c r="BP44" s="1180"/>
      <c r="BQ44" s="1180"/>
      <c r="BR44" s="1180"/>
      <c r="BS44" s="1180"/>
      <c r="BT44" s="1180"/>
      <c r="BU44" s="1180"/>
      <c r="BV44" s="1180"/>
      <c r="BW44" s="1180"/>
      <c r="BX44" s="1180"/>
      <c r="BY44" s="1180"/>
      <c r="BZ44" s="1180"/>
      <c r="CA44" s="1180"/>
      <c r="CB44" s="1180"/>
      <c r="CC44" s="1180"/>
      <c r="CD44" s="1180"/>
      <c r="CE44" s="1180"/>
      <c r="CF44" s="1180"/>
      <c r="CG44" s="1180"/>
      <c r="CH44" s="1180"/>
      <c r="CI44" s="1180"/>
      <c r="CJ44" s="1180"/>
      <c r="CK44" s="1180"/>
      <c r="CL44" s="1180"/>
      <c r="CM44" s="1180"/>
      <c r="CN44" s="1180"/>
      <c r="CO44" s="1180"/>
      <c r="CP44" s="1180"/>
      <c r="CQ44" s="1180"/>
      <c r="CR44" s="1180"/>
      <c r="CS44" s="1180"/>
      <c r="CT44" s="1180"/>
      <c r="CU44" s="1180"/>
      <c r="CV44" s="1180"/>
      <c r="CW44" s="1180"/>
      <c r="CX44" s="1180"/>
      <c r="CY44" s="1180"/>
      <c r="CZ44" s="1180"/>
      <c r="DA44" s="1180"/>
      <c r="DB44" s="1180"/>
      <c r="DC44" s="1180"/>
      <c r="DD44" s="1180"/>
      <c r="DE44" s="1180"/>
      <c r="DF44" s="1180"/>
      <c r="DG44" s="1180"/>
      <c r="DH44" s="1180"/>
      <c r="DI44" s="1180"/>
      <c r="DJ44" s="1180"/>
      <c r="DK44" s="1180"/>
      <c r="DL44" s="1180"/>
      <c r="DM44" s="1180"/>
      <c r="DN44" s="1180"/>
      <c r="DO44" s="1180"/>
      <c r="DP44" s="1180"/>
      <c r="DQ44" s="1180"/>
      <c r="DR44" s="1180"/>
      <c r="DS44" s="1180"/>
      <c r="DT44" s="1180"/>
      <c r="DU44" s="1180"/>
      <c r="DV44" s="1180"/>
      <c r="DW44" s="1180"/>
      <c r="DX44" s="1180"/>
      <c r="DY44" s="1180"/>
      <c r="DZ44" s="1180"/>
      <c r="EA44" s="1180"/>
      <c r="EB44" s="1180"/>
      <c r="EC44" s="1180"/>
      <c r="ED44" s="1180"/>
      <c r="EE44" s="1180"/>
      <c r="EF44" s="1180"/>
      <c r="EG44" s="1180"/>
      <c r="EH44" s="1180"/>
      <c r="EI44" s="1180"/>
      <c r="EJ44" s="1180"/>
      <c r="EK44" s="1180"/>
      <c r="EL44" s="1180"/>
      <c r="EM44" s="1180"/>
      <c r="EN44" s="1180"/>
      <c r="EO44" s="1180"/>
      <c r="EP44" s="1180"/>
      <c r="EQ44" s="1180"/>
      <c r="ER44" s="1180"/>
      <c r="ES44" s="1180"/>
      <c r="ET44" s="1180"/>
      <c r="EU44" s="1180"/>
      <c r="EV44" s="1180"/>
      <c r="EW44" s="1180"/>
      <c r="EX44" s="1180"/>
      <c r="EY44" s="1180"/>
      <c r="EZ44" s="1180"/>
      <c r="FA44" s="1180"/>
      <c r="FB44" s="1180"/>
      <c r="FC44" s="1180"/>
      <c r="FD44" s="1180"/>
      <c r="FE44" s="1180"/>
      <c r="FF44" s="1180"/>
      <c r="FG44" s="1180"/>
      <c r="FH44" s="1180"/>
      <c r="FI44" s="1180"/>
      <c r="FJ44" s="1180"/>
      <c r="FK44" s="1180"/>
      <c r="FL44" s="1180"/>
      <c r="FM44" s="1180"/>
      <c r="FN44" s="1180"/>
      <c r="FO44" s="1180"/>
      <c r="FP44" s="1180"/>
      <c r="FQ44" s="1180"/>
      <c r="FR44" s="1180"/>
      <c r="FS44" s="1180"/>
      <c r="FT44" s="1180"/>
      <c r="FU44" s="1180"/>
      <c r="FV44" s="1180"/>
      <c r="FW44" s="1180"/>
      <c r="FX44" s="1180"/>
      <c r="FY44" s="1180"/>
      <c r="FZ44" s="1180"/>
      <c r="GA44" s="1180"/>
      <c r="GB44" s="1180"/>
      <c r="GC44" s="1180"/>
      <c r="GD44" s="1180"/>
      <c r="GE44" s="1180"/>
      <c r="GF44" s="1180"/>
      <c r="GG44" s="1180"/>
      <c r="GH44" s="1180"/>
      <c r="GI44" s="1180"/>
      <c r="GJ44" s="1180"/>
      <c r="GK44" s="1180"/>
      <c r="GL44" s="1180"/>
      <c r="GM44" s="1180"/>
      <c r="GN44" s="1180"/>
      <c r="GO44" s="1180"/>
      <c r="GP44" s="1180"/>
      <c r="GQ44" s="1180"/>
      <c r="GR44" s="1180"/>
      <c r="GS44" s="1180"/>
      <c r="GT44" s="1180"/>
      <c r="GU44" s="1180"/>
      <c r="GV44" s="1180"/>
      <c r="GW44" s="1180"/>
      <c r="GX44" s="1180"/>
      <c r="GY44" s="1180"/>
      <c r="GZ44" s="1180"/>
      <c r="HA44" s="1180"/>
      <c r="HB44" s="1180"/>
      <c r="HC44" s="1180"/>
      <c r="HD44" s="1180"/>
      <c r="HE44" s="1180"/>
      <c r="HF44" s="1180"/>
      <c r="HG44" s="1180"/>
      <c r="HH44" s="1180"/>
      <c r="HI44" s="1180"/>
      <c r="HJ44" s="1180"/>
      <c r="HK44" s="1180"/>
      <c r="HL44" s="1180"/>
      <c r="HM44" s="1180"/>
      <c r="HN44" s="1180"/>
      <c r="HO44" s="1180"/>
      <c r="HP44" s="1180"/>
      <c r="HQ44" s="1180"/>
      <c r="HR44" s="1180"/>
      <c r="HS44" s="1180"/>
      <c r="HT44" s="1180"/>
      <c r="HU44" s="1180"/>
      <c r="HV44" s="1180"/>
      <c r="HW44" s="1180"/>
      <c r="HX44" s="1180"/>
      <c r="HY44" s="1180"/>
      <c r="HZ44" s="1180"/>
      <c r="IA44" s="1180"/>
      <c r="IB44" s="1180"/>
      <c r="IC44" s="1180"/>
      <c r="ID44" s="1180"/>
      <c r="IE44" s="1180"/>
      <c r="IF44" s="1180"/>
      <c r="IG44" s="1180"/>
      <c r="IH44" s="1180"/>
      <c r="II44" s="1180"/>
      <c r="IJ44" s="1180"/>
      <c r="IK44" s="1180"/>
      <c r="IL44" s="1180"/>
      <c r="IM44" s="1180"/>
      <c r="IN44" s="1180"/>
      <c r="IO44" s="1180"/>
      <c r="IP44" s="1180"/>
      <c r="IQ44" s="1180"/>
      <c r="IR44" s="1180"/>
      <c r="IS44" s="1180"/>
      <c r="IT44" s="1180"/>
      <c r="IU44" s="1180"/>
      <c r="IV44" s="1180"/>
      <c r="IW44" s="1180"/>
    </row>
    <row r="45" customFormat="false" ht="12.75" hidden="false" customHeight="false" outlineLevel="0" collapsed="false">
      <c r="A45" s="1283"/>
      <c r="B45" s="877" t="str">
        <f aca="false">Assm!N43</f>
        <v>Contingency - Diesel Burned</v>
      </c>
      <c r="C45" s="217" t="n">
        <f aca="false">Assm!S43</f>
        <v>0</v>
      </c>
      <c r="D45" s="217" t="n">
        <f aca="false">Assm!T43</f>
        <v>0</v>
      </c>
      <c r="E45" s="217" t="n">
        <f aca="false">Assm!U43</f>
        <v>0</v>
      </c>
      <c r="F45" s="1405" t="n">
        <f aca="false">Assm!V43</f>
        <v>0</v>
      </c>
      <c r="G45" s="1280" t="s">
        <v>1737</v>
      </c>
      <c r="H45" s="1281" t="n">
        <v>36294</v>
      </c>
      <c r="I45" s="1280" t="s">
        <v>1738</v>
      </c>
      <c r="J45" s="1282" t="s">
        <v>1742</v>
      </c>
    </row>
    <row r="46" customFormat="false" ht="12.75" hidden="false" customHeight="false" outlineLevel="0" collapsed="false">
      <c r="A46" s="1283"/>
      <c r="B46" s="877" t="str">
        <f aca="false">Assm!N44</f>
        <v>Contingency - Change Orders</v>
      </c>
      <c r="C46" s="217" t="n">
        <f aca="false">Assm!S44</f>
        <v>1253.8225</v>
      </c>
      <c r="D46" s="217" t="n">
        <f aca="false">Assm!T44</f>
        <v>1253.8225</v>
      </c>
      <c r="E46" s="217" t="n">
        <f aca="false">Assm!U44</f>
        <v>1671.76333333333</v>
      </c>
      <c r="F46" s="1405" t="n">
        <f aca="false">Assm!V44</f>
        <v>4179.40833333333</v>
      </c>
      <c r="G46" s="1280" t="s">
        <v>1736</v>
      </c>
      <c r="H46" s="1281" t="n">
        <v>36298</v>
      </c>
      <c r="I46" s="1280" t="s">
        <v>1648</v>
      </c>
      <c r="J46" s="1282" t="s">
        <v>1748</v>
      </c>
    </row>
    <row r="47" customFormat="false" ht="12.75" hidden="false" customHeight="false" outlineLevel="0" collapsed="false">
      <c r="A47" s="1283"/>
      <c r="B47" s="877" t="str">
        <f aca="false">Assm!N45</f>
        <v>Contingency - Other</v>
      </c>
      <c r="C47" s="220" t="n">
        <f aca="false">Assm!S45</f>
        <v>0</v>
      </c>
      <c r="D47" s="220" t="n">
        <f aca="false">Assm!T45</f>
        <v>0</v>
      </c>
      <c r="E47" s="220" t="n">
        <f aca="false">Assm!U45</f>
        <v>0</v>
      </c>
      <c r="F47" s="1406" t="n">
        <f aca="false">Assm!V45</f>
        <v>0</v>
      </c>
      <c r="G47" s="1280" t="s">
        <v>1737</v>
      </c>
      <c r="H47" s="1281" t="n">
        <v>36298</v>
      </c>
      <c r="I47" s="1280" t="s">
        <v>1738</v>
      </c>
      <c r="J47" s="1282" t="s">
        <v>1739</v>
      </c>
    </row>
    <row r="48" customFormat="false" ht="12.75" hidden="false" customHeight="false" outlineLevel="0" collapsed="false">
      <c r="A48" s="1283"/>
      <c r="B48" s="1407" t="str">
        <f aca="false">Assm!N46</f>
        <v>Total Contingency</v>
      </c>
      <c r="C48" s="577" t="n">
        <f aca="false">Assm!S46</f>
        <v>1253.8225</v>
      </c>
      <c r="D48" s="577" t="n">
        <f aca="false">Assm!T46</f>
        <v>1253.8225</v>
      </c>
      <c r="E48" s="577" t="n">
        <f aca="false">Assm!U46</f>
        <v>1671.76333333333</v>
      </c>
      <c r="F48" s="1408" t="n">
        <f aca="false">Assm!V46</f>
        <v>4179.40833333333</v>
      </c>
      <c r="G48" s="1280"/>
      <c r="H48" s="1281"/>
      <c r="I48" s="1280"/>
      <c r="J48" s="1282"/>
    </row>
    <row r="49" customFormat="false" ht="12.75" hidden="false" customHeight="false" outlineLevel="0" collapsed="false">
      <c r="A49" s="824"/>
      <c r="B49" s="1409"/>
      <c r="C49" s="217"/>
      <c r="D49" s="217"/>
      <c r="E49" s="217"/>
      <c r="F49" s="1405"/>
      <c r="G49" s="1361"/>
      <c r="H49" s="1281"/>
      <c r="I49" s="1361"/>
      <c r="J49" s="1362"/>
      <c r="K49" s="1180"/>
      <c r="L49" s="1180"/>
      <c r="M49" s="1180"/>
      <c r="N49" s="1180"/>
      <c r="O49" s="1180"/>
      <c r="P49" s="1180"/>
      <c r="Q49" s="1180"/>
      <c r="R49" s="1180"/>
      <c r="S49" s="1180"/>
      <c r="T49" s="1180"/>
      <c r="U49" s="1180"/>
      <c r="V49" s="1180"/>
      <c r="W49" s="1180"/>
      <c r="X49" s="1180"/>
      <c r="Y49" s="1180"/>
      <c r="Z49" s="1180"/>
      <c r="AA49" s="1180"/>
      <c r="AB49" s="1180"/>
      <c r="AC49" s="1180"/>
      <c r="AD49" s="1180"/>
      <c r="AE49" s="1180"/>
      <c r="AF49" s="1180"/>
      <c r="AG49" s="1180"/>
      <c r="AH49" s="1180"/>
      <c r="AI49" s="1180"/>
      <c r="AJ49" s="1180"/>
      <c r="AK49" s="1180"/>
      <c r="AL49" s="1180"/>
      <c r="AM49" s="1180"/>
      <c r="AN49" s="1180"/>
      <c r="AO49" s="1180"/>
      <c r="AP49" s="1180"/>
      <c r="AQ49" s="1180"/>
      <c r="AR49" s="1180"/>
      <c r="AS49" s="1180"/>
      <c r="AT49" s="1180"/>
      <c r="AU49" s="1180"/>
      <c r="AV49" s="1180"/>
      <c r="AW49" s="1180"/>
      <c r="AX49" s="1180"/>
      <c r="AY49" s="1180"/>
      <c r="AZ49" s="1180"/>
      <c r="BA49" s="1180"/>
      <c r="BB49" s="1180"/>
      <c r="BC49" s="1180"/>
      <c r="BD49" s="1180"/>
      <c r="BE49" s="1180"/>
      <c r="BF49" s="1180"/>
      <c r="BG49" s="1180"/>
      <c r="BH49" s="1180"/>
      <c r="BI49" s="1180"/>
      <c r="BJ49" s="1180"/>
      <c r="BK49" s="1180"/>
      <c r="BL49" s="1180"/>
      <c r="BM49" s="1180"/>
      <c r="BN49" s="1180"/>
      <c r="BO49" s="1180"/>
      <c r="BP49" s="1180"/>
      <c r="BQ49" s="1180"/>
      <c r="BR49" s="1180"/>
      <c r="BS49" s="1180"/>
      <c r="BT49" s="1180"/>
      <c r="BU49" s="1180"/>
      <c r="BV49" s="1180"/>
      <c r="BW49" s="1180"/>
      <c r="BX49" s="1180"/>
      <c r="BY49" s="1180"/>
      <c r="BZ49" s="1180"/>
      <c r="CA49" s="1180"/>
      <c r="CB49" s="1180"/>
      <c r="CC49" s="1180"/>
      <c r="CD49" s="1180"/>
      <c r="CE49" s="1180"/>
      <c r="CF49" s="1180"/>
      <c r="CG49" s="1180"/>
      <c r="CH49" s="1180"/>
      <c r="CI49" s="1180"/>
      <c r="CJ49" s="1180"/>
      <c r="CK49" s="1180"/>
      <c r="CL49" s="1180"/>
      <c r="CM49" s="1180"/>
      <c r="CN49" s="1180"/>
      <c r="CO49" s="1180"/>
      <c r="CP49" s="1180"/>
      <c r="CQ49" s="1180"/>
      <c r="CR49" s="1180"/>
      <c r="CS49" s="1180"/>
      <c r="CT49" s="1180"/>
      <c r="CU49" s="1180"/>
      <c r="CV49" s="1180"/>
      <c r="CW49" s="1180"/>
      <c r="CX49" s="1180"/>
      <c r="CY49" s="1180"/>
      <c r="CZ49" s="1180"/>
      <c r="DA49" s="1180"/>
      <c r="DB49" s="1180"/>
      <c r="DC49" s="1180"/>
      <c r="DD49" s="1180"/>
      <c r="DE49" s="1180"/>
      <c r="DF49" s="1180"/>
      <c r="DG49" s="1180"/>
      <c r="DH49" s="1180"/>
      <c r="DI49" s="1180"/>
      <c r="DJ49" s="1180"/>
      <c r="DK49" s="1180"/>
      <c r="DL49" s="1180"/>
      <c r="DM49" s="1180"/>
      <c r="DN49" s="1180"/>
      <c r="DO49" s="1180"/>
      <c r="DP49" s="1180"/>
      <c r="DQ49" s="1180"/>
      <c r="DR49" s="1180"/>
      <c r="DS49" s="1180"/>
      <c r="DT49" s="1180"/>
      <c r="DU49" s="1180"/>
      <c r="DV49" s="1180"/>
      <c r="DW49" s="1180"/>
      <c r="DX49" s="1180"/>
      <c r="DY49" s="1180"/>
      <c r="DZ49" s="1180"/>
      <c r="EA49" s="1180"/>
      <c r="EB49" s="1180"/>
      <c r="EC49" s="1180"/>
      <c r="ED49" s="1180"/>
      <c r="EE49" s="1180"/>
      <c r="EF49" s="1180"/>
      <c r="EG49" s="1180"/>
      <c r="EH49" s="1180"/>
      <c r="EI49" s="1180"/>
      <c r="EJ49" s="1180"/>
      <c r="EK49" s="1180"/>
      <c r="EL49" s="1180"/>
      <c r="EM49" s="1180"/>
      <c r="EN49" s="1180"/>
      <c r="EO49" s="1180"/>
      <c r="EP49" s="1180"/>
      <c r="EQ49" s="1180"/>
      <c r="ER49" s="1180"/>
      <c r="ES49" s="1180"/>
      <c r="ET49" s="1180"/>
      <c r="EU49" s="1180"/>
      <c r="EV49" s="1180"/>
      <c r="EW49" s="1180"/>
      <c r="EX49" s="1180"/>
      <c r="EY49" s="1180"/>
      <c r="EZ49" s="1180"/>
      <c r="FA49" s="1180"/>
      <c r="FB49" s="1180"/>
      <c r="FC49" s="1180"/>
      <c r="FD49" s="1180"/>
      <c r="FE49" s="1180"/>
      <c r="FF49" s="1180"/>
      <c r="FG49" s="1180"/>
      <c r="FH49" s="1180"/>
      <c r="FI49" s="1180"/>
      <c r="FJ49" s="1180"/>
      <c r="FK49" s="1180"/>
      <c r="FL49" s="1180"/>
      <c r="FM49" s="1180"/>
      <c r="FN49" s="1180"/>
      <c r="FO49" s="1180"/>
      <c r="FP49" s="1180"/>
      <c r="FQ49" s="1180"/>
      <c r="FR49" s="1180"/>
      <c r="FS49" s="1180"/>
      <c r="FT49" s="1180"/>
      <c r="FU49" s="1180"/>
      <c r="FV49" s="1180"/>
      <c r="FW49" s="1180"/>
      <c r="FX49" s="1180"/>
      <c r="FY49" s="1180"/>
      <c r="FZ49" s="1180"/>
      <c r="GA49" s="1180"/>
      <c r="GB49" s="1180"/>
      <c r="GC49" s="1180"/>
      <c r="GD49" s="1180"/>
      <c r="GE49" s="1180"/>
      <c r="GF49" s="1180"/>
      <c r="GG49" s="1180"/>
      <c r="GH49" s="1180"/>
      <c r="GI49" s="1180"/>
      <c r="GJ49" s="1180"/>
      <c r="GK49" s="1180"/>
      <c r="GL49" s="1180"/>
      <c r="GM49" s="1180"/>
      <c r="GN49" s="1180"/>
      <c r="GO49" s="1180"/>
      <c r="GP49" s="1180"/>
      <c r="GQ49" s="1180"/>
      <c r="GR49" s="1180"/>
      <c r="GS49" s="1180"/>
      <c r="GT49" s="1180"/>
      <c r="GU49" s="1180"/>
      <c r="GV49" s="1180"/>
      <c r="GW49" s="1180"/>
      <c r="GX49" s="1180"/>
      <c r="GY49" s="1180"/>
      <c r="GZ49" s="1180"/>
      <c r="HA49" s="1180"/>
      <c r="HB49" s="1180"/>
      <c r="HC49" s="1180"/>
      <c r="HD49" s="1180"/>
      <c r="HE49" s="1180"/>
      <c r="HF49" s="1180"/>
      <c r="HG49" s="1180"/>
      <c r="HH49" s="1180"/>
      <c r="HI49" s="1180"/>
      <c r="HJ49" s="1180"/>
      <c r="HK49" s="1180"/>
      <c r="HL49" s="1180"/>
      <c r="HM49" s="1180"/>
      <c r="HN49" s="1180"/>
      <c r="HO49" s="1180"/>
      <c r="HP49" s="1180"/>
      <c r="HQ49" s="1180"/>
      <c r="HR49" s="1180"/>
      <c r="HS49" s="1180"/>
      <c r="HT49" s="1180"/>
      <c r="HU49" s="1180"/>
      <c r="HV49" s="1180"/>
      <c r="HW49" s="1180"/>
      <c r="HX49" s="1180"/>
      <c r="HY49" s="1180"/>
      <c r="HZ49" s="1180"/>
      <c r="IA49" s="1180"/>
      <c r="IB49" s="1180"/>
      <c r="IC49" s="1180"/>
      <c r="ID49" s="1180"/>
      <c r="IE49" s="1180"/>
      <c r="IF49" s="1180"/>
      <c r="IG49" s="1180"/>
      <c r="IH49" s="1180"/>
      <c r="II49" s="1180"/>
      <c r="IJ49" s="1180"/>
      <c r="IK49" s="1180"/>
      <c r="IL49" s="1180"/>
      <c r="IM49" s="1180"/>
      <c r="IN49" s="1180"/>
      <c r="IO49" s="1180"/>
      <c r="IP49" s="1180"/>
      <c r="IQ49" s="1180"/>
      <c r="IR49" s="1180"/>
      <c r="IS49" s="1180"/>
      <c r="IT49" s="1180"/>
      <c r="IU49" s="1180"/>
      <c r="IV49" s="1180"/>
      <c r="IW49" s="1180"/>
    </row>
    <row r="50" customFormat="false" ht="12.75" hidden="false" customHeight="false" outlineLevel="0" collapsed="false">
      <c r="A50" s="1410"/>
      <c r="B50" s="1411" t="str">
        <f aca="false">Assm!N48</f>
        <v>Total Project Costs</v>
      </c>
      <c r="C50" s="1412" t="n">
        <f aca="false">Assm!S48</f>
        <v>103168.350956621</v>
      </c>
      <c r="D50" s="1412" t="n">
        <f aca="false">Assm!T48</f>
        <v>103168.350956621</v>
      </c>
      <c r="E50" s="1412" t="n">
        <f aca="false">Assm!U48</f>
        <v>137557.801275494</v>
      </c>
      <c r="F50" s="1413" t="n">
        <f aca="false">Assm!V48</f>
        <v>343894.503188736</v>
      </c>
      <c r="G50" s="1414"/>
      <c r="H50" s="1415"/>
      <c r="I50" s="1414"/>
      <c r="J50" s="1416"/>
    </row>
    <row r="51" customFormat="false" ht="13.5" hidden="false" customHeight="false" outlineLevel="0" collapsed="false">
      <c r="A51" s="1417"/>
      <c r="B51" s="1418" t="str">
        <f aca="false">Assm!N49</f>
        <v>Total Project Costs ($ / Kw)</v>
      </c>
      <c r="C51" s="1419" t="n">
        <f aca="false">Assm!S49</f>
        <v>687.789006377472</v>
      </c>
      <c r="D51" s="1419" t="n">
        <f aca="false">Assm!T49</f>
        <v>433.882679851693</v>
      </c>
      <c r="E51" s="1419" t="n">
        <f aca="false">Assm!U49</f>
        <v>286.57875265728</v>
      </c>
      <c r="F51" s="1420" t="n">
        <f aca="false">Assm!V49</f>
        <v>716.4468816432</v>
      </c>
      <c r="G51" s="1421"/>
      <c r="H51" s="1422"/>
      <c r="I51" s="1421"/>
      <c r="J51" s="1423"/>
    </row>
    <row r="52" customFormat="false" ht="13.5" hidden="false" customHeight="false" outlineLevel="0" collapsed="false"/>
    <row r="53" customFormat="false" ht="12.75" hidden="false" customHeight="false" outlineLevel="0" collapsed="false">
      <c r="A53" s="1273" t="str">
        <f aca="false">Assm!N51</f>
        <v>Delay/Performance Damages (SCC)</v>
      </c>
      <c r="B53" s="1291"/>
      <c r="C53" s="1095"/>
      <c r="D53" s="28"/>
      <c r="E53" s="29" t="str">
        <f aca="false">Assm!Q52</f>
        <v>Damages</v>
      </c>
      <c r="F53" s="1424" t="str">
        <f aca="false">Assm!V52</f>
        <v>Damages</v>
      </c>
      <c r="G53" s="1276"/>
      <c r="H53" s="1277"/>
      <c r="I53" s="1276"/>
      <c r="J53" s="127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</row>
    <row r="54" customFormat="false" ht="12.75" hidden="false" customHeight="false" outlineLevel="0" collapsed="false">
      <c r="A54" s="1283"/>
      <c r="B54" s="877"/>
      <c r="C54" s="1119" t="str">
        <f aca="false">Assm!O53</f>
        <v>From</v>
      </c>
      <c r="D54" s="44" t="str">
        <f aca="false">Assm!P53</f>
        <v>To</v>
      </c>
      <c r="E54" s="45" t="str">
        <f aca="false">Assm!Q53</f>
        <v>$000 / Day</v>
      </c>
      <c r="F54" s="1425" t="str">
        <f aca="false">Assm!V53</f>
        <v>Received</v>
      </c>
      <c r="G54" s="1280"/>
      <c r="H54" s="1281"/>
      <c r="I54" s="1280"/>
      <c r="J54" s="1282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</row>
    <row r="55" customFormat="false" ht="12.75" hidden="false" customHeight="false" outlineLevel="0" collapsed="false">
      <c r="A55" s="1283"/>
      <c r="B55" s="1426" t="str">
        <f aca="false">Assm!N54</f>
        <v>Phase I Operations</v>
      </c>
      <c r="C55" s="1427" t="n">
        <f aca="false">Assm!O54</f>
        <v>36064</v>
      </c>
      <c r="D55" s="198" t="n">
        <f aca="false">Assm!P54</f>
        <v>36284</v>
      </c>
      <c r="E55" s="628" t="n">
        <f aca="false">Assm!Q54</f>
        <v>49577</v>
      </c>
      <c r="F55" s="1428" t="n">
        <f aca="false">Assm!V54</f>
        <v>5701.355</v>
      </c>
      <c r="G55" s="1280" t="s">
        <v>1642</v>
      </c>
      <c r="H55" s="1281" t="n">
        <v>35664</v>
      </c>
      <c r="I55" s="1280" t="s">
        <v>1631</v>
      </c>
      <c r="J55" s="1282" t="s">
        <v>1749</v>
      </c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  <c r="IW55" s="38"/>
    </row>
    <row r="56" customFormat="false" ht="12.75" hidden="false" customHeight="false" outlineLevel="0" collapsed="false">
      <c r="A56" s="1283"/>
      <c r="B56" s="877"/>
      <c r="C56" s="1427" t="n">
        <f aca="false">Assm!O55</f>
        <v>36285</v>
      </c>
      <c r="D56" s="198" t="n">
        <f aca="false">Assm!P55</f>
        <v>36650</v>
      </c>
      <c r="E56" s="628" t="n">
        <f aca="false">Assm!Q55</f>
        <v>105948</v>
      </c>
      <c r="F56" s="1428" t="n">
        <f aca="false">Assm!V55</f>
        <v>0</v>
      </c>
      <c r="G56" s="1280" t="s">
        <v>1642</v>
      </c>
      <c r="H56" s="1281" t="n">
        <v>35664</v>
      </c>
      <c r="I56" s="1280" t="s">
        <v>1631</v>
      </c>
      <c r="J56" s="1282" t="s">
        <v>1749</v>
      </c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</row>
    <row r="57" customFormat="false" ht="12.75" hidden="false" customHeight="false" outlineLevel="0" collapsed="false">
      <c r="A57" s="1283"/>
      <c r="B57" s="877"/>
      <c r="C57" s="876"/>
      <c r="D57" s="38"/>
      <c r="E57" s="38"/>
      <c r="F57" s="878"/>
      <c r="G57" s="1280"/>
      <c r="H57" s="1281"/>
      <c r="I57" s="1280"/>
      <c r="J57" s="1282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</row>
    <row r="58" customFormat="false" ht="12.75" hidden="false" customHeight="false" outlineLevel="0" collapsed="false">
      <c r="A58" s="1283"/>
      <c r="B58" s="1426" t="str">
        <f aca="false">Assm!N57</f>
        <v>Phase II Operations</v>
      </c>
      <c r="C58" s="1427" t="n">
        <f aca="false">Assm!O57</f>
        <v>36737</v>
      </c>
      <c r="D58" s="198" t="n">
        <f aca="false">Assm!P57</f>
        <v>36891</v>
      </c>
      <c r="E58" s="628" t="n">
        <f aca="false">Assm!Q57</f>
        <v>140000</v>
      </c>
      <c r="F58" s="1428" t="n">
        <f aca="false">Assm!V57</f>
        <v>0</v>
      </c>
      <c r="G58" s="1280" t="s">
        <v>1642</v>
      </c>
      <c r="H58" s="1281" t="n">
        <v>35664</v>
      </c>
      <c r="I58" s="1280" t="s">
        <v>1631</v>
      </c>
      <c r="J58" s="1282" t="s">
        <v>1750</v>
      </c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</row>
    <row r="59" customFormat="false" ht="12.75" hidden="false" customHeight="false" outlineLevel="0" collapsed="false">
      <c r="A59" s="1283"/>
      <c r="B59" s="877"/>
      <c r="C59" s="1427" t="n">
        <f aca="false">Assm!O58</f>
        <v>36950</v>
      </c>
      <c r="D59" s="198" t="n">
        <f aca="false">Assm!P58</f>
        <v>37256</v>
      </c>
      <c r="E59" s="628" t="n">
        <f aca="false">Assm!Q58</f>
        <v>386009</v>
      </c>
      <c r="F59" s="1428" t="n">
        <f aca="false">Assm!V58</f>
        <v>0</v>
      </c>
      <c r="G59" s="1280" t="s">
        <v>1642</v>
      </c>
      <c r="H59" s="1281" t="n">
        <v>35664</v>
      </c>
      <c r="I59" s="1280" t="s">
        <v>1631</v>
      </c>
      <c r="J59" s="1282" t="s">
        <v>1750</v>
      </c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</row>
    <row r="60" customFormat="false" ht="12.75" hidden="false" customHeight="false" outlineLevel="0" collapsed="false">
      <c r="A60" s="1283"/>
      <c r="B60" s="1426"/>
      <c r="C60" s="1298"/>
      <c r="D60" s="217"/>
      <c r="E60" s="217"/>
      <c r="F60" s="878"/>
      <c r="G60" s="1280"/>
      <c r="H60" s="1281"/>
      <c r="I60" s="1280"/>
      <c r="J60" s="1282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</row>
    <row r="61" customFormat="false" ht="12.75" hidden="false" customHeight="false" outlineLevel="0" collapsed="false">
      <c r="A61" s="1283"/>
      <c r="B61" s="1426" t="str">
        <f aca="false">Assm!N60</f>
        <v>Phase III Operations</v>
      </c>
      <c r="C61" s="1427" t="n">
        <f aca="false">Assm!O60</f>
        <v>36892</v>
      </c>
      <c r="D61" s="198" t="n">
        <f aca="false">Assm!P60</f>
        <v>37015</v>
      </c>
      <c r="E61" s="628" t="n">
        <f aca="false">Assm!Q60</f>
        <v>115000</v>
      </c>
      <c r="F61" s="1428" t="n">
        <f aca="false">Assm!V60</f>
        <v>0</v>
      </c>
      <c r="G61" s="1280" t="s">
        <v>1642</v>
      </c>
      <c r="H61" s="1281" t="n">
        <v>35664</v>
      </c>
      <c r="I61" s="1280" t="s">
        <v>1631</v>
      </c>
      <c r="J61" s="1282" t="s">
        <v>1751</v>
      </c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</row>
    <row r="62" customFormat="false" ht="12.75" hidden="false" customHeight="false" outlineLevel="0" collapsed="false">
      <c r="A62" s="1283"/>
      <c r="B62" s="877"/>
      <c r="C62" s="1427" t="n">
        <f aca="false">Assm!O61</f>
        <v>37016</v>
      </c>
      <c r="D62" s="198" t="n">
        <f aca="false">Assm!P61</f>
        <v>37380</v>
      </c>
      <c r="E62" s="628" t="n">
        <f aca="false">Assm!Q61</f>
        <v>181221</v>
      </c>
      <c r="F62" s="1428" t="n">
        <f aca="false">Assm!V61</f>
        <v>0</v>
      </c>
      <c r="G62" s="1280" t="s">
        <v>1642</v>
      </c>
      <c r="H62" s="1281" t="n">
        <v>35664</v>
      </c>
      <c r="I62" s="1280" t="s">
        <v>1631</v>
      </c>
      <c r="J62" s="1282" t="s">
        <v>1751</v>
      </c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</row>
    <row r="63" customFormat="false" ht="12.75" hidden="false" customHeight="false" outlineLevel="0" collapsed="false">
      <c r="A63" s="1283"/>
      <c r="B63" s="877"/>
      <c r="C63" s="1427"/>
      <c r="D63" s="198"/>
      <c r="E63" s="628"/>
      <c r="F63" s="1428"/>
      <c r="G63" s="1280"/>
      <c r="H63" s="1281"/>
      <c r="I63" s="1280"/>
      <c r="J63" s="1282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</row>
    <row r="64" customFormat="false" ht="12.75" hidden="false" customHeight="false" outlineLevel="0" collapsed="false">
      <c r="A64" s="1283"/>
      <c r="B64" s="877" t="str">
        <f aca="false">Assm!N64</f>
        <v>Total Delay Damages</v>
      </c>
      <c r="C64" s="1427"/>
      <c r="D64" s="198"/>
      <c r="E64" s="628"/>
      <c r="F64" s="1428" t="n">
        <f aca="false">Assm!V64</f>
        <v>5701.355</v>
      </c>
      <c r="G64" s="1280" t="s">
        <v>1645</v>
      </c>
      <c r="H64" s="1281"/>
      <c r="I64" s="1280"/>
      <c r="J64" s="1282" t="s">
        <v>1752</v>
      </c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</row>
    <row r="65" customFormat="false" ht="12.75" hidden="false" customHeight="false" outlineLevel="0" collapsed="false">
      <c r="A65" s="1283"/>
      <c r="B65" s="877" t="str">
        <f aca="false">Assm!N65</f>
        <v>Total Performance Damages</v>
      </c>
      <c r="C65" s="1427"/>
      <c r="D65" s="198"/>
      <c r="E65" s="628"/>
      <c r="F65" s="1428" t="n">
        <f aca="false">Assm!T64</f>
        <v>60000</v>
      </c>
      <c r="G65" s="1280" t="s">
        <v>1642</v>
      </c>
      <c r="H65" s="1281" t="n">
        <v>35664</v>
      </c>
      <c r="I65" s="1280" t="s">
        <v>1631</v>
      </c>
      <c r="J65" s="1282" t="s">
        <v>1753</v>
      </c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</row>
    <row r="66" customFormat="false" ht="13.5" hidden="false" customHeight="false" outlineLevel="0" collapsed="false">
      <c r="A66" s="1286"/>
      <c r="B66" s="1287" t="str">
        <f aca="false">Assm!N66</f>
        <v>Lesser Of (A) Or (B)</v>
      </c>
      <c r="C66" s="1429"/>
      <c r="D66" s="1430"/>
      <c r="E66" s="1431"/>
      <c r="F66" s="1432" t="n">
        <f aca="false">Assm!R66</f>
        <v>7301.355</v>
      </c>
      <c r="G66" s="1288" t="s">
        <v>1645</v>
      </c>
      <c r="H66" s="1289"/>
      <c r="I66" s="1288"/>
      <c r="J66" s="1290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</row>
    <row r="67" customFormat="false" ht="13.5" hidden="false" customHeight="false" outlineLevel="0" collapsed="false">
      <c r="A67" s="38"/>
      <c r="B67" s="38"/>
      <c r="C67" s="38"/>
      <c r="D67" s="38"/>
      <c r="E67" s="38"/>
      <c r="F67" s="38"/>
      <c r="G67" s="38"/>
      <c r="H67" s="1272"/>
      <c r="I67" s="77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</row>
    <row r="68" customFormat="false" ht="12.75" hidden="false" customHeight="false" outlineLevel="0" collapsed="false">
      <c r="A68" s="1273" t="str">
        <f aca="false">Assm!H84</f>
        <v>Ownership (Pre Selldown)</v>
      </c>
      <c r="B68" s="1291"/>
      <c r="C68" s="1433" t="str">
        <f aca="false">Assm!K84</f>
        <v>Equity %</v>
      </c>
      <c r="D68" s="1434"/>
      <c r="E68" s="26" t="str">
        <f aca="false">Assm!L84</f>
        <v>Cash Flow %</v>
      </c>
      <c r="F68" s="1434"/>
      <c r="G68" s="1276"/>
      <c r="H68" s="1277"/>
      <c r="I68" s="1276"/>
      <c r="J68" s="1278"/>
    </row>
    <row r="69" customFormat="false" ht="12.75" hidden="false" customHeight="false" outlineLevel="0" collapsed="false">
      <c r="A69" s="1283"/>
      <c r="B69" s="877" t="str">
        <f aca="false">Assm!H85</f>
        <v>Enron</v>
      </c>
      <c r="C69" s="1348" t="n">
        <f aca="false">Assm!K85</f>
        <v>0.65625</v>
      </c>
      <c r="D69" s="260"/>
      <c r="E69" s="260" t="n">
        <f aca="false">Assm!L85</f>
        <v>0.65625</v>
      </c>
      <c r="F69" s="260"/>
      <c r="G69" s="1280" t="s">
        <v>1754</v>
      </c>
      <c r="H69" s="1281" t="n">
        <v>36004</v>
      </c>
      <c r="I69" s="1280" t="s">
        <v>1631</v>
      </c>
      <c r="J69" s="1282" t="s">
        <v>1755</v>
      </c>
    </row>
    <row r="70" customFormat="false" ht="12.75" hidden="false" customHeight="false" outlineLevel="0" collapsed="false">
      <c r="A70" s="1283"/>
      <c r="B70" s="877" t="str">
        <f aca="false">Assm!H86</f>
        <v>Shell</v>
      </c>
      <c r="C70" s="1348" t="n">
        <f aca="false">Assm!K86</f>
        <v>0.21875</v>
      </c>
      <c r="D70" s="260"/>
      <c r="E70" s="260" t="n">
        <f aca="false">Assm!L86</f>
        <v>0.21875</v>
      </c>
      <c r="F70" s="260"/>
      <c r="G70" s="1280" t="s">
        <v>1754</v>
      </c>
      <c r="H70" s="1281" t="n">
        <v>36004</v>
      </c>
      <c r="I70" s="1280" t="s">
        <v>1631</v>
      </c>
      <c r="J70" s="1282" t="s">
        <v>1756</v>
      </c>
    </row>
    <row r="71" customFormat="false" ht="12.75" hidden="false" customHeight="false" outlineLevel="0" collapsed="false">
      <c r="A71" s="1283"/>
      <c r="B71" s="877" t="str">
        <f aca="false">Assm!H87</f>
        <v>Transredes</v>
      </c>
      <c r="C71" s="1435" t="n">
        <f aca="false">Assm!K87</f>
        <v>0.125</v>
      </c>
      <c r="D71" s="260"/>
      <c r="E71" s="772" t="n">
        <f aca="false">Assm!L87</f>
        <v>0.125</v>
      </c>
      <c r="F71" s="260"/>
      <c r="G71" s="1280" t="s">
        <v>1754</v>
      </c>
      <c r="H71" s="1281" t="n">
        <v>36070</v>
      </c>
      <c r="I71" s="1280" t="s">
        <v>1631</v>
      </c>
      <c r="J71" s="1282" t="s">
        <v>1757</v>
      </c>
    </row>
    <row r="72" customFormat="false" ht="13.5" hidden="false" customHeight="false" outlineLevel="0" collapsed="false">
      <c r="A72" s="1286"/>
      <c r="B72" s="1287" t="s">
        <v>383</v>
      </c>
      <c r="C72" s="1352" t="n">
        <f aca="false">SUM(C69:C71)</f>
        <v>1</v>
      </c>
      <c r="D72" s="274"/>
      <c r="E72" s="274" t="n">
        <f aca="false">SUM(E69:E71)</f>
        <v>1</v>
      </c>
      <c r="F72" s="274"/>
      <c r="G72" s="1288"/>
      <c r="H72" s="1289"/>
      <c r="I72" s="1288"/>
      <c r="J72" s="1290"/>
    </row>
    <row r="73" customFormat="false" ht="13.5" hidden="false" customHeight="false" outlineLevel="0" collapsed="false"/>
    <row r="74" customFormat="false" ht="12.75" hidden="false" customHeight="false" outlineLevel="0" collapsed="false">
      <c r="A74" s="1273" t="str">
        <f aca="false">Assm!N68</f>
        <v>Project / Enron Economics</v>
      </c>
      <c r="B74" s="1291" t="str">
        <f aca="false">CONCATENATE("Discount Rate = ",TEXT(Disc,"0.00%")," / Target Rate = ",TEXT(Target,"0.00%"))</f>
        <v>Discount Rate = 19.00% / Target Rate = 15.00%</v>
      </c>
      <c r="C74" s="1095"/>
      <c r="D74" s="28"/>
      <c r="E74" s="28"/>
      <c r="F74" s="1094"/>
      <c r="G74" s="1276"/>
      <c r="H74" s="1277" t="s">
        <v>1707</v>
      </c>
      <c r="I74" s="1276"/>
      <c r="J74" s="1278" t="s">
        <v>1708</v>
      </c>
    </row>
    <row r="75" customFormat="false" ht="12.75" hidden="false" customHeight="false" outlineLevel="0" collapsed="false">
      <c r="A75" s="1283"/>
      <c r="B75" s="877"/>
      <c r="C75" s="473" t="s">
        <v>309</v>
      </c>
      <c r="D75" s="303" t="s">
        <v>310</v>
      </c>
      <c r="E75" s="38"/>
      <c r="F75" s="878"/>
      <c r="G75" s="1280"/>
      <c r="H75" s="1281"/>
      <c r="I75" s="1280"/>
      <c r="J75" s="1282"/>
    </row>
    <row r="76" customFormat="false" ht="12.75" hidden="false" customHeight="false" outlineLevel="0" collapsed="false">
      <c r="A76" s="1283"/>
      <c r="B76" s="1436" t="s">
        <v>880</v>
      </c>
      <c r="C76" s="1348" t="e">
        <f aca="false">Assm!U70</f>
        <v>#N/A</v>
      </c>
      <c r="D76" s="217" t="n">
        <f aca="false">Assm!V70</f>
        <v>-60978.6521944217</v>
      </c>
      <c r="E76" s="38"/>
      <c r="F76" s="878"/>
      <c r="G76" s="1280" t="s">
        <v>1645</v>
      </c>
      <c r="H76" s="1281"/>
      <c r="I76" s="1280"/>
      <c r="J76" s="1282"/>
    </row>
    <row r="77" customFormat="false" ht="13.5" hidden="false" customHeight="false" outlineLevel="0" collapsed="false">
      <c r="A77" s="1286"/>
      <c r="B77" s="1437" t="s">
        <v>911</v>
      </c>
      <c r="C77" s="1352" t="e">
        <f aca="false">Assm!U73</f>
        <v>#N/A</v>
      </c>
      <c r="D77" s="286" t="n">
        <f aca="false">Assm!V73</f>
        <v>-53668.2258219276</v>
      </c>
      <c r="E77" s="71"/>
      <c r="F77" s="535"/>
      <c r="G77" s="1288" t="s">
        <v>1645</v>
      </c>
      <c r="H77" s="1289"/>
      <c r="I77" s="1288"/>
      <c r="J77" s="1290"/>
    </row>
  </sheetData>
  <mergeCells count="2">
    <mergeCell ref="C7:F7"/>
    <mergeCell ref="C8:F8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9"/>
  <sheetViews>
    <sheetView showFormulas="false" showGridLines="false" showRowColHeaders="true" showZeros="true" rightToLeft="false" tabSelected="false" showOutlineSymbols="true" defaultGridColor="true" view="normal" topLeftCell="A54" colorId="64" zoomScale="90" zoomScaleNormal="9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30.7"/>
    <col collapsed="false" customWidth="true" hidden="false" outlineLevel="0" max="2" min="2" style="1" width="47.7"/>
    <col collapsed="false" customWidth="true" hidden="false" outlineLevel="0" max="6" min="3" style="38" width="10.71"/>
    <col collapsed="false" customWidth="true" hidden="false" outlineLevel="0" max="7" min="7" style="1" width="23.7"/>
    <col collapsed="false" customWidth="true" hidden="false" outlineLevel="0" max="8" min="8" style="1260" width="13.7"/>
    <col collapsed="false" customWidth="true" hidden="false" outlineLevel="0" max="9" min="9" style="1" width="23.7"/>
    <col collapsed="false" customWidth="true" hidden="false" outlineLevel="0" max="10" min="10" style="1" width="35.7"/>
    <col collapsed="false" customWidth="false" hidden="false" outlineLevel="0" max="257" min="11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"/>
      <c r="C1" s="388"/>
      <c r="D1" s="388"/>
      <c r="E1" s="388"/>
      <c r="F1" s="388"/>
      <c r="G1" s="388"/>
      <c r="H1" s="1261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"/>
      <c r="C2" s="388"/>
      <c r="D2" s="388"/>
      <c r="E2" s="388"/>
      <c r="F2" s="388"/>
      <c r="G2" s="388"/>
      <c r="H2" s="1261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"/>
      <c r="C3" s="388"/>
      <c r="D3" s="388"/>
      <c r="E3" s="388"/>
      <c r="F3" s="388"/>
      <c r="G3" s="388"/>
      <c r="H3" s="1261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1758</v>
      </c>
      <c r="B4" s="38"/>
      <c r="C4" s="388"/>
      <c r="D4" s="388"/>
      <c r="E4" s="388"/>
      <c r="F4" s="388"/>
      <c r="G4" s="388"/>
      <c r="H4" s="1261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38"/>
      <c r="C5" s="388"/>
      <c r="G5" s="38"/>
      <c r="H5" s="1272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1262"/>
      <c r="B6" s="882"/>
      <c r="C6" s="881"/>
      <c r="D6" s="854"/>
      <c r="E6" s="854"/>
      <c r="F6" s="1263"/>
      <c r="G6" s="882"/>
      <c r="H6" s="1264"/>
      <c r="I6" s="882" t="s">
        <v>1620</v>
      </c>
      <c r="J6" s="883"/>
    </row>
    <row r="7" customFormat="false" ht="12.75" hidden="false" customHeight="false" outlineLevel="0" collapsed="false">
      <c r="A7" s="1103"/>
      <c r="B7" s="1265"/>
      <c r="C7" s="1265" t="s">
        <v>1621</v>
      </c>
      <c r="D7" s="1265"/>
      <c r="E7" s="1265"/>
      <c r="F7" s="1265"/>
      <c r="G7" s="1265"/>
      <c r="H7" s="1266" t="s">
        <v>708</v>
      </c>
      <c r="I7" s="1265" t="s">
        <v>1622</v>
      </c>
      <c r="J7" s="1267"/>
    </row>
    <row r="8" customFormat="false" ht="13.5" hidden="false" customHeight="false" outlineLevel="0" collapsed="false">
      <c r="A8" s="1268" t="s">
        <v>1623</v>
      </c>
      <c r="B8" s="1269" t="s">
        <v>1624</v>
      </c>
      <c r="C8" s="1269" t="s">
        <v>1625</v>
      </c>
      <c r="D8" s="1269"/>
      <c r="E8" s="1269"/>
      <c r="F8" s="1269"/>
      <c r="G8" s="1269" t="s">
        <v>1626</v>
      </c>
      <c r="H8" s="1270" t="s">
        <v>1627</v>
      </c>
      <c r="I8" s="1269" t="s">
        <v>1628</v>
      </c>
      <c r="J8" s="1271" t="s">
        <v>1629</v>
      </c>
    </row>
    <row r="9" customFormat="false" ht="13.5" hidden="false" customHeight="false" outlineLevel="0" collapsed="false">
      <c r="A9" s="38"/>
      <c r="B9" s="38"/>
      <c r="G9" s="38"/>
      <c r="H9" s="1272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1273" t="str">
        <f aca="false">Assm!X6</f>
        <v>Financing ($000)</v>
      </c>
      <c r="B10" s="1291"/>
      <c r="C10" s="1343"/>
      <c r="D10" s="33"/>
      <c r="E10" s="33"/>
      <c r="F10" s="33"/>
      <c r="G10" s="1276"/>
      <c r="H10" s="1438"/>
      <c r="I10" s="1276"/>
      <c r="J10" s="1278"/>
    </row>
    <row r="11" customFormat="false" ht="12.75" hidden="false" customHeight="false" outlineLevel="0" collapsed="false">
      <c r="A11" s="1279"/>
      <c r="B11" s="1407" t="str">
        <f aca="false">Assm!X8</f>
        <v>Tranche 1: KFW / Hermes - A Loan</v>
      </c>
      <c r="C11" s="1439"/>
      <c r="D11" s="23"/>
      <c r="E11" s="23"/>
      <c r="F11" s="23"/>
      <c r="G11" s="1280"/>
      <c r="H11" s="1440"/>
      <c r="I11" s="1280"/>
      <c r="J11" s="1282"/>
    </row>
    <row r="12" customFormat="false" ht="12.75" hidden="false" customHeight="false" outlineLevel="0" collapsed="false">
      <c r="A12" s="1283"/>
      <c r="B12" s="38" t="str">
        <f aca="false">Assm!X9</f>
        <v>Amount</v>
      </c>
      <c r="C12" s="820" t="n">
        <f aca="false">Assm!AB9</f>
        <v>70125</v>
      </c>
      <c r="D12" s="217"/>
      <c r="E12" s="217"/>
      <c r="G12" s="1280" t="s">
        <v>1759</v>
      </c>
      <c r="H12" s="1440" t="n">
        <v>36305</v>
      </c>
      <c r="I12" s="1280" t="s">
        <v>1657</v>
      </c>
      <c r="J12" s="1282" t="s">
        <v>1760</v>
      </c>
    </row>
    <row r="13" customFormat="false" ht="12.75" hidden="false" customHeight="false" outlineLevel="0" collapsed="false">
      <c r="A13" s="1283"/>
      <c r="B13" s="38" t="str">
        <f aca="false">Assm!X10</f>
        <v>Loan Amortization Style (1=SL, 2=MTG, 3=Custom)</v>
      </c>
      <c r="C13" s="1441" t="str">
        <f aca="false">CHOOSE(Assm!AB10,"STRAIGHT-LINE","MORTGAGE","CUSTOM")</f>
        <v>STRAIGHT-LINE</v>
      </c>
      <c r="D13" s="1340"/>
      <c r="E13" s="1340"/>
      <c r="G13" s="1280"/>
      <c r="H13" s="1440"/>
      <c r="I13" s="1280"/>
      <c r="J13" s="1282"/>
    </row>
    <row r="14" customFormat="false" ht="12.75" hidden="false" customHeight="false" outlineLevel="0" collapsed="false">
      <c r="A14" s="1283"/>
      <c r="B14" s="38" t="str">
        <f aca="false">Assm!X11</f>
        <v>Term - Years (Post Closing)</v>
      </c>
      <c r="C14" s="876" t="n">
        <f aca="false">Assm!Y11</f>
        <v>15</v>
      </c>
      <c r="D14" s="556"/>
      <c r="E14" s="556"/>
      <c r="G14" s="1280"/>
      <c r="H14" s="1440"/>
      <c r="I14" s="1280"/>
      <c r="J14" s="1282"/>
    </row>
    <row r="15" customFormat="false" ht="12.75" hidden="false" customHeight="false" outlineLevel="0" collapsed="false">
      <c r="A15" s="1283"/>
      <c r="B15" s="38" t="str">
        <f aca="false">Assm!AA12</f>
        <v>Grace - Post Phase III</v>
      </c>
      <c r="C15" s="876" t="n">
        <f aca="false">Assm!AB12</f>
        <v>1</v>
      </c>
      <c r="D15" s="556"/>
      <c r="E15" s="556"/>
      <c r="G15" s="1280"/>
      <c r="H15" s="1440"/>
      <c r="I15" s="1280"/>
      <c r="J15" s="1282"/>
    </row>
    <row r="16" customFormat="false" ht="12.75" hidden="false" customHeight="false" outlineLevel="0" collapsed="false">
      <c r="A16" s="1283"/>
      <c r="B16" s="38" t="str">
        <f aca="false">Assm!X13</f>
        <v>Average Life Of Loan (Including Construction)</v>
      </c>
      <c r="C16" s="876" t="n">
        <f aca="false">Assm!AB13</f>
        <v>11.2</v>
      </c>
      <c r="D16" s="556"/>
      <c r="E16" s="556"/>
      <c r="G16" s="1280"/>
      <c r="H16" s="1440"/>
      <c r="I16" s="1280"/>
      <c r="J16" s="1282"/>
    </row>
    <row r="17" customFormat="false" ht="12.75" hidden="false" customHeight="false" outlineLevel="0" collapsed="false">
      <c r="A17" s="1283"/>
      <c r="B17" s="38" t="str">
        <f aca="false">Assm!X14</f>
        <v>Interest Rate / Spread</v>
      </c>
      <c r="C17" s="1442" t="n">
        <f aca="false">Assm!AB14</f>
        <v>0.0704</v>
      </c>
      <c r="D17" s="293"/>
      <c r="E17" s="293"/>
      <c r="G17" s="1280"/>
      <c r="H17" s="1440"/>
      <c r="I17" s="1280"/>
      <c r="J17" s="1282"/>
    </row>
    <row r="18" customFormat="false" ht="12.75" hidden="false" customHeight="false" outlineLevel="0" collapsed="false">
      <c r="A18" s="1283"/>
      <c r="B18" s="38" t="str">
        <f aca="false">Assm!X15</f>
        <v>Upfront Fee</v>
      </c>
      <c r="C18" s="1348" t="n">
        <f aca="false">Assm!AB15</f>
        <v>0.204</v>
      </c>
      <c r="D18" s="260"/>
      <c r="E18" s="260"/>
      <c r="G18" s="1280"/>
      <c r="H18" s="1440"/>
      <c r="I18" s="1280"/>
      <c r="J18" s="1282"/>
    </row>
    <row r="19" customFormat="false" ht="12.75" hidden="false" customHeight="false" outlineLevel="0" collapsed="false">
      <c r="A19" s="1283"/>
      <c r="B19" s="38" t="str">
        <f aca="false">Assm!X16</f>
        <v>Commitment Fee</v>
      </c>
      <c r="C19" s="1348" t="n">
        <f aca="false">Assm!AB16</f>
        <v>0.00375</v>
      </c>
      <c r="D19" s="260"/>
      <c r="E19" s="260"/>
      <c r="G19" s="1280"/>
      <c r="H19" s="1440"/>
      <c r="I19" s="1280"/>
      <c r="J19" s="1282"/>
    </row>
    <row r="20" customFormat="false" ht="12.75" hidden="false" customHeight="false" outlineLevel="0" collapsed="false">
      <c r="A20" s="1283"/>
      <c r="B20" s="62" t="str">
        <f aca="false">Assm!X17</f>
        <v>Tranche 2: KFW / Hermes - B Loan</v>
      </c>
      <c r="C20" s="1439"/>
      <c r="D20" s="23"/>
      <c r="E20" s="23"/>
      <c r="G20" s="1280"/>
      <c r="H20" s="1440"/>
      <c r="I20" s="1280"/>
      <c r="J20" s="1282"/>
    </row>
    <row r="21" customFormat="false" ht="12.75" hidden="false" customHeight="false" outlineLevel="0" collapsed="false">
      <c r="A21" s="1283"/>
      <c r="B21" s="38" t="str">
        <f aca="false">Assm!X18</f>
        <v>Amount</v>
      </c>
      <c r="C21" s="820" t="n">
        <f aca="false">Assm!AB18</f>
        <v>70125</v>
      </c>
      <c r="D21" s="217"/>
      <c r="E21" s="217"/>
      <c r="G21" s="1280" t="s">
        <v>1759</v>
      </c>
      <c r="H21" s="1440" t="n">
        <v>36391</v>
      </c>
      <c r="I21" s="1280" t="s">
        <v>1657</v>
      </c>
      <c r="J21" s="1282" t="s">
        <v>1760</v>
      </c>
    </row>
    <row r="22" customFormat="false" ht="12.75" hidden="false" customHeight="false" outlineLevel="0" collapsed="false">
      <c r="A22" s="1283"/>
      <c r="B22" s="38" t="str">
        <f aca="false">Assm!X19</f>
        <v>Loan Amortization Style (1=SL, 2=MTG, 3=Custom)</v>
      </c>
      <c r="C22" s="1441" t="str">
        <f aca="false">CHOOSE(Assm!AB19,"STRAIGHT-LINE","MORTGAGE","CUSTOM")</f>
        <v>STRAIGHT-LINE</v>
      </c>
      <c r="D22" s="556"/>
      <c r="E22" s="556"/>
      <c r="G22" s="1280"/>
      <c r="H22" s="1440"/>
      <c r="I22" s="1280"/>
      <c r="J22" s="1282"/>
    </row>
    <row r="23" customFormat="false" ht="12.75" hidden="false" customHeight="false" outlineLevel="0" collapsed="false">
      <c r="A23" s="1283"/>
      <c r="B23" s="38" t="str">
        <f aca="false">Assm!X20</f>
        <v>Term - Years (Post Closing)</v>
      </c>
      <c r="C23" s="876" t="n">
        <f aca="false">Assm!Y20</f>
        <v>15</v>
      </c>
      <c r="D23" s="1340"/>
      <c r="E23" s="1340"/>
      <c r="G23" s="1280"/>
      <c r="H23" s="1440"/>
      <c r="I23" s="1280"/>
      <c r="J23" s="1282"/>
    </row>
    <row r="24" customFormat="false" ht="12.75" hidden="false" customHeight="false" outlineLevel="0" collapsed="false">
      <c r="A24" s="1283"/>
      <c r="B24" s="38" t="str">
        <f aca="false">Assm!AA21</f>
        <v>Grace - Post Phase III</v>
      </c>
      <c r="C24" s="876" t="n">
        <f aca="false">Assm!AB21</f>
        <v>1</v>
      </c>
      <c r="D24" s="556"/>
      <c r="E24" s="556"/>
      <c r="G24" s="1280"/>
      <c r="H24" s="1440"/>
      <c r="I24" s="1280"/>
      <c r="J24" s="1282"/>
    </row>
    <row r="25" customFormat="false" ht="12.75" hidden="false" customHeight="false" outlineLevel="0" collapsed="false">
      <c r="A25" s="1283"/>
      <c r="B25" s="38" t="str">
        <f aca="false">Assm!X22</f>
        <v>Average Life Of Loan (Including Construction)</v>
      </c>
      <c r="C25" s="876" t="n">
        <f aca="false">Assm!AB22</f>
        <v>11.2</v>
      </c>
      <c r="D25" s="556"/>
      <c r="E25" s="556"/>
      <c r="G25" s="1280"/>
      <c r="H25" s="1440"/>
      <c r="I25" s="1280"/>
      <c r="J25" s="1282"/>
    </row>
    <row r="26" customFormat="false" ht="12.75" hidden="false" customHeight="false" outlineLevel="0" collapsed="false">
      <c r="A26" s="1283"/>
      <c r="B26" s="38" t="str">
        <f aca="false">Assm!X23</f>
        <v>Interest Rate / Spread</v>
      </c>
      <c r="C26" s="1442" t="n">
        <f aca="false">Assm!AB23</f>
        <v>0.0748</v>
      </c>
      <c r="D26" s="293"/>
      <c r="E26" s="293"/>
      <c r="G26" s="1280"/>
      <c r="H26" s="1440"/>
      <c r="I26" s="1280"/>
      <c r="J26" s="1282"/>
    </row>
    <row r="27" customFormat="false" ht="12.75" hidden="false" customHeight="false" outlineLevel="0" collapsed="false">
      <c r="A27" s="1283"/>
      <c r="B27" s="38" t="str">
        <f aca="false">Assm!X24</f>
        <v>Upfront Fee</v>
      </c>
      <c r="C27" s="1348" t="n">
        <f aca="false">Assm!AB24</f>
        <v>0.204</v>
      </c>
      <c r="D27" s="260"/>
      <c r="E27" s="260"/>
      <c r="G27" s="1280"/>
      <c r="H27" s="1440"/>
      <c r="I27" s="1280"/>
      <c r="J27" s="1282"/>
    </row>
    <row r="28" customFormat="false" ht="12.75" hidden="false" customHeight="false" outlineLevel="0" collapsed="false">
      <c r="A28" s="1283"/>
      <c r="B28" s="38" t="str">
        <f aca="false">Assm!X25</f>
        <v>Commitment Fee</v>
      </c>
      <c r="C28" s="1348" t="n">
        <f aca="false">Assm!AB25</f>
        <v>0.0025</v>
      </c>
      <c r="D28" s="260"/>
      <c r="E28" s="260"/>
      <c r="G28" s="1280"/>
      <c r="H28" s="1440"/>
      <c r="I28" s="1280"/>
      <c r="J28" s="1282"/>
    </row>
    <row r="29" customFormat="false" ht="12.75" hidden="false" customHeight="false" outlineLevel="0" collapsed="false">
      <c r="A29" s="1283"/>
      <c r="B29" s="62" t="str">
        <f aca="false">Assm!X26</f>
        <v>Tranche 3: KFW (Uncovered Loan)</v>
      </c>
      <c r="C29" s="1439"/>
      <c r="D29" s="23"/>
      <c r="E29" s="23"/>
      <c r="G29" s="1280"/>
      <c r="H29" s="1440"/>
      <c r="I29" s="1280"/>
      <c r="J29" s="1282"/>
    </row>
    <row r="30" customFormat="false" ht="12.75" hidden="false" customHeight="false" outlineLevel="0" collapsed="false">
      <c r="A30" s="1283"/>
      <c r="B30" s="38" t="str">
        <f aca="false">Assm!X27</f>
        <v>Amount</v>
      </c>
      <c r="C30" s="820" t="n">
        <f aca="false">Assm!AB27</f>
        <v>24750</v>
      </c>
      <c r="D30" s="217"/>
      <c r="E30" s="217"/>
      <c r="G30" s="1280" t="s">
        <v>1759</v>
      </c>
      <c r="H30" s="1440" t="n">
        <v>36391</v>
      </c>
      <c r="I30" s="1280" t="s">
        <v>1657</v>
      </c>
      <c r="J30" s="1282" t="s">
        <v>1760</v>
      </c>
    </row>
    <row r="31" customFormat="false" ht="12.75" hidden="false" customHeight="false" outlineLevel="0" collapsed="false">
      <c r="A31" s="1283"/>
      <c r="B31" s="38" t="str">
        <f aca="false">Assm!X28</f>
        <v>Loan Amortization Style (1=SL, 2=MTG, 3=Custom)</v>
      </c>
      <c r="C31" s="1441" t="str">
        <f aca="false">CHOOSE(Assm!AB28,"STRAIGHT-LINE","MORTGAGE","CUSTOM")</f>
        <v>MORTGAGE</v>
      </c>
      <c r="D31" s="556"/>
      <c r="E31" s="556"/>
      <c r="G31" s="1280"/>
      <c r="H31" s="1440"/>
      <c r="I31" s="1280"/>
      <c r="J31" s="1282"/>
    </row>
    <row r="32" customFormat="false" ht="12.75" hidden="false" customHeight="false" outlineLevel="0" collapsed="false">
      <c r="A32" s="1283"/>
      <c r="B32" s="38" t="str">
        <f aca="false">Assm!X29</f>
        <v>Term - Years (Post Closing)</v>
      </c>
      <c r="C32" s="876" t="n">
        <f aca="false">Assm!Y29</f>
        <v>11</v>
      </c>
      <c r="D32" s="1340"/>
      <c r="E32" s="1340"/>
      <c r="G32" s="1280"/>
      <c r="H32" s="1440"/>
      <c r="I32" s="1280"/>
      <c r="J32" s="1282"/>
    </row>
    <row r="33" customFormat="false" ht="12.75" hidden="false" customHeight="false" outlineLevel="0" collapsed="false">
      <c r="A33" s="1283"/>
      <c r="B33" s="38" t="str">
        <f aca="false">Assm!AA30</f>
        <v>Grace - Post Phase III</v>
      </c>
      <c r="C33" s="876" t="n">
        <f aca="false">Assm!AB30</f>
        <v>1</v>
      </c>
      <c r="D33" s="556"/>
      <c r="E33" s="556"/>
      <c r="G33" s="1280"/>
      <c r="H33" s="1440"/>
      <c r="I33" s="1280"/>
      <c r="J33" s="1282"/>
    </row>
    <row r="34" customFormat="false" ht="12.75" hidden="false" customHeight="false" outlineLevel="0" collapsed="false">
      <c r="A34" s="1283"/>
      <c r="B34" s="38" t="str">
        <f aca="false">Assm!X31</f>
        <v>Average Life Of Loan (Including Construction)</v>
      </c>
      <c r="C34" s="876" t="n">
        <f aca="false">Assm!AB31</f>
        <v>9.2</v>
      </c>
      <c r="D34" s="556"/>
      <c r="E34" s="556"/>
      <c r="G34" s="1280"/>
      <c r="H34" s="1440"/>
      <c r="I34" s="1280"/>
      <c r="J34" s="1282"/>
    </row>
    <row r="35" customFormat="false" ht="12.75" hidden="false" customHeight="false" outlineLevel="0" collapsed="false">
      <c r="A35" s="1283"/>
      <c r="B35" s="38" t="str">
        <f aca="false">Assm!X32</f>
        <v>Interest Rate / Spread</v>
      </c>
      <c r="C35" s="1442" t="n">
        <f aca="false">Assm!AB32</f>
        <v>0.0927</v>
      </c>
      <c r="D35" s="293"/>
      <c r="E35" s="293"/>
      <c r="G35" s="1280"/>
      <c r="H35" s="1440"/>
      <c r="I35" s="1280"/>
      <c r="J35" s="1282"/>
    </row>
    <row r="36" customFormat="false" ht="12.75" hidden="false" customHeight="false" outlineLevel="0" collapsed="false">
      <c r="A36" s="1283"/>
      <c r="B36" s="38" t="str">
        <f aca="false">Assm!X33</f>
        <v>Upfront Fee</v>
      </c>
      <c r="C36" s="1348" t="n">
        <f aca="false">Assm!AB33</f>
        <v>0.015</v>
      </c>
      <c r="D36" s="260"/>
      <c r="E36" s="260"/>
      <c r="G36" s="1280"/>
      <c r="H36" s="1440"/>
      <c r="I36" s="1280"/>
      <c r="J36" s="1282"/>
    </row>
    <row r="37" customFormat="false" ht="12.75" hidden="false" customHeight="false" outlineLevel="0" collapsed="false">
      <c r="A37" s="1283"/>
      <c r="B37" s="38" t="str">
        <f aca="false">Assm!X34</f>
        <v>Commitment Fee</v>
      </c>
      <c r="C37" s="1348" t="n">
        <f aca="false">Assm!AB34</f>
        <v>0.0025</v>
      </c>
      <c r="D37" s="260"/>
      <c r="E37" s="260"/>
      <c r="G37" s="1280"/>
      <c r="H37" s="1440"/>
      <c r="I37" s="1280"/>
      <c r="J37" s="1282"/>
    </row>
    <row r="38" customFormat="false" ht="12.75" hidden="false" customHeight="false" outlineLevel="0" collapsed="false">
      <c r="A38" s="1283"/>
      <c r="B38" s="62" t="str">
        <f aca="false">Assm!X35</f>
        <v>Tranche 4: BNDES</v>
      </c>
      <c r="C38" s="1439"/>
      <c r="D38" s="23"/>
      <c r="E38" s="23"/>
      <c r="G38" s="1280"/>
      <c r="H38" s="1440"/>
      <c r="I38" s="1280"/>
      <c r="J38" s="1282"/>
    </row>
    <row r="39" customFormat="false" ht="12.75" hidden="false" customHeight="false" outlineLevel="0" collapsed="false">
      <c r="A39" s="1283"/>
      <c r="B39" s="38" t="str">
        <f aca="false">Assm!X36</f>
        <v>Amount</v>
      </c>
      <c r="C39" s="820" t="n">
        <f aca="false">Assm!AB36</f>
        <v>0</v>
      </c>
      <c r="D39" s="217"/>
      <c r="E39" s="217"/>
      <c r="G39" s="1280" t="s">
        <v>1759</v>
      </c>
      <c r="H39" s="1440" t="n">
        <v>36391</v>
      </c>
      <c r="I39" s="1280" t="s">
        <v>1657</v>
      </c>
      <c r="J39" s="1282" t="s">
        <v>1760</v>
      </c>
    </row>
    <row r="40" customFormat="false" ht="12.75" hidden="false" customHeight="false" outlineLevel="0" collapsed="false">
      <c r="A40" s="1283"/>
      <c r="B40" s="38" t="str">
        <f aca="false">Assm!X37</f>
        <v>Loan Amortization Style (1=SL, 2=MTG, 3=Custom)</v>
      </c>
      <c r="C40" s="1441" t="str">
        <f aca="false">CHOOSE(Assm!AB37,"STRAIGHT-LINE","MORTGAGE","CUSTOM")</f>
        <v>MORTGAGE</v>
      </c>
      <c r="D40" s="556"/>
      <c r="E40" s="556"/>
      <c r="G40" s="1280"/>
      <c r="H40" s="1440"/>
      <c r="I40" s="1280"/>
      <c r="J40" s="1282"/>
    </row>
    <row r="41" customFormat="false" ht="12.75" hidden="false" customHeight="false" outlineLevel="0" collapsed="false">
      <c r="A41" s="1283"/>
      <c r="B41" s="38" t="str">
        <f aca="false">Assm!X38</f>
        <v>Term - Years (Post Closing)</v>
      </c>
      <c r="C41" s="876" t="n">
        <f aca="false">Assm!Y38</f>
        <v>16</v>
      </c>
      <c r="D41" s="1340"/>
      <c r="E41" s="1340"/>
      <c r="G41" s="1280"/>
      <c r="H41" s="1440"/>
      <c r="I41" s="1280"/>
      <c r="J41" s="1282"/>
    </row>
    <row r="42" customFormat="false" ht="12.75" hidden="false" customHeight="false" outlineLevel="0" collapsed="false">
      <c r="A42" s="1283"/>
      <c r="B42" s="38" t="str">
        <f aca="false">Assm!AA39</f>
        <v>Grace - Post Phase III</v>
      </c>
      <c r="C42" s="876" t="n">
        <f aca="false">Assm!AB39</f>
        <v>1</v>
      </c>
      <c r="D42" s="556"/>
      <c r="E42" s="556"/>
      <c r="G42" s="1280"/>
      <c r="H42" s="1440"/>
      <c r="I42" s="1280"/>
      <c r="J42" s="1282"/>
    </row>
    <row r="43" customFormat="false" ht="12.75" hidden="false" customHeight="false" outlineLevel="0" collapsed="false">
      <c r="A43" s="1283"/>
      <c r="B43" s="38" t="str">
        <f aca="false">Assm!X40</f>
        <v>Average Life Of Loan (Including Construction)</v>
      </c>
      <c r="C43" s="876" t="n">
        <f aca="false">Assm!AB40</f>
        <v>0</v>
      </c>
      <c r="D43" s="556"/>
      <c r="E43" s="556"/>
      <c r="G43" s="1280"/>
      <c r="H43" s="1440"/>
      <c r="I43" s="1280"/>
      <c r="J43" s="1282"/>
    </row>
    <row r="44" customFormat="false" ht="12.75" hidden="false" customHeight="false" outlineLevel="0" collapsed="false">
      <c r="A44" s="1283"/>
      <c r="B44" s="38" t="str">
        <f aca="false">Assm!X41</f>
        <v>Interest Rate / Spread</v>
      </c>
      <c r="C44" s="1442" t="n">
        <f aca="false">Assm!AB41</f>
        <v>0.1518</v>
      </c>
      <c r="D44" s="293"/>
      <c r="E44" s="293"/>
      <c r="G44" s="1280"/>
      <c r="H44" s="1440"/>
      <c r="I44" s="1280"/>
      <c r="J44" s="1282"/>
    </row>
    <row r="45" customFormat="false" ht="12.75" hidden="false" customHeight="false" outlineLevel="0" collapsed="false">
      <c r="A45" s="1283"/>
      <c r="B45" s="38" t="str">
        <f aca="false">Assm!X42</f>
        <v>Upfront Fee</v>
      </c>
      <c r="C45" s="1348" t="n">
        <f aca="false">Assm!AB42</f>
        <v>0.01</v>
      </c>
      <c r="D45" s="260"/>
      <c r="E45" s="260"/>
      <c r="G45" s="1280"/>
      <c r="H45" s="1440"/>
      <c r="I45" s="1280"/>
      <c r="J45" s="1282"/>
    </row>
    <row r="46" customFormat="false" ht="12.75" hidden="false" customHeight="false" outlineLevel="0" collapsed="false">
      <c r="A46" s="1283"/>
      <c r="B46" s="38" t="str">
        <f aca="false">Assm!X43</f>
        <v>Commitment Fee</v>
      </c>
      <c r="C46" s="1348" t="n">
        <f aca="false">Assm!AB43</f>
        <v>0</v>
      </c>
      <c r="D46" s="260"/>
      <c r="E46" s="260"/>
      <c r="G46" s="1280"/>
      <c r="H46" s="1440"/>
      <c r="I46" s="1280"/>
      <c r="J46" s="1282"/>
    </row>
    <row r="47" customFormat="false" ht="12.75" hidden="false" customHeight="false" outlineLevel="0" collapsed="false">
      <c r="A47" s="1283"/>
      <c r="B47" s="62" t="str">
        <f aca="false">Assm!X44</f>
        <v>Tranche 5: MLA - OPIC</v>
      </c>
      <c r="C47" s="1439"/>
      <c r="D47" s="23"/>
      <c r="E47" s="23"/>
      <c r="G47" s="1280"/>
      <c r="H47" s="1440"/>
      <c r="I47" s="1280"/>
      <c r="J47" s="1282"/>
    </row>
    <row r="48" customFormat="false" ht="12.75" hidden="false" customHeight="false" outlineLevel="0" collapsed="false">
      <c r="A48" s="1283"/>
      <c r="B48" s="38" t="str">
        <f aca="false">Assm!X45</f>
        <v>Amount</v>
      </c>
      <c r="C48" s="820" t="n">
        <f aca="false">Assm!AB45</f>
        <v>36351.1199110583</v>
      </c>
      <c r="D48" s="217"/>
      <c r="E48" s="217"/>
      <c r="G48" s="1280" t="s">
        <v>1759</v>
      </c>
      <c r="H48" s="1440" t="n">
        <v>36391</v>
      </c>
      <c r="I48" s="1280" t="s">
        <v>1657</v>
      </c>
      <c r="J48" s="1282" t="s">
        <v>1760</v>
      </c>
    </row>
    <row r="49" customFormat="false" ht="12.75" hidden="false" customHeight="false" outlineLevel="0" collapsed="false">
      <c r="A49" s="1283"/>
      <c r="B49" s="38" t="str">
        <f aca="false">Assm!X46</f>
        <v>Loan Amortization Style (1=SL, 2=MTG, 3=Custom)</v>
      </c>
      <c r="C49" s="1441" t="str">
        <f aca="false">CHOOSE(Assm!AB46,"STRAIGHT-LINE","MORTGAGE","CUSTOM")</f>
        <v>CUSTOM</v>
      </c>
      <c r="D49" s="556"/>
      <c r="E49" s="556"/>
      <c r="G49" s="1280"/>
      <c r="H49" s="1440"/>
      <c r="I49" s="1280"/>
      <c r="J49" s="1282"/>
    </row>
    <row r="50" customFormat="false" ht="12.75" hidden="false" customHeight="false" outlineLevel="0" collapsed="false">
      <c r="A50" s="1283"/>
      <c r="B50" s="38" t="str">
        <f aca="false">Assm!X47</f>
        <v>Term - Years (Post Closing)</v>
      </c>
      <c r="C50" s="876" t="n">
        <f aca="false">Assm!Y47</f>
        <v>15</v>
      </c>
      <c r="D50" s="1340"/>
      <c r="E50" s="1340"/>
      <c r="G50" s="1280"/>
      <c r="H50" s="1440"/>
      <c r="I50" s="1280"/>
      <c r="J50" s="1282"/>
    </row>
    <row r="51" customFormat="false" ht="12.75" hidden="false" customHeight="false" outlineLevel="0" collapsed="false">
      <c r="A51" s="1283"/>
      <c r="B51" s="38" t="str">
        <f aca="false">Assm!AA48</f>
        <v>Grace - Post Phase III</v>
      </c>
      <c r="C51" s="876" t="n">
        <f aca="false">Assm!AB48</f>
        <v>1</v>
      </c>
      <c r="D51" s="556"/>
      <c r="E51" s="556"/>
      <c r="G51" s="1280"/>
      <c r="H51" s="1440"/>
      <c r="I51" s="1280"/>
      <c r="J51" s="1282"/>
    </row>
    <row r="52" customFormat="false" ht="12.75" hidden="false" customHeight="false" outlineLevel="0" collapsed="false">
      <c r="A52" s="1283"/>
      <c r="B52" s="38" t="str">
        <f aca="false">Assm!X49</f>
        <v>Average Life Of Loan (Including Construction)</v>
      </c>
      <c r="C52" s="876" t="n">
        <f aca="false">Assm!AB49</f>
        <v>11.2</v>
      </c>
      <c r="D52" s="556"/>
      <c r="E52" s="556"/>
      <c r="G52" s="1280"/>
      <c r="H52" s="1440"/>
      <c r="I52" s="1280"/>
      <c r="J52" s="1282"/>
    </row>
    <row r="53" customFormat="false" ht="12.75" hidden="false" customHeight="false" outlineLevel="0" collapsed="false">
      <c r="A53" s="1283"/>
      <c r="B53" s="38" t="str">
        <f aca="false">Assm!X50</f>
        <v>Interest Rate / Spread</v>
      </c>
      <c r="C53" s="1442" t="n">
        <f aca="false">Assm!AB50</f>
        <v>0.1101</v>
      </c>
      <c r="D53" s="293"/>
      <c r="E53" s="293"/>
      <c r="G53" s="1280"/>
      <c r="H53" s="1440"/>
      <c r="I53" s="1280"/>
      <c r="J53" s="1282"/>
    </row>
    <row r="54" customFormat="false" ht="12.75" hidden="false" customHeight="false" outlineLevel="0" collapsed="false">
      <c r="A54" s="1283"/>
      <c r="B54" s="38" t="str">
        <f aca="false">Assm!X51</f>
        <v>Upfront Fee</v>
      </c>
      <c r="C54" s="1348" t="n">
        <f aca="false">Assm!AB51</f>
        <v>0.015</v>
      </c>
      <c r="D54" s="260"/>
      <c r="E54" s="260"/>
      <c r="G54" s="1280"/>
      <c r="H54" s="1440"/>
      <c r="I54" s="1280"/>
      <c r="J54" s="1282"/>
    </row>
    <row r="55" customFormat="false" ht="12.75" hidden="false" customHeight="false" outlineLevel="0" collapsed="false">
      <c r="A55" s="1283"/>
      <c r="B55" s="38" t="str">
        <f aca="false">Assm!X52</f>
        <v>Commitment Fee</v>
      </c>
      <c r="C55" s="1348" t="n">
        <f aca="false">Assm!AB52</f>
        <v>0.005</v>
      </c>
      <c r="D55" s="260"/>
      <c r="E55" s="260"/>
      <c r="G55" s="1280"/>
      <c r="H55" s="1440"/>
      <c r="I55" s="1280"/>
      <c r="J55" s="1282"/>
    </row>
    <row r="56" customFormat="false" ht="12.75" hidden="false" customHeight="false" outlineLevel="0" collapsed="false">
      <c r="A56" s="1283"/>
      <c r="B56" s="62" t="str">
        <f aca="false">Assm!X53</f>
        <v>Tranche 6: Subordinated Debt</v>
      </c>
      <c r="C56" s="1439"/>
      <c r="D56" s="23"/>
      <c r="E56" s="23"/>
      <c r="G56" s="1280"/>
      <c r="H56" s="1440"/>
      <c r="I56" s="1280"/>
      <c r="J56" s="1282"/>
    </row>
    <row r="57" customFormat="false" ht="12.75" hidden="false" customHeight="false" outlineLevel="0" collapsed="false">
      <c r="A57" s="1283"/>
      <c r="B57" s="38" t="str">
        <f aca="false">Assm!X54</f>
        <v>Amount</v>
      </c>
      <c r="C57" s="820" t="n">
        <f aca="false">Assm!AB54</f>
        <v>49749.8130727587</v>
      </c>
      <c r="D57" s="217"/>
      <c r="E57" s="217"/>
      <c r="G57" s="1280" t="s">
        <v>1759</v>
      </c>
      <c r="H57" s="1440" t="n">
        <v>36391</v>
      </c>
      <c r="I57" s="1280" t="s">
        <v>1657</v>
      </c>
      <c r="J57" s="1282" t="s">
        <v>1760</v>
      </c>
    </row>
    <row r="58" customFormat="false" ht="12.75" hidden="false" customHeight="false" outlineLevel="0" collapsed="false">
      <c r="A58" s="1283"/>
      <c r="B58" s="38" t="str">
        <f aca="false">Assm!X55</f>
        <v>Loan Amortization Style (1=SL, 2=MTG, 3=Custom)</v>
      </c>
      <c r="C58" s="1441" t="str">
        <f aca="false">CHOOSE(Assm!AB55,"STRAIGHT-LINE","MORTGAGE","CUSTOM")</f>
        <v>MORTGAGE</v>
      </c>
      <c r="D58" s="556"/>
      <c r="E58" s="556"/>
      <c r="G58" s="1280"/>
      <c r="H58" s="1440"/>
      <c r="I58" s="1280"/>
      <c r="J58" s="1282"/>
    </row>
    <row r="59" customFormat="false" ht="12.75" hidden="false" customHeight="false" outlineLevel="0" collapsed="false">
      <c r="A59" s="1283"/>
      <c r="B59" s="38" t="str">
        <f aca="false">Assm!X56</f>
        <v>Term - Years (Post Closing)</v>
      </c>
      <c r="C59" s="876" t="n">
        <f aca="false">Assm!Y56</f>
        <v>12</v>
      </c>
      <c r="D59" s="1340"/>
      <c r="E59" s="1340"/>
      <c r="G59" s="1280"/>
      <c r="H59" s="1440"/>
      <c r="I59" s="1280"/>
      <c r="J59" s="1282"/>
    </row>
    <row r="60" customFormat="false" ht="12.75" hidden="false" customHeight="false" outlineLevel="0" collapsed="false">
      <c r="A60" s="1283"/>
      <c r="B60" s="38" t="str">
        <f aca="false">Assm!AA57</f>
        <v>Grace - Post Phase III</v>
      </c>
      <c r="C60" s="876" t="n">
        <f aca="false">Assm!AB57</f>
        <v>1</v>
      </c>
      <c r="D60" s="556"/>
      <c r="E60" s="556"/>
      <c r="G60" s="1280"/>
      <c r="H60" s="1440"/>
      <c r="I60" s="1280"/>
      <c r="J60" s="1282"/>
    </row>
    <row r="61" customFormat="false" ht="12.75" hidden="false" customHeight="false" outlineLevel="0" collapsed="false">
      <c r="A61" s="1283"/>
      <c r="B61" s="38" t="str">
        <f aca="false">Assm!X58</f>
        <v>Average Life Of Loan (Including Construction)</v>
      </c>
      <c r="C61" s="876" t="n">
        <f aca="false">Assm!AB58</f>
        <v>15.2</v>
      </c>
      <c r="D61" s="556"/>
      <c r="E61" s="556"/>
      <c r="G61" s="1280"/>
      <c r="H61" s="1440"/>
      <c r="I61" s="1280"/>
      <c r="J61" s="1282"/>
    </row>
    <row r="62" customFormat="false" ht="12.75" hidden="false" customHeight="false" outlineLevel="0" collapsed="false">
      <c r="A62" s="1283"/>
      <c r="B62" s="38" t="str">
        <f aca="false">Assm!X59</f>
        <v>Interest Rate</v>
      </c>
      <c r="C62" s="1442" t="n">
        <f aca="false">Assm!AB59</f>
        <v>0.13</v>
      </c>
      <c r="D62" s="293"/>
      <c r="E62" s="293"/>
      <c r="G62" s="1280"/>
      <c r="H62" s="1440"/>
      <c r="I62" s="1280"/>
      <c r="J62" s="1282"/>
    </row>
    <row r="63" customFormat="false" ht="12.75" hidden="false" customHeight="false" outlineLevel="0" collapsed="false">
      <c r="A63" s="1283"/>
      <c r="B63" s="38" t="str">
        <f aca="false">Assm!X60</f>
        <v>Upfront Fee</v>
      </c>
      <c r="C63" s="1348" t="n">
        <f aca="false">Assm!AB60</f>
        <v>0</v>
      </c>
      <c r="D63" s="260"/>
      <c r="E63" s="260"/>
      <c r="G63" s="1280"/>
      <c r="H63" s="1440"/>
      <c r="I63" s="1280"/>
      <c r="J63" s="1282"/>
    </row>
    <row r="64" customFormat="false" ht="13.5" hidden="false" customHeight="false" outlineLevel="0" collapsed="false">
      <c r="A64" s="1286"/>
      <c r="B64" s="71" t="str">
        <f aca="false">Assm!X61</f>
        <v>Commitment Fee</v>
      </c>
      <c r="C64" s="1352" t="n">
        <f aca="false">Assm!AB61</f>
        <v>0</v>
      </c>
      <c r="D64" s="274"/>
      <c r="E64" s="274"/>
      <c r="F64" s="71"/>
      <c r="G64" s="1288"/>
      <c r="H64" s="1443"/>
      <c r="I64" s="1288"/>
      <c r="J64" s="1290"/>
    </row>
    <row r="65" customFormat="false" ht="13.5" hidden="false" customHeight="false" outlineLevel="0" collapsed="false"/>
    <row r="66" customFormat="false" ht="12.75" hidden="false" customHeight="false" outlineLevel="0" collapsed="false">
      <c r="A66" s="1273" t="str">
        <f aca="false">Assm!X67</f>
        <v>Capital Structure</v>
      </c>
      <c r="B66" s="1095" t="str">
        <f aca="false">CONCATENATE(Assm!X68," - ",TEXT(Debtperc,"0.00%"))</f>
        <v>Senior Debt - 58.55%</v>
      </c>
      <c r="C66" s="1444" t="n">
        <f aca="false">Tot_Debt</f>
        <v>201351.119911058</v>
      </c>
      <c r="D66" s="1445"/>
      <c r="E66" s="1445"/>
      <c r="F66" s="1446"/>
      <c r="G66" s="1276" t="s">
        <v>1759</v>
      </c>
      <c r="H66" s="1438" t="n">
        <v>36391</v>
      </c>
      <c r="I66" s="1276" t="s">
        <v>1657</v>
      </c>
      <c r="J66" s="1278" t="s">
        <v>1760</v>
      </c>
    </row>
    <row r="67" customFormat="false" ht="12.75" hidden="false" customHeight="false" outlineLevel="0" collapsed="false">
      <c r="A67" s="1283"/>
      <c r="B67" s="876" t="str">
        <f aca="false">CONCATENATE(Assm!X69," - ",TEXT(Subdebtperc,"0.00%"))</f>
        <v>Subordinated Debt / Sudam Financing - 14.47%</v>
      </c>
      <c r="C67" s="1447" t="n">
        <f aca="false">Tot_Subdebt</f>
        <v>49749.8130727587</v>
      </c>
      <c r="D67" s="1097"/>
      <c r="E67" s="1097"/>
      <c r="F67" s="1448"/>
      <c r="G67" s="1280" t="s">
        <v>1759</v>
      </c>
      <c r="H67" s="1440" t="n">
        <v>36391</v>
      </c>
      <c r="I67" s="1280" t="s">
        <v>1657</v>
      </c>
      <c r="J67" s="1282" t="s">
        <v>1760</v>
      </c>
    </row>
    <row r="68" customFormat="false" ht="12.75" hidden="false" customHeight="false" outlineLevel="0" collapsed="false">
      <c r="A68" s="1283"/>
      <c r="B68" s="876" t="str">
        <f aca="false">CONCATENATE(Assm!X71," - ",TEXT(Equityperc,"0.00%"))</f>
        <v>Equity - 26.98%</v>
      </c>
      <c r="C68" s="1449" t="n">
        <f aca="false">Tot_Equity</f>
        <v>92793.5702049191</v>
      </c>
      <c r="D68" s="1450"/>
      <c r="E68" s="1450"/>
      <c r="F68" s="1451"/>
      <c r="G68" s="1280" t="s">
        <v>1759</v>
      </c>
      <c r="H68" s="1440" t="n">
        <v>36391</v>
      </c>
      <c r="I68" s="1280" t="s">
        <v>1657</v>
      </c>
      <c r="J68" s="1282" t="s">
        <v>1760</v>
      </c>
    </row>
    <row r="69" customFormat="false" ht="13.5" hidden="false" customHeight="false" outlineLevel="0" collapsed="false">
      <c r="A69" s="1286"/>
      <c r="B69" s="1287" t="str">
        <f aca="false">CONCATENATE(Assm!X72," - ",TEXT(Assm!AA72,"0.00%"))</f>
        <v>   Total Investment - 100.00%</v>
      </c>
      <c r="C69" s="1452" t="n">
        <f aca="false">Assm!Z72</f>
        <v>343894.503188736</v>
      </c>
      <c r="D69" s="1453"/>
      <c r="E69" s="1453"/>
      <c r="F69" s="1454"/>
      <c r="G69" s="1288"/>
      <c r="H69" s="1289"/>
      <c r="I69" s="1288"/>
      <c r="J69" s="1290"/>
    </row>
  </sheetData>
  <mergeCells count="2">
    <mergeCell ref="C7:F7"/>
    <mergeCell ref="C8:F8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42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G30" activeCellId="0" sqref="G3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30.7"/>
    <col collapsed="false" customWidth="true" hidden="false" outlineLevel="0" max="2" min="2" style="1" width="47.7"/>
    <col collapsed="false" customWidth="true" hidden="false" outlineLevel="0" max="6" min="3" style="38" width="10.71"/>
    <col collapsed="false" customWidth="true" hidden="false" outlineLevel="0" max="7" min="7" style="1" width="23.7"/>
    <col collapsed="false" customWidth="true" hidden="false" outlineLevel="0" max="8" min="8" style="1260" width="13.7"/>
    <col collapsed="false" customWidth="true" hidden="false" outlineLevel="0" max="9" min="9" style="1" width="23.7"/>
    <col collapsed="false" customWidth="true" hidden="false" outlineLevel="0" max="10" min="10" style="1" width="35.7"/>
    <col collapsed="false" customWidth="false" hidden="false" outlineLevel="0" max="257" min="11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"/>
      <c r="C1" s="388"/>
      <c r="D1" s="388"/>
      <c r="E1" s="388"/>
      <c r="F1" s="388"/>
      <c r="G1" s="388"/>
      <c r="H1" s="1261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"/>
      <c r="C2" s="388"/>
      <c r="D2" s="388"/>
      <c r="E2" s="388"/>
      <c r="F2" s="388"/>
      <c r="G2" s="388"/>
      <c r="H2" s="1261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"/>
      <c r="C3" s="388"/>
      <c r="D3" s="388"/>
      <c r="E3" s="388"/>
      <c r="F3" s="388"/>
      <c r="G3" s="388"/>
      <c r="H3" s="1261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1761</v>
      </c>
      <c r="B4" s="38"/>
      <c r="C4" s="388"/>
      <c r="D4" s="388"/>
      <c r="E4" s="388"/>
      <c r="F4" s="388"/>
      <c r="G4" s="388"/>
      <c r="H4" s="1261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38"/>
      <c r="C5" s="388"/>
      <c r="G5" s="38"/>
      <c r="H5" s="1272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1262"/>
      <c r="B6" s="882"/>
      <c r="C6" s="881"/>
      <c r="D6" s="854"/>
      <c r="E6" s="854"/>
      <c r="F6" s="1263"/>
      <c r="G6" s="882"/>
      <c r="H6" s="1264"/>
      <c r="I6" s="882" t="s">
        <v>1620</v>
      </c>
      <c r="J6" s="883"/>
    </row>
    <row r="7" customFormat="false" ht="12.75" hidden="false" customHeight="false" outlineLevel="0" collapsed="false">
      <c r="A7" s="1103"/>
      <c r="B7" s="1265"/>
      <c r="C7" s="1265" t="s">
        <v>1621</v>
      </c>
      <c r="D7" s="1265"/>
      <c r="E7" s="1265"/>
      <c r="F7" s="1265"/>
      <c r="G7" s="1265"/>
      <c r="H7" s="1266" t="s">
        <v>708</v>
      </c>
      <c r="I7" s="1265" t="s">
        <v>1622</v>
      </c>
      <c r="J7" s="1267"/>
    </row>
    <row r="8" customFormat="false" ht="13.5" hidden="false" customHeight="false" outlineLevel="0" collapsed="false">
      <c r="A8" s="1268" t="s">
        <v>1623</v>
      </c>
      <c r="B8" s="1269" t="s">
        <v>1624</v>
      </c>
      <c r="C8" s="1269" t="s">
        <v>1625</v>
      </c>
      <c r="D8" s="1269"/>
      <c r="E8" s="1269"/>
      <c r="F8" s="1269"/>
      <c r="G8" s="1269" t="s">
        <v>1626</v>
      </c>
      <c r="H8" s="1270" t="s">
        <v>1627</v>
      </c>
      <c r="I8" s="1269" t="s">
        <v>1628</v>
      </c>
      <c r="J8" s="1271" t="s">
        <v>1629</v>
      </c>
    </row>
    <row r="9" customFormat="false" ht="13.5" hidden="false" customHeight="false" outlineLevel="0" collapsed="false">
      <c r="A9" s="38"/>
      <c r="B9" s="38"/>
      <c r="G9" s="38"/>
      <c r="H9" s="1272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1273" t="str">
        <f aca="false">Assm!X63</f>
        <v>Other Senior Debt Fees</v>
      </c>
      <c r="B10" s="1291" t="str">
        <f aca="false">Assm!Y63</f>
        <v>OPIC Agency Fee ($000)</v>
      </c>
      <c r="C10" s="1379"/>
      <c r="D10" s="1455" t="n">
        <f aca="false">Assm!AB63</f>
        <v>25</v>
      </c>
      <c r="E10" s="1390"/>
      <c r="F10" s="1391"/>
      <c r="G10" s="1276" t="s">
        <v>1759</v>
      </c>
      <c r="H10" s="1438" t="n">
        <v>36391</v>
      </c>
      <c r="I10" s="1276" t="s">
        <v>1657</v>
      </c>
      <c r="J10" s="1278" t="s">
        <v>1760</v>
      </c>
    </row>
    <row r="11" customFormat="false" ht="12.75" hidden="false" customHeight="false" outlineLevel="0" collapsed="false">
      <c r="A11" s="1283"/>
      <c r="B11" s="877" t="str">
        <f aca="false">Assm!Y64</f>
        <v>EPE Percent / Amount</v>
      </c>
      <c r="C11" s="1456" t="n">
        <f aca="false">Assm!AA64</f>
        <v>0.5</v>
      </c>
      <c r="D11" s="53" t="n">
        <f aca="false">Assm!AB64</f>
        <v>12.5</v>
      </c>
      <c r="E11" s="1311"/>
      <c r="F11" s="1312"/>
      <c r="G11" s="1280" t="s">
        <v>1759</v>
      </c>
      <c r="H11" s="1440" t="n">
        <v>36391</v>
      </c>
      <c r="I11" s="1280" t="s">
        <v>1657</v>
      </c>
      <c r="J11" s="1282" t="s">
        <v>1760</v>
      </c>
    </row>
    <row r="12" customFormat="false" ht="13.5" hidden="false" customHeight="false" outlineLevel="0" collapsed="false">
      <c r="A12" s="1286"/>
      <c r="B12" s="1287" t="str">
        <f aca="false">Assm!Y65</f>
        <v>Final Year Of Payment</v>
      </c>
      <c r="C12" s="1457" t="n">
        <f aca="false">Assm!AA65</f>
        <v>2015</v>
      </c>
      <c r="D12" s="1385"/>
      <c r="E12" s="1385"/>
      <c r="F12" s="1393"/>
      <c r="G12" s="1288" t="s">
        <v>1759</v>
      </c>
      <c r="H12" s="1289" t="n">
        <v>36391</v>
      </c>
      <c r="I12" s="1288" t="s">
        <v>1657</v>
      </c>
      <c r="J12" s="1290" t="s">
        <v>1760</v>
      </c>
    </row>
    <row r="13" customFormat="false" ht="13.5" hidden="false" customHeight="false" outlineLevel="0" collapsed="false"/>
    <row r="14" customFormat="false" ht="12.75" hidden="false" customHeight="false" outlineLevel="0" collapsed="false">
      <c r="A14" s="1273" t="str">
        <f aca="false">Assm!X78</f>
        <v>DS Coverage Ratios</v>
      </c>
      <c r="B14" s="1291"/>
      <c r="C14" s="1458" t="s">
        <v>1762</v>
      </c>
      <c r="D14" s="1458" t="s">
        <v>257</v>
      </c>
      <c r="E14" s="28"/>
      <c r="F14" s="1094"/>
      <c r="G14" s="1251"/>
      <c r="H14" s="1459"/>
      <c r="I14" s="1251"/>
      <c r="J14" s="1278"/>
    </row>
    <row r="15" customFormat="false" ht="12.75" hidden="false" customHeight="false" outlineLevel="0" collapsed="false">
      <c r="A15" s="1283"/>
      <c r="B15" s="877" t="s">
        <v>1763</v>
      </c>
      <c r="C15" s="1460" t="n">
        <f aca="false">Assm!AB79</f>
        <v>1.4</v>
      </c>
      <c r="D15" s="1461" t="n">
        <f aca="false">Assm!AB80</f>
        <v>1.8</v>
      </c>
      <c r="F15" s="878"/>
      <c r="G15" s="1280" t="s">
        <v>1764</v>
      </c>
      <c r="H15" s="1281" t="n">
        <v>36166</v>
      </c>
      <c r="I15" s="1280" t="s">
        <v>1657</v>
      </c>
      <c r="J15" s="1282" t="s">
        <v>1765</v>
      </c>
    </row>
    <row r="16" customFormat="false" ht="12.75" hidden="false" customHeight="false" outlineLevel="0" collapsed="false">
      <c r="A16" s="1279"/>
      <c r="B16" s="877" t="s">
        <v>1766</v>
      </c>
      <c r="C16" s="1460" t="n">
        <f aca="false">Assm!Z79</f>
        <v>0.846912059443333</v>
      </c>
      <c r="D16" s="1461" t="n">
        <f aca="false">Assm!AA79</f>
        <v>0.846912059443333</v>
      </c>
      <c r="F16" s="878"/>
      <c r="G16" s="1280" t="s">
        <v>1645</v>
      </c>
      <c r="H16" s="1281"/>
      <c r="I16" s="1280"/>
      <c r="J16" s="1282"/>
    </row>
    <row r="17" customFormat="false" ht="13.5" hidden="false" customHeight="false" outlineLevel="0" collapsed="false">
      <c r="A17" s="1286"/>
      <c r="B17" s="1287" t="s">
        <v>1767</v>
      </c>
      <c r="C17" s="1462" t="n">
        <f aca="false">Assm!Z80</f>
        <v>1.93921397170952</v>
      </c>
      <c r="D17" s="1463" t="n">
        <f aca="false">Assm!AA80</f>
        <v>1.83862730761926</v>
      </c>
      <c r="E17" s="71"/>
      <c r="F17" s="535"/>
      <c r="G17" s="1288" t="s">
        <v>1645</v>
      </c>
      <c r="H17" s="1289"/>
      <c r="I17" s="1288"/>
      <c r="J17" s="1290"/>
    </row>
    <row r="18" customFormat="false" ht="13.5" hidden="false" customHeight="false" outlineLevel="0" collapsed="false"/>
    <row r="19" customFormat="false" ht="12.75" hidden="false" customHeight="false" outlineLevel="0" collapsed="false">
      <c r="A19" s="1273" t="str">
        <f aca="false">Assm!X82</f>
        <v>Debt Reserve</v>
      </c>
      <c r="B19" s="1094" t="str">
        <f aca="false">Assm!Z82</f>
        <v>Service To Be Provided By</v>
      </c>
      <c r="C19" s="1464" t="str">
        <f aca="false">Assm!AA82</f>
        <v>Dresdner Bank</v>
      </c>
      <c r="D19" s="28"/>
      <c r="E19" s="125"/>
      <c r="F19" s="1465"/>
      <c r="G19" s="1276" t="s">
        <v>1764</v>
      </c>
      <c r="H19" s="1438" t="n">
        <v>36389</v>
      </c>
      <c r="I19" s="1276" t="s">
        <v>1657</v>
      </c>
      <c r="J19" s="1278" t="s">
        <v>1708</v>
      </c>
    </row>
    <row r="20" customFormat="false" ht="12.75" hidden="false" customHeight="false" outlineLevel="0" collapsed="false">
      <c r="A20" s="1283"/>
      <c r="B20" s="878" t="str">
        <f aca="false">Assm!Z83</f>
        <v>Months Of Debt Service Required</v>
      </c>
      <c r="C20" s="1294" t="n">
        <f aca="false">Assm!Y83</f>
        <v>6</v>
      </c>
      <c r="E20" s="79"/>
      <c r="F20" s="1466"/>
      <c r="G20" s="1280" t="s">
        <v>1764</v>
      </c>
      <c r="H20" s="1440" t="n">
        <v>36290</v>
      </c>
      <c r="I20" s="1280" t="s">
        <v>1657</v>
      </c>
      <c r="J20" s="1282" t="s">
        <v>1708</v>
      </c>
    </row>
    <row r="21" customFormat="false" ht="13.5" hidden="false" customHeight="false" outlineLevel="0" collapsed="false">
      <c r="A21" s="1286"/>
      <c r="B21" s="1287" t="str">
        <f aca="false">Assm!Z84</f>
        <v>L/C Fee p.a.</v>
      </c>
      <c r="C21" s="1467" t="n">
        <f aca="false">Assm!Y84</f>
        <v>0.025</v>
      </c>
      <c r="D21" s="71"/>
      <c r="E21" s="329"/>
      <c r="F21" s="1468"/>
      <c r="G21" s="1288" t="s">
        <v>1764</v>
      </c>
      <c r="H21" s="1289" t="n">
        <v>36290</v>
      </c>
      <c r="I21" s="1288" t="s">
        <v>1657</v>
      </c>
      <c r="J21" s="1290" t="s">
        <v>1708</v>
      </c>
    </row>
    <row r="22" customFormat="false" ht="13.5" hidden="false" customHeight="false" outlineLevel="0" collapsed="false"/>
    <row r="23" customFormat="false" ht="12.75" hidden="false" customHeight="false" outlineLevel="0" collapsed="false">
      <c r="A23" s="1273" t="str">
        <f aca="false">Assm!X86</f>
        <v>Shareholder Constr Loan</v>
      </c>
      <c r="B23" s="1291" t="str">
        <f aca="false">Assm!X87</f>
        <v>Amount Of Construction Loan</v>
      </c>
      <c r="C23" s="1469" t="n">
        <f aca="false">Total_BL</f>
        <v>130448.469060994</v>
      </c>
      <c r="D23" s="28"/>
      <c r="E23" s="125"/>
      <c r="F23" s="1465"/>
      <c r="G23" s="1276" t="s">
        <v>1645</v>
      </c>
      <c r="H23" s="1438"/>
      <c r="I23" s="1276"/>
      <c r="J23" s="1278" t="s">
        <v>1768</v>
      </c>
    </row>
    <row r="24" customFormat="false" ht="12.75" hidden="false" customHeight="false" outlineLevel="0" collapsed="false">
      <c r="A24" s="1283"/>
      <c r="B24" s="877" t="str">
        <f aca="false">Assm!AA87</f>
        <v>Interest Rate</v>
      </c>
      <c r="C24" s="1442" t="n">
        <f aca="false">Int_BL</f>
        <v>0.06</v>
      </c>
      <c r="E24" s="79"/>
      <c r="F24" s="1466"/>
      <c r="G24" s="1280" t="s">
        <v>1719</v>
      </c>
      <c r="H24" s="1440" t="n">
        <v>36004</v>
      </c>
      <c r="I24" s="1280" t="s">
        <v>1631</v>
      </c>
      <c r="J24" s="1282" t="s">
        <v>1720</v>
      </c>
    </row>
    <row r="25" customFormat="false" ht="13.5" hidden="false" customHeight="false" outlineLevel="0" collapsed="false">
      <c r="A25" s="1286"/>
      <c r="B25" s="535" t="str">
        <f aca="false">Assm!AA88</f>
        <v>Cost Of Funds</v>
      </c>
      <c r="C25" s="1396" t="n">
        <f aca="false">Ecf</f>
        <v>0.065</v>
      </c>
      <c r="D25" s="71"/>
      <c r="E25" s="329"/>
      <c r="F25" s="1468"/>
      <c r="G25" s="1288" t="s">
        <v>1769</v>
      </c>
      <c r="H25" s="1443" t="n">
        <v>36217</v>
      </c>
      <c r="I25" s="1288" t="s">
        <v>1770</v>
      </c>
      <c r="J25" s="1290" t="s">
        <v>1771</v>
      </c>
    </row>
    <row r="26" customFormat="false" ht="13.5" hidden="false" customHeight="false" outlineLevel="0" collapsed="false"/>
    <row r="27" customFormat="false" ht="12.75" hidden="false" customHeight="false" outlineLevel="0" collapsed="false">
      <c r="A27" s="453" t="str">
        <f aca="false">Assm!A90</f>
        <v>Bonds</v>
      </c>
      <c r="B27" s="1354" t="str">
        <f aca="false">Assm!A91</f>
        <v>Performance Bond</v>
      </c>
      <c r="C27" s="1470" t="str">
        <f aca="false">Assm!C90</f>
        <v>Term (Yrs)</v>
      </c>
      <c r="D27" s="1471" t="str">
        <f aca="false">Assm!D90</f>
        <v>Amount</v>
      </c>
      <c r="E27" s="1471" t="str">
        <f aca="false">Assm!E90</f>
        <v>Rate</v>
      </c>
      <c r="F27" s="1472" t="str">
        <f aca="false">Assm!F90</f>
        <v>Expense</v>
      </c>
      <c r="G27" s="1358"/>
      <c r="H27" s="1277"/>
      <c r="I27" s="1358"/>
      <c r="J27" s="1359"/>
    </row>
    <row r="28" customFormat="false" ht="13.5" hidden="false" customHeight="false" outlineLevel="0" collapsed="false">
      <c r="A28" s="70"/>
      <c r="B28" s="1473"/>
      <c r="C28" s="1474" t="n">
        <f aca="false">Assm!C91</f>
        <v>20</v>
      </c>
      <c r="D28" s="1475" t="n">
        <f aca="false">Assm!D91</f>
        <v>22000</v>
      </c>
      <c r="E28" s="1476" t="n">
        <f aca="false">Assm!E91</f>
        <v>0.005</v>
      </c>
      <c r="F28" s="1477" t="n">
        <f aca="false">Assm!F91</f>
        <v>110</v>
      </c>
      <c r="G28" s="1368" t="s">
        <v>1652</v>
      </c>
      <c r="H28" s="1289" t="n">
        <v>35759</v>
      </c>
      <c r="I28" s="1368" t="s">
        <v>1634</v>
      </c>
      <c r="J28" s="1369" t="s">
        <v>1772</v>
      </c>
    </row>
    <row r="29" customFormat="false" ht="13.5" hidden="false" customHeight="false" outlineLevel="0" collapsed="false"/>
    <row r="30" customFormat="false" ht="12.75" hidden="false" customHeight="false" outlineLevel="0" collapsed="false">
      <c r="A30" s="453" t="str">
        <f aca="false">Assm!A93</f>
        <v>YPF Guarantee</v>
      </c>
      <c r="B30" s="1354" t="str">
        <f aca="false">Assm!E93</f>
        <v>Guarantee</v>
      </c>
      <c r="C30" s="1478" t="n">
        <f aca="false">Assm!D93</f>
        <v>12500</v>
      </c>
      <c r="D30" s="1479"/>
      <c r="E30" s="1479"/>
      <c r="F30" s="1480"/>
      <c r="G30" s="1358"/>
      <c r="H30" s="1277" t="s">
        <v>1707</v>
      </c>
      <c r="I30" s="1358"/>
      <c r="J30" s="1359" t="s">
        <v>1708</v>
      </c>
    </row>
    <row r="31" customFormat="false" ht="13.5" hidden="false" customHeight="false" outlineLevel="0" collapsed="false">
      <c r="A31" s="70"/>
      <c r="B31" s="1395" t="str">
        <f aca="false">Assm!E94</f>
        <v>L/C Fee p.a.</v>
      </c>
      <c r="C31" s="1481" t="n">
        <f aca="false">Assm!D94</f>
        <v>0.025</v>
      </c>
      <c r="D31" s="1223"/>
      <c r="E31" s="1223"/>
      <c r="F31" s="1482"/>
      <c r="G31" s="1368"/>
      <c r="H31" s="1289" t="s">
        <v>1707</v>
      </c>
      <c r="I31" s="1368"/>
      <c r="J31" s="1369" t="s">
        <v>1708</v>
      </c>
    </row>
    <row r="32" customFormat="false" ht="13.5" hidden="false" customHeight="false" outlineLevel="0" collapsed="false"/>
    <row r="33" customFormat="false" ht="12.75" hidden="false" customHeight="false" outlineLevel="0" collapsed="false">
      <c r="A33" s="453" t="str">
        <f aca="false">Assm!A96</f>
        <v>Interest On Cash Balances</v>
      </c>
      <c r="B33" s="1354"/>
      <c r="C33" s="1483"/>
      <c r="D33" s="1479"/>
      <c r="E33" s="1479"/>
      <c r="F33" s="1480"/>
      <c r="G33" s="1358"/>
      <c r="H33" s="1277"/>
      <c r="I33" s="1358"/>
      <c r="J33" s="1359"/>
    </row>
    <row r="34" customFormat="false" ht="13.5" hidden="false" customHeight="false" outlineLevel="0" collapsed="false">
      <c r="A34" s="70"/>
      <c r="B34" s="1395" t="str">
        <f aca="false">Assm!E97</f>
        <v>Assumed Rate For Cash Held</v>
      </c>
      <c r="C34" s="1481" t="n">
        <f aca="false">Assm!F97</f>
        <v>0.05</v>
      </c>
      <c r="D34" s="1223"/>
      <c r="E34" s="1223"/>
      <c r="F34" s="1482"/>
      <c r="G34" s="1368" t="s">
        <v>1712</v>
      </c>
      <c r="H34" s="1289"/>
      <c r="I34" s="1368"/>
      <c r="J34" s="1369"/>
    </row>
    <row r="35" customFormat="false" ht="13.5" hidden="false" customHeight="false" outlineLevel="0" collapsed="false"/>
    <row r="36" customFormat="false" ht="12.75" hidden="false" customHeight="false" outlineLevel="0" collapsed="false">
      <c r="A36" s="1273" t="str">
        <f aca="false">Assm!A79</f>
        <v>Working Capital</v>
      </c>
      <c r="B36" s="1484" t="str">
        <f aca="false">Assm!A81</f>
        <v>Components</v>
      </c>
      <c r="C36" s="1433" t="s">
        <v>728</v>
      </c>
      <c r="D36" s="1485" t="s">
        <v>81</v>
      </c>
      <c r="E36" s="1486" t="s">
        <v>1773</v>
      </c>
      <c r="F36" s="1487" t="s">
        <v>1774</v>
      </c>
      <c r="G36" s="1276"/>
      <c r="H36" s="1277"/>
      <c r="I36" s="1276"/>
      <c r="J36" s="1278"/>
    </row>
    <row r="37" customFormat="false" ht="12.75" hidden="false" customHeight="false" outlineLevel="0" collapsed="false">
      <c r="A37" s="1283"/>
      <c r="B37" s="877" t="str">
        <f aca="false">Assm!A82</f>
        <v>Days Of Commodity Fuel</v>
      </c>
      <c r="C37" s="1294" t="n">
        <f aca="false">Assm!B82</f>
        <v>0</v>
      </c>
      <c r="D37" s="217" t="n">
        <f aca="false">Assm!C82</f>
        <v>0</v>
      </c>
      <c r="E37" s="229" t="n">
        <f aca="false">Assm!$F$85</f>
        <v>0.03625</v>
      </c>
      <c r="F37" s="847" t="n">
        <f aca="false">D37*E37*Assm!$F$79</f>
        <v>0</v>
      </c>
      <c r="G37" s="1280" t="s">
        <v>1775</v>
      </c>
      <c r="H37" s="1281"/>
      <c r="I37" s="1280"/>
      <c r="J37" s="1282" t="str">
        <f aca="false">IF(Assm!$F$79=0,"No Fee - Funded In Project Costs"," ")</f>
        <v>No Fee - Funded In Project Costs</v>
      </c>
    </row>
    <row r="38" customFormat="false" ht="12.75" hidden="false" customHeight="false" outlineLevel="0" collapsed="false">
      <c r="A38" s="1283"/>
      <c r="B38" s="877" t="str">
        <f aca="false">Assm!A83</f>
        <v>Days Of Fuel Transportation</v>
      </c>
      <c r="C38" s="1294" t="n">
        <f aca="false">Assm!B83</f>
        <v>0</v>
      </c>
      <c r="D38" s="217" t="n">
        <f aca="false">Assm!C83</f>
        <v>0</v>
      </c>
      <c r="E38" s="229" t="n">
        <f aca="false">Assm!$F$85</f>
        <v>0.03625</v>
      </c>
      <c r="F38" s="847" t="n">
        <f aca="false">D38*E38*Assm!$F$79</f>
        <v>0</v>
      </c>
      <c r="G38" s="1280" t="s">
        <v>1775</v>
      </c>
      <c r="H38" s="1281"/>
      <c r="I38" s="1280"/>
      <c r="J38" s="1282"/>
    </row>
    <row r="39" customFormat="false" ht="12.75" hidden="false" customHeight="false" outlineLevel="0" collapsed="false">
      <c r="A39" s="1283"/>
      <c r="B39" s="877" t="str">
        <f aca="false">Assm!A84</f>
        <v>Days Of O&amp;M Excl Insurance</v>
      </c>
      <c r="C39" s="1294" t="n">
        <f aca="false">Assm!B84</f>
        <v>0</v>
      </c>
      <c r="D39" s="217" t="n">
        <f aca="false">Assm!C84</f>
        <v>0</v>
      </c>
      <c r="E39" s="229" t="n">
        <f aca="false">Assm!$F$85</f>
        <v>0.03625</v>
      </c>
      <c r="F39" s="847" t="n">
        <f aca="false">D39*E39*Assm!$F$79</f>
        <v>0</v>
      </c>
      <c r="G39" s="1280" t="s">
        <v>1775</v>
      </c>
      <c r="H39" s="1281"/>
      <c r="I39" s="1280"/>
      <c r="J39" s="1282"/>
    </row>
    <row r="40" customFormat="false" ht="12.75" hidden="false" customHeight="false" outlineLevel="0" collapsed="false">
      <c r="A40" s="1283"/>
      <c r="B40" s="877" t="str">
        <f aca="false">Assm!A85</f>
        <v>Years Of Operating Insurance</v>
      </c>
      <c r="C40" s="1294" t="n">
        <f aca="false">Assm!B85</f>
        <v>0</v>
      </c>
      <c r="D40" s="220" t="n">
        <f aca="false">Assm!C85</f>
        <v>0</v>
      </c>
      <c r="E40" s="229" t="n">
        <f aca="false">Assm!$F$85</f>
        <v>0.03625</v>
      </c>
      <c r="F40" s="847" t="n">
        <f aca="false">D40*E40*Assm!$F$79</f>
        <v>0</v>
      </c>
      <c r="G40" s="1280" t="s">
        <v>1775</v>
      </c>
      <c r="H40" s="1281"/>
      <c r="I40" s="1280"/>
      <c r="J40" s="1282"/>
    </row>
    <row r="41" customFormat="false" ht="13.5" hidden="false" customHeight="false" outlineLevel="0" collapsed="false">
      <c r="A41" s="1286"/>
      <c r="B41" s="1287" t="str">
        <f aca="false">Assm!A86</f>
        <v>Total W/C Required (A)</v>
      </c>
      <c r="C41" s="1488"/>
      <c r="D41" s="286" t="n">
        <f aca="false">SUM(D37:D40)</f>
        <v>0</v>
      </c>
      <c r="E41" s="1489"/>
      <c r="F41" s="853" t="n">
        <f aca="false">SUM(F37:F40)</f>
        <v>0</v>
      </c>
      <c r="G41" s="1288"/>
      <c r="H41" s="1289"/>
      <c r="I41" s="1288"/>
      <c r="J41" s="1290"/>
    </row>
    <row r="42" customFormat="false" ht="12.75" hidden="false" customHeight="false" outlineLevel="0" collapsed="false">
      <c r="C42" s="1"/>
      <c r="D42" s="1"/>
      <c r="E42" s="1"/>
      <c r="F42" s="1"/>
    </row>
  </sheetData>
  <mergeCells count="2">
    <mergeCell ref="C7:F7"/>
    <mergeCell ref="C8:F8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IW298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J40" activeCellId="0" sqref="J4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75" width="10.28"/>
    <col collapsed="false" customWidth="true" hidden="false" outlineLevel="0" max="2" min="2" style="1075" width="27.14"/>
    <col collapsed="false" customWidth="true" hidden="false" outlineLevel="0" max="3" min="3" style="1075" width="11.28"/>
    <col collapsed="false" customWidth="true" hidden="false" outlineLevel="0" max="5" min="4" style="1075" width="9.99"/>
    <col collapsed="false" customWidth="true" hidden="false" outlineLevel="0" max="6" min="6" style="1075" width="10.71"/>
    <col collapsed="false" customWidth="true" hidden="false" outlineLevel="0" max="7" min="7" style="1075" width="12.7"/>
    <col collapsed="false" customWidth="true" hidden="false" outlineLevel="0" max="8" min="8" style="1075" width="10.41"/>
    <col collapsed="false" customWidth="true" hidden="false" outlineLevel="0" max="9" min="9" style="1075" width="12.99"/>
    <col collapsed="false" customWidth="false" hidden="false" outlineLevel="0" max="257" min="10" style="1075" width="9.14"/>
  </cols>
  <sheetData>
    <row r="2" customFormat="false" ht="12.75" hidden="false" customHeight="false" outlineLevel="0" collapsed="false">
      <c r="B2" s="1490" t="s">
        <v>1776</v>
      </c>
      <c r="C2" s="1491" t="n">
        <v>0</v>
      </c>
    </row>
    <row r="3" customFormat="false" ht="12.75" hidden="false" customHeight="false" outlineLevel="0" collapsed="false">
      <c r="B3" s="1490"/>
      <c r="C3" s="1492"/>
    </row>
    <row r="4" customFormat="false" ht="12.75" hidden="false" customHeight="false" outlineLevel="0" collapsed="false">
      <c r="B4" s="1490"/>
      <c r="C4" s="1492"/>
    </row>
    <row r="5" customFormat="false" ht="25.5" hidden="false" customHeight="false" outlineLevel="0" collapsed="false">
      <c r="A5" s="1493"/>
      <c r="B5" s="1494"/>
      <c r="C5" s="1495" t="s">
        <v>1777</v>
      </c>
      <c r="D5" s="1496" t="s">
        <v>1778</v>
      </c>
      <c r="E5" s="1497" t="s">
        <v>1779</v>
      </c>
      <c r="F5" s="1495" t="s">
        <v>489</v>
      </c>
      <c r="G5" s="1496" t="s">
        <v>1780</v>
      </c>
      <c r="H5" s="1498" t="s">
        <v>1781</v>
      </c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493"/>
      <c r="AX5" s="1493"/>
      <c r="AY5" s="1493"/>
      <c r="AZ5" s="1493"/>
      <c r="BA5" s="1493"/>
      <c r="BB5" s="1493"/>
      <c r="BC5" s="1493"/>
      <c r="BD5" s="1493"/>
      <c r="BE5" s="1493"/>
      <c r="BF5" s="1493"/>
      <c r="BG5" s="1493"/>
      <c r="BH5" s="1493"/>
      <c r="BI5" s="1493"/>
      <c r="BJ5" s="1493"/>
      <c r="BK5" s="1493"/>
      <c r="BL5" s="1493"/>
      <c r="BM5" s="1493"/>
      <c r="BN5" s="1493"/>
      <c r="BO5" s="1493"/>
      <c r="BP5" s="1493"/>
      <c r="BQ5" s="1493"/>
      <c r="BR5" s="1493"/>
      <c r="BS5" s="1493"/>
      <c r="BT5" s="1493"/>
      <c r="BU5" s="1493"/>
      <c r="BV5" s="1493"/>
      <c r="BW5" s="1493"/>
      <c r="BX5" s="1493"/>
      <c r="BY5" s="1493"/>
      <c r="BZ5" s="1493"/>
      <c r="CA5" s="1493"/>
      <c r="CB5" s="1493"/>
      <c r="CC5" s="1493"/>
      <c r="CD5" s="1493"/>
      <c r="CE5" s="1493"/>
      <c r="CF5" s="1493"/>
      <c r="CG5" s="1493"/>
      <c r="CH5" s="1493"/>
      <c r="CI5" s="1493"/>
      <c r="CJ5" s="1493"/>
      <c r="CK5" s="1493"/>
      <c r="CL5" s="1493"/>
      <c r="CM5" s="1493"/>
      <c r="CN5" s="1493"/>
      <c r="CO5" s="1493"/>
      <c r="CP5" s="1493"/>
      <c r="CQ5" s="1493"/>
      <c r="CR5" s="1493"/>
      <c r="CS5" s="1493"/>
      <c r="CT5" s="1493"/>
      <c r="CU5" s="1493"/>
      <c r="CV5" s="1493"/>
      <c r="CW5" s="1493"/>
      <c r="CX5" s="1493"/>
      <c r="CY5" s="1493"/>
      <c r="CZ5" s="1493"/>
      <c r="DA5" s="1493"/>
      <c r="DB5" s="1493"/>
      <c r="DC5" s="1493"/>
      <c r="DD5" s="1493"/>
      <c r="DE5" s="1493"/>
      <c r="DF5" s="1493"/>
      <c r="DG5" s="1493"/>
      <c r="DH5" s="1493"/>
      <c r="DI5" s="1493"/>
      <c r="DJ5" s="1493"/>
      <c r="DK5" s="1493"/>
      <c r="DL5" s="1493"/>
      <c r="DM5" s="1493"/>
      <c r="DN5" s="1493"/>
      <c r="DO5" s="1493"/>
      <c r="DP5" s="1493"/>
      <c r="DQ5" s="1493"/>
      <c r="DR5" s="1493"/>
      <c r="DS5" s="1493"/>
      <c r="DT5" s="1493"/>
      <c r="DU5" s="1493"/>
      <c r="DV5" s="1493"/>
      <c r="DW5" s="1493"/>
      <c r="DX5" s="1493"/>
      <c r="DY5" s="1493"/>
      <c r="DZ5" s="1493"/>
      <c r="EA5" s="1493"/>
      <c r="EB5" s="1493"/>
      <c r="EC5" s="1493"/>
      <c r="ED5" s="1493"/>
      <c r="EE5" s="1493"/>
      <c r="EF5" s="1493"/>
      <c r="EG5" s="1493"/>
      <c r="EH5" s="1493"/>
      <c r="EI5" s="1493"/>
      <c r="EJ5" s="1493"/>
      <c r="EK5" s="1493"/>
      <c r="EL5" s="1493"/>
      <c r="EM5" s="1493"/>
      <c r="EN5" s="1493"/>
      <c r="EO5" s="1493"/>
      <c r="EP5" s="1493"/>
      <c r="EQ5" s="1493"/>
      <c r="ER5" s="1493"/>
      <c r="ES5" s="1493"/>
      <c r="ET5" s="1493"/>
      <c r="EU5" s="1493"/>
      <c r="EV5" s="1493"/>
      <c r="EW5" s="1493"/>
      <c r="EX5" s="1493"/>
      <c r="EY5" s="1493"/>
      <c r="EZ5" s="1493"/>
      <c r="FA5" s="1493"/>
      <c r="FB5" s="1493"/>
      <c r="FC5" s="1493"/>
      <c r="FD5" s="1493"/>
      <c r="FE5" s="1493"/>
      <c r="FF5" s="1493"/>
      <c r="FG5" s="1493"/>
      <c r="FH5" s="1493"/>
      <c r="FI5" s="1493"/>
      <c r="FJ5" s="1493"/>
      <c r="FK5" s="1493"/>
      <c r="FL5" s="1493"/>
      <c r="FM5" s="1493"/>
      <c r="FN5" s="1493"/>
      <c r="FO5" s="1493"/>
      <c r="FP5" s="1493"/>
      <c r="FQ5" s="1493"/>
      <c r="FR5" s="1493"/>
      <c r="FS5" s="1493"/>
      <c r="FT5" s="1493"/>
      <c r="FU5" s="1493"/>
      <c r="FV5" s="1493"/>
      <c r="FW5" s="1493"/>
      <c r="FX5" s="1493"/>
      <c r="FY5" s="1493"/>
      <c r="FZ5" s="1493"/>
      <c r="GA5" s="1493"/>
      <c r="GB5" s="1493"/>
      <c r="GC5" s="1493"/>
      <c r="GD5" s="1493"/>
      <c r="GE5" s="1493"/>
      <c r="GF5" s="1493"/>
      <c r="GG5" s="1493"/>
      <c r="GH5" s="1493"/>
      <c r="GI5" s="1493"/>
      <c r="GJ5" s="1493"/>
      <c r="GK5" s="1493"/>
      <c r="GL5" s="1493"/>
      <c r="GM5" s="1493"/>
      <c r="GN5" s="1493"/>
      <c r="GO5" s="1493"/>
      <c r="GP5" s="1493"/>
      <c r="GQ5" s="1493"/>
      <c r="GR5" s="1493"/>
      <c r="GS5" s="1493"/>
      <c r="GT5" s="1493"/>
      <c r="GU5" s="1493"/>
      <c r="GV5" s="1493"/>
      <c r="GW5" s="1493"/>
      <c r="GX5" s="1493"/>
      <c r="GY5" s="1493"/>
      <c r="GZ5" s="1493"/>
      <c r="HA5" s="1493"/>
      <c r="HB5" s="1493"/>
      <c r="HC5" s="1493"/>
      <c r="HD5" s="1493"/>
      <c r="HE5" s="1493"/>
      <c r="HF5" s="1493"/>
      <c r="HG5" s="1493"/>
      <c r="HH5" s="1493"/>
      <c r="HI5" s="1493"/>
      <c r="HJ5" s="1493"/>
      <c r="HK5" s="1493"/>
      <c r="HL5" s="1493"/>
      <c r="HM5" s="1493"/>
      <c r="HN5" s="1493"/>
      <c r="HO5" s="1493"/>
      <c r="HP5" s="1493"/>
      <c r="HQ5" s="1493"/>
      <c r="HR5" s="1493"/>
      <c r="HS5" s="1493"/>
      <c r="HT5" s="1493"/>
      <c r="HU5" s="1493"/>
      <c r="HV5" s="1493"/>
      <c r="HW5" s="1493"/>
      <c r="HX5" s="1493"/>
      <c r="HY5" s="1493"/>
      <c r="HZ5" s="1493"/>
      <c r="IA5" s="1493"/>
      <c r="IB5" s="1493"/>
      <c r="IC5" s="1493"/>
      <c r="ID5" s="1493"/>
      <c r="IE5" s="1493"/>
      <c r="IF5" s="1493"/>
      <c r="IG5" s="1493"/>
      <c r="IH5" s="1493"/>
      <c r="II5" s="1493"/>
      <c r="IJ5" s="1493"/>
      <c r="IK5" s="1493"/>
      <c r="IL5" s="1493"/>
      <c r="IM5" s="1493"/>
      <c r="IN5" s="1493"/>
      <c r="IO5" s="1493"/>
      <c r="IP5" s="1493"/>
      <c r="IQ5" s="1493"/>
      <c r="IR5" s="1493"/>
      <c r="IS5" s="1493"/>
      <c r="IT5" s="1493"/>
      <c r="IU5" s="1493"/>
      <c r="IV5" s="1493"/>
      <c r="IW5" s="1493"/>
    </row>
    <row r="6" customFormat="false" ht="12.75" hidden="false" customHeight="false" outlineLevel="0" collapsed="false">
      <c r="A6" s="1493"/>
      <c r="B6" s="1499" t="s">
        <v>1782</v>
      </c>
      <c r="C6" s="1500" t="n">
        <v>36284</v>
      </c>
      <c r="D6" s="119" t="n">
        <v>150</v>
      </c>
      <c r="E6" s="1501" t="n">
        <v>0.92</v>
      </c>
      <c r="F6" s="1500" t="n">
        <f aca="false">Startops1</f>
        <v>36251</v>
      </c>
      <c r="G6" s="119" t="n">
        <v>150</v>
      </c>
      <c r="H6" s="1502"/>
      <c r="I6" s="1493"/>
      <c r="J6" s="1493"/>
      <c r="K6" s="1493"/>
      <c r="L6" s="1493"/>
      <c r="M6" s="1493"/>
      <c r="N6" s="1493"/>
      <c r="O6" s="1493"/>
      <c r="P6" s="1493"/>
      <c r="Q6" s="1493"/>
      <c r="R6" s="1493"/>
      <c r="S6" s="1493"/>
      <c r="T6" s="1493"/>
      <c r="U6" s="1493"/>
      <c r="V6" s="1493"/>
      <c r="W6" s="1493"/>
      <c r="X6" s="1493"/>
      <c r="Y6" s="1493"/>
      <c r="Z6" s="1493"/>
      <c r="AA6" s="1493"/>
      <c r="AB6" s="1493"/>
      <c r="AC6" s="1493"/>
      <c r="AD6" s="1493"/>
      <c r="AE6" s="1493"/>
      <c r="AF6" s="1493"/>
      <c r="AG6" s="1493"/>
      <c r="AH6" s="1493"/>
      <c r="AI6" s="1493"/>
      <c r="AJ6" s="1493"/>
      <c r="AK6" s="1493"/>
      <c r="AL6" s="1493"/>
      <c r="AM6" s="1493"/>
      <c r="AN6" s="1493"/>
      <c r="AO6" s="1493"/>
      <c r="AP6" s="1493"/>
      <c r="AQ6" s="1493"/>
      <c r="AR6" s="1493"/>
      <c r="AS6" s="1493"/>
      <c r="AT6" s="1493"/>
      <c r="AU6" s="1493"/>
      <c r="AV6" s="1493"/>
      <c r="AW6" s="1493"/>
      <c r="AX6" s="1493"/>
      <c r="AY6" s="1493"/>
      <c r="AZ6" s="1493"/>
      <c r="BA6" s="1493"/>
      <c r="BB6" s="1493"/>
      <c r="BC6" s="1493"/>
      <c r="BD6" s="1493"/>
      <c r="BE6" s="1493"/>
      <c r="BF6" s="1493"/>
      <c r="BG6" s="1493"/>
      <c r="BH6" s="1493"/>
      <c r="BI6" s="1493"/>
      <c r="BJ6" s="1493"/>
      <c r="BK6" s="1493"/>
      <c r="BL6" s="1493"/>
      <c r="BM6" s="1493"/>
      <c r="BN6" s="1493"/>
      <c r="BO6" s="1493"/>
      <c r="BP6" s="1493"/>
      <c r="BQ6" s="1493"/>
      <c r="BR6" s="1493"/>
      <c r="BS6" s="1493"/>
      <c r="BT6" s="1493"/>
      <c r="BU6" s="1493"/>
      <c r="BV6" s="1493"/>
      <c r="BW6" s="1493"/>
      <c r="BX6" s="1493"/>
      <c r="BY6" s="1493"/>
      <c r="BZ6" s="1493"/>
      <c r="CA6" s="1493"/>
      <c r="CB6" s="1493"/>
      <c r="CC6" s="1493"/>
      <c r="CD6" s="1493"/>
      <c r="CE6" s="1493"/>
      <c r="CF6" s="1493"/>
      <c r="CG6" s="1493"/>
      <c r="CH6" s="1493"/>
      <c r="CI6" s="1493"/>
      <c r="CJ6" s="1493"/>
      <c r="CK6" s="1493"/>
      <c r="CL6" s="1493"/>
      <c r="CM6" s="1493"/>
      <c r="CN6" s="1493"/>
      <c r="CO6" s="1493"/>
      <c r="CP6" s="1493"/>
      <c r="CQ6" s="1493"/>
      <c r="CR6" s="1493"/>
      <c r="CS6" s="1493"/>
      <c r="CT6" s="1493"/>
      <c r="CU6" s="1493"/>
      <c r="CV6" s="1493"/>
      <c r="CW6" s="1493"/>
      <c r="CX6" s="1493"/>
      <c r="CY6" s="1493"/>
      <c r="CZ6" s="1493"/>
      <c r="DA6" s="1493"/>
      <c r="DB6" s="1493"/>
      <c r="DC6" s="1493"/>
      <c r="DD6" s="1493"/>
      <c r="DE6" s="1493"/>
      <c r="DF6" s="1493"/>
      <c r="DG6" s="1493"/>
      <c r="DH6" s="1493"/>
      <c r="DI6" s="1493"/>
      <c r="DJ6" s="1493"/>
      <c r="DK6" s="1493"/>
      <c r="DL6" s="1493"/>
      <c r="DM6" s="1493"/>
      <c r="DN6" s="1493"/>
      <c r="DO6" s="1493"/>
      <c r="DP6" s="1493"/>
      <c r="DQ6" s="1493"/>
      <c r="DR6" s="1493"/>
      <c r="DS6" s="1493"/>
      <c r="DT6" s="1493"/>
      <c r="DU6" s="1493"/>
      <c r="DV6" s="1493"/>
      <c r="DW6" s="1493"/>
      <c r="DX6" s="1493"/>
      <c r="DY6" s="1493"/>
      <c r="DZ6" s="1493"/>
      <c r="EA6" s="1493"/>
      <c r="EB6" s="1493"/>
      <c r="EC6" s="1493"/>
      <c r="ED6" s="1493"/>
      <c r="EE6" s="1493"/>
      <c r="EF6" s="1493"/>
      <c r="EG6" s="1493"/>
      <c r="EH6" s="1493"/>
      <c r="EI6" s="1493"/>
      <c r="EJ6" s="1493"/>
      <c r="EK6" s="1493"/>
      <c r="EL6" s="1493"/>
      <c r="EM6" s="1493"/>
      <c r="EN6" s="1493"/>
      <c r="EO6" s="1493"/>
      <c r="EP6" s="1493"/>
      <c r="EQ6" s="1493"/>
      <c r="ER6" s="1493"/>
      <c r="ES6" s="1493"/>
      <c r="ET6" s="1493"/>
      <c r="EU6" s="1493"/>
      <c r="EV6" s="1493"/>
      <c r="EW6" s="1493"/>
      <c r="EX6" s="1493"/>
      <c r="EY6" s="1493"/>
      <c r="EZ6" s="1493"/>
      <c r="FA6" s="1493"/>
      <c r="FB6" s="1493"/>
      <c r="FC6" s="1493"/>
      <c r="FD6" s="1493"/>
      <c r="FE6" s="1493"/>
      <c r="FF6" s="1493"/>
      <c r="FG6" s="1493"/>
      <c r="FH6" s="1493"/>
      <c r="FI6" s="1493"/>
      <c r="FJ6" s="1493"/>
      <c r="FK6" s="1493"/>
      <c r="FL6" s="1493"/>
      <c r="FM6" s="1493"/>
      <c r="FN6" s="1493"/>
      <c r="FO6" s="1493"/>
      <c r="FP6" s="1493"/>
      <c r="FQ6" s="1493"/>
      <c r="FR6" s="1493"/>
      <c r="FS6" s="1493"/>
      <c r="FT6" s="1493"/>
      <c r="FU6" s="1493"/>
      <c r="FV6" s="1493"/>
      <c r="FW6" s="1493"/>
      <c r="FX6" s="1493"/>
      <c r="FY6" s="1493"/>
      <c r="FZ6" s="1493"/>
      <c r="GA6" s="1493"/>
      <c r="GB6" s="1493"/>
      <c r="GC6" s="1493"/>
      <c r="GD6" s="1493"/>
      <c r="GE6" s="1493"/>
      <c r="GF6" s="1493"/>
      <c r="GG6" s="1493"/>
      <c r="GH6" s="1493"/>
      <c r="GI6" s="1493"/>
      <c r="GJ6" s="1493"/>
      <c r="GK6" s="1493"/>
      <c r="GL6" s="1493"/>
      <c r="GM6" s="1493"/>
      <c r="GN6" s="1493"/>
      <c r="GO6" s="1493"/>
      <c r="GP6" s="1493"/>
      <c r="GQ6" s="1493"/>
      <c r="GR6" s="1493"/>
      <c r="GS6" s="1493"/>
      <c r="GT6" s="1493"/>
      <c r="GU6" s="1493"/>
      <c r="GV6" s="1493"/>
      <c r="GW6" s="1493"/>
      <c r="GX6" s="1493"/>
      <c r="GY6" s="1493"/>
      <c r="GZ6" s="1493"/>
      <c r="HA6" s="1493"/>
      <c r="HB6" s="1493"/>
      <c r="HC6" s="1493"/>
      <c r="HD6" s="1493"/>
      <c r="HE6" s="1493"/>
      <c r="HF6" s="1493"/>
      <c r="HG6" s="1493"/>
      <c r="HH6" s="1493"/>
      <c r="HI6" s="1493"/>
      <c r="HJ6" s="1493"/>
      <c r="HK6" s="1493"/>
      <c r="HL6" s="1493"/>
      <c r="HM6" s="1493"/>
      <c r="HN6" s="1493"/>
      <c r="HO6" s="1493"/>
      <c r="HP6" s="1493"/>
      <c r="HQ6" s="1493"/>
      <c r="HR6" s="1493"/>
      <c r="HS6" s="1493"/>
      <c r="HT6" s="1493"/>
      <c r="HU6" s="1493"/>
      <c r="HV6" s="1493"/>
      <c r="HW6" s="1493"/>
      <c r="HX6" s="1493"/>
      <c r="HY6" s="1493"/>
      <c r="HZ6" s="1493"/>
      <c r="IA6" s="1493"/>
      <c r="IB6" s="1493"/>
      <c r="IC6" s="1493"/>
      <c r="ID6" s="1493"/>
      <c r="IE6" s="1493"/>
      <c r="IF6" s="1493"/>
      <c r="IG6" s="1493"/>
      <c r="IH6" s="1493"/>
      <c r="II6" s="1493"/>
      <c r="IJ6" s="1493"/>
      <c r="IK6" s="1493"/>
      <c r="IL6" s="1493"/>
      <c r="IM6" s="1493"/>
      <c r="IN6" s="1493"/>
      <c r="IO6" s="1493"/>
      <c r="IP6" s="1493"/>
      <c r="IQ6" s="1493"/>
      <c r="IR6" s="1493"/>
      <c r="IS6" s="1493"/>
      <c r="IT6" s="1493"/>
      <c r="IU6" s="1493"/>
      <c r="IV6" s="1493"/>
      <c r="IW6" s="1493"/>
    </row>
    <row r="7" customFormat="false" ht="12.75" hidden="false" customHeight="false" outlineLevel="0" collapsed="false">
      <c r="B7" s="1503" t="s">
        <v>1783</v>
      </c>
      <c r="C7" s="1500" t="n">
        <v>36647</v>
      </c>
      <c r="D7" s="1504" t="n">
        <v>300</v>
      </c>
      <c r="E7" s="1505" t="n">
        <v>0.92</v>
      </c>
      <c r="F7" s="1500" t="n">
        <f aca="false">Startops2</f>
        <v>36951</v>
      </c>
      <c r="G7" s="1504" t="n">
        <v>150</v>
      </c>
      <c r="H7" s="1502"/>
    </row>
    <row r="8" customFormat="false" ht="12.75" hidden="false" customHeight="false" outlineLevel="0" collapsed="false">
      <c r="B8" s="1503" t="s">
        <v>1784</v>
      </c>
      <c r="C8" s="1500" t="s">
        <v>1582</v>
      </c>
      <c r="D8" s="1504" t="s">
        <v>1582</v>
      </c>
      <c r="E8" s="1505" t="n">
        <v>1</v>
      </c>
      <c r="F8" s="1500" t="n">
        <f aca="false">EDATE(F7,1)</f>
        <v>36982</v>
      </c>
      <c r="G8" s="1506" t="n">
        <f aca="false">Tariff!R14</f>
        <v>237.779371584699</v>
      </c>
      <c r="H8" s="1502" t="n">
        <v>1</v>
      </c>
      <c r="I8" s="1075" t="s">
        <v>1785</v>
      </c>
    </row>
    <row r="9" customFormat="false" ht="12.75" hidden="false" customHeight="false" outlineLevel="0" collapsed="false">
      <c r="B9" s="1507" t="s">
        <v>1786</v>
      </c>
      <c r="C9" s="1508" t="n">
        <v>37012</v>
      </c>
      <c r="D9" s="1509" t="n">
        <v>480</v>
      </c>
      <c r="E9" s="1510" t="n">
        <v>0.92</v>
      </c>
      <c r="F9" s="1508" t="n">
        <f aca="false">Startops3</f>
        <v>37104</v>
      </c>
      <c r="G9" s="1509" t="n">
        <v>480</v>
      </c>
      <c r="H9" s="1511"/>
    </row>
    <row r="10" customFormat="false" ht="12.75" hidden="false" customHeight="false" outlineLevel="0" collapsed="false">
      <c r="C10" s="1512"/>
      <c r="I10" s="1513"/>
    </row>
    <row r="14" customFormat="false" ht="25.5" hidden="false" customHeight="false" outlineLevel="0" collapsed="false">
      <c r="A14" s="1514"/>
      <c r="B14" s="1515" t="s">
        <v>1787</v>
      </c>
      <c r="C14" s="1514" t="s">
        <v>1788</v>
      </c>
      <c r="D14" s="1514" t="s">
        <v>1789</v>
      </c>
      <c r="E14" s="1514" t="s">
        <v>1790</v>
      </c>
      <c r="F14" s="1514" t="s">
        <v>1791</v>
      </c>
      <c r="G14" s="1515" t="s">
        <v>743</v>
      </c>
      <c r="H14" s="1514"/>
      <c r="I14" s="1515"/>
      <c r="J14" s="1514"/>
      <c r="K14" s="1514"/>
      <c r="L14" s="1514"/>
      <c r="M14" s="1514"/>
      <c r="N14" s="1514"/>
      <c r="O14" s="1514"/>
      <c r="P14" s="1514"/>
      <c r="Q14" s="1514"/>
      <c r="R14" s="1514"/>
      <c r="S14" s="1514"/>
      <c r="T14" s="1514"/>
      <c r="U14" s="1514"/>
      <c r="V14" s="1514"/>
      <c r="W14" s="1514"/>
      <c r="X14" s="1514"/>
      <c r="Y14" s="1514"/>
      <c r="Z14" s="1514"/>
      <c r="AA14" s="1514"/>
      <c r="AB14" s="1514"/>
      <c r="AC14" s="1514"/>
      <c r="AD14" s="1514"/>
      <c r="AE14" s="1514"/>
      <c r="AF14" s="1514"/>
      <c r="AG14" s="1514"/>
      <c r="AH14" s="1514"/>
      <c r="AI14" s="1514"/>
      <c r="AJ14" s="1514"/>
      <c r="AK14" s="1514"/>
      <c r="AL14" s="1514"/>
      <c r="AM14" s="1514"/>
      <c r="AN14" s="1514"/>
      <c r="AO14" s="1514"/>
      <c r="AP14" s="1514"/>
      <c r="AQ14" s="1514"/>
      <c r="AR14" s="1514"/>
      <c r="AS14" s="1514"/>
      <c r="AT14" s="1514"/>
      <c r="AU14" s="1514"/>
      <c r="AV14" s="1514"/>
      <c r="AW14" s="1514"/>
      <c r="AX14" s="1514"/>
      <c r="AY14" s="1514"/>
      <c r="AZ14" s="1514"/>
      <c r="BA14" s="1514"/>
      <c r="BB14" s="1514"/>
      <c r="BC14" s="1514"/>
      <c r="BD14" s="1514"/>
      <c r="BE14" s="1514"/>
      <c r="BF14" s="1514"/>
      <c r="BG14" s="1514"/>
      <c r="BH14" s="1514"/>
      <c r="BI14" s="1514"/>
      <c r="BJ14" s="1514"/>
      <c r="BK14" s="1514"/>
      <c r="BL14" s="1514"/>
      <c r="BM14" s="1514"/>
      <c r="BN14" s="1514"/>
      <c r="BO14" s="1514"/>
      <c r="BP14" s="1514"/>
      <c r="BQ14" s="1514"/>
      <c r="BR14" s="1514"/>
      <c r="BS14" s="1514"/>
      <c r="BT14" s="1514"/>
      <c r="BU14" s="1514"/>
      <c r="BV14" s="1514"/>
      <c r="BW14" s="1514"/>
      <c r="BX14" s="1514"/>
      <c r="BY14" s="1514"/>
      <c r="BZ14" s="1514"/>
      <c r="CA14" s="1514"/>
      <c r="CB14" s="1514"/>
      <c r="CC14" s="1514"/>
      <c r="CD14" s="1514"/>
      <c r="CE14" s="1514"/>
      <c r="CF14" s="1514"/>
      <c r="CG14" s="1514"/>
      <c r="CH14" s="1514"/>
      <c r="CI14" s="1514"/>
      <c r="CJ14" s="1514"/>
      <c r="CK14" s="1514"/>
      <c r="CL14" s="1514"/>
      <c r="CM14" s="1514"/>
      <c r="CN14" s="1514"/>
      <c r="CO14" s="1514"/>
      <c r="CP14" s="1514"/>
      <c r="CQ14" s="1514"/>
      <c r="CR14" s="1514"/>
      <c r="CS14" s="1514"/>
      <c r="CT14" s="1514"/>
      <c r="CU14" s="1514"/>
      <c r="CV14" s="1514"/>
      <c r="CW14" s="1514"/>
      <c r="CX14" s="1514"/>
      <c r="CY14" s="1514"/>
      <c r="CZ14" s="1514"/>
      <c r="DA14" s="1514"/>
      <c r="DB14" s="1514"/>
      <c r="DC14" s="1514"/>
      <c r="DD14" s="1514"/>
      <c r="DE14" s="1514"/>
      <c r="DF14" s="1514"/>
      <c r="DG14" s="1514"/>
      <c r="DH14" s="1514"/>
      <c r="DI14" s="1514"/>
      <c r="DJ14" s="1514"/>
      <c r="DK14" s="1514"/>
      <c r="DL14" s="1514"/>
      <c r="DM14" s="1514"/>
      <c r="DN14" s="1514"/>
      <c r="DO14" s="1514"/>
      <c r="DP14" s="1514"/>
      <c r="DQ14" s="1514"/>
      <c r="DR14" s="1514"/>
      <c r="DS14" s="1514"/>
      <c r="DT14" s="1514"/>
      <c r="DU14" s="1514"/>
      <c r="DV14" s="1514"/>
      <c r="DW14" s="1514"/>
      <c r="DX14" s="1514"/>
      <c r="DY14" s="1514"/>
      <c r="DZ14" s="1514"/>
      <c r="EA14" s="1514"/>
      <c r="EB14" s="1514"/>
      <c r="EC14" s="1514"/>
      <c r="ED14" s="1514"/>
      <c r="EE14" s="1514"/>
      <c r="EF14" s="1514"/>
      <c r="EG14" s="1514"/>
      <c r="EH14" s="1514"/>
      <c r="EI14" s="1514"/>
      <c r="EJ14" s="1514"/>
      <c r="EK14" s="1514"/>
      <c r="EL14" s="1514"/>
      <c r="EM14" s="1514"/>
      <c r="EN14" s="1514"/>
      <c r="EO14" s="1514"/>
      <c r="EP14" s="1514"/>
      <c r="EQ14" s="1514"/>
      <c r="ER14" s="1514"/>
      <c r="ES14" s="1514"/>
      <c r="ET14" s="1514"/>
      <c r="EU14" s="1514"/>
      <c r="EV14" s="1514"/>
      <c r="EW14" s="1514"/>
      <c r="EX14" s="1514"/>
      <c r="EY14" s="1514"/>
      <c r="EZ14" s="1514"/>
      <c r="FA14" s="1514"/>
      <c r="FB14" s="1514"/>
      <c r="FC14" s="1514"/>
      <c r="FD14" s="1514"/>
      <c r="FE14" s="1514"/>
      <c r="FF14" s="1514"/>
      <c r="FG14" s="1514"/>
      <c r="FH14" s="1514"/>
      <c r="FI14" s="1514"/>
      <c r="FJ14" s="1514"/>
      <c r="FK14" s="1514"/>
      <c r="FL14" s="1514"/>
      <c r="FM14" s="1514"/>
      <c r="FN14" s="1514"/>
      <c r="FO14" s="1514"/>
      <c r="FP14" s="1514"/>
      <c r="FQ14" s="1514"/>
      <c r="FR14" s="1514"/>
      <c r="FS14" s="1514"/>
      <c r="FT14" s="1514"/>
      <c r="FU14" s="1514"/>
      <c r="FV14" s="1514"/>
      <c r="FW14" s="1514"/>
      <c r="FX14" s="1514"/>
      <c r="FY14" s="1514"/>
      <c r="FZ14" s="1514"/>
      <c r="GA14" s="1514"/>
      <c r="GB14" s="1514"/>
      <c r="GC14" s="1514"/>
      <c r="GD14" s="1514"/>
      <c r="GE14" s="1514"/>
      <c r="GF14" s="1514"/>
      <c r="GG14" s="1514"/>
      <c r="GH14" s="1514"/>
      <c r="GI14" s="1514"/>
      <c r="GJ14" s="1514"/>
      <c r="GK14" s="1514"/>
      <c r="GL14" s="1514"/>
      <c r="GM14" s="1514"/>
      <c r="GN14" s="1514"/>
      <c r="GO14" s="1514"/>
      <c r="GP14" s="1514"/>
      <c r="GQ14" s="1514"/>
      <c r="GR14" s="1514"/>
      <c r="GS14" s="1514"/>
      <c r="GT14" s="1514"/>
      <c r="GU14" s="1514"/>
      <c r="GV14" s="1514"/>
      <c r="GW14" s="1514"/>
      <c r="GX14" s="1514"/>
      <c r="GY14" s="1514"/>
      <c r="GZ14" s="1514"/>
      <c r="HA14" s="1514"/>
      <c r="HB14" s="1514"/>
      <c r="HC14" s="1514"/>
      <c r="HD14" s="1514"/>
      <c r="HE14" s="1514"/>
      <c r="HF14" s="1514"/>
      <c r="HG14" s="1514"/>
      <c r="HH14" s="1514"/>
      <c r="HI14" s="1514"/>
      <c r="HJ14" s="1514"/>
      <c r="HK14" s="1514"/>
      <c r="HL14" s="1514"/>
      <c r="HM14" s="1514"/>
      <c r="HN14" s="1514"/>
      <c r="HO14" s="1514"/>
      <c r="HP14" s="1514"/>
      <c r="HQ14" s="1514"/>
      <c r="HR14" s="1514"/>
      <c r="HS14" s="1514"/>
      <c r="HT14" s="1514"/>
      <c r="HU14" s="1514"/>
      <c r="HV14" s="1514"/>
      <c r="HW14" s="1514"/>
      <c r="HX14" s="1514"/>
      <c r="HY14" s="1514"/>
      <c r="HZ14" s="1514"/>
      <c r="IA14" s="1514"/>
      <c r="IB14" s="1514"/>
      <c r="IC14" s="1514"/>
      <c r="ID14" s="1514"/>
      <c r="IE14" s="1514"/>
      <c r="IF14" s="1514"/>
      <c r="IG14" s="1514"/>
      <c r="IH14" s="1514"/>
      <c r="II14" s="1514"/>
      <c r="IJ14" s="1514"/>
      <c r="IK14" s="1514"/>
      <c r="IL14" s="1514"/>
      <c r="IM14" s="1514"/>
      <c r="IN14" s="1514"/>
      <c r="IO14" s="1514"/>
      <c r="IP14" s="1514"/>
      <c r="IQ14" s="1514"/>
      <c r="IR14" s="1514"/>
      <c r="IS14" s="1514"/>
      <c r="IT14" s="1514"/>
      <c r="IU14" s="1514"/>
      <c r="IV14" s="1514"/>
      <c r="IW14" s="1514"/>
    </row>
    <row r="15" customFormat="false" ht="12.75" hidden="false" customHeight="false" outlineLevel="0" collapsed="false">
      <c r="B15" s="1516" t="n">
        <v>36251</v>
      </c>
      <c r="C15" s="1075" t="n">
        <f aca="false">IF(B15&lt;PPA_COD_PhII,$D$6,IF(B15&lt;$C$9,$D$7,$D$9))</f>
        <v>150</v>
      </c>
      <c r="D15" s="1075" t="n">
        <f aca="false">IF(B15&lt;$F$8,$G$6,IF(B15&lt;$F$9,$G$8,$G$9))</f>
        <v>150</v>
      </c>
      <c r="E15" s="1517" t="n">
        <v>0.92</v>
      </c>
      <c r="F15" s="1518" t="n">
        <f aca="false">IF(OR(B15&lt;$F$8,$F$9&lt;=B15),MIN($E$6,D15/C15),$H$8)</f>
        <v>0.92</v>
      </c>
      <c r="G15" s="1517" t="n">
        <v>0.92</v>
      </c>
      <c r="H15" s="1075" t="str">
        <f aca="false">IF(G15&gt;=$E$6," ","LDs")</f>
        <v> </v>
      </c>
    </row>
    <row r="16" customFormat="false" ht="12.75" hidden="false" customHeight="false" outlineLevel="0" collapsed="false">
      <c r="B16" s="1516" t="n">
        <v>36281</v>
      </c>
      <c r="C16" s="1075" t="n">
        <f aca="false">IF(B16&lt;PPA_COD_PhII,$D$6,IF(B16&lt;$C$9,$D$7,$D$9))</f>
        <v>150</v>
      </c>
      <c r="D16" s="1075" t="n">
        <f aca="false">IF(B16&lt;$F$8,$G$6,IF(B16&lt;$F$9,$G$8,$G$9))</f>
        <v>150</v>
      </c>
      <c r="E16" s="1517" t="n">
        <v>0.92</v>
      </c>
      <c r="F16" s="1518" t="n">
        <f aca="false">IF(OR(B16&lt;$F$8,$F$9&lt;=B16),MIN($E$6,D16/C16),$H$8)</f>
        <v>0.92</v>
      </c>
      <c r="G16" s="1517" t="n">
        <v>0.92</v>
      </c>
      <c r="H16" s="1075" t="str">
        <f aca="false">IF(G16&gt;=$E$6," ","LDs")</f>
        <v> </v>
      </c>
    </row>
    <row r="17" customFormat="false" ht="12.75" hidden="false" customHeight="false" outlineLevel="0" collapsed="false">
      <c r="B17" s="1516" t="n">
        <v>36312</v>
      </c>
      <c r="C17" s="1075" t="n">
        <f aca="false">IF(B17&lt;PPA_COD_PhII,$D$6,IF(B17&lt;$C$9,$D$7,$D$9))</f>
        <v>150</v>
      </c>
      <c r="D17" s="1075" t="n">
        <f aca="false">IF(B17&lt;$F$8,$G$6,IF(B17&lt;$F$9,$G$8,$G$9))</f>
        <v>150</v>
      </c>
      <c r="E17" s="1517" t="n">
        <v>0.92</v>
      </c>
      <c r="F17" s="1518" t="n">
        <f aca="false">IF(OR(B17&lt;$F$8,$F$9&lt;=B17),MIN($E$6,D17/C17),$H$8)</f>
        <v>0.92</v>
      </c>
      <c r="G17" s="1517" t="n">
        <v>0.92</v>
      </c>
      <c r="H17" s="1075" t="str">
        <f aca="false">IF(G17&gt;=$E$6," ","LDs")</f>
        <v> </v>
      </c>
    </row>
    <row r="18" customFormat="false" ht="12.75" hidden="false" customHeight="false" outlineLevel="0" collapsed="false">
      <c r="B18" s="1516" t="n">
        <v>36342</v>
      </c>
      <c r="C18" s="1075" t="n">
        <f aca="false">IF(B18&lt;PPA_COD_PhII,$D$6,IF(B18&lt;$C$9,$D$7,$D$9))</f>
        <v>150</v>
      </c>
      <c r="D18" s="1075" t="n">
        <f aca="false">IF(B18&lt;$F$8,$G$6,IF(B18&lt;$F$9,$G$8,$G$9))</f>
        <v>150</v>
      </c>
      <c r="E18" s="1517" t="n">
        <v>0.92</v>
      </c>
      <c r="F18" s="1518" t="n">
        <f aca="false">IF(OR(B18&lt;$F$8,$F$9&lt;=B18),MIN($E$6,D18/C18),$H$8)</f>
        <v>0.92</v>
      </c>
      <c r="G18" s="1517" t="n">
        <v>0.92</v>
      </c>
      <c r="H18" s="1075" t="str">
        <f aca="false">IF(G18&gt;=$E$6," ","LDs")</f>
        <v> </v>
      </c>
    </row>
    <row r="19" customFormat="false" ht="12.75" hidden="false" customHeight="false" outlineLevel="0" collapsed="false">
      <c r="B19" s="1516" t="n">
        <v>36373</v>
      </c>
      <c r="C19" s="1075" t="n">
        <f aca="false">IF(B19&lt;PPA_COD_PhII,$D$6,IF(B19&lt;$C$9,$D$7,$D$9))</f>
        <v>150</v>
      </c>
      <c r="D19" s="1075" t="n">
        <f aca="false">IF(B19&lt;$F$8,$G$6,IF(B19&lt;$F$9,$G$8,$G$9))</f>
        <v>150</v>
      </c>
      <c r="E19" s="1517" t="n">
        <v>0.92</v>
      </c>
      <c r="F19" s="1518" t="n">
        <f aca="false">IF(OR(B19&lt;$F$8,$F$9&lt;=B19),MIN($E$6,D19/C19),$H$8)</f>
        <v>0.92</v>
      </c>
      <c r="G19" s="1517" t="n">
        <v>0.92</v>
      </c>
      <c r="H19" s="1075" t="str">
        <f aca="false">IF(G19&gt;=$E$6," ","LDs")</f>
        <v> </v>
      </c>
    </row>
    <row r="20" customFormat="false" ht="12.75" hidden="false" customHeight="false" outlineLevel="0" collapsed="false">
      <c r="B20" s="1516" t="n">
        <v>36404</v>
      </c>
      <c r="C20" s="1075" t="n">
        <f aca="false">IF(B20&lt;PPA_COD_PhII,$D$6,IF(B20&lt;$C$9,$D$7,$D$9))</f>
        <v>150</v>
      </c>
      <c r="D20" s="1075" t="n">
        <f aca="false">IF(B20&lt;$F$8,$G$6,IF(B20&lt;$F$9,$G$8,$G$9))</f>
        <v>150</v>
      </c>
      <c r="E20" s="1517" t="n">
        <v>0.92</v>
      </c>
      <c r="F20" s="1518" t="n">
        <f aca="false">IF(OR(B20&lt;$F$8,$F$9&lt;=B20),MIN($E$6,D20/C20),$H$8)</f>
        <v>0.92</v>
      </c>
      <c r="G20" s="1517" t="n">
        <v>0.92</v>
      </c>
      <c r="H20" s="1075" t="str">
        <f aca="false">IF(G20&gt;=$E$6," ","LDs")</f>
        <v> </v>
      </c>
    </row>
    <row r="21" customFormat="false" ht="12.75" hidden="false" customHeight="false" outlineLevel="0" collapsed="false">
      <c r="B21" s="1516" t="n">
        <v>36434</v>
      </c>
      <c r="C21" s="1075" t="n">
        <f aca="false">IF(B21&lt;PPA_COD_PhII,$D$6,IF(B21&lt;$C$9,$D$7,$D$9))</f>
        <v>150</v>
      </c>
      <c r="D21" s="1075" t="n">
        <f aca="false">IF(B21&lt;$F$8,$G$6,IF(B21&lt;$F$9,$G$8,$G$9))</f>
        <v>150</v>
      </c>
      <c r="E21" s="1517" t="n">
        <v>0.92</v>
      </c>
      <c r="F21" s="1518" t="n">
        <f aca="false">IF(OR(B21&lt;$F$8,$F$9&lt;=B21),MIN($E$6,D21/C21),$H$8)</f>
        <v>0.92</v>
      </c>
      <c r="G21" s="1517" t="n">
        <v>0.92</v>
      </c>
      <c r="H21" s="1075" t="str">
        <f aca="false">IF(G21&gt;=$E$6," ","LDs")</f>
        <v> </v>
      </c>
    </row>
    <row r="22" customFormat="false" ht="12.75" hidden="false" customHeight="false" outlineLevel="0" collapsed="false">
      <c r="B22" s="1516" t="n">
        <v>36465</v>
      </c>
      <c r="C22" s="1075" t="n">
        <f aca="false">IF(B22&lt;PPA_COD_PhII,$D$6,IF(B22&lt;$C$9,$D$7,$D$9))</f>
        <v>150</v>
      </c>
      <c r="D22" s="1075" t="n">
        <f aca="false">IF(B22&lt;$F$8,$G$6,IF(B22&lt;$F$9,$G$8,$G$9))</f>
        <v>150</v>
      </c>
      <c r="E22" s="1517" t="n">
        <v>0.92</v>
      </c>
      <c r="F22" s="1518" t="n">
        <f aca="false">IF(OR(B22&lt;$F$8,$F$9&lt;=B22),MIN($E$6,D22/C22),$H$8)</f>
        <v>0.92</v>
      </c>
      <c r="G22" s="1517" t="n">
        <v>0.92</v>
      </c>
      <c r="H22" s="1075" t="str">
        <f aca="false">IF(G22&gt;=$E$6," ","LDs")</f>
        <v> </v>
      </c>
    </row>
    <row r="23" customFormat="false" ht="12.75" hidden="false" customHeight="false" outlineLevel="0" collapsed="false">
      <c r="B23" s="1516" t="n">
        <v>36495</v>
      </c>
      <c r="C23" s="1075" t="n">
        <f aca="false">IF(B23&lt;PPA_COD_PhII,$D$6,IF(B23&lt;$C$9,$D$7,$D$9))</f>
        <v>150</v>
      </c>
      <c r="D23" s="1075" t="n">
        <f aca="false">IF(B23&lt;$F$8,$G$6,IF(B23&lt;$F$9,$G$8,$G$9))</f>
        <v>150</v>
      </c>
      <c r="E23" s="1517" t="n">
        <v>0.92</v>
      </c>
      <c r="F23" s="1518" t="n">
        <f aca="false">IF(OR(B23&lt;$F$8,$F$9&lt;=B23),MIN($E$6,D23/C23),$H$8)</f>
        <v>0.92</v>
      </c>
      <c r="G23" s="1517" t="n">
        <v>0.92</v>
      </c>
      <c r="H23" s="1075" t="str">
        <f aca="false">IF(G23&gt;=$E$6," ","LDs")</f>
        <v> </v>
      </c>
    </row>
    <row r="24" customFormat="false" ht="12.75" hidden="false" customHeight="false" outlineLevel="0" collapsed="false">
      <c r="B24" s="1516" t="n">
        <v>36526</v>
      </c>
      <c r="C24" s="1075" t="n">
        <f aca="false">IF(B24&lt;PPA_COD_PhII,$D$6,IF(B24&lt;$C$9,$D$7,$D$9))</f>
        <v>150</v>
      </c>
      <c r="D24" s="1075" t="n">
        <f aca="false">IF(B24&lt;$F$8,$G$6,IF(B24&lt;$F$9,$G$8,$G$9))</f>
        <v>150</v>
      </c>
      <c r="E24" s="1517" t="n">
        <v>0.92</v>
      </c>
      <c r="F24" s="1518" t="n">
        <f aca="false">IF(OR(B24&lt;$F$8,$F$9&lt;=B24),MIN($E$6,D24/C24),$H$8)</f>
        <v>0.92</v>
      </c>
      <c r="G24" s="1517" t="n">
        <v>0.92</v>
      </c>
      <c r="H24" s="1075" t="str">
        <f aca="false">IF(G24&gt;=$E$6," ","LDs")</f>
        <v> </v>
      </c>
    </row>
    <row r="25" customFormat="false" ht="12.75" hidden="false" customHeight="false" outlineLevel="0" collapsed="false">
      <c r="B25" s="1516" t="n">
        <v>36557</v>
      </c>
      <c r="C25" s="1075" t="n">
        <f aca="false">IF(B25&lt;PPA_COD_PhII,$D$6,IF(B25&lt;$C$9,$D$7,$D$9))</f>
        <v>150</v>
      </c>
      <c r="D25" s="1075" t="n">
        <f aca="false">IF(B25&lt;$F$8,$G$6,IF(B25&lt;$F$9,$G$8,$G$9))</f>
        <v>150</v>
      </c>
      <c r="E25" s="1517" t="n">
        <v>0.92</v>
      </c>
      <c r="F25" s="1518" t="n">
        <f aca="false">IF(OR(B25&lt;$F$8,$F$9&lt;=B25),MIN($E$6,D25/C25),$H$8)</f>
        <v>0.92</v>
      </c>
      <c r="G25" s="1517" t="n">
        <v>0.92</v>
      </c>
      <c r="H25" s="1075" t="str">
        <f aca="false">IF(G25&gt;=$E$6," ","LDs")</f>
        <v> </v>
      </c>
    </row>
    <row r="26" customFormat="false" ht="12.75" hidden="false" customHeight="false" outlineLevel="0" collapsed="false">
      <c r="B26" s="1516" t="n">
        <v>36586</v>
      </c>
      <c r="C26" s="1075" t="n">
        <f aca="false">IF(B26&lt;PPA_COD_PhII,$D$6,IF(B26&lt;$C$9,$D$7,$D$9))</f>
        <v>150</v>
      </c>
      <c r="D26" s="1075" t="n">
        <f aca="false">IF(B26&lt;$F$8,$G$6,IF(B26&lt;$F$9,$G$8,$G$9))</f>
        <v>150</v>
      </c>
      <c r="E26" s="1517" t="n">
        <v>0.92</v>
      </c>
      <c r="F26" s="1518" t="n">
        <f aca="false">IF(OR(B26&lt;$F$8,$F$9&lt;=B26),MIN($E$6,D26/C26),$H$8)</f>
        <v>0.92</v>
      </c>
      <c r="G26" s="1517" t="n">
        <v>0.92</v>
      </c>
      <c r="H26" s="1075" t="str">
        <f aca="false">IF(G26&gt;=$E$6," ","LDs")</f>
        <v> </v>
      </c>
    </row>
    <row r="27" customFormat="false" ht="12.75" hidden="false" customHeight="false" outlineLevel="0" collapsed="false">
      <c r="B27" s="1516" t="n">
        <v>36617</v>
      </c>
      <c r="C27" s="1075" t="n">
        <f aca="false">IF(B27&lt;PPA_COD_PhII,$D$6,IF(B27&lt;$C$9,$D$7,$D$9))</f>
        <v>150</v>
      </c>
      <c r="D27" s="1075" t="n">
        <f aca="false">IF(B27&lt;$F$8,$G$6,IF(B27&lt;$F$9,$G$8,$G$9))</f>
        <v>150</v>
      </c>
      <c r="E27" s="1517" t="n">
        <v>0.92</v>
      </c>
      <c r="F27" s="1518" t="n">
        <f aca="false">IF(OR(B27&lt;$F$8,$F$9&lt;=B27),MIN($E$6,D27/C27),$H$8)</f>
        <v>0.92</v>
      </c>
      <c r="G27" s="1517" t="n">
        <f aca="false">SUM(F15:F26)/12</f>
        <v>0.92</v>
      </c>
      <c r="H27" s="1075" t="str">
        <f aca="false">IF(G27&gt;=$E$6," ","LDs")</f>
        <v> </v>
      </c>
    </row>
    <row r="28" customFormat="false" ht="12.75" hidden="false" customHeight="false" outlineLevel="0" collapsed="false">
      <c r="B28" s="1516" t="n">
        <v>36647</v>
      </c>
      <c r="C28" s="1075" t="n">
        <f aca="false">IF(B28&lt;PPA_COD_PhII,$D$6,IF(B28&lt;$C$9,$D$7,$D$9))</f>
        <v>300</v>
      </c>
      <c r="D28" s="1075" t="n">
        <f aca="false">IF(B28&lt;$F$8,$G$6,IF(B28&lt;$F$9,$G$8,$G$9))</f>
        <v>150</v>
      </c>
      <c r="E28" s="1517" t="n">
        <v>0.92</v>
      </c>
      <c r="F28" s="1518" t="n">
        <f aca="false">IF(OR(B28&lt;$F$8,$F$9&lt;=B28),MIN($E$6,D28/C28),$H$8)</f>
        <v>0.5</v>
      </c>
      <c r="G28" s="1517" t="n">
        <f aca="false">SUM(F16:F27)/12</f>
        <v>0.92</v>
      </c>
      <c r="H28" s="1075" t="str">
        <f aca="false">IF(G28&gt;=$E$6," ","LDs")</f>
        <v> </v>
      </c>
    </row>
    <row r="29" customFormat="false" ht="12.75" hidden="false" customHeight="false" outlineLevel="0" collapsed="false">
      <c r="B29" s="1516" t="n">
        <v>36678</v>
      </c>
      <c r="C29" s="1075" t="n">
        <f aca="false">IF(B29&lt;PPA_COD_PhII,$D$6,IF(B29&lt;$C$9,$D$7,$D$9))</f>
        <v>300</v>
      </c>
      <c r="D29" s="1075" t="n">
        <f aca="false">IF(B29&lt;$F$8,$G$6,IF(B29&lt;$F$9,$G$8,$G$9))</f>
        <v>150</v>
      </c>
      <c r="E29" s="1517" t="n">
        <v>0.92</v>
      </c>
      <c r="F29" s="1518" t="n">
        <f aca="false">IF(OR(B29&lt;$F$8,$F$9&lt;=B29),MIN($E$6,D29/C29),$H$8)</f>
        <v>0.5</v>
      </c>
      <c r="G29" s="1517" t="n">
        <f aca="false">SUM(F17:F28)/12</f>
        <v>0.885</v>
      </c>
      <c r="H29" s="1075" t="str">
        <f aca="false">IF(G29&gt;=$E$6," ","LDs")</f>
        <v>LDs</v>
      </c>
      <c r="O29" s="1519"/>
    </row>
    <row r="30" customFormat="false" ht="12.75" hidden="false" customHeight="false" outlineLevel="0" collapsed="false">
      <c r="B30" s="1516" t="n">
        <v>36708</v>
      </c>
      <c r="C30" s="1075" t="n">
        <f aca="false">IF(B30&lt;PPA_COD_PhII,$D$6,IF(B30&lt;$C$9,$D$7,$D$9))</f>
        <v>300</v>
      </c>
      <c r="D30" s="1075" t="n">
        <f aca="false">IF(B30&lt;$F$8,$G$6,IF(B30&lt;$F$9,$G$8,$G$9))</f>
        <v>150</v>
      </c>
      <c r="E30" s="1517" t="n">
        <v>0.92</v>
      </c>
      <c r="F30" s="1518" t="n">
        <f aca="false">IF(OR(B30&lt;$F$8,$F$9&lt;=B30),MIN($E$6,D30/C30),$H$8)</f>
        <v>0.5</v>
      </c>
      <c r="G30" s="1517" t="n">
        <f aca="false">SUM(F18:F29)/12</f>
        <v>0.85</v>
      </c>
      <c r="H30" s="1075" t="str">
        <f aca="false">IF(G30&gt;=$E$6," ","LDs")</f>
        <v>LDs</v>
      </c>
    </row>
    <row r="31" customFormat="false" ht="12.75" hidden="false" customHeight="false" outlineLevel="0" collapsed="false">
      <c r="B31" s="1516" t="n">
        <v>36739</v>
      </c>
      <c r="C31" s="1075" t="n">
        <f aca="false">IF(B31&lt;PPA_COD_PhII,$D$6,IF(B31&lt;$C$9,$D$7,$D$9))</f>
        <v>300</v>
      </c>
      <c r="D31" s="1075" t="n">
        <f aca="false">IF(B31&lt;$F$8,$G$6,IF(B31&lt;$F$9,$G$8,$G$9))</f>
        <v>150</v>
      </c>
      <c r="E31" s="1517" t="n">
        <v>0.92</v>
      </c>
      <c r="F31" s="1518" t="n">
        <f aca="false">IF(OR(B31&lt;$F$8,$F$9&lt;=B31),MIN($E$6,D31/C31),$H$8)</f>
        <v>0.5</v>
      </c>
      <c r="G31" s="1517" t="n">
        <f aca="false">SUM(F19:F30)/12</f>
        <v>0.815</v>
      </c>
      <c r="H31" s="1075" t="str">
        <f aca="false">IF(G31&gt;=$E$6," ","LDs")</f>
        <v>LDs</v>
      </c>
    </row>
    <row r="32" customFormat="false" ht="12.75" hidden="false" customHeight="false" outlineLevel="0" collapsed="false">
      <c r="B32" s="1516" t="n">
        <v>36770</v>
      </c>
      <c r="C32" s="1075" t="n">
        <f aca="false">IF(B32&lt;PPA_COD_PhII,$D$6,IF(B32&lt;$C$9,$D$7,$D$9))</f>
        <v>300</v>
      </c>
      <c r="D32" s="1075" t="n">
        <f aca="false">IF(B32&lt;$F$8,$G$6,IF(B32&lt;$F$9,$G$8,$G$9))</f>
        <v>150</v>
      </c>
      <c r="E32" s="1517" t="n">
        <v>0.92</v>
      </c>
      <c r="F32" s="1518" t="n">
        <f aca="false">IF(OR(B32&lt;$F$8,$F$9&lt;=B32),MIN($E$6,D32/C32),$H$8)</f>
        <v>0.5</v>
      </c>
      <c r="G32" s="1517" t="n">
        <f aca="false">SUM(F20:F31)/12</f>
        <v>0.78</v>
      </c>
      <c r="H32" s="1075" t="str">
        <f aca="false">IF(G32&gt;=$E$6," ","LDs")</f>
        <v>LDs</v>
      </c>
    </row>
    <row r="33" customFormat="false" ht="12.75" hidden="false" customHeight="false" outlineLevel="0" collapsed="false">
      <c r="B33" s="1516" t="n">
        <v>36800</v>
      </c>
      <c r="C33" s="1075" t="n">
        <f aca="false">IF(B33&lt;PPA_COD_PhII,$D$6,IF(B33&lt;$C$9,$D$7,$D$9))</f>
        <v>300</v>
      </c>
      <c r="D33" s="1075" t="n">
        <f aca="false">IF(B33&lt;$F$8,$G$6,IF(B33&lt;$F$9,$G$8,$G$9))</f>
        <v>150</v>
      </c>
      <c r="E33" s="1517" t="n">
        <v>0.92</v>
      </c>
      <c r="F33" s="1518" t="n">
        <f aca="false">IF(OR(B33&lt;$F$8,$F$9&lt;=B33),MIN($E$6,D33/C33),$H$8)</f>
        <v>0.5</v>
      </c>
      <c r="G33" s="1517" t="n">
        <f aca="false">SUM(F21:F32)/12</f>
        <v>0.745</v>
      </c>
      <c r="H33" s="1075" t="str">
        <f aca="false">IF(G33&gt;=$E$6," ","LDs")</f>
        <v>LDs</v>
      </c>
    </row>
    <row r="34" customFormat="false" ht="12.75" hidden="false" customHeight="false" outlineLevel="0" collapsed="false">
      <c r="B34" s="1516" t="n">
        <v>36831</v>
      </c>
      <c r="C34" s="1075" t="n">
        <f aca="false">IF(B34&lt;PPA_COD_PhII,$D$6,IF(B34&lt;$C$9,$D$7,$D$9))</f>
        <v>300</v>
      </c>
      <c r="D34" s="1075" t="n">
        <f aca="false">IF(B34&lt;$F$8,$G$6,IF(B34&lt;$F$9,$G$8,$G$9))</f>
        <v>150</v>
      </c>
      <c r="E34" s="1517" t="n">
        <v>0.92</v>
      </c>
      <c r="F34" s="1518" t="n">
        <f aca="false">IF(OR(B34&lt;$F$8,$F$9&lt;=B34),MIN($E$6,D34/C34),$H$8)</f>
        <v>0.5</v>
      </c>
      <c r="G34" s="1517" t="n">
        <f aca="false">SUM(F22:F33)/12</f>
        <v>0.71</v>
      </c>
      <c r="H34" s="1075" t="str">
        <f aca="false">IF(G34&gt;=$E$6," ","LDs")</f>
        <v>LDs</v>
      </c>
    </row>
    <row r="35" customFormat="false" ht="12.75" hidden="false" customHeight="false" outlineLevel="0" collapsed="false">
      <c r="B35" s="1516" t="n">
        <v>36861</v>
      </c>
      <c r="C35" s="1075" t="n">
        <f aca="false">IF(B35&lt;PPA_COD_PhII,$D$6,IF(B35&lt;$C$9,$D$7,$D$9))</f>
        <v>300</v>
      </c>
      <c r="D35" s="1075" t="n">
        <f aca="false">IF(B35&lt;$F$8,$G$6,IF(B35&lt;$F$9,$G$8,$G$9))</f>
        <v>150</v>
      </c>
      <c r="E35" s="1517" t="n">
        <v>0.92</v>
      </c>
      <c r="F35" s="1518" t="n">
        <f aca="false">IF(OR(B35&lt;$F$8,$F$9&lt;=B35),MIN($E$6,D35/C35),$H$8)</f>
        <v>0.5</v>
      </c>
      <c r="G35" s="1517" t="n">
        <f aca="false">SUM(F23:F34)/12</f>
        <v>0.675</v>
      </c>
      <c r="H35" s="1075" t="str">
        <f aca="false">IF(G35&gt;=$E$6," ","LDs")</f>
        <v>LDs</v>
      </c>
    </row>
    <row r="36" customFormat="false" ht="12.75" hidden="false" customHeight="false" outlineLevel="0" collapsed="false">
      <c r="B36" s="1516" t="n">
        <v>36892</v>
      </c>
      <c r="C36" s="1075" t="n">
        <f aca="false">IF(B36&lt;PPA_COD_PhII,$D$6,IF(B36&lt;$C$9,$D$7,$D$9))</f>
        <v>300</v>
      </c>
      <c r="D36" s="1075" t="n">
        <f aca="false">IF(B36&lt;$F$8,$G$6,IF(B36&lt;$F$9,$G$8,$G$9))</f>
        <v>150</v>
      </c>
      <c r="E36" s="1517" t="n">
        <v>0.92</v>
      </c>
      <c r="F36" s="1518" t="n">
        <f aca="false">IF(OR(B36&lt;$F$8,$F$9&lt;=B36),MIN($E$6,D36/C36),$H$8)</f>
        <v>0.5</v>
      </c>
      <c r="G36" s="1517" t="n">
        <f aca="false">SUM(F24:F35)/12</f>
        <v>0.64</v>
      </c>
      <c r="H36" s="1075" t="str">
        <f aca="false">IF(G36&gt;=$E$6," ","LDs")</f>
        <v>LDs</v>
      </c>
    </row>
    <row r="37" customFormat="false" ht="12.75" hidden="false" customHeight="false" outlineLevel="0" collapsed="false">
      <c r="B37" s="1516" t="n">
        <v>36923</v>
      </c>
      <c r="C37" s="1075" t="n">
        <f aca="false">IF(B37&lt;PPA_COD_PhII,$D$6,IF(B37&lt;$C$9,$D$7,$D$9))</f>
        <v>300</v>
      </c>
      <c r="D37" s="1075" t="n">
        <f aca="false">IF(B37&lt;$F$8,$G$6,IF(B37&lt;$F$9,$G$8,$G$9))</f>
        <v>150</v>
      </c>
      <c r="E37" s="1517" t="n">
        <v>0.92</v>
      </c>
      <c r="F37" s="1518" t="n">
        <f aca="false">IF(OR(B37&lt;$F$8,$F$9&lt;=B37),MIN($E$6,D37/C37),$H$8)</f>
        <v>0.5</v>
      </c>
      <c r="G37" s="1517" t="n">
        <f aca="false">SUM(F25:F36)/12</f>
        <v>0.605</v>
      </c>
      <c r="H37" s="1075" t="str">
        <f aca="false">IF(G37&gt;=$E$6," ","LDs")</f>
        <v>LDs</v>
      </c>
    </row>
    <row r="38" customFormat="false" ht="12.75" hidden="false" customHeight="false" outlineLevel="0" collapsed="false">
      <c r="B38" s="1516" t="n">
        <v>36951</v>
      </c>
      <c r="C38" s="1075" t="n">
        <f aca="false">IF(B38&lt;PPA_COD_PhII,$D$6,IF(B38&lt;$C$9,$D$7,$D$9))</f>
        <v>300</v>
      </c>
      <c r="D38" s="1075" t="n">
        <f aca="false">IF(B38&lt;$F$8,$G$6,IF(B38&lt;$F$9,$G$8,$G$9))</f>
        <v>150</v>
      </c>
      <c r="E38" s="1517" t="n">
        <v>0.92</v>
      </c>
      <c r="F38" s="1518" t="n">
        <f aca="false">IF(OR(B38&lt;$F$8,$F$9&lt;=B38),MIN($E$6,D38/C38),$H$8)</f>
        <v>0.5</v>
      </c>
      <c r="G38" s="1517" t="n">
        <f aca="false">SUM(F26:F37)/12</f>
        <v>0.57</v>
      </c>
      <c r="H38" s="1075" t="str">
        <f aca="false">IF(G38&gt;=$E$6," ","LDs")</f>
        <v>LDs</v>
      </c>
    </row>
    <row r="39" customFormat="false" ht="12.75" hidden="false" customHeight="false" outlineLevel="0" collapsed="false">
      <c r="B39" s="1516" t="n">
        <v>36982</v>
      </c>
      <c r="C39" s="1075" t="n">
        <f aca="false">IF(B39&lt;PPA_COD_PhII,$D$6,IF(B39&lt;$C$9,$D$7,$D$9))</f>
        <v>300</v>
      </c>
      <c r="D39" s="1520" t="n">
        <f aca="false">IF(B39&lt;$F$8,$G$6,IF(B39&lt;$F$9,$G$8,$G$9))</f>
        <v>237.779371584699</v>
      </c>
      <c r="E39" s="1517" t="n">
        <v>0.92</v>
      </c>
      <c r="F39" s="1518" t="n">
        <f aca="false">IF(OR(B39&lt;$F$8,$F$9&lt;=B39),MIN($E$6,D39/C39),$H$8)</f>
        <v>1</v>
      </c>
      <c r="G39" s="1517" t="n">
        <f aca="false">SUM(F27:F38)/12</f>
        <v>0.535</v>
      </c>
      <c r="H39" s="1075" t="str">
        <f aca="false">IF(G39&gt;=$E$6," ","LDs")</f>
        <v>LDs</v>
      </c>
    </row>
    <row r="40" customFormat="false" ht="12.75" hidden="false" customHeight="false" outlineLevel="0" collapsed="false">
      <c r="B40" s="1516" t="n">
        <v>37012</v>
      </c>
      <c r="C40" s="1075" t="n">
        <f aca="false">IF(B40&lt;PPA_COD_PhII,$D$6,IF(B40&lt;$C$9,$D$7,$D$9))</f>
        <v>480</v>
      </c>
      <c r="D40" s="1520" t="n">
        <f aca="false">IF(B40&lt;$F$8,$G$6,IF(B40&lt;$F$9,$G$8,$G$9))</f>
        <v>237.779371584699</v>
      </c>
      <c r="E40" s="1517" t="n">
        <v>0.92</v>
      </c>
      <c r="F40" s="1518" t="n">
        <f aca="false">IF(OR(B40&lt;$F$8,$F$9&lt;=B40),MIN($E$6,D40/C40),$H$8)</f>
        <v>1</v>
      </c>
      <c r="G40" s="1517" t="n">
        <f aca="false">SUM(F28:F39)/12</f>
        <v>0.541666666666667</v>
      </c>
      <c r="H40" s="1075" t="str">
        <f aca="false">IF(G40&gt;=$E$6," ","LDs")</f>
        <v>LDs</v>
      </c>
    </row>
    <row r="41" customFormat="false" ht="12.75" hidden="false" customHeight="false" outlineLevel="0" collapsed="false">
      <c r="B41" s="1516" t="n">
        <v>37043</v>
      </c>
      <c r="C41" s="1075" t="n">
        <f aca="false">IF(B41&lt;PPA_COD_PhII,$D$6,IF(B41&lt;$C$9,$D$7,$D$9))</f>
        <v>480</v>
      </c>
      <c r="D41" s="1520" t="n">
        <f aca="false">IF(B41&lt;$F$8,$G$6,IF(B41&lt;$F$9,$G$8,$G$9))</f>
        <v>237.779371584699</v>
      </c>
      <c r="E41" s="1517" t="n">
        <v>0.92</v>
      </c>
      <c r="F41" s="1518" t="n">
        <f aca="false">IF(OR(B41&lt;$F$8,$F$9&lt;=B41),MIN($E$6,D41/C41),$H$8)</f>
        <v>1</v>
      </c>
      <c r="G41" s="1517" t="n">
        <f aca="false">SUM(F29:F40)/12</f>
        <v>0.583333333333333</v>
      </c>
      <c r="H41" s="1075" t="str">
        <f aca="false">IF(G41&gt;=$E$6," ","LDs")</f>
        <v>LDs</v>
      </c>
    </row>
    <row r="42" customFormat="false" ht="12.75" hidden="false" customHeight="false" outlineLevel="0" collapsed="false">
      <c r="B42" s="1516" t="n">
        <v>37073</v>
      </c>
      <c r="C42" s="1075" t="n">
        <f aca="false">IF(B42&lt;PPA_COD_PhII,$D$6,IF(B42&lt;$C$9,$D$7,$D$9))</f>
        <v>480</v>
      </c>
      <c r="D42" s="1520" t="n">
        <f aca="false">IF(B42&lt;$F$8,$G$6,IF(B42&lt;$F$9,$G$8,$G$9))</f>
        <v>237.779371584699</v>
      </c>
      <c r="E42" s="1517" t="n">
        <v>0.92</v>
      </c>
      <c r="F42" s="1518" t="n">
        <f aca="false">IF(OR(B42&lt;$F$8,$F$9&lt;=B42),MIN($E$6,D42/C42),$H$8)</f>
        <v>1</v>
      </c>
      <c r="G42" s="1517" t="n">
        <f aca="false">SUM(F30:F41)/12</f>
        <v>0.625</v>
      </c>
      <c r="H42" s="1075" t="str">
        <f aca="false">IF(G42&gt;=$E$6," ","LDs")</f>
        <v>LDs</v>
      </c>
    </row>
    <row r="43" customFormat="false" ht="12.75" hidden="false" customHeight="false" outlineLevel="0" collapsed="false">
      <c r="B43" s="1516" t="n">
        <v>37104</v>
      </c>
      <c r="C43" s="1075" t="n">
        <f aca="false">IF(B43&lt;PPA_COD_PhII,$D$6,IF(B43&lt;$C$9,$D$7,$D$9))</f>
        <v>480</v>
      </c>
      <c r="D43" s="1075" t="n">
        <f aca="false">IF(B43&lt;$F$8,$G$6,IF(B43&lt;$F$9,$G$8,$G$9))</f>
        <v>480</v>
      </c>
      <c r="E43" s="1517" t="n">
        <v>0.92</v>
      </c>
      <c r="F43" s="1518" t="n">
        <f aca="false">IF(OR(B43&lt;$F$8,$F$9&lt;=B43),MIN($E$6,D43/C43),$H$8)</f>
        <v>0.92</v>
      </c>
      <c r="G43" s="1517" t="n">
        <f aca="false">SUM(F31:F42)/12</f>
        <v>0.666666666666667</v>
      </c>
      <c r="H43" s="1075" t="str">
        <f aca="false">IF(G43&gt;=$E$6," ","LDs")</f>
        <v>LDs</v>
      </c>
    </row>
    <row r="44" customFormat="false" ht="12.75" hidden="false" customHeight="false" outlineLevel="0" collapsed="false">
      <c r="B44" s="1516" t="n">
        <v>37135</v>
      </c>
      <c r="C44" s="1075" t="n">
        <f aca="false">IF(B44&lt;PPA_COD_PhII,$D$6,IF(B44&lt;$C$9,$D$7,$D$9))</f>
        <v>480</v>
      </c>
      <c r="D44" s="1075" t="n">
        <f aca="false">IF(B44&lt;$F$8,$G$6,IF(B44&lt;$F$9,$G$8,$G$9))</f>
        <v>480</v>
      </c>
      <c r="E44" s="1517" t="n">
        <v>0.92</v>
      </c>
      <c r="F44" s="1518" t="n">
        <f aca="false">IF(OR(B44&lt;$F$8,$F$9&lt;=B44),MIN($E$6,D44/C44),$H$8)</f>
        <v>0.92</v>
      </c>
      <c r="G44" s="1517" t="n">
        <f aca="false">SUM(F32:F43)/12</f>
        <v>0.701666666666667</v>
      </c>
      <c r="H44" s="1075" t="str">
        <f aca="false">IF(G44&gt;=$E$6," ","LDs")</f>
        <v>LDs</v>
      </c>
    </row>
    <row r="45" customFormat="false" ht="12.75" hidden="false" customHeight="false" outlineLevel="0" collapsed="false">
      <c r="B45" s="1516" t="n">
        <v>37165</v>
      </c>
      <c r="C45" s="1075" t="n">
        <f aca="false">IF(B45&lt;PPA_COD_PhII,$D$6,IF(B45&lt;$C$9,$D$7,$D$9))</f>
        <v>480</v>
      </c>
      <c r="D45" s="1519" t="n">
        <f aca="false">IF(B45&lt;$F$8,$G$6,IF(B45&lt;$F$9,$G$8,$G$9))</f>
        <v>480</v>
      </c>
      <c r="E45" s="1517" t="n">
        <v>0.92</v>
      </c>
      <c r="F45" s="1518" t="n">
        <f aca="false">IF(OR(B45&lt;$F$8,$F$9&lt;=B45),MIN($E$6,D45/C45),$H$8)</f>
        <v>0.92</v>
      </c>
      <c r="G45" s="1517" t="n">
        <f aca="false">SUM(F33:F44)/12</f>
        <v>0.736666666666667</v>
      </c>
      <c r="H45" s="1075" t="str">
        <f aca="false">IF(G45&gt;=$E$6," ","LDs")</f>
        <v>LDs</v>
      </c>
    </row>
    <row r="46" customFormat="false" ht="12.75" hidden="false" customHeight="false" outlineLevel="0" collapsed="false">
      <c r="B46" s="1516" t="n">
        <v>37196</v>
      </c>
      <c r="C46" s="1075" t="n">
        <f aca="false">IF(B46&lt;PPA_COD_PhII,$D$6,IF(B46&lt;$C$9,$D$7,$D$9))</f>
        <v>480</v>
      </c>
      <c r="D46" s="1519" t="n">
        <f aca="false">IF(B46&lt;$F$8,$G$6,IF(B46&lt;$F$9,$G$8,$G$9))</f>
        <v>480</v>
      </c>
      <c r="E46" s="1517" t="n">
        <v>0.92</v>
      </c>
      <c r="F46" s="1518" t="n">
        <f aca="false">IF(OR(B46&lt;$F$8,$F$9&lt;=B46),MIN($E$6,D46/C46),$H$8)</f>
        <v>0.92</v>
      </c>
      <c r="G46" s="1517" t="n">
        <f aca="false">SUM(F34:F45)/12</f>
        <v>0.771666666666667</v>
      </c>
      <c r="H46" s="1075" t="str">
        <f aca="false">IF(G46&gt;=$E$6," ","LDs")</f>
        <v>LDs</v>
      </c>
    </row>
    <row r="47" customFormat="false" ht="12.75" hidden="false" customHeight="false" outlineLevel="0" collapsed="false">
      <c r="B47" s="1516" t="n">
        <v>37226</v>
      </c>
      <c r="C47" s="1075" t="n">
        <f aca="false">IF(B47&lt;PPA_COD_PhII,$D$6,IF(B47&lt;$C$9,$D$7,$D$9))</f>
        <v>480</v>
      </c>
      <c r="D47" s="1519" t="n">
        <f aca="false">IF(B47&lt;$F$8,$G$6,IF(B47&lt;$F$9,$G$8,$G$9))</f>
        <v>480</v>
      </c>
      <c r="E47" s="1517" t="n">
        <v>0.92</v>
      </c>
      <c r="F47" s="1518" t="n">
        <f aca="false">IF(OR(B47&lt;$F$8,$F$9&lt;=B47),MIN($E$6,D47/C47),$H$8)</f>
        <v>0.92</v>
      </c>
      <c r="G47" s="1517" t="n">
        <f aca="false">SUM(F35:F46)/12</f>
        <v>0.806666666666667</v>
      </c>
      <c r="H47" s="1075" t="str">
        <f aca="false">IF(G47&gt;=$E$6," ","LDs")</f>
        <v>LDs</v>
      </c>
    </row>
    <row r="48" customFormat="false" ht="12.75" hidden="false" customHeight="false" outlineLevel="0" collapsed="false">
      <c r="B48" s="1516" t="n">
        <v>37257</v>
      </c>
      <c r="C48" s="1075" t="n">
        <f aca="false">IF(B48&lt;PPA_COD_PhII,$D$6,IF(B48&lt;$C$9,$D$7,$D$9))</f>
        <v>480</v>
      </c>
      <c r="D48" s="1519" t="n">
        <f aca="false">IF(B48&lt;$F$8,$G$6,IF(B48&lt;$F$9,$G$8,$G$9))</f>
        <v>480</v>
      </c>
      <c r="E48" s="1517" t="n">
        <v>0.92</v>
      </c>
      <c r="F48" s="1518" t="n">
        <f aca="false">IF(OR(B48&lt;$F$8,$F$9&lt;=B48),MIN($E$6,D48/C48),$H$8)</f>
        <v>0.92</v>
      </c>
      <c r="G48" s="1517" t="n">
        <f aca="false">SUM(F36:F47)/12</f>
        <v>0.841666666666667</v>
      </c>
      <c r="H48" s="1075" t="str">
        <f aca="false">IF(G48&gt;=$E$6," ","LDs")</f>
        <v>LDs</v>
      </c>
    </row>
    <row r="49" customFormat="false" ht="12.75" hidden="false" customHeight="false" outlineLevel="0" collapsed="false">
      <c r="B49" s="1516" t="n">
        <v>37288</v>
      </c>
      <c r="C49" s="1075" t="n">
        <f aca="false">IF(B49&lt;PPA_COD_PhII,$D$6,IF(B49&lt;$C$9,$D$7,$D$9))</f>
        <v>480</v>
      </c>
      <c r="D49" s="1075" t="n">
        <f aca="false">IF(B49&lt;$F$8,$G$6,IF(B49&lt;$F$9,$G$8,$G$9))</f>
        <v>480</v>
      </c>
      <c r="E49" s="1517" t="n">
        <v>0.92</v>
      </c>
      <c r="F49" s="1518" t="n">
        <f aca="false">IF(OR(B49&lt;$F$8,$F$9&lt;=B49),MIN($E$6,D49/C49),$H$8)</f>
        <v>0.92</v>
      </c>
      <c r="G49" s="1517" t="n">
        <f aca="false">SUM(F37:F48)/12</f>
        <v>0.876666666666667</v>
      </c>
      <c r="H49" s="1075" t="str">
        <f aca="false">IF(G49&gt;=$E$6," ","LDs")</f>
        <v>LDs</v>
      </c>
    </row>
    <row r="50" customFormat="false" ht="12.75" hidden="false" customHeight="false" outlineLevel="0" collapsed="false">
      <c r="B50" s="1516" t="n">
        <v>37316</v>
      </c>
      <c r="C50" s="1075" t="n">
        <f aca="false">IF(B50&lt;PPA_COD_PhII,$D$6,IF(B50&lt;$C$9,$D$7,$D$9))</f>
        <v>480</v>
      </c>
      <c r="D50" s="1075" t="n">
        <f aca="false">IF(B50&lt;$F$8,$G$6,IF(B50&lt;$F$9,$G$8,$G$9))</f>
        <v>480</v>
      </c>
      <c r="E50" s="1517" t="n">
        <v>0.92</v>
      </c>
      <c r="F50" s="1518" t="n">
        <f aca="false">IF(OR(B50&lt;$F$8,$F$9&lt;=B50),MIN($E$6,D50/C50),$H$8)</f>
        <v>0.92</v>
      </c>
      <c r="G50" s="1517" t="n">
        <f aca="false">SUM(F38:F49)/12</f>
        <v>0.911666666666667</v>
      </c>
      <c r="H50" s="1075" t="str">
        <f aca="false">IF(G50&gt;=$E$6," ","LDs")</f>
        <v>LDs</v>
      </c>
    </row>
    <row r="51" customFormat="false" ht="12.75" hidden="false" customHeight="false" outlineLevel="0" collapsed="false">
      <c r="B51" s="1516" t="n">
        <v>37347</v>
      </c>
      <c r="C51" s="1075" t="n">
        <f aca="false">IF(B51&lt;PPA_COD_PhII,$D$6,IF(B51&lt;$C$9,$D$7,$D$9))</f>
        <v>480</v>
      </c>
      <c r="D51" s="1075" t="n">
        <f aca="false">IF(B51&lt;$F$8,$G$6,IF(B51&lt;$F$9,$G$8,$G$9))</f>
        <v>480</v>
      </c>
      <c r="E51" s="1517" t="n">
        <v>0.92</v>
      </c>
      <c r="F51" s="1518" t="n">
        <f aca="false">IF(OR(B51&lt;$F$8,$F$9&lt;=B51),MIN($E$6,D51/C51),$H$8)</f>
        <v>0.92</v>
      </c>
      <c r="G51" s="1517" t="n">
        <f aca="false">SUM(F39:F50)/12</f>
        <v>0.946666666666667</v>
      </c>
      <c r="H51" s="1075" t="str">
        <f aca="false">IF(G51&gt;=$E$6," ","LDs")</f>
        <v> </v>
      </c>
    </row>
    <row r="52" customFormat="false" ht="12.75" hidden="false" customHeight="false" outlineLevel="0" collapsed="false">
      <c r="B52" s="1516" t="n">
        <v>37377</v>
      </c>
      <c r="C52" s="1075" t="n">
        <f aca="false">IF(B52&lt;PPA_COD_PhII,$D$6,IF(B52&lt;$C$9,$D$7,$D$9))</f>
        <v>480</v>
      </c>
      <c r="D52" s="1075" t="n">
        <f aca="false">IF(B52&lt;$F$8,$G$6,IF(B52&lt;$F$9,$G$8,$G$9))</f>
        <v>480</v>
      </c>
      <c r="E52" s="1517" t="n">
        <v>0.92</v>
      </c>
      <c r="F52" s="1518" t="n">
        <f aca="false">IF(OR(B52&lt;$F$8,$F$9&lt;=B52),MIN($E$6,D52/C52),$H$8)</f>
        <v>0.92</v>
      </c>
      <c r="G52" s="1517" t="n">
        <f aca="false">SUM(F40:F51)/12</f>
        <v>0.94</v>
      </c>
      <c r="H52" s="1075" t="str">
        <f aca="false">IF(G52&gt;=$E$6," ","LDs")</f>
        <v> </v>
      </c>
    </row>
    <row r="53" customFormat="false" ht="12.75" hidden="false" customHeight="false" outlineLevel="0" collapsed="false">
      <c r="B53" s="1516" t="n">
        <v>37408</v>
      </c>
      <c r="C53" s="1075" t="n">
        <f aca="false">IF(B53&lt;PPA_COD_PhII,$D$6,IF(B53&lt;$C$9,$D$7,$D$9))</f>
        <v>480</v>
      </c>
      <c r="D53" s="1075" t="n">
        <f aca="false">IF(B53&lt;$F$8,$G$6,IF(B53&lt;$F$9,$G$8,$G$9))</f>
        <v>480</v>
      </c>
      <c r="E53" s="1517" t="n">
        <v>0.92</v>
      </c>
      <c r="F53" s="1518" t="n">
        <f aca="false">IF(OR(B53&lt;$F$8,$F$9&lt;=B53),MIN($E$6,D53/C53),$H$8)</f>
        <v>0.92</v>
      </c>
      <c r="G53" s="1517" t="n">
        <f aca="false">SUM(F41:F52)/12</f>
        <v>0.933333333333334</v>
      </c>
      <c r="H53" s="1075" t="str">
        <f aca="false">IF(G53&gt;=$E$6," ","LDs")</f>
        <v> </v>
      </c>
    </row>
    <row r="54" customFormat="false" ht="12.75" hidden="false" customHeight="false" outlineLevel="0" collapsed="false">
      <c r="B54" s="1516" t="n">
        <v>37438</v>
      </c>
      <c r="C54" s="1075" t="n">
        <f aca="false">IF(B54&lt;PPA_COD_PhII,$D$6,IF(B54&lt;$C$9,$D$7,$D$9))</f>
        <v>480</v>
      </c>
      <c r="D54" s="1075" t="n">
        <f aca="false">IF(B54&lt;$F$8,$G$6,IF(B54&lt;$F$9,$G$8,$G$9))</f>
        <v>480</v>
      </c>
      <c r="E54" s="1517" t="n">
        <v>0.92</v>
      </c>
      <c r="F54" s="1518" t="n">
        <f aca="false">IF(OR(B54&lt;$F$8,$F$9&lt;=B54),MIN($E$6,D54/C54),$H$8)</f>
        <v>0.92</v>
      </c>
      <c r="G54" s="1517" t="n">
        <f aca="false">SUM(F42:F53)/12</f>
        <v>0.926666666666667</v>
      </c>
      <c r="H54" s="1075" t="str">
        <f aca="false">IF(G54&gt;=$E$6," ","LDs")</f>
        <v> </v>
      </c>
    </row>
    <row r="55" customFormat="false" ht="12.75" hidden="false" customHeight="false" outlineLevel="0" collapsed="false">
      <c r="B55" s="1516" t="n">
        <v>37469</v>
      </c>
      <c r="C55" s="1075" t="n">
        <f aca="false">IF(B55&lt;PPA_COD_PhII,$D$6,IF(B55&lt;$C$9,$D$7,$D$9))</f>
        <v>480</v>
      </c>
      <c r="D55" s="1075" t="n">
        <f aca="false">IF(B55&lt;$F$8,$G$6,IF(B55&lt;$F$9,$G$8,$G$9))</f>
        <v>480</v>
      </c>
      <c r="E55" s="1517" t="n">
        <v>0.92</v>
      </c>
      <c r="F55" s="1518" t="n">
        <f aca="false">IF(OR(B55&lt;$F$8,$F$9&lt;=B55),MIN($E$6,D55/C55),$H$8)</f>
        <v>0.92</v>
      </c>
      <c r="G55" s="1517" t="n">
        <f aca="false">SUM(F43:F54)/12</f>
        <v>0.92</v>
      </c>
      <c r="H55" s="1075" t="str">
        <f aca="false">IF(G55&gt;=$E$6," ","LDs")</f>
        <v> </v>
      </c>
    </row>
    <row r="56" customFormat="false" ht="12.75" hidden="false" customHeight="false" outlineLevel="0" collapsed="false">
      <c r="B56" s="1516" t="n">
        <v>37500</v>
      </c>
      <c r="C56" s="1075" t="n">
        <f aca="false">IF(B56&lt;PPA_COD_PhII,$D$6,IF(B56&lt;$C$9,$D$7,$D$9))</f>
        <v>480</v>
      </c>
      <c r="D56" s="1075" t="n">
        <f aca="false">IF(B56&lt;$F$8,$G$6,IF(B56&lt;$F$9,$G$8,$G$9))</f>
        <v>480</v>
      </c>
      <c r="E56" s="1517" t="n">
        <v>0.92</v>
      </c>
      <c r="F56" s="1518" t="n">
        <f aca="false">IF(OR(B56&lt;$F$8,$F$9&lt;=B56),MIN($E$6,D56/C56),$H$8)</f>
        <v>0.92</v>
      </c>
      <c r="G56" s="1517" t="n">
        <f aca="false">SUM(F44:F55)/12</f>
        <v>0.92</v>
      </c>
      <c r="H56" s="1075" t="str">
        <f aca="false">IF(G56&gt;=$E$6," ","LDs")</f>
        <v> </v>
      </c>
    </row>
    <row r="57" customFormat="false" ht="12.75" hidden="false" customHeight="false" outlineLevel="0" collapsed="false">
      <c r="B57" s="1516" t="n">
        <v>37530</v>
      </c>
      <c r="C57" s="1075" t="n">
        <f aca="false">IF(B57&lt;PPA_COD_PhII,$D$6,IF(B57&lt;$C$9,$D$7,$D$9))</f>
        <v>480</v>
      </c>
      <c r="D57" s="1075" t="n">
        <f aca="false">IF(B57&lt;$F$8,$G$6,IF(B57&lt;$F$9,$G$8,$G$9))</f>
        <v>480</v>
      </c>
      <c r="E57" s="1517" t="n">
        <v>0.92</v>
      </c>
      <c r="F57" s="1518" t="n">
        <f aca="false">IF(OR(B57&lt;$F$8,$F$9&lt;=B57),MIN($E$6,D57/C57),$H$8)</f>
        <v>0.92</v>
      </c>
      <c r="G57" s="1517" t="n">
        <f aca="false">SUM(F45:F56)/12</f>
        <v>0.92</v>
      </c>
      <c r="H57" s="1075" t="str">
        <f aca="false">IF(G57&gt;=$E$6," ","LDs")</f>
        <v> </v>
      </c>
    </row>
    <row r="58" customFormat="false" ht="12.75" hidden="false" customHeight="false" outlineLevel="0" collapsed="false">
      <c r="B58" s="1516" t="n">
        <v>37561</v>
      </c>
      <c r="C58" s="1075" t="n">
        <f aca="false">IF(B58&lt;PPA_COD_PhII,$D$6,IF(B58&lt;$C$9,$D$7,$D$9))</f>
        <v>480</v>
      </c>
      <c r="D58" s="1075" t="n">
        <f aca="false">IF(B58&lt;$F$8,$G$6,IF(B58&lt;$F$9,$G$8,$G$9))</f>
        <v>480</v>
      </c>
      <c r="E58" s="1517" t="n">
        <v>0.92</v>
      </c>
      <c r="F58" s="1518" t="n">
        <f aca="false">IF(OR(B58&lt;$F$8,$F$9&lt;=B58),MIN($E$6,D58/C58),$H$8)</f>
        <v>0.92</v>
      </c>
      <c r="G58" s="1517" t="n">
        <f aca="false">SUM(F46:F57)/12</f>
        <v>0.92</v>
      </c>
      <c r="H58" s="1075" t="str">
        <f aca="false">IF(G58&gt;=$E$6," ","LDs")</f>
        <v> </v>
      </c>
    </row>
    <row r="59" customFormat="false" ht="12.75" hidden="false" customHeight="false" outlineLevel="0" collapsed="false">
      <c r="B59" s="1516" t="n">
        <v>37591</v>
      </c>
      <c r="C59" s="1075" t="n">
        <f aca="false">IF(B59&lt;PPA_COD_PhII,$D$6,IF(B59&lt;$C$9,$D$7,$D$9))</f>
        <v>480</v>
      </c>
      <c r="D59" s="1075" t="n">
        <f aca="false">IF(B59&lt;$F$8,$G$6,IF(B59&lt;$F$9,$G$8,$G$9))</f>
        <v>480</v>
      </c>
      <c r="E59" s="1517" t="n">
        <v>0.92</v>
      </c>
      <c r="F59" s="1518" t="n">
        <f aca="false">IF(OR(B59&lt;$F$8,$F$9&lt;=B59),MIN($E$6,D59/C59),$H$8)</f>
        <v>0.92</v>
      </c>
      <c r="G59" s="1517" t="n">
        <f aca="false">SUM(F47:F58)/12</f>
        <v>0.92</v>
      </c>
      <c r="H59" s="1075" t="str">
        <f aca="false">IF(G59&gt;=$E$6," ","LDs")</f>
        <v> </v>
      </c>
    </row>
    <row r="60" customFormat="false" ht="12.75" hidden="false" customHeight="false" outlineLevel="0" collapsed="false">
      <c r="B60" s="1516" t="n">
        <v>37622</v>
      </c>
      <c r="C60" s="1075" t="n">
        <f aca="false">IF(B60&lt;PPA_COD_PhII,$D$6,IF(B60&lt;$C$9,$D$7,$D$9))</f>
        <v>480</v>
      </c>
      <c r="D60" s="1075" t="n">
        <f aca="false">IF(B60&lt;$F$8,$G$6,IF(B60&lt;$F$9,$G$8,$G$9))</f>
        <v>480</v>
      </c>
      <c r="E60" s="1517" t="n">
        <v>0.92</v>
      </c>
      <c r="F60" s="1518" t="n">
        <f aca="false">IF(OR(B60&lt;$F$8,$F$9&lt;=B60),MIN($E$6,D60/C60),$H$8)</f>
        <v>0.92</v>
      </c>
      <c r="G60" s="1517" t="n">
        <f aca="false">SUM(F48:F59)/12</f>
        <v>0.92</v>
      </c>
      <c r="H60" s="1075" t="str">
        <f aca="false">IF(G60&gt;=$E$6," ","LDs")</f>
        <v> </v>
      </c>
    </row>
    <row r="61" customFormat="false" ht="12.75" hidden="false" customHeight="false" outlineLevel="0" collapsed="false">
      <c r="B61" s="1516" t="n">
        <v>37653</v>
      </c>
      <c r="C61" s="1075" t="n">
        <f aca="false">IF(B61&lt;PPA_COD_PhII,$D$6,IF(B61&lt;$C$9,$D$7,$D$9))</f>
        <v>480</v>
      </c>
      <c r="D61" s="1075" t="n">
        <f aca="false">IF(B61&lt;$F$8,$G$6,IF(B61&lt;$F$9,$G$8,$G$9))</f>
        <v>480</v>
      </c>
      <c r="E61" s="1517" t="n">
        <v>0.92</v>
      </c>
      <c r="F61" s="1518" t="n">
        <f aca="false">IF(OR(B61&lt;$F$8,$F$9&lt;=B61),MIN($E$6,D61/C61),$H$8)</f>
        <v>0.92</v>
      </c>
      <c r="G61" s="1517" t="n">
        <f aca="false">SUM(F49:F60)/12</f>
        <v>0.92</v>
      </c>
      <c r="H61" s="1075" t="str">
        <f aca="false">IF(G61&gt;=$E$6," ","LDs")</f>
        <v> </v>
      </c>
    </row>
    <row r="62" customFormat="false" ht="12.75" hidden="false" customHeight="false" outlineLevel="0" collapsed="false">
      <c r="B62" s="1516" t="n">
        <v>37681</v>
      </c>
      <c r="C62" s="1075" t="n">
        <f aca="false">IF(B62&lt;PPA_COD_PhII,$D$6,IF(B62&lt;$C$9,$D$7,$D$9))</f>
        <v>480</v>
      </c>
      <c r="D62" s="1075" t="n">
        <f aca="false">IF(B62&lt;$F$8,$G$6,IF(B62&lt;$F$9,$G$8,$G$9))</f>
        <v>480</v>
      </c>
      <c r="E62" s="1517" t="n">
        <v>0.92</v>
      </c>
      <c r="F62" s="1518" t="n">
        <f aca="false">IF(OR(B62&lt;$F$8,$F$9&lt;=B62),MIN($E$6,D62/C62),$H$8)</f>
        <v>0.92</v>
      </c>
      <c r="G62" s="1517" t="n">
        <f aca="false">SUM(F50:F61)/12</f>
        <v>0.92</v>
      </c>
      <c r="H62" s="1075" t="str">
        <f aca="false">IF(G62&gt;=$E$6," ","LDs")</f>
        <v> </v>
      </c>
    </row>
    <row r="63" customFormat="false" ht="12.75" hidden="false" customHeight="false" outlineLevel="0" collapsed="false">
      <c r="B63" s="1516" t="n">
        <v>37712</v>
      </c>
      <c r="C63" s="1075" t="n">
        <f aca="false">IF(B63&lt;PPA_COD_PhII,$D$6,IF(B63&lt;$C$9,$D$7,$D$9))</f>
        <v>480</v>
      </c>
      <c r="D63" s="1075" t="n">
        <f aca="false">IF(B63&lt;$F$8,$G$6,IF(B63&lt;$F$9,$G$8,$G$9))</f>
        <v>480</v>
      </c>
      <c r="E63" s="1517" t="n">
        <v>0.92</v>
      </c>
      <c r="F63" s="1518" t="n">
        <f aca="false">IF(OR(B63&lt;$F$8,$F$9&lt;=B63),MIN($E$6,D63/C63),$H$8)</f>
        <v>0.92</v>
      </c>
      <c r="G63" s="1517" t="n">
        <f aca="false">SUM(F51:F62)/12</f>
        <v>0.92</v>
      </c>
      <c r="H63" s="1075" t="str">
        <f aca="false">IF(G63&gt;=$E$6," ","LDs")</f>
        <v> </v>
      </c>
    </row>
    <row r="64" customFormat="false" ht="12.75" hidden="false" customHeight="false" outlineLevel="0" collapsed="false">
      <c r="B64" s="1516" t="n">
        <v>37742</v>
      </c>
      <c r="C64" s="1075" t="n">
        <f aca="false">IF(B64&lt;PPA_COD_PhII,$D$6,IF(B64&lt;$C$9,$D$7,$D$9))</f>
        <v>480</v>
      </c>
      <c r="D64" s="1075" t="n">
        <f aca="false">IF(B64&lt;$F$8,$G$6,IF(B64&lt;$F$9,$G$8,$G$9))</f>
        <v>480</v>
      </c>
      <c r="E64" s="1517" t="n">
        <v>0.92</v>
      </c>
      <c r="F64" s="1518" t="n">
        <f aca="false">IF(OR(B64&lt;$F$8,$F$9&lt;=B64),MIN($E$6,D64/C64),$H$8)</f>
        <v>0.92</v>
      </c>
      <c r="G64" s="1517" t="n">
        <f aca="false">SUM(F52:F63)/12</f>
        <v>0.92</v>
      </c>
      <c r="H64" s="1075" t="str">
        <f aca="false">IF(G64&gt;=$E$6," ","LDs")</f>
        <v> </v>
      </c>
    </row>
    <row r="65" customFormat="false" ht="12.75" hidden="false" customHeight="false" outlineLevel="0" collapsed="false">
      <c r="B65" s="1516" t="n">
        <v>37773</v>
      </c>
      <c r="C65" s="1075" t="n">
        <f aca="false">IF(B65&lt;PPA_COD_PhII,$D$6,IF(B65&lt;$C$9,$D$7,$D$9))</f>
        <v>480</v>
      </c>
      <c r="D65" s="1075" t="n">
        <f aca="false">IF(B65&lt;$F$8,$G$6,IF(B65&lt;$F$9,$G$8,$G$9))</f>
        <v>480</v>
      </c>
      <c r="E65" s="1517" t="n">
        <v>0.92</v>
      </c>
      <c r="F65" s="1518" t="n">
        <f aca="false">IF(OR(B65&lt;$F$8,$F$9&lt;=B65),MIN($E$6,D65/C65),$H$8)</f>
        <v>0.92</v>
      </c>
      <c r="G65" s="1517" t="n">
        <f aca="false">SUM(F53:F64)/12</f>
        <v>0.92</v>
      </c>
      <c r="H65" s="1075" t="str">
        <f aca="false">IF(G65&gt;=$E$6," ","LDs")</f>
        <v> </v>
      </c>
    </row>
    <row r="66" customFormat="false" ht="12.75" hidden="false" customHeight="false" outlineLevel="0" collapsed="false">
      <c r="B66" s="1516" t="n">
        <v>37803</v>
      </c>
      <c r="C66" s="1075" t="n">
        <f aca="false">IF(B66&lt;PPA_COD_PhII,$D$6,IF(B66&lt;$C$9,$D$7,$D$9))</f>
        <v>480</v>
      </c>
      <c r="D66" s="1075" t="n">
        <f aca="false">IF(B66&lt;$F$8,$G$6,IF(B66&lt;$F$9,$G$8,$G$9))</f>
        <v>480</v>
      </c>
      <c r="E66" s="1517" t="n">
        <v>0.92</v>
      </c>
      <c r="F66" s="1518" t="n">
        <f aca="false">IF(OR(B66&lt;$F$8,$F$9&lt;=B66),MIN($E$6,D66/C66),$H$8)</f>
        <v>0.92</v>
      </c>
      <c r="G66" s="1517" t="n">
        <f aca="false">SUM(F54:F65)/12</f>
        <v>0.92</v>
      </c>
      <c r="H66" s="1075" t="str">
        <f aca="false">IF(G66&gt;=$E$6," ","LDs")</f>
        <v> </v>
      </c>
    </row>
    <row r="67" customFormat="false" ht="12.75" hidden="false" customHeight="false" outlineLevel="0" collapsed="false">
      <c r="B67" s="1516" t="n">
        <v>37834</v>
      </c>
      <c r="C67" s="1075" t="n">
        <f aca="false">IF(B67&lt;PPA_COD_PhII,$D$6,IF(B67&lt;$C$9,$D$7,$D$9))</f>
        <v>480</v>
      </c>
      <c r="D67" s="1075" t="n">
        <f aca="false">IF(B67&lt;$F$8,$G$6,IF(B67&lt;$F$9,$G$8,$G$9))</f>
        <v>480</v>
      </c>
      <c r="E67" s="1517" t="n">
        <v>0.92</v>
      </c>
      <c r="F67" s="1518" t="n">
        <f aca="false">IF(OR(B67&lt;$F$8,$F$9&lt;=B67),MIN($E$6,D67/C67),$H$8)</f>
        <v>0.92</v>
      </c>
      <c r="G67" s="1517" t="n">
        <f aca="false">SUM(F55:F66)/12</f>
        <v>0.92</v>
      </c>
      <c r="H67" s="1075" t="str">
        <f aca="false">IF(G67&gt;=$E$6," ","LDs")</f>
        <v> </v>
      </c>
    </row>
    <row r="68" customFormat="false" ht="12.75" hidden="false" customHeight="false" outlineLevel="0" collapsed="false">
      <c r="B68" s="1516" t="n">
        <v>37865</v>
      </c>
      <c r="C68" s="1075" t="n">
        <f aca="false">IF(B68&lt;PPA_COD_PhII,$D$6,IF(B68&lt;$C$9,$D$7,$D$9))</f>
        <v>480</v>
      </c>
      <c r="D68" s="1075" t="n">
        <f aca="false">IF(B68&lt;$F$8,$G$6,IF(B68&lt;$F$9,$G$8,$G$9))</f>
        <v>480</v>
      </c>
      <c r="E68" s="1517" t="n">
        <v>0.92</v>
      </c>
      <c r="F68" s="1518" t="n">
        <f aca="false">IF(OR(B68&lt;$F$8,$F$9&lt;=B68),MIN($E$6,D68/C68),$H$8)</f>
        <v>0.92</v>
      </c>
      <c r="G68" s="1517" t="n">
        <f aca="false">SUM(F56:F67)/12</f>
        <v>0.92</v>
      </c>
      <c r="H68" s="1075" t="str">
        <f aca="false">IF(G68&gt;=$E$6," ","LDs")</f>
        <v> </v>
      </c>
    </row>
    <row r="69" customFormat="false" ht="12.75" hidden="false" customHeight="false" outlineLevel="0" collapsed="false">
      <c r="B69" s="1516" t="n">
        <v>37895</v>
      </c>
      <c r="C69" s="1075" t="n">
        <f aca="false">IF(B69&lt;PPA_COD_PhII,$D$6,IF(B69&lt;$C$9,$D$7,$D$9))</f>
        <v>480</v>
      </c>
      <c r="D69" s="1075" t="n">
        <f aca="false">IF(B69&lt;$F$8,$G$6,IF(B69&lt;$F$9,$G$8,$G$9))</f>
        <v>480</v>
      </c>
      <c r="E69" s="1517" t="n">
        <v>0.92</v>
      </c>
      <c r="F69" s="1518" t="n">
        <f aca="false">IF(OR(B69&lt;$F$8,$F$9&lt;=B69),MIN($E$6,D69/C69),$H$8)</f>
        <v>0.92</v>
      </c>
      <c r="G69" s="1517" t="n">
        <f aca="false">SUM(F57:F68)/12</f>
        <v>0.92</v>
      </c>
      <c r="H69" s="1075" t="str">
        <f aca="false">IF(G69&gt;=$E$6," ","LDs")</f>
        <v> </v>
      </c>
    </row>
    <row r="70" customFormat="false" ht="12.75" hidden="false" customHeight="false" outlineLevel="0" collapsed="false">
      <c r="B70" s="1516" t="n">
        <v>37926</v>
      </c>
      <c r="C70" s="1075" t="n">
        <f aca="false">IF(B70&lt;PPA_COD_PhII,$D$6,IF(B70&lt;$C$9,$D$7,$D$9))</f>
        <v>480</v>
      </c>
      <c r="D70" s="1075" t="n">
        <f aca="false">IF(B70&lt;$F$8,$G$6,IF(B70&lt;$F$9,$G$8,$G$9))</f>
        <v>480</v>
      </c>
      <c r="E70" s="1517" t="n">
        <v>0.92</v>
      </c>
      <c r="F70" s="1518" t="n">
        <f aca="false">IF(OR(B70&lt;$F$8,$F$9&lt;=B70),MIN($E$6,D70/C70),$H$8)</f>
        <v>0.92</v>
      </c>
      <c r="G70" s="1517" t="n">
        <f aca="false">SUM(F58:F69)/12</f>
        <v>0.92</v>
      </c>
      <c r="H70" s="1075" t="str">
        <f aca="false">IF(G70&gt;=$E$6," ","LDs")</f>
        <v> </v>
      </c>
    </row>
    <row r="71" customFormat="false" ht="12.75" hidden="false" customHeight="false" outlineLevel="0" collapsed="false">
      <c r="B71" s="1516" t="n">
        <v>37956</v>
      </c>
      <c r="C71" s="1075" t="n">
        <f aca="false">IF(B71&lt;PPA_COD_PhII,$D$6,IF(B71&lt;$C$9,$D$7,$D$9))</f>
        <v>480</v>
      </c>
      <c r="D71" s="1075" t="n">
        <f aca="false">IF(B71&lt;$F$8,$G$6,IF(B71&lt;$F$9,$G$8,$G$9))</f>
        <v>480</v>
      </c>
      <c r="E71" s="1517" t="n">
        <v>0.92</v>
      </c>
      <c r="F71" s="1518" t="n">
        <f aca="false">IF(OR(B71&lt;$F$8,$F$9&lt;=B71),MIN($E$6,D71/C71),$H$8)</f>
        <v>0.92</v>
      </c>
      <c r="G71" s="1517" t="n">
        <f aca="false">SUM(F59:F70)/12</f>
        <v>0.92</v>
      </c>
      <c r="H71" s="1075" t="str">
        <f aca="false">IF(G71&gt;=$E$6," ","LDs")</f>
        <v> </v>
      </c>
    </row>
    <row r="72" customFormat="false" ht="12.75" hidden="false" customHeight="false" outlineLevel="0" collapsed="false">
      <c r="B72" s="1516" t="n">
        <v>37987</v>
      </c>
      <c r="C72" s="1075" t="n">
        <f aca="false">IF(B72&lt;PPA_COD_PhII,$D$6,IF(B72&lt;$C$9,$D$7,$D$9))</f>
        <v>480</v>
      </c>
      <c r="D72" s="1075" t="n">
        <f aca="false">IF(B72&lt;$F$8,$G$6,IF(B72&lt;$F$9,$G$8,$G$9))</f>
        <v>480</v>
      </c>
      <c r="E72" s="1517" t="n">
        <v>0.92</v>
      </c>
      <c r="F72" s="1518" t="n">
        <f aca="false">IF(OR(B72&lt;$F$8,$F$9&lt;=B72),MIN($E$6,D72/C72),$H$8)</f>
        <v>0.92</v>
      </c>
      <c r="G72" s="1517" t="n">
        <f aca="false">SUM(F60:F71)/12</f>
        <v>0.92</v>
      </c>
      <c r="H72" s="1075" t="str">
        <f aca="false">IF(G72&gt;=$E$6," ","LDs")</f>
        <v> </v>
      </c>
    </row>
    <row r="73" customFormat="false" ht="12.75" hidden="false" customHeight="false" outlineLevel="0" collapsed="false">
      <c r="B73" s="1516" t="n">
        <v>38018</v>
      </c>
      <c r="C73" s="1075" t="n">
        <f aca="false">IF(B73&lt;PPA_COD_PhII,$D$6,IF(B73&lt;$C$9,$D$7,$D$9))</f>
        <v>480</v>
      </c>
      <c r="D73" s="1075" t="n">
        <f aca="false">IF(B73&lt;$F$8,$G$6,IF(B73&lt;$F$9,$G$8,$G$9))</f>
        <v>480</v>
      </c>
      <c r="E73" s="1517" t="n">
        <v>0.92</v>
      </c>
      <c r="F73" s="1518" t="n">
        <f aca="false">IF(OR(B73&lt;$F$8,$F$9&lt;=B73),MIN($E$6,D73/C73),$H$8)</f>
        <v>0.92</v>
      </c>
      <c r="G73" s="1517" t="n">
        <f aca="false">SUM(F61:F72)/12</f>
        <v>0.92</v>
      </c>
      <c r="H73" s="1075" t="str">
        <f aca="false">IF(G73&gt;=$E$6," ","LDs")</f>
        <v> </v>
      </c>
    </row>
    <row r="74" customFormat="false" ht="12.75" hidden="false" customHeight="false" outlineLevel="0" collapsed="false">
      <c r="B74" s="1516" t="n">
        <v>38047</v>
      </c>
      <c r="C74" s="1075" t="n">
        <f aca="false">IF(B74&lt;PPA_COD_PhII,$D$6,IF(B74&lt;$C$9,$D$7,$D$9))</f>
        <v>480</v>
      </c>
      <c r="D74" s="1075" t="n">
        <f aca="false">IF(B74&lt;$F$8,$G$6,IF(B74&lt;$F$9,$G$8,$G$9))</f>
        <v>480</v>
      </c>
      <c r="E74" s="1517" t="n">
        <v>0.92</v>
      </c>
      <c r="F74" s="1518" t="n">
        <f aca="false">IF(OR(B74&lt;$F$8,$F$9&lt;=B74),MIN($E$6,D74/C74),$H$8)</f>
        <v>0.92</v>
      </c>
      <c r="G74" s="1517" t="n">
        <f aca="false">SUM(F62:F73)/12</f>
        <v>0.92</v>
      </c>
      <c r="H74" s="1075" t="str">
        <f aca="false">IF(G74&gt;=$E$6," ","LDs")</f>
        <v> </v>
      </c>
    </row>
    <row r="75" customFormat="false" ht="12.75" hidden="false" customHeight="false" outlineLevel="0" collapsed="false">
      <c r="B75" s="1516" t="n">
        <v>38078</v>
      </c>
      <c r="C75" s="1075" t="n">
        <f aca="false">IF(B75&lt;PPA_COD_PhII,$D$6,IF(B75&lt;$C$9,$D$7,$D$9))</f>
        <v>480</v>
      </c>
      <c r="D75" s="1075" t="n">
        <f aca="false">IF(B75&lt;$F$8,$G$6,IF(B75&lt;$F$9,$G$8,$G$9))</f>
        <v>480</v>
      </c>
      <c r="E75" s="1517" t="n">
        <v>0.92</v>
      </c>
      <c r="F75" s="1518" t="n">
        <f aca="false">IF(OR(B75&lt;$F$8,$F$9&lt;=B75),MIN($E$6,D75/C75),$H$8)</f>
        <v>0.92</v>
      </c>
      <c r="G75" s="1517" t="n">
        <f aca="false">SUM(F63:F74)/12</f>
        <v>0.92</v>
      </c>
      <c r="H75" s="1075" t="str">
        <f aca="false">IF(G75&gt;=$E$6," ","LDs")</f>
        <v> </v>
      </c>
    </row>
    <row r="76" customFormat="false" ht="12.75" hidden="false" customHeight="false" outlineLevel="0" collapsed="false">
      <c r="B76" s="1516" t="n">
        <v>38108</v>
      </c>
      <c r="C76" s="1075" t="n">
        <f aca="false">IF(B76&lt;PPA_COD_PhII,$D$6,IF(B76&lt;$C$9,$D$7,$D$9))</f>
        <v>480</v>
      </c>
      <c r="D76" s="1075" t="n">
        <f aca="false">IF(B76&lt;$F$8,$G$6,IF(B76&lt;$F$9,$G$8,$G$9))</f>
        <v>480</v>
      </c>
      <c r="E76" s="1517" t="n">
        <v>0.92</v>
      </c>
      <c r="F76" s="1518" t="n">
        <f aca="false">IF(OR(B76&lt;$F$8,$F$9&lt;=B76),MIN($E$6,D76/C76),$H$8)</f>
        <v>0.92</v>
      </c>
      <c r="G76" s="1517" t="n">
        <f aca="false">SUM(F64:F75)/12</f>
        <v>0.92</v>
      </c>
      <c r="H76" s="1075" t="str">
        <f aca="false">IF(G76&gt;=$E$6," ","LDs")</f>
        <v> </v>
      </c>
    </row>
    <row r="77" customFormat="false" ht="12.75" hidden="false" customHeight="false" outlineLevel="0" collapsed="false">
      <c r="B77" s="1516" t="n">
        <v>38139</v>
      </c>
      <c r="C77" s="1075" t="n">
        <f aca="false">IF(B77&lt;PPA_COD_PhII,$D$6,IF(B77&lt;$C$9,$D$7,$D$9))</f>
        <v>480</v>
      </c>
      <c r="D77" s="1075" t="n">
        <f aca="false">IF(B77&lt;$F$8,$G$6,IF(B77&lt;$F$9,$G$8,$G$9))</f>
        <v>480</v>
      </c>
      <c r="E77" s="1517" t="n">
        <v>0.92</v>
      </c>
      <c r="F77" s="1518" t="n">
        <f aca="false">IF(OR(B77&lt;$F$8,$F$9&lt;=B77),MIN($E$6,D77/C77),$H$8)</f>
        <v>0.92</v>
      </c>
      <c r="G77" s="1517" t="n">
        <f aca="false">SUM(F65:F76)/12</f>
        <v>0.92</v>
      </c>
      <c r="H77" s="1075" t="str">
        <f aca="false">IF(G77&gt;=$E$6," ","LDs")</f>
        <v> </v>
      </c>
    </row>
    <row r="78" customFormat="false" ht="12.75" hidden="false" customHeight="false" outlineLevel="0" collapsed="false">
      <c r="B78" s="1516" t="n">
        <v>38169</v>
      </c>
      <c r="C78" s="1075" t="n">
        <f aca="false">IF(B78&lt;PPA_COD_PhII,$D$6,IF(B78&lt;$C$9,$D$7,$D$9))</f>
        <v>480</v>
      </c>
      <c r="D78" s="1075" t="n">
        <f aca="false">IF(B78&lt;$F$8,$G$6,IF(B78&lt;$F$9,$G$8,$G$9))</f>
        <v>480</v>
      </c>
      <c r="E78" s="1517" t="n">
        <v>0.92</v>
      </c>
      <c r="F78" s="1518" t="n">
        <f aca="false">IF(OR(B78&lt;$F$8,$F$9&lt;=B78),MIN($E$6,D78/C78),$H$8)</f>
        <v>0.92</v>
      </c>
      <c r="G78" s="1517" t="n">
        <f aca="false">SUM(F66:F77)/12</f>
        <v>0.92</v>
      </c>
      <c r="H78" s="1075" t="str">
        <f aca="false">IF(G78&gt;=$E$6," ","LDs")</f>
        <v> </v>
      </c>
    </row>
    <row r="79" customFormat="false" ht="12.75" hidden="false" customHeight="false" outlineLevel="0" collapsed="false">
      <c r="B79" s="1516" t="n">
        <v>38200</v>
      </c>
      <c r="C79" s="1075" t="n">
        <f aca="false">IF(B79&lt;PPA_COD_PhII,$D$6,IF(B79&lt;$C$9,$D$7,$D$9))</f>
        <v>480</v>
      </c>
      <c r="D79" s="1075" t="n">
        <f aca="false">IF(B79&lt;$F$8,$G$6,IF(B79&lt;$F$9,$G$8,$G$9))</f>
        <v>480</v>
      </c>
      <c r="E79" s="1517" t="n">
        <v>0.92</v>
      </c>
      <c r="F79" s="1518" t="n">
        <f aca="false">IF(OR(B79&lt;$F$8,$F$9&lt;=B79),MIN($E$6,D79/C79),$H$8)</f>
        <v>0.92</v>
      </c>
      <c r="G79" s="1517" t="n">
        <f aca="false">SUM(F67:F78)/12</f>
        <v>0.92</v>
      </c>
      <c r="H79" s="1075" t="str">
        <f aca="false">IF(G79&gt;=$E$6," ","LDs")</f>
        <v> </v>
      </c>
    </row>
    <row r="80" customFormat="false" ht="12.75" hidden="false" customHeight="false" outlineLevel="0" collapsed="false">
      <c r="B80" s="1516" t="n">
        <v>38231</v>
      </c>
      <c r="C80" s="1075" t="n">
        <f aca="false">IF(B80&lt;PPA_COD_PhII,$D$6,IF(B80&lt;$C$9,$D$7,$D$9))</f>
        <v>480</v>
      </c>
      <c r="D80" s="1075" t="n">
        <f aca="false">IF(B80&lt;$F$8,$G$6,IF(B80&lt;$F$9,$G$8,$G$9))</f>
        <v>480</v>
      </c>
      <c r="E80" s="1517" t="n">
        <v>0.92</v>
      </c>
      <c r="F80" s="1518" t="n">
        <f aca="false">IF(OR(B80&lt;$F$8,$F$9&lt;=B80),MIN($E$6,D80/C80),$H$8)</f>
        <v>0.92</v>
      </c>
      <c r="G80" s="1517" t="n">
        <f aca="false">SUM(F68:F79)/12</f>
        <v>0.92</v>
      </c>
      <c r="H80" s="1075" t="str">
        <f aca="false">IF(G80&gt;=$E$6," ","LDs")</f>
        <v> </v>
      </c>
    </row>
    <row r="81" customFormat="false" ht="12.75" hidden="false" customHeight="false" outlineLevel="0" collapsed="false">
      <c r="B81" s="1516" t="n">
        <v>38261</v>
      </c>
      <c r="C81" s="1075" t="n">
        <f aca="false">IF(B81&lt;PPA_COD_PhII,$D$6,IF(B81&lt;$C$9,$D$7,$D$9))</f>
        <v>480</v>
      </c>
      <c r="D81" s="1075" t="n">
        <f aca="false">IF(B81&lt;$F$8,$G$6,IF(B81&lt;$F$9,$G$8,$G$9))</f>
        <v>480</v>
      </c>
      <c r="E81" s="1517" t="n">
        <v>0.92</v>
      </c>
      <c r="F81" s="1518" t="n">
        <f aca="false">IF(OR(B81&lt;$F$8,$F$9&lt;=B81),MIN($E$6,D81/C81),$H$8)</f>
        <v>0.92</v>
      </c>
      <c r="G81" s="1517" t="n">
        <f aca="false">SUM(F69:F80)/12</f>
        <v>0.92</v>
      </c>
      <c r="H81" s="1075" t="str">
        <f aca="false">IF(G81&gt;=$E$6," ","LDs")</f>
        <v> </v>
      </c>
    </row>
    <row r="82" customFormat="false" ht="12.75" hidden="false" customHeight="false" outlineLevel="0" collapsed="false">
      <c r="B82" s="1516" t="n">
        <v>38292</v>
      </c>
      <c r="C82" s="1075" t="n">
        <f aca="false">IF(B82&lt;PPA_COD_PhII,$D$6,IF(B82&lt;$C$9,$D$7,$D$9))</f>
        <v>480</v>
      </c>
      <c r="D82" s="1075" t="n">
        <f aca="false">IF(B82&lt;$F$8,$G$6,IF(B82&lt;$F$9,$G$8,$G$9))</f>
        <v>480</v>
      </c>
      <c r="E82" s="1517" t="n">
        <v>0.92</v>
      </c>
      <c r="F82" s="1518" t="n">
        <f aca="false">IF(OR(B82&lt;$F$8,$F$9&lt;=B82),MIN($E$6,D82/C82),$H$8)</f>
        <v>0.92</v>
      </c>
      <c r="G82" s="1517" t="n">
        <f aca="false">SUM(F70:F81)/12</f>
        <v>0.92</v>
      </c>
      <c r="H82" s="1075" t="str">
        <f aca="false">IF(G82&gt;=$E$6," ","LDs")</f>
        <v> </v>
      </c>
    </row>
    <row r="83" customFormat="false" ht="12.75" hidden="false" customHeight="false" outlineLevel="0" collapsed="false">
      <c r="B83" s="1516" t="n">
        <v>38322</v>
      </c>
      <c r="C83" s="1075" t="n">
        <f aca="false">IF(B83&lt;PPA_COD_PhII,$D$6,IF(B83&lt;$C$9,$D$7,$D$9))</f>
        <v>480</v>
      </c>
      <c r="D83" s="1075" t="n">
        <f aca="false">IF(B83&lt;$F$8,$G$6,IF(B83&lt;$F$9,$G$8,$G$9))</f>
        <v>480</v>
      </c>
      <c r="E83" s="1517" t="n">
        <v>0.92</v>
      </c>
      <c r="F83" s="1518" t="n">
        <f aca="false">IF(OR(B83&lt;$F$8,$F$9&lt;=B83),MIN($E$6,D83/C83),$H$8)</f>
        <v>0.92</v>
      </c>
      <c r="G83" s="1517" t="n">
        <f aca="false">SUM(F71:F82)/12</f>
        <v>0.92</v>
      </c>
      <c r="H83" s="1075" t="str">
        <f aca="false">IF(G83&gt;=$E$6," ","LDs")</f>
        <v> </v>
      </c>
    </row>
    <row r="84" customFormat="false" ht="12.75" hidden="false" customHeight="false" outlineLevel="0" collapsed="false">
      <c r="B84" s="1516" t="n">
        <v>38353</v>
      </c>
      <c r="C84" s="1075" t="n">
        <f aca="false">IF(B84&lt;PPA_COD_PhII,$D$6,IF(B84&lt;$C$9,$D$7,$D$9))</f>
        <v>480</v>
      </c>
      <c r="D84" s="1075" t="n">
        <f aca="false">IF(B84&lt;$F$8,$G$6,IF(B84&lt;$F$9,$G$8,$G$9))</f>
        <v>480</v>
      </c>
      <c r="E84" s="1517" t="n">
        <v>0.92</v>
      </c>
      <c r="F84" s="1518" t="n">
        <f aca="false">IF(OR(B84&lt;$F$8,$F$9&lt;=B84),MIN($E$6,D84/C84),$H$8)</f>
        <v>0.92</v>
      </c>
      <c r="G84" s="1517" t="n">
        <f aca="false">SUM(F72:F83)/12</f>
        <v>0.92</v>
      </c>
      <c r="H84" s="1075" t="str">
        <f aca="false">IF(G84&gt;=$E$6," ","LDs")</f>
        <v> </v>
      </c>
    </row>
    <row r="85" customFormat="false" ht="12.75" hidden="false" customHeight="false" outlineLevel="0" collapsed="false">
      <c r="B85" s="1516" t="n">
        <v>38384</v>
      </c>
      <c r="C85" s="1075" t="n">
        <f aca="false">IF(B85&lt;PPA_COD_PhII,$D$6,IF(B85&lt;$C$9,$D$7,$D$9))</f>
        <v>480</v>
      </c>
      <c r="D85" s="1075" t="n">
        <f aca="false">IF(B85&lt;$F$8,$G$6,IF(B85&lt;$F$9,$G$8,$G$9))</f>
        <v>480</v>
      </c>
      <c r="E85" s="1517" t="n">
        <v>0.92</v>
      </c>
      <c r="F85" s="1518" t="n">
        <f aca="false">IF(OR(B85&lt;$F$8,$F$9&lt;=B85),MIN($E$6,D85/C85),$H$8)</f>
        <v>0.92</v>
      </c>
      <c r="G85" s="1517" t="n">
        <f aca="false">SUM(F73:F84)/12</f>
        <v>0.92</v>
      </c>
      <c r="H85" s="1075" t="str">
        <f aca="false">IF(G85&gt;=$E$6," ","LDs")</f>
        <v> </v>
      </c>
    </row>
    <row r="86" customFormat="false" ht="12.75" hidden="false" customHeight="false" outlineLevel="0" collapsed="false">
      <c r="B86" s="1516" t="n">
        <v>38412</v>
      </c>
      <c r="C86" s="1075" t="n">
        <f aca="false">IF(B86&lt;PPA_COD_PhII,$D$6,IF(B86&lt;$C$9,$D$7,$D$9))</f>
        <v>480</v>
      </c>
      <c r="D86" s="1075" t="n">
        <f aca="false">IF(B86&lt;$F$8,$G$6,IF(B86&lt;$F$9,$G$8,$G$9))</f>
        <v>480</v>
      </c>
      <c r="E86" s="1517" t="n">
        <v>0.92</v>
      </c>
      <c r="F86" s="1518" t="n">
        <f aca="false">IF(OR(B86&lt;$F$8,$F$9&lt;=B86),MIN($E$6,D86/C86),$H$8)</f>
        <v>0.92</v>
      </c>
      <c r="G86" s="1517" t="n">
        <f aca="false">SUM(F74:F85)/12</f>
        <v>0.92</v>
      </c>
      <c r="H86" s="1075" t="str">
        <f aca="false">IF(G86&gt;=$E$6," ","LDs")</f>
        <v> </v>
      </c>
    </row>
    <row r="87" customFormat="false" ht="12.75" hidden="false" customHeight="false" outlineLevel="0" collapsed="false">
      <c r="B87" s="1516" t="n">
        <v>38443</v>
      </c>
      <c r="C87" s="1075" t="n">
        <f aca="false">IF(B87&lt;PPA_COD_PhII,$D$6,IF(B87&lt;$C$9,$D$7,$D$9))</f>
        <v>480</v>
      </c>
      <c r="D87" s="1075" t="n">
        <f aca="false">IF(B87&lt;$F$8,$G$6,IF(B87&lt;$F$9,$G$8,$G$9))</f>
        <v>480</v>
      </c>
      <c r="E87" s="1517" t="n">
        <v>0.92</v>
      </c>
      <c r="F87" s="1518" t="n">
        <f aca="false">IF(OR(B87&lt;$F$8,$F$9&lt;=B87),MIN($E$6,D87/C87),$H$8)</f>
        <v>0.92</v>
      </c>
      <c r="G87" s="1517" t="n">
        <f aca="false">SUM(F75:F86)/12</f>
        <v>0.92</v>
      </c>
      <c r="H87" s="1075" t="str">
        <f aca="false">IF(G87&gt;=$E$6," ","LDs")</f>
        <v> </v>
      </c>
    </row>
    <row r="88" customFormat="false" ht="12.75" hidden="false" customHeight="false" outlineLevel="0" collapsed="false">
      <c r="B88" s="1516" t="n">
        <v>38473</v>
      </c>
      <c r="C88" s="1075" t="n">
        <f aca="false">IF(B88&lt;PPA_COD_PhII,$D$6,IF(B88&lt;$C$9,$D$7,$D$9))</f>
        <v>480</v>
      </c>
      <c r="D88" s="1075" t="n">
        <f aca="false">IF(B88&lt;$F$8,$G$6,IF(B88&lt;$F$9,$G$8,$G$9))</f>
        <v>480</v>
      </c>
      <c r="E88" s="1517" t="n">
        <v>0.92</v>
      </c>
      <c r="F88" s="1518" t="n">
        <f aca="false">IF(OR(B88&lt;$F$8,$F$9&lt;=B88),MIN($E$6,D88/C88),$H$8)</f>
        <v>0.92</v>
      </c>
      <c r="G88" s="1517" t="n">
        <f aca="false">SUM(F76:F87)/12</f>
        <v>0.92</v>
      </c>
      <c r="H88" s="1075" t="str">
        <f aca="false">IF(G88&gt;=$E$6," ","LDs")</f>
        <v> </v>
      </c>
    </row>
    <row r="89" customFormat="false" ht="12.75" hidden="false" customHeight="false" outlineLevel="0" collapsed="false">
      <c r="B89" s="1516" t="n">
        <v>38504</v>
      </c>
      <c r="C89" s="1075" t="n">
        <f aca="false">IF(B89&lt;PPA_COD_PhII,$D$6,IF(B89&lt;$C$9,$D$7,$D$9))</f>
        <v>480</v>
      </c>
      <c r="D89" s="1075" t="n">
        <f aca="false">IF(B89&lt;$F$8,$G$6,IF(B89&lt;$F$9,$G$8,$G$9))</f>
        <v>480</v>
      </c>
      <c r="E89" s="1517" t="n">
        <v>0.92</v>
      </c>
      <c r="F89" s="1518" t="n">
        <f aca="false">IF(OR(B89&lt;$F$8,$F$9&lt;=B89),MIN($E$6,D89/C89),$H$8)</f>
        <v>0.92</v>
      </c>
      <c r="G89" s="1517" t="n">
        <f aca="false">SUM(F77:F88)/12</f>
        <v>0.92</v>
      </c>
      <c r="H89" s="1075" t="str">
        <f aca="false">IF(G89&gt;=$E$6," ","LDs")</f>
        <v> </v>
      </c>
    </row>
    <row r="90" customFormat="false" ht="12.75" hidden="false" customHeight="false" outlineLevel="0" collapsed="false">
      <c r="B90" s="1516" t="n">
        <v>38534</v>
      </c>
      <c r="C90" s="1075" t="n">
        <f aca="false">IF(B90&lt;PPA_COD_PhII,$D$6,IF(B90&lt;$C$9,$D$7,$D$9))</f>
        <v>480</v>
      </c>
      <c r="D90" s="1075" t="n">
        <f aca="false">IF(B90&lt;$F$8,$G$6,IF(B90&lt;$F$9,$G$8,$G$9))</f>
        <v>480</v>
      </c>
      <c r="E90" s="1517" t="n">
        <v>0.92</v>
      </c>
      <c r="F90" s="1518" t="n">
        <f aca="false">IF(OR(B90&lt;$F$8,$F$9&lt;=B90),MIN($E$6,D90/C90),$H$8)</f>
        <v>0.92</v>
      </c>
      <c r="G90" s="1517" t="n">
        <f aca="false">SUM(F78:F89)/12</f>
        <v>0.92</v>
      </c>
      <c r="H90" s="1075" t="str">
        <f aca="false">IF(G90&gt;=$E$6," ","LDs")</f>
        <v> </v>
      </c>
    </row>
    <row r="91" customFormat="false" ht="12.75" hidden="false" customHeight="false" outlineLevel="0" collapsed="false">
      <c r="B91" s="1516" t="n">
        <v>38565</v>
      </c>
      <c r="C91" s="1075" t="n">
        <f aca="false">IF(B91&lt;PPA_COD_PhII,$D$6,IF(B91&lt;$C$9,$D$7,$D$9))</f>
        <v>480</v>
      </c>
      <c r="D91" s="1075" t="n">
        <f aca="false">IF(B91&lt;$F$8,$G$6,IF(B91&lt;$F$9,$G$8,$G$9))</f>
        <v>480</v>
      </c>
      <c r="E91" s="1517" t="n">
        <v>0.92</v>
      </c>
      <c r="F91" s="1518" t="n">
        <f aca="false">IF(OR(B91&lt;$F$8,$F$9&lt;=B91),MIN($E$6,D91/C91),$H$8)</f>
        <v>0.92</v>
      </c>
      <c r="G91" s="1517" t="n">
        <f aca="false">SUM(F79:F90)/12</f>
        <v>0.92</v>
      </c>
      <c r="H91" s="1075" t="str">
        <f aca="false">IF(G91&gt;=$E$6," ","LDs")</f>
        <v> </v>
      </c>
    </row>
    <row r="92" customFormat="false" ht="12.75" hidden="false" customHeight="false" outlineLevel="0" collapsed="false">
      <c r="B92" s="1516" t="n">
        <v>38596</v>
      </c>
      <c r="C92" s="1075" t="n">
        <f aca="false">IF(B92&lt;PPA_COD_PhII,$D$6,IF(B92&lt;$C$9,$D$7,$D$9))</f>
        <v>480</v>
      </c>
      <c r="D92" s="1075" t="n">
        <f aca="false">IF(B92&lt;$F$8,$G$6,IF(B92&lt;$F$9,$G$8,$G$9))</f>
        <v>480</v>
      </c>
      <c r="E92" s="1517" t="n">
        <v>0.92</v>
      </c>
      <c r="F92" s="1518" t="n">
        <f aca="false">IF(OR(B92&lt;$F$8,$F$9&lt;=B92),MIN($E$6,D92/C92),$H$8)</f>
        <v>0.92</v>
      </c>
      <c r="G92" s="1517" t="n">
        <f aca="false">SUM(F80:F91)/12</f>
        <v>0.92</v>
      </c>
      <c r="H92" s="1075" t="str">
        <f aca="false">IF(G92&gt;=$E$6," ","LDs")</f>
        <v> </v>
      </c>
    </row>
    <row r="93" customFormat="false" ht="12.75" hidden="false" customHeight="false" outlineLevel="0" collapsed="false">
      <c r="B93" s="1516" t="n">
        <v>38626</v>
      </c>
      <c r="C93" s="1075" t="n">
        <f aca="false">IF(B93&lt;PPA_COD_PhII,$D$6,IF(B93&lt;$C$9,$D$7,$D$9))</f>
        <v>480</v>
      </c>
      <c r="D93" s="1075" t="n">
        <f aca="false">IF(B93&lt;$F$8,$G$6,IF(B93&lt;$F$9,$G$8,$G$9))</f>
        <v>480</v>
      </c>
      <c r="E93" s="1517" t="n">
        <v>0.92</v>
      </c>
      <c r="F93" s="1518" t="n">
        <f aca="false">IF(OR(B93&lt;$F$8,$F$9&lt;=B93),MIN($E$6,D93/C93),$H$8)</f>
        <v>0.92</v>
      </c>
      <c r="G93" s="1517" t="n">
        <f aca="false">SUM(F81:F92)/12</f>
        <v>0.92</v>
      </c>
      <c r="H93" s="1075" t="str">
        <f aca="false">IF(G93&gt;=$E$6," ","LDs")</f>
        <v> </v>
      </c>
    </row>
    <row r="94" customFormat="false" ht="12.75" hidden="false" customHeight="false" outlineLevel="0" collapsed="false">
      <c r="B94" s="1516" t="n">
        <v>38657</v>
      </c>
      <c r="C94" s="1075" t="n">
        <f aca="false">IF(B94&lt;PPA_COD_PhII,$D$6,IF(B94&lt;$C$9,$D$7,$D$9))</f>
        <v>480</v>
      </c>
      <c r="D94" s="1075" t="n">
        <f aca="false">IF(B94&lt;$F$8,$G$6,IF(B94&lt;$F$9,$G$8,$G$9))</f>
        <v>480</v>
      </c>
      <c r="E94" s="1517" t="n">
        <v>0.92</v>
      </c>
      <c r="F94" s="1518" t="n">
        <f aca="false">IF(OR(B94&lt;$F$8,$F$9&lt;=B94),MIN($E$6,D94/C94),$H$8)</f>
        <v>0.92</v>
      </c>
      <c r="G94" s="1517" t="n">
        <f aca="false">SUM(F82:F93)/12</f>
        <v>0.92</v>
      </c>
      <c r="H94" s="1075" t="str">
        <f aca="false">IF(G94&gt;=$E$6," ","LDs")</f>
        <v> </v>
      </c>
    </row>
    <row r="95" customFormat="false" ht="12.75" hidden="false" customHeight="false" outlineLevel="0" collapsed="false">
      <c r="B95" s="1516" t="n">
        <v>38687</v>
      </c>
      <c r="C95" s="1075" t="n">
        <f aca="false">IF(B95&lt;PPA_COD_PhII,$D$6,IF(B95&lt;$C$9,$D$7,$D$9))</f>
        <v>480</v>
      </c>
      <c r="D95" s="1075" t="n">
        <f aca="false">IF(B95&lt;$F$8,$G$6,IF(B95&lt;$F$9,$G$8,$G$9))</f>
        <v>480</v>
      </c>
      <c r="E95" s="1517" t="n">
        <v>0.92</v>
      </c>
      <c r="F95" s="1518" t="n">
        <f aca="false">IF(OR(B95&lt;$F$8,$F$9&lt;=B95),MIN($E$6,D95/C95),$H$8)</f>
        <v>0.92</v>
      </c>
      <c r="G95" s="1517" t="n">
        <f aca="false">SUM(F83:F94)/12</f>
        <v>0.92</v>
      </c>
      <c r="H95" s="1075" t="str">
        <f aca="false">IF(G95&gt;=$E$6," ","LDs")</f>
        <v> </v>
      </c>
    </row>
    <row r="96" customFormat="false" ht="12.75" hidden="false" customHeight="false" outlineLevel="0" collapsed="false">
      <c r="B96" s="1516" t="n">
        <v>38718</v>
      </c>
      <c r="C96" s="1075" t="n">
        <f aca="false">IF(B96&lt;PPA_COD_PhII,$D$6,IF(B96&lt;$C$9,$D$7,$D$9))</f>
        <v>480</v>
      </c>
      <c r="D96" s="1075" t="n">
        <f aca="false">IF(B96&lt;$F$8,$G$6,IF(B96&lt;$F$9,$G$8,$G$9))</f>
        <v>480</v>
      </c>
      <c r="E96" s="1517" t="n">
        <v>0.92</v>
      </c>
      <c r="F96" s="1518" t="n">
        <f aca="false">IF(OR(B96&lt;$F$8,$F$9&lt;=B96),MIN($E$6,D96/C96),$H$8)</f>
        <v>0.92</v>
      </c>
      <c r="G96" s="1517" t="n">
        <f aca="false">SUM(F84:F95)/12</f>
        <v>0.92</v>
      </c>
      <c r="H96" s="1075" t="str">
        <f aca="false">IF(G96&gt;=$E$6," ","LDs")</f>
        <v> </v>
      </c>
    </row>
    <row r="97" customFormat="false" ht="12.75" hidden="false" customHeight="false" outlineLevel="0" collapsed="false">
      <c r="B97" s="1516" t="n">
        <v>38749</v>
      </c>
      <c r="C97" s="1075" t="n">
        <f aca="false">IF(B97&lt;PPA_COD_PhII,$D$6,IF(B97&lt;$C$9,$D$7,$D$9))</f>
        <v>480</v>
      </c>
      <c r="D97" s="1075" t="n">
        <f aca="false">IF(B97&lt;$F$8,$G$6,IF(B97&lt;$F$9,$G$8,$G$9))</f>
        <v>480</v>
      </c>
      <c r="E97" s="1517" t="n">
        <v>0.92</v>
      </c>
      <c r="F97" s="1518" t="n">
        <f aca="false">IF(OR(B97&lt;$F$8,$F$9&lt;=B97),MIN($E$6,D97/C97),$H$8)</f>
        <v>0.92</v>
      </c>
      <c r="G97" s="1517" t="n">
        <f aca="false">SUM(F85:F96)/12</f>
        <v>0.92</v>
      </c>
      <c r="H97" s="1075" t="str">
        <f aca="false">IF(G97&gt;=$E$6," ","LDs")</f>
        <v> </v>
      </c>
    </row>
    <row r="98" customFormat="false" ht="12.75" hidden="false" customHeight="false" outlineLevel="0" collapsed="false">
      <c r="B98" s="1516" t="n">
        <v>38777</v>
      </c>
      <c r="C98" s="1075" t="n">
        <f aca="false">IF(B98&lt;PPA_COD_PhII,$D$6,IF(B98&lt;$C$9,$D$7,$D$9))</f>
        <v>480</v>
      </c>
      <c r="D98" s="1075" t="n">
        <f aca="false">IF(B98&lt;$F$8,$G$6,IF(B98&lt;$F$9,$G$8,$G$9))</f>
        <v>480</v>
      </c>
      <c r="E98" s="1517" t="n">
        <v>0.92</v>
      </c>
      <c r="F98" s="1518" t="n">
        <f aca="false">IF(OR(B98&lt;$F$8,$F$9&lt;=B98),MIN($E$6,D98/C98),$H$8)</f>
        <v>0.92</v>
      </c>
      <c r="G98" s="1517" t="n">
        <f aca="false">SUM(F86:F97)/12</f>
        <v>0.92</v>
      </c>
      <c r="H98" s="1075" t="str">
        <f aca="false">IF(G98&gt;=$E$6," ","LDs")</f>
        <v> </v>
      </c>
    </row>
    <row r="99" customFormat="false" ht="12.75" hidden="false" customHeight="false" outlineLevel="0" collapsed="false">
      <c r="B99" s="1516" t="n">
        <v>38808</v>
      </c>
      <c r="C99" s="1075" t="n">
        <f aca="false">IF(B99&lt;PPA_COD_PhII,$D$6,IF(B99&lt;$C$9,$D$7,$D$9))</f>
        <v>480</v>
      </c>
      <c r="D99" s="1075" t="n">
        <f aca="false">IF(B99&lt;$F$8,$G$6,IF(B99&lt;$F$9,$G$8,$G$9))</f>
        <v>480</v>
      </c>
      <c r="E99" s="1517" t="n">
        <v>0.92</v>
      </c>
      <c r="F99" s="1518" t="n">
        <f aca="false">IF(OR(B99&lt;$F$8,$F$9&lt;=B99),MIN($E$6,D99/C99),$H$8)</f>
        <v>0.92</v>
      </c>
      <c r="G99" s="1517" t="n">
        <f aca="false">SUM(F87:F98)/12</f>
        <v>0.92</v>
      </c>
      <c r="H99" s="1075" t="str">
        <f aca="false">IF(G99&gt;=$E$6," ","LDs")</f>
        <v> </v>
      </c>
    </row>
    <row r="100" customFormat="false" ht="12.75" hidden="false" customHeight="false" outlineLevel="0" collapsed="false">
      <c r="B100" s="1516" t="n">
        <v>38838</v>
      </c>
      <c r="C100" s="1075" t="n">
        <f aca="false">IF(B100&lt;PPA_COD_PhII,$D$6,IF(B100&lt;$C$9,$D$7,$D$9))</f>
        <v>480</v>
      </c>
      <c r="D100" s="1075" t="n">
        <f aca="false">IF(B100&lt;$F$8,$G$6,IF(B100&lt;$F$9,$G$8,$G$9))</f>
        <v>480</v>
      </c>
      <c r="E100" s="1517" t="n">
        <v>0.92</v>
      </c>
      <c r="F100" s="1518" t="n">
        <f aca="false">IF(OR(B100&lt;$F$8,$F$9&lt;=B100),MIN($E$6,D100/C100),$H$8)</f>
        <v>0.92</v>
      </c>
      <c r="G100" s="1517" t="n">
        <f aca="false">SUM(F88:F99)/12</f>
        <v>0.92</v>
      </c>
      <c r="H100" s="1075" t="str">
        <f aca="false">IF(G100&gt;=$E$6," ","LDs")</f>
        <v> </v>
      </c>
    </row>
    <row r="101" customFormat="false" ht="12.75" hidden="false" customHeight="false" outlineLevel="0" collapsed="false">
      <c r="B101" s="1516" t="n">
        <v>38869</v>
      </c>
      <c r="C101" s="1075" t="n">
        <f aca="false">IF(B101&lt;PPA_COD_PhII,$D$6,IF(B101&lt;$C$9,$D$7,$D$9))</f>
        <v>480</v>
      </c>
      <c r="D101" s="1075" t="n">
        <f aca="false">IF(B101&lt;$F$8,$G$6,IF(B101&lt;$F$9,$G$8,$G$9))</f>
        <v>480</v>
      </c>
      <c r="E101" s="1517" t="n">
        <v>0.92</v>
      </c>
      <c r="F101" s="1518" t="n">
        <f aca="false">IF(OR(B101&lt;$F$8,$F$9&lt;=B101),MIN($E$6,D101/C101),$H$8)</f>
        <v>0.92</v>
      </c>
      <c r="G101" s="1517" t="n">
        <f aca="false">SUM(F89:F100)/12</f>
        <v>0.92</v>
      </c>
      <c r="H101" s="1075" t="str">
        <f aca="false">IF(G101&gt;=$E$6," ","LDs")</f>
        <v> </v>
      </c>
    </row>
    <row r="102" customFormat="false" ht="12.75" hidden="false" customHeight="false" outlineLevel="0" collapsed="false">
      <c r="B102" s="1516" t="n">
        <v>38899</v>
      </c>
      <c r="C102" s="1075" t="n">
        <f aca="false">IF(B102&lt;PPA_COD_PhII,$D$6,IF(B102&lt;$C$9,$D$7,$D$9))</f>
        <v>480</v>
      </c>
      <c r="D102" s="1075" t="n">
        <f aca="false">IF(B102&lt;$F$8,$G$6,IF(B102&lt;$F$9,$G$8,$G$9))</f>
        <v>480</v>
      </c>
      <c r="E102" s="1517" t="n">
        <v>0.92</v>
      </c>
      <c r="F102" s="1518" t="n">
        <f aca="false">IF(OR(B102&lt;$F$8,$F$9&lt;=B102),MIN($E$6,D102/C102),$H$8)</f>
        <v>0.92</v>
      </c>
      <c r="G102" s="1517" t="n">
        <f aca="false">SUM(F90:F101)/12</f>
        <v>0.92</v>
      </c>
      <c r="H102" s="1075" t="str">
        <f aca="false">IF(G102&gt;=$E$6," ","LDs")</f>
        <v> </v>
      </c>
    </row>
    <row r="103" customFormat="false" ht="12.75" hidden="false" customHeight="false" outlineLevel="0" collapsed="false">
      <c r="B103" s="1516" t="n">
        <v>38930</v>
      </c>
      <c r="C103" s="1075" t="n">
        <f aca="false">IF(B103&lt;PPA_COD_PhII,$D$6,IF(B103&lt;$C$9,$D$7,$D$9))</f>
        <v>480</v>
      </c>
      <c r="D103" s="1075" t="n">
        <f aca="false">IF(B103&lt;$F$8,$G$6,IF(B103&lt;$F$9,$G$8,$G$9))</f>
        <v>480</v>
      </c>
      <c r="E103" s="1517" t="n">
        <v>0.92</v>
      </c>
      <c r="F103" s="1518" t="n">
        <f aca="false">IF(OR(B103&lt;$F$8,$F$9&lt;=B103),MIN($E$6,D103/C103),$H$8)</f>
        <v>0.92</v>
      </c>
      <c r="G103" s="1517" t="n">
        <f aca="false">SUM(F91:F102)/12</f>
        <v>0.92</v>
      </c>
      <c r="H103" s="1075" t="str">
        <f aca="false">IF(G103&gt;=$E$6," ","LDs")</f>
        <v> </v>
      </c>
    </row>
    <row r="104" customFormat="false" ht="12.75" hidden="false" customHeight="false" outlineLevel="0" collapsed="false">
      <c r="B104" s="1516" t="n">
        <v>38961</v>
      </c>
      <c r="C104" s="1075" t="n">
        <f aca="false">IF(B104&lt;PPA_COD_PhII,$D$6,IF(B104&lt;$C$9,$D$7,$D$9))</f>
        <v>480</v>
      </c>
      <c r="D104" s="1075" t="n">
        <f aca="false">IF(B104&lt;$F$8,$G$6,IF(B104&lt;$F$9,$G$8,$G$9))</f>
        <v>480</v>
      </c>
      <c r="E104" s="1517" t="n">
        <v>0.92</v>
      </c>
      <c r="F104" s="1518" t="n">
        <f aca="false">IF(OR(B104&lt;$F$8,$F$9&lt;=B104),MIN($E$6,D104/C104),$H$8)</f>
        <v>0.92</v>
      </c>
      <c r="G104" s="1517" t="n">
        <f aca="false">SUM(F92:F103)/12</f>
        <v>0.92</v>
      </c>
      <c r="H104" s="1075" t="str">
        <f aca="false">IF(G104&gt;=$E$6," ","LDs")</f>
        <v> </v>
      </c>
    </row>
    <row r="105" customFormat="false" ht="12.75" hidden="false" customHeight="false" outlineLevel="0" collapsed="false">
      <c r="B105" s="1516" t="n">
        <v>38991</v>
      </c>
      <c r="C105" s="1075" t="n">
        <f aca="false">IF(B105&lt;PPA_COD_PhII,$D$6,IF(B105&lt;$C$9,$D$7,$D$9))</f>
        <v>480</v>
      </c>
      <c r="D105" s="1075" t="n">
        <f aca="false">IF(B105&lt;$F$8,$G$6,IF(B105&lt;$F$9,$G$8,$G$9))</f>
        <v>480</v>
      </c>
      <c r="E105" s="1517" t="n">
        <v>0.92</v>
      </c>
      <c r="F105" s="1518" t="n">
        <f aca="false">IF(OR(B105&lt;$F$8,$F$9&lt;=B105),MIN($E$6,D105/C105),$H$8)</f>
        <v>0.92</v>
      </c>
      <c r="G105" s="1517" t="n">
        <f aca="false">SUM(F93:F104)/12</f>
        <v>0.92</v>
      </c>
      <c r="H105" s="1075" t="str">
        <f aca="false">IF(G105&gt;=$E$6," ","LDs")</f>
        <v> </v>
      </c>
    </row>
    <row r="106" customFormat="false" ht="12.75" hidden="false" customHeight="false" outlineLevel="0" collapsed="false">
      <c r="B106" s="1516" t="n">
        <v>39022</v>
      </c>
      <c r="C106" s="1075" t="n">
        <f aca="false">IF(B106&lt;PPA_COD_PhII,$D$6,IF(B106&lt;$C$9,$D$7,$D$9))</f>
        <v>480</v>
      </c>
      <c r="D106" s="1075" t="n">
        <f aca="false">IF(B106&lt;$F$8,$G$6,IF(B106&lt;$F$9,$G$8,$G$9))</f>
        <v>480</v>
      </c>
      <c r="E106" s="1517" t="n">
        <v>0.92</v>
      </c>
      <c r="F106" s="1518" t="n">
        <f aca="false">IF(OR(B106&lt;$F$8,$F$9&lt;=B106),MIN($E$6,D106/C106),$H$8)</f>
        <v>0.92</v>
      </c>
      <c r="G106" s="1517" t="n">
        <f aca="false">SUM(F94:F105)/12</f>
        <v>0.92</v>
      </c>
      <c r="H106" s="1075" t="str">
        <f aca="false">IF(G106&gt;=$E$6," ","LDs")</f>
        <v> </v>
      </c>
    </row>
    <row r="107" customFormat="false" ht="12.75" hidden="false" customHeight="false" outlineLevel="0" collapsed="false">
      <c r="B107" s="1516" t="n">
        <v>39052</v>
      </c>
      <c r="C107" s="1075" t="n">
        <f aca="false">IF(B107&lt;PPA_COD_PhII,$D$6,IF(B107&lt;$C$9,$D$7,$D$9))</f>
        <v>480</v>
      </c>
      <c r="D107" s="1075" t="n">
        <f aca="false">IF(B107&lt;$F$8,$G$6,IF(B107&lt;$F$9,$G$8,$G$9))</f>
        <v>480</v>
      </c>
      <c r="E107" s="1517" t="n">
        <v>0.92</v>
      </c>
      <c r="F107" s="1518" t="n">
        <f aca="false">IF(OR(B107&lt;$F$8,$F$9&lt;=B107),MIN($E$6,D107/C107),$H$8)</f>
        <v>0.92</v>
      </c>
      <c r="G107" s="1517" t="n">
        <f aca="false">SUM(F95:F106)/12</f>
        <v>0.92</v>
      </c>
      <c r="H107" s="1075" t="str">
        <f aca="false">IF(G107&gt;=$E$6," ","LDs")</f>
        <v> </v>
      </c>
    </row>
    <row r="108" customFormat="false" ht="12.75" hidden="false" customHeight="false" outlineLevel="0" collapsed="false">
      <c r="B108" s="1516" t="n">
        <v>39083</v>
      </c>
      <c r="C108" s="1075" t="n">
        <f aca="false">IF(B108&lt;PPA_COD_PhII,$D$6,IF(B108&lt;$C$9,$D$7,$D$9))</f>
        <v>480</v>
      </c>
      <c r="D108" s="1075" t="n">
        <f aca="false">IF(B108&lt;$F$8,$G$6,IF(B108&lt;$F$9,$G$8,$G$9))</f>
        <v>480</v>
      </c>
      <c r="E108" s="1517" t="n">
        <v>0.92</v>
      </c>
      <c r="F108" s="1518" t="n">
        <f aca="false">IF(OR(B108&lt;$F$8,$F$9&lt;=B108),MIN($E$6,D108/C108),$H$8)</f>
        <v>0.92</v>
      </c>
      <c r="G108" s="1517" t="n">
        <f aca="false">SUM(F96:F107)/12</f>
        <v>0.92</v>
      </c>
      <c r="H108" s="1075" t="str">
        <f aca="false">IF(G108&gt;=$E$6," ","LDs")</f>
        <v> </v>
      </c>
    </row>
    <row r="109" customFormat="false" ht="12.75" hidden="false" customHeight="false" outlineLevel="0" collapsed="false">
      <c r="B109" s="1516" t="n">
        <v>39114</v>
      </c>
      <c r="C109" s="1075" t="n">
        <f aca="false">IF(B109&lt;PPA_COD_PhII,$D$6,IF(B109&lt;$C$9,$D$7,$D$9))</f>
        <v>480</v>
      </c>
      <c r="D109" s="1075" t="n">
        <f aca="false">IF(B109&lt;$F$8,$G$6,IF(B109&lt;$F$9,$G$8,$G$9))</f>
        <v>480</v>
      </c>
      <c r="E109" s="1517" t="n">
        <v>0.92</v>
      </c>
      <c r="F109" s="1518" t="n">
        <f aca="false">IF(OR(B109&lt;$F$8,$F$9&lt;=B109),MIN($E$6,D109/C109),$H$8)</f>
        <v>0.92</v>
      </c>
      <c r="G109" s="1517" t="n">
        <f aca="false">SUM(F97:F108)/12</f>
        <v>0.92</v>
      </c>
      <c r="H109" s="1075" t="str">
        <f aca="false">IF(G109&gt;=$E$6," ","LDs")</f>
        <v> </v>
      </c>
    </row>
    <row r="110" customFormat="false" ht="12.75" hidden="false" customHeight="false" outlineLevel="0" collapsed="false">
      <c r="B110" s="1516" t="n">
        <v>39142</v>
      </c>
      <c r="C110" s="1075" t="n">
        <f aca="false">IF(B110&lt;PPA_COD_PhII,$D$6,IF(B110&lt;$C$9,$D$7,$D$9))</f>
        <v>480</v>
      </c>
      <c r="D110" s="1075" t="n">
        <f aca="false">IF(B110&lt;$F$8,$G$6,IF(B110&lt;$F$9,$G$8,$G$9))</f>
        <v>480</v>
      </c>
      <c r="E110" s="1517" t="n">
        <v>0.92</v>
      </c>
      <c r="F110" s="1518" t="n">
        <f aca="false">IF(OR(B110&lt;$F$8,$F$9&lt;=B110),MIN($E$6,D110/C110),$H$8)</f>
        <v>0.92</v>
      </c>
      <c r="G110" s="1517" t="n">
        <f aca="false">SUM(F98:F109)/12</f>
        <v>0.92</v>
      </c>
      <c r="H110" s="1075" t="str">
        <f aca="false">IF(G110&gt;=$E$6," ","LDs")</f>
        <v> </v>
      </c>
    </row>
    <row r="111" customFormat="false" ht="12.75" hidden="false" customHeight="false" outlineLevel="0" collapsed="false">
      <c r="B111" s="1516" t="n">
        <v>39173</v>
      </c>
      <c r="C111" s="1075" t="n">
        <f aca="false">IF(B111&lt;PPA_COD_PhII,$D$6,IF(B111&lt;$C$9,$D$7,$D$9))</f>
        <v>480</v>
      </c>
      <c r="D111" s="1075" t="n">
        <f aca="false">IF(B111&lt;$F$8,$G$6,IF(B111&lt;$F$9,$G$8,$G$9))</f>
        <v>480</v>
      </c>
      <c r="E111" s="1517" t="n">
        <v>0.92</v>
      </c>
      <c r="F111" s="1518" t="n">
        <f aca="false">IF(OR(B111&lt;$F$8,$F$9&lt;=B111),MIN($E$6,D111/C111),$H$8)</f>
        <v>0.92</v>
      </c>
      <c r="G111" s="1517" t="n">
        <f aca="false">SUM(F99:F110)/12</f>
        <v>0.92</v>
      </c>
      <c r="H111" s="1075" t="str">
        <f aca="false">IF(G111&gt;=$E$6," ","LDs")</f>
        <v> </v>
      </c>
    </row>
    <row r="112" customFormat="false" ht="12.75" hidden="false" customHeight="false" outlineLevel="0" collapsed="false">
      <c r="B112" s="1516" t="n">
        <v>39203</v>
      </c>
      <c r="C112" s="1075" t="n">
        <f aca="false">IF(B112&lt;PPA_COD_PhII,$D$6,IF(B112&lt;$C$9,$D$7,$D$9))</f>
        <v>480</v>
      </c>
      <c r="D112" s="1075" t="n">
        <f aca="false">IF(B112&lt;$F$8,$G$6,IF(B112&lt;$F$9,$G$8,$G$9))</f>
        <v>480</v>
      </c>
      <c r="E112" s="1517" t="n">
        <v>0.92</v>
      </c>
      <c r="F112" s="1518" t="n">
        <f aca="false">IF(OR(B112&lt;$F$8,$F$9&lt;=B112),MIN($E$6,D112/C112),$H$8)</f>
        <v>0.92</v>
      </c>
      <c r="G112" s="1517" t="n">
        <f aca="false">SUM(F100:F111)/12</f>
        <v>0.92</v>
      </c>
      <c r="H112" s="1075" t="str">
        <f aca="false">IF(G112&gt;=$E$6," ","LDs")</f>
        <v> </v>
      </c>
    </row>
    <row r="113" customFormat="false" ht="12.75" hidden="false" customHeight="false" outlineLevel="0" collapsed="false">
      <c r="B113" s="1516" t="n">
        <v>39234</v>
      </c>
      <c r="C113" s="1075" t="n">
        <f aca="false">IF(B113&lt;PPA_COD_PhII,$D$6,IF(B113&lt;$C$9,$D$7,$D$9))</f>
        <v>480</v>
      </c>
      <c r="D113" s="1075" t="n">
        <f aca="false">IF(B113&lt;$F$8,$G$6,IF(B113&lt;$F$9,$G$8,$G$9))</f>
        <v>480</v>
      </c>
      <c r="E113" s="1517" t="n">
        <v>0.92</v>
      </c>
      <c r="F113" s="1518" t="n">
        <f aca="false">IF(OR(B113&lt;$F$8,$F$9&lt;=B113),MIN($E$6,D113/C113),$H$8)</f>
        <v>0.92</v>
      </c>
      <c r="G113" s="1517" t="n">
        <f aca="false">SUM(F101:F112)/12</f>
        <v>0.92</v>
      </c>
      <c r="H113" s="1075" t="str">
        <f aca="false">IF(G113&gt;=$E$6," ","LDs")</f>
        <v> </v>
      </c>
    </row>
    <row r="114" customFormat="false" ht="12.75" hidden="false" customHeight="false" outlineLevel="0" collapsed="false">
      <c r="B114" s="1516" t="n">
        <v>39264</v>
      </c>
      <c r="C114" s="1075" t="n">
        <f aca="false">IF(B114&lt;PPA_COD_PhII,$D$6,IF(B114&lt;$C$9,$D$7,$D$9))</f>
        <v>480</v>
      </c>
      <c r="D114" s="1075" t="n">
        <f aca="false">IF(B114&lt;$F$8,$G$6,IF(B114&lt;$F$9,$G$8,$G$9))</f>
        <v>480</v>
      </c>
      <c r="E114" s="1517" t="n">
        <v>0.92</v>
      </c>
      <c r="F114" s="1518" t="n">
        <f aca="false">IF(OR(B114&lt;$F$8,$F$9&lt;=B114),MIN($E$6,D114/C114),$H$8)</f>
        <v>0.92</v>
      </c>
      <c r="G114" s="1517" t="n">
        <f aca="false">SUM(F102:F113)/12</f>
        <v>0.92</v>
      </c>
      <c r="H114" s="1075" t="str">
        <f aca="false">IF(G114&gt;=$E$6," ","LDs")</f>
        <v> </v>
      </c>
    </row>
    <row r="115" customFormat="false" ht="12.75" hidden="false" customHeight="false" outlineLevel="0" collapsed="false">
      <c r="B115" s="1516" t="n">
        <v>39295</v>
      </c>
      <c r="C115" s="1075" t="n">
        <f aca="false">IF(B115&lt;PPA_COD_PhII,$D$6,IF(B115&lt;$C$9,$D$7,$D$9))</f>
        <v>480</v>
      </c>
      <c r="D115" s="1075" t="n">
        <f aca="false">IF(B115&lt;$F$8,$G$6,IF(B115&lt;$F$9,$G$8,$G$9))</f>
        <v>480</v>
      </c>
      <c r="E115" s="1517" t="n">
        <v>0.92</v>
      </c>
      <c r="F115" s="1518" t="n">
        <f aca="false">IF(OR(B115&lt;$F$8,$F$9&lt;=B115),MIN($E$6,D115/C115),$H$8)</f>
        <v>0.92</v>
      </c>
      <c r="G115" s="1517" t="n">
        <f aca="false">SUM(F103:F114)/12</f>
        <v>0.92</v>
      </c>
      <c r="H115" s="1075" t="str">
        <f aca="false">IF(G115&gt;=$E$6," ","LDs")</f>
        <v> </v>
      </c>
    </row>
    <row r="116" customFormat="false" ht="12.75" hidden="false" customHeight="false" outlineLevel="0" collapsed="false">
      <c r="B116" s="1516" t="n">
        <v>39326</v>
      </c>
      <c r="C116" s="1075" t="n">
        <f aca="false">IF(B116&lt;PPA_COD_PhII,$D$6,IF(B116&lt;$C$9,$D$7,$D$9))</f>
        <v>480</v>
      </c>
      <c r="D116" s="1075" t="n">
        <f aca="false">IF(B116&lt;$F$8,$G$6,IF(B116&lt;$F$9,$G$8,$G$9))</f>
        <v>480</v>
      </c>
      <c r="E116" s="1517" t="n">
        <v>0.92</v>
      </c>
      <c r="F116" s="1518" t="n">
        <f aca="false">IF(OR(B116&lt;$F$8,$F$9&lt;=B116),MIN($E$6,D116/C116),$H$8)</f>
        <v>0.92</v>
      </c>
      <c r="G116" s="1517" t="n">
        <f aca="false">SUM(F104:F115)/12</f>
        <v>0.92</v>
      </c>
      <c r="H116" s="1075" t="str">
        <f aca="false">IF(G116&gt;=$E$6," ","LDs")</f>
        <v> </v>
      </c>
    </row>
    <row r="117" customFormat="false" ht="12.75" hidden="false" customHeight="false" outlineLevel="0" collapsed="false">
      <c r="B117" s="1516" t="n">
        <v>39356</v>
      </c>
      <c r="C117" s="1075" t="n">
        <f aca="false">IF(B117&lt;PPA_COD_PhII,$D$6,IF(B117&lt;$C$9,$D$7,$D$9))</f>
        <v>480</v>
      </c>
      <c r="D117" s="1075" t="n">
        <f aca="false">IF(B117&lt;$F$8,$G$6,IF(B117&lt;$F$9,$G$8,$G$9))</f>
        <v>480</v>
      </c>
      <c r="E117" s="1517" t="n">
        <v>0.92</v>
      </c>
      <c r="F117" s="1518" t="n">
        <f aca="false">IF(OR(B117&lt;$F$8,$F$9&lt;=B117),MIN($E$6,D117/C117),$H$8)</f>
        <v>0.92</v>
      </c>
      <c r="G117" s="1517" t="n">
        <f aca="false">SUM(F105:F116)/12</f>
        <v>0.92</v>
      </c>
      <c r="H117" s="1075" t="str">
        <f aca="false">IF(G117&gt;=$E$6," ","LDs")</f>
        <v> </v>
      </c>
    </row>
    <row r="118" customFormat="false" ht="12.75" hidden="false" customHeight="false" outlineLevel="0" collapsed="false">
      <c r="B118" s="1516" t="n">
        <v>39387</v>
      </c>
      <c r="C118" s="1075" t="n">
        <f aca="false">IF(B118&lt;PPA_COD_PhII,$D$6,IF(B118&lt;$C$9,$D$7,$D$9))</f>
        <v>480</v>
      </c>
      <c r="D118" s="1075" t="n">
        <f aca="false">IF(B118&lt;$F$8,$G$6,IF(B118&lt;$F$9,$G$8,$G$9))</f>
        <v>480</v>
      </c>
      <c r="E118" s="1517" t="n">
        <v>0.92</v>
      </c>
      <c r="F118" s="1518" t="n">
        <f aca="false">IF(OR(B118&lt;$F$8,$F$9&lt;=B118),MIN($E$6,D118/C118),$H$8)</f>
        <v>0.92</v>
      </c>
      <c r="G118" s="1517" t="n">
        <f aca="false">SUM(F106:F117)/12</f>
        <v>0.92</v>
      </c>
      <c r="H118" s="1075" t="str">
        <f aca="false">IF(G118&gt;=$E$6," ","LDs")</f>
        <v> </v>
      </c>
    </row>
    <row r="119" customFormat="false" ht="12.75" hidden="false" customHeight="false" outlineLevel="0" collapsed="false">
      <c r="B119" s="1516" t="n">
        <v>39417</v>
      </c>
      <c r="C119" s="1075" t="n">
        <f aca="false">IF(B119&lt;PPA_COD_PhII,$D$6,IF(B119&lt;$C$9,$D$7,$D$9))</f>
        <v>480</v>
      </c>
      <c r="D119" s="1075" t="n">
        <f aca="false">IF(B119&lt;$F$8,$G$6,IF(B119&lt;$F$9,$G$8,$G$9))</f>
        <v>480</v>
      </c>
      <c r="E119" s="1517" t="n">
        <v>0.92</v>
      </c>
      <c r="F119" s="1518" t="n">
        <f aca="false">IF(OR(B119&lt;$F$8,$F$9&lt;=B119),MIN($E$6,D119/C119),$H$8)</f>
        <v>0.92</v>
      </c>
      <c r="G119" s="1517" t="n">
        <f aca="false">SUM(F107:F118)/12</f>
        <v>0.92</v>
      </c>
      <c r="H119" s="1075" t="str">
        <f aca="false">IF(G119&gt;=$E$6," ","LDs")</f>
        <v> </v>
      </c>
    </row>
    <row r="120" customFormat="false" ht="12.75" hidden="false" customHeight="false" outlineLevel="0" collapsed="false">
      <c r="B120" s="1516" t="n">
        <v>39448</v>
      </c>
      <c r="C120" s="1075" t="n">
        <f aca="false">IF(B120&lt;PPA_COD_PhII,$D$6,IF(B120&lt;$C$9,$D$7,$D$9))</f>
        <v>480</v>
      </c>
      <c r="D120" s="1075" t="n">
        <f aca="false">IF(B120&lt;$F$8,$G$6,IF(B120&lt;$F$9,$G$8,$G$9))</f>
        <v>480</v>
      </c>
      <c r="E120" s="1517" t="n">
        <v>0.92</v>
      </c>
      <c r="F120" s="1518" t="n">
        <f aca="false">IF(OR(B120&lt;$F$8,$F$9&lt;=B120),MIN($E$6,D120/C120),$H$8)</f>
        <v>0.92</v>
      </c>
      <c r="G120" s="1517" t="n">
        <f aca="false">SUM(F108:F119)/12</f>
        <v>0.92</v>
      </c>
      <c r="H120" s="1075" t="str">
        <f aca="false">IF(G120&gt;=$E$6," ","LDs")</f>
        <v> </v>
      </c>
    </row>
    <row r="121" customFormat="false" ht="12.75" hidden="false" customHeight="false" outlineLevel="0" collapsed="false">
      <c r="B121" s="1516" t="n">
        <v>39479</v>
      </c>
      <c r="C121" s="1075" t="n">
        <f aca="false">IF(B121&lt;PPA_COD_PhII,$D$6,IF(B121&lt;$C$9,$D$7,$D$9))</f>
        <v>480</v>
      </c>
      <c r="D121" s="1075" t="n">
        <f aca="false">IF(B121&lt;$F$8,$G$6,IF(B121&lt;$F$9,$G$8,$G$9))</f>
        <v>480</v>
      </c>
      <c r="E121" s="1517" t="n">
        <v>0.92</v>
      </c>
      <c r="F121" s="1518" t="n">
        <f aca="false">IF(OR(B121&lt;$F$8,$F$9&lt;=B121),MIN($E$6,D121/C121),$H$8)</f>
        <v>0.92</v>
      </c>
      <c r="G121" s="1517" t="n">
        <f aca="false">SUM(F109:F120)/12</f>
        <v>0.92</v>
      </c>
      <c r="H121" s="1075" t="str">
        <f aca="false">IF(G121&gt;=$E$6," ","LDs")</f>
        <v> </v>
      </c>
    </row>
    <row r="122" customFormat="false" ht="12.75" hidden="false" customHeight="false" outlineLevel="0" collapsed="false">
      <c r="B122" s="1516" t="n">
        <v>39508</v>
      </c>
      <c r="C122" s="1075" t="n">
        <f aca="false">IF(B122&lt;PPA_COD_PhII,$D$6,IF(B122&lt;$C$9,$D$7,$D$9))</f>
        <v>480</v>
      </c>
      <c r="D122" s="1075" t="n">
        <f aca="false">IF(B122&lt;$F$8,$G$6,IF(B122&lt;$F$9,$G$8,$G$9))</f>
        <v>480</v>
      </c>
      <c r="E122" s="1517" t="n">
        <v>0.92</v>
      </c>
      <c r="F122" s="1518" t="n">
        <f aca="false">IF(OR(B122&lt;$F$8,$F$9&lt;=B122),MIN($E$6,D122/C122),$H$8)</f>
        <v>0.92</v>
      </c>
      <c r="G122" s="1517" t="n">
        <f aca="false">SUM(F110:F121)/12</f>
        <v>0.92</v>
      </c>
      <c r="H122" s="1075" t="str">
        <f aca="false">IF(G122&gt;=$E$6," ","LDs")</f>
        <v> </v>
      </c>
    </row>
    <row r="123" customFormat="false" ht="12.75" hidden="false" customHeight="false" outlineLevel="0" collapsed="false">
      <c r="B123" s="1516" t="n">
        <v>39539</v>
      </c>
      <c r="C123" s="1075" t="n">
        <f aca="false">IF(B123&lt;PPA_COD_PhII,$D$6,IF(B123&lt;$C$9,$D$7,$D$9))</f>
        <v>480</v>
      </c>
      <c r="D123" s="1075" t="n">
        <f aca="false">IF(B123&lt;$F$8,$G$6,IF(B123&lt;$F$9,$G$8,$G$9))</f>
        <v>480</v>
      </c>
      <c r="E123" s="1517" t="n">
        <v>0.92</v>
      </c>
      <c r="F123" s="1518" t="n">
        <f aca="false">IF(OR(B123&lt;$F$8,$F$9&lt;=B123),MIN($E$6,D123/C123),$H$8)</f>
        <v>0.92</v>
      </c>
      <c r="G123" s="1517" t="n">
        <f aca="false">SUM(F111:F122)/12</f>
        <v>0.92</v>
      </c>
      <c r="H123" s="1075" t="str">
        <f aca="false">IF(G123&gt;=$E$6," ","LDs")</f>
        <v> </v>
      </c>
    </row>
    <row r="124" customFormat="false" ht="12.75" hidden="false" customHeight="false" outlineLevel="0" collapsed="false">
      <c r="B124" s="1516" t="n">
        <v>39569</v>
      </c>
      <c r="C124" s="1075" t="n">
        <f aca="false">IF(B124&lt;PPA_COD_PhII,$D$6,IF(B124&lt;$C$9,$D$7,$D$9))</f>
        <v>480</v>
      </c>
      <c r="D124" s="1075" t="n">
        <f aca="false">IF(B124&lt;$F$8,$G$6,IF(B124&lt;$F$9,$G$8,$G$9))</f>
        <v>480</v>
      </c>
      <c r="E124" s="1517" t="n">
        <v>0.92</v>
      </c>
      <c r="F124" s="1518" t="n">
        <f aca="false">IF(OR(B124&lt;$F$8,$F$9&lt;=B124),MIN($E$6,D124/C124),$H$8)</f>
        <v>0.92</v>
      </c>
      <c r="G124" s="1517" t="n">
        <f aca="false">SUM(F112:F123)/12</f>
        <v>0.92</v>
      </c>
      <c r="H124" s="1075" t="str">
        <f aca="false">IF(G124&gt;=$E$6," ","LDs")</f>
        <v> </v>
      </c>
    </row>
    <row r="125" customFormat="false" ht="12.75" hidden="false" customHeight="false" outlineLevel="0" collapsed="false">
      <c r="B125" s="1516" t="n">
        <v>39600</v>
      </c>
      <c r="C125" s="1075" t="n">
        <f aca="false">IF(B125&lt;PPA_COD_PhII,$D$6,IF(B125&lt;$C$9,$D$7,$D$9))</f>
        <v>480</v>
      </c>
      <c r="D125" s="1075" t="n">
        <f aca="false">IF(B125&lt;$F$8,$G$6,IF(B125&lt;$F$9,$G$8,$G$9))</f>
        <v>480</v>
      </c>
      <c r="E125" s="1517" t="n">
        <v>0.92</v>
      </c>
      <c r="F125" s="1518" t="n">
        <f aca="false">IF(OR(B125&lt;$F$8,$F$9&lt;=B125),MIN($E$6,D125/C125),$H$8)</f>
        <v>0.92</v>
      </c>
      <c r="G125" s="1517" t="n">
        <f aca="false">SUM(F113:F124)/12</f>
        <v>0.92</v>
      </c>
      <c r="H125" s="1075" t="str">
        <f aca="false">IF(G125&gt;=$E$6," ","LDs")</f>
        <v> </v>
      </c>
    </row>
    <row r="126" customFormat="false" ht="12.75" hidden="false" customHeight="false" outlineLevel="0" collapsed="false">
      <c r="B126" s="1516" t="n">
        <v>39630</v>
      </c>
      <c r="C126" s="1075" t="n">
        <f aca="false">IF(B126&lt;PPA_COD_PhII,$D$6,IF(B126&lt;$C$9,$D$7,$D$9))</f>
        <v>480</v>
      </c>
      <c r="D126" s="1075" t="n">
        <f aca="false">IF(B126&lt;$F$8,$G$6,IF(B126&lt;$F$9,$G$8,$G$9))</f>
        <v>480</v>
      </c>
      <c r="E126" s="1517" t="n">
        <v>0.92</v>
      </c>
      <c r="F126" s="1518" t="n">
        <f aca="false">IF(OR(B126&lt;$F$8,$F$9&lt;=B126),MIN($E$6,D126/C126),$H$8)</f>
        <v>0.92</v>
      </c>
      <c r="G126" s="1517" t="n">
        <f aca="false">SUM(F114:F125)/12</f>
        <v>0.92</v>
      </c>
      <c r="H126" s="1075" t="str">
        <f aca="false">IF(G126&gt;=$E$6," ","LDs")</f>
        <v> </v>
      </c>
    </row>
    <row r="127" customFormat="false" ht="12.75" hidden="false" customHeight="false" outlineLevel="0" collapsed="false">
      <c r="B127" s="1516" t="n">
        <v>39661</v>
      </c>
      <c r="C127" s="1075" t="n">
        <f aca="false">IF(B127&lt;PPA_COD_PhII,$D$6,IF(B127&lt;$C$9,$D$7,$D$9))</f>
        <v>480</v>
      </c>
      <c r="D127" s="1075" t="n">
        <f aca="false">IF(B127&lt;$F$8,$G$6,IF(B127&lt;$F$9,$G$8,$G$9))</f>
        <v>480</v>
      </c>
      <c r="E127" s="1517" t="n">
        <v>0.92</v>
      </c>
      <c r="F127" s="1518" t="n">
        <f aca="false">IF(OR(B127&lt;$F$8,$F$9&lt;=B127),MIN($E$6,D127/C127),$H$8)</f>
        <v>0.92</v>
      </c>
      <c r="G127" s="1517" t="n">
        <f aca="false">SUM(F115:F126)/12</f>
        <v>0.92</v>
      </c>
      <c r="H127" s="1075" t="str">
        <f aca="false">IF(G127&gt;=$E$6," ","LDs")</f>
        <v> </v>
      </c>
    </row>
    <row r="128" customFormat="false" ht="12.75" hidden="false" customHeight="false" outlineLevel="0" collapsed="false">
      <c r="B128" s="1516" t="n">
        <v>39692</v>
      </c>
      <c r="C128" s="1075" t="n">
        <f aca="false">IF(B128&lt;PPA_COD_PhII,$D$6,IF(B128&lt;$C$9,$D$7,$D$9))</f>
        <v>480</v>
      </c>
      <c r="D128" s="1075" t="n">
        <f aca="false">IF(B128&lt;$F$8,$G$6,IF(B128&lt;$F$9,$G$8,$G$9))</f>
        <v>480</v>
      </c>
      <c r="E128" s="1517" t="n">
        <v>0.92</v>
      </c>
      <c r="F128" s="1518" t="n">
        <f aca="false">IF(OR(B128&lt;$F$8,$F$9&lt;=B128),MIN($E$6,D128/C128),$H$8)</f>
        <v>0.92</v>
      </c>
      <c r="G128" s="1517" t="n">
        <f aca="false">SUM(F116:F127)/12</f>
        <v>0.92</v>
      </c>
      <c r="H128" s="1075" t="str">
        <f aca="false">IF(G128&gt;=$E$6," ","LDs")</f>
        <v> </v>
      </c>
    </row>
    <row r="129" customFormat="false" ht="12.75" hidden="false" customHeight="false" outlineLevel="0" collapsed="false">
      <c r="B129" s="1516" t="n">
        <v>39722</v>
      </c>
      <c r="C129" s="1075" t="n">
        <f aca="false">IF(B129&lt;PPA_COD_PhII,$D$6,IF(B129&lt;$C$9,$D$7,$D$9))</f>
        <v>480</v>
      </c>
      <c r="D129" s="1075" t="n">
        <f aca="false">IF(B129&lt;$F$8,$G$6,IF(B129&lt;$F$9,$G$8,$G$9))</f>
        <v>480</v>
      </c>
      <c r="E129" s="1517" t="n">
        <v>0.92</v>
      </c>
      <c r="F129" s="1518" t="n">
        <f aca="false">IF(OR(B129&lt;$F$8,$F$9&lt;=B129),MIN($E$6,D129/C129),$H$8)</f>
        <v>0.92</v>
      </c>
      <c r="G129" s="1517" t="n">
        <f aca="false">SUM(F117:F128)/12</f>
        <v>0.92</v>
      </c>
      <c r="H129" s="1075" t="str">
        <f aca="false">IF(G129&gt;=$E$6," ","LDs")</f>
        <v> </v>
      </c>
    </row>
    <row r="130" customFormat="false" ht="12.75" hidden="false" customHeight="false" outlineLevel="0" collapsed="false">
      <c r="B130" s="1516" t="n">
        <v>39753</v>
      </c>
      <c r="C130" s="1075" t="n">
        <f aca="false">IF(B130&lt;PPA_COD_PhII,$D$6,IF(B130&lt;$C$9,$D$7,$D$9))</f>
        <v>480</v>
      </c>
      <c r="D130" s="1075" t="n">
        <f aca="false">IF(B130&lt;$F$8,$G$6,IF(B130&lt;$F$9,$G$8,$G$9))</f>
        <v>480</v>
      </c>
      <c r="E130" s="1517" t="n">
        <v>0.92</v>
      </c>
      <c r="F130" s="1518" t="n">
        <f aca="false">IF(OR(B130&lt;$F$8,$F$9&lt;=B130),MIN($E$6,D130/C130),$H$8)</f>
        <v>0.92</v>
      </c>
      <c r="G130" s="1517" t="n">
        <f aca="false">SUM(F118:F129)/12</f>
        <v>0.92</v>
      </c>
      <c r="H130" s="1075" t="str">
        <f aca="false">IF(G130&gt;=$E$6," ","LDs")</f>
        <v> </v>
      </c>
    </row>
    <row r="131" customFormat="false" ht="12.75" hidden="false" customHeight="false" outlineLevel="0" collapsed="false">
      <c r="B131" s="1516" t="n">
        <v>39783</v>
      </c>
      <c r="C131" s="1075" t="n">
        <f aca="false">IF(B131&lt;PPA_COD_PhII,$D$6,IF(B131&lt;$C$9,$D$7,$D$9))</f>
        <v>480</v>
      </c>
      <c r="D131" s="1075" t="n">
        <f aca="false">IF(B131&lt;$F$8,$G$6,IF(B131&lt;$F$9,$G$8,$G$9))</f>
        <v>480</v>
      </c>
      <c r="E131" s="1517" t="n">
        <v>0.92</v>
      </c>
      <c r="F131" s="1518" t="n">
        <f aca="false">IF(OR(B131&lt;$F$8,$F$9&lt;=B131),MIN($E$6,D131/C131),$H$8)</f>
        <v>0.92</v>
      </c>
      <c r="G131" s="1517" t="n">
        <f aca="false">SUM(F119:F130)/12</f>
        <v>0.92</v>
      </c>
      <c r="H131" s="1075" t="str">
        <f aca="false">IF(G131&gt;=$E$6," ","LDs")</f>
        <v> </v>
      </c>
    </row>
    <row r="132" customFormat="false" ht="12.75" hidden="false" customHeight="false" outlineLevel="0" collapsed="false">
      <c r="B132" s="1516" t="n">
        <v>39814</v>
      </c>
      <c r="C132" s="1075" t="n">
        <f aca="false">IF(B132&lt;PPA_COD_PhII,$D$6,IF(B132&lt;$C$9,$D$7,$D$9))</f>
        <v>480</v>
      </c>
      <c r="D132" s="1075" t="n">
        <f aca="false">IF(B132&lt;$F$8,$G$6,IF(B132&lt;$F$9,$G$8,$G$9))</f>
        <v>480</v>
      </c>
      <c r="E132" s="1517" t="n">
        <v>0.92</v>
      </c>
      <c r="F132" s="1518" t="n">
        <f aca="false">IF(OR(B132&lt;$F$8,$F$9&lt;=B132),MIN($E$6,D132/C132),$H$8)</f>
        <v>0.92</v>
      </c>
      <c r="G132" s="1517" t="n">
        <f aca="false">SUM(F120:F131)/12</f>
        <v>0.92</v>
      </c>
      <c r="H132" s="1075" t="str">
        <f aca="false">IF(G132&gt;=$E$6," ","LDs")</f>
        <v> </v>
      </c>
    </row>
    <row r="133" customFormat="false" ht="12.75" hidden="false" customHeight="false" outlineLevel="0" collapsed="false">
      <c r="B133" s="1516" t="n">
        <v>39845</v>
      </c>
      <c r="C133" s="1075" t="n">
        <f aca="false">IF(B133&lt;PPA_COD_PhII,$D$6,IF(B133&lt;$C$9,$D$7,$D$9))</f>
        <v>480</v>
      </c>
      <c r="D133" s="1075" t="n">
        <f aca="false">IF(B133&lt;$F$8,$G$6,IF(B133&lt;$F$9,$G$8,$G$9))</f>
        <v>480</v>
      </c>
      <c r="E133" s="1517" t="n">
        <v>0.92</v>
      </c>
      <c r="F133" s="1518" t="n">
        <f aca="false">IF(OR(B133&lt;$F$8,$F$9&lt;=B133),MIN($E$6,D133/C133),$H$8)</f>
        <v>0.92</v>
      </c>
      <c r="G133" s="1517" t="n">
        <f aca="false">SUM(F121:F132)/12</f>
        <v>0.92</v>
      </c>
      <c r="H133" s="1075" t="str">
        <f aca="false">IF(G133&gt;=$E$6," ","LDs")</f>
        <v> </v>
      </c>
    </row>
    <row r="134" customFormat="false" ht="12.75" hidden="false" customHeight="false" outlineLevel="0" collapsed="false">
      <c r="B134" s="1516" t="n">
        <v>39873</v>
      </c>
      <c r="C134" s="1075" t="n">
        <f aca="false">IF(B134&lt;PPA_COD_PhII,$D$6,IF(B134&lt;$C$9,$D$7,$D$9))</f>
        <v>480</v>
      </c>
      <c r="D134" s="1075" t="n">
        <f aca="false">IF(B134&lt;$F$8,$G$6,IF(B134&lt;$F$9,$G$8,$G$9))</f>
        <v>480</v>
      </c>
      <c r="E134" s="1517" t="n">
        <v>0.92</v>
      </c>
      <c r="F134" s="1518" t="n">
        <f aca="false">IF(OR(B134&lt;$F$8,$F$9&lt;=B134),MIN($E$6,D134/C134),$H$8)</f>
        <v>0.92</v>
      </c>
      <c r="G134" s="1517" t="n">
        <f aca="false">SUM(F122:F133)/12</f>
        <v>0.92</v>
      </c>
      <c r="H134" s="1075" t="str">
        <f aca="false">IF(G134&gt;=$E$6," ","LDs")</f>
        <v> </v>
      </c>
    </row>
    <row r="135" customFormat="false" ht="12.75" hidden="false" customHeight="false" outlineLevel="0" collapsed="false">
      <c r="B135" s="1516" t="n">
        <v>39904</v>
      </c>
      <c r="C135" s="1075" t="n">
        <f aca="false">IF(B135&lt;PPA_COD_PhII,$D$6,IF(B135&lt;$C$9,$D$7,$D$9))</f>
        <v>480</v>
      </c>
      <c r="D135" s="1075" t="n">
        <f aca="false">IF(B135&lt;$F$8,$G$6,IF(B135&lt;$F$9,$G$8,$G$9))</f>
        <v>480</v>
      </c>
      <c r="E135" s="1517" t="n">
        <v>0.92</v>
      </c>
      <c r="F135" s="1518" t="n">
        <f aca="false">IF(OR(B135&lt;$F$8,$F$9&lt;=B135),MIN($E$6,D135/C135),$H$8)</f>
        <v>0.92</v>
      </c>
      <c r="G135" s="1517" t="n">
        <f aca="false">SUM(F123:F134)/12</f>
        <v>0.92</v>
      </c>
      <c r="H135" s="1075" t="str">
        <f aca="false">IF(G135&gt;=$E$6," ","LDs")</f>
        <v> </v>
      </c>
    </row>
    <row r="136" customFormat="false" ht="12.75" hidden="false" customHeight="false" outlineLevel="0" collapsed="false">
      <c r="B136" s="1516" t="n">
        <v>39934</v>
      </c>
      <c r="C136" s="1075" t="n">
        <f aca="false">IF(B136&lt;PPA_COD_PhII,$D$6,IF(B136&lt;$C$9,$D$7,$D$9))</f>
        <v>480</v>
      </c>
      <c r="D136" s="1075" t="n">
        <f aca="false">IF(B136&lt;$F$8,$G$6,IF(B136&lt;$F$9,$G$8,$G$9))</f>
        <v>480</v>
      </c>
      <c r="E136" s="1517" t="n">
        <v>0.92</v>
      </c>
      <c r="F136" s="1518" t="n">
        <f aca="false">IF(OR(B136&lt;$F$8,$F$9&lt;=B136),MIN($E$6,D136/C136),$H$8)</f>
        <v>0.92</v>
      </c>
      <c r="G136" s="1517" t="n">
        <f aca="false">SUM(F124:F135)/12</f>
        <v>0.92</v>
      </c>
      <c r="H136" s="1075" t="str">
        <f aca="false">IF(G136&gt;=$E$6," ","LDs")</f>
        <v> </v>
      </c>
    </row>
    <row r="137" customFormat="false" ht="12.75" hidden="false" customHeight="false" outlineLevel="0" collapsed="false">
      <c r="B137" s="1516" t="n">
        <v>39965</v>
      </c>
      <c r="C137" s="1075" t="n">
        <f aca="false">IF(B137&lt;PPA_COD_PhII,$D$6,IF(B137&lt;$C$9,$D$7,$D$9))</f>
        <v>480</v>
      </c>
      <c r="D137" s="1075" t="n">
        <f aca="false">IF(B137&lt;$F$8,$G$6,IF(B137&lt;$F$9,$G$8,$G$9))</f>
        <v>480</v>
      </c>
      <c r="E137" s="1517" t="n">
        <v>0.92</v>
      </c>
      <c r="F137" s="1518" t="n">
        <f aca="false">IF(OR(B137&lt;$F$8,$F$9&lt;=B137),MIN($E$6,D137/C137),$H$8)</f>
        <v>0.92</v>
      </c>
      <c r="G137" s="1517" t="n">
        <f aca="false">SUM(F125:F136)/12</f>
        <v>0.92</v>
      </c>
      <c r="H137" s="1075" t="str">
        <f aca="false">IF(G137&gt;=$E$6," ","LDs")</f>
        <v> </v>
      </c>
    </row>
    <row r="138" customFormat="false" ht="12.75" hidden="false" customHeight="false" outlineLevel="0" collapsed="false">
      <c r="B138" s="1516" t="n">
        <v>39995</v>
      </c>
      <c r="C138" s="1075" t="n">
        <f aca="false">IF(B138&lt;PPA_COD_PhII,$D$6,IF(B138&lt;$C$9,$D$7,$D$9))</f>
        <v>480</v>
      </c>
      <c r="D138" s="1075" t="n">
        <f aca="false">IF(B138&lt;$F$8,$G$6,IF(B138&lt;$F$9,$G$8,$G$9))</f>
        <v>480</v>
      </c>
      <c r="E138" s="1517" t="n">
        <v>0.92</v>
      </c>
      <c r="F138" s="1518" t="n">
        <f aca="false">IF(OR(B138&lt;$F$8,$F$9&lt;=B138),MIN($E$6,D138/C138),$H$8)</f>
        <v>0.92</v>
      </c>
      <c r="G138" s="1517" t="n">
        <f aca="false">SUM(F126:F137)/12</f>
        <v>0.92</v>
      </c>
      <c r="H138" s="1075" t="str">
        <f aca="false">IF(G138&gt;=$E$6," ","LDs")</f>
        <v> </v>
      </c>
    </row>
    <row r="139" customFormat="false" ht="12.75" hidden="false" customHeight="false" outlineLevel="0" collapsed="false">
      <c r="B139" s="1516" t="n">
        <v>40026</v>
      </c>
      <c r="C139" s="1075" t="n">
        <f aca="false">IF(B139&lt;PPA_COD_PhII,$D$6,IF(B139&lt;$C$9,$D$7,$D$9))</f>
        <v>480</v>
      </c>
      <c r="D139" s="1075" t="n">
        <f aca="false">IF(B139&lt;$F$8,$G$6,IF(B139&lt;$F$9,$G$8,$G$9))</f>
        <v>480</v>
      </c>
      <c r="E139" s="1517" t="n">
        <v>0.92</v>
      </c>
      <c r="F139" s="1518" t="n">
        <f aca="false">IF(OR(B139&lt;$F$8,$F$9&lt;=B139),MIN($E$6,D139/C139),$H$8)</f>
        <v>0.92</v>
      </c>
      <c r="G139" s="1517" t="n">
        <f aca="false">SUM(F127:F138)/12</f>
        <v>0.92</v>
      </c>
      <c r="H139" s="1075" t="str">
        <f aca="false">IF(G139&gt;=$E$6," ","LDs")</f>
        <v> </v>
      </c>
    </row>
    <row r="140" customFormat="false" ht="12.75" hidden="false" customHeight="false" outlineLevel="0" collapsed="false">
      <c r="B140" s="1516" t="n">
        <v>40057</v>
      </c>
      <c r="C140" s="1075" t="n">
        <f aca="false">IF(B140&lt;PPA_COD_PhII,$D$6,IF(B140&lt;$C$9,$D$7,$D$9))</f>
        <v>480</v>
      </c>
      <c r="D140" s="1075" t="n">
        <f aca="false">IF(B140&lt;$F$8,$G$6,IF(B140&lt;$F$9,$G$8,$G$9))</f>
        <v>480</v>
      </c>
      <c r="E140" s="1517" t="n">
        <v>0.92</v>
      </c>
      <c r="F140" s="1518" t="n">
        <f aca="false">IF(OR(B140&lt;$F$8,$F$9&lt;=B140),MIN($E$6,D140/C140),$H$8)</f>
        <v>0.92</v>
      </c>
      <c r="G140" s="1517" t="n">
        <f aca="false">SUM(F128:F139)/12</f>
        <v>0.92</v>
      </c>
      <c r="H140" s="1075" t="str">
        <f aca="false">IF(G140&gt;=$E$6," ","LDs")</f>
        <v> </v>
      </c>
    </row>
    <row r="141" customFormat="false" ht="12.75" hidden="false" customHeight="false" outlineLevel="0" collapsed="false">
      <c r="B141" s="1516" t="n">
        <v>40087</v>
      </c>
      <c r="C141" s="1075" t="n">
        <f aca="false">IF(B141&lt;PPA_COD_PhII,$D$6,IF(B141&lt;$C$9,$D$7,$D$9))</f>
        <v>480</v>
      </c>
      <c r="D141" s="1075" t="n">
        <f aca="false">IF(B141&lt;$F$8,$G$6,IF(B141&lt;$F$9,$G$8,$G$9))</f>
        <v>480</v>
      </c>
      <c r="E141" s="1517" t="n">
        <v>0.92</v>
      </c>
      <c r="F141" s="1518" t="n">
        <f aca="false">IF(OR(B141&lt;$F$8,$F$9&lt;=B141),MIN($E$6,D141/C141),$H$8)</f>
        <v>0.92</v>
      </c>
      <c r="G141" s="1517" t="n">
        <f aca="false">SUM(F129:F140)/12</f>
        <v>0.92</v>
      </c>
      <c r="H141" s="1075" t="str">
        <f aca="false">IF(G141&gt;=$E$6," ","LDs")</f>
        <v> </v>
      </c>
    </row>
    <row r="142" customFormat="false" ht="12.75" hidden="false" customHeight="false" outlineLevel="0" collapsed="false">
      <c r="B142" s="1516" t="n">
        <v>40118</v>
      </c>
      <c r="C142" s="1075" t="n">
        <f aca="false">IF(B142&lt;PPA_COD_PhII,$D$6,IF(B142&lt;$C$9,$D$7,$D$9))</f>
        <v>480</v>
      </c>
      <c r="D142" s="1075" t="n">
        <f aca="false">IF(B142&lt;$F$8,$G$6,IF(B142&lt;$F$9,$G$8,$G$9))</f>
        <v>480</v>
      </c>
      <c r="E142" s="1517" t="n">
        <v>0.92</v>
      </c>
      <c r="F142" s="1518" t="n">
        <f aca="false">IF(OR(B142&lt;$F$8,$F$9&lt;=B142),MIN($E$6,D142/C142),$H$8)</f>
        <v>0.92</v>
      </c>
      <c r="G142" s="1517" t="n">
        <f aca="false">SUM(F130:F141)/12</f>
        <v>0.92</v>
      </c>
      <c r="H142" s="1075" t="str">
        <f aca="false">IF(G142&gt;=$E$6," ","LDs")</f>
        <v> </v>
      </c>
    </row>
    <row r="143" customFormat="false" ht="12.75" hidden="false" customHeight="false" outlineLevel="0" collapsed="false">
      <c r="B143" s="1516" t="n">
        <v>40148</v>
      </c>
      <c r="C143" s="1075" t="n">
        <f aca="false">IF(B143&lt;PPA_COD_PhII,$D$6,IF(B143&lt;$C$9,$D$7,$D$9))</f>
        <v>480</v>
      </c>
      <c r="D143" s="1075" t="n">
        <f aca="false">IF(B143&lt;$F$8,$G$6,IF(B143&lt;$F$9,$G$8,$G$9))</f>
        <v>480</v>
      </c>
      <c r="E143" s="1517" t="n">
        <v>0.92</v>
      </c>
      <c r="F143" s="1518" t="n">
        <f aca="false">IF(OR(B143&lt;$F$8,$F$9&lt;=B143),MIN($E$6,D143/C143),$H$8)</f>
        <v>0.92</v>
      </c>
      <c r="G143" s="1517" t="n">
        <f aca="false">SUM(F131:F142)/12</f>
        <v>0.92</v>
      </c>
      <c r="H143" s="1075" t="str">
        <f aca="false">IF(G143&gt;=$E$6," ","LDs")</f>
        <v> </v>
      </c>
    </row>
    <row r="144" customFormat="false" ht="12.75" hidden="false" customHeight="false" outlineLevel="0" collapsed="false">
      <c r="B144" s="1516" t="n">
        <v>40179</v>
      </c>
      <c r="C144" s="1075" t="n">
        <f aca="false">IF(B144&lt;PPA_COD_PhII,$D$6,IF(B144&lt;$C$9,$D$7,$D$9))</f>
        <v>480</v>
      </c>
      <c r="D144" s="1075" t="n">
        <f aca="false">IF(B144&lt;$F$8,$G$6,IF(B144&lt;$F$9,$G$8,$G$9))</f>
        <v>480</v>
      </c>
      <c r="E144" s="1517" t="n">
        <v>0.92</v>
      </c>
      <c r="F144" s="1518" t="n">
        <f aca="false">IF(OR(B144&lt;$F$8,$F$9&lt;=B144),MIN($E$6,D144/C144),$H$8)</f>
        <v>0.92</v>
      </c>
      <c r="G144" s="1517" t="n">
        <f aca="false">SUM(F132:F143)/12</f>
        <v>0.92</v>
      </c>
      <c r="H144" s="1075" t="str">
        <f aca="false">IF(G144&gt;=$E$6," ","LDs")</f>
        <v> </v>
      </c>
    </row>
    <row r="145" customFormat="false" ht="12.75" hidden="false" customHeight="false" outlineLevel="0" collapsed="false">
      <c r="B145" s="1516" t="n">
        <v>40210</v>
      </c>
      <c r="C145" s="1075" t="n">
        <f aca="false">IF(B145&lt;PPA_COD_PhII,$D$6,IF(B145&lt;$C$9,$D$7,$D$9))</f>
        <v>480</v>
      </c>
      <c r="D145" s="1075" t="n">
        <f aca="false">IF(B145&lt;$F$8,$G$6,IF(B145&lt;$F$9,$G$8,$G$9))</f>
        <v>480</v>
      </c>
      <c r="E145" s="1517" t="n">
        <v>0.92</v>
      </c>
      <c r="F145" s="1518" t="n">
        <f aca="false">IF(OR(B145&lt;$F$8,$F$9&lt;=B145),MIN($E$6,D145/C145),$H$8)</f>
        <v>0.92</v>
      </c>
      <c r="G145" s="1517" t="n">
        <f aca="false">SUM(F133:F144)/12</f>
        <v>0.92</v>
      </c>
      <c r="H145" s="1075" t="str">
        <f aca="false">IF(G145&gt;=$E$6," ","LDs")</f>
        <v> </v>
      </c>
    </row>
    <row r="146" customFormat="false" ht="12.75" hidden="false" customHeight="false" outlineLevel="0" collapsed="false">
      <c r="B146" s="1516" t="n">
        <v>40238</v>
      </c>
      <c r="C146" s="1075" t="n">
        <f aca="false">IF(B146&lt;PPA_COD_PhII,$D$6,IF(B146&lt;$C$9,$D$7,$D$9))</f>
        <v>480</v>
      </c>
      <c r="D146" s="1075" t="n">
        <f aca="false">IF(B146&lt;$F$8,$G$6,IF(B146&lt;$F$9,$G$8,$G$9))</f>
        <v>480</v>
      </c>
      <c r="E146" s="1517" t="n">
        <v>0.92</v>
      </c>
      <c r="F146" s="1518" t="n">
        <f aca="false">IF(OR(B146&lt;$F$8,$F$9&lt;=B146),MIN($E$6,D146/C146),$H$8)</f>
        <v>0.92</v>
      </c>
      <c r="G146" s="1517" t="n">
        <f aca="false">SUM(F134:F145)/12</f>
        <v>0.92</v>
      </c>
      <c r="H146" s="1075" t="str">
        <f aca="false">IF(G146&gt;=$E$6," ","LDs")</f>
        <v> </v>
      </c>
    </row>
    <row r="147" customFormat="false" ht="12.75" hidden="false" customHeight="false" outlineLevel="0" collapsed="false">
      <c r="B147" s="1516" t="n">
        <v>40269</v>
      </c>
      <c r="C147" s="1075" t="n">
        <f aca="false">IF(B147&lt;PPA_COD_PhII,$D$6,IF(B147&lt;$C$9,$D$7,$D$9))</f>
        <v>480</v>
      </c>
      <c r="D147" s="1075" t="n">
        <f aca="false">IF(B147&lt;$F$8,$G$6,IF(B147&lt;$F$9,$G$8,$G$9))</f>
        <v>480</v>
      </c>
      <c r="E147" s="1517" t="n">
        <v>0.92</v>
      </c>
      <c r="F147" s="1518" t="n">
        <f aca="false">IF(OR(B147&lt;$F$8,$F$9&lt;=B147),MIN($E$6,D147/C147),$H$8)</f>
        <v>0.92</v>
      </c>
      <c r="G147" s="1517" t="n">
        <f aca="false">SUM(F135:F146)/12</f>
        <v>0.92</v>
      </c>
      <c r="H147" s="1075" t="str">
        <f aca="false">IF(G147&gt;=$E$6," ","LDs")</f>
        <v> </v>
      </c>
    </row>
    <row r="148" customFormat="false" ht="12.75" hidden="false" customHeight="false" outlineLevel="0" collapsed="false">
      <c r="B148" s="1516" t="n">
        <v>40299</v>
      </c>
      <c r="C148" s="1075" t="n">
        <f aca="false">IF(B148&lt;PPA_COD_PhII,$D$6,IF(B148&lt;$C$9,$D$7,$D$9))</f>
        <v>480</v>
      </c>
      <c r="D148" s="1075" t="n">
        <f aca="false">IF(B148&lt;$F$8,$G$6,IF(B148&lt;$F$9,$G$8,$G$9))</f>
        <v>480</v>
      </c>
      <c r="E148" s="1517" t="n">
        <v>0.92</v>
      </c>
      <c r="F148" s="1518" t="n">
        <f aca="false">IF(OR(B148&lt;$F$8,$F$9&lt;=B148),MIN($E$6,D148/C148),$H$8)</f>
        <v>0.92</v>
      </c>
      <c r="G148" s="1517" t="n">
        <f aca="false">SUM(F136:F147)/12</f>
        <v>0.92</v>
      </c>
      <c r="H148" s="1075" t="str">
        <f aca="false">IF(G148&gt;=$E$6," ","LDs")</f>
        <v> </v>
      </c>
    </row>
    <row r="149" customFormat="false" ht="12.75" hidden="false" customHeight="false" outlineLevel="0" collapsed="false">
      <c r="B149" s="1516" t="n">
        <v>40330</v>
      </c>
      <c r="C149" s="1075" t="n">
        <f aca="false">IF(B149&lt;PPA_COD_PhII,$D$6,IF(B149&lt;$C$9,$D$7,$D$9))</f>
        <v>480</v>
      </c>
      <c r="D149" s="1075" t="n">
        <f aca="false">IF(B149&lt;$F$8,$G$6,IF(B149&lt;$F$9,$G$8,$G$9))</f>
        <v>480</v>
      </c>
      <c r="E149" s="1517" t="n">
        <v>0.92</v>
      </c>
      <c r="F149" s="1518" t="n">
        <f aca="false">IF(OR(B149&lt;$F$8,$F$9&lt;=B149),MIN($E$6,D149/C149),$H$8)</f>
        <v>0.92</v>
      </c>
      <c r="G149" s="1517" t="n">
        <f aca="false">SUM(F137:F148)/12</f>
        <v>0.92</v>
      </c>
      <c r="H149" s="1075" t="str">
        <f aca="false">IF(G149&gt;=$E$6," ","LDs")</f>
        <v> </v>
      </c>
    </row>
    <row r="150" customFormat="false" ht="12.75" hidden="false" customHeight="false" outlineLevel="0" collapsed="false">
      <c r="B150" s="1516" t="n">
        <v>40360</v>
      </c>
      <c r="C150" s="1075" t="n">
        <f aca="false">IF(B150&lt;PPA_COD_PhII,$D$6,IF(B150&lt;$C$9,$D$7,$D$9))</f>
        <v>480</v>
      </c>
      <c r="D150" s="1075" t="n">
        <f aca="false">IF(B150&lt;$F$8,$G$6,IF(B150&lt;$F$9,$G$8,$G$9))</f>
        <v>480</v>
      </c>
      <c r="E150" s="1517" t="n">
        <v>0.92</v>
      </c>
      <c r="F150" s="1518" t="n">
        <f aca="false">IF(OR(B150&lt;$F$8,$F$9&lt;=B150),MIN($E$6,D150/C150),$H$8)</f>
        <v>0.92</v>
      </c>
      <c r="G150" s="1517" t="n">
        <f aca="false">SUM(F138:F149)/12</f>
        <v>0.92</v>
      </c>
      <c r="H150" s="1075" t="str">
        <f aca="false">IF(G150&gt;=$E$6," ","LDs")</f>
        <v> </v>
      </c>
    </row>
    <row r="151" customFormat="false" ht="12.75" hidden="false" customHeight="false" outlineLevel="0" collapsed="false">
      <c r="B151" s="1516" t="n">
        <v>40391</v>
      </c>
      <c r="C151" s="1075" t="n">
        <f aca="false">IF(B151&lt;PPA_COD_PhII,$D$6,IF(B151&lt;$C$9,$D$7,$D$9))</f>
        <v>480</v>
      </c>
      <c r="D151" s="1075" t="n">
        <f aca="false">IF(B151&lt;$F$8,$G$6,IF(B151&lt;$F$9,$G$8,$G$9))</f>
        <v>480</v>
      </c>
      <c r="E151" s="1517" t="n">
        <v>0.92</v>
      </c>
      <c r="F151" s="1518" t="n">
        <f aca="false">IF(OR(B151&lt;$F$8,$F$9&lt;=B151),MIN($E$6,D151/C151),$H$8)</f>
        <v>0.92</v>
      </c>
      <c r="G151" s="1517" t="n">
        <f aca="false">SUM(F139:F150)/12</f>
        <v>0.92</v>
      </c>
      <c r="H151" s="1075" t="str">
        <f aca="false">IF(G151&gt;=$E$6," ","LDs")</f>
        <v> </v>
      </c>
    </row>
    <row r="152" customFormat="false" ht="12.75" hidden="false" customHeight="false" outlineLevel="0" collapsed="false">
      <c r="B152" s="1516" t="n">
        <v>40422</v>
      </c>
      <c r="C152" s="1075" t="n">
        <f aca="false">IF(B152&lt;PPA_COD_PhII,$D$6,IF(B152&lt;$C$9,$D$7,$D$9))</f>
        <v>480</v>
      </c>
      <c r="D152" s="1075" t="n">
        <f aca="false">IF(B152&lt;$F$8,$G$6,IF(B152&lt;$F$9,$G$8,$G$9))</f>
        <v>480</v>
      </c>
      <c r="E152" s="1517" t="n">
        <v>0.92</v>
      </c>
      <c r="F152" s="1518" t="n">
        <f aca="false">IF(OR(B152&lt;$F$8,$F$9&lt;=B152),MIN($E$6,D152/C152),$H$8)</f>
        <v>0.92</v>
      </c>
      <c r="G152" s="1517" t="n">
        <f aca="false">SUM(F140:F151)/12</f>
        <v>0.92</v>
      </c>
      <c r="H152" s="1075" t="str">
        <f aca="false">IF(G152&gt;=$E$6," ","LDs")</f>
        <v> </v>
      </c>
    </row>
    <row r="153" customFormat="false" ht="12.75" hidden="false" customHeight="false" outlineLevel="0" collapsed="false">
      <c r="B153" s="1516" t="n">
        <v>40452</v>
      </c>
      <c r="C153" s="1075" t="n">
        <f aca="false">IF(B153&lt;PPA_COD_PhII,$D$6,IF(B153&lt;$C$9,$D$7,$D$9))</f>
        <v>480</v>
      </c>
      <c r="D153" s="1075" t="n">
        <f aca="false">IF(B153&lt;$F$8,$G$6,IF(B153&lt;$F$9,$G$8,$G$9))</f>
        <v>480</v>
      </c>
      <c r="E153" s="1517" t="n">
        <v>0.92</v>
      </c>
      <c r="F153" s="1518" t="n">
        <f aca="false">IF(OR(B153&lt;$F$8,$F$9&lt;=B153),MIN($E$6,D153/C153),$H$8)</f>
        <v>0.92</v>
      </c>
      <c r="G153" s="1517" t="n">
        <f aca="false">SUM(F141:F152)/12</f>
        <v>0.92</v>
      </c>
      <c r="H153" s="1075" t="str">
        <f aca="false">IF(G153&gt;=$E$6," ","LDs")</f>
        <v> </v>
      </c>
    </row>
    <row r="154" customFormat="false" ht="12.75" hidden="false" customHeight="false" outlineLevel="0" collapsed="false">
      <c r="B154" s="1516" t="n">
        <v>40483</v>
      </c>
      <c r="C154" s="1075" t="n">
        <f aca="false">IF(B154&lt;PPA_COD_PhII,$D$6,IF(B154&lt;$C$9,$D$7,$D$9))</f>
        <v>480</v>
      </c>
      <c r="D154" s="1075" t="n">
        <f aca="false">IF(B154&lt;$F$8,$G$6,IF(B154&lt;$F$9,$G$8,$G$9))</f>
        <v>480</v>
      </c>
      <c r="E154" s="1517" t="n">
        <v>0.92</v>
      </c>
      <c r="F154" s="1518" t="n">
        <f aca="false">IF(OR(B154&lt;$F$8,$F$9&lt;=B154),MIN($E$6,D154/C154),$H$8)</f>
        <v>0.92</v>
      </c>
      <c r="G154" s="1517" t="n">
        <f aca="false">SUM(F142:F153)/12</f>
        <v>0.92</v>
      </c>
      <c r="H154" s="1075" t="str">
        <f aca="false">IF(G154&gt;=$E$6," ","LDs")</f>
        <v> </v>
      </c>
    </row>
    <row r="155" customFormat="false" ht="12.75" hidden="false" customHeight="false" outlineLevel="0" collapsed="false">
      <c r="B155" s="1516" t="n">
        <v>40513</v>
      </c>
      <c r="C155" s="1075" t="n">
        <f aca="false">IF(B155&lt;PPA_COD_PhII,$D$6,IF(B155&lt;$C$9,$D$7,$D$9))</f>
        <v>480</v>
      </c>
      <c r="D155" s="1075" t="n">
        <f aca="false">IF(B155&lt;$F$8,$G$6,IF(B155&lt;$F$9,$G$8,$G$9))</f>
        <v>480</v>
      </c>
      <c r="E155" s="1517" t="n">
        <v>0.92</v>
      </c>
      <c r="F155" s="1518" t="n">
        <f aca="false">IF(OR(B155&lt;$F$8,$F$9&lt;=B155),MIN($E$6,D155/C155),$H$8)</f>
        <v>0.92</v>
      </c>
      <c r="G155" s="1517" t="n">
        <f aca="false">SUM(F143:F154)/12</f>
        <v>0.92</v>
      </c>
      <c r="H155" s="1075" t="str">
        <f aca="false">IF(G155&gt;=$E$6," ","LDs")</f>
        <v> </v>
      </c>
    </row>
    <row r="156" customFormat="false" ht="12.75" hidden="false" customHeight="false" outlineLevel="0" collapsed="false">
      <c r="B156" s="1516" t="n">
        <v>40544</v>
      </c>
      <c r="C156" s="1075" t="n">
        <f aca="false">IF(B156&lt;PPA_COD_PhII,$D$6,IF(B156&lt;$C$9,$D$7,$D$9))</f>
        <v>480</v>
      </c>
      <c r="D156" s="1075" t="n">
        <f aca="false">IF(B156&lt;$F$8,$G$6,IF(B156&lt;$F$9,$G$8,$G$9))</f>
        <v>480</v>
      </c>
      <c r="E156" s="1517" t="n">
        <v>0.92</v>
      </c>
      <c r="F156" s="1518" t="n">
        <f aca="false">IF(OR(B156&lt;$F$8,$F$9&lt;=B156),MIN($E$6,D156/C156),$H$8)</f>
        <v>0.92</v>
      </c>
      <c r="G156" s="1517" t="n">
        <f aca="false">SUM(F144:F155)/12</f>
        <v>0.92</v>
      </c>
      <c r="H156" s="1075" t="str">
        <f aca="false">IF(G156&gt;=$E$6," ","LDs")</f>
        <v> </v>
      </c>
    </row>
    <row r="157" customFormat="false" ht="12.75" hidden="false" customHeight="false" outlineLevel="0" collapsed="false">
      <c r="B157" s="1516" t="n">
        <v>40575</v>
      </c>
      <c r="C157" s="1075" t="n">
        <f aca="false">IF(B157&lt;PPA_COD_PhII,$D$6,IF(B157&lt;$C$9,$D$7,$D$9))</f>
        <v>480</v>
      </c>
      <c r="D157" s="1075" t="n">
        <f aca="false">IF(B157&lt;$F$8,$G$6,IF(B157&lt;$F$9,$G$8,$G$9))</f>
        <v>480</v>
      </c>
      <c r="E157" s="1517" t="n">
        <v>0.92</v>
      </c>
      <c r="F157" s="1518" t="n">
        <f aca="false">IF(OR(B157&lt;$F$8,$F$9&lt;=B157),MIN($E$6,D157/C157),$H$8)</f>
        <v>0.92</v>
      </c>
      <c r="G157" s="1517" t="n">
        <f aca="false">SUM(F145:F156)/12</f>
        <v>0.92</v>
      </c>
      <c r="H157" s="1075" t="str">
        <f aca="false">IF(G157&gt;=$E$6," ","LDs")</f>
        <v> </v>
      </c>
    </row>
    <row r="158" customFormat="false" ht="12.75" hidden="false" customHeight="false" outlineLevel="0" collapsed="false">
      <c r="B158" s="1516" t="n">
        <v>40603</v>
      </c>
      <c r="C158" s="1075" t="n">
        <f aca="false">IF(B158&lt;PPA_COD_PhII,$D$6,IF(B158&lt;$C$9,$D$7,$D$9))</f>
        <v>480</v>
      </c>
      <c r="D158" s="1075" t="n">
        <f aca="false">IF(B158&lt;$F$8,$G$6,IF(B158&lt;$F$9,$G$8,$G$9))</f>
        <v>480</v>
      </c>
      <c r="E158" s="1517" t="n">
        <v>0.92</v>
      </c>
      <c r="F158" s="1518" t="n">
        <f aca="false">IF(OR(B158&lt;$F$8,$F$9&lt;=B158),MIN($E$6,D158/C158),$H$8)</f>
        <v>0.92</v>
      </c>
      <c r="G158" s="1517" t="n">
        <f aca="false">SUM(F146:F157)/12</f>
        <v>0.92</v>
      </c>
      <c r="H158" s="1075" t="str">
        <f aca="false">IF(G158&gt;=$E$6," ","LDs")</f>
        <v> </v>
      </c>
    </row>
    <row r="159" customFormat="false" ht="12.75" hidden="false" customHeight="false" outlineLevel="0" collapsed="false">
      <c r="B159" s="1516" t="n">
        <v>40634</v>
      </c>
      <c r="C159" s="1075" t="n">
        <f aca="false">IF(B159&lt;PPA_COD_PhII,$D$6,IF(B159&lt;$C$9,$D$7,$D$9))</f>
        <v>480</v>
      </c>
      <c r="D159" s="1075" t="n">
        <f aca="false">IF(B159&lt;$F$8,$G$6,IF(B159&lt;$F$9,$G$8,$G$9))</f>
        <v>480</v>
      </c>
      <c r="E159" s="1517" t="n">
        <v>0.92</v>
      </c>
      <c r="F159" s="1518" t="n">
        <f aca="false">IF(OR(B159&lt;$F$8,$F$9&lt;=B159),MIN($E$6,D159/C159),$H$8)</f>
        <v>0.92</v>
      </c>
      <c r="G159" s="1517" t="n">
        <f aca="false">SUM(F147:F158)/12</f>
        <v>0.92</v>
      </c>
      <c r="H159" s="1075" t="str">
        <f aca="false">IF(G159&gt;=$E$6," ","LDs")</f>
        <v> </v>
      </c>
    </row>
    <row r="160" customFormat="false" ht="12.75" hidden="false" customHeight="false" outlineLevel="0" collapsed="false">
      <c r="B160" s="1516" t="n">
        <v>40664</v>
      </c>
      <c r="C160" s="1075" t="n">
        <f aca="false">IF(B160&lt;PPA_COD_PhII,$D$6,IF(B160&lt;$C$9,$D$7,$D$9))</f>
        <v>480</v>
      </c>
      <c r="D160" s="1075" t="n">
        <f aca="false">IF(B160&lt;$F$8,$G$6,IF(B160&lt;$F$9,$G$8,$G$9))</f>
        <v>480</v>
      </c>
      <c r="E160" s="1517" t="n">
        <v>0.92</v>
      </c>
      <c r="F160" s="1518" t="n">
        <f aca="false">IF(OR(B160&lt;$F$8,$F$9&lt;=B160),MIN($E$6,D160/C160),$H$8)</f>
        <v>0.92</v>
      </c>
      <c r="G160" s="1517" t="n">
        <f aca="false">SUM(F148:F159)/12</f>
        <v>0.92</v>
      </c>
      <c r="H160" s="1075" t="str">
        <f aca="false">IF(G160&gt;=$E$6," ","LDs")</f>
        <v> </v>
      </c>
    </row>
    <row r="161" customFormat="false" ht="12.75" hidden="false" customHeight="false" outlineLevel="0" collapsed="false">
      <c r="B161" s="1516" t="n">
        <v>40695</v>
      </c>
      <c r="C161" s="1075" t="n">
        <f aca="false">IF(B161&lt;PPA_COD_PhII,$D$6,IF(B161&lt;$C$9,$D$7,$D$9))</f>
        <v>480</v>
      </c>
      <c r="D161" s="1075" t="n">
        <f aca="false">IF(B161&lt;$F$8,$G$6,IF(B161&lt;$F$9,$G$8,$G$9))</f>
        <v>480</v>
      </c>
      <c r="E161" s="1517" t="n">
        <v>0.92</v>
      </c>
      <c r="F161" s="1518" t="n">
        <f aca="false">IF(OR(B161&lt;$F$8,$F$9&lt;=B161),MIN($E$6,D161/C161),$H$8)</f>
        <v>0.92</v>
      </c>
      <c r="G161" s="1517" t="n">
        <f aca="false">SUM(F149:F160)/12</f>
        <v>0.92</v>
      </c>
      <c r="H161" s="1075" t="str">
        <f aca="false">IF(G161&gt;=$E$6," ","LDs")</f>
        <v> </v>
      </c>
    </row>
    <row r="162" customFormat="false" ht="12.75" hidden="false" customHeight="false" outlineLevel="0" collapsed="false">
      <c r="B162" s="1516" t="n">
        <v>40725</v>
      </c>
      <c r="C162" s="1075" t="n">
        <f aca="false">IF(B162&lt;PPA_COD_PhII,$D$6,IF(B162&lt;$C$9,$D$7,$D$9))</f>
        <v>480</v>
      </c>
      <c r="D162" s="1075" t="n">
        <f aca="false">IF(B162&lt;$F$8,$G$6,IF(B162&lt;$F$9,$G$8,$G$9))</f>
        <v>480</v>
      </c>
      <c r="E162" s="1517" t="n">
        <v>0.92</v>
      </c>
      <c r="F162" s="1518" t="n">
        <f aca="false">IF(OR(B162&lt;$F$8,$F$9&lt;=B162),MIN($E$6,D162/C162),$H$8)</f>
        <v>0.92</v>
      </c>
      <c r="G162" s="1517" t="n">
        <f aca="false">SUM(F150:F161)/12</f>
        <v>0.92</v>
      </c>
      <c r="H162" s="1075" t="str">
        <f aca="false">IF(G162&gt;=$E$6," ","LDs")</f>
        <v> </v>
      </c>
    </row>
    <row r="163" customFormat="false" ht="12.75" hidden="false" customHeight="false" outlineLevel="0" collapsed="false">
      <c r="B163" s="1516" t="n">
        <v>40756</v>
      </c>
      <c r="C163" s="1075" t="n">
        <f aca="false">IF(B163&lt;PPA_COD_PhII,$D$6,IF(B163&lt;$C$9,$D$7,$D$9))</f>
        <v>480</v>
      </c>
      <c r="D163" s="1075" t="n">
        <f aca="false">IF(B163&lt;$F$8,$G$6,IF(B163&lt;$F$9,$G$8,$G$9))</f>
        <v>480</v>
      </c>
      <c r="E163" s="1517" t="n">
        <v>0.92</v>
      </c>
      <c r="F163" s="1518" t="n">
        <f aca="false">IF(OR(B163&lt;$F$8,$F$9&lt;=B163),MIN($E$6,D163/C163),$H$8)</f>
        <v>0.92</v>
      </c>
      <c r="G163" s="1517" t="n">
        <f aca="false">SUM(F151:F162)/12</f>
        <v>0.92</v>
      </c>
      <c r="H163" s="1075" t="str">
        <f aca="false">IF(G163&gt;=$E$6," ","LDs")</f>
        <v> </v>
      </c>
    </row>
    <row r="164" customFormat="false" ht="12.75" hidden="false" customHeight="false" outlineLevel="0" collapsed="false">
      <c r="B164" s="1516" t="n">
        <v>40787</v>
      </c>
      <c r="C164" s="1075" t="n">
        <f aca="false">IF(B164&lt;PPA_COD_PhII,$D$6,IF(B164&lt;$C$9,$D$7,$D$9))</f>
        <v>480</v>
      </c>
      <c r="D164" s="1075" t="n">
        <f aca="false">IF(B164&lt;$F$8,$G$6,IF(B164&lt;$F$9,$G$8,$G$9))</f>
        <v>480</v>
      </c>
      <c r="E164" s="1517" t="n">
        <v>0.92</v>
      </c>
      <c r="F164" s="1518" t="n">
        <f aca="false">IF(OR(B164&lt;$F$8,$F$9&lt;=B164),MIN($E$6,D164/C164),$H$8)</f>
        <v>0.92</v>
      </c>
      <c r="G164" s="1517" t="n">
        <f aca="false">SUM(F152:F163)/12</f>
        <v>0.92</v>
      </c>
      <c r="H164" s="1075" t="str">
        <f aca="false">IF(G164&gt;=$E$6," ","LDs")</f>
        <v> </v>
      </c>
    </row>
    <row r="165" customFormat="false" ht="12.75" hidden="false" customHeight="false" outlineLevel="0" collapsed="false">
      <c r="B165" s="1516" t="n">
        <v>40817</v>
      </c>
      <c r="C165" s="1075" t="n">
        <f aca="false">IF(B165&lt;PPA_COD_PhII,$D$6,IF(B165&lt;$C$9,$D$7,$D$9))</f>
        <v>480</v>
      </c>
      <c r="D165" s="1075" t="n">
        <f aca="false">IF(B165&lt;$F$8,$G$6,IF(B165&lt;$F$9,$G$8,$G$9))</f>
        <v>480</v>
      </c>
      <c r="E165" s="1517" t="n">
        <v>0.92</v>
      </c>
      <c r="F165" s="1518" t="n">
        <f aca="false">IF(OR(B165&lt;$F$8,$F$9&lt;=B165),MIN($E$6,D165/C165),$H$8)</f>
        <v>0.92</v>
      </c>
      <c r="G165" s="1517" t="n">
        <f aca="false">SUM(F153:F164)/12</f>
        <v>0.92</v>
      </c>
      <c r="H165" s="1075" t="str">
        <f aca="false">IF(G165&gt;=$E$6," ","LDs")</f>
        <v> </v>
      </c>
    </row>
    <row r="166" customFormat="false" ht="12.75" hidden="false" customHeight="false" outlineLevel="0" collapsed="false">
      <c r="B166" s="1516" t="n">
        <v>40848</v>
      </c>
      <c r="C166" s="1075" t="n">
        <f aca="false">IF(B166&lt;PPA_COD_PhII,$D$6,IF(B166&lt;$C$9,$D$7,$D$9))</f>
        <v>480</v>
      </c>
      <c r="D166" s="1075" t="n">
        <f aca="false">IF(B166&lt;$F$8,$G$6,IF(B166&lt;$F$9,$G$8,$G$9))</f>
        <v>480</v>
      </c>
      <c r="E166" s="1517" t="n">
        <v>0.92</v>
      </c>
      <c r="F166" s="1518" t="n">
        <f aca="false">IF(OR(B166&lt;$F$8,$F$9&lt;=B166),MIN($E$6,D166/C166),$H$8)</f>
        <v>0.92</v>
      </c>
      <c r="G166" s="1517" t="n">
        <f aca="false">SUM(F154:F165)/12</f>
        <v>0.92</v>
      </c>
      <c r="H166" s="1075" t="str">
        <f aca="false">IF(G166&gt;=$E$6," ","LDs")</f>
        <v> </v>
      </c>
    </row>
    <row r="167" customFormat="false" ht="12.75" hidden="false" customHeight="false" outlineLevel="0" collapsed="false">
      <c r="B167" s="1516" t="n">
        <v>40878</v>
      </c>
      <c r="C167" s="1075" t="n">
        <f aca="false">IF(B167&lt;PPA_COD_PhII,$D$6,IF(B167&lt;$C$9,$D$7,$D$9))</f>
        <v>480</v>
      </c>
      <c r="D167" s="1075" t="n">
        <f aca="false">IF(B167&lt;$F$8,$G$6,IF(B167&lt;$F$9,$G$8,$G$9))</f>
        <v>480</v>
      </c>
      <c r="E167" s="1517" t="n">
        <v>0.92</v>
      </c>
      <c r="F167" s="1518" t="n">
        <f aca="false">IF(OR(B167&lt;$F$8,$F$9&lt;=B167),MIN($E$6,D167/C167),$H$8)</f>
        <v>0.92</v>
      </c>
      <c r="G167" s="1517" t="n">
        <f aca="false">SUM(F155:F166)/12</f>
        <v>0.92</v>
      </c>
      <c r="H167" s="1075" t="str">
        <f aca="false">IF(G167&gt;=$E$6," ","LDs")</f>
        <v> </v>
      </c>
    </row>
    <row r="168" customFormat="false" ht="12.75" hidden="false" customHeight="false" outlineLevel="0" collapsed="false">
      <c r="B168" s="1516" t="n">
        <v>40909</v>
      </c>
      <c r="C168" s="1075" t="n">
        <f aca="false">IF(B168&lt;PPA_COD_PhII,$D$6,IF(B168&lt;$C$9,$D$7,$D$9))</f>
        <v>480</v>
      </c>
      <c r="D168" s="1075" t="n">
        <f aca="false">IF(B168&lt;$F$8,$G$6,IF(B168&lt;$F$9,$G$8,$G$9))</f>
        <v>480</v>
      </c>
      <c r="E168" s="1517" t="n">
        <v>0.92</v>
      </c>
      <c r="F168" s="1518" t="n">
        <f aca="false">IF(OR(B168&lt;$F$8,$F$9&lt;=B168),MIN($E$6,D168/C168),$H$8)</f>
        <v>0.92</v>
      </c>
      <c r="G168" s="1517" t="n">
        <f aca="false">SUM(F156:F167)/12</f>
        <v>0.92</v>
      </c>
      <c r="H168" s="1075" t="str">
        <f aca="false">IF(G168&gt;=$E$6," ","LDs")</f>
        <v> </v>
      </c>
    </row>
    <row r="169" customFormat="false" ht="12.75" hidden="false" customHeight="false" outlineLevel="0" collapsed="false">
      <c r="B169" s="1516" t="n">
        <v>40940</v>
      </c>
      <c r="C169" s="1075" t="n">
        <f aca="false">IF(B169&lt;PPA_COD_PhII,$D$6,IF(B169&lt;$C$9,$D$7,$D$9))</f>
        <v>480</v>
      </c>
      <c r="D169" s="1075" t="n">
        <f aca="false">IF(B169&lt;$F$8,$G$6,IF(B169&lt;$F$9,$G$8,$G$9))</f>
        <v>480</v>
      </c>
      <c r="E169" s="1517" t="n">
        <v>0.92</v>
      </c>
      <c r="F169" s="1518" t="n">
        <f aca="false">IF(OR(B169&lt;$F$8,$F$9&lt;=B169),MIN($E$6,D169/C169),$H$8)</f>
        <v>0.92</v>
      </c>
      <c r="G169" s="1517" t="n">
        <f aca="false">SUM(F157:F168)/12</f>
        <v>0.92</v>
      </c>
      <c r="H169" s="1075" t="str">
        <f aca="false">IF(G169&gt;=$E$6," ","LDs")</f>
        <v> </v>
      </c>
    </row>
    <row r="170" customFormat="false" ht="12.75" hidden="false" customHeight="false" outlineLevel="0" collapsed="false">
      <c r="B170" s="1516" t="n">
        <v>40969</v>
      </c>
      <c r="C170" s="1075" t="n">
        <f aca="false">IF(B170&lt;PPA_COD_PhII,$D$6,IF(B170&lt;$C$9,$D$7,$D$9))</f>
        <v>480</v>
      </c>
      <c r="D170" s="1075" t="n">
        <f aca="false">IF(B170&lt;$F$8,$G$6,IF(B170&lt;$F$9,$G$8,$G$9))</f>
        <v>480</v>
      </c>
      <c r="E170" s="1517" t="n">
        <v>0.92</v>
      </c>
      <c r="F170" s="1518" t="n">
        <f aca="false">IF(OR(B170&lt;$F$8,$F$9&lt;=B170),MIN($E$6,D170/C170),$H$8)</f>
        <v>0.92</v>
      </c>
      <c r="G170" s="1517" t="n">
        <f aca="false">SUM(F158:F169)/12</f>
        <v>0.92</v>
      </c>
      <c r="H170" s="1075" t="str">
        <f aca="false">IF(G170&gt;=$E$6," ","LDs")</f>
        <v> </v>
      </c>
    </row>
    <row r="171" customFormat="false" ht="12.75" hidden="false" customHeight="false" outlineLevel="0" collapsed="false">
      <c r="B171" s="1516" t="n">
        <v>41000</v>
      </c>
      <c r="C171" s="1075" t="n">
        <f aca="false">IF(B171&lt;PPA_COD_PhII,$D$6,IF(B171&lt;$C$9,$D$7,$D$9))</f>
        <v>480</v>
      </c>
      <c r="D171" s="1075" t="n">
        <f aca="false">IF(B171&lt;$F$8,$G$6,IF(B171&lt;$F$9,$G$8,$G$9))</f>
        <v>480</v>
      </c>
      <c r="E171" s="1517" t="n">
        <v>0.92</v>
      </c>
      <c r="F171" s="1518" t="n">
        <f aca="false">IF(OR(B171&lt;$F$8,$F$9&lt;=B171),MIN($E$6,D171/C171),$H$8)</f>
        <v>0.92</v>
      </c>
      <c r="G171" s="1517" t="n">
        <f aca="false">SUM(F159:F170)/12</f>
        <v>0.92</v>
      </c>
      <c r="H171" s="1075" t="str">
        <f aca="false">IF(G171&gt;=$E$6," ","LDs")</f>
        <v> </v>
      </c>
    </row>
    <row r="172" customFormat="false" ht="12.75" hidden="false" customHeight="false" outlineLevel="0" collapsed="false">
      <c r="B172" s="1516" t="n">
        <v>41030</v>
      </c>
      <c r="C172" s="1075" t="n">
        <f aca="false">IF(B172&lt;PPA_COD_PhII,$D$6,IF(B172&lt;$C$9,$D$7,$D$9))</f>
        <v>480</v>
      </c>
      <c r="D172" s="1075" t="n">
        <f aca="false">IF(B172&lt;$F$8,$G$6,IF(B172&lt;$F$9,$G$8,$G$9))</f>
        <v>480</v>
      </c>
      <c r="E172" s="1517" t="n">
        <v>0.92</v>
      </c>
      <c r="F172" s="1518" t="n">
        <f aca="false">IF(OR(B172&lt;$F$8,$F$9&lt;=B172),MIN($E$6,D172/C172),$H$8)</f>
        <v>0.92</v>
      </c>
      <c r="G172" s="1517" t="n">
        <f aca="false">SUM(F160:F171)/12</f>
        <v>0.92</v>
      </c>
      <c r="H172" s="1075" t="str">
        <f aca="false">IF(G172&gt;=$E$6," ","LDs")</f>
        <v> </v>
      </c>
    </row>
    <row r="173" customFormat="false" ht="12.75" hidden="false" customHeight="false" outlineLevel="0" collapsed="false">
      <c r="B173" s="1516" t="n">
        <v>41061</v>
      </c>
      <c r="C173" s="1075" t="n">
        <f aca="false">IF(B173&lt;PPA_COD_PhII,$D$6,IF(B173&lt;$C$9,$D$7,$D$9))</f>
        <v>480</v>
      </c>
      <c r="D173" s="1075" t="n">
        <f aca="false">IF(B173&lt;$F$8,$G$6,IF(B173&lt;$F$9,$G$8,$G$9))</f>
        <v>480</v>
      </c>
      <c r="E173" s="1517" t="n">
        <v>0.92</v>
      </c>
      <c r="F173" s="1518" t="n">
        <f aca="false">IF(OR(B173&lt;$F$8,$F$9&lt;=B173),MIN($E$6,D173/C173),$H$8)</f>
        <v>0.92</v>
      </c>
      <c r="G173" s="1517" t="n">
        <f aca="false">SUM(F161:F172)/12</f>
        <v>0.92</v>
      </c>
      <c r="H173" s="1075" t="str">
        <f aca="false">IF(G173&gt;=$E$6," ","LDs")</f>
        <v> </v>
      </c>
    </row>
    <row r="174" customFormat="false" ht="12.75" hidden="false" customHeight="false" outlineLevel="0" collapsed="false">
      <c r="B174" s="1516" t="n">
        <v>41091</v>
      </c>
      <c r="C174" s="1075" t="n">
        <f aca="false">IF(B174&lt;PPA_COD_PhII,$D$6,IF(B174&lt;$C$9,$D$7,$D$9))</f>
        <v>480</v>
      </c>
      <c r="D174" s="1075" t="n">
        <f aca="false">IF(B174&lt;$F$8,$G$6,IF(B174&lt;$F$9,$G$8,$G$9))</f>
        <v>480</v>
      </c>
      <c r="E174" s="1517" t="n">
        <v>0.92</v>
      </c>
      <c r="F174" s="1518" t="n">
        <f aca="false">IF(OR(B174&lt;$F$8,$F$9&lt;=B174),MIN($E$6,D174/C174),$H$8)</f>
        <v>0.92</v>
      </c>
      <c r="G174" s="1517" t="n">
        <f aca="false">SUM(F162:F173)/12</f>
        <v>0.92</v>
      </c>
      <c r="H174" s="1075" t="str">
        <f aca="false">IF(G174&gt;=$E$6," ","LDs")</f>
        <v> </v>
      </c>
    </row>
    <row r="175" customFormat="false" ht="12.75" hidden="false" customHeight="false" outlineLevel="0" collapsed="false">
      <c r="B175" s="1516" t="n">
        <v>41122</v>
      </c>
      <c r="C175" s="1075" t="n">
        <f aca="false">IF(B175&lt;PPA_COD_PhII,$D$6,IF(B175&lt;$C$9,$D$7,$D$9))</f>
        <v>480</v>
      </c>
      <c r="D175" s="1075" t="n">
        <f aca="false">IF(B175&lt;$F$8,$G$6,IF(B175&lt;$F$9,$G$8,$G$9))</f>
        <v>480</v>
      </c>
      <c r="E175" s="1517" t="n">
        <v>0.92</v>
      </c>
      <c r="F175" s="1518" t="n">
        <f aca="false">IF(OR(B175&lt;$F$8,$F$9&lt;=B175),MIN($E$6,D175/C175),$H$8)</f>
        <v>0.92</v>
      </c>
      <c r="G175" s="1517" t="n">
        <f aca="false">SUM(F163:F174)/12</f>
        <v>0.92</v>
      </c>
      <c r="H175" s="1075" t="str">
        <f aca="false">IF(G175&gt;=$E$6," ","LDs")</f>
        <v> </v>
      </c>
    </row>
    <row r="176" customFormat="false" ht="12.75" hidden="false" customHeight="false" outlineLevel="0" collapsed="false">
      <c r="B176" s="1516" t="n">
        <v>41153</v>
      </c>
      <c r="C176" s="1075" t="n">
        <f aca="false">IF(B176&lt;PPA_COD_PhII,$D$6,IF(B176&lt;$C$9,$D$7,$D$9))</f>
        <v>480</v>
      </c>
      <c r="D176" s="1075" t="n">
        <f aca="false">IF(B176&lt;$F$8,$G$6,IF(B176&lt;$F$9,$G$8,$G$9))</f>
        <v>480</v>
      </c>
      <c r="E176" s="1517" t="n">
        <v>0.92</v>
      </c>
      <c r="F176" s="1518" t="n">
        <f aca="false">IF(OR(B176&lt;$F$8,$F$9&lt;=B176),MIN($E$6,D176/C176),$H$8)</f>
        <v>0.92</v>
      </c>
      <c r="G176" s="1517" t="n">
        <f aca="false">SUM(F164:F175)/12</f>
        <v>0.92</v>
      </c>
      <c r="H176" s="1075" t="str">
        <f aca="false">IF(G176&gt;=$E$6," ","LDs")</f>
        <v> </v>
      </c>
    </row>
    <row r="177" customFormat="false" ht="12.75" hidden="false" customHeight="false" outlineLevel="0" collapsed="false">
      <c r="B177" s="1516" t="n">
        <v>41183</v>
      </c>
      <c r="C177" s="1075" t="n">
        <f aca="false">IF(B177&lt;PPA_COD_PhII,$D$6,IF(B177&lt;$C$9,$D$7,$D$9))</f>
        <v>480</v>
      </c>
      <c r="D177" s="1075" t="n">
        <f aca="false">IF(B177&lt;$F$8,$G$6,IF(B177&lt;$F$9,$G$8,$G$9))</f>
        <v>480</v>
      </c>
      <c r="E177" s="1517" t="n">
        <v>0.92</v>
      </c>
      <c r="F177" s="1518" t="n">
        <f aca="false">IF(OR(B177&lt;$F$8,$F$9&lt;=B177),MIN($E$6,D177/C177),$H$8)</f>
        <v>0.92</v>
      </c>
      <c r="G177" s="1517" t="n">
        <f aca="false">SUM(F165:F176)/12</f>
        <v>0.92</v>
      </c>
      <c r="H177" s="1075" t="str">
        <f aca="false">IF(G177&gt;=$E$6," ","LDs")</f>
        <v> </v>
      </c>
    </row>
    <row r="178" customFormat="false" ht="12.75" hidden="false" customHeight="false" outlineLevel="0" collapsed="false">
      <c r="B178" s="1516" t="n">
        <v>41214</v>
      </c>
      <c r="C178" s="1075" t="n">
        <f aca="false">IF(B178&lt;PPA_COD_PhII,$D$6,IF(B178&lt;$C$9,$D$7,$D$9))</f>
        <v>480</v>
      </c>
      <c r="D178" s="1075" t="n">
        <f aca="false">IF(B178&lt;$F$8,$G$6,IF(B178&lt;$F$9,$G$8,$G$9))</f>
        <v>480</v>
      </c>
      <c r="E178" s="1517" t="n">
        <v>0.92</v>
      </c>
      <c r="F178" s="1518" t="n">
        <f aca="false">IF(OR(B178&lt;$F$8,$F$9&lt;=B178),MIN($E$6,D178/C178),$H$8)</f>
        <v>0.92</v>
      </c>
      <c r="G178" s="1517" t="n">
        <f aca="false">SUM(F166:F177)/12</f>
        <v>0.92</v>
      </c>
      <c r="H178" s="1075" t="str">
        <f aca="false">IF(G178&gt;=$E$6," ","LDs")</f>
        <v> </v>
      </c>
    </row>
    <row r="179" customFormat="false" ht="12.75" hidden="false" customHeight="false" outlineLevel="0" collapsed="false">
      <c r="B179" s="1516" t="n">
        <v>41244</v>
      </c>
      <c r="C179" s="1075" t="n">
        <f aca="false">IF(B179&lt;PPA_COD_PhII,$D$6,IF(B179&lt;$C$9,$D$7,$D$9))</f>
        <v>480</v>
      </c>
      <c r="D179" s="1075" t="n">
        <f aca="false">IF(B179&lt;$F$8,$G$6,IF(B179&lt;$F$9,$G$8,$G$9))</f>
        <v>480</v>
      </c>
      <c r="E179" s="1517" t="n">
        <v>0.92</v>
      </c>
      <c r="F179" s="1518" t="n">
        <f aca="false">IF(OR(B179&lt;$F$8,$F$9&lt;=B179),MIN($E$6,D179/C179),$H$8)</f>
        <v>0.92</v>
      </c>
      <c r="G179" s="1517" t="n">
        <f aca="false">SUM(F167:F178)/12</f>
        <v>0.92</v>
      </c>
      <c r="H179" s="1075" t="str">
        <f aca="false">IF(G179&gt;=$E$6," ","LDs")</f>
        <v> </v>
      </c>
    </row>
    <row r="180" customFormat="false" ht="12.75" hidden="false" customHeight="false" outlineLevel="0" collapsed="false">
      <c r="B180" s="1516" t="n">
        <v>41275</v>
      </c>
      <c r="C180" s="1075" t="n">
        <f aca="false">IF(B180&lt;PPA_COD_PhII,$D$6,IF(B180&lt;$C$9,$D$7,$D$9))</f>
        <v>480</v>
      </c>
      <c r="D180" s="1075" t="n">
        <f aca="false">IF(B180&lt;$F$8,$G$6,IF(B180&lt;$F$9,$G$8,$G$9))</f>
        <v>480</v>
      </c>
      <c r="E180" s="1517" t="n">
        <v>0.92</v>
      </c>
      <c r="F180" s="1518" t="n">
        <f aca="false">IF(OR(B180&lt;$F$8,$F$9&lt;=B180),MIN($E$6,D180/C180),$H$8)</f>
        <v>0.92</v>
      </c>
      <c r="G180" s="1517" t="n">
        <f aca="false">SUM(F168:F179)/12</f>
        <v>0.92</v>
      </c>
      <c r="H180" s="1075" t="str">
        <f aca="false">IF(G180&gt;=$E$6," ","LDs")</f>
        <v> </v>
      </c>
    </row>
    <row r="181" customFormat="false" ht="12.75" hidden="false" customHeight="false" outlineLevel="0" collapsed="false">
      <c r="B181" s="1516" t="n">
        <v>41306</v>
      </c>
      <c r="C181" s="1075" t="n">
        <f aca="false">IF(B181&lt;PPA_COD_PhII,$D$6,IF(B181&lt;$C$9,$D$7,$D$9))</f>
        <v>480</v>
      </c>
      <c r="D181" s="1075" t="n">
        <f aca="false">IF(B181&lt;$F$8,$G$6,IF(B181&lt;$F$9,$G$8,$G$9))</f>
        <v>480</v>
      </c>
      <c r="E181" s="1517" t="n">
        <v>0.92</v>
      </c>
      <c r="F181" s="1518" t="n">
        <f aca="false">IF(OR(B181&lt;$F$8,$F$9&lt;=B181),MIN($E$6,D181/C181),$H$8)</f>
        <v>0.92</v>
      </c>
      <c r="G181" s="1517" t="n">
        <f aca="false">SUM(F169:F180)/12</f>
        <v>0.92</v>
      </c>
      <c r="H181" s="1075" t="str">
        <f aca="false">IF(G181&gt;=$E$6," ","LDs")</f>
        <v> </v>
      </c>
    </row>
    <row r="182" customFormat="false" ht="12.75" hidden="false" customHeight="false" outlineLevel="0" collapsed="false">
      <c r="B182" s="1516" t="n">
        <v>41334</v>
      </c>
      <c r="C182" s="1075" t="n">
        <f aca="false">IF(B182&lt;PPA_COD_PhII,$D$6,IF(B182&lt;$C$9,$D$7,$D$9))</f>
        <v>480</v>
      </c>
      <c r="D182" s="1075" t="n">
        <f aca="false">IF(B182&lt;$F$8,$G$6,IF(B182&lt;$F$9,$G$8,$G$9))</f>
        <v>480</v>
      </c>
      <c r="E182" s="1517" t="n">
        <v>0.92</v>
      </c>
      <c r="F182" s="1518" t="n">
        <f aca="false">IF(OR(B182&lt;$F$8,$F$9&lt;=B182),MIN($E$6,D182/C182),$H$8)</f>
        <v>0.92</v>
      </c>
      <c r="G182" s="1517" t="n">
        <f aca="false">SUM(F170:F181)/12</f>
        <v>0.92</v>
      </c>
      <c r="H182" s="1075" t="str">
        <f aca="false">IF(G182&gt;=$E$6," ","LDs")</f>
        <v> </v>
      </c>
    </row>
    <row r="183" customFormat="false" ht="12.75" hidden="false" customHeight="false" outlineLevel="0" collapsed="false">
      <c r="B183" s="1516" t="n">
        <v>41365</v>
      </c>
      <c r="C183" s="1075" t="n">
        <f aca="false">IF(B183&lt;PPA_COD_PhII,$D$6,IF(B183&lt;$C$9,$D$7,$D$9))</f>
        <v>480</v>
      </c>
      <c r="D183" s="1075" t="n">
        <f aca="false">IF(B183&lt;$F$8,$G$6,IF(B183&lt;$F$9,$G$8,$G$9))</f>
        <v>480</v>
      </c>
      <c r="E183" s="1517" t="n">
        <v>0.92</v>
      </c>
      <c r="F183" s="1518" t="n">
        <f aca="false">IF(OR(B183&lt;$F$8,$F$9&lt;=B183),MIN($E$6,D183/C183),$H$8)</f>
        <v>0.92</v>
      </c>
      <c r="G183" s="1517" t="n">
        <f aca="false">SUM(F171:F182)/12</f>
        <v>0.92</v>
      </c>
      <c r="H183" s="1075" t="str">
        <f aca="false">IF(G183&gt;=$E$6," ","LDs")</f>
        <v> </v>
      </c>
    </row>
    <row r="184" customFormat="false" ht="12.75" hidden="false" customHeight="false" outlineLevel="0" collapsed="false">
      <c r="B184" s="1516" t="n">
        <v>41395</v>
      </c>
      <c r="C184" s="1075" t="n">
        <f aca="false">IF(B184&lt;PPA_COD_PhII,$D$6,IF(B184&lt;$C$9,$D$7,$D$9))</f>
        <v>480</v>
      </c>
      <c r="D184" s="1075" t="n">
        <f aca="false">IF(B184&lt;$F$8,$G$6,IF(B184&lt;$F$9,$G$8,$G$9))</f>
        <v>480</v>
      </c>
      <c r="E184" s="1517" t="n">
        <v>0.92</v>
      </c>
      <c r="F184" s="1518" t="n">
        <f aca="false">IF(OR(B184&lt;$F$8,$F$9&lt;=B184),MIN($E$6,D184/C184),$H$8)</f>
        <v>0.92</v>
      </c>
      <c r="G184" s="1517" t="n">
        <f aca="false">SUM(F172:F183)/12</f>
        <v>0.92</v>
      </c>
      <c r="H184" s="1075" t="str">
        <f aca="false">IF(G184&gt;=$E$6," ","LDs")</f>
        <v> </v>
      </c>
    </row>
    <row r="185" customFormat="false" ht="12.75" hidden="false" customHeight="false" outlineLevel="0" collapsed="false">
      <c r="B185" s="1516" t="n">
        <v>41426</v>
      </c>
      <c r="C185" s="1075" t="n">
        <f aca="false">IF(B185&lt;PPA_COD_PhII,$D$6,IF(B185&lt;$C$9,$D$7,$D$9))</f>
        <v>480</v>
      </c>
      <c r="D185" s="1075" t="n">
        <f aca="false">IF(B185&lt;$F$8,$G$6,IF(B185&lt;$F$9,$G$8,$G$9))</f>
        <v>480</v>
      </c>
      <c r="E185" s="1517" t="n">
        <v>0.92</v>
      </c>
      <c r="F185" s="1518" t="n">
        <f aca="false">IF(OR(B185&lt;$F$8,$F$9&lt;=B185),MIN($E$6,D185/C185),$H$8)</f>
        <v>0.92</v>
      </c>
      <c r="G185" s="1517" t="n">
        <f aca="false">SUM(F173:F184)/12</f>
        <v>0.92</v>
      </c>
      <c r="H185" s="1075" t="str">
        <f aca="false">IF(G185&gt;=$E$6," ","LDs")</f>
        <v> </v>
      </c>
    </row>
    <row r="186" customFormat="false" ht="12.75" hidden="false" customHeight="false" outlineLevel="0" collapsed="false">
      <c r="B186" s="1516" t="n">
        <v>41456</v>
      </c>
      <c r="C186" s="1075" t="n">
        <f aca="false">IF(B186&lt;PPA_COD_PhII,$D$6,IF(B186&lt;$C$9,$D$7,$D$9))</f>
        <v>480</v>
      </c>
      <c r="D186" s="1075" t="n">
        <f aca="false">IF(B186&lt;$F$8,$G$6,IF(B186&lt;$F$9,$G$8,$G$9))</f>
        <v>480</v>
      </c>
      <c r="E186" s="1517" t="n">
        <v>0.92</v>
      </c>
      <c r="F186" s="1518" t="n">
        <f aca="false">IF(OR(B186&lt;$F$8,$F$9&lt;=B186),MIN($E$6,D186/C186),$H$8)</f>
        <v>0.92</v>
      </c>
      <c r="G186" s="1517" t="n">
        <f aca="false">SUM(F174:F185)/12</f>
        <v>0.92</v>
      </c>
      <c r="H186" s="1075" t="str">
        <f aca="false">IF(G186&gt;=$E$6," ","LDs")</f>
        <v> </v>
      </c>
    </row>
    <row r="187" customFormat="false" ht="12.75" hidden="false" customHeight="false" outlineLevel="0" collapsed="false">
      <c r="B187" s="1516" t="n">
        <v>41487</v>
      </c>
      <c r="C187" s="1075" t="n">
        <f aca="false">IF(B187&lt;PPA_COD_PhII,$D$6,IF(B187&lt;$C$9,$D$7,$D$9))</f>
        <v>480</v>
      </c>
      <c r="D187" s="1075" t="n">
        <f aca="false">IF(B187&lt;$F$8,$G$6,IF(B187&lt;$F$9,$G$8,$G$9))</f>
        <v>480</v>
      </c>
      <c r="E187" s="1517" t="n">
        <v>0.92</v>
      </c>
      <c r="F187" s="1518" t="n">
        <f aca="false">IF(OR(B187&lt;$F$8,$F$9&lt;=B187),MIN($E$6,D187/C187),$H$8)</f>
        <v>0.92</v>
      </c>
      <c r="G187" s="1517" t="n">
        <f aca="false">SUM(F175:F186)/12</f>
        <v>0.92</v>
      </c>
      <c r="H187" s="1075" t="str">
        <f aca="false">IF(G187&gt;=$E$6," ","LDs")</f>
        <v> </v>
      </c>
    </row>
    <row r="188" customFormat="false" ht="12.75" hidden="false" customHeight="false" outlineLevel="0" collapsed="false">
      <c r="B188" s="1516" t="n">
        <v>41518</v>
      </c>
      <c r="C188" s="1075" t="n">
        <f aca="false">IF(B188&lt;PPA_COD_PhII,$D$6,IF(B188&lt;$C$9,$D$7,$D$9))</f>
        <v>480</v>
      </c>
      <c r="D188" s="1075" t="n">
        <f aca="false">IF(B188&lt;$F$8,$G$6,IF(B188&lt;$F$9,$G$8,$G$9))</f>
        <v>480</v>
      </c>
      <c r="E188" s="1517" t="n">
        <v>0.92</v>
      </c>
      <c r="F188" s="1518" t="n">
        <f aca="false">IF(OR(B188&lt;$F$8,$F$9&lt;=B188),MIN($E$6,D188/C188),$H$8)</f>
        <v>0.92</v>
      </c>
      <c r="G188" s="1517" t="n">
        <f aca="false">SUM(F176:F187)/12</f>
        <v>0.92</v>
      </c>
      <c r="H188" s="1075" t="str">
        <f aca="false">IF(G188&gt;=$E$6," ","LDs")</f>
        <v> </v>
      </c>
    </row>
    <row r="189" customFormat="false" ht="12.75" hidden="false" customHeight="false" outlineLevel="0" collapsed="false">
      <c r="B189" s="1516" t="n">
        <v>41548</v>
      </c>
      <c r="C189" s="1075" t="n">
        <f aca="false">IF(B189&lt;PPA_COD_PhII,$D$6,IF(B189&lt;$C$9,$D$7,$D$9))</f>
        <v>480</v>
      </c>
      <c r="D189" s="1075" t="n">
        <f aca="false">IF(B189&lt;$F$8,$G$6,IF(B189&lt;$F$9,$G$8,$G$9))</f>
        <v>480</v>
      </c>
      <c r="E189" s="1517" t="n">
        <v>0.92</v>
      </c>
      <c r="F189" s="1518" t="n">
        <f aca="false">IF(OR(B189&lt;$F$8,$F$9&lt;=B189),MIN($E$6,D189/C189),$H$8)</f>
        <v>0.92</v>
      </c>
      <c r="G189" s="1517" t="n">
        <f aca="false">SUM(F177:F188)/12</f>
        <v>0.92</v>
      </c>
      <c r="H189" s="1075" t="str">
        <f aca="false">IF(G189&gt;=$E$6," ","LDs")</f>
        <v> </v>
      </c>
    </row>
    <row r="190" customFormat="false" ht="12.75" hidden="false" customHeight="false" outlineLevel="0" collapsed="false">
      <c r="B190" s="1516" t="n">
        <v>41579</v>
      </c>
      <c r="C190" s="1075" t="n">
        <f aca="false">IF(B190&lt;PPA_COD_PhII,$D$6,IF(B190&lt;$C$9,$D$7,$D$9))</f>
        <v>480</v>
      </c>
      <c r="D190" s="1075" t="n">
        <f aca="false">IF(B190&lt;$F$8,$G$6,IF(B190&lt;$F$9,$G$8,$G$9))</f>
        <v>480</v>
      </c>
      <c r="E190" s="1517" t="n">
        <v>0.92</v>
      </c>
      <c r="F190" s="1518" t="n">
        <f aca="false">IF(OR(B190&lt;$F$8,$F$9&lt;=B190),MIN($E$6,D190/C190),$H$8)</f>
        <v>0.92</v>
      </c>
      <c r="G190" s="1517" t="n">
        <f aca="false">SUM(F178:F189)/12</f>
        <v>0.92</v>
      </c>
      <c r="H190" s="1075" t="str">
        <f aca="false">IF(G190&gt;=$E$6," ","LDs")</f>
        <v> </v>
      </c>
    </row>
    <row r="191" customFormat="false" ht="12.75" hidden="false" customHeight="false" outlineLevel="0" collapsed="false">
      <c r="B191" s="1516" t="n">
        <v>41609</v>
      </c>
      <c r="C191" s="1075" t="n">
        <f aca="false">IF(B191&lt;PPA_COD_PhII,$D$6,IF(B191&lt;$C$9,$D$7,$D$9))</f>
        <v>480</v>
      </c>
      <c r="D191" s="1075" t="n">
        <f aca="false">IF(B191&lt;$F$8,$G$6,IF(B191&lt;$F$9,$G$8,$G$9))</f>
        <v>480</v>
      </c>
      <c r="E191" s="1517" t="n">
        <v>0.92</v>
      </c>
      <c r="F191" s="1518" t="n">
        <f aca="false">IF(OR(B191&lt;$F$8,$F$9&lt;=B191),MIN($E$6,D191/C191),$H$8)</f>
        <v>0.92</v>
      </c>
      <c r="G191" s="1517" t="n">
        <f aca="false">SUM(F179:F190)/12</f>
        <v>0.92</v>
      </c>
      <c r="H191" s="1075" t="str">
        <f aca="false">IF(G191&gt;=$E$6," ","LDs")</f>
        <v> </v>
      </c>
    </row>
    <row r="192" customFormat="false" ht="12.75" hidden="false" customHeight="false" outlineLevel="0" collapsed="false">
      <c r="B192" s="1516" t="n">
        <v>41640</v>
      </c>
      <c r="C192" s="1075" t="n">
        <f aca="false">IF(B192&lt;PPA_COD_PhII,$D$6,IF(B192&lt;$C$9,$D$7,$D$9))</f>
        <v>480</v>
      </c>
      <c r="D192" s="1075" t="n">
        <f aca="false">IF(B192&lt;$F$8,$G$6,IF(B192&lt;$F$9,$G$8,$G$9))</f>
        <v>480</v>
      </c>
      <c r="E192" s="1517" t="n">
        <v>0.92</v>
      </c>
      <c r="F192" s="1518" t="n">
        <f aca="false">IF(OR(B192&lt;$F$8,$F$9&lt;=B192),MIN($E$6,D192/C192),$H$8)</f>
        <v>0.92</v>
      </c>
      <c r="G192" s="1517" t="n">
        <f aca="false">SUM(F180:F191)/12</f>
        <v>0.92</v>
      </c>
      <c r="H192" s="1075" t="str">
        <f aca="false">IF(G192&gt;=$E$6," ","LDs")</f>
        <v> </v>
      </c>
    </row>
    <row r="193" customFormat="false" ht="12.75" hidden="false" customHeight="false" outlineLevel="0" collapsed="false">
      <c r="B193" s="1516" t="n">
        <v>41671</v>
      </c>
      <c r="C193" s="1075" t="n">
        <f aca="false">IF(B193&lt;PPA_COD_PhII,$D$6,IF(B193&lt;$C$9,$D$7,$D$9))</f>
        <v>480</v>
      </c>
      <c r="D193" s="1075" t="n">
        <f aca="false">IF(B193&lt;$F$8,$G$6,IF(B193&lt;$F$9,$G$8,$G$9))</f>
        <v>480</v>
      </c>
      <c r="E193" s="1517" t="n">
        <v>0.92</v>
      </c>
      <c r="F193" s="1518" t="n">
        <f aca="false">IF(OR(B193&lt;$F$8,$F$9&lt;=B193),MIN($E$6,D193/C193),$H$8)</f>
        <v>0.92</v>
      </c>
      <c r="G193" s="1517" t="n">
        <f aca="false">SUM(F181:F192)/12</f>
        <v>0.92</v>
      </c>
      <c r="H193" s="1075" t="str">
        <f aca="false">IF(G193&gt;=$E$6," ","LDs")</f>
        <v> </v>
      </c>
    </row>
    <row r="194" customFormat="false" ht="12.75" hidden="false" customHeight="false" outlineLevel="0" collapsed="false">
      <c r="B194" s="1516" t="n">
        <v>41699</v>
      </c>
      <c r="C194" s="1075" t="n">
        <f aca="false">IF(B194&lt;PPA_COD_PhII,$D$6,IF(B194&lt;$C$9,$D$7,$D$9))</f>
        <v>480</v>
      </c>
      <c r="D194" s="1075" t="n">
        <f aca="false">IF(B194&lt;$F$8,$G$6,IF(B194&lt;$F$9,$G$8,$G$9))</f>
        <v>480</v>
      </c>
      <c r="E194" s="1517" t="n">
        <v>0.92</v>
      </c>
      <c r="F194" s="1518" t="n">
        <f aca="false">IF(OR(B194&lt;$F$8,$F$9&lt;=B194),MIN($E$6,D194/C194),$H$8)</f>
        <v>0.92</v>
      </c>
      <c r="G194" s="1517" t="n">
        <f aca="false">SUM(F182:F193)/12</f>
        <v>0.92</v>
      </c>
      <c r="H194" s="1075" t="str">
        <f aca="false">IF(G194&gt;=$E$6," ","LDs")</f>
        <v> </v>
      </c>
    </row>
    <row r="195" customFormat="false" ht="12.75" hidden="false" customHeight="false" outlineLevel="0" collapsed="false">
      <c r="B195" s="1516" t="n">
        <v>41730</v>
      </c>
      <c r="C195" s="1075" t="n">
        <f aca="false">IF(B195&lt;PPA_COD_PhII,$D$6,IF(B195&lt;$C$9,$D$7,$D$9))</f>
        <v>480</v>
      </c>
      <c r="D195" s="1075" t="n">
        <f aca="false">IF(B195&lt;$F$8,$G$6,IF(B195&lt;$F$9,$G$8,$G$9))</f>
        <v>480</v>
      </c>
      <c r="E195" s="1517" t="n">
        <v>0.92</v>
      </c>
      <c r="F195" s="1518" t="n">
        <f aca="false">IF(OR(B195&lt;$F$8,$F$9&lt;=B195),MIN($E$6,D195/C195),$H$8)</f>
        <v>0.92</v>
      </c>
      <c r="G195" s="1517" t="n">
        <f aca="false">SUM(F183:F194)/12</f>
        <v>0.92</v>
      </c>
      <c r="H195" s="1075" t="str">
        <f aca="false">IF(G195&gt;=$E$6," ","LDs")</f>
        <v> </v>
      </c>
    </row>
    <row r="196" customFormat="false" ht="12.75" hidden="false" customHeight="false" outlineLevel="0" collapsed="false">
      <c r="B196" s="1516" t="n">
        <v>41760</v>
      </c>
      <c r="C196" s="1075" t="n">
        <f aca="false">IF(B196&lt;PPA_COD_PhII,$D$6,IF(B196&lt;$C$9,$D$7,$D$9))</f>
        <v>480</v>
      </c>
      <c r="D196" s="1075" t="n">
        <f aca="false">IF(B196&lt;$F$8,$G$6,IF(B196&lt;$F$9,$G$8,$G$9))</f>
        <v>480</v>
      </c>
      <c r="E196" s="1517" t="n">
        <v>0.92</v>
      </c>
      <c r="F196" s="1518" t="n">
        <f aca="false">IF(OR(B196&lt;$F$8,$F$9&lt;=B196),MIN($E$6,D196/C196),$H$8)</f>
        <v>0.92</v>
      </c>
      <c r="G196" s="1517" t="n">
        <f aca="false">SUM(F184:F195)/12</f>
        <v>0.92</v>
      </c>
      <c r="H196" s="1075" t="str">
        <f aca="false">IF(G196&gt;=$E$6," ","LDs")</f>
        <v> </v>
      </c>
    </row>
    <row r="197" customFormat="false" ht="12.75" hidden="false" customHeight="false" outlineLevel="0" collapsed="false">
      <c r="B197" s="1516" t="n">
        <v>41791</v>
      </c>
      <c r="C197" s="1075" t="n">
        <f aca="false">IF(B197&lt;PPA_COD_PhII,$D$6,IF(B197&lt;$C$9,$D$7,$D$9))</f>
        <v>480</v>
      </c>
      <c r="D197" s="1075" t="n">
        <f aca="false">IF(B197&lt;$F$8,$G$6,IF(B197&lt;$F$9,$G$8,$G$9))</f>
        <v>480</v>
      </c>
      <c r="E197" s="1517" t="n">
        <v>0.92</v>
      </c>
      <c r="F197" s="1518" t="n">
        <f aca="false">IF(OR(B197&lt;$F$8,$F$9&lt;=B197),MIN($E$6,D197/C197),$H$8)</f>
        <v>0.92</v>
      </c>
      <c r="G197" s="1517" t="n">
        <f aca="false">SUM(F185:F196)/12</f>
        <v>0.92</v>
      </c>
      <c r="H197" s="1075" t="str">
        <f aca="false">IF(G197&gt;=$E$6," ","LDs")</f>
        <v> </v>
      </c>
    </row>
    <row r="198" customFormat="false" ht="12.75" hidden="false" customHeight="false" outlineLevel="0" collapsed="false">
      <c r="B198" s="1516" t="n">
        <v>41821</v>
      </c>
      <c r="C198" s="1075" t="n">
        <f aca="false">IF(B198&lt;PPA_COD_PhII,$D$6,IF(B198&lt;$C$9,$D$7,$D$9))</f>
        <v>480</v>
      </c>
      <c r="D198" s="1075" t="n">
        <f aca="false">IF(B198&lt;$F$8,$G$6,IF(B198&lt;$F$9,$G$8,$G$9))</f>
        <v>480</v>
      </c>
      <c r="E198" s="1517" t="n">
        <v>0.92</v>
      </c>
      <c r="F198" s="1518" t="n">
        <f aca="false">IF(OR(B198&lt;$F$8,$F$9&lt;=B198),MIN($E$6,D198/C198),$H$8)</f>
        <v>0.92</v>
      </c>
      <c r="G198" s="1517" t="n">
        <f aca="false">SUM(F186:F197)/12</f>
        <v>0.92</v>
      </c>
      <c r="H198" s="1075" t="str">
        <f aca="false">IF(G198&gt;=$E$6," ","LDs")</f>
        <v> </v>
      </c>
    </row>
    <row r="199" customFormat="false" ht="12.75" hidden="false" customHeight="false" outlineLevel="0" collapsed="false">
      <c r="B199" s="1516" t="n">
        <v>41852</v>
      </c>
      <c r="C199" s="1075" t="n">
        <f aca="false">IF(B199&lt;PPA_COD_PhII,$D$6,IF(B199&lt;$C$9,$D$7,$D$9))</f>
        <v>480</v>
      </c>
      <c r="D199" s="1075" t="n">
        <f aca="false">IF(B199&lt;$F$8,$G$6,IF(B199&lt;$F$9,$G$8,$G$9))</f>
        <v>480</v>
      </c>
      <c r="E199" s="1517" t="n">
        <v>0.92</v>
      </c>
      <c r="F199" s="1518" t="n">
        <f aca="false">IF(OR(B199&lt;$F$8,$F$9&lt;=B199),MIN($E$6,D199/C199),$H$8)</f>
        <v>0.92</v>
      </c>
      <c r="G199" s="1517" t="n">
        <f aca="false">SUM(F187:F198)/12</f>
        <v>0.92</v>
      </c>
      <c r="H199" s="1075" t="str">
        <f aca="false">IF(G199&gt;=$E$6," ","LDs")</f>
        <v> </v>
      </c>
    </row>
    <row r="200" customFormat="false" ht="12.75" hidden="false" customHeight="false" outlineLevel="0" collapsed="false">
      <c r="B200" s="1516" t="n">
        <v>41883</v>
      </c>
      <c r="C200" s="1075" t="n">
        <f aca="false">IF(B200&lt;PPA_COD_PhII,$D$6,IF(B200&lt;$C$9,$D$7,$D$9))</f>
        <v>480</v>
      </c>
      <c r="D200" s="1075" t="n">
        <f aca="false">IF(B200&lt;$F$8,$G$6,IF(B200&lt;$F$9,$G$8,$G$9))</f>
        <v>480</v>
      </c>
      <c r="E200" s="1517" t="n">
        <v>0.92</v>
      </c>
      <c r="F200" s="1518" t="n">
        <f aca="false">IF(OR(B200&lt;$F$8,$F$9&lt;=B200),MIN($E$6,D200/C200),$H$8)</f>
        <v>0.92</v>
      </c>
      <c r="G200" s="1517" t="n">
        <f aca="false">SUM(F188:F199)/12</f>
        <v>0.92</v>
      </c>
      <c r="H200" s="1075" t="str">
        <f aca="false">IF(G200&gt;=$E$6," ","LDs")</f>
        <v> </v>
      </c>
    </row>
    <row r="201" customFormat="false" ht="12.75" hidden="false" customHeight="false" outlineLevel="0" collapsed="false">
      <c r="B201" s="1516" t="n">
        <v>41913</v>
      </c>
      <c r="C201" s="1075" t="n">
        <f aca="false">IF(B201&lt;PPA_COD_PhII,$D$6,IF(B201&lt;$C$9,$D$7,$D$9))</f>
        <v>480</v>
      </c>
      <c r="D201" s="1075" t="n">
        <f aca="false">IF(B201&lt;$F$8,$G$6,IF(B201&lt;$F$9,$G$8,$G$9))</f>
        <v>480</v>
      </c>
      <c r="E201" s="1517" t="n">
        <v>0.92</v>
      </c>
      <c r="F201" s="1518" t="n">
        <f aca="false">IF(OR(B201&lt;$F$8,$F$9&lt;=B201),MIN($E$6,D201/C201),$H$8)</f>
        <v>0.92</v>
      </c>
      <c r="G201" s="1517" t="n">
        <f aca="false">SUM(F189:F200)/12</f>
        <v>0.92</v>
      </c>
      <c r="H201" s="1075" t="str">
        <f aca="false">IF(G201&gt;=$E$6," ","LDs")</f>
        <v> </v>
      </c>
    </row>
    <row r="202" customFormat="false" ht="12.75" hidden="false" customHeight="false" outlineLevel="0" collapsed="false">
      <c r="B202" s="1516" t="n">
        <v>41944</v>
      </c>
      <c r="C202" s="1075" t="n">
        <f aca="false">IF(B202&lt;PPA_COD_PhII,$D$6,IF(B202&lt;$C$9,$D$7,$D$9))</f>
        <v>480</v>
      </c>
      <c r="D202" s="1075" t="n">
        <f aca="false">IF(B202&lt;$F$8,$G$6,IF(B202&lt;$F$9,$G$8,$G$9))</f>
        <v>480</v>
      </c>
      <c r="E202" s="1517" t="n">
        <v>0.92</v>
      </c>
      <c r="F202" s="1518" t="n">
        <f aca="false">IF(OR(B202&lt;$F$8,$F$9&lt;=B202),MIN($E$6,D202/C202),$H$8)</f>
        <v>0.92</v>
      </c>
      <c r="G202" s="1517" t="n">
        <f aca="false">SUM(F190:F201)/12</f>
        <v>0.92</v>
      </c>
      <c r="H202" s="1075" t="str">
        <f aca="false">IF(G202&gt;=$E$6," ","LDs")</f>
        <v> </v>
      </c>
    </row>
    <row r="203" customFormat="false" ht="12.75" hidden="false" customHeight="false" outlineLevel="0" collapsed="false">
      <c r="B203" s="1516" t="n">
        <v>41974</v>
      </c>
      <c r="C203" s="1075" t="n">
        <f aca="false">IF(B203&lt;PPA_COD_PhII,$D$6,IF(B203&lt;$C$9,$D$7,$D$9))</f>
        <v>480</v>
      </c>
      <c r="D203" s="1075" t="n">
        <f aca="false">IF(B203&lt;$F$8,$G$6,IF(B203&lt;$F$9,$G$8,$G$9))</f>
        <v>480</v>
      </c>
      <c r="E203" s="1517" t="n">
        <v>0.92</v>
      </c>
      <c r="F203" s="1518" t="n">
        <f aca="false">IF(OR(B203&lt;$F$8,$F$9&lt;=B203),MIN($E$6,D203/C203),$H$8)</f>
        <v>0.92</v>
      </c>
      <c r="G203" s="1517" t="n">
        <f aca="false">SUM(F191:F202)/12</f>
        <v>0.92</v>
      </c>
      <c r="H203" s="1075" t="str">
        <f aca="false">IF(G203&gt;=$E$6," ","LDs")</f>
        <v> </v>
      </c>
    </row>
    <row r="204" customFormat="false" ht="12.75" hidden="false" customHeight="false" outlineLevel="0" collapsed="false">
      <c r="B204" s="1516" t="n">
        <v>42005</v>
      </c>
      <c r="C204" s="1075" t="n">
        <f aca="false">IF(B204&lt;PPA_COD_PhII,$D$6,IF(B204&lt;$C$9,$D$7,$D$9))</f>
        <v>480</v>
      </c>
      <c r="D204" s="1075" t="n">
        <f aca="false">IF(B204&lt;$F$8,$G$6,IF(B204&lt;$F$9,$G$8,$G$9))</f>
        <v>480</v>
      </c>
      <c r="E204" s="1517" t="n">
        <v>0.92</v>
      </c>
      <c r="F204" s="1518" t="n">
        <f aca="false">IF(OR(B204&lt;$F$8,$F$9&lt;=B204),MIN($E$6,D204/C204),$H$8)</f>
        <v>0.92</v>
      </c>
      <c r="G204" s="1517" t="n">
        <f aca="false">SUM(F192:F203)/12</f>
        <v>0.92</v>
      </c>
      <c r="H204" s="1075" t="str">
        <f aca="false">IF(G204&gt;=$E$6," ","LDs")</f>
        <v> </v>
      </c>
    </row>
    <row r="205" customFormat="false" ht="12.75" hidden="false" customHeight="false" outlineLevel="0" collapsed="false">
      <c r="B205" s="1516" t="n">
        <v>42036</v>
      </c>
      <c r="C205" s="1075" t="n">
        <f aca="false">IF(B205&lt;PPA_COD_PhII,$D$6,IF(B205&lt;$C$9,$D$7,$D$9))</f>
        <v>480</v>
      </c>
      <c r="D205" s="1075" t="n">
        <f aca="false">IF(B205&lt;$F$8,$G$6,IF(B205&lt;$F$9,$G$8,$G$9))</f>
        <v>480</v>
      </c>
      <c r="E205" s="1517" t="n">
        <v>0.92</v>
      </c>
      <c r="F205" s="1518" t="n">
        <f aca="false">IF(OR(B205&lt;$F$8,$F$9&lt;=B205),MIN($E$6,D205/C205),$H$8)</f>
        <v>0.92</v>
      </c>
      <c r="G205" s="1517" t="n">
        <f aca="false">SUM(F193:F204)/12</f>
        <v>0.92</v>
      </c>
      <c r="H205" s="1075" t="str">
        <f aca="false">IF(G205&gt;=$E$6," ","LDs")</f>
        <v> </v>
      </c>
    </row>
    <row r="206" customFormat="false" ht="12.75" hidden="false" customHeight="false" outlineLevel="0" collapsed="false">
      <c r="B206" s="1516" t="n">
        <v>42064</v>
      </c>
      <c r="C206" s="1075" t="n">
        <f aca="false">IF(B206&lt;PPA_COD_PhII,$D$6,IF(B206&lt;$C$9,$D$7,$D$9))</f>
        <v>480</v>
      </c>
      <c r="D206" s="1075" t="n">
        <f aca="false">IF(B206&lt;$F$8,$G$6,IF(B206&lt;$F$9,$G$8,$G$9))</f>
        <v>480</v>
      </c>
      <c r="E206" s="1517" t="n">
        <v>0.92</v>
      </c>
      <c r="F206" s="1518" t="n">
        <f aca="false">IF(OR(B206&lt;$F$8,$F$9&lt;=B206),MIN($E$6,D206/C206),$H$8)</f>
        <v>0.92</v>
      </c>
      <c r="G206" s="1517" t="n">
        <f aca="false">SUM(F194:F205)/12</f>
        <v>0.92</v>
      </c>
      <c r="H206" s="1075" t="str">
        <f aca="false">IF(G206&gt;=$E$6," ","LDs")</f>
        <v> </v>
      </c>
    </row>
    <row r="207" customFormat="false" ht="12.75" hidden="false" customHeight="false" outlineLevel="0" collapsed="false">
      <c r="B207" s="1516" t="n">
        <v>42095</v>
      </c>
      <c r="C207" s="1075" t="n">
        <f aca="false">IF(B207&lt;PPA_COD_PhII,$D$6,IF(B207&lt;$C$9,$D$7,$D$9))</f>
        <v>480</v>
      </c>
      <c r="D207" s="1075" t="n">
        <f aca="false">IF(B207&lt;$F$8,$G$6,IF(B207&lt;$F$9,$G$8,$G$9))</f>
        <v>480</v>
      </c>
      <c r="E207" s="1517" t="n">
        <v>0.92</v>
      </c>
      <c r="F207" s="1518" t="n">
        <f aca="false">IF(OR(B207&lt;$F$8,$F$9&lt;=B207),MIN($E$6,D207/C207),$H$8)</f>
        <v>0.92</v>
      </c>
      <c r="G207" s="1517" t="n">
        <f aca="false">SUM(F195:F206)/12</f>
        <v>0.92</v>
      </c>
      <c r="H207" s="1075" t="str">
        <f aca="false">IF(G207&gt;=$E$6," ","LDs")</f>
        <v> </v>
      </c>
    </row>
    <row r="208" customFormat="false" ht="12.75" hidden="false" customHeight="false" outlineLevel="0" collapsed="false">
      <c r="B208" s="1516" t="n">
        <v>42125</v>
      </c>
      <c r="C208" s="1075" t="n">
        <f aca="false">IF(B208&lt;PPA_COD_PhII,$D$6,IF(B208&lt;$C$9,$D$7,$D$9))</f>
        <v>480</v>
      </c>
      <c r="D208" s="1075" t="n">
        <f aca="false">IF(B208&lt;$F$8,$G$6,IF(B208&lt;$F$9,$G$8,$G$9))</f>
        <v>480</v>
      </c>
      <c r="E208" s="1517" t="n">
        <v>0.92</v>
      </c>
      <c r="F208" s="1518" t="n">
        <f aca="false">IF(OR(B208&lt;$F$8,$F$9&lt;=B208),MIN($E$6,D208/C208),$H$8)</f>
        <v>0.92</v>
      </c>
      <c r="G208" s="1517" t="n">
        <f aca="false">SUM(F196:F207)/12</f>
        <v>0.92</v>
      </c>
      <c r="H208" s="1075" t="str">
        <f aca="false">IF(G208&gt;=$E$6," ","LDs")</f>
        <v> </v>
      </c>
    </row>
    <row r="209" customFormat="false" ht="12.75" hidden="false" customHeight="false" outlineLevel="0" collapsed="false">
      <c r="B209" s="1516" t="n">
        <v>42156</v>
      </c>
      <c r="C209" s="1075" t="n">
        <f aca="false">IF(B209&lt;PPA_COD_PhII,$D$6,IF(B209&lt;$C$9,$D$7,$D$9))</f>
        <v>480</v>
      </c>
      <c r="D209" s="1075" t="n">
        <f aca="false">IF(B209&lt;$F$8,$G$6,IF(B209&lt;$F$9,$G$8,$G$9))</f>
        <v>480</v>
      </c>
      <c r="E209" s="1517" t="n">
        <v>0.92</v>
      </c>
      <c r="F209" s="1518" t="n">
        <f aca="false">IF(OR(B209&lt;$F$8,$F$9&lt;=B209),MIN($E$6,D209/C209),$H$8)</f>
        <v>0.92</v>
      </c>
      <c r="G209" s="1517" t="n">
        <f aca="false">SUM(F197:F208)/12</f>
        <v>0.92</v>
      </c>
      <c r="H209" s="1075" t="str">
        <f aca="false">IF(G209&gt;=$E$6," ","LDs")</f>
        <v> </v>
      </c>
    </row>
    <row r="210" customFormat="false" ht="12.75" hidden="false" customHeight="false" outlineLevel="0" collapsed="false">
      <c r="B210" s="1516" t="n">
        <v>42186</v>
      </c>
      <c r="C210" s="1075" t="n">
        <f aca="false">IF(B210&lt;PPA_COD_PhII,$D$6,IF(B210&lt;$C$9,$D$7,$D$9))</f>
        <v>480</v>
      </c>
      <c r="D210" s="1075" t="n">
        <f aca="false">IF(B210&lt;$F$8,$G$6,IF(B210&lt;$F$9,$G$8,$G$9))</f>
        <v>480</v>
      </c>
      <c r="E210" s="1517" t="n">
        <v>0.92</v>
      </c>
      <c r="F210" s="1518" t="n">
        <f aca="false">IF(OR(B210&lt;$F$8,$F$9&lt;=B210),MIN($E$6,D210/C210),$H$8)</f>
        <v>0.92</v>
      </c>
      <c r="G210" s="1517" t="n">
        <f aca="false">SUM(F198:F209)/12</f>
        <v>0.92</v>
      </c>
      <c r="H210" s="1075" t="str">
        <f aca="false">IF(G210&gt;=$E$6," ","LDs")</f>
        <v> </v>
      </c>
    </row>
    <row r="211" customFormat="false" ht="12.75" hidden="false" customHeight="false" outlineLevel="0" collapsed="false">
      <c r="B211" s="1516" t="n">
        <v>42217</v>
      </c>
      <c r="C211" s="1075" t="n">
        <f aca="false">IF(B211&lt;PPA_COD_PhII,$D$6,IF(B211&lt;$C$9,$D$7,$D$9))</f>
        <v>480</v>
      </c>
      <c r="D211" s="1075" t="n">
        <f aca="false">IF(B211&lt;$F$8,$G$6,IF(B211&lt;$F$9,$G$8,$G$9))</f>
        <v>480</v>
      </c>
      <c r="E211" s="1517" t="n">
        <v>0.92</v>
      </c>
      <c r="F211" s="1518" t="n">
        <f aca="false">IF(OR(B211&lt;$F$8,$F$9&lt;=B211),MIN($E$6,D211/C211),$H$8)</f>
        <v>0.92</v>
      </c>
      <c r="G211" s="1517" t="n">
        <f aca="false">SUM(F199:F210)/12</f>
        <v>0.92</v>
      </c>
      <c r="H211" s="1075" t="str">
        <f aca="false">IF(G211&gt;=$E$6," ","LDs")</f>
        <v> </v>
      </c>
    </row>
    <row r="212" customFormat="false" ht="12.75" hidden="false" customHeight="false" outlineLevel="0" collapsed="false">
      <c r="B212" s="1516" t="n">
        <v>42248</v>
      </c>
      <c r="C212" s="1075" t="n">
        <f aca="false">IF(B212&lt;PPA_COD_PhII,$D$6,IF(B212&lt;$C$9,$D$7,$D$9))</f>
        <v>480</v>
      </c>
      <c r="D212" s="1075" t="n">
        <f aca="false">IF(B212&lt;$F$8,$G$6,IF(B212&lt;$F$9,$G$8,$G$9))</f>
        <v>480</v>
      </c>
      <c r="E212" s="1517" t="n">
        <v>0.92</v>
      </c>
      <c r="F212" s="1518" t="n">
        <f aca="false">IF(OR(B212&lt;$F$8,$F$9&lt;=B212),MIN($E$6,D212/C212),$H$8)</f>
        <v>0.92</v>
      </c>
      <c r="G212" s="1517" t="n">
        <f aca="false">SUM(F200:F211)/12</f>
        <v>0.92</v>
      </c>
      <c r="H212" s="1075" t="str">
        <f aca="false">IF(G212&gt;=$E$6," ","LDs")</f>
        <v> </v>
      </c>
    </row>
    <row r="213" customFormat="false" ht="12.75" hidden="false" customHeight="false" outlineLevel="0" collapsed="false">
      <c r="B213" s="1516" t="n">
        <v>42278</v>
      </c>
      <c r="C213" s="1075" t="n">
        <f aca="false">IF(B213&lt;PPA_COD_PhII,$D$6,IF(B213&lt;$C$9,$D$7,$D$9))</f>
        <v>480</v>
      </c>
      <c r="D213" s="1075" t="n">
        <f aca="false">IF(B213&lt;$F$8,$G$6,IF(B213&lt;$F$9,$G$8,$G$9))</f>
        <v>480</v>
      </c>
      <c r="E213" s="1517" t="n">
        <v>0.92</v>
      </c>
      <c r="F213" s="1518" t="n">
        <f aca="false">IF(OR(B213&lt;$F$8,$F$9&lt;=B213),MIN($E$6,D213/C213),$H$8)</f>
        <v>0.92</v>
      </c>
      <c r="G213" s="1517" t="n">
        <f aca="false">SUM(F201:F212)/12</f>
        <v>0.92</v>
      </c>
      <c r="H213" s="1075" t="str">
        <f aca="false">IF(G213&gt;=$E$6," ","LDs")</f>
        <v> </v>
      </c>
    </row>
    <row r="214" customFormat="false" ht="12.75" hidden="false" customHeight="false" outlineLevel="0" collapsed="false">
      <c r="B214" s="1516" t="n">
        <v>42309</v>
      </c>
      <c r="C214" s="1075" t="n">
        <f aca="false">IF(B214&lt;PPA_COD_PhII,$D$6,IF(B214&lt;$C$9,$D$7,$D$9))</f>
        <v>480</v>
      </c>
      <c r="D214" s="1075" t="n">
        <f aca="false">IF(B214&lt;$F$8,$G$6,IF(B214&lt;$F$9,$G$8,$G$9))</f>
        <v>480</v>
      </c>
      <c r="E214" s="1517" t="n">
        <v>0.92</v>
      </c>
      <c r="F214" s="1518" t="n">
        <f aca="false">IF(OR(B214&lt;$F$8,$F$9&lt;=B214),MIN($E$6,D214/C214),$H$8)</f>
        <v>0.92</v>
      </c>
      <c r="G214" s="1517" t="n">
        <f aca="false">SUM(F202:F213)/12</f>
        <v>0.92</v>
      </c>
      <c r="H214" s="1075" t="str">
        <f aca="false">IF(G214&gt;=$E$6," ","LDs")</f>
        <v> </v>
      </c>
    </row>
    <row r="215" customFormat="false" ht="12.75" hidden="false" customHeight="false" outlineLevel="0" collapsed="false">
      <c r="B215" s="1516" t="n">
        <v>42339</v>
      </c>
      <c r="C215" s="1075" t="n">
        <f aca="false">IF(B215&lt;PPA_COD_PhII,$D$6,IF(B215&lt;$C$9,$D$7,$D$9))</f>
        <v>480</v>
      </c>
      <c r="D215" s="1075" t="n">
        <f aca="false">IF(B215&lt;$F$8,$G$6,IF(B215&lt;$F$9,$G$8,$G$9))</f>
        <v>480</v>
      </c>
      <c r="E215" s="1517" t="n">
        <v>0.92</v>
      </c>
      <c r="F215" s="1518" t="n">
        <f aca="false">IF(OR(B215&lt;$F$8,$F$9&lt;=B215),MIN($E$6,D215/C215),$H$8)</f>
        <v>0.92</v>
      </c>
      <c r="G215" s="1517" t="n">
        <f aca="false">SUM(F203:F214)/12</f>
        <v>0.92</v>
      </c>
      <c r="H215" s="1075" t="str">
        <f aca="false">IF(G215&gt;=$E$6," ","LDs")</f>
        <v> </v>
      </c>
    </row>
    <row r="216" customFormat="false" ht="12.75" hidden="false" customHeight="false" outlineLevel="0" collapsed="false">
      <c r="B216" s="1516" t="n">
        <v>42370</v>
      </c>
      <c r="C216" s="1075" t="n">
        <f aca="false">IF(B216&lt;PPA_COD_PhII,$D$6,IF(B216&lt;$C$9,$D$7,$D$9))</f>
        <v>480</v>
      </c>
      <c r="D216" s="1075" t="n">
        <f aca="false">IF(B216&lt;$F$8,$G$6,IF(B216&lt;$F$9,$G$8,$G$9))</f>
        <v>480</v>
      </c>
      <c r="E216" s="1517" t="n">
        <v>0.92</v>
      </c>
      <c r="F216" s="1518" t="n">
        <f aca="false">IF(OR(B216&lt;$F$8,$F$9&lt;=B216),MIN($E$6,D216/C216),$H$8)</f>
        <v>0.92</v>
      </c>
      <c r="G216" s="1517" t="n">
        <f aca="false">SUM(F204:F215)/12</f>
        <v>0.92</v>
      </c>
      <c r="H216" s="1075" t="str">
        <f aca="false">IF(G216&gt;=$E$6," ","LDs")</f>
        <v> </v>
      </c>
    </row>
    <row r="217" customFormat="false" ht="12.75" hidden="false" customHeight="false" outlineLevel="0" collapsed="false">
      <c r="B217" s="1516" t="n">
        <v>42401</v>
      </c>
      <c r="C217" s="1075" t="n">
        <f aca="false">IF(B217&lt;PPA_COD_PhII,$D$6,IF(B217&lt;$C$9,$D$7,$D$9))</f>
        <v>480</v>
      </c>
      <c r="D217" s="1075" t="n">
        <f aca="false">IF(B217&lt;$F$8,$G$6,IF(B217&lt;$F$9,$G$8,$G$9))</f>
        <v>480</v>
      </c>
      <c r="E217" s="1517" t="n">
        <v>0.92</v>
      </c>
      <c r="F217" s="1518" t="n">
        <f aca="false">IF(OR(B217&lt;$F$8,$F$9&lt;=B217),MIN($E$6,D217/C217),$H$8)</f>
        <v>0.92</v>
      </c>
      <c r="G217" s="1517" t="n">
        <f aca="false">SUM(F205:F216)/12</f>
        <v>0.92</v>
      </c>
      <c r="H217" s="1075" t="str">
        <f aca="false">IF(G217&gt;=$E$6," ","LDs")</f>
        <v> </v>
      </c>
    </row>
    <row r="218" customFormat="false" ht="12.75" hidden="false" customHeight="false" outlineLevel="0" collapsed="false">
      <c r="B218" s="1516" t="n">
        <v>42430</v>
      </c>
      <c r="C218" s="1075" t="n">
        <f aca="false">IF(B218&lt;PPA_COD_PhII,$D$6,IF(B218&lt;$C$9,$D$7,$D$9))</f>
        <v>480</v>
      </c>
      <c r="D218" s="1075" t="n">
        <f aca="false">IF(B218&lt;$F$8,$G$6,IF(B218&lt;$F$9,$G$8,$G$9))</f>
        <v>480</v>
      </c>
      <c r="E218" s="1517" t="n">
        <v>0.92</v>
      </c>
      <c r="F218" s="1518" t="n">
        <f aca="false">IF(OR(B218&lt;$F$8,$F$9&lt;=B218),MIN($E$6,D218/C218),$H$8)</f>
        <v>0.92</v>
      </c>
      <c r="G218" s="1517" t="n">
        <f aca="false">SUM(F206:F217)/12</f>
        <v>0.92</v>
      </c>
      <c r="H218" s="1075" t="str">
        <f aca="false">IF(G218&gt;=$E$6," ","LDs")</f>
        <v> </v>
      </c>
    </row>
    <row r="219" customFormat="false" ht="12.75" hidden="false" customHeight="false" outlineLevel="0" collapsed="false">
      <c r="B219" s="1516" t="n">
        <v>42461</v>
      </c>
      <c r="C219" s="1075" t="n">
        <f aca="false">IF(B219&lt;PPA_COD_PhII,$D$6,IF(B219&lt;$C$9,$D$7,$D$9))</f>
        <v>480</v>
      </c>
      <c r="D219" s="1075" t="n">
        <f aca="false">IF(B219&lt;$F$8,$G$6,IF(B219&lt;$F$9,$G$8,$G$9))</f>
        <v>480</v>
      </c>
      <c r="E219" s="1517" t="n">
        <v>0.92</v>
      </c>
      <c r="F219" s="1518" t="n">
        <f aca="false">IF(OR(B219&lt;$F$8,$F$9&lt;=B219),MIN($E$6,D219/C219),$H$8)</f>
        <v>0.92</v>
      </c>
      <c r="G219" s="1517" t="n">
        <f aca="false">SUM(F207:F218)/12</f>
        <v>0.92</v>
      </c>
      <c r="H219" s="1075" t="str">
        <f aca="false">IF(G219&gt;=$E$6," ","LDs")</f>
        <v> </v>
      </c>
    </row>
    <row r="220" customFormat="false" ht="12.75" hidden="false" customHeight="false" outlineLevel="0" collapsed="false">
      <c r="B220" s="1516" t="n">
        <v>42491</v>
      </c>
      <c r="C220" s="1075" t="n">
        <f aca="false">IF(B220&lt;PPA_COD_PhII,$D$6,IF(B220&lt;$C$9,$D$7,$D$9))</f>
        <v>480</v>
      </c>
      <c r="D220" s="1075" t="n">
        <f aca="false">IF(B220&lt;$F$8,$G$6,IF(B220&lt;$F$9,$G$8,$G$9))</f>
        <v>480</v>
      </c>
      <c r="E220" s="1517" t="n">
        <v>0.92</v>
      </c>
      <c r="F220" s="1518" t="n">
        <f aca="false">IF(OR(B220&lt;$F$8,$F$9&lt;=B220),MIN($E$6,D220/C220),$H$8)</f>
        <v>0.92</v>
      </c>
      <c r="G220" s="1517" t="n">
        <f aca="false">SUM(F208:F219)/12</f>
        <v>0.92</v>
      </c>
      <c r="H220" s="1075" t="str">
        <f aca="false">IF(G220&gt;=$E$6," ","LDs")</f>
        <v> </v>
      </c>
    </row>
    <row r="221" customFormat="false" ht="12.75" hidden="false" customHeight="false" outlineLevel="0" collapsed="false">
      <c r="B221" s="1516" t="n">
        <v>42522</v>
      </c>
      <c r="C221" s="1075" t="n">
        <f aca="false">IF(B221&lt;PPA_COD_PhII,$D$6,IF(B221&lt;$C$9,$D$7,$D$9))</f>
        <v>480</v>
      </c>
      <c r="D221" s="1075" t="n">
        <f aca="false">IF(B221&lt;$F$8,$G$6,IF(B221&lt;$F$9,$G$8,$G$9))</f>
        <v>480</v>
      </c>
      <c r="E221" s="1517" t="n">
        <v>0.92</v>
      </c>
      <c r="F221" s="1518" t="n">
        <f aca="false">IF(OR(B221&lt;$F$8,$F$9&lt;=B221),MIN($E$6,D221/C221),$H$8)</f>
        <v>0.92</v>
      </c>
      <c r="G221" s="1517" t="n">
        <f aca="false">SUM(F209:F220)/12</f>
        <v>0.92</v>
      </c>
      <c r="H221" s="1075" t="str">
        <f aca="false">IF(G221&gt;=$E$6," ","LDs")</f>
        <v> </v>
      </c>
    </row>
    <row r="222" customFormat="false" ht="12.75" hidden="false" customHeight="false" outlineLevel="0" collapsed="false">
      <c r="B222" s="1516" t="n">
        <v>42552</v>
      </c>
      <c r="C222" s="1075" t="n">
        <f aca="false">IF(B222&lt;PPA_COD_PhII,$D$6,IF(B222&lt;$C$9,$D$7,$D$9))</f>
        <v>480</v>
      </c>
      <c r="D222" s="1075" t="n">
        <f aca="false">IF(B222&lt;$F$8,$G$6,IF(B222&lt;$F$9,$G$8,$G$9))</f>
        <v>480</v>
      </c>
      <c r="E222" s="1517" t="n">
        <v>0.92</v>
      </c>
      <c r="F222" s="1518" t="n">
        <f aca="false">IF(OR(B222&lt;$F$8,$F$9&lt;=B222),MIN($E$6,D222/C222),$H$8)</f>
        <v>0.92</v>
      </c>
      <c r="G222" s="1517" t="n">
        <f aca="false">SUM(F210:F221)/12</f>
        <v>0.92</v>
      </c>
      <c r="H222" s="1075" t="str">
        <f aca="false">IF(G222&gt;=$E$6," ","LDs")</f>
        <v> </v>
      </c>
    </row>
    <row r="223" customFormat="false" ht="12.75" hidden="false" customHeight="false" outlineLevel="0" collapsed="false">
      <c r="B223" s="1516" t="n">
        <v>42583</v>
      </c>
      <c r="C223" s="1075" t="n">
        <f aca="false">IF(B223&lt;PPA_COD_PhII,$D$6,IF(B223&lt;$C$9,$D$7,$D$9))</f>
        <v>480</v>
      </c>
      <c r="D223" s="1075" t="n">
        <f aca="false">IF(B223&lt;$F$8,$G$6,IF(B223&lt;$F$9,$G$8,$G$9))</f>
        <v>480</v>
      </c>
      <c r="E223" s="1517" t="n">
        <v>0.92</v>
      </c>
      <c r="F223" s="1518" t="n">
        <f aca="false">IF(OR(B223&lt;$F$8,$F$9&lt;=B223),MIN($E$6,D223/C223),$H$8)</f>
        <v>0.92</v>
      </c>
      <c r="G223" s="1517" t="n">
        <f aca="false">SUM(F211:F222)/12</f>
        <v>0.92</v>
      </c>
      <c r="H223" s="1075" t="str">
        <f aca="false">IF(G223&gt;=$E$6," ","LDs")</f>
        <v> </v>
      </c>
    </row>
    <row r="224" customFormat="false" ht="12.75" hidden="false" customHeight="false" outlineLevel="0" collapsed="false">
      <c r="B224" s="1516" t="n">
        <v>42614</v>
      </c>
      <c r="C224" s="1075" t="n">
        <f aca="false">IF(B224&lt;PPA_COD_PhII,$D$6,IF(B224&lt;$C$9,$D$7,$D$9))</f>
        <v>480</v>
      </c>
      <c r="D224" s="1075" t="n">
        <f aca="false">IF(B224&lt;$F$8,$G$6,IF(B224&lt;$F$9,$G$8,$G$9))</f>
        <v>480</v>
      </c>
      <c r="E224" s="1517" t="n">
        <v>0.92</v>
      </c>
      <c r="F224" s="1518" t="n">
        <f aca="false">IF(OR(B224&lt;$F$8,$F$9&lt;=B224),MIN($E$6,D224/C224),$H$8)</f>
        <v>0.92</v>
      </c>
      <c r="G224" s="1517" t="n">
        <f aca="false">SUM(F212:F223)/12</f>
        <v>0.92</v>
      </c>
      <c r="H224" s="1075" t="str">
        <f aca="false">IF(G224&gt;=$E$6," ","LDs")</f>
        <v> </v>
      </c>
    </row>
    <row r="225" customFormat="false" ht="12.75" hidden="false" customHeight="false" outlineLevel="0" collapsed="false">
      <c r="B225" s="1516" t="n">
        <v>42644</v>
      </c>
      <c r="C225" s="1075" t="n">
        <f aca="false">IF(B225&lt;PPA_COD_PhII,$D$6,IF(B225&lt;$C$9,$D$7,$D$9))</f>
        <v>480</v>
      </c>
      <c r="D225" s="1075" t="n">
        <f aca="false">IF(B225&lt;$F$8,$G$6,IF(B225&lt;$F$9,$G$8,$G$9))</f>
        <v>480</v>
      </c>
      <c r="E225" s="1517" t="n">
        <v>0.92</v>
      </c>
      <c r="F225" s="1518" t="n">
        <f aca="false">IF(OR(B225&lt;$F$8,$F$9&lt;=B225),MIN($E$6,D225/C225),$H$8)</f>
        <v>0.92</v>
      </c>
      <c r="G225" s="1517" t="n">
        <f aca="false">SUM(F213:F224)/12</f>
        <v>0.92</v>
      </c>
      <c r="H225" s="1075" t="str">
        <f aca="false">IF(G225&gt;=$E$6," ","LDs")</f>
        <v> </v>
      </c>
    </row>
    <row r="226" customFormat="false" ht="12.75" hidden="false" customHeight="false" outlineLevel="0" collapsed="false">
      <c r="B226" s="1516" t="n">
        <v>42675</v>
      </c>
      <c r="C226" s="1075" t="n">
        <f aca="false">IF(B226&lt;PPA_COD_PhII,$D$6,IF(B226&lt;$C$9,$D$7,$D$9))</f>
        <v>480</v>
      </c>
      <c r="D226" s="1075" t="n">
        <f aca="false">IF(B226&lt;$F$8,$G$6,IF(B226&lt;$F$9,$G$8,$G$9))</f>
        <v>480</v>
      </c>
      <c r="E226" s="1517" t="n">
        <v>0.92</v>
      </c>
      <c r="F226" s="1518" t="n">
        <f aca="false">IF(OR(B226&lt;$F$8,$F$9&lt;=B226),MIN($E$6,D226/C226),$H$8)</f>
        <v>0.92</v>
      </c>
      <c r="G226" s="1517" t="n">
        <f aca="false">SUM(F214:F225)/12</f>
        <v>0.92</v>
      </c>
      <c r="H226" s="1075" t="str">
        <f aca="false">IF(G226&gt;=$E$6," ","LDs")</f>
        <v> </v>
      </c>
    </row>
    <row r="227" customFormat="false" ht="12.75" hidden="false" customHeight="false" outlineLevel="0" collapsed="false">
      <c r="B227" s="1516" t="n">
        <v>42705</v>
      </c>
      <c r="C227" s="1075" t="n">
        <f aca="false">IF(B227&lt;PPA_COD_PhII,$D$6,IF(B227&lt;$C$9,$D$7,$D$9))</f>
        <v>480</v>
      </c>
      <c r="D227" s="1075" t="n">
        <f aca="false">IF(B227&lt;$F$8,$G$6,IF(B227&lt;$F$9,$G$8,$G$9))</f>
        <v>480</v>
      </c>
      <c r="E227" s="1517" t="n">
        <v>0.92</v>
      </c>
      <c r="F227" s="1518" t="n">
        <f aca="false">IF(OR(B227&lt;$F$8,$F$9&lt;=B227),MIN($E$6,D227/C227),$H$8)</f>
        <v>0.92</v>
      </c>
      <c r="G227" s="1517" t="n">
        <f aca="false">SUM(F215:F226)/12</f>
        <v>0.92</v>
      </c>
      <c r="H227" s="1075" t="str">
        <f aca="false">IF(G227&gt;=$E$6," ","LDs")</f>
        <v> </v>
      </c>
    </row>
    <row r="228" customFormat="false" ht="12.75" hidden="false" customHeight="false" outlineLevel="0" collapsed="false">
      <c r="B228" s="1516" t="n">
        <v>42736</v>
      </c>
      <c r="C228" s="1075" t="n">
        <f aca="false">IF(B228&lt;PPA_COD_PhII,$D$6,IF(B228&lt;$C$9,$D$7,$D$9))</f>
        <v>480</v>
      </c>
      <c r="D228" s="1075" t="n">
        <f aca="false">IF(B228&lt;$F$8,$G$6,IF(B228&lt;$F$9,$G$8,$G$9))</f>
        <v>480</v>
      </c>
      <c r="E228" s="1517" t="n">
        <v>0.92</v>
      </c>
      <c r="F228" s="1518" t="n">
        <f aca="false">IF(OR(B228&lt;$F$8,$F$9&lt;=B228),MIN($E$6,D228/C228),$H$8)</f>
        <v>0.92</v>
      </c>
      <c r="G228" s="1517" t="n">
        <f aca="false">SUM(F216:F227)/12</f>
        <v>0.92</v>
      </c>
      <c r="H228" s="1075" t="str">
        <f aca="false">IF(G228&gt;=$E$6," ","LDs")</f>
        <v> </v>
      </c>
    </row>
    <row r="229" customFormat="false" ht="12.75" hidden="false" customHeight="false" outlineLevel="0" collapsed="false">
      <c r="B229" s="1516" t="n">
        <v>42767</v>
      </c>
      <c r="C229" s="1075" t="n">
        <f aca="false">IF(B229&lt;PPA_COD_PhII,$D$6,IF(B229&lt;$C$9,$D$7,$D$9))</f>
        <v>480</v>
      </c>
      <c r="D229" s="1075" t="n">
        <f aca="false">IF(B229&lt;$F$8,$G$6,IF(B229&lt;$F$9,$G$8,$G$9))</f>
        <v>480</v>
      </c>
      <c r="E229" s="1517" t="n">
        <v>0.92</v>
      </c>
      <c r="F229" s="1518" t="n">
        <f aca="false">IF(OR(B229&lt;$F$8,$F$9&lt;=B229),MIN($E$6,D229/C229),$H$8)</f>
        <v>0.92</v>
      </c>
      <c r="G229" s="1517" t="n">
        <f aca="false">SUM(F217:F228)/12</f>
        <v>0.92</v>
      </c>
      <c r="H229" s="1075" t="str">
        <f aca="false">IF(G229&gt;=$E$6," ","LDs")</f>
        <v> </v>
      </c>
    </row>
    <row r="230" customFormat="false" ht="12.75" hidden="false" customHeight="false" outlineLevel="0" collapsed="false">
      <c r="B230" s="1516" t="n">
        <v>42795</v>
      </c>
      <c r="C230" s="1075" t="n">
        <f aca="false">IF(B230&lt;PPA_COD_PhII,$D$6,IF(B230&lt;$C$9,$D$7,$D$9))</f>
        <v>480</v>
      </c>
      <c r="D230" s="1075" t="n">
        <f aca="false">IF(B230&lt;$F$8,$G$6,IF(B230&lt;$F$9,$G$8,$G$9))</f>
        <v>480</v>
      </c>
      <c r="E230" s="1517" t="n">
        <v>0.92</v>
      </c>
      <c r="F230" s="1518" t="n">
        <f aca="false">IF(OR(B230&lt;$F$8,$F$9&lt;=B230),MIN($E$6,D230/C230),$H$8)</f>
        <v>0.92</v>
      </c>
      <c r="G230" s="1517" t="n">
        <f aca="false">SUM(F218:F229)/12</f>
        <v>0.92</v>
      </c>
      <c r="H230" s="1075" t="str">
        <f aca="false">IF(G230&gt;=$E$6," ","LDs")</f>
        <v> </v>
      </c>
    </row>
    <row r="231" customFormat="false" ht="12.75" hidden="false" customHeight="false" outlineLevel="0" collapsed="false">
      <c r="B231" s="1516" t="n">
        <v>42826</v>
      </c>
      <c r="C231" s="1075" t="n">
        <f aca="false">IF(B231&lt;PPA_COD_PhII,$D$6,IF(B231&lt;$C$9,$D$7,$D$9))</f>
        <v>480</v>
      </c>
      <c r="D231" s="1075" t="n">
        <f aca="false">IF(B231&lt;$F$8,$G$6,IF(B231&lt;$F$9,$G$8,$G$9))</f>
        <v>480</v>
      </c>
      <c r="E231" s="1517" t="n">
        <v>0.92</v>
      </c>
      <c r="F231" s="1518" t="n">
        <f aca="false">IF(OR(B231&lt;$F$8,$F$9&lt;=B231),MIN($E$6,D231/C231),$H$8)</f>
        <v>0.92</v>
      </c>
      <c r="G231" s="1517" t="n">
        <f aca="false">SUM(F219:F230)/12</f>
        <v>0.92</v>
      </c>
      <c r="H231" s="1075" t="str">
        <f aca="false">IF(G231&gt;=$E$6," ","LDs")</f>
        <v> </v>
      </c>
    </row>
    <row r="232" customFormat="false" ht="12.75" hidden="false" customHeight="false" outlineLevel="0" collapsed="false">
      <c r="B232" s="1516" t="n">
        <v>42856</v>
      </c>
      <c r="C232" s="1075" t="n">
        <f aca="false">IF(B232&lt;PPA_COD_PhII,$D$6,IF(B232&lt;$C$9,$D$7,$D$9))</f>
        <v>480</v>
      </c>
      <c r="D232" s="1075" t="n">
        <f aca="false">IF(B232&lt;$F$8,$G$6,IF(B232&lt;$F$9,$G$8,$G$9))</f>
        <v>480</v>
      </c>
      <c r="E232" s="1517" t="n">
        <v>0.92</v>
      </c>
      <c r="F232" s="1518" t="n">
        <f aca="false">IF(OR(B232&lt;$F$8,$F$9&lt;=B232),MIN($E$6,D232/C232),$H$8)</f>
        <v>0.92</v>
      </c>
      <c r="G232" s="1517" t="n">
        <f aca="false">SUM(F220:F231)/12</f>
        <v>0.92</v>
      </c>
      <c r="H232" s="1075" t="str">
        <f aca="false">IF(G232&gt;=$E$6," ","LDs")</f>
        <v> </v>
      </c>
    </row>
    <row r="233" customFormat="false" ht="12.75" hidden="false" customHeight="false" outlineLevel="0" collapsed="false">
      <c r="B233" s="1516" t="n">
        <v>42887</v>
      </c>
      <c r="C233" s="1075" t="n">
        <f aca="false">IF(B233&lt;PPA_COD_PhII,$D$6,IF(B233&lt;$C$9,$D$7,$D$9))</f>
        <v>480</v>
      </c>
      <c r="D233" s="1075" t="n">
        <f aca="false">IF(B233&lt;$F$8,$G$6,IF(B233&lt;$F$9,$G$8,$G$9))</f>
        <v>480</v>
      </c>
      <c r="E233" s="1517" t="n">
        <v>0.92</v>
      </c>
      <c r="F233" s="1518" t="n">
        <f aca="false">IF(OR(B233&lt;$F$8,$F$9&lt;=B233),MIN($E$6,D233/C233),$H$8)</f>
        <v>0.92</v>
      </c>
      <c r="G233" s="1517" t="n">
        <f aca="false">SUM(F221:F232)/12</f>
        <v>0.92</v>
      </c>
      <c r="H233" s="1075" t="str">
        <f aca="false">IF(G233&gt;=$E$6," ","LDs")</f>
        <v> </v>
      </c>
    </row>
    <row r="234" customFormat="false" ht="12.75" hidden="false" customHeight="false" outlineLevel="0" collapsed="false">
      <c r="B234" s="1516" t="n">
        <v>42917</v>
      </c>
      <c r="C234" s="1075" t="n">
        <f aca="false">IF(B234&lt;PPA_COD_PhII,$D$6,IF(B234&lt;$C$9,$D$7,$D$9))</f>
        <v>480</v>
      </c>
      <c r="D234" s="1075" t="n">
        <f aca="false">IF(B234&lt;$F$8,$G$6,IF(B234&lt;$F$9,$G$8,$G$9))</f>
        <v>480</v>
      </c>
      <c r="E234" s="1517" t="n">
        <v>0.92</v>
      </c>
      <c r="F234" s="1518" t="n">
        <f aca="false">IF(OR(B234&lt;$F$8,$F$9&lt;=B234),MIN($E$6,D234/C234),$H$8)</f>
        <v>0.92</v>
      </c>
      <c r="G234" s="1517" t="n">
        <f aca="false">SUM(F222:F233)/12</f>
        <v>0.92</v>
      </c>
      <c r="H234" s="1075" t="str">
        <f aca="false">IF(G234&gt;=$E$6," ","LDs")</f>
        <v> </v>
      </c>
    </row>
    <row r="235" customFormat="false" ht="12.75" hidden="false" customHeight="false" outlineLevel="0" collapsed="false">
      <c r="B235" s="1516" t="n">
        <v>42948</v>
      </c>
      <c r="C235" s="1075" t="n">
        <f aca="false">IF(B235&lt;PPA_COD_PhII,$D$6,IF(B235&lt;$C$9,$D$7,$D$9))</f>
        <v>480</v>
      </c>
      <c r="D235" s="1075" t="n">
        <f aca="false">IF(B235&lt;$F$8,$G$6,IF(B235&lt;$F$9,$G$8,$G$9))</f>
        <v>480</v>
      </c>
      <c r="E235" s="1517" t="n">
        <v>0.92</v>
      </c>
      <c r="F235" s="1518" t="n">
        <f aca="false">IF(OR(B235&lt;$F$8,$F$9&lt;=B235),MIN($E$6,D235/C235),$H$8)</f>
        <v>0.92</v>
      </c>
      <c r="G235" s="1517" t="n">
        <f aca="false">SUM(F223:F234)/12</f>
        <v>0.92</v>
      </c>
      <c r="H235" s="1075" t="str">
        <f aca="false">IF(G235&gt;=$E$6," ","LDs")</f>
        <v> </v>
      </c>
    </row>
    <row r="236" customFormat="false" ht="12.75" hidden="false" customHeight="false" outlineLevel="0" collapsed="false">
      <c r="B236" s="1516" t="n">
        <v>42979</v>
      </c>
      <c r="C236" s="1075" t="n">
        <f aca="false">IF(B236&lt;PPA_COD_PhII,$D$6,IF(B236&lt;$C$9,$D$7,$D$9))</f>
        <v>480</v>
      </c>
      <c r="D236" s="1075" t="n">
        <f aca="false">IF(B236&lt;$F$8,$G$6,IF(B236&lt;$F$9,$G$8,$G$9))</f>
        <v>480</v>
      </c>
      <c r="E236" s="1517" t="n">
        <v>0.92</v>
      </c>
      <c r="F236" s="1518" t="n">
        <f aca="false">IF(OR(B236&lt;$F$8,$F$9&lt;=B236),MIN($E$6,D236/C236),$H$8)</f>
        <v>0.92</v>
      </c>
      <c r="G236" s="1517" t="n">
        <f aca="false">SUM(F224:F235)/12</f>
        <v>0.92</v>
      </c>
      <c r="H236" s="1075" t="str">
        <f aca="false">IF(G236&gt;=$E$6," ","LDs")</f>
        <v> </v>
      </c>
    </row>
    <row r="237" customFormat="false" ht="12.75" hidden="false" customHeight="false" outlineLevel="0" collapsed="false">
      <c r="B237" s="1516" t="n">
        <v>43009</v>
      </c>
      <c r="C237" s="1075" t="n">
        <f aca="false">IF(B237&lt;PPA_COD_PhII,$D$6,IF(B237&lt;$C$9,$D$7,$D$9))</f>
        <v>480</v>
      </c>
      <c r="D237" s="1075" t="n">
        <f aca="false">IF(B237&lt;$F$8,$G$6,IF(B237&lt;$F$9,$G$8,$G$9))</f>
        <v>480</v>
      </c>
      <c r="E237" s="1517" t="n">
        <v>0.92</v>
      </c>
      <c r="F237" s="1518" t="n">
        <f aca="false">IF(OR(B237&lt;$F$8,$F$9&lt;=B237),MIN($E$6,D237/C237),$H$8)</f>
        <v>0.92</v>
      </c>
      <c r="G237" s="1517" t="n">
        <f aca="false">SUM(F225:F236)/12</f>
        <v>0.92</v>
      </c>
      <c r="H237" s="1075" t="str">
        <f aca="false">IF(G237&gt;=$E$6," ","LDs")</f>
        <v> </v>
      </c>
    </row>
    <row r="238" customFormat="false" ht="12.75" hidden="false" customHeight="false" outlineLevel="0" collapsed="false">
      <c r="B238" s="1516" t="n">
        <v>43040</v>
      </c>
      <c r="C238" s="1075" t="n">
        <f aca="false">IF(B238&lt;PPA_COD_PhII,$D$6,IF(B238&lt;$C$9,$D$7,$D$9))</f>
        <v>480</v>
      </c>
      <c r="D238" s="1075" t="n">
        <f aca="false">IF(B238&lt;$F$8,$G$6,IF(B238&lt;$F$9,$G$8,$G$9))</f>
        <v>480</v>
      </c>
      <c r="E238" s="1517" t="n">
        <v>0.92</v>
      </c>
      <c r="F238" s="1518" t="n">
        <f aca="false">IF(OR(B238&lt;$F$8,$F$9&lt;=B238),MIN($E$6,D238/C238),$H$8)</f>
        <v>0.92</v>
      </c>
      <c r="G238" s="1517" t="n">
        <f aca="false">SUM(F226:F237)/12</f>
        <v>0.92</v>
      </c>
      <c r="H238" s="1075" t="str">
        <f aca="false">IF(G238&gt;=$E$6," ","LDs")</f>
        <v> </v>
      </c>
    </row>
    <row r="239" customFormat="false" ht="12.75" hidden="false" customHeight="false" outlineLevel="0" collapsed="false">
      <c r="B239" s="1516" t="n">
        <v>43070</v>
      </c>
      <c r="C239" s="1075" t="n">
        <f aca="false">IF(B239&lt;PPA_COD_PhII,$D$6,IF(B239&lt;$C$9,$D$7,$D$9))</f>
        <v>480</v>
      </c>
      <c r="D239" s="1075" t="n">
        <f aca="false">IF(B239&lt;$F$8,$G$6,IF(B239&lt;$F$9,$G$8,$G$9))</f>
        <v>480</v>
      </c>
      <c r="E239" s="1517" t="n">
        <v>0.92</v>
      </c>
      <c r="F239" s="1518" t="n">
        <f aca="false">IF(OR(B239&lt;$F$8,$F$9&lt;=B239),MIN($E$6,D239/C239),$H$8)</f>
        <v>0.92</v>
      </c>
      <c r="G239" s="1517" t="n">
        <f aca="false">SUM(F227:F238)/12</f>
        <v>0.92</v>
      </c>
      <c r="H239" s="1075" t="str">
        <f aca="false">IF(G239&gt;=$E$6," ","LDs")</f>
        <v> </v>
      </c>
    </row>
    <row r="240" customFormat="false" ht="12.75" hidden="false" customHeight="false" outlineLevel="0" collapsed="false">
      <c r="B240" s="1516" t="n">
        <v>43101</v>
      </c>
      <c r="C240" s="1075" t="n">
        <f aca="false">IF(B240&lt;PPA_COD_PhII,$D$6,IF(B240&lt;$C$9,$D$7,$D$9))</f>
        <v>480</v>
      </c>
      <c r="D240" s="1075" t="n">
        <f aca="false">IF(B240&lt;$F$8,$G$6,IF(B240&lt;$F$9,$G$8,$G$9))</f>
        <v>480</v>
      </c>
      <c r="E240" s="1517" t="n">
        <v>0.92</v>
      </c>
      <c r="F240" s="1518" t="n">
        <f aca="false">IF(OR(B240&lt;$F$8,$F$9&lt;=B240),MIN($E$6,D240/C240),$H$8)</f>
        <v>0.92</v>
      </c>
      <c r="G240" s="1517" t="n">
        <f aca="false">SUM(F228:F239)/12</f>
        <v>0.92</v>
      </c>
      <c r="H240" s="1075" t="str">
        <f aca="false">IF(G240&gt;=$E$6," ","LDs")</f>
        <v> </v>
      </c>
    </row>
    <row r="241" customFormat="false" ht="12.75" hidden="false" customHeight="false" outlineLevel="0" collapsed="false">
      <c r="B241" s="1516" t="n">
        <v>43132</v>
      </c>
      <c r="C241" s="1075" t="n">
        <f aca="false">IF(B241&lt;PPA_COD_PhII,$D$6,IF(B241&lt;$C$9,$D$7,$D$9))</f>
        <v>480</v>
      </c>
      <c r="D241" s="1075" t="n">
        <f aca="false">IF(B241&lt;$F$8,$G$6,IF(B241&lt;$F$9,$G$8,$G$9))</f>
        <v>480</v>
      </c>
      <c r="E241" s="1517" t="n">
        <v>0.92</v>
      </c>
      <c r="F241" s="1518" t="n">
        <f aca="false">IF(OR(B241&lt;$F$8,$F$9&lt;=B241),MIN($E$6,D241/C241),$H$8)</f>
        <v>0.92</v>
      </c>
      <c r="G241" s="1517" t="n">
        <f aca="false">SUM(F229:F240)/12</f>
        <v>0.92</v>
      </c>
      <c r="H241" s="1075" t="str">
        <f aca="false">IF(G241&gt;=$E$6," ","LDs")</f>
        <v> </v>
      </c>
    </row>
    <row r="242" customFormat="false" ht="12.75" hidden="false" customHeight="false" outlineLevel="0" collapsed="false">
      <c r="B242" s="1516" t="n">
        <v>43160</v>
      </c>
      <c r="C242" s="1075" t="n">
        <f aca="false">IF(B242&lt;PPA_COD_PhII,$D$6,IF(B242&lt;$C$9,$D$7,$D$9))</f>
        <v>480</v>
      </c>
      <c r="D242" s="1075" t="n">
        <f aca="false">IF(B242&lt;$F$8,$G$6,IF(B242&lt;$F$9,$G$8,$G$9))</f>
        <v>480</v>
      </c>
      <c r="E242" s="1517" t="n">
        <v>0.92</v>
      </c>
      <c r="F242" s="1518" t="n">
        <f aca="false">IF(OR(B242&lt;$F$8,$F$9&lt;=B242),MIN($E$6,D242/C242),$H$8)</f>
        <v>0.92</v>
      </c>
      <c r="G242" s="1517" t="n">
        <f aca="false">SUM(F230:F241)/12</f>
        <v>0.92</v>
      </c>
      <c r="H242" s="1075" t="str">
        <f aca="false">IF(G242&gt;=$E$6," ","LDs")</f>
        <v> </v>
      </c>
    </row>
    <row r="243" customFormat="false" ht="12.75" hidden="false" customHeight="false" outlineLevel="0" collapsed="false">
      <c r="B243" s="1516" t="n">
        <v>43191</v>
      </c>
      <c r="C243" s="1075" t="n">
        <f aca="false">IF(B243&lt;PPA_COD_PhII,$D$6,IF(B243&lt;$C$9,$D$7,$D$9))</f>
        <v>480</v>
      </c>
      <c r="D243" s="1075" t="n">
        <f aca="false">IF(B243&lt;$F$8,$G$6,IF(B243&lt;$F$9,$G$8,$G$9))</f>
        <v>480</v>
      </c>
      <c r="E243" s="1517" t="n">
        <v>0.92</v>
      </c>
      <c r="F243" s="1518" t="n">
        <f aca="false">IF(OR(B243&lt;$F$8,$F$9&lt;=B243),MIN($E$6,D243/C243),$H$8)</f>
        <v>0.92</v>
      </c>
      <c r="G243" s="1517" t="n">
        <f aca="false">SUM(F231:F242)/12</f>
        <v>0.92</v>
      </c>
      <c r="H243" s="1075" t="str">
        <f aca="false">IF(G243&gt;=$E$6," ","LDs")</f>
        <v> </v>
      </c>
    </row>
    <row r="244" customFormat="false" ht="12.75" hidden="false" customHeight="false" outlineLevel="0" collapsed="false">
      <c r="B244" s="1516" t="n">
        <v>43221</v>
      </c>
      <c r="C244" s="1075" t="n">
        <f aca="false">IF(B244&lt;PPA_COD_PhII,$D$6,IF(B244&lt;$C$9,$D$7,$D$9))</f>
        <v>480</v>
      </c>
      <c r="D244" s="1075" t="n">
        <f aca="false">IF(B244&lt;$F$8,$G$6,IF(B244&lt;$F$9,$G$8,$G$9))</f>
        <v>480</v>
      </c>
      <c r="E244" s="1517" t="n">
        <v>0.92</v>
      </c>
      <c r="F244" s="1518" t="n">
        <f aca="false">IF(OR(B244&lt;$F$8,$F$9&lt;=B244),MIN($E$6,D244/C244),$H$8)</f>
        <v>0.92</v>
      </c>
      <c r="G244" s="1517" t="n">
        <f aca="false">SUM(F232:F243)/12</f>
        <v>0.92</v>
      </c>
      <c r="H244" s="1075" t="str">
        <f aca="false">IF(G244&gt;=$E$6," ","LDs")</f>
        <v> </v>
      </c>
    </row>
    <row r="245" customFormat="false" ht="12.75" hidden="false" customHeight="false" outlineLevel="0" collapsed="false">
      <c r="B245" s="1516" t="n">
        <v>43252</v>
      </c>
      <c r="C245" s="1075" t="n">
        <f aca="false">IF(B245&lt;PPA_COD_PhII,$D$6,IF(B245&lt;$C$9,$D$7,$D$9))</f>
        <v>480</v>
      </c>
      <c r="D245" s="1075" t="n">
        <f aca="false">IF(B245&lt;$F$8,$G$6,IF(B245&lt;$F$9,$G$8,$G$9))</f>
        <v>480</v>
      </c>
      <c r="E245" s="1517" t="n">
        <v>0.92</v>
      </c>
      <c r="F245" s="1518" t="n">
        <f aca="false">IF(OR(B245&lt;$F$8,$F$9&lt;=B245),MIN($E$6,D245/C245),$H$8)</f>
        <v>0.92</v>
      </c>
      <c r="G245" s="1517" t="n">
        <f aca="false">SUM(F233:F244)/12</f>
        <v>0.92</v>
      </c>
      <c r="H245" s="1075" t="str">
        <f aca="false">IF(G245&gt;=$E$6," ","LDs")</f>
        <v> </v>
      </c>
    </row>
    <row r="246" customFormat="false" ht="12.75" hidden="false" customHeight="false" outlineLevel="0" collapsed="false">
      <c r="B246" s="1516" t="n">
        <v>43282</v>
      </c>
      <c r="C246" s="1075" t="n">
        <f aca="false">IF(B246&lt;PPA_COD_PhII,$D$6,IF(B246&lt;$C$9,$D$7,$D$9))</f>
        <v>480</v>
      </c>
      <c r="D246" s="1075" t="n">
        <f aca="false">IF(B246&lt;$F$8,$G$6,IF(B246&lt;$F$9,$G$8,$G$9))</f>
        <v>480</v>
      </c>
      <c r="E246" s="1517" t="n">
        <v>0.92</v>
      </c>
      <c r="F246" s="1518" t="n">
        <f aca="false">IF(OR(B246&lt;$F$8,$F$9&lt;=B246),MIN($E$6,D246/C246),$H$8)</f>
        <v>0.92</v>
      </c>
      <c r="G246" s="1517" t="n">
        <f aca="false">SUM(F234:F245)/12</f>
        <v>0.92</v>
      </c>
      <c r="H246" s="1075" t="str">
        <f aca="false">IF(G246&gt;=$E$6," ","LDs")</f>
        <v> </v>
      </c>
    </row>
    <row r="247" customFormat="false" ht="12.75" hidden="false" customHeight="false" outlineLevel="0" collapsed="false">
      <c r="B247" s="1516" t="n">
        <v>43313</v>
      </c>
      <c r="C247" s="1075" t="n">
        <f aca="false">IF(B247&lt;PPA_COD_PhII,$D$6,IF(B247&lt;$C$9,$D$7,$D$9))</f>
        <v>480</v>
      </c>
      <c r="D247" s="1075" t="n">
        <f aca="false">IF(B247&lt;$F$8,$G$6,IF(B247&lt;$F$9,$G$8,$G$9))</f>
        <v>480</v>
      </c>
      <c r="E247" s="1517" t="n">
        <v>0.92</v>
      </c>
      <c r="F247" s="1518" t="n">
        <f aca="false">IF(OR(B247&lt;$F$8,$F$9&lt;=B247),MIN($E$6,D247/C247),$H$8)</f>
        <v>0.92</v>
      </c>
      <c r="G247" s="1517" t="n">
        <f aca="false">SUM(F235:F246)/12</f>
        <v>0.92</v>
      </c>
      <c r="H247" s="1075" t="str">
        <f aca="false">IF(G247&gt;=$E$6," ","LDs")</f>
        <v> </v>
      </c>
    </row>
    <row r="248" customFormat="false" ht="12.75" hidden="false" customHeight="false" outlineLevel="0" collapsed="false">
      <c r="B248" s="1516" t="n">
        <v>43344</v>
      </c>
      <c r="C248" s="1075" t="n">
        <f aca="false">IF(B248&lt;PPA_COD_PhII,$D$6,IF(B248&lt;$C$9,$D$7,$D$9))</f>
        <v>480</v>
      </c>
      <c r="D248" s="1075" t="n">
        <f aca="false">IF(B248&lt;$F$8,$G$6,IF(B248&lt;$F$9,$G$8,$G$9))</f>
        <v>480</v>
      </c>
      <c r="E248" s="1517" t="n">
        <v>0.92</v>
      </c>
      <c r="F248" s="1518" t="n">
        <f aca="false">IF(OR(B248&lt;$F$8,$F$9&lt;=B248),MIN($E$6,D248/C248),$H$8)</f>
        <v>0.92</v>
      </c>
      <c r="G248" s="1517" t="n">
        <f aca="false">SUM(F236:F247)/12</f>
        <v>0.92</v>
      </c>
      <c r="H248" s="1075" t="str">
        <f aca="false">IF(G248&gt;=$E$6," ","LDs")</f>
        <v> </v>
      </c>
    </row>
    <row r="249" customFormat="false" ht="12.75" hidden="false" customHeight="false" outlineLevel="0" collapsed="false">
      <c r="B249" s="1516" t="n">
        <v>43374</v>
      </c>
      <c r="C249" s="1075" t="n">
        <f aca="false">IF(B249&lt;PPA_COD_PhII,$D$6,IF(B249&lt;$C$9,$D$7,$D$9))</f>
        <v>480</v>
      </c>
      <c r="D249" s="1075" t="n">
        <f aca="false">IF(B249&lt;$F$8,$G$6,IF(B249&lt;$F$9,$G$8,$G$9))</f>
        <v>480</v>
      </c>
      <c r="E249" s="1517" t="n">
        <v>0.92</v>
      </c>
      <c r="F249" s="1518" t="n">
        <f aca="false">IF(OR(B249&lt;$F$8,$F$9&lt;=B249),MIN($E$6,D249/C249),$H$8)</f>
        <v>0.92</v>
      </c>
      <c r="G249" s="1517" t="n">
        <f aca="false">SUM(F237:F248)/12</f>
        <v>0.92</v>
      </c>
      <c r="H249" s="1075" t="str">
        <f aca="false">IF(G249&gt;=$E$6," ","LDs")</f>
        <v> </v>
      </c>
    </row>
    <row r="250" customFormat="false" ht="12.75" hidden="false" customHeight="false" outlineLevel="0" collapsed="false">
      <c r="B250" s="1516" t="n">
        <v>43405</v>
      </c>
      <c r="C250" s="1075" t="n">
        <f aca="false">IF(B250&lt;PPA_COD_PhII,$D$6,IF(B250&lt;$C$9,$D$7,$D$9))</f>
        <v>480</v>
      </c>
      <c r="D250" s="1075" t="n">
        <f aca="false">IF(B250&lt;$F$8,$G$6,IF(B250&lt;$F$9,$G$8,$G$9))</f>
        <v>480</v>
      </c>
      <c r="E250" s="1517" t="n">
        <v>0.92</v>
      </c>
      <c r="F250" s="1518" t="n">
        <f aca="false">IF(OR(B250&lt;$F$8,$F$9&lt;=B250),MIN($E$6,D250/C250),$H$8)</f>
        <v>0.92</v>
      </c>
      <c r="G250" s="1517" t="n">
        <f aca="false">SUM(F238:F249)/12</f>
        <v>0.92</v>
      </c>
      <c r="H250" s="1075" t="str">
        <f aca="false">IF(G250&gt;=$E$6," ","LDs")</f>
        <v> </v>
      </c>
    </row>
    <row r="251" customFormat="false" ht="12.75" hidden="false" customHeight="false" outlineLevel="0" collapsed="false">
      <c r="B251" s="1516" t="n">
        <v>43435</v>
      </c>
      <c r="C251" s="1075" t="n">
        <f aca="false">IF(B251&lt;PPA_COD_PhII,$D$6,IF(B251&lt;$C$9,$D$7,$D$9))</f>
        <v>480</v>
      </c>
      <c r="D251" s="1075" t="n">
        <f aca="false">IF(B251&lt;$F$8,$G$6,IF(B251&lt;$F$9,$G$8,$G$9))</f>
        <v>480</v>
      </c>
      <c r="E251" s="1517" t="n">
        <v>0.92</v>
      </c>
      <c r="F251" s="1518" t="n">
        <f aca="false">IF(OR(B251&lt;$F$8,$F$9&lt;=B251),MIN($E$6,D251/C251),$H$8)</f>
        <v>0.92</v>
      </c>
      <c r="G251" s="1517" t="n">
        <f aca="false">SUM(F239:F250)/12</f>
        <v>0.92</v>
      </c>
      <c r="H251" s="1075" t="str">
        <f aca="false">IF(G251&gt;=$E$6," ","LDs")</f>
        <v> </v>
      </c>
    </row>
    <row r="252" customFormat="false" ht="12.75" hidden="false" customHeight="false" outlineLevel="0" collapsed="false">
      <c r="B252" s="1516" t="n">
        <v>43466</v>
      </c>
      <c r="C252" s="1075" t="n">
        <f aca="false">IF(B252&lt;PPA_COD_PhII,$D$6,IF(B252&lt;$C$9,$D$7,$D$9))</f>
        <v>480</v>
      </c>
      <c r="D252" s="1075" t="n">
        <f aca="false">IF(B252&lt;$F$8,$G$6,IF(B252&lt;$F$9,$G$8,$G$9))</f>
        <v>480</v>
      </c>
      <c r="E252" s="1517" t="n">
        <v>0.92</v>
      </c>
      <c r="F252" s="1518" t="n">
        <f aca="false">IF(OR(B252&lt;$F$8,$F$9&lt;=B252),MIN($E$6,D252/C252),$H$8)</f>
        <v>0.92</v>
      </c>
      <c r="G252" s="1517" t="n">
        <f aca="false">SUM(F240:F251)/12</f>
        <v>0.92</v>
      </c>
      <c r="H252" s="1075" t="str">
        <f aca="false">IF(G252&gt;=$E$6," ","LDs")</f>
        <v> </v>
      </c>
    </row>
    <row r="253" customFormat="false" ht="12.75" hidden="false" customHeight="false" outlineLevel="0" collapsed="false">
      <c r="B253" s="1516" t="n">
        <v>43497</v>
      </c>
      <c r="C253" s="1075" t="n">
        <f aca="false">IF(B253&lt;PPA_COD_PhII,$D$6,IF(B253&lt;$C$9,$D$7,$D$9))</f>
        <v>480</v>
      </c>
      <c r="D253" s="1075" t="n">
        <f aca="false">IF(B253&lt;$F$8,$G$6,IF(B253&lt;$F$9,$G$8,$G$9))</f>
        <v>480</v>
      </c>
      <c r="E253" s="1517" t="n">
        <v>0.92</v>
      </c>
      <c r="F253" s="1518" t="n">
        <f aca="false">IF(OR(B253&lt;$F$8,$F$9&lt;=B253),MIN($E$6,D253/C253),$H$8)</f>
        <v>0.92</v>
      </c>
      <c r="G253" s="1517" t="n">
        <f aca="false">SUM(F241:F252)/12</f>
        <v>0.92</v>
      </c>
      <c r="H253" s="1075" t="str">
        <f aca="false">IF(G253&gt;=$E$6," ","LDs")</f>
        <v> </v>
      </c>
    </row>
    <row r="254" customFormat="false" ht="12.75" hidden="false" customHeight="false" outlineLevel="0" collapsed="false">
      <c r="B254" s="1516" t="n">
        <v>43525</v>
      </c>
      <c r="C254" s="1075" t="n">
        <f aca="false">IF(B254&lt;PPA_COD_PhII,$D$6,IF(B254&lt;$C$9,$D$7,$D$9))</f>
        <v>480</v>
      </c>
      <c r="D254" s="1075" t="n">
        <f aca="false">IF(B254&lt;$F$8,$G$6,IF(B254&lt;$F$9,$G$8,$G$9))</f>
        <v>480</v>
      </c>
      <c r="E254" s="1517" t="n">
        <v>0.92</v>
      </c>
      <c r="F254" s="1518" t="n">
        <f aca="false">IF(OR(B254&lt;$F$8,$F$9&lt;=B254),MIN($E$6,D254/C254),$H$8)</f>
        <v>0.92</v>
      </c>
      <c r="G254" s="1517" t="n">
        <f aca="false">SUM(F242:F253)/12</f>
        <v>0.92</v>
      </c>
      <c r="H254" s="1075" t="str">
        <f aca="false">IF(G254&gt;=$E$6," ","LDs")</f>
        <v> </v>
      </c>
    </row>
    <row r="255" customFormat="false" ht="12.75" hidden="false" customHeight="false" outlineLevel="0" collapsed="false">
      <c r="B255" s="1516" t="n">
        <v>43556</v>
      </c>
      <c r="C255" s="1075" t="n">
        <f aca="false">IF(B255&lt;PPA_COD_PhII,$D$6,IF(B255&lt;$C$9,$D$7,$D$9))</f>
        <v>480</v>
      </c>
      <c r="D255" s="1075" t="n">
        <f aca="false">IF(B255&lt;$F$8,$G$6,IF(B255&lt;$F$9,$G$8,$G$9))</f>
        <v>480</v>
      </c>
      <c r="E255" s="1517" t="n">
        <v>0.92</v>
      </c>
      <c r="F255" s="1518" t="n">
        <f aca="false">IF(OR(B255&lt;$F$8,$F$9&lt;=B255),MIN($E$6,D255/C255),$H$8)</f>
        <v>0.92</v>
      </c>
      <c r="G255" s="1517" t="n">
        <f aca="false">SUM(F243:F254)/12</f>
        <v>0.92</v>
      </c>
      <c r="H255" s="1075" t="str">
        <f aca="false">IF(G255&gt;=$E$6," ","LDs")</f>
        <v> </v>
      </c>
    </row>
    <row r="256" customFormat="false" ht="12.75" hidden="false" customHeight="false" outlineLevel="0" collapsed="false">
      <c r="C256" s="1519"/>
      <c r="D256" s="1519"/>
      <c r="E256" s="1519"/>
    </row>
    <row r="257" customFormat="false" ht="12.75" hidden="false" customHeight="false" outlineLevel="0" collapsed="false">
      <c r="C257" s="1519"/>
      <c r="D257" s="1519"/>
      <c r="E257" s="1519"/>
    </row>
    <row r="258" customFormat="false" ht="12.75" hidden="false" customHeight="false" outlineLevel="0" collapsed="false">
      <c r="A258" s="387"/>
      <c r="B258" s="387" t="n">
        <v>1</v>
      </c>
      <c r="C258" s="1521" t="n">
        <v>2</v>
      </c>
      <c r="D258" s="1521" t="n">
        <v>3</v>
      </c>
      <c r="E258" s="1521" t="n">
        <v>4</v>
      </c>
      <c r="F258" s="387" t="n">
        <v>5</v>
      </c>
      <c r="G258" s="387" t="n">
        <v>6</v>
      </c>
      <c r="H258" s="387"/>
      <c r="I258" s="387"/>
      <c r="J258" s="387"/>
      <c r="K258" s="387"/>
      <c r="L258" s="387"/>
      <c r="M258" s="387"/>
      <c r="N258" s="387"/>
      <c r="O258" s="387"/>
      <c r="P258" s="387"/>
      <c r="Q258" s="387"/>
      <c r="R258" s="387"/>
      <c r="S258" s="387"/>
      <c r="T258" s="387"/>
      <c r="U258" s="387"/>
      <c r="V258" s="387"/>
      <c r="W258" s="387"/>
      <c r="X258" s="387"/>
      <c r="Y258" s="387"/>
      <c r="Z258" s="387"/>
      <c r="AA258" s="387"/>
      <c r="AB258" s="387"/>
      <c r="AC258" s="387"/>
      <c r="AD258" s="387"/>
      <c r="AE258" s="387"/>
      <c r="AF258" s="387"/>
      <c r="AG258" s="387"/>
      <c r="AH258" s="387"/>
      <c r="AI258" s="387"/>
      <c r="AJ258" s="387"/>
      <c r="AK258" s="387"/>
      <c r="AL258" s="387"/>
      <c r="AM258" s="387"/>
      <c r="AN258" s="387"/>
      <c r="AO258" s="387"/>
      <c r="AP258" s="387"/>
      <c r="AQ258" s="387"/>
      <c r="AR258" s="387"/>
      <c r="AS258" s="387"/>
      <c r="AT258" s="387"/>
      <c r="AU258" s="387"/>
      <c r="AV258" s="387"/>
      <c r="AW258" s="387"/>
      <c r="AX258" s="387"/>
      <c r="AY258" s="387"/>
      <c r="AZ258" s="387"/>
      <c r="BA258" s="387"/>
      <c r="BB258" s="387"/>
      <c r="BC258" s="387"/>
      <c r="BD258" s="387"/>
      <c r="BE258" s="387"/>
      <c r="BF258" s="387"/>
      <c r="BG258" s="387"/>
      <c r="BH258" s="387"/>
      <c r="BI258" s="387"/>
      <c r="BJ258" s="387"/>
      <c r="BK258" s="387"/>
      <c r="BL258" s="387"/>
      <c r="BM258" s="387"/>
      <c r="BN258" s="387"/>
      <c r="BO258" s="387"/>
      <c r="BP258" s="387"/>
      <c r="BQ258" s="387"/>
      <c r="BR258" s="387"/>
      <c r="BS258" s="387"/>
      <c r="BT258" s="387"/>
      <c r="BU258" s="387"/>
      <c r="BV258" s="387"/>
      <c r="BW258" s="387"/>
      <c r="BX258" s="387"/>
      <c r="BY258" s="387"/>
      <c r="BZ258" s="387"/>
      <c r="CA258" s="387"/>
      <c r="CB258" s="387"/>
      <c r="CC258" s="387"/>
      <c r="CD258" s="387"/>
      <c r="CE258" s="387"/>
      <c r="CF258" s="387"/>
      <c r="CG258" s="387"/>
      <c r="CH258" s="387"/>
      <c r="CI258" s="387"/>
      <c r="CJ258" s="387"/>
      <c r="CK258" s="387"/>
      <c r="CL258" s="387"/>
      <c r="CM258" s="387"/>
      <c r="CN258" s="387"/>
      <c r="CO258" s="387"/>
      <c r="CP258" s="387"/>
      <c r="CQ258" s="387"/>
      <c r="CR258" s="387"/>
      <c r="CS258" s="387"/>
      <c r="CT258" s="387"/>
      <c r="CU258" s="387"/>
      <c r="CV258" s="387"/>
      <c r="CW258" s="387"/>
      <c r="CX258" s="387"/>
      <c r="CY258" s="387"/>
      <c r="CZ258" s="387"/>
      <c r="DA258" s="387"/>
      <c r="DB258" s="387"/>
      <c r="DC258" s="387"/>
      <c r="DD258" s="387"/>
      <c r="DE258" s="387"/>
      <c r="DF258" s="387"/>
      <c r="DG258" s="387"/>
      <c r="DH258" s="387"/>
      <c r="DI258" s="387"/>
      <c r="DJ258" s="387"/>
      <c r="DK258" s="387"/>
      <c r="DL258" s="387"/>
      <c r="DM258" s="387"/>
      <c r="DN258" s="387"/>
      <c r="DO258" s="387"/>
      <c r="DP258" s="387"/>
      <c r="DQ258" s="387"/>
      <c r="DR258" s="387"/>
      <c r="DS258" s="387"/>
      <c r="DT258" s="387"/>
      <c r="DU258" s="387"/>
      <c r="DV258" s="387"/>
      <c r="DW258" s="387"/>
      <c r="DX258" s="387"/>
      <c r="DY258" s="387"/>
      <c r="DZ258" s="387"/>
      <c r="EA258" s="387"/>
      <c r="EB258" s="387"/>
      <c r="EC258" s="387"/>
      <c r="ED258" s="387"/>
      <c r="EE258" s="387"/>
      <c r="EF258" s="387"/>
      <c r="EG258" s="387"/>
      <c r="EH258" s="387"/>
      <c r="EI258" s="387"/>
      <c r="EJ258" s="387"/>
      <c r="EK258" s="387"/>
      <c r="EL258" s="387"/>
      <c r="EM258" s="387"/>
      <c r="EN258" s="387"/>
      <c r="EO258" s="387"/>
      <c r="EP258" s="387"/>
      <c r="EQ258" s="387"/>
      <c r="ER258" s="387"/>
      <c r="ES258" s="387"/>
      <c r="ET258" s="387"/>
      <c r="EU258" s="387"/>
      <c r="EV258" s="387"/>
      <c r="EW258" s="387"/>
      <c r="EX258" s="387"/>
      <c r="EY258" s="387"/>
      <c r="EZ258" s="387"/>
      <c r="FA258" s="387"/>
      <c r="FB258" s="387"/>
      <c r="FC258" s="387"/>
      <c r="FD258" s="387"/>
      <c r="FE258" s="387"/>
      <c r="FF258" s="387"/>
      <c r="FG258" s="387"/>
      <c r="FH258" s="387"/>
      <c r="FI258" s="387"/>
      <c r="FJ258" s="387"/>
      <c r="FK258" s="387"/>
      <c r="FL258" s="387"/>
      <c r="FM258" s="387"/>
      <c r="FN258" s="387"/>
      <c r="FO258" s="387"/>
      <c r="FP258" s="387"/>
      <c r="FQ258" s="387"/>
      <c r="FR258" s="387"/>
      <c r="FS258" s="387"/>
      <c r="FT258" s="387"/>
      <c r="FU258" s="387"/>
      <c r="FV258" s="387"/>
      <c r="FW258" s="387"/>
      <c r="FX258" s="387"/>
      <c r="FY258" s="387"/>
      <c r="FZ258" s="387"/>
      <c r="GA258" s="387"/>
      <c r="GB258" s="387"/>
      <c r="GC258" s="387"/>
      <c r="GD258" s="387"/>
      <c r="GE258" s="387"/>
      <c r="GF258" s="387"/>
      <c r="GG258" s="387"/>
      <c r="GH258" s="387"/>
      <c r="GI258" s="387"/>
      <c r="GJ258" s="387"/>
      <c r="GK258" s="387"/>
      <c r="GL258" s="387"/>
      <c r="GM258" s="387"/>
      <c r="GN258" s="387"/>
      <c r="GO258" s="387"/>
      <c r="GP258" s="387"/>
      <c r="GQ258" s="387"/>
      <c r="GR258" s="387"/>
      <c r="GS258" s="387"/>
      <c r="GT258" s="387"/>
      <c r="GU258" s="387"/>
      <c r="GV258" s="387"/>
      <c r="GW258" s="387"/>
      <c r="GX258" s="387"/>
      <c r="GY258" s="387"/>
      <c r="GZ258" s="387"/>
      <c r="HA258" s="387"/>
      <c r="HB258" s="387"/>
      <c r="HC258" s="387"/>
      <c r="HD258" s="387"/>
      <c r="HE258" s="387"/>
      <c r="HF258" s="387"/>
      <c r="HG258" s="387"/>
      <c r="HH258" s="387"/>
      <c r="HI258" s="387"/>
      <c r="HJ258" s="387"/>
      <c r="HK258" s="387"/>
      <c r="HL258" s="387"/>
      <c r="HM258" s="387"/>
      <c r="HN258" s="387"/>
      <c r="HO258" s="387"/>
      <c r="HP258" s="387"/>
      <c r="HQ258" s="387"/>
      <c r="HR258" s="387"/>
      <c r="HS258" s="387"/>
      <c r="HT258" s="387"/>
      <c r="HU258" s="387"/>
      <c r="HV258" s="387"/>
      <c r="HW258" s="387"/>
      <c r="HX258" s="387"/>
      <c r="HY258" s="387"/>
      <c r="HZ258" s="387"/>
      <c r="IA258" s="387"/>
      <c r="IB258" s="387"/>
      <c r="IC258" s="387"/>
      <c r="ID258" s="387"/>
      <c r="IE258" s="387"/>
      <c r="IF258" s="387"/>
      <c r="IG258" s="387"/>
      <c r="IH258" s="387"/>
      <c r="II258" s="387"/>
      <c r="IJ258" s="387"/>
      <c r="IK258" s="387"/>
      <c r="IL258" s="387"/>
      <c r="IM258" s="387"/>
      <c r="IN258" s="387"/>
      <c r="IO258" s="387"/>
      <c r="IP258" s="387"/>
      <c r="IQ258" s="387"/>
      <c r="IR258" s="387"/>
      <c r="IS258" s="387"/>
      <c r="IT258" s="387"/>
      <c r="IU258" s="387"/>
      <c r="IV258" s="387"/>
      <c r="IW258" s="387"/>
    </row>
    <row r="259" customFormat="false" ht="12.75" hidden="false" customHeight="false" outlineLevel="0" collapsed="false">
      <c r="C259" s="1519"/>
      <c r="D259" s="1519"/>
      <c r="E259" s="1519"/>
    </row>
    <row r="260" customFormat="false" ht="12.75" hidden="false" customHeight="false" outlineLevel="0" collapsed="false">
      <c r="C260" s="1519"/>
      <c r="D260" s="1519"/>
      <c r="E260" s="1519"/>
    </row>
    <row r="261" customFormat="false" ht="12.75" hidden="false" customHeight="false" outlineLevel="0" collapsed="false">
      <c r="C261" s="1519"/>
      <c r="D261" s="1519"/>
      <c r="E261" s="1519"/>
    </row>
    <row r="262" customFormat="false" ht="12.75" hidden="false" customHeight="false" outlineLevel="0" collapsed="false">
      <c r="C262" s="1519"/>
      <c r="D262" s="1519"/>
      <c r="E262" s="1519"/>
    </row>
    <row r="263" customFormat="false" ht="12.75" hidden="false" customHeight="false" outlineLevel="0" collapsed="false">
      <c r="C263" s="1519"/>
      <c r="D263" s="1519"/>
      <c r="E263" s="1519"/>
    </row>
    <row r="264" customFormat="false" ht="12.75" hidden="false" customHeight="false" outlineLevel="0" collapsed="false">
      <c r="C264" s="1519"/>
      <c r="D264" s="1519"/>
      <c r="E264" s="1519"/>
    </row>
    <row r="265" customFormat="false" ht="12.75" hidden="false" customHeight="false" outlineLevel="0" collapsed="false">
      <c r="C265" s="1519"/>
      <c r="D265" s="1519"/>
      <c r="E265" s="1519"/>
    </row>
    <row r="266" customFormat="false" ht="12.75" hidden="false" customHeight="false" outlineLevel="0" collapsed="false">
      <c r="C266" s="1519"/>
      <c r="D266" s="1519"/>
      <c r="E266" s="1519"/>
    </row>
    <row r="267" customFormat="false" ht="12.75" hidden="false" customHeight="false" outlineLevel="0" collapsed="false">
      <c r="C267" s="1519"/>
      <c r="D267" s="1519"/>
      <c r="E267" s="1519"/>
    </row>
    <row r="268" customFormat="false" ht="12.75" hidden="false" customHeight="false" outlineLevel="0" collapsed="false">
      <c r="C268" s="1519"/>
      <c r="D268" s="1519"/>
      <c r="E268" s="1519"/>
    </row>
    <row r="269" customFormat="false" ht="12.75" hidden="false" customHeight="false" outlineLevel="0" collapsed="false">
      <c r="C269" s="1519"/>
      <c r="D269" s="1519"/>
      <c r="E269" s="1519"/>
    </row>
    <row r="270" customFormat="false" ht="12.75" hidden="false" customHeight="false" outlineLevel="0" collapsed="false">
      <c r="C270" s="1519"/>
      <c r="D270" s="1519"/>
      <c r="E270" s="1519"/>
    </row>
    <row r="271" customFormat="false" ht="12.75" hidden="false" customHeight="false" outlineLevel="0" collapsed="false">
      <c r="C271" s="1519"/>
      <c r="D271" s="1519"/>
      <c r="E271" s="1519"/>
    </row>
    <row r="272" customFormat="false" ht="12.75" hidden="false" customHeight="false" outlineLevel="0" collapsed="false">
      <c r="C272" s="1519"/>
      <c r="D272" s="1519"/>
      <c r="E272" s="1519"/>
    </row>
    <row r="273" customFormat="false" ht="12.75" hidden="false" customHeight="false" outlineLevel="0" collapsed="false">
      <c r="C273" s="1519"/>
      <c r="D273" s="1519"/>
      <c r="E273" s="1519"/>
    </row>
    <row r="274" customFormat="false" ht="12.75" hidden="false" customHeight="false" outlineLevel="0" collapsed="false">
      <c r="C274" s="1519"/>
      <c r="D274" s="1519"/>
      <c r="E274" s="1519"/>
    </row>
    <row r="275" customFormat="false" ht="12.75" hidden="false" customHeight="false" outlineLevel="0" collapsed="false">
      <c r="C275" s="1519"/>
      <c r="D275" s="1519"/>
      <c r="E275" s="1519"/>
    </row>
    <row r="276" customFormat="false" ht="12.75" hidden="false" customHeight="false" outlineLevel="0" collapsed="false">
      <c r="C276" s="1519"/>
      <c r="D276" s="1519"/>
      <c r="E276" s="1519"/>
    </row>
    <row r="277" customFormat="false" ht="12.75" hidden="false" customHeight="false" outlineLevel="0" collapsed="false">
      <c r="C277" s="1519"/>
      <c r="D277" s="1519"/>
      <c r="E277" s="1519"/>
    </row>
    <row r="278" customFormat="false" ht="12.75" hidden="false" customHeight="false" outlineLevel="0" collapsed="false">
      <c r="C278" s="1519"/>
      <c r="D278" s="1519"/>
      <c r="E278" s="1519"/>
    </row>
    <row r="279" customFormat="false" ht="12.75" hidden="false" customHeight="false" outlineLevel="0" collapsed="false">
      <c r="C279" s="1519"/>
      <c r="D279" s="1519"/>
      <c r="E279" s="1519"/>
    </row>
    <row r="280" customFormat="false" ht="12.75" hidden="false" customHeight="false" outlineLevel="0" collapsed="false">
      <c r="C280" s="1519"/>
      <c r="D280" s="1519"/>
      <c r="E280" s="1519"/>
    </row>
    <row r="281" customFormat="false" ht="12.75" hidden="false" customHeight="false" outlineLevel="0" collapsed="false">
      <c r="C281" s="1519"/>
      <c r="D281" s="1519"/>
      <c r="E281" s="1519"/>
    </row>
    <row r="282" customFormat="false" ht="12.75" hidden="false" customHeight="false" outlineLevel="0" collapsed="false">
      <c r="C282" s="1519"/>
      <c r="D282" s="1519"/>
      <c r="E282" s="1519"/>
    </row>
    <row r="283" customFormat="false" ht="12.75" hidden="false" customHeight="false" outlineLevel="0" collapsed="false">
      <c r="C283" s="1519"/>
      <c r="D283" s="1519"/>
      <c r="E283" s="1519"/>
    </row>
    <row r="284" customFormat="false" ht="12.75" hidden="false" customHeight="false" outlineLevel="0" collapsed="false">
      <c r="C284" s="1519"/>
      <c r="D284" s="1519"/>
      <c r="E284" s="1519"/>
    </row>
    <row r="285" customFormat="false" ht="12.75" hidden="false" customHeight="false" outlineLevel="0" collapsed="false">
      <c r="C285" s="1519"/>
      <c r="D285" s="1519"/>
      <c r="E285" s="1519"/>
    </row>
    <row r="286" customFormat="false" ht="12.75" hidden="false" customHeight="false" outlineLevel="0" collapsed="false">
      <c r="C286" s="1519"/>
      <c r="D286" s="1519"/>
      <c r="E286" s="1519"/>
    </row>
    <row r="287" customFormat="false" ht="12.75" hidden="false" customHeight="false" outlineLevel="0" collapsed="false">
      <c r="C287" s="1519"/>
      <c r="D287" s="1519"/>
      <c r="E287" s="1519"/>
    </row>
    <row r="288" customFormat="false" ht="12.75" hidden="false" customHeight="false" outlineLevel="0" collapsed="false">
      <c r="C288" s="1519"/>
      <c r="D288" s="1519"/>
      <c r="E288" s="1519"/>
    </row>
    <row r="289" customFormat="false" ht="12.75" hidden="false" customHeight="false" outlineLevel="0" collapsed="false">
      <c r="C289" s="1519"/>
      <c r="D289" s="1519"/>
      <c r="E289" s="1519"/>
    </row>
    <row r="290" customFormat="false" ht="12.75" hidden="false" customHeight="false" outlineLevel="0" collapsed="false">
      <c r="C290" s="1519"/>
      <c r="D290" s="1519"/>
      <c r="E290" s="1519"/>
    </row>
    <row r="291" customFormat="false" ht="12.75" hidden="false" customHeight="false" outlineLevel="0" collapsed="false">
      <c r="C291" s="1519"/>
      <c r="D291" s="1519"/>
      <c r="E291" s="1519"/>
    </row>
    <row r="292" customFormat="false" ht="12.75" hidden="false" customHeight="false" outlineLevel="0" collapsed="false">
      <c r="C292" s="1519"/>
      <c r="D292" s="1519"/>
      <c r="E292" s="1519"/>
    </row>
    <row r="293" customFormat="false" ht="12.75" hidden="false" customHeight="false" outlineLevel="0" collapsed="false">
      <c r="C293" s="1519"/>
      <c r="D293" s="1519"/>
      <c r="E293" s="1519"/>
    </row>
    <row r="294" customFormat="false" ht="12.75" hidden="false" customHeight="false" outlineLevel="0" collapsed="false">
      <c r="C294" s="1519"/>
      <c r="D294" s="1519"/>
      <c r="E294" s="1519"/>
    </row>
    <row r="295" customFormat="false" ht="12.75" hidden="false" customHeight="false" outlineLevel="0" collapsed="false">
      <c r="C295" s="1519"/>
      <c r="D295" s="1519"/>
      <c r="E295" s="1519"/>
    </row>
    <row r="296" customFormat="false" ht="12.75" hidden="false" customHeight="false" outlineLevel="0" collapsed="false">
      <c r="C296" s="1519"/>
      <c r="D296" s="1519"/>
      <c r="E296" s="1519"/>
    </row>
    <row r="297" customFormat="false" ht="12.75" hidden="false" customHeight="false" outlineLevel="0" collapsed="false">
      <c r="C297" s="1519"/>
      <c r="D297" s="1519"/>
      <c r="E297" s="1519"/>
    </row>
    <row r="298" customFormat="false" ht="12.75" hidden="false" customHeight="false" outlineLevel="0" collapsed="false">
      <c r="C298" s="1519"/>
      <c r="D298" s="1519"/>
      <c r="E298" s="151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U310"/>
  <sheetViews>
    <sheetView showFormulas="false" showGridLines="false" showRowColHeaders="true" showZeros="true" rightToLeft="false" tabSelected="false" showOutlineSymbols="true" defaultGridColor="true" view="normal" topLeftCell="A6" colorId="64" zoomScale="80" zoomScaleNormal="80" zoomScalePageLayoutView="100" workbookViewId="0">
      <pane xSplit="1" ySplit="5" topLeftCell="B11" activePane="bottomRight" state="frozen"/>
      <selection pane="topLeft" activeCell="A6" activeCellId="0" sqref="A6"/>
      <selection pane="topRight" activeCell="B6" activeCellId="0" sqref="B6"/>
      <selection pane="bottomLeft" activeCell="A11" activeCellId="0" sqref="A11"/>
      <selection pane="bottomRight" activeCell="J32" activeCellId="0" sqref="J3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.7"/>
    <col collapsed="false" customWidth="true" hidden="false" outlineLevel="0" max="8" min="3" style="0" width="8.7"/>
    <col collapsed="false" customWidth="true" hidden="false" outlineLevel="0" max="9" min="9" style="0" width="10.71"/>
    <col collapsed="false" customWidth="true" hidden="false" outlineLevel="0" max="10" min="10" style="0" width="11.7"/>
    <col collapsed="false" customWidth="true" hidden="false" outlineLevel="0" max="12" min="11" style="388" width="8.7"/>
    <col collapsed="false" customWidth="true" hidden="false" outlineLevel="0" max="13" min="13" style="0" width="10.71"/>
    <col collapsed="false" customWidth="true" hidden="false" outlineLevel="0" max="14" min="14" style="0" width="11.7"/>
    <col collapsed="false" customWidth="true" hidden="false" outlineLevel="0" max="15" min="15" style="0" width="10.71"/>
    <col collapsed="false" customWidth="true" hidden="false" outlineLevel="0" max="16" min="16" style="0" width="11.7"/>
    <col collapsed="false" customWidth="true" hidden="false" outlineLevel="0" max="17" min="17" style="0" width="12.7"/>
    <col collapsed="false" customWidth="true" hidden="false" outlineLevel="0" max="18" min="18" style="0" width="11.7"/>
    <col collapsed="false" customWidth="true" hidden="false" outlineLevel="0" max="19" min="19" style="0" width="12.7"/>
    <col collapsed="false" customWidth="true" hidden="false" outlineLevel="0" max="20" min="20" style="0" width="11.7"/>
    <col collapsed="false" customWidth="true" hidden="false" outlineLevel="0" max="21" min="21" style="0" width="12.7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1522"/>
      <c r="C1" s="388"/>
      <c r="D1" s="388"/>
      <c r="E1" s="388"/>
      <c r="F1" s="388"/>
      <c r="G1" s="388"/>
      <c r="H1" s="388"/>
      <c r="I1" s="388"/>
      <c r="J1" s="388"/>
      <c r="M1" s="388"/>
      <c r="N1" s="388"/>
      <c r="O1" s="388"/>
      <c r="P1" s="388"/>
      <c r="Q1" s="388"/>
      <c r="R1" s="388"/>
      <c r="S1" s="388"/>
      <c r="T1" s="388"/>
      <c r="U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1522"/>
      <c r="C2" s="388"/>
      <c r="D2" s="388"/>
      <c r="E2" s="388"/>
      <c r="F2" s="388"/>
      <c r="G2" s="388"/>
      <c r="H2" s="388"/>
      <c r="I2" s="388"/>
      <c r="J2" s="388"/>
      <c r="M2" s="388"/>
      <c r="N2" s="388"/>
      <c r="O2" s="388"/>
      <c r="P2" s="388"/>
      <c r="Q2" s="388"/>
      <c r="R2" s="388"/>
      <c r="S2" s="388"/>
      <c r="T2" s="388"/>
      <c r="U2" s="388"/>
    </row>
    <row r="3" customFormat="false" ht="15" hidden="false" customHeight="false" outlineLevel="0" collapsed="false">
      <c r="A3" s="19" t="str">
        <f aca="false">TOC!B4</f>
        <v>ENRON INTERNATIONAL</v>
      </c>
      <c r="B3" s="19"/>
      <c r="C3" s="388"/>
      <c r="D3" s="388"/>
      <c r="E3" s="388"/>
      <c r="F3" s="388"/>
      <c r="G3" s="388"/>
      <c r="H3" s="388"/>
      <c r="I3" s="388"/>
      <c r="J3" s="388"/>
      <c r="M3" s="388"/>
      <c r="N3" s="388"/>
      <c r="O3" s="388"/>
      <c r="P3" s="388"/>
      <c r="Q3" s="388"/>
      <c r="R3" s="388"/>
      <c r="S3" s="388"/>
      <c r="T3" s="388"/>
      <c r="U3" s="388"/>
    </row>
    <row r="4" customFormat="false" ht="15" hidden="false" customHeight="false" outlineLevel="0" collapsed="false">
      <c r="A4" s="21" t="s">
        <v>1792</v>
      </c>
      <c r="B4" s="21"/>
      <c r="C4" s="632"/>
      <c r="D4" s="632"/>
      <c r="E4" s="632"/>
      <c r="F4" s="388"/>
      <c r="G4" s="388"/>
      <c r="H4" s="388"/>
      <c r="I4" s="388"/>
      <c r="J4" s="388"/>
      <c r="M4" s="388"/>
      <c r="N4" s="388"/>
      <c r="O4" s="388"/>
      <c r="P4" s="388"/>
      <c r="Q4" s="388"/>
      <c r="R4" s="388"/>
      <c r="S4" s="388"/>
      <c r="T4" s="388"/>
      <c r="U4" s="388"/>
    </row>
    <row r="5" customFormat="false" ht="12.75" hidden="false" customHeight="false" outlineLevel="0" collapsed="false">
      <c r="A5" s="1523"/>
      <c r="B5" s="1523"/>
      <c r="C5" s="388"/>
      <c r="D5" s="388"/>
      <c r="E5" s="388"/>
      <c r="F5" s="388"/>
      <c r="G5" s="1523"/>
      <c r="H5" s="1523"/>
      <c r="I5" s="388"/>
      <c r="J5" s="388"/>
      <c r="K5" s="1523"/>
      <c r="L5" s="1523"/>
      <c r="M5" s="388"/>
      <c r="N5" s="388"/>
      <c r="O5" s="388"/>
      <c r="P5" s="388"/>
      <c r="Q5" s="388"/>
      <c r="R5" s="1523"/>
      <c r="S5" s="1523"/>
      <c r="T5" s="1523"/>
      <c r="U5" s="1523"/>
    </row>
    <row r="6" customFormat="false" ht="12.75" hidden="false" customHeight="false" outlineLevel="0" collapsed="false">
      <c r="C6" s="1524" t="s">
        <v>1793</v>
      </c>
      <c r="D6" s="1524"/>
      <c r="E6" s="1524"/>
      <c r="F6" s="1524"/>
      <c r="G6" s="1524"/>
      <c r="H6" s="1524"/>
      <c r="I6" s="1524"/>
      <c r="J6" s="1524"/>
      <c r="K6" s="1524"/>
      <c r="L6" s="1524"/>
      <c r="M6" s="1524"/>
      <c r="N6" s="1524"/>
      <c r="O6" s="1524"/>
      <c r="P6" s="1524"/>
      <c r="Q6" s="1524"/>
      <c r="R6" s="1524"/>
      <c r="S6" s="1524"/>
      <c r="T6" s="1524"/>
      <c r="U6" s="1524"/>
    </row>
    <row r="7" customFormat="false" ht="13.5" hidden="false" customHeight="false" outlineLevel="0" collapsed="false">
      <c r="G7" s="388"/>
      <c r="H7" s="388"/>
    </row>
    <row r="8" customFormat="false" ht="12.75" hidden="false" customHeight="false" outlineLevel="0" collapsed="false">
      <c r="A8" s="1525"/>
      <c r="C8" s="1526" t="s">
        <v>709</v>
      </c>
      <c r="D8" s="1527" t="s">
        <v>262</v>
      </c>
      <c r="E8" s="1527" t="s">
        <v>262</v>
      </c>
      <c r="F8" s="1528" t="s">
        <v>1794</v>
      </c>
      <c r="G8" s="1529" t="s">
        <v>709</v>
      </c>
      <c r="H8" s="1527" t="s">
        <v>1795</v>
      </c>
      <c r="I8" s="1527" t="s">
        <v>1796</v>
      </c>
      <c r="J8" s="1528" t="s">
        <v>1797</v>
      </c>
      <c r="K8" s="1529" t="s">
        <v>709</v>
      </c>
      <c r="L8" s="1527" t="s">
        <v>1795</v>
      </c>
      <c r="M8" s="1527" t="s">
        <v>1796</v>
      </c>
      <c r="N8" s="1528" t="s">
        <v>1797</v>
      </c>
      <c r="O8" s="1527" t="s">
        <v>1796</v>
      </c>
      <c r="P8" s="1527" t="s">
        <v>1796</v>
      </c>
      <c r="Q8" s="1528" t="s">
        <v>1797</v>
      </c>
      <c r="R8" s="1527" t="s">
        <v>1796</v>
      </c>
      <c r="S8" s="1528" t="s">
        <v>1797</v>
      </c>
      <c r="T8" s="1527" t="s">
        <v>1796</v>
      </c>
      <c r="U8" s="1530" t="s">
        <v>1797</v>
      </c>
    </row>
    <row r="9" customFormat="false" ht="12.75" hidden="false" customHeight="false" outlineLevel="0" collapsed="false">
      <c r="A9" s="614"/>
      <c r="C9" s="1531" t="s">
        <v>64</v>
      </c>
      <c r="D9" s="427" t="s">
        <v>1798</v>
      </c>
      <c r="E9" s="427" t="s">
        <v>1798</v>
      </c>
      <c r="F9" s="1532" t="s">
        <v>1798</v>
      </c>
      <c r="G9" s="466" t="s">
        <v>724</v>
      </c>
      <c r="H9" s="79" t="s">
        <v>1799</v>
      </c>
      <c r="I9" s="427" t="s">
        <v>1800</v>
      </c>
      <c r="J9" s="1532" t="s">
        <v>1800</v>
      </c>
      <c r="K9" s="466" t="s">
        <v>724</v>
      </c>
      <c r="L9" s="79" t="s">
        <v>1799</v>
      </c>
      <c r="M9" s="427" t="s">
        <v>732</v>
      </c>
      <c r="N9" s="1532" t="s">
        <v>732</v>
      </c>
      <c r="O9" s="427" t="s">
        <v>76</v>
      </c>
      <c r="P9" s="427" t="s">
        <v>1801</v>
      </c>
      <c r="Q9" s="1532" t="s">
        <v>1801</v>
      </c>
      <c r="R9" s="427" t="s">
        <v>1801</v>
      </c>
      <c r="S9" s="1532" t="s">
        <v>1801</v>
      </c>
      <c r="T9" s="427" t="s">
        <v>1801</v>
      </c>
      <c r="U9" s="1533" t="s">
        <v>1801</v>
      </c>
    </row>
    <row r="10" customFormat="false" ht="12.75" hidden="false" customHeight="false" outlineLevel="0" collapsed="false">
      <c r="A10" s="1534" t="s">
        <v>1802</v>
      </c>
      <c r="C10" s="472" t="s">
        <v>63</v>
      </c>
      <c r="D10" s="303" t="s">
        <v>1803</v>
      </c>
      <c r="E10" s="303" t="s">
        <v>727</v>
      </c>
      <c r="F10" s="474" t="s">
        <v>1804</v>
      </c>
      <c r="G10" s="473" t="s">
        <v>1800</v>
      </c>
      <c r="H10" s="303" t="s">
        <v>1800</v>
      </c>
      <c r="I10" s="303" t="s">
        <v>1805</v>
      </c>
      <c r="J10" s="474" t="s">
        <v>1805</v>
      </c>
      <c r="K10" s="473" t="s">
        <v>732</v>
      </c>
      <c r="L10" s="303" t="s">
        <v>732</v>
      </c>
      <c r="M10" s="303" t="s">
        <v>1805</v>
      </c>
      <c r="N10" s="474" t="s">
        <v>1805</v>
      </c>
      <c r="O10" s="303" t="s">
        <v>1806</v>
      </c>
      <c r="P10" s="303" t="s">
        <v>1807</v>
      </c>
      <c r="Q10" s="474" t="s">
        <v>1807</v>
      </c>
      <c r="R10" s="303" t="s">
        <v>267</v>
      </c>
      <c r="S10" s="474" t="s">
        <v>267</v>
      </c>
      <c r="T10" s="303" t="s">
        <v>1808</v>
      </c>
      <c r="U10" s="475" t="s">
        <v>1808</v>
      </c>
    </row>
    <row r="11" customFormat="false" ht="12.75" hidden="false" customHeight="false" outlineLevel="0" collapsed="false">
      <c r="A11" s="614"/>
      <c r="C11" s="744"/>
      <c r="D11" s="388"/>
      <c r="E11" s="388"/>
      <c r="F11" s="1535"/>
      <c r="G11" s="1536"/>
      <c r="H11" s="388"/>
      <c r="I11" s="388"/>
      <c r="J11" s="1535"/>
      <c r="K11" s="1536"/>
      <c r="M11" s="388"/>
      <c r="N11" s="1535"/>
      <c r="O11" s="388"/>
      <c r="P11" s="388"/>
      <c r="Q11" s="1535"/>
      <c r="R11" s="388"/>
      <c r="S11" s="1535"/>
      <c r="T11" s="388"/>
      <c r="U11" s="1537"/>
    </row>
    <row r="12" customFormat="false" ht="12.75" hidden="false" customHeight="false" outlineLevel="0" collapsed="false">
      <c r="A12" s="1538" t="n">
        <f aca="false">Startops1</f>
        <v>36251</v>
      </c>
      <c r="C12" s="1539" t="n">
        <f aca="false">IF($A12&gt;Endyr,0,VLOOKUP($A12,Capacity_Table,Tariff!$R$18))</f>
        <v>150</v>
      </c>
      <c r="D12" s="1540" t="n">
        <f aca="false">A13-A12</f>
        <v>30</v>
      </c>
      <c r="E12" s="1540" t="str">
        <f aca="false">IF(MONTH($A12)=12,SUM(D1:D12)," ")</f>
        <v> </v>
      </c>
      <c r="F12" s="1541" t="n">
        <v>24</v>
      </c>
      <c r="G12" s="1334" t="n">
        <f aca="false">IF(I12=0,0,I12/($C12*$D12*$F12*H12))</f>
        <v>0.0942028985507246</v>
      </c>
      <c r="H12" s="1542" t="n">
        <f aca="false">IF(Avail_LDs_Switch=1,VLOOKUP('Plant Operations'!A12,RAC_AvailFactor_Table,RAC_LDs!$G$258),IF($A12&lt;Startops2,Tariff!$T$11,0))</f>
        <v>0.92</v>
      </c>
      <c r="I12" s="1543" t="n">
        <f aca="false">IF(OR($A12&lt;Startops1,$A12&gt;=Startops2),0,IF(AND($A12&gt;=DieselOps_2,$A12&lt;Startops2),VLOOKUP($A12,Diesel_Table,Tariff!$Y$41),VLOOKUP($A12,OA_Table,Tariff!$Y$26)))</f>
        <v>9360</v>
      </c>
      <c r="J12" s="1544" t="str">
        <f aca="false">IF(MONTH($A12)=12,SUM(I1:I12)," ")</f>
        <v> </v>
      </c>
      <c r="K12" s="1334" t="n">
        <f aca="false">IF(OR($A12&lt;Startops2,$A12&gt;=Endyr),0,VLOOKUP($A12,Capacity_Table,Tariff!$S$18))</f>
        <v>0</v>
      </c>
      <c r="L12" s="306" t="n">
        <f aca="false">IF(OR($A12&lt;Startops2,$A12&gt;=Endyr),0,VLOOKUP($A12,Capacity_Table,Tariff!$T$18))</f>
        <v>0</v>
      </c>
      <c r="M12" s="397" t="n">
        <f aca="false">IF($A12&lt;Startops2,0,IF($A12&lt;Startops3,VLOOKUP($A12,Convert_Table,Tariff!$Y$54),C12*D12*F12*K12*L12))</f>
        <v>0</v>
      </c>
      <c r="N12" s="1544" t="str">
        <f aca="false">IF(MONTH($A12)=12,SUM(M1:M12)," ")</f>
        <v> </v>
      </c>
      <c r="O12" s="397" t="n">
        <f aca="false">IF($A12&lt;Startops2,0,IF($A12&lt;Startops3,Hr_II,Hr_III))</f>
        <v>0</v>
      </c>
      <c r="P12" s="397" t="n">
        <f aca="false">M12*O12/1000</f>
        <v>0</v>
      </c>
      <c r="Q12" s="1545" t="str">
        <f aca="false">IF(MONTH($A12)=12,SUM(P1:P12)," ")</f>
        <v> </v>
      </c>
      <c r="R12" s="397" t="n">
        <f aca="false">IF($A12&gt;Endyr,0,IF($A12&lt;Assm!$A$55,P12,Assm!$F$55*$D12))</f>
        <v>0</v>
      </c>
      <c r="S12" s="1544" t="str">
        <f aca="false">IF(MONTH($A12)=12,SUM(R1:R12)," ")</f>
        <v> </v>
      </c>
      <c r="T12" s="397" t="n">
        <f aca="false">MAX(P12,R12)</f>
        <v>0</v>
      </c>
      <c r="U12" s="1546" t="str">
        <f aca="false">IF(MONTH($A12)=12,SUM(T1:T12)," ")</f>
        <v> </v>
      </c>
    </row>
    <row r="13" customFormat="false" ht="12.75" hidden="false" customHeight="false" outlineLevel="0" collapsed="false">
      <c r="A13" s="1538" t="n">
        <f aca="false">EDATE(A12,1)</f>
        <v>36281</v>
      </c>
      <c r="C13" s="1539" t="n">
        <f aca="false">IF($A13&gt;Endyr,0,VLOOKUP($A13,Capacity_Table,Tariff!$R$18))</f>
        <v>150</v>
      </c>
      <c r="D13" s="1540" t="n">
        <f aca="false">A14-A13</f>
        <v>31</v>
      </c>
      <c r="E13" s="1540" t="str">
        <f aca="false">IF(MONTH($A13)=12,SUM(D2:D13)," ")</f>
        <v> </v>
      </c>
      <c r="F13" s="1545" t="n">
        <f aca="false">F12</f>
        <v>24</v>
      </c>
      <c r="G13" s="1334" t="n">
        <f aca="false">IF(I13=0,0,I13/($C13*$D13*$F13*H13))</f>
        <v>0.091164095371669</v>
      </c>
      <c r="H13" s="1542" t="n">
        <f aca="false">IF(Avail_LDs_Switch=1,VLOOKUP('Plant Operations'!A13,RAC_AvailFactor_Table,RAC_LDs!$G$258),IF($A13&lt;Startops2,Tariff!$T$11,0))</f>
        <v>0.92</v>
      </c>
      <c r="I13" s="1543" t="n">
        <f aca="false">IF(OR($A13&lt;Startops1,$A13&gt;=Startops2),0,IF(AND($A13&gt;=DieselOps_2,$A13&lt;Startops2),VLOOKUP($A13,Diesel_Table,Tariff!$Y$41),VLOOKUP($A13,OA_Table,Tariff!$Y$26)))</f>
        <v>9360</v>
      </c>
      <c r="J13" s="1544" t="str">
        <f aca="false">IF(MONTH($A13)=12,SUM(I2:I13)," ")</f>
        <v> </v>
      </c>
      <c r="K13" s="1334" t="n">
        <f aca="false">IF(OR($A13&lt;Startops2,$A13&gt;=Endyr),0,VLOOKUP($A13,Capacity_Table,Tariff!$S$18))</f>
        <v>0</v>
      </c>
      <c r="L13" s="306" t="n">
        <f aca="false">IF(OR($A13&lt;Startops2,$A13&gt;=Endyr),0,VLOOKUP($A13,Capacity_Table,Tariff!$T$18))</f>
        <v>0</v>
      </c>
      <c r="M13" s="397" t="n">
        <f aca="false">IF($A13&lt;Startops2,0,IF($A13&lt;Startops3,VLOOKUP($A13,Convert_Table,Tariff!$Y$54),C13*D13*F13*K13*L13))</f>
        <v>0</v>
      </c>
      <c r="N13" s="1544" t="str">
        <f aca="false">IF(MONTH($A13)=12,SUM(M2:M13)," ")</f>
        <v> </v>
      </c>
      <c r="O13" s="397" t="n">
        <f aca="false">IF($A13&lt;Startops2,0,IF($A13&lt;Startops3,Hr_II,Hr_III))</f>
        <v>0</v>
      </c>
      <c r="P13" s="397" t="n">
        <f aca="false">M13*O13/1000</f>
        <v>0</v>
      </c>
      <c r="Q13" s="1545" t="str">
        <f aca="false">IF(MONTH($A13)=12,SUM(P2:P13)," ")</f>
        <v> </v>
      </c>
      <c r="R13" s="397" t="n">
        <f aca="false">IF($A13&gt;Endyr,0,IF($A13&lt;Assm!$A$55,P13,Assm!$F$55*$D13))</f>
        <v>0</v>
      </c>
      <c r="S13" s="1544" t="str">
        <f aca="false">IF(MONTH($A13)=12,SUM(R2:R13)," ")</f>
        <v> </v>
      </c>
      <c r="T13" s="397" t="n">
        <f aca="false">MAX(P13,R13)</f>
        <v>0</v>
      </c>
      <c r="U13" s="1546" t="str">
        <f aca="false">IF(MONTH($A13)=12,SUM(T2:T13)," ")</f>
        <v> </v>
      </c>
    </row>
    <row r="14" customFormat="false" ht="12.75" hidden="false" customHeight="false" outlineLevel="0" collapsed="false">
      <c r="A14" s="1538" t="n">
        <f aca="false">EDATE(A13,1)</f>
        <v>36312</v>
      </c>
      <c r="C14" s="1539" t="n">
        <f aca="false">IF($A14&gt;Endyr,0,VLOOKUP($A14,Capacity_Table,Tariff!$R$18))</f>
        <v>150</v>
      </c>
      <c r="D14" s="1540" t="n">
        <f aca="false">A15-A14</f>
        <v>30</v>
      </c>
      <c r="E14" s="1540" t="str">
        <f aca="false">IF(MONTH($A14)=12,SUM(D3:D14)," ")</f>
        <v> </v>
      </c>
      <c r="F14" s="1545" t="n">
        <f aca="false">F13</f>
        <v>24</v>
      </c>
      <c r="G14" s="1334" t="n">
        <f aca="false">IF(I14=0,0,I14/($C14*$D14*$F14*H14))</f>
        <v>0.117753623188406</v>
      </c>
      <c r="H14" s="1542" t="n">
        <f aca="false">IF(Avail_LDs_Switch=1,VLOOKUP('Plant Operations'!A14,RAC_AvailFactor_Table,RAC_LDs!$G$258),IF($A14&lt;Startops2,Tariff!$T$11,0))</f>
        <v>0.92</v>
      </c>
      <c r="I14" s="1543" t="n">
        <f aca="false">IF(OR($A14&lt;Startops1,$A14&gt;=Startops2),0,IF(AND($A14&gt;=DieselOps_2,$A14&lt;Startops2),VLOOKUP($A14,Diesel_Table,Tariff!$Y$41),VLOOKUP($A14,OA_Table,Tariff!$Y$26)))</f>
        <v>11700</v>
      </c>
      <c r="J14" s="1544" t="str">
        <f aca="false">IF(MONTH($A14)=12,SUM(I3:I14)," ")</f>
        <v> </v>
      </c>
      <c r="K14" s="1334" t="n">
        <f aca="false">IF(OR($A14&lt;Startops2,$A14&gt;=Endyr),0,VLOOKUP($A14,Capacity_Table,Tariff!$S$18))</f>
        <v>0</v>
      </c>
      <c r="L14" s="306" t="n">
        <f aca="false">IF(OR($A14&lt;Startops2,$A14&gt;=Endyr),0,VLOOKUP($A14,Capacity_Table,Tariff!$T$18))</f>
        <v>0</v>
      </c>
      <c r="M14" s="397" t="n">
        <f aca="false">IF($A14&lt;Startops2,0,IF($A14&lt;Startops3,VLOOKUP($A14,Convert_Table,Tariff!$Y$54),C14*D14*F14*K14*L14))</f>
        <v>0</v>
      </c>
      <c r="N14" s="1544" t="str">
        <f aca="false">IF(MONTH($A14)=12,SUM(M3:M14)," ")</f>
        <v> </v>
      </c>
      <c r="O14" s="397" t="n">
        <f aca="false">IF($A14&lt;Startops2,0,IF($A14&lt;Startops3,Hr_II,Hr_III))</f>
        <v>0</v>
      </c>
      <c r="P14" s="397" t="n">
        <f aca="false">M14*O14/1000</f>
        <v>0</v>
      </c>
      <c r="Q14" s="1545" t="str">
        <f aca="false">IF(MONTH($A14)=12,SUM(P3:P14)," ")</f>
        <v> </v>
      </c>
      <c r="R14" s="397" t="n">
        <f aca="false">IF($A14&gt;Endyr,0,IF($A14&lt;Assm!$A$55,P14,Assm!$F$55*$D14))</f>
        <v>0</v>
      </c>
      <c r="S14" s="1544" t="str">
        <f aca="false">IF(MONTH($A14)=12,SUM(R3:R14)," ")</f>
        <v> </v>
      </c>
      <c r="T14" s="397" t="n">
        <f aca="false">MAX(P14,R14)</f>
        <v>0</v>
      </c>
      <c r="U14" s="1546" t="str">
        <f aca="false">IF(MONTH($A14)=12,SUM(T3:T14)," ")</f>
        <v> </v>
      </c>
    </row>
    <row r="15" customFormat="false" ht="12.75" hidden="false" customHeight="false" outlineLevel="0" collapsed="false">
      <c r="A15" s="1538" t="n">
        <f aca="false">EDATE(A14,1)</f>
        <v>36342</v>
      </c>
      <c r="C15" s="1539" t="n">
        <f aca="false">IF($A15&gt;Endyr,0,VLOOKUP($A15,Capacity_Table,Tariff!$R$18))</f>
        <v>150</v>
      </c>
      <c r="D15" s="1540" t="n">
        <f aca="false">A16-A15</f>
        <v>31</v>
      </c>
      <c r="E15" s="1540" t="str">
        <f aca="false">IF(MONTH($A15)=12,SUM(D4:D15)," ")</f>
        <v> </v>
      </c>
      <c r="F15" s="1545" t="n">
        <f aca="false">F14</f>
        <v>24</v>
      </c>
      <c r="G15" s="1334" t="n">
        <f aca="false">IF(I15=0,0,I15/($C15*$D15*$F15*H15))</f>
        <v>0.113955119214586</v>
      </c>
      <c r="H15" s="1542" t="n">
        <f aca="false">IF(Avail_LDs_Switch=1,VLOOKUP('Plant Operations'!A15,RAC_AvailFactor_Table,RAC_LDs!$G$258),IF($A15&lt;Startops2,Tariff!$T$11,0))</f>
        <v>0.92</v>
      </c>
      <c r="I15" s="1543" t="n">
        <f aca="false">IF(OR($A15&lt;Startops1,$A15&gt;=Startops2),0,IF(AND($A15&gt;=DieselOps_2,$A15&lt;Startops2),VLOOKUP($A15,Diesel_Table,Tariff!$Y$41),VLOOKUP($A15,OA_Table,Tariff!$Y$26)))</f>
        <v>11700</v>
      </c>
      <c r="J15" s="1544" t="str">
        <f aca="false">IF(MONTH($A15)=12,SUM(I4:I15)," ")</f>
        <v> </v>
      </c>
      <c r="K15" s="1334" t="n">
        <f aca="false">IF(OR($A15&lt;Startops2,$A15&gt;=Endyr),0,VLOOKUP($A15,Capacity_Table,Tariff!$S$18))</f>
        <v>0</v>
      </c>
      <c r="L15" s="306" t="n">
        <f aca="false">IF(OR($A15&lt;Startops2,$A15&gt;=Endyr),0,VLOOKUP($A15,Capacity_Table,Tariff!$T$18))</f>
        <v>0</v>
      </c>
      <c r="M15" s="397" t="n">
        <f aca="false">IF($A15&lt;Startops2,0,IF($A15&lt;Startops3,VLOOKUP($A15,Convert_Table,Tariff!$Y$54),C15*D15*F15*K15*L15))</f>
        <v>0</v>
      </c>
      <c r="N15" s="1544" t="str">
        <f aca="false">IF(MONTH($A15)=12,SUM(M4:M15)," ")</f>
        <v> </v>
      </c>
      <c r="O15" s="397" t="n">
        <f aca="false">IF($A15&lt;Startops2,0,IF($A15&lt;Startops3,Hr_II,Hr_III))</f>
        <v>0</v>
      </c>
      <c r="P15" s="397" t="n">
        <f aca="false">M15*O15/1000</f>
        <v>0</v>
      </c>
      <c r="Q15" s="1545" t="str">
        <f aca="false">IF(MONTH($A15)=12,SUM(P4:P15)," ")</f>
        <v> </v>
      </c>
      <c r="R15" s="397" t="n">
        <f aca="false">IF($A15&gt;Endyr,0,IF($A15&lt;Assm!$A$55,P15,Assm!$F$55*$D15))</f>
        <v>0</v>
      </c>
      <c r="S15" s="1544" t="str">
        <f aca="false">IF(MONTH($A15)=12,SUM(R4:R15)," ")</f>
        <v> </v>
      </c>
      <c r="T15" s="397" t="n">
        <f aca="false">MAX(P15,R15)</f>
        <v>0</v>
      </c>
      <c r="U15" s="1546" t="str">
        <f aca="false">IF(MONTH($A15)=12,SUM(T4:T15)," ")</f>
        <v> </v>
      </c>
    </row>
    <row r="16" customFormat="false" ht="12.75" hidden="false" customHeight="false" outlineLevel="0" collapsed="false">
      <c r="A16" s="1538" t="n">
        <f aca="false">EDATE(A15,1)</f>
        <v>36373</v>
      </c>
      <c r="C16" s="1539" t="n">
        <f aca="false">IF($A16&gt;Endyr,0,VLOOKUP($A16,Capacity_Table,Tariff!$R$18))</f>
        <v>150</v>
      </c>
      <c r="D16" s="1540" t="n">
        <f aca="false">A17-A16</f>
        <v>31</v>
      </c>
      <c r="E16" s="1540" t="str">
        <f aca="false">IF(MONTH($A16)=12,SUM(D5:D16)," ")</f>
        <v> </v>
      </c>
      <c r="F16" s="1545" t="n">
        <f aca="false">F15</f>
        <v>24</v>
      </c>
      <c r="G16" s="1334" t="n">
        <f aca="false">IF(I16=0,0,I16/($C16*$D16*$F16*H16))</f>
        <v>0.136746143057504</v>
      </c>
      <c r="H16" s="1542" t="n">
        <f aca="false">IF(Avail_LDs_Switch=1,VLOOKUP('Plant Operations'!A16,RAC_AvailFactor_Table,RAC_LDs!$G$258),IF($A16&lt;Startops2,Tariff!$T$11,0))</f>
        <v>0.92</v>
      </c>
      <c r="I16" s="1543" t="n">
        <f aca="false">IF(OR($A16&lt;Startops1,$A16&gt;=Startops2),0,IF(AND($A16&gt;=DieselOps_2,$A16&lt;Startops2),VLOOKUP($A16,Diesel_Table,Tariff!$Y$41),VLOOKUP($A16,OA_Table,Tariff!$Y$26)))</f>
        <v>14040</v>
      </c>
      <c r="J16" s="1544" t="str">
        <f aca="false">IF(MONTH($A16)=12,SUM(I5:I16)," ")</f>
        <v> </v>
      </c>
      <c r="K16" s="1334" t="n">
        <f aca="false">IF(OR($A16&lt;Startops2,$A16&gt;=Endyr),0,VLOOKUP($A16,Capacity_Table,Tariff!$S$18))</f>
        <v>0</v>
      </c>
      <c r="L16" s="306" t="n">
        <f aca="false">IF(OR($A16&lt;Startops2,$A16&gt;=Endyr),0,VLOOKUP($A16,Capacity_Table,Tariff!$T$18))</f>
        <v>0</v>
      </c>
      <c r="M16" s="397" t="n">
        <f aca="false">IF($A16&lt;Startops2,0,IF($A16&lt;Startops3,VLOOKUP($A16,Convert_Table,Tariff!$Y$54),C16*D16*F16*K16*L16))</f>
        <v>0</v>
      </c>
      <c r="N16" s="1544" t="str">
        <f aca="false">IF(MONTH($A16)=12,SUM(M5:M16)," ")</f>
        <v> </v>
      </c>
      <c r="O16" s="397" t="n">
        <f aca="false">IF($A16&lt;Startops2,0,IF($A16&lt;Startops3,Hr_II,Hr_III))</f>
        <v>0</v>
      </c>
      <c r="P16" s="397" t="n">
        <f aca="false">M16*O16/1000</f>
        <v>0</v>
      </c>
      <c r="Q16" s="1545" t="str">
        <f aca="false">IF(MONTH($A16)=12,SUM(P5:P16)," ")</f>
        <v> </v>
      </c>
      <c r="R16" s="397" t="n">
        <f aca="false">IF($A16&gt;Endyr,0,IF($A16&lt;Assm!$A$55,P16,Assm!$F$55*$D16))</f>
        <v>0</v>
      </c>
      <c r="S16" s="1544" t="str">
        <f aca="false">IF(MONTH($A16)=12,SUM(R5:R16)," ")</f>
        <v> </v>
      </c>
      <c r="T16" s="397" t="n">
        <f aca="false">MAX(P16,R16)</f>
        <v>0</v>
      </c>
      <c r="U16" s="1546" t="str">
        <f aca="false">IF(MONTH($A16)=12,SUM(T5:T16)," ")</f>
        <v> </v>
      </c>
    </row>
    <row r="17" customFormat="false" ht="12.75" hidden="false" customHeight="false" outlineLevel="0" collapsed="false">
      <c r="A17" s="1538" t="n">
        <f aca="false">EDATE(A16,1)</f>
        <v>36404</v>
      </c>
      <c r="C17" s="1539" t="n">
        <f aca="false">IF($A17&gt;Endyr,0,VLOOKUP($A17,Capacity_Table,Tariff!$R$18))</f>
        <v>150</v>
      </c>
      <c r="D17" s="1540" t="n">
        <f aca="false">A18-A17</f>
        <v>30</v>
      </c>
      <c r="E17" s="1540" t="str">
        <f aca="false">IF(MONTH($A17)=12,SUM(D6:D17)," ")</f>
        <v> </v>
      </c>
      <c r="F17" s="1545" t="n">
        <f aca="false">F16</f>
        <v>24</v>
      </c>
      <c r="G17" s="1334" t="n">
        <f aca="false">IF(I17=0,0,I17/($C17*$D17*$F17*H17))</f>
        <v>0.167471819645733</v>
      </c>
      <c r="H17" s="1542" t="n">
        <f aca="false">IF(Avail_LDs_Switch=1,VLOOKUP('Plant Operations'!A17,RAC_AvailFactor_Table,RAC_LDs!$G$258),IF($A17&lt;Startops2,Tariff!$T$11,0))</f>
        <v>0.92</v>
      </c>
      <c r="I17" s="1543" t="n">
        <f aca="false">IF(OR($A17&lt;Startops1,$A17&gt;=Startops2),0,IF(AND($A17&gt;=DieselOps_2,$A17&lt;Startops2),VLOOKUP($A17,Diesel_Table,Tariff!$Y$41),VLOOKUP($A17,OA_Table,Tariff!$Y$26)))</f>
        <v>16640</v>
      </c>
      <c r="J17" s="1544" t="str">
        <f aca="false">IF(MONTH($A17)=12,SUM(I6:I17)," ")</f>
        <v> </v>
      </c>
      <c r="K17" s="1334" t="n">
        <f aca="false">IF(OR($A17&lt;Startops2,$A17&gt;=Endyr),0,VLOOKUP($A17,Capacity_Table,Tariff!$S$18))</f>
        <v>0</v>
      </c>
      <c r="L17" s="306" t="n">
        <f aca="false">IF(OR($A17&lt;Startops2,$A17&gt;=Endyr),0,VLOOKUP($A17,Capacity_Table,Tariff!$T$18))</f>
        <v>0</v>
      </c>
      <c r="M17" s="397" t="n">
        <f aca="false">IF($A17&lt;Startops2,0,IF($A17&lt;Startops3,VLOOKUP($A17,Convert_Table,Tariff!$Y$54),C17*D17*F17*K17*L17))</f>
        <v>0</v>
      </c>
      <c r="N17" s="1544" t="str">
        <f aca="false">IF(MONTH($A17)=12,SUM(M6:M17)," ")</f>
        <v> </v>
      </c>
      <c r="O17" s="397" t="n">
        <f aca="false">IF($A17&lt;Startops2,0,IF($A17&lt;Startops3,Hr_II,Hr_III))</f>
        <v>0</v>
      </c>
      <c r="P17" s="397" t="n">
        <f aca="false">M17*O17/1000</f>
        <v>0</v>
      </c>
      <c r="Q17" s="1545" t="str">
        <f aca="false">IF(MONTH($A17)=12,SUM(P6:P17)," ")</f>
        <v> </v>
      </c>
      <c r="R17" s="397" t="n">
        <f aca="false">IF($A17&gt;Endyr,0,IF($A17&lt;Assm!$A$55,P17,Assm!$F$55*$D17))</f>
        <v>0</v>
      </c>
      <c r="S17" s="1544" t="str">
        <f aca="false">IF(MONTH($A17)=12,SUM(R6:R17)," ")</f>
        <v> </v>
      </c>
      <c r="T17" s="397" t="n">
        <f aca="false">MAX(P17,R17)</f>
        <v>0</v>
      </c>
      <c r="U17" s="1546" t="str">
        <f aca="false">IF(MONTH($A17)=12,SUM(T6:T17)," ")</f>
        <v> </v>
      </c>
    </row>
    <row r="18" customFormat="false" ht="12.75" hidden="false" customHeight="false" outlineLevel="0" collapsed="false">
      <c r="A18" s="1538" t="n">
        <f aca="false">EDATE(A17,1)</f>
        <v>36434</v>
      </c>
      <c r="C18" s="1539" t="n">
        <f aca="false">IF($A18&gt;Endyr,0,VLOOKUP($A18,Capacity_Table,Tariff!$R$18))</f>
        <v>150</v>
      </c>
      <c r="D18" s="1540" t="n">
        <f aca="false">A19-A18</f>
        <v>31</v>
      </c>
      <c r="E18" s="1540" t="str">
        <f aca="false">IF(MONTH($A18)=12,SUM(D7:D18)," ")</f>
        <v> </v>
      </c>
      <c r="F18" s="1545" t="n">
        <f aca="false">F17</f>
        <v>24</v>
      </c>
      <c r="G18" s="1334" t="n">
        <f aca="false">IF(I18=0,0,I18/($C18*$D18*$F18*H18))</f>
        <v>0.136746143057504</v>
      </c>
      <c r="H18" s="1542" t="n">
        <f aca="false">IF(Avail_LDs_Switch=1,VLOOKUP('Plant Operations'!A18,RAC_AvailFactor_Table,RAC_LDs!$G$258),IF($A18&lt;Startops2,Tariff!$T$11,0))</f>
        <v>0.92</v>
      </c>
      <c r="I18" s="1543" t="n">
        <f aca="false">IF(OR($A18&lt;Startops1,$A18&gt;=Startops2),0,IF(AND($A18&gt;=DieselOps_2,$A18&lt;Startops2),VLOOKUP($A18,Diesel_Table,Tariff!$Y$41),VLOOKUP($A18,OA_Table,Tariff!$Y$26)))</f>
        <v>14040</v>
      </c>
      <c r="J18" s="1544" t="str">
        <f aca="false">IF(MONTH($A18)=12,SUM(I7:I18)," ")</f>
        <v> </v>
      </c>
      <c r="K18" s="1334" t="n">
        <f aca="false">IF(OR($A18&lt;Startops2,$A18&gt;=Endyr),0,VLOOKUP($A18,Capacity_Table,Tariff!$S$18))</f>
        <v>0</v>
      </c>
      <c r="L18" s="306" t="n">
        <f aca="false">IF(OR($A18&lt;Startops2,$A18&gt;=Endyr),0,VLOOKUP($A18,Capacity_Table,Tariff!$T$18))</f>
        <v>0</v>
      </c>
      <c r="M18" s="397" t="n">
        <f aca="false">IF($A18&lt;Startops2,0,IF($A18&lt;Startops3,VLOOKUP($A18,Convert_Table,Tariff!$Y$54),C18*D18*F18*K18*L18))</f>
        <v>0</v>
      </c>
      <c r="N18" s="1544" t="str">
        <f aca="false">IF(MONTH($A18)=12,SUM(M7:M18)," ")</f>
        <v> </v>
      </c>
      <c r="O18" s="397" t="n">
        <f aca="false">IF($A18&lt;Startops2,0,IF($A18&lt;Startops3,Hr_II,Hr_III))</f>
        <v>0</v>
      </c>
      <c r="P18" s="397" t="n">
        <f aca="false">M18*O18/1000</f>
        <v>0</v>
      </c>
      <c r="Q18" s="1545" t="str">
        <f aca="false">IF(MONTH($A18)=12,SUM(P7:P18)," ")</f>
        <v> </v>
      </c>
      <c r="R18" s="397" t="n">
        <f aca="false">IF($A18&gt;Endyr,0,IF($A18&lt;Assm!$A$55,P18,Assm!$F$55*$D18))</f>
        <v>0</v>
      </c>
      <c r="S18" s="1544" t="str">
        <f aca="false">IF(MONTH($A18)=12,SUM(R7:R18)," ")</f>
        <v> </v>
      </c>
      <c r="T18" s="397" t="n">
        <f aca="false">MAX(P18,R18)</f>
        <v>0</v>
      </c>
      <c r="U18" s="1546" t="str">
        <f aca="false">IF(MONTH($A18)=12,SUM(T7:T18)," ")</f>
        <v> </v>
      </c>
    </row>
    <row r="19" customFormat="false" ht="12.75" hidden="false" customHeight="false" outlineLevel="0" collapsed="false">
      <c r="A19" s="1538" t="n">
        <f aca="false">EDATE(A18,1)</f>
        <v>36465</v>
      </c>
      <c r="C19" s="1539" t="n">
        <f aca="false">IF($A19&gt;Endyr,0,VLOOKUP($A19,Capacity_Table,Tariff!$R$18))</f>
        <v>150</v>
      </c>
      <c r="D19" s="1540" t="n">
        <f aca="false">A20-A19</f>
        <v>30</v>
      </c>
      <c r="E19" s="1540" t="str">
        <f aca="false">IF(MONTH($A19)=12,SUM(D8:D19)," ")</f>
        <v> </v>
      </c>
      <c r="F19" s="1545" t="n">
        <f aca="false">F18</f>
        <v>24</v>
      </c>
      <c r="G19" s="1334" t="n">
        <f aca="false">IF(I19=0,0,I19/($C19*$D19*$F19*H19))</f>
        <v>0.117753623188406</v>
      </c>
      <c r="H19" s="1542" t="n">
        <f aca="false">IF(Avail_LDs_Switch=1,VLOOKUP('Plant Operations'!A19,RAC_AvailFactor_Table,RAC_LDs!$G$258),IF($A19&lt;Startops2,Tariff!$T$11,0))</f>
        <v>0.92</v>
      </c>
      <c r="I19" s="1543" t="n">
        <f aca="false">IF(OR($A19&lt;Startops1,$A19&gt;=Startops2),0,IF(AND($A19&gt;=DieselOps_2,$A19&lt;Startops2),VLOOKUP($A19,Diesel_Table,Tariff!$Y$41),VLOOKUP($A19,OA_Table,Tariff!$Y$26)))</f>
        <v>11700</v>
      </c>
      <c r="J19" s="1544" t="str">
        <f aca="false">IF(MONTH($A19)=12,SUM(I8:I19)," ")</f>
        <v> </v>
      </c>
      <c r="K19" s="1334" t="n">
        <f aca="false">IF(OR($A19&lt;Startops2,$A19&gt;=Endyr),0,VLOOKUP($A19,Capacity_Table,Tariff!$S$18))</f>
        <v>0</v>
      </c>
      <c r="L19" s="306" t="n">
        <f aca="false">IF(OR($A19&lt;Startops2,$A19&gt;=Endyr),0,VLOOKUP($A19,Capacity_Table,Tariff!$T$18))</f>
        <v>0</v>
      </c>
      <c r="M19" s="397" t="n">
        <f aca="false">IF($A19&lt;Startops2,0,IF($A19&lt;Startops3,VLOOKUP($A19,Convert_Table,Tariff!$Y$54),C19*D19*F19*K19*L19))</f>
        <v>0</v>
      </c>
      <c r="N19" s="1544" t="str">
        <f aca="false">IF(MONTH($A19)=12,SUM(M8:M19)," ")</f>
        <v> </v>
      </c>
      <c r="O19" s="397" t="n">
        <f aca="false">IF($A19&lt;Startops2,0,IF($A19&lt;Startops3,Hr_II,Hr_III))</f>
        <v>0</v>
      </c>
      <c r="P19" s="397" t="n">
        <f aca="false">M19*O19/1000</f>
        <v>0</v>
      </c>
      <c r="Q19" s="1545" t="str">
        <f aca="false">IF(MONTH($A19)=12,SUM(P8:P19)," ")</f>
        <v> </v>
      </c>
      <c r="R19" s="397" t="n">
        <f aca="false">IF($A19&gt;Endyr,0,IF($A19&lt;Assm!$A$55,P19,Assm!$F$55*$D19))</f>
        <v>0</v>
      </c>
      <c r="S19" s="1544" t="str">
        <f aca="false">IF(MONTH($A19)=12,SUM(R8:R19)," ")</f>
        <v> </v>
      </c>
      <c r="T19" s="397" t="n">
        <f aca="false">MAX(P19,R19)</f>
        <v>0</v>
      </c>
      <c r="U19" s="1546" t="str">
        <f aca="false">IF(MONTH($A19)=12,SUM(T8:T19)," ")</f>
        <v> </v>
      </c>
    </row>
    <row r="20" customFormat="false" ht="12.75" hidden="false" customHeight="false" outlineLevel="0" collapsed="false">
      <c r="A20" s="1538" t="n">
        <f aca="false">EDATE(A19,1)</f>
        <v>36495</v>
      </c>
      <c r="C20" s="1539" t="n">
        <f aca="false">IF($A20&gt;Endyr,0,VLOOKUP($A20,Capacity_Table,Tariff!$R$18))</f>
        <v>150</v>
      </c>
      <c r="D20" s="1540" t="n">
        <f aca="false">A21-A20</f>
        <v>31</v>
      </c>
      <c r="E20" s="1540" t="n">
        <f aca="false">IF(MONTH($A20)=12,SUM(D9:D20)," ")</f>
        <v>275</v>
      </c>
      <c r="F20" s="1545" t="n">
        <f aca="false">F19</f>
        <v>24</v>
      </c>
      <c r="G20" s="1334" t="n">
        <f aca="false">IF(I20=0,0,I20/($C20*$D20*$F20*H20))</f>
        <v>0.091164095371669</v>
      </c>
      <c r="H20" s="1542" t="n">
        <f aca="false">IF(Avail_LDs_Switch=1,VLOOKUP('Plant Operations'!A20,RAC_AvailFactor_Table,RAC_LDs!$G$258),IF($A20&lt;Startops2,Tariff!$T$11,0))</f>
        <v>0.92</v>
      </c>
      <c r="I20" s="1543" t="n">
        <f aca="false">IF(OR($A20&lt;Startops1,$A20&gt;=Startops2),0,IF(AND($A20&gt;=DieselOps_2,$A20&lt;Startops2),VLOOKUP($A20,Diesel_Table,Tariff!$Y$41),VLOOKUP($A20,OA_Table,Tariff!$Y$26)))</f>
        <v>9360</v>
      </c>
      <c r="J20" s="1544" t="n">
        <f aca="false">IF(MONTH($A20)=12,SUM(I9:I20)," ")</f>
        <v>107900</v>
      </c>
      <c r="K20" s="1334" t="n">
        <f aca="false">IF(OR($A20&lt;Startops2,$A20&gt;=Endyr),0,VLOOKUP($A20,Capacity_Table,Tariff!$S$18))</f>
        <v>0</v>
      </c>
      <c r="L20" s="306" t="n">
        <f aca="false">IF(OR($A20&lt;Startops2,$A20&gt;=Endyr),0,VLOOKUP($A20,Capacity_Table,Tariff!$T$18))</f>
        <v>0</v>
      </c>
      <c r="M20" s="397" t="n">
        <f aca="false">IF($A20&lt;Startops2,0,IF($A20&lt;Startops3,VLOOKUP($A20,Convert_Table,Tariff!$Y$54),C20*D20*F20*K20*L20))</f>
        <v>0</v>
      </c>
      <c r="N20" s="1544" t="n">
        <f aca="false">IF(MONTH($A20)=12,SUM(M9:M20)," ")</f>
        <v>0</v>
      </c>
      <c r="O20" s="397" t="n">
        <f aca="false">IF($A20&lt;Startops2,0,IF($A20&lt;Startops3,Hr_II,Hr_III))</f>
        <v>0</v>
      </c>
      <c r="P20" s="397" t="n">
        <f aca="false">M20*O20/1000</f>
        <v>0</v>
      </c>
      <c r="Q20" s="1545" t="n">
        <f aca="false">IF(MONTH($A20)=12,SUM(P9:P20)," ")</f>
        <v>0</v>
      </c>
      <c r="R20" s="397" t="n">
        <f aca="false">IF($A20&gt;Endyr,0,IF($A20&lt;Assm!$A$55,P20,Assm!$F$55*$D20))</f>
        <v>0</v>
      </c>
      <c r="S20" s="1544" t="n">
        <f aca="false">IF(MONTH($A20)=12,SUM(R9:R20)," ")</f>
        <v>0</v>
      </c>
      <c r="T20" s="397" t="n">
        <f aca="false">MAX(P20,R20)</f>
        <v>0</v>
      </c>
      <c r="U20" s="1546" t="n">
        <f aca="false">IF(MONTH($A20)=12,SUM(T9:T20)," ")</f>
        <v>0</v>
      </c>
    </row>
    <row r="21" customFormat="false" ht="12.75" hidden="false" customHeight="false" outlineLevel="0" collapsed="false">
      <c r="A21" s="1538" t="n">
        <f aca="false">EDATE(A20,1)</f>
        <v>36526</v>
      </c>
      <c r="C21" s="1539" t="n">
        <f aca="false">IF($A21&gt;Endyr,0,VLOOKUP($A21,Capacity_Table,Tariff!$R$18))</f>
        <v>150</v>
      </c>
      <c r="D21" s="1540" t="n">
        <f aca="false">A22-A21</f>
        <v>31</v>
      </c>
      <c r="E21" s="1540" t="str">
        <f aca="false">IF(MONTH($A21)=12,SUM(D10:D21)," ")</f>
        <v> </v>
      </c>
      <c r="F21" s="1545" t="n">
        <f aca="false">F20</f>
        <v>24</v>
      </c>
      <c r="G21" s="1334" t="n">
        <f aca="false">IF(I21=0,0,I21/($C21*$D21*$F21*H21))</f>
        <v>0.091164095371669</v>
      </c>
      <c r="H21" s="1542" t="n">
        <f aca="false">IF(Avail_LDs_Switch=1,VLOOKUP('Plant Operations'!A21,RAC_AvailFactor_Table,RAC_LDs!$G$258),IF($A21&lt;Startops2,Tariff!$T$11,0))</f>
        <v>0.92</v>
      </c>
      <c r="I21" s="1543" t="n">
        <f aca="false">IF(OR($A21&lt;Startops1,$A21&gt;=Startops2),0,IF(AND($A21&gt;=DieselOps_2,$A21&lt;Startops2),VLOOKUP($A21,Diesel_Table,Tariff!$Y$41),VLOOKUP($A21,OA_Table,Tariff!$Y$26)))</f>
        <v>9360</v>
      </c>
      <c r="J21" s="1544" t="str">
        <f aca="false">IF(MONTH($A21)=12,SUM(I10:I21)," ")</f>
        <v> </v>
      </c>
      <c r="K21" s="1334" t="n">
        <f aca="false">IF(OR($A21&lt;Startops2,$A21&gt;=Endyr),0,VLOOKUP($A21,Capacity_Table,Tariff!$S$18))</f>
        <v>0</v>
      </c>
      <c r="L21" s="306" t="n">
        <f aca="false">IF(OR($A21&lt;Startops2,$A21&gt;=Endyr),0,VLOOKUP($A21,Capacity_Table,Tariff!$T$18))</f>
        <v>0</v>
      </c>
      <c r="M21" s="397" t="n">
        <f aca="false">IF($A21&lt;Startops2,0,IF($A21&lt;Startops3,VLOOKUP($A21,Convert_Table,Tariff!$Y$54),C21*D21*F21*K21*L21))</f>
        <v>0</v>
      </c>
      <c r="N21" s="1544" t="str">
        <f aca="false">IF(MONTH($A21)=12,SUM(M10:M21)," ")</f>
        <v> </v>
      </c>
      <c r="O21" s="397" t="n">
        <f aca="false">IF($A21&lt;Startops2,0,IF($A21&lt;Startops3,Hr_II,Hr_III))</f>
        <v>0</v>
      </c>
      <c r="P21" s="397" t="n">
        <f aca="false">M21*O21/1000</f>
        <v>0</v>
      </c>
      <c r="Q21" s="1545" t="str">
        <f aca="false">IF(MONTH($A21)=12,SUM(P10:P21)," ")</f>
        <v> </v>
      </c>
      <c r="R21" s="397" t="n">
        <f aca="false">IF($A21&gt;Endyr,0,IF($A21&lt;Assm!$A$55,P21,Assm!$F$55*$D21))</f>
        <v>0</v>
      </c>
      <c r="S21" s="1544" t="str">
        <f aca="false">IF(MONTH($A21)=12,SUM(R10:R21)," ")</f>
        <v> </v>
      </c>
      <c r="T21" s="397" t="n">
        <f aca="false">MAX(P21,R21)</f>
        <v>0</v>
      </c>
      <c r="U21" s="1546" t="str">
        <f aca="false">IF(MONTH($A21)=12,SUM(T10:T21)," ")</f>
        <v> </v>
      </c>
    </row>
    <row r="22" customFormat="false" ht="12.75" hidden="false" customHeight="false" outlineLevel="0" collapsed="false">
      <c r="A22" s="1538" t="n">
        <f aca="false">EDATE(A21,1)</f>
        <v>36557</v>
      </c>
      <c r="C22" s="1539" t="n">
        <f aca="false">IF($A22&gt;Endyr,0,VLOOKUP($A22,Capacity_Table,Tariff!$R$18))</f>
        <v>150</v>
      </c>
      <c r="D22" s="1540" t="n">
        <f aca="false">A23-A22</f>
        <v>29</v>
      </c>
      <c r="E22" s="1540" t="str">
        <f aca="false">IF(MONTH($A22)=12,SUM(D11:D22)," ")</f>
        <v> </v>
      </c>
      <c r="F22" s="1545" t="n">
        <f aca="false">F21</f>
        <v>24</v>
      </c>
      <c r="G22" s="1334" t="n">
        <f aca="false">IF(I22=0,0,I22/($C22*$D22*$F22*H22))</f>
        <v>0.0974512743628186</v>
      </c>
      <c r="H22" s="1542" t="n">
        <f aca="false">IF(Avail_LDs_Switch=1,VLOOKUP('Plant Operations'!A22,RAC_AvailFactor_Table,RAC_LDs!$G$258),IF($A22&lt;Startops2,Tariff!$T$11,0))</f>
        <v>0.92</v>
      </c>
      <c r="I22" s="1543" t="n">
        <f aca="false">IF(OR($A22&lt;Startops1,$A22&gt;=Startops2),0,IF(AND($A22&gt;=DieselOps_2,$A22&lt;Startops2),VLOOKUP($A22,Diesel_Table,Tariff!$Y$41),VLOOKUP($A22,OA_Table,Tariff!$Y$26)))</f>
        <v>9360</v>
      </c>
      <c r="J22" s="1544" t="str">
        <f aca="false">IF(MONTH($A22)=12,SUM(I11:I22)," ")</f>
        <v> </v>
      </c>
      <c r="K22" s="1334" t="n">
        <f aca="false">IF(OR($A22&lt;Startops2,$A22&gt;=Endyr),0,VLOOKUP($A22,Capacity_Table,Tariff!$S$18))</f>
        <v>0</v>
      </c>
      <c r="L22" s="306" t="n">
        <f aca="false">IF(OR($A22&lt;Startops2,$A22&gt;=Endyr),0,VLOOKUP($A22,Capacity_Table,Tariff!$T$18))</f>
        <v>0</v>
      </c>
      <c r="M22" s="397" t="n">
        <f aca="false">IF($A22&lt;Startops2,0,IF($A22&lt;Startops3,VLOOKUP($A22,Convert_Table,Tariff!$Y$54),C22*D22*F22*K22*L22))</f>
        <v>0</v>
      </c>
      <c r="N22" s="1544" t="str">
        <f aca="false">IF(MONTH($A22)=12,SUM(M11:M22)," ")</f>
        <v> </v>
      </c>
      <c r="O22" s="397" t="n">
        <f aca="false">IF($A22&lt;Startops2,0,IF($A22&lt;Startops3,Hr_II,Hr_III))</f>
        <v>0</v>
      </c>
      <c r="P22" s="397" t="n">
        <f aca="false">M22*O22/1000</f>
        <v>0</v>
      </c>
      <c r="Q22" s="1545" t="str">
        <f aca="false">IF(MONTH($A22)=12,SUM(P11:P22)," ")</f>
        <v> </v>
      </c>
      <c r="R22" s="397" t="n">
        <f aca="false">IF($A22&gt;Endyr,0,IF($A22&lt;Assm!$A$55,P22,Assm!$F$55*$D22))</f>
        <v>0</v>
      </c>
      <c r="S22" s="1544" t="str">
        <f aca="false">IF(MONTH($A22)=12,SUM(R11:R22)," ")</f>
        <v> </v>
      </c>
      <c r="T22" s="397" t="n">
        <f aca="false">MAX(P22,R22)</f>
        <v>0</v>
      </c>
      <c r="U22" s="1546" t="str">
        <f aca="false">IF(MONTH($A22)=12,SUM(T11:T22)," ")</f>
        <v> </v>
      </c>
    </row>
    <row r="23" customFormat="false" ht="12.75" hidden="false" customHeight="false" outlineLevel="0" collapsed="false">
      <c r="A23" s="1538" t="n">
        <f aca="false">EDATE(A22,1)</f>
        <v>36586</v>
      </c>
      <c r="C23" s="1539" t="n">
        <f aca="false">IF($A23&gt;Endyr,0,VLOOKUP($A23,Capacity_Table,Tariff!$R$18))</f>
        <v>150</v>
      </c>
      <c r="D23" s="1540" t="n">
        <f aca="false">A24-A23</f>
        <v>31</v>
      </c>
      <c r="E23" s="1540" t="str">
        <f aca="false">IF(MONTH($A23)=12,SUM(D12:D23)," ")</f>
        <v> </v>
      </c>
      <c r="F23" s="1545" t="n">
        <f aca="false">F22</f>
        <v>24</v>
      </c>
      <c r="G23" s="1334" t="n">
        <f aca="false">IF(I23=0,0,I23/($C23*$D23*$F23*H23))</f>
        <v>0.091164095371669</v>
      </c>
      <c r="H23" s="1542" t="n">
        <f aca="false">IF(Avail_LDs_Switch=1,VLOOKUP('Plant Operations'!A23,RAC_AvailFactor_Table,RAC_LDs!$G$258),IF($A23&lt;Startops2,Tariff!$T$11,0))</f>
        <v>0.92</v>
      </c>
      <c r="I23" s="1543" t="n">
        <f aca="false">IF(OR($A23&lt;Startops1,$A23&gt;=Startops2),0,IF(AND($A23&gt;=DieselOps_2,$A23&lt;Startops2),VLOOKUP($A23,Diesel_Table,Tariff!$Y$41),VLOOKUP($A23,OA_Table,Tariff!$Y$26)))</f>
        <v>9360</v>
      </c>
      <c r="J23" s="1544" t="str">
        <f aca="false">IF(MONTH($A23)=12,SUM(I12:I23)," ")</f>
        <v> </v>
      </c>
      <c r="K23" s="1334" t="n">
        <f aca="false">IF(OR($A23&lt;Startops2,$A23&gt;=Endyr),0,VLOOKUP($A23,Capacity_Table,Tariff!$S$18))</f>
        <v>0</v>
      </c>
      <c r="L23" s="306" t="n">
        <f aca="false">IF(OR($A23&lt;Startops2,$A23&gt;=Endyr),0,VLOOKUP($A23,Capacity_Table,Tariff!$T$18))</f>
        <v>0</v>
      </c>
      <c r="M23" s="397" t="n">
        <f aca="false">IF($A23&lt;Startops2,0,IF($A23&lt;Startops3,VLOOKUP($A23,Convert_Table,Tariff!$Y$54),C23*D23*F23*K23*L23))</f>
        <v>0</v>
      </c>
      <c r="N23" s="1544" t="str">
        <f aca="false">IF(MONTH($A23)=12,SUM(M12:M23)," ")</f>
        <v> </v>
      </c>
      <c r="O23" s="397" t="n">
        <f aca="false">IF($A23&lt;Startops2,0,IF($A23&lt;Startops3,Hr_II,Hr_III))</f>
        <v>0</v>
      </c>
      <c r="P23" s="397" t="n">
        <f aca="false">M23*O23/1000</f>
        <v>0</v>
      </c>
      <c r="Q23" s="1545" t="str">
        <f aca="false">IF(MONTH($A23)=12,SUM(P12:P23)," ")</f>
        <v> </v>
      </c>
      <c r="R23" s="397" t="n">
        <f aca="false">IF($A23&gt;Endyr,0,IF($A23&lt;Assm!$A$55,P23,Assm!$F$55*$D23))</f>
        <v>0</v>
      </c>
      <c r="S23" s="1544" t="str">
        <f aca="false">IF(MONTH($A23)=12,SUM(R12:R23)," ")</f>
        <v> </v>
      </c>
      <c r="T23" s="397" t="n">
        <f aca="false">MAX(P23,R23)</f>
        <v>0</v>
      </c>
      <c r="U23" s="1546" t="str">
        <f aca="false">IF(MONTH($A23)=12,SUM(T12:T23)," ")</f>
        <v> </v>
      </c>
    </row>
    <row r="24" customFormat="false" ht="12.75" hidden="false" customHeight="false" outlineLevel="0" collapsed="false">
      <c r="A24" s="1538" t="n">
        <f aca="false">EDATE(A23,1)</f>
        <v>36617</v>
      </c>
      <c r="C24" s="1539" t="n">
        <f aca="false">IF($A24&gt;Endyr,0,VLOOKUP($A24,Capacity_Table,Tariff!$R$18))</f>
        <v>150</v>
      </c>
      <c r="D24" s="1540" t="n">
        <f aca="false">A25-A24</f>
        <v>30</v>
      </c>
      <c r="E24" s="1540" t="str">
        <f aca="false">IF(MONTH($A24)=12,SUM(D13:D24)," ")</f>
        <v> </v>
      </c>
      <c r="F24" s="1545" t="n">
        <f aca="false">F23</f>
        <v>24</v>
      </c>
      <c r="G24" s="1334" t="n">
        <f aca="false">IF(I24=0,0,I24/($C24*$D24*$F24*H24))</f>
        <v>0.0942028985507246</v>
      </c>
      <c r="H24" s="1542" t="n">
        <f aca="false">IF(Avail_LDs_Switch=1,VLOOKUP('Plant Operations'!A24,RAC_AvailFactor_Table,RAC_LDs!$G$258),IF($A24&lt;Startops2,Tariff!$T$11,0))</f>
        <v>0.92</v>
      </c>
      <c r="I24" s="1543" t="n">
        <f aca="false">IF(OR($A24&lt;Startops1,$A24&gt;=Startops2),0,IF(AND($A24&gt;=DieselOps_2,$A24&lt;Startops2),VLOOKUP($A24,Diesel_Table,Tariff!$Y$41),VLOOKUP($A24,OA_Table,Tariff!$Y$26)))</f>
        <v>9360</v>
      </c>
      <c r="J24" s="1544" t="str">
        <f aca="false">IF(MONTH($A24)=12,SUM(I13:I24)," ")</f>
        <v> </v>
      </c>
      <c r="K24" s="1334" t="n">
        <f aca="false">IF(OR($A24&lt;Startops2,$A24&gt;=Endyr),0,VLOOKUP($A24,Capacity_Table,Tariff!$S$18))</f>
        <v>0</v>
      </c>
      <c r="L24" s="306" t="n">
        <f aca="false">IF(OR($A24&lt;Startops2,$A24&gt;=Endyr),0,VLOOKUP($A24,Capacity_Table,Tariff!$T$18))</f>
        <v>0</v>
      </c>
      <c r="M24" s="397" t="n">
        <f aca="false">IF($A24&lt;Startops2,0,IF($A24&lt;Startops3,VLOOKUP($A24,Convert_Table,Tariff!$Y$54),C24*D24*F24*K24*L24))</f>
        <v>0</v>
      </c>
      <c r="N24" s="1544" t="str">
        <f aca="false">IF(MONTH($A24)=12,SUM(M13:M24)," ")</f>
        <v> </v>
      </c>
      <c r="O24" s="397" t="n">
        <f aca="false">IF($A24&lt;Startops2,0,IF($A24&lt;Startops3,Hr_II,Hr_III))</f>
        <v>0</v>
      </c>
      <c r="P24" s="397" t="n">
        <f aca="false">M24*O24/1000</f>
        <v>0</v>
      </c>
      <c r="Q24" s="1545" t="str">
        <f aca="false">IF(MONTH($A24)=12,SUM(P13:P24)," ")</f>
        <v> </v>
      </c>
      <c r="R24" s="397" t="n">
        <f aca="false">IF($A24&gt;Endyr,0,IF($A24&lt;Assm!$A$55,P24,Assm!$F$55*$D24))</f>
        <v>0</v>
      </c>
      <c r="S24" s="1544" t="str">
        <f aca="false">IF(MONTH($A24)=12,SUM(R13:R24)," ")</f>
        <v> </v>
      </c>
      <c r="T24" s="397" t="n">
        <f aca="false">MAX(P24,R24)</f>
        <v>0</v>
      </c>
      <c r="U24" s="1546" t="str">
        <f aca="false">IF(MONTH($A24)=12,SUM(T13:T24)," ")</f>
        <v> </v>
      </c>
    </row>
    <row r="25" customFormat="false" ht="12.75" hidden="false" customHeight="false" outlineLevel="0" collapsed="false">
      <c r="A25" s="1538" t="n">
        <f aca="false">EDATE(A24,1)</f>
        <v>36647</v>
      </c>
      <c r="C25" s="1539" t="n">
        <f aca="false">IF($A25&gt;Endyr,0,VLOOKUP($A25,Capacity_Table,Tariff!$R$18))</f>
        <v>150</v>
      </c>
      <c r="D25" s="1540" t="n">
        <f aca="false">A26-A25</f>
        <v>31</v>
      </c>
      <c r="E25" s="1540" t="str">
        <f aca="false">IF(MONTH($A25)=12,SUM(D14:D25)," ")</f>
        <v> </v>
      </c>
      <c r="F25" s="1545" t="n">
        <f aca="false">F24</f>
        <v>24</v>
      </c>
      <c r="G25" s="1334" t="n">
        <f aca="false">IF(I25=0,0,I25/($C25*$D25*$F25*H25))</f>
        <v>0.091164095371669</v>
      </c>
      <c r="H25" s="1542" t="n">
        <f aca="false">IF(Avail_LDs_Switch=1,VLOOKUP('Plant Operations'!A25,RAC_AvailFactor_Table,RAC_LDs!$G$258),IF($A25&lt;Startops2,Tariff!$T$11,0))</f>
        <v>0.92</v>
      </c>
      <c r="I25" s="1543" t="n">
        <f aca="false">IF(OR($A25&lt;Startops1,$A25&gt;=Startops2),0,IF(AND($A25&gt;=DieselOps_2,$A25&lt;Startops2),VLOOKUP($A25,Diesel_Table,Tariff!$Y$41),VLOOKUP($A25,OA_Table,Tariff!$Y$26)))</f>
        <v>9360</v>
      </c>
      <c r="J25" s="1544" t="str">
        <f aca="false">IF(MONTH($A25)=12,SUM(I14:I25)," ")</f>
        <v> </v>
      </c>
      <c r="K25" s="1334" t="n">
        <f aca="false">IF(OR($A25&lt;Startops2,$A25&gt;=Endyr),0,VLOOKUP($A25,Capacity_Table,Tariff!$S$18))</f>
        <v>0</v>
      </c>
      <c r="L25" s="306" t="n">
        <f aca="false">IF(OR($A25&lt;Startops2,$A25&gt;=Endyr),0,VLOOKUP($A25,Capacity_Table,Tariff!$T$18))</f>
        <v>0</v>
      </c>
      <c r="M25" s="397" t="n">
        <f aca="false">IF($A25&lt;Startops2,0,IF($A25&lt;Startops3,VLOOKUP($A25,Convert_Table,Tariff!$Y$54),C25*D25*F25*K25*L25))</f>
        <v>0</v>
      </c>
      <c r="N25" s="1544" t="str">
        <f aca="false">IF(MONTH($A25)=12,SUM(M14:M25)," ")</f>
        <v> </v>
      </c>
      <c r="O25" s="397" t="n">
        <f aca="false">IF($A25&lt;Startops2,0,IF($A25&lt;Startops3,Hr_II,Hr_III))</f>
        <v>0</v>
      </c>
      <c r="P25" s="397" t="n">
        <f aca="false">M25*O25/1000</f>
        <v>0</v>
      </c>
      <c r="Q25" s="1545" t="str">
        <f aca="false">IF(MONTH($A25)=12,SUM(P14:P25)," ")</f>
        <v> </v>
      </c>
      <c r="R25" s="397" t="n">
        <f aca="false">IF($A25&gt;Endyr,0,IF($A25&lt;Assm!$A$55,P25,Assm!$F$55*$D25))</f>
        <v>0</v>
      </c>
      <c r="S25" s="1544" t="str">
        <f aca="false">IF(MONTH($A25)=12,SUM(R14:R25)," ")</f>
        <v> </v>
      </c>
      <c r="T25" s="397" t="n">
        <f aca="false">MAX(P25,R25)</f>
        <v>0</v>
      </c>
      <c r="U25" s="1546" t="str">
        <f aca="false">IF(MONTH($A25)=12,SUM(T14:T25)," ")</f>
        <v> </v>
      </c>
    </row>
    <row r="26" customFormat="false" ht="12.75" hidden="false" customHeight="false" outlineLevel="0" collapsed="false">
      <c r="A26" s="1538" t="n">
        <f aca="false">EDATE(A25,1)</f>
        <v>36678</v>
      </c>
      <c r="C26" s="1539" t="n">
        <f aca="false">IF($A26&gt;Endyr,0,VLOOKUP($A26,Capacity_Table,Tariff!$R$18))</f>
        <v>150</v>
      </c>
      <c r="D26" s="1540" t="n">
        <f aca="false">A27-A26</f>
        <v>30</v>
      </c>
      <c r="E26" s="1540" t="str">
        <f aca="false">IF(MONTH($A26)=12,SUM(D15:D26)," ")</f>
        <v> </v>
      </c>
      <c r="F26" s="1545" t="n">
        <f aca="false">F25</f>
        <v>24</v>
      </c>
      <c r="G26" s="1334" t="n">
        <f aca="false">IF(I26=0,0,I26/($C26*$D26*$F26*H26))</f>
        <v>0.91</v>
      </c>
      <c r="H26" s="1542" t="n">
        <f aca="false">IF(Avail_LDs_Switch=1,VLOOKUP('Plant Operations'!A26,RAC_AvailFactor_Table,RAC_LDs!$G$258),IF($A26&lt;Startops2,Tariff!$T$11,0))</f>
        <v>0.92</v>
      </c>
      <c r="I26" s="1543" t="n">
        <f aca="false">IF(OR($A26&lt;Startops1,$A26&gt;=Startops2),0,IF(AND($A26&gt;=DieselOps_2,$A26&lt;Startops2),VLOOKUP($A26,Diesel_Table,Tariff!$Y$41),VLOOKUP($A26,OA_Table,Tariff!$Y$26)))</f>
        <v>90417.6</v>
      </c>
      <c r="J26" s="1544" t="str">
        <f aca="false">IF(MONTH($A26)=12,SUM(I15:I26)," ")</f>
        <v> </v>
      </c>
      <c r="K26" s="1334" t="n">
        <f aca="false">IF(OR($A26&lt;Startops2,$A26&gt;=Endyr),0,VLOOKUP($A26,Capacity_Table,Tariff!$S$18))</f>
        <v>0</v>
      </c>
      <c r="L26" s="306" t="n">
        <f aca="false">IF(OR($A26&lt;Startops2,$A26&gt;=Endyr),0,VLOOKUP($A26,Capacity_Table,Tariff!$T$18))</f>
        <v>0</v>
      </c>
      <c r="M26" s="397" t="n">
        <f aca="false">IF($A26&lt;Startops2,0,IF($A26&lt;Startops3,VLOOKUP($A26,Convert_Table,Tariff!$Y$54),C26*D26*F26*K26*L26))</f>
        <v>0</v>
      </c>
      <c r="N26" s="1544" t="str">
        <f aca="false">IF(MONTH($A26)=12,SUM(M15:M26)," ")</f>
        <v> </v>
      </c>
      <c r="O26" s="397" t="n">
        <f aca="false">IF($A26&lt;Startops2,0,IF($A26&lt;Startops3,Hr_II,Hr_III))</f>
        <v>0</v>
      </c>
      <c r="P26" s="397" t="n">
        <f aca="false">M26*O26/1000</f>
        <v>0</v>
      </c>
      <c r="Q26" s="1545" t="str">
        <f aca="false">IF(MONTH($A26)=12,SUM(P15:P26)," ")</f>
        <v> </v>
      </c>
      <c r="R26" s="397" t="n">
        <f aca="false">IF($A26&gt;Endyr,0,IF($A26&lt;Assm!$A$55,P26,Assm!$F$55*$D26))</f>
        <v>0</v>
      </c>
      <c r="S26" s="1544" t="str">
        <f aca="false">IF(MONTH($A26)=12,SUM(R15:R26)," ")</f>
        <v> </v>
      </c>
      <c r="T26" s="397" t="n">
        <f aca="false">MAX(P26,R26)</f>
        <v>0</v>
      </c>
      <c r="U26" s="1546" t="str">
        <f aca="false">IF(MONTH($A26)=12,SUM(T15:T26)," ")</f>
        <v> </v>
      </c>
    </row>
    <row r="27" customFormat="false" ht="12.75" hidden="false" customHeight="false" outlineLevel="0" collapsed="false">
      <c r="A27" s="1538" t="n">
        <f aca="false">EDATE(A26,1)</f>
        <v>36708</v>
      </c>
      <c r="C27" s="1539" t="n">
        <f aca="false">IF($A27&gt;Endyr,0,VLOOKUP($A27,Capacity_Table,Tariff!$R$18))</f>
        <v>150</v>
      </c>
      <c r="D27" s="1540" t="n">
        <f aca="false">A28-A27</f>
        <v>31</v>
      </c>
      <c r="E27" s="1540" t="str">
        <f aca="false">IF(MONTH($A27)=12,SUM(D16:D27)," ")</f>
        <v> </v>
      </c>
      <c r="F27" s="1545" t="n">
        <f aca="false">F26</f>
        <v>24</v>
      </c>
      <c r="G27" s="1334" t="n">
        <f aca="false">IF(I27=0,0,I27/($C27*$D27*$F27*H27))</f>
        <v>0.91</v>
      </c>
      <c r="H27" s="1542" t="n">
        <f aca="false">IF(Avail_LDs_Switch=1,VLOOKUP('Plant Operations'!A27,RAC_AvailFactor_Table,RAC_LDs!$G$258),IF($A27&lt;Startops2,Tariff!$T$11,0))</f>
        <v>0.92</v>
      </c>
      <c r="I27" s="1543" t="n">
        <f aca="false">IF(OR($A27&lt;Startops1,$A27&gt;=Startops2),0,IF(AND($A27&gt;=DieselOps_2,$A27&lt;Startops2),VLOOKUP($A27,Diesel_Table,Tariff!$Y$41),VLOOKUP($A27,OA_Table,Tariff!$Y$26)))</f>
        <v>93431.52</v>
      </c>
      <c r="J27" s="1544" t="str">
        <f aca="false">IF(MONTH($A27)=12,SUM(I16:I27)," ")</f>
        <v> </v>
      </c>
      <c r="K27" s="1334" t="n">
        <f aca="false">IF(OR($A27&lt;Startops2,$A27&gt;=Endyr),0,VLOOKUP($A27,Capacity_Table,Tariff!$S$18))</f>
        <v>0</v>
      </c>
      <c r="L27" s="306" t="n">
        <f aca="false">IF(OR($A27&lt;Startops2,$A27&gt;=Endyr),0,VLOOKUP($A27,Capacity_Table,Tariff!$T$18))</f>
        <v>0</v>
      </c>
      <c r="M27" s="397" t="n">
        <f aca="false">IF($A27&lt;Startops2,0,IF($A27&lt;Startops3,VLOOKUP($A27,Convert_Table,Tariff!$Y$54),C27*D27*F27*K27*L27))</f>
        <v>0</v>
      </c>
      <c r="N27" s="1544" t="str">
        <f aca="false">IF(MONTH($A27)=12,SUM(M16:M27)," ")</f>
        <v> </v>
      </c>
      <c r="O27" s="397" t="n">
        <f aca="false">IF($A27&lt;Startops2,0,IF($A27&lt;Startops3,Hr_II,Hr_III))</f>
        <v>0</v>
      </c>
      <c r="P27" s="397" t="n">
        <f aca="false">M27*O27/1000</f>
        <v>0</v>
      </c>
      <c r="Q27" s="1545" t="str">
        <f aca="false">IF(MONTH($A27)=12,SUM(P16:P27)," ")</f>
        <v> </v>
      </c>
      <c r="R27" s="397" t="n">
        <f aca="false">IF($A27&gt;Endyr,0,IF($A27&lt;Assm!$A$55,P27,Assm!$F$55*$D27))</f>
        <v>0</v>
      </c>
      <c r="S27" s="1544" t="str">
        <f aca="false">IF(MONTH($A27)=12,SUM(R16:R27)," ")</f>
        <v> </v>
      </c>
      <c r="T27" s="397" t="n">
        <f aca="false">MAX(P27,R27)</f>
        <v>0</v>
      </c>
      <c r="U27" s="1546" t="str">
        <f aca="false">IF(MONTH($A27)=12,SUM(T16:T27)," ")</f>
        <v> </v>
      </c>
    </row>
    <row r="28" customFormat="false" ht="12.75" hidden="false" customHeight="false" outlineLevel="0" collapsed="false">
      <c r="A28" s="1538" t="n">
        <f aca="false">EDATE(A27,1)</f>
        <v>36739</v>
      </c>
      <c r="C28" s="1539" t="n">
        <f aca="false">IF($A28&gt;Endyr,0,VLOOKUP($A28,Capacity_Table,Tariff!$R$18))</f>
        <v>150</v>
      </c>
      <c r="D28" s="1540" t="n">
        <f aca="false">A29-A28</f>
        <v>31</v>
      </c>
      <c r="E28" s="1540" t="str">
        <f aca="false">IF(MONTH($A28)=12,SUM(D17:D28)," ")</f>
        <v> </v>
      </c>
      <c r="F28" s="1545" t="n">
        <f aca="false">F27</f>
        <v>24</v>
      </c>
      <c r="G28" s="1334" t="n">
        <f aca="false">IF(I28=0,0,I28/($C28*$D28*$F28*H28))</f>
        <v>0.91</v>
      </c>
      <c r="H28" s="1542" t="n">
        <f aca="false">IF(Avail_LDs_Switch=1,VLOOKUP('Plant Operations'!A28,RAC_AvailFactor_Table,RAC_LDs!$G$258),IF($A28&lt;Startops2,Tariff!$T$11,0))</f>
        <v>0.92</v>
      </c>
      <c r="I28" s="1543" t="n">
        <f aca="false">IF(OR($A28&lt;Startops1,$A28&gt;=Startops2),0,IF(AND($A28&gt;=DieselOps_2,$A28&lt;Startops2),VLOOKUP($A28,Diesel_Table,Tariff!$Y$41),VLOOKUP($A28,OA_Table,Tariff!$Y$26)))</f>
        <v>93431.52</v>
      </c>
      <c r="J28" s="1544" t="str">
        <f aca="false">IF(MONTH($A28)=12,SUM(I17:I28)," ")</f>
        <v> </v>
      </c>
      <c r="K28" s="1334" t="n">
        <f aca="false">IF(OR($A28&lt;Startops2,$A28&gt;=Endyr),0,VLOOKUP($A28,Capacity_Table,Tariff!$S$18))</f>
        <v>0</v>
      </c>
      <c r="L28" s="306" t="n">
        <f aca="false">IF(OR($A28&lt;Startops2,$A28&gt;=Endyr),0,VLOOKUP($A28,Capacity_Table,Tariff!$T$18))</f>
        <v>0</v>
      </c>
      <c r="M28" s="397" t="n">
        <f aca="false">IF($A28&lt;Startops2,0,IF($A28&lt;Startops3,VLOOKUP($A28,Convert_Table,Tariff!$Y$54),C28*D28*F28*K28*L28))</f>
        <v>0</v>
      </c>
      <c r="N28" s="1544" t="str">
        <f aca="false">IF(MONTH($A28)=12,SUM(M17:M28)," ")</f>
        <v> </v>
      </c>
      <c r="O28" s="397" t="n">
        <f aca="false">IF($A28&lt;Startops2,0,IF($A28&lt;Startops3,Hr_II,Hr_III))</f>
        <v>0</v>
      </c>
      <c r="P28" s="397" t="n">
        <f aca="false">M28*O28/1000</f>
        <v>0</v>
      </c>
      <c r="Q28" s="1545" t="str">
        <f aca="false">IF(MONTH($A28)=12,SUM(P17:P28)," ")</f>
        <v> </v>
      </c>
      <c r="R28" s="397" t="n">
        <f aca="false">IF($A28&gt;Endyr,0,IF($A28&lt;Assm!$A$55,P28,Assm!$F$55*$D28))</f>
        <v>0</v>
      </c>
      <c r="S28" s="1544" t="str">
        <f aca="false">IF(MONTH($A28)=12,SUM(R17:R28)," ")</f>
        <v> </v>
      </c>
      <c r="T28" s="397" t="n">
        <f aca="false">MAX(P28,R28)</f>
        <v>0</v>
      </c>
      <c r="U28" s="1546" t="str">
        <f aca="false">IF(MONTH($A28)=12,SUM(T17:T28)," ")</f>
        <v> </v>
      </c>
    </row>
    <row r="29" customFormat="false" ht="12.75" hidden="false" customHeight="false" outlineLevel="0" collapsed="false">
      <c r="A29" s="1538" t="n">
        <f aca="false">EDATE(A28,1)</f>
        <v>36770</v>
      </c>
      <c r="C29" s="1539" t="n">
        <f aca="false">IF($A29&gt;Endyr,0,VLOOKUP($A29,Capacity_Table,Tariff!$R$18))</f>
        <v>150</v>
      </c>
      <c r="D29" s="1540" t="n">
        <f aca="false">A30-A29</f>
        <v>30</v>
      </c>
      <c r="E29" s="1540" t="str">
        <f aca="false">IF(MONTH($A29)=12,SUM(D18:D29)," ")</f>
        <v> </v>
      </c>
      <c r="F29" s="1545" t="n">
        <f aca="false">F28</f>
        <v>24</v>
      </c>
      <c r="G29" s="1334" t="n">
        <f aca="false">IF(I29=0,0,I29/($C29*$D29*$F29*H29))</f>
        <v>0.91</v>
      </c>
      <c r="H29" s="1542" t="n">
        <f aca="false">IF(Avail_LDs_Switch=1,VLOOKUP('Plant Operations'!A29,RAC_AvailFactor_Table,RAC_LDs!$G$258),IF($A29&lt;Startops2,Tariff!$T$11,0))</f>
        <v>0.92</v>
      </c>
      <c r="I29" s="1543" t="n">
        <f aca="false">IF(OR($A29&lt;Startops1,$A29&gt;=Startops2),0,IF(AND($A29&gt;=DieselOps_2,$A29&lt;Startops2),VLOOKUP($A29,Diesel_Table,Tariff!$Y$41),VLOOKUP($A29,OA_Table,Tariff!$Y$26)))</f>
        <v>90417.6</v>
      </c>
      <c r="J29" s="1544" t="str">
        <f aca="false">IF(MONTH($A29)=12,SUM(I18:I29)," ")</f>
        <v> </v>
      </c>
      <c r="K29" s="1334" t="n">
        <f aca="false">IF(OR($A29&lt;Startops2,$A29&gt;=Endyr),0,VLOOKUP($A29,Capacity_Table,Tariff!$S$18))</f>
        <v>0</v>
      </c>
      <c r="L29" s="306" t="n">
        <f aca="false">IF(OR($A29&lt;Startops2,$A29&gt;=Endyr),0,VLOOKUP($A29,Capacity_Table,Tariff!$T$18))</f>
        <v>0</v>
      </c>
      <c r="M29" s="397" t="n">
        <f aca="false">IF($A29&lt;Startops2,0,IF($A29&lt;Startops3,VLOOKUP($A29,Convert_Table,Tariff!$Y$54),C29*D29*F29*K29*L29))</f>
        <v>0</v>
      </c>
      <c r="N29" s="1544" t="str">
        <f aca="false">IF(MONTH($A29)=12,SUM(M18:M29)," ")</f>
        <v> </v>
      </c>
      <c r="O29" s="397" t="n">
        <f aca="false">IF($A29&lt;Startops2,0,IF($A29&lt;Startops3,Hr_II,Hr_III))</f>
        <v>0</v>
      </c>
      <c r="P29" s="397" t="n">
        <f aca="false">M29*O29/1000</f>
        <v>0</v>
      </c>
      <c r="Q29" s="1545" t="str">
        <f aca="false">IF(MONTH($A29)=12,SUM(P18:P29)," ")</f>
        <v> </v>
      </c>
      <c r="R29" s="397" t="n">
        <f aca="false">IF($A29&gt;Endyr,0,IF($A29&lt;Assm!$A$55,P29,Assm!$F$55*$D29))</f>
        <v>0</v>
      </c>
      <c r="S29" s="1544" t="str">
        <f aca="false">IF(MONTH($A29)=12,SUM(R18:R29)," ")</f>
        <v> </v>
      </c>
      <c r="T29" s="397" t="n">
        <f aca="false">MAX(P29,R29)</f>
        <v>0</v>
      </c>
      <c r="U29" s="1546" t="str">
        <f aca="false">IF(MONTH($A29)=12,SUM(T18:T29)," ")</f>
        <v> </v>
      </c>
    </row>
    <row r="30" customFormat="false" ht="12.75" hidden="false" customHeight="false" outlineLevel="0" collapsed="false">
      <c r="A30" s="1538" t="n">
        <f aca="false">EDATE(A29,1)</f>
        <v>36800</v>
      </c>
      <c r="C30" s="1539" t="n">
        <f aca="false">IF($A30&gt;Endyr,0,VLOOKUP($A30,Capacity_Table,Tariff!$R$18))</f>
        <v>150</v>
      </c>
      <c r="D30" s="1540" t="n">
        <f aca="false">A31-A30</f>
        <v>31</v>
      </c>
      <c r="E30" s="1540" t="str">
        <f aca="false">IF(MONTH($A30)=12,SUM(D19:D30)," ")</f>
        <v> </v>
      </c>
      <c r="F30" s="1545" t="n">
        <f aca="false">F29</f>
        <v>24</v>
      </c>
      <c r="G30" s="1334" t="n">
        <f aca="false">IF(I30=0,0,I30/($C30*$D30*$F30*H30))</f>
        <v>0.91</v>
      </c>
      <c r="H30" s="1542" t="n">
        <f aca="false">IF(Avail_LDs_Switch=1,VLOOKUP('Plant Operations'!A30,RAC_AvailFactor_Table,RAC_LDs!$G$258),IF($A30&lt;Startops2,Tariff!$T$11,0))</f>
        <v>0.92</v>
      </c>
      <c r="I30" s="1543" t="n">
        <f aca="false">IF(OR($A30&lt;Startops1,$A30&gt;=Startops2),0,IF(AND($A30&gt;=DieselOps_2,$A30&lt;Startops2),VLOOKUP($A30,Diesel_Table,Tariff!$Y$41),VLOOKUP($A30,OA_Table,Tariff!$Y$26)))</f>
        <v>93431.52</v>
      </c>
      <c r="J30" s="1544" t="str">
        <f aca="false">IF(MONTH($A30)=12,SUM(I19:I30)," ")</f>
        <v> </v>
      </c>
      <c r="K30" s="1334" t="n">
        <f aca="false">IF(OR($A30&lt;Startops2,$A30&gt;=Endyr),0,VLOOKUP($A30,Capacity_Table,Tariff!$S$18))</f>
        <v>0</v>
      </c>
      <c r="L30" s="306" t="n">
        <f aca="false">IF(OR($A30&lt;Startops2,$A30&gt;=Endyr),0,VLOOKUP($A30,Capacity_Table,Tariff!$T$18))</f>
        <v>0</v>
      </c>
      <c r="M30" s="397" t="n">
        <f aca="false">IF($A30&lt;Startops2,0,IF($A30&lt;Startops3,VLOOKUP($A30,Convert_Table,Tariff!$Y$54),C30*D30*F30*K30*L30))</f>
        <v>0</v>
      </c>
      <c r="N30" s="1544" t="str">
        <f aca="false">IF(MONTH($A30)=12,SUM(M19:M30)," ")</f>
        <v> </v>
      </c>
      <c r="O30" s="397" t="n">
        <f aca="false">IF($A30&lt;Startops2,0,IF($A30&lt;Startops3,Hr_II,Hr_III))</f>
        <v>0</v>
      </c>
      <c r="P30" s="397" t="n">
        <f aca="false">M30*O30/1000</f>
        <v>0</v>
      </c>
      <c r="Q30" s="1545" t="str">
        <f aca="false">IF(MONTH($A30)=12,SUM(P19:P30)," ")</f>
        <v> </v>
      </c>
      <c r="R30" s="397" t="n">
        <f aca="false">IF($A30&gt;Endyr,0,IF($A30&lt;Assm!$A$55,P30,Assm!$F$55*$D30))</f>
        <v>0</v>
      </c>
      <c r="S30" s="1544" t="str">
        <f aca="false">IF(MONTH($A30)=12,SUM(R19:R30)," ")</f>
        <v> </v>
      </c>
      <c r="T30" s="397" t="n">
        <f aca="false">MAX(P30,R30)</f>
        <v>0</v>
      </c>
      <c r="U30" s="1546" t="str">
        <f aca="false">IF(MONTH($A30)=12,SUM(T19:T30)," ")</f>
        <v> </v>
      </c>
    </row>
    <row r="31" customFormat="false" ht="12.75" hidden="false" customHeight="false" outlineLevel="0" collapsed="false">
      <c r="A31" s="1538" t="n">
        <f aca="false">EDATE(A30,1)</f>
        <v>36831</v>
      </c>
      <c r="C31" s="1539" t="n">
        <f aca="false">IF($A31&gt;Endyr,0,VLOOKUP($A31,Capacity_Table,Tariff!$R$18))</f>
        <v>150</v>
      </c>
      <c r="D31" s="1540" t="n">
        <f aca="false">A32-A31</f>
        <v>30</v>
      </c>
      <c r="E31" s="1540" t="str">
        <f aca="false">IF(MONTH($A31)=12,SUM(D20:D31)," ")</f>
        <v> </v>
      </c>
      <c r="F31" s="1545" t="n">
        <f aca="false">F30</f>
        <v>24</v>
      </c>
      <c r="G31" s="1334" t="n">
        <f aca="false">IF(I31=0,0,I31/($C31*$D31*$F31*H31))</f>
        <v>0.91</v>
      </c>
      <c r="H31" s="1542" t="n">
        <f aca="false">IF(Avail_LDs_Switch=1,VLOOKUP('Plant Operations'!A31,RAC_AvailFactor_Table,RAC_LDs!$G$258),IF($A31&lt;Startops2,Tariff!$T$11,0))</f>
        <v>0.92</v>
      </c>
      <c r="I31" s="1543" t="n">
        <f aca="false">IF(OR($A31&lt;Startops1,$A31&gt;=Startops2),0,IF(AND($A31&gt;=DieselOps_2,$A31&lt;Startops2),VLOOKUP($A31,Diesel_Table,Tariff!$Y$41),VLOOKUP($A31,OA_Table,Tariff!$Y$26)))</f>
        <v>90417.6</v>
      </c>
      <c r="J31" s="1544" t="str">
        <f aca="false">IF(MONTH($A31)=12,SUM(I20:I31)," ")</f>
        <v> </v>
      </c>
      <c r="K31" s="1334" t="n">
        <f aca="false">IF(OR($A31&lt;Startops2,$A31&gt;=Endyr),0,VLOOKUP($A31,Capacity_Table,Tariff!$S$18))</f>
        <v>0</v>
      </c>
      <c r="L31" s="306" t="n">
        <f aca="false">IF(OR($A31&lt;Startops2,$A31&gt;=Endyr),0,VLOOKUP($A31,Capacity_Table,Tariff!$T$18))</f>
        <v>0</v>
      </c>
      <c r="M31" s="397" t="n">
        <f aca="false">IF($A31&lt;Startops2,0,IF($A31&lt;Startops3,VLOOKUP($A31,Convert_Table,Tariff!$Y$54),C31*D31*F31*K31*L31))</f>
        <v>0</v>
      </c>
      <c r="N31" s="1544" t="str">
        <f aca="false">IF(MONTH($A31)=12,SUM(M20:M31)," ")</f>
        <v> </v>
      </c>
      <c r="O31" s="397" t="n">
        <f aca="false">IF($A31&lt;Startops2,0,IF($A31&lt;Startops3,Hr_II,Hr_III))</f>
        <v>0</v>
      </c>
      <c r="P31" s="397" t="n">
        <f aca="false">M31*O31/1000</f>
        <v>0</v>
      </c>
      <c r="Q31" s="1545" t="str">
        <f aca="false">IF(MONTH($A31)=12,SUM(P20:P31)," ")</f>
        <v> </v>
      </c>
      <c r="R31" s="397" t="n">
        <f aca="false">IF($A31&gt;Endyr,0,IF($A31&lt;Assm!$A$55,P31,Assm!$F$55*$D31))</f>
        <v>0</v>
      </c>
      <c r="S31" s="1544" t="str">
        <f aca="false">IF(MONTH($A31)=12,SUM(R20:R31)," ")</f>
        <v> </v>
      </c>
      <c r="T31" s="397" t="n">
        <f aca="false">MAX(P31,R31)</f>
        <v>0</v>
      </c>
      <c r="U31" s="1546" t="str">
        <f aca="false">IF(MONTH($A31)=12,SUM(T20:T31)," ")</f>
        <v> </v>
      </c>
    </row>
    <row r="32" customFormat="false" ht="12.75" hidden="false" customHeight="false" outlineLevel="0" collapsed="false">
      <c r="A32" s="1538" t="n">
        <f aca="false">EDATE(A31,1)</f>
        <v>36861</v>
      </c>
      <c r="C32" s="1539" t="n">
        <f aca="false">IF($A32&gt;Endyr,0,VLOOKUP($A32,Capacity_Table,Tariff!$R$18))</f>
        <v>150</v>
      </c>
      <c r="D32" s="1540" t="n">
        <f aca="false">A33-A32</f>
        <v>31</v>
      </c>
      <c r="E32" s="1540" t="n">
        <f aca="false">IF(MONTH($A32)=12,SUM(D21:D32)," ")</f>
        <v>366</v>
      </c>
      <c r="F32" s="1545" t="n">
        <f aca="false">F31</f>
        <v>24</v>
      </c>
      <c r="G32" s="1334" t="n">
        <f aca="false">IF(I32=0,0,I32/($C32*$D32*$F32*H32))</f>
        <v>0.91</v>
      </c>
      <c r="H32" s="1542" t="n">
        <f aca="false">IF(Avail_LDs_Switch=1,VLOOKUP('Plant Operations'!A32,RAC_AvailFactor_Table,RAC_LDs!$G$258),IF($A32&lt;Startops2,Tariff!$T$11,0))</f>
        <v>0.92</v>
      </c>
      <c r="I32" s="1543" t="n">
        <f aca="false">IF(OR($A32&lt;Startops1,$A32&gt;=Startops2),0,IF(AND($A32&gt;=DieselOps_2,$A32&lt;Startops2),VLOOKUP($A32,Diesel_Table,Tariff!$Y$41),VLOOKUP($A32,OA_Table,Tariff!$Y$26)))</f>
        <v>93431.52</v>
      </c>
      <c r="J32" s="1544" t="n">
        <f aca="false">IF(MONTH($A32)=12,SUM(I21:I32)," ")</f>
        <v>691778.88</v>
      </c>
      <c r="K32" s="1334" t="n">
        <f aca="false">IF(OR($A32&lt;Startops2,$A32&gt;=Endyr),0,VLOOKUP($A32,Capacity_Table,Tariff!$S$18))</f>
        <v>0</v>
      </c>
      <c r="L32" s="306" t="n">
        <f aca="false">IF(OR($A32&lt;Startops2,$A32&gt;=Endyr),0,VLOOKUP($A32,Capacity_Table,Tariff!$T$18))</f>
        <v>0</v>
      </c>
      <c r="M32" s="397" t="n">
        <f aca="false">IF($A32&lt;Startops2,0,IF($A32&lt;Startops3,VLOOKUP($A32,Convert_Table,Tariff!$Y$54),C32*D32*F32*K32*L32))</f>
        <v>0</v>
      </c>
      <c r="N32" s="1544" t="n">
        <f aca="false">IF(MONTH($A32)=12,SUM(M21:M32)," ")</f>
        <v>0</v>
      </c>
      <c r="O32" s="397" t="n">
        <f aca="false">IF($A32&lt;Startops2,0,IF($A32&lt;Startops3,Hr_II,Hr_III))</f>
        <v>0</v>
      </c>
      <c r="P32" s="397" t="n">
        <f aca="false">M32*O32/1000</f>
        <v>0</v>
      </c>
      <c r="Q32" s="1545" t="n">
        <f aca="false">IF(MONTH($A32)=12,SUM(P21:P32)," ")</f>
        <v>0</v>
      </c>
      <c r="R32" s="397" t="n">
        <f aca="false">IF($A32&gt;Endyr,0,IF($A32&lt;Assm!$A$55,P32,Assm!$F$55*$D32))</f>
        <v>0</v>
      </c>
      <c r="S32" s="1544" t="n">
        <f aca="false">IF(MONTH($A32)=12,SUM(R21:R32)," ")</f>
        <v>0</v>
      </c>
      <c r="T32" s="397" t="n">
        <f aca="false">MAX(P32,R32)</f>
        <v>0</v>
      </c>
      <c r="U32" s="1546" t="n">
        <f aca="false">IF(MONTH($A32)=12,SUM(T21:T32)," ")</f>
        <v>0</v>
      </c>
    </row>
    <row r="33" customFormat="false" ht="12.75" hidden="false" customHeight="false" outlineLevel="0" collapsed="false">
      <c r="A33" s="1538" t="n">
        <f aca="false">EDATE(A32,1)</f>
        <v>36892</v>
      </c>
      <c r="C33" s="1539" t="n">
        <f aca="false">IF($A33&gt;Endyr,0,VLOOKUP($A33,Capacity_Table,Tariff!$R$18))</f>
        <v>150</v>
      </c>
      <c r="D33" s="1540" t="n">
        <f aca="false">A34-A33</f>
        <v>31</v>
      </c>
      <c r="E33" s="1540" t="str">
        <f aca="false">IF(MONTH($A33)=12,SUM(D22:D33)," ")</f>
        <v> </v>
      </c>
      <c r="F33" s="1545" t="n">
        <f aca="false">F32</f>
        <v>24</v>
      </c>
      <c r="G33" s="1334" t="n">
        <f aca="false">IF(I33=0,0,I33/($C33*$D33*$F33*H33))</f>
        <v>0.91</v>
      </c>
      <c r="H33" s="1542" t="n">
        <f aca="false">IF(Avail_LDs_Switch=1,VLOOKUP('Plant Operations'!A33,RAC_AvailFactor_Table,RAC_LDs!$G$258),IF($A33&lt;Startops2,Tariff!$T$11,0))</f>
        <v>0.92</v>
      </c>
      <c r="I33" s="1543" t="n">
        <f aca="false">IF(OR($A33&lt;Startops1,$A33&gt;=Startops2),0,IF(AND($A33&gt;=DieselOps_2,$A33&lt;Startops2),VLOOKUP($A33,Diesel_Table,Tariff!$Y$41),VLOOKUP($A33,OA_Table,Tariff!$Y$26)))</f>
        <v>93431.52</v>
      </c>
      <c r="J33" s="1544" t="str">
        <f aca="false">IF(MONTH($A33)=12,SUM(I22:I33)," ")</f>
        <v> </v>
      </c>
      <c r="K33" s="1334" t="n">
        <f aca="false">IF(OR($A33&lt;Startops2,$A33&gt;=Endyr),0,VLOOKUP($A33,Capacity_Table,Tariff!$S$18))</f>
        <v>0</v>
      </c>
      <c r="L33" s="306" t="n">
        <f aca="false">IF(OR($A33&lt;Startops2,$A33&gt;=Endyr),0,VLOOKUP($A33,Capacity_Table,Tariff!$T$18))</f>
        <v>0</v>
      </c>
      <c r="M33" s="397" t="n">
        <f aca="false">IF($A33&lt;Startops2,0,IF($A33&lt;Startops3,VLOOKUP($A33,Convert_Table,Tariff!$Y$54),C33*D33*F33*K33*L33))</f>
        <v>0</v>
      </c>
      <c r="N33" s="1544" t="str">
        <f aca="false">IF(MONTH($A33)=12,SUM(M22:M33)," ")</f>
        <v> </v>
      </c>
      <c r="O33" s="397" t="n">
        <f aca="false">IF($A33&lt;Startops2,0,IF($A33&lt;Startops3,Hr_II,Hr_III))</f>
        <v>0</v>
      </c>
      <c r="P33" s="397" t="n">
        <f aca="false">M33*O33/1000</f>
        <v>0</v>
      </c>
      <c r="Q33" s="1545" t="str">
        <f aca="false">IF(MONTH($A33)=12,SUM(P22:P33)," ")</f>
        <v> </v>
      </c>
      <c r="R33" s="397" t="n">
        <f aca="false">IF($A33&gt;Endyr,0,IF($A33&lt;Assm!$A$55,P33,Assm!$F$55*$D33))</f>
        <v>0</v>
      </c>
      <c r="S33" s="1544" t="str">
        <f aca="false">IF(MONTH($A33)=12,SUM(R22:R33)," ")</f>
        <v> </v>
      </c>
      <c r="T33" s="397" t="n">
        <f aca="false">MAX(P33,R33)</f>
        <v>0</v>
      </c>
      <c r="U33" s="1546" t="str">
        <f aca="false">IF(MONTH($A33)=12,SUM(T22:T33)," ")</f>
        <v> </v>
      </c>
    </row>
    <row r="34" customFormat="false" ht="12.75" hidden="false" customHeight="false" outlineLevel="0" collapsed="false">
      <c r="A34" s="1538" t="n">
        <f aca="false">EDATE(A33,1)</f>
        <v>36923</v>
      </c>
      <c r="C34" s="1539" t="n">
        <f aca="false">IF($A34&gt;Endyr,0,VLOOKUP($A34,Capacity_Table,Tariff!$R$18))</f>
        <v>150</v>
      </c>
      <c r="D34" s="1540" t="n">
        <f aca="false">A35-A34</f>
        <v>28</v>
      </c>
      <c r="E34" s="1540" t="str">
        <f aca="false">IF(MONTH($A34)=12,SUM(D23:D34)," ")</f>
        <v> </v>
      </c>
      <c r="F34" s="1545" t="n">
        <f aca="false">F33</f>
        <v>24</v>
      </c>
      <c r="G34" s="1334" t="n">
        <f aca="false">IF(I34=0,0,I34/($C34*$D34*$F34*H34))</f>
        <v>0.91</v>
      </c>
      <c r="H34" s="1542" t="n">
        <f aca="false">IF(Avail_LDs_Switch=1,VLOOKUP('Plant Operations'!A34,RAC_AvailFactor_Table,RAC_LDs!$G$258),IF($A34&lt;Startops2,Tariff!$T$11,0))</f>
        <v>0.92</v>
      </c>
      <c r="I34" s="1543" t="n">
        <f aca="false">IF(OR($A34&lt;Startops1,$A34&gt;=Startops2),0,IF(AND($A34&gt;=DieselOps_2,$A34&lt;Startops2),VLOOKUP($A34,Diesel_Table,Tariff!$Y$41),VLOOKUP($A34,OA_Table,Tariff!$Y$26)))</f>
        <v>84389.76</v>
      </c>
      <c r="J34" s="1544" t="str">
        <f aca="false">IF(MONTH($A34)=12,SUM(I23:I34)," ")</f>
        <v> </v>
      </c>
      <c r="K34" s="1334" t="n">
        <f aca="false">IF(OR($A34&lt;Startops2,$A34&gt;=Endyr),0,VLOOKUP($A34,Capacity_Table,Tariff!$S$18))</f>
        <v>0</v>
      </c>
      <c r="L34" s="306" t="n">
        <f aca="false">IF(OR($A34&lt;Startops2,$A34&gt;=Endyr),0,VLOOKUP($A34,Capacity_Table,Tariff!$T$18))</f>
        <v>0</v>
      </c>
      <c r="M34" s="397" t="n">
        <f aca="false">IF($A34&lt;Startops2,0,IF($A34&lt;Startops3,VLOOKUP($A34,Convert_Table,Tariff!$Y$54),C34*D34*F34*K34*L34))</f>
        <v>0</v>
      </c>
      <c r="N34" s="1544" t="str">
        <f aca="false">IF(MONTH($A34)=12,SUM(M23:M34)," ")</f>
        <v> </v>
      </c>
      <c r="O34" s="397" t="n">
        <f aca="false">IF($A34&lt;Startops2,0,IF($A34&lt;Startops3,Hr_II,Hr_III))</f>
        <v>0</v>
      </c>
      <c r="P34" s="397" t="n">
        <f aca="false">M34*O34/1000</f>
        <v>0</v>
      </c>
      <c r="Q34" s="1545" t="str">
        <f aca="false">IF(MONTH($A34)=12,SUM(P23:P34)," ")</f>
        <v> </v>
      </c>
      <c r="R34" s="397" t="n">
        <f aca="false">IF($A34&gt;Endyr,0,IF($A34&lt;Assm!$A$55,P34,Assm!$F$55*$D34))</f>
        <v>0</v>
      </c>
      <c r="S34" s="1544" t="str">
        <f aca="false">IF(MONTH($A34)=12,SUM(R23:R34)," ")</f>
        <v> </v>
      </c>
      <c r="T34" s="397" t="n">
        <f aca="false">MAX(P34,R34)</f>
        <v>0</v>
      </c>
      <c r="U34" s="1546" t="str">
        <f aca="false">IF(MONTH($A34)=12,SUM(T23:T34)," ")</f>
        <v> </v>
      </c>
    </row>
    <row r="35" customFormat="false" ht="12.75" hidden="false" customHeight="false" outlineLevel="0" collapsed="false">
      <c r="A35" s="1538" t="n">
        <f aca="false">EDATE(A34,1)</f>
        <v>36951</v>
      </c>
      <c r="C35" s="1539" t="n">
        <f aca="false">IF($A35&gt;Endyr,0,VLOOKUP($A35,Capacity_Table,Tariff!$R$18))</f>
        <v>150</v>
      </c>
      <c r="D35" s="1540" t="n">
        <f aca="false">A36-A35</f>
        <v>31</v>
      </c>
      <c r="E35" s="1540" t="str">
        <f aca="false">IF(MONTH($A35)=12,SUM(D24:D35)," ")</f>
        <v> </v>
      </c>
      <c r="F35" s="1545" t="n">
        <f aca="false">F34</f>
        <v>24</v>
      </c>
      <c r="G35" s="1334" t="n">
        <f aca="false">IF(I35=0,0,I35/($C35*$D35*$F35*H35))</f>
        <v>0</v>
      </c>
      <c r="H35" s="1542" t="n">
        <f aca="false">IF(Avail_LDs_Switch=1,VLOOKUP('Plant Operations'!A35,RAC_AvailFactor_Table,RAC_LDs!$G$258),IF($A35&lt;Startops2,Tariff!$T$11,0))</f>
        <v>0</v>
      </c>
      <c r="I35" s="1543" t="n">
        <f aca="false">IF(OR($A35&lt;Startops1,$A35&gt;=Startops2),0,IF(AND($A35&gt;=DieselOps_2,$A35&lt;Startops2),VLOOKUP($A35,Diesel_Table,Tariff!$Y$41),VLOOKUP($A35,OA_Table,Tariff!$Y$26)))</f>
        <v>0</v>
      </c>
      <c r="J35" s="1544" t="str">
        <f aca="false">IF(MONTH($A35)=12,SUM(I24:I35)," ")</f>
        <v> </v>
      </c>
      <c r="K35" s="1334" t="n">
        <f aca="false">IF(OR($A35&lt;Startops2,$A35&gt;=Endyr),0,VLOOKUP($A35,Capacity_Table,Tariff!$S$18))</f>
        <v>0.450971322849214</v>
      </c>
      <c r="L35" s="306" t="n">
        <f aca="false">IF(OR($A35&lt;Startops2,$A35&gt;=Endyr),0,VLOOKUP($A35,Capacity_Table,Tariff!$T$18))</f>
        <v>0.92</v>
      </c>
      <c r="M35" s="397" t="n">
        <f aca="false">IF($A35&lt;Startops2,0,IF($A35&lt;Startops3,VLOOKUP($A35,Convert_Table,Tariff!$Y$54),C35*D35*F35*K35*L35))</f>
        <v>12600</v>
      </c>
      <c r="N35" s="1544" t="str">
        <f aca="false">IF(MONTH($A35)=12,SUM(M24:M35)," ")</f>
        <v> </v>
      </c>
      <c r="O35" s="397" t="n">
        <f aca="false">IF($A35&lt;Startops2,0,IF($A35&lt;Startops3,Hr_II,Hr_III))</f>
        <v>10100</v>
      </c>
      <c r="P35" s="397" t="n">
        <f aca="false">M35*O35/1000</f>
        <v>127260</v>
      </c>
      <c r="Q35" s="1545" t="str">
        <f aca="false">IF(MONTH($A35)=12,SUM(P24:P35)," ")</f>
        <v> </v>
      </c>
      <c r="R35" s="397" t="n">
        <f aca="false">IF($A35&gt;Endyr,0,IF($A35&lt;Assm!$A$55,P35,Assm!$F$55*$D35))</f>
        <v>127260</v>
      </c>
      <c r="S35" s="1544" t="str">
        <f aca="false">IF(MONTH($A35)=12,SUM(R24:R35)," ")</f>
        <v> </v>
      </c>
      <c r="T35" s="397" t="n">
        <f aca="false">MAX(P35,R35)</f>
        <v>127260</v>
      </c>
      <c r="U35" s="1546" t="str">
        <f aca="false">IF(MONTH($A35)=12,SUM(T24:T35)," ")</f>
        <v> </v>
      </c>
    </row>
    <row r="36" customFormat="false" ht="12.75" hidden="false" customHeight="false" outlineLevel="0" collapsed="false">
      <c r="A36" s="1538" t="n">
        <f aca="false">EDATE(A35,1)</f>
        <v>36982</v>
      </c>
      <c r="C36" s="1539" t="n">
        <f aca="false">IF($A36&gt;Endyr,0,VLOOKUP($A36,Capacity_Table,Tariff!$R$18))</f>
        <v>237.779371584699</v>
      </c>
      <c r="D36" s="1540" t="n">
        <f aca="false">A37-A36</f>
        <v>30</v>
      </c>
      <c r="E36" s="1540" t="str">
        <f aca="false">IF(MONTH($A36)=12,SUM(D25:D36)," ")</f>
        <v> </v>
      </c>
      <c r="F36" s="1545" t="n">
        <f aca="false">F35</f>
        <v>24</v>
      </c>
      <c r="G36" s="1334" t="n">
        <f aca="false">IF(I36=0,0,I36/($C36*$D36*$F36*H36))</f>
        <v>0</v>
      </c>
      <c r="H36" s="1542" t="n">
        <f aca="false">IF(Avail_LDs_Switch=1,VLOOKUP('Plant Operations'!A36,RAC_AvailFactor_Table,RAC_LDs!$G$258),IF($A36&lt;Startops2,Tariff!$T$11,0))</f>
        <v>0</v>
      </c>
      <c r="I36" s="1543" t="n">
        <f aca="false">IF(OR($A36&lt;Startops1,$A36&gt;=Startops2),0,IF(AND($A36&gt;=DieselOps_2,$A36&lt;Startops2),VLOOKUP($A36,Diesel_Table,Tariff!$Y$41),VLOOKUP($A36,OA_Table,Tariff!$Y$26)))</f>
        <v>0</v>
      </c>
      <c r="J36" s="1544" t="str">
        <f aca="false">IF(MONTH($A36)=12,SUM(I25:I36)," ")</f>
        <v> </v>
      </c>
      <c r="K36" s="1334" t="n">
        <f aca="false">IF(OR($A36&lt;Startops2,$A36&gt;=Endyr),0,VLOOKUP($A36,Capacity_Table,Tariff!$S$18))</f>
        <v>1</v>
      </c>
      <c r="L36" s="306" t="n">
        <f aca="false">IF(OR($A36&lt;Startops2,$A36&gt;=Endyr),0,VLOOKUP($A36,Capacity_Table,Tariff!$T$18))</f>
        <v>1</v>
      </c>
      <c r="M36" s="397" t="n">
        <f aca="false">IF($A36&lt;Startops2,0,IF($A36&lt;Startops3,VLOOKUP($A36,Convert_Table,Tariff!$Y$54),C36*D36*F36*K36*L36))</f>
        <v>70200</v>
      </c>
      <c r="N36" s="1544" t="str">
        <f aca="false">IF(MONTH($A36)=12,SUM(M25:M36)," ")</f>
        <v> </v>
      </c>
      <c r="O36" s="397" t="n">
        <f aca="false">IF($A36&lt;Startops2,0,IF($A36&lt;Startops3,Hr_II,Hr_III))</f>
        <v>10100</v>
      </c>
      <c r="P36" s="397" t="n">
        <f aca="false">M36*O36/1000</f>
        <v>709020</v>
      </c>
      <c r="Q36" s="1545" t="str">
        <f aca="false">IF(MONTH($A36)=12,SUM(P25:P36)," ")</f>
        <v> </v>
      </c>
      <c r="R36" s="397" t="n">
        <f aca="false">IF($A36&gt;Endyr,0,IF($A36&lt;Assm!$A$55,P36,Assm!$F$55*$D36))</f>
        <v>709020</v>
      </c>
      <c r="S36" s="1544" t="str">
        <f aca="false">IF(MONTH($A36)=12,SUM(R25:R36)," ")</f>
        <v> </v>
      </c>
      <c r="T36" s="397" t="n">
        <f aca="false">MAX(P36,R36)</f>
        <v>709020</v>
      </c>
      <c r="U36" s="1546" t="str">
        <f aca="false">IF(MONTH($A36)=12,SUM(T25:T36)," ")</f>
        <v> </v>
      </c>
    </row>
    <row r="37" customFormat="false" ht="12.75" hidden="false" customHeight="false" outlineLevel="0" collapsed="false">
      <c r="A37" s="1538" t="n">
        <f aca="false">EDATE(A36,1)</f>
        <v>37012</v>
      </c>
      <c r="C37" s="1539" t="n">
        <f aca="false">IF($A37&gt;Endyr,0,VLOOKUP($A37,Capacity_Table,Tariff!$R$18))</f>
        <v>237.779371584699</v>
      </c>
      <c r="D37" s="1540" t="n">
        <f aca="false">A38-A37</f>
        <v>31</v>
      </c>
      <c r="E37" s="1540" t="str">
        <f aca="false">IF(MONTH($A37)=12,SUM(D26:D37)," ")</f>
        <v> </v>
      </c>
      <c r="F37" s="1545" t="n">
        <f aca="false">F36</f>
        <v>24</v>
      </c>
      <c r="G37" s="1334" t="n">
        <f aca="false">IF(I37=0,0,I37/($C37*$D37*$F37*H37))</f>
        <v>0</v>
      </c>
      <c r="H37" s="1542" t="n">
        <f aca="false">IF(Avail_LDs_Switch=1,VLOOKUP('Plant Operations'!A37,RAC_AvailFactor_Table,RAC_LDs!$G$258),IF($A37&lt;Startops2,Tariff!$T$11,0))</f>
        <v>0</v>
      </c>
      <c r="I37" s="1543" t="n">
        <f aca="false">IF(OR($A37&lt;Startops1,$A37&gt;=Startops2),0,IF(AND($A37&gt;=DieselOps_2,$A37&lt;Startops2),VLOOKUP($A37,Diesel_Table,Tariff!$Y$41),VLOOKUP($A37,OA_Table,Tariff!$Y$26)))</f>
        <v>0</v>
      </c>
      <c r="J37" s="1544" t="str">
        <f aca="false">IF(MONTH($A37)=12,SUM(I26:I37)," ")</f>
        <v> </v>
      </c>
      <c r="K37" s="1334" t="n">
        <f aca="false">IF(OR($A37&lt;Startops2,$A37&gt;=Endyr),0,VLOOKUP($A37,Capacity_Table,Tariff!$S$18))</f>
        <v>1</v>
      </c>
      <c r="L37" s="306" t="n">
        <f aca="false">IF(OR($A37&lt;Startops2,$A37&gt;=Endyr),0,VLOOKUP($A37,Capacity_Table,Tariff!$T$18))</f>
        <v>1</v>
      </c>
      <c r="M37" s="397" t="n">
        <f aca="false">IF($A37&lt;Startops2,0,IF($A37&lt;Startops3,VLOOKUP($A37,Convert_Table,Tariff!$Y$54),C37*D37*F37*K37*L37))</f>
        <v>146880</v>
      </c>
      <c r="N37" s="1544" t="str">
        <f aca="false">IF(MONTH($A37)=12,SUM(M26:M37)," ")</f>
        <v> </v>
      </c>
      <c r="O37" s="397" t="n">
        <f aca="false">IF($A37&lt;Startops2,0,IF($A37&lt;Startops3,Hr_II,Hr_III))</f>
        <v>10100</v>
      </c>
      <c r="P37" s="397" t="n">
        <f aca="false">M37*O37/1000</f>
        <v>1483488</v>
      </c>
      <c r="Q37" s="1545" t="str">
        <f aca="false">IF(MONTH($A37)=12,SUM(P26:P37)," ")</f>
        <v> </v>
      </c>
      <c r="R37" s="397" t="n">
        <f aca="false">IF($A37&gt;Endyr,0,IF($A37&lt;Assm!$A$55,P37,Assm!$F$55*$D37))</f>
        <v>1483488</v>
      </c>
      <c r="S37" s="1544" t="str">
        <f aca="false">IF(MONTH($A37)=12,SUM(R26:R37)," ")</f>
        <v> </v>
      </c>
      <c r="T37" s="397" t="n">
        <f aca="false">MAX(P37,R37)</f>
        <v>1483488</v>
      </c>
      <c r="U37" s="1546" t="str">
        <f aca="false">IF(MONTH($A37)=12,SUM(T26:T37)," ")</f>
        <v> </v>
      </c>
    </row>
    <row r="38" customFormat="false" ht="12.75" hidden="false" customHeight="false" outlineLevel="0" collapsed="false">
      <c r="A38" s="1538" t="n">
        <f aca="false">EDATE(A37,1)</f>
        <v>37043</v>
      </c>
      <c r="C38" s="1539" t="n">
        <f aca="false">IF($A38&gt;Endyr,0,VLOOKUP($A38,Capacity_Table,Tariff!$R$18))</f>
        <v>237.779371584699</v>
      </c>
      <c r="D38" s="1540" t="n">
        <f aca="false">A39-A38</f>
        <v>30</v>
      </c>
      <c r="E38" s="1540" t="str">
        <f aca="false">IF(MONTH($A38)=12,SUM(D27:D38)," ")</f>
        <v> </v>
      </c>
      <c r="F38" s="1545" t="n">
        <f aca="false">F37</f>
        <v>24</v>
      </c>
      <c r="G38" s="1334" t="n">
        <f aca="false">IF(I38=0,0,I38/($C38*$D38*$F38*H38))</f>
        <v>0</v>
      </c>
      <c r="H38" s="1542" t="n">
        <f aca="false">IF(Avail_LDs_Switch=1,VLOOKUP('Plant Operations'!A38,RAC_AvailFactor_Table,RAC_LDs!$G$258),IF($A38&lt;Startops2,Tariff!$T$11,0))</f>
        <v>0</v>
      </c>
      <c r="I38" s="1543" t="n">
        <f aca="false">IF(OR($A38&lt;Startops1,$A38&gt;=Startops2),0,IF(AND($A38&gt;=DieselOps_2,$A38&lt;Startops2),VLOOKUP($A38,Diesel_Table,Tariff!$Y$41),VLOOKUP($A38,OA_Table,Tariff!$Y$26)))</f>
        <v>0</v>
      </c>
      <c r="J38" s="1544" t="str">
        <f aca="false">IF(MONTH($A38)=12,SUM(I27:I38)," ")</f>
        <v> </v>
      </c>
      <c r="K38" s="1334" t="n">
        <f aca="false">IF(OR($A38&lt;Startops2,$A38&gt;=Endyr),0,VLOOKUP($A38,Capacity_Table,Tariff!$S$18))</f>
        <v>1</v>
      </c>
      <c r="L38" s="306" t="n">
        <f aca="false">IF(OR($A38&lt;Startops2,$A38&gt;=Endyr),0,VLOOKUP($A38,Capacity_Table,Tariff!$T$18))</f>
        <v>1</v>
      </c>
      <c r="M38" s="397" t="n">
        <f aca="false">IF($A38&lt;Startops2,0,IF($A38&lt;Startops3,VLOOKUP($A38,Convert_Table,Tariff!$Y$54),C38*D38*F38*K38*L38))</f>
        <v>232128</v>
      </c>
      <c r="N38" s="1544" t="str">
        <f aca="false">IF(MONTH($A38)=12,SUM(M27:M38)," ")</f>
        <v> </v>
      </c>
      <c r="O38" s="397" t="n">
        <f aca="false">IF($A38&lt;Startops2,0,IF($A38&lt;Startops3,Hr_II,Hr_III))</f>
        <v>10100</v>
      </c>
      <c r="P38" s="397" t="n">
        <f aca="false">M38*O38/1000</f>
        <v>2344492.8</v>
      </c>
      <c r="Q38" s="1545" t="str">
        <f aca="false">IF(MONTH($A38)=12,SUM(P27:P38)," ")</f>
        <v> </v>
      </c>
      <c r="R38" s="397" t="n">
        <f aca="false">IF($A38&gt;Endyr,0,IF($A38&lt;Assm!$A$55,P38,Assm!$F$55*$D38))</f>
        <v>2344492.8</v>
      </c>
      <c r="S38" s="1544" t="str">
        <f aca="false">IF(MONTH($A38)=12,SUM(R27:R38)," ")</f>
        <v> </v>
      </c>
      <c r="T38" s="397" t="n">
        <f aca="false">MAX(P38,R38)</f>
        <v>2344492.8</v>
      </c>
      <c r="U38" s="1546" t="str">
        <f aca="false">IF(MONTH($A38)=12,SUM(T27:T38)," ")</f>
        <v> </v>
      </c>
    </row>
    <row r="39" customFormat="false" ht="12.75" hidden="false" customHeight="false" outlineLevel="0" collapsed="false">
      <c r="A39" s="1538" t="n">
        <f aca="false">EDATE(A38,1)</f>
        <v>37073</v>
      </c>
      <c r="C39" s="1539" t="n">
        <f aca="false">IF($A39&gt;Endyr,0,VLOOKUP($A39,Capacity_Table,Tariff!$R$18))</f>
        <v>237.779371584699</v>
      </c>
      <c r="D39" s="1540" t="n">
        <f aca="false">A40-A39</f>
        <v>31</v>
      </c>
      <c r="E39" s="1540" t="str">
        <f aca="false">IF(MONTH($A39)=12,SUM(D28:D39)," ")</f>
        <v> </v>
      </c>
      <c r="F39" s="1545" t="n">
        <f aca="false">F38</f>
        <v>24</v>
      </c>
      <c r="G39" s="1334" t="n">
        <f aca="false">IF(I39=0,0,I39/($C39*$D39*$F39*H39))</f>
        <v>0</v>
      </c>
      <c r="H39" s="1542" t="n">
        <f aca="false">IF(Avail_LDs_Switch=1,VLOOKUP('Plant Operations'!A39,RAC_AvailFactor_Table,RAC_LDs!$G$258),IF($A39&lt;Startops2,Tariff!$T$11,0))</f>
        <v>0</v>
      </c>
      <c r="I39" s="1543" t="n">
        <f aca="false">IF(OR($A39&lt;Startops1,$A39&gt;=Startops2),0,IF(AND($A39&gt;=DieselOps_2,$A39&lt;Startops2),VLOOKUP($A39,Diesel_Table,Tariff!$Y$41),VLOOKUP($A39,OA_Table,Tariff!$Y$26)))</f>
        <v>0</v>
      </c>
      <c r="J39" s="1544" t="str">
        <f aca="false">IF(MONTH($A39)=12,SUM(I28:I39)," ")</f>
        <v> </v>
      </c>
      <c r="K39" s="1334" t="n">
        <f aca="false">IF(OR($A39&lt;Startops2,$A39&gt;=Endyr),0,VLOOKUP($A39,Capacity_Table,Tariff!$S$18))</f>
        <v>1</v>
      </c>
      <c r="L39" s="306" t="n">
        <f aca="false">IF(OR($A39&lt;Startops2,$A39&gt;=Endyr),0,VLOOKUP($A39,Capacity_Table,Tariff!$T$18))</f>
        <v>1</v>
      </c>
      <c r="M39" s="397" t="n">
        <f aca="false">IF($A39&lt;Startops2,0,IF($A39&lt;Startops3,VLOOKUP($A39,Convert_Table,Tariff!$Y$54),C39*D39*F39*K39*L39))</f>
        <v>234410</v>
      </c>
      <c r="N39" s="1544" t="str">
        <f aca="false">IF(MONTH($A39)=12,SUM(M28:M39)," ")</f>
        <v> </v>
      </c>
      <c r="O39" s="397" t="n">
        <f aca="false">IF($A39&lt;Startops2,0,IF($A39&lt;Startops3,Hr_II,Hr_III))</f>
        <v>10100</v>
      </c>
      <c r="P39" s="397" t="n">
        <f aca="false">M39*O39/1000</f>
        <v>2367541</v>
      </c>
      <c r="Q39" s="1545" t="str">
        <f aca="false">IF(MONTH($A39)=12,SUM(P28:P39)," ")</f>
        <v> </v>
      </c>
      <c r="R39" s="397" t="n">
        <f aca="false">IF($A39&gt;Endyr,0,IF($A39&lt;Assm!$A$55,P39,Assm!$F$55*$D39))</f>
        <v>2367541</v>
      </c>
      <c r="S39" s="1544" t="str">
        <f aca="false">IF(MONTH($A39)=12,SUM(R28:R39)," ")</f>
        <v> </v>
      </c>
      <c r="T39" s="397" t="n">
        <f aca="false">MAX(P39,R39)</f>
        <v>2367541</v>
      </c>
      <c r="U39" s="1546" t="str">
        <f aca="false">IF(MONTH($A39)=12,SUM(T28:T39)," ")</f>
        <v> </v>
      </c>
    </row>
    <row r="40" customFormat="false" ht="12.75" hidden="false" customHeight="false" outlineLevel="0" collapsed="false">
      <c r="A40" s="1538" t="n">
        <f aca="false">EDATE(A39,1)</f>
        <v>37104</v>
      </c>
      <c r="C40" s="1539" t="n">
        <f aca="false">IF($A40&gt;Endyr,0,VLOOKUP($A40,Capacity_Table,Tariff!$R$18))</f>
        <v>480</v>
      </c>
      <c r="D40" s="1540" t="n">
        <f aca="false">A41-A40</f>
        <v>31</v>
      </c>
      <c r="E40" s="1540" t="str">
        <f aca="false">IF(MONTH($A40)=12,SUM(D29:D40)," ")</f>
        <v> </v>
      </c>
      <c r="F40" s="1545" t="n">
        <f aca="false">F39</f>
        <v>24</v>
      </c>
      <c r="G40" s="1334" t="n">
        <f aca="false">IF(I40=0,0,I40/($C40*$D40*$F40*H40))</f>
        <v>0</v>
      </c>
      <c r="H40" s="1542" t="n">
        <f aca="false">IF(Avail_LDs_Switch=1,VLOOKUP('Plant Operations'!A40,RAC_AvailFactor_Table,RAC_LDs!$G$258),IF($A40&lt;Startops2,Tariff!$T$11,0))</f>
        <v>0</v>
      </c>
      <c r="I40" s="1543" t="n">
        <f aca="false">IF(OR($A40&lt;Startops1,$A40&gt;=Startops2),0,IF(AND($A40&gt;=DieselOps_2,$A40&lt;Startops2),VLOOKUP($A40,Diesel_Table,Tariff!$Y$41),VLOOKUP($A40,OA_Table,Tariff!$Y$26)))</f>
        <v>0</v>
      </c>
      <c r="J40" s="1544" t="str">
        <f aca="false">IF(MONTH($A40)=12,SUM(I29:I40)," ")</f>
        <v> </v>
      </c>
      <c r="K40" s="1334" t="n">
        <f aca="false">IF(OR($A40&lt;Startops2,$A40&gt;=Endyr),0,VLOOKUP($A40,Capacity_Table,Tariff!$S$18))</f>
        <v>0.91</v>
      </c>
      <c r="L40" s="306" t="n">
        <f aca="false">IF(OR($A40&lt;Startops2,$A40&gt;=Endyr),0,VLOOKUP($A40,Capacity_Table,Tariff!$T$18))</f>
        <v>0.92</v>
      </c>
      <c r="M40" s="397" t="n">
        <f aca="false">IF($A40&lt;Startops2,0,IF($A40&lt;Startops3,VLOOKUP($A40,Convert_Table,Tariff!$Y$54),C40*D40*F40*K40*L40))</f>
        <v>298980.864</v>
      </c>
      <c r="N40" s="1544" t="str">
        <f aca="false">IF(MONTH($A40)=12,SUM(M29:M40)," ")</f>
        <v> </v>
      </c>
      <c r="O40" s="397" t="n">
        <f aca="false">IF($A40&lt;Startops2,0,IF($A40&lt;Startops3,Hr_II,Hr_III))</f>
        <v>7000</v>
      </c>
      <c r="P40" s="397" t="n">
        <f aca="false">M40*O40/1000</f>
        <v>2092866.048</v>
      </c>
      <c r="Q40" s="1545" t="str">
        <f aca="false">IF(MONTH($A40)=12,SUM(P29:P40)," ")</f>
        <v> </v>
      </c>
      <c r="R40" s="397" t="n">
        <f aca="false">IF($A40&gt;Endyr,0,IF($A40&lt;Assm!$A$55,P40,Assm!$F$55*$D40))</f>
        <v>1828160.87671233</v>
      </c>
      <c r="S40" s="1544" t="str">
        <f aca="false">IF(MONTH($A40)=12,SUM(R29:R40)," ")</f>
        <v> </v>
      </c>
      <c r="T40" s="397" t="n">
        <f aca="false">MAX(P40,R40)</f>
        <v>2092866.048</v>
      </c>
      <c r="U40" s="1546" t="str">
        <f aca="false">IF(MONTH($A40)=12,SUM(T29:T40)," ")</f>
        <v> </v>
      </c>
    </row>
    <row r="41" customFormat="false" ht="12.75" hidden="false" customHeight="false" outlineLevel="0" collapsed="false">
      <c r="A41" s="1538" t="n">
        <f aca="false">EDATE(A40,1)</f>
        <v>37135</v>
      </c>
      <c r="C41" s="1539" t="n">
        <f aca="false">IF($A41&gt;Endyr,0,VLOOKUP($A41,Capacity_Table,Tariff!$R$18))</f>
        <v>480</v>
      </c>
      <c r="D41" s="1540" t="n">
        <f aca="false">A42-A41</f>
        <v>30</v>
      </c>
      <c r="E41" s="1540" t="str">
        <f aca="false">IF(MONTH($A41)=12,SUM(D30:D41)," ")</f>
        <v> </v>
      </c>
      <c r="F41" s="1545" t="n">
        <f aca="false">F40</f>
        <v>24</v>
      </c>
      <c r="G41" s="1334" t="n">
        <f aca="false">IF(I41=0,0,I41/($C41*$D41*$F41*H41))</f>
        <v>0</v>
      </c>
      <c r="H41" s="1542" t="n">
        <f aca="false">IF(Avail_LDs_Switch=1,VLOOKUP('Plant Operations'!A41,RAC_AvailFactor_Table,RAC_LDs!$G$258),IF($A41&lt;Startops2,Tariff!$T$11,0))</f>
        <v>0</v>
      </c>
      <c r="I41" s="1543" t="n">
        <f aca="false">IF(OR($A41&lt;Startops1,$A41&gt;=Startops2),0,IF(AND($A41&gt;=DieselOps_2,$A41&lt;Startops2),VLOOKUP($A41,Diesel_Table,Tariff!$Y$41),VLOOKUP($A41,OA_Table,Tariff!$Y$26)))</f>
        <v>0</v>
      </c>
      <c r="J41" s="1544" t="str">
        <f aca="false">IF(MONTH($A41)=12,SUM(I30:I41)," ")</f>
        <v> </v>
      </c>
      <c r="K41" s="1334" t="n">
        <f aca="false">IF(OR($A41&lt;Startops2,$A41&gt;=Endyr),0,VLOOKUP($A41,Capacity_Table,Tariff!$S$18))</f>
        <v>0.91</v>
      </c>
      <c r="L41" s="306" t="n">
        <f aca="false">IF(OR($A41&lt;Startops2,$A41&gt;=Endyr),0,VLOOKUP($A41,Capacity_Table,Tariff!$T$18))</f>
        <v>0.92</v>
      </c>
      <c r="M41" s="397" t="n">
        <f aca="false">IF($A41&lt;Startops2,0,IF($A41&lt;Startops3,VLOOKUP($A41,Convert_Table,Tariff!$Y$54),C41*D41*F41*K41*L41))</f>
        <v>289336.32</v>
      </c>
      <c r="N41" s="1544" t="str">
        <f aca="false">IF(MONTH($A41)=12,SUM(M30:M41)," ")</f>
        <v> </v>
      </c>
      <c r="O41" s="397" t="n">
        <f aca="false">IF($A41&lt;Startops2,0,IF($A41&lt;Startops3,Hr_II,Hr_III))</f>
        <v>7000</v>
      </c>
      <c r="P41" s="397" t="n">
        <f aca="false">M41*O41/1000</f>
        <v>2025354.24</v>
      </c>
      <c r="Q41" s="1545" t="str">
        <f aca="false">IF(MONTH($A41)=12,SUM(P30:P41)," ")</f>
        <v> </v>
      </c>
      <c r="R41" s="397" t="n">
        <f aca="false">IF($A41&gt;Endyr,0,IF($A41&lt;Assm!$A$55,P41,Assm!$F$55*$D41))</f>
        <v>1769187.94520548</v>
      </c>
      <c r="S41" s="1544" t="str">
        <f aca="false">IF(MONTH($A41)=12,SUM(R30:R41)," ")</f>
        <v> </v>
      </c>
      <c r="T41" s="397" t="n">
        <f aca="false">MAX(P41,R41)</f>
        <v>2025354.24</v>
      </c>
      <c r="U41" s="1546" t="str">
        <f aca="false">IF(MONTH($A41)=12,SUM(T30:T41)," ")</f>
        <v> </v>
      </c>
    </row>
    <row r="42" customFormat="false" ht="12.75" hidden="false" customHeight="false" outlineLevel="0" collapsed="false">
      <c r="A42" s="1538" t="n">
        <f aca="false">EDATE(A41,1)</f>
        <v>37165</v>
      </c>
      <c r="C42" s="1539" t="n">
        <f aca="false">IF($A42&gt;Endyr,0,VLOOKUP($A42,Capacity_Table,Tariff!$R$18))</f>
        <v>480</v>
      </c>
      <c r="D42" s="1540" t="n">
        <f aca="false">A43-A42</f>
        <v>31</v>
      </c>
      <c r="E42" s="1540" t="str">
        <f aca="false">IF(MONTH($A42)=12,SUM(D31:D42)," ")</f>
        <v> </v>
      </c>
      <c r="F42" s="1545" t="n">
        <f aca="false">F41</f>
        <v>24</v>
      </c>
      <c r="G42" s="1334" t="n">
        <f aca="false">IF(I42=0,0,I42/($C42*$D42*$F42*H42))</f>
        <v>0</v>
      </c>
      <c r="H42" s="1542" t="n">
        <f aca="false">IF(Avail_LDs_Switch=1,VLOOKUP('Plant Operations'!A42,RAC_AvailFactor_Table,RAC_LDs!$G$258),IF($A42&lt;Startops2,Tariff!$T$11,0))</f>
        <v>0</v>
      </c>
      <c r="I42" s="1543" t="n">
        <f aca="false">IF(OR($A42&lt;Startops1,$A42&gt;=Startops2),0,IF(AND($A42&gt;=DieselOps_2,$A42&lt;Startops2),VLOOKUP($A42,Diesel_Table,Tariff!$Y$41),VLOOKUP($A42,OA_Table,Tariff!$Y$26)))</f>
        <v>0</v>
      </c>
      <c r="J42" s="1544" t="str">
        <f aca="false">IF(MONTH($A42)=12,SUM(I31:I42)," ")</f>
        <v> </v>
      </c>
      <c r="K42" s="1334" t="n">
        <f aca="false">IF(OR($A42&lt;Startops2,$A42&gt;=Endyr),0,VLOOKUP($A42,Capacity_Table,Tariff!$S$18))</f>
        <v>0.91</v>
      </c>
      <c r="L42" s="306" t="n">
        <f aca="false">IF(OR($A42&lt;Startops2,$A42&gt;=Endyr),0,VLOOKUP($A42,Capacity_Table,Tariff!$T$18))</f>
        <v>0.92</v>
      </c>
      <c r="M42" s="397" t="n">
        <f aca="false">IF($A42&lt;Startops2,0,IF($A42&lt;Startops3,VLOOKUP($A42,Convert_Table,Tariff!$Y$54),C42*D42*F42*K42*L42))</f>
        <v>298980.864</v>
      </c>
      <c r="N42" s="1544" t="str">
        <f aca="false">IF(MONTH($A42)=12,SUM(M31:M42)," ")</f>
        <v> </v>
      </c>
      <c r="O42" s="397" t="n">
        <f aca="false">IF($A42&lt;Startops2,0,IF($A42&lt;Startops3,Hr_II,Hr_III))</f>
        <v>7000</v>
      </c>
      <c r="P42" s="397" t="n">
        <f aca="false">M42*O42/1000</f>
        <v>2092866.048</v>
      </c>
      <c r="Q42" s="1545" t="str">
        <f aca="false">IF(MONTH($A42)=12,SUM(P31:P42)," ")</f>
        <v> </v>
      </c>
      <c r="R42" s="397" t="n">
        <f aca="false">IF($A42&gt;Endyr,0,IF($A42&lt;Assm!$A$55,P42,Assm!$F$55*$D42))</f>
        <v>1828160.87671233</v>
      </c>
      <c r="S42" s="1544" t="str">
        <f aca="false">IF(MONTH($A42)=12,SUM(R31:R42)," ")</f>
        <v> </v>
      </c>
      <c r="T42" s="397" t="n">
        <f aca="false">MAX(P42,R42)</f>
        <v>2092866.048</v>
      </c>
      <c r="U42" s="1546" t="str">
        <f aca="false">IF(MONTH($A42)=12,SUM(T31:T42)," ")</f>
        <v> </v>
      </c>
    </row>
    <row r="43" customFormat="false" ht="12.75" hidden="false" customHeight="false" outlineLevel="0" collapsed="false">
      <c r="A43" s="1538" t="n">
        <f aca="false">EDATE(A42,1)</f>
        <v>37196</v>
      </c>
      <c r="C43" s="1539" t="n">
        <f aca="false">IF($A43&gt;Endyr,0,VLOOKUP($A43,Capacity_Table,Tariff!$R$18))</f>
        <v>480</v>
      </c>
      <c r="D43" s="1540" t="n">
        <f aca="false">A44-A43</f>
        <v>30</v>
      </c>
      <c r="E43" s="1540" t="str">
        <f aca="false">IF(MONTH($A43)=12,SUM(D32:D43)," ")</f>
        <v> </v>
      </c>
      <c r="F43" s="1545" t="n">
        <f aca="false">F42</f>
        <v>24</v>
      </c>
      <c r="G43" s="1334" t="n">
        <f aca="false">IF(I43=0,0,I43/($C43*$D43*$F43*H43))</f>
        <v>0</v>
      </c>
      <c r="H43" s="1542" t="n">
        <f aca="false">IF(Avail_LDs_Switch=1,VLOOKUP('Plant Operations'!A43,RAC_AvailFactor_Table,RAC_LDs!$G$258),IF($A43&lt;Startops2,Tariff!$T$11,0))</f>
        <v>0</v>
      </c>
      <c r="I43" s="1543" t="n">
        <f aca="false">IF(OR($A43&lt;Startops1,$A43&gt;=Startops2),0,IF(AND($A43&gt;=DieselOps_2,$A43&lt;Startops2),VLOOKUP($A43,Diesel_Table,Tariff!$Y$41),VLOOKUP($A43,OA_Table,Tariff!$Y$26)))</f>
        <v>0</v>
      </c>
      <c r="J43" s="1544" t="str">
        <f aca="false">IF(MONTH($A43)=12,SUM(I32:I43)," ")</f>
        <v> </v>
      </c>
      <c r="K43" s="1334" t="n">
        <f aca="false">IF(OR($A43&lt;Startops2,$A43&gt;=Endyr),0,VLOOKUP($A43,Capacity_Table,Tariff!$S$18))</f>
        <v>0.91</v>
      </c>
      <c r="L43" s="306" t="n">
        <f aca="false">IF(OR($A43&lt;Startops2,$A43&gt;=Endyr),0,VLOOKUP($A43,Capacity_Table,Tariff!$T$18))</f>
        <v>0.92</v>
      </c>
      <c r="M43" s="397" t="n">
        <f aca="false">IF($A43&lt;Startops2,0,IF($A43&lt;Startops3,VLOOKUP($A43,Convert_Table,Tariff!$Y$54),C43*D43*F43*K43*L43))</f>
        <v>289336.32</v>
      </c>
      <c r="N43" s="1544" t="str">
        <f aca="false">IF(MONTH($A43)=12,SUM(M32:M43)," ")</f>
        <v> </v>
      </c>
      <c r="O43" s="397" t="n">
        <f aca="false">IF($A43&lt;Startops2,0,IF($A43&lt;Startops3,Hr_II,Hr_III))</f>
        <v>7000</v>
      </c>
      <c r="P43" s="397" t="n">
        <f aca="false">M43*O43/1000</f>
        <v>2025354.24</v>
      </c>
      <c r="Q43" s="1545" t="str">
        <f aca="false">IF(MONTH($A43)=12,SUM(P32:P43)," ")</f>
        <v> </v>
      </c>
      <c r="R43" s="397" t="n">
        <f aca="false">IF($A43&gt;Endyr,0,IF($A43&lt;Assm!$A$55,P43,Assm!$F$55*$D43))</f>
        <v>1769187.94520548</v>
      </c>
      <c r="S43" s="1544" t="str">
        <f aca="false">IF(MONTH($A43)=12,SUM(R32:R43)," ")</f>
        <v> </v>
      </c>
      <c r="T43" s="397" t="n">
        <f aca="false">MAX(P43,R43)</f>
        <v>2025354.24</v>
      </c>
      <c r="U43" s="1546" t="str">
        <f aca="false">IF(MONTH($A43)=12,SUM(T32:T43)," ")</f>
        <v> </v>
      </c>
    </row>
    <row r="44" customFormat="false" ht="12.75" hidden="false" customHeight="false" outlineLevel="0" collapsed="false">
      <c r="A44" s="1538" t="n">
        <f aca="false">EDATE(A43,1)</f>
        <v>37226</v>
      </c>
      <c r="C44" s="1539" t="n">
        <f aca="false">IF($A44&gt;Endyr,0,VLOOKUP($A44,Capacity_Table,Tariff!$R$18))</f>
        <v>480</v>
      </c>
      <c r="D44" s="1540" t="n">
        <f aca="false">A45-A44</f>
        <v>31</v>
      </c>
      <c r="E44" s="1540" t="n">
        <f aca="false">IF(MONTH($A44)=12,SUM(D33:D44)," ")</f>
        <v>365</v>
      </c>
      <c r="F44" s="1545" t="n">
        <f aca="false">F43</f>
        <v>24</v>
      </c>
      <c r="G44" s="1334" t="n">
        <f aca="false">IF(I44=0,0,I44/($C44*$D44*$F44*H44))</f>
        <v>0</v>
      </c>
      <c r="H44" s="1542" t="n">
        <f aca="false">IF(Avail_LDs_Switch=1,VLOOKUP('Plant Operations'!A44,RAC_AvailFactor_Table,RAC_LDs!$G$258),IF($A44&lt;Startops2,Tariff!$T$11,0))</f>
        <v>0</v>
      </c>
      <c r="I44" s="1543" t="n">
        <f aca="false">IF(OR($A44&lt;Startops1,$A44&gt;=Startops2),0,IF(AND($A44&gt;=DieselOps_2,$A44&lt;Startops2),VLOOKUP($A44,Diesel_Table,Tariff!$Y$41),VLOOKUP($A44,OA_Table,Tariff!$Y$26)))</f>
        <v>0</v>
      </c>
      <c r="J44" s="1544" t="n">
        <f aca="false">IF(MONTH($A44)=12,SUM(I33:I44)," ")</f>
        <v>177821.28</v>
      </c>
      <c r="K44" s="1334" t="n">
        <f aca="false">IF(OR($A44&lt;Startops2,$A44&gt;=Endyr),0,VLOOKUP($A44,Capacity_Table,Tariff!$S$18))</f>
        <v>0.91</v>
      </c>
      <c r="L44" s="306" t="n">
        <f aca="false">IF(OR($A44&lt;Startops2,$A44&gt;=Endyr),0,VLOOKUP($A44,Capacity_Table,Tariff!$T$18))</f>
        <v>0.92</v>
      </c>
      <c r="M44" s="397" t="n">
        <f aca="false">IF($A44&lt;Startops2,0,IF($A44&lt;Startops3,VLOOKUP($A44,Convert_Table,Tariff!$Y$54),C44*D44*F44*K44*L44))</f>
        <v>298980.864</v>
      </c>
      <c r="N44" s="1544" t="n">
        <f aca="false">IF(MONTH($A44)=12,SUM(M33:M44)," ")</f>
        <v>2171833.232</v>
      </c>
      <c r="O44" s="397" t="n">
        <f aca="false">IF($A44&lt;Startops2,0,IF($A44&lt;Startops3,Hr_II,Hr_III))</f>
        <v>7000</v>
      </c>
      <c r="P44" s="397" t="n">
        <f aca="false">M44*O44/1000</f>
        <v>2092866.048</v>
      </c>
      <c r="Q44" s="1545" t="n">
        <f aca="false">IF(MONTH($A44)=12,SUM(P33:P44)," ")</f>
        <v>17361108.424</v>
      </c>
      <c r="R44" s="397" t="n">
        <f aca="false">IF($A44&gt;Endyr,0,IF($A44&lt;Assm!$A$55,P44,Assm!$F$55*$D44))</f>
        <v>1828160.87671233</v>
      </c>
      <c r="S44" s="1544" t="n">
        <f aca="false">IF(MONTH($A44)=12,SUM(R33:R44)," ")</f>
        <v>16054660.3205479</v>
      </c>
      <c r="T44" s="397" t="n">
        <f aca="false">MAX(P44,R44)</f>
        <v>2092866.048</v>
      </c>
      <c r="U44" s="1546" t="n">
        <f aca="false">IF(MONTH($A44)=12,SUM(T33:T44)," ")</f>
        <v>17361108.424</v>
      </c>
    </row>
    <row r="45" customFormat="false" ht="12.75" hidden="false" customHeight="false" outlineLevel="0" collapsed="false">
      <c r="A45" s="1538" t="n">
        <f aca="false">EDATE(A44,1)</f>
        <v>37257</v>
      </c>
      <c r="C45" s="1539" t="n">
        <f aca="false">IF($A45&gt;Endyr,0,VLOOKUP($A45,Capacity_Table,Tariff!$R$18))</f>
        <v>480</v>
      </c>
      <c r="D45" s="1540" t="n">
        <f aca="false">A46-A45</f>
        <v>31</v>
      </c>
      <c r="E45" s="1540" t="str">
        <f aca="false">IF(MONTH($A45)=12,SUM(D34:D45)," ")</f>
        <v> </v>
      </c>
      <c r="F45" s="1545" t="n">
        <f aca="false">F44</f>
        <v>24</v>
      </c>
      <c r="G45" s="1334" t="n">
        <f aca="false">IF(I45=0,0,I45/($C45*$D45*$F45*H45))</f>
        <v>0</v>
      </c>
      <c r="H45" s="1542" t="n">
        <f aca="false">IF(Avail_LDs_Switch=1,VLOOKUP('Plant Operations'!A45,RAC_AvailFactor_Table,RAC_LDs!$G$258),IF($A45&lt;Startops2,Tariff!$T$11,0))</f>
        <v>0</v>
      </c>
      <c r="I45" s="1543" t="n">
        <f aca="false">IF(OR($A45&lt;Startops1,$A45&gt;=Startops2),0,IF(AND($A45&gt;=DieselOps_2,$A45&lt;Startops2),VLOOKUP($A45,Diesel_Table,Tariff!$Y$41),VLOOKUP($A45,OA_Table,Tariff!$Y$26)))</f>
        <v>0</v>
      </c>
      <c r="J45" s="1544" t="str">
        <f aca="false">IF(MONTH($A45)=12,SUM(I34:I45)," ")</f>
        <v> </v>
      </c>
      <c r="K45" s="1334" t="n">
        <f aca="false">IF(OR($A45&lt;Startops2,$A45&gt;=Endyr),0,VLOOKUP($A45,Capacity_Table,Tariff!$S$18))</f>
        <v>0.91</v>
      </c>
      <c r="L45" s="306" t="n">
        <f aca="false">IF(OR($A45&lt;Startops2,$A45&gt;=Endyr),0,VLOOKUP($A45,Capacity_Table,Tariff!$T$18))</f>
        <v>0.92</v>
      </c>
      <c r="M45" s="397" t="n">
        <f aca="false">IF($A45&lt;Startops2,0,IF($A45&lt;Startops3,VLOOKUP($A45,Convert_Table,Tariff!$Y$54),C45*D45*F45*K45*L45))</f>
        <v>298980.864</v>
      </c>
      <c r="N45" s="1544" t="str">
        <f aca="false">IF(MONTH($A45)=12,SUM(M34:M45)," ")</f>
        <v> </v>
      </c>
      <c r="O45" s="397" t="n">
        <f aca="false">IF($A45&lt;Startops2,0,IF($A45&lt;Startops3,Hr_II,Hr_III))</f>
        <v>7000</v>
      </c>
      <c r="P45" s="397" t="n">
        <f aca="false">M45*O45/1000</f>
        <v>2092866.048</v>
      </c>
      <c r="Q45" s="1545" t="str">
        <f aca="false">IF(MONTH($A45)=12,SUM(P34:P45)," ")</f>
        <v> </v>
      </c>
      <c r="R45" s="397" t="n">
        <f aca="false">IF($A45&gt;Endyr,0,IF($A45&lt;Assm!$A$55,P45,Assm!$F$55*$D45))</f>
        <v>1828160.87671233</v>
      </c>
      <c r="S45" s="1544" t="str">
        <f aca="false">IF(MONTH($A45)=12,SUM(R34:R45)," ")</f>
        <v> </v>
      </c>
      <c r="T45" s="397" t="n">
        <f aca="false">MAX(P45,R45)</f>
        <v>2092866.048</v>
      </c>
      <c r="U45" s="1546" t="str">
        <f aca="false">IF(MONTH($A45)=12,SUM(T34:T45)," ")</f>
        <v> </v>
      </c>
    </row>
    <row r="46" customFormat="false" ht="12.75" hidden="false" customHeight="false" outlineLevel="0" collapsed="false">
      <c r="A46" s="1538" t="n">
        <f aca="false">EDATE(A45,1)</f>
        <v>37288</v>
      </c>
      <c r="C46" s="1539" t="n">
        <f aca="false">IF($A46&gt;Endyr,0,VLOOKUP($A46,Capacity_Table,Tariff!$R$18))</f>
        <v>480</v>
      </c>
      <c r="D46" s="1540" t="n">
        <f aca="false">A47-A46</f>
        <v>28</v>
      </c>
      <c r="E46" s="1540" t="str">
        <f aca="false">IF(MONTH($A46)=12,SUM(D35:D46)," ")</f>
        <v> </v>
      </c>
      <c r="F46" s="1545" t="n">
        <f aca="false">F45</f>
        <v>24</v>
      </c>
      <c r="G46" s="1334" t="n">
        <f aca="false">IF(I46=0,0,I46/($C46*$D46*$F46*H46))</f>
        <v>0</v>
      </c>
      <c r="H46" s="1542" t="n">
        <f aca="false">IF(Avail_LDs_Switch=1,VLOOKUP('Plant Operations'!A46,RAC_AvailFactor_Table,RAC_LDs!$G$258),IF($A46&lt;Startops2,Tariff!$T$11,0))</f>
        <v>0</v>
      </c>
      <c r="I46" s="1543" t="n">
        <f aca="false">IF(OR($A46&lt;Startops1,$A46&gt;=Startops2),0,IF(AND($A46&gt;=DieselOps_2,$A46&lt;Startops2),VLOOKUP($A46,Diesel_Table,Tariff!$Y$41),VLOOKUP($A46,OA_Table,Tariff!$Y$26)))</f>
        <v>0</v>
      </c>
      <c r="J46" s="1544" t="str">
        <f aca="false">IF(MONTH($A46)=12,SUM(I35:I46)," ")</f>
        <v> </v>
      </c>
      <c r="K46" s="1334" t="n">
        <f aca="false">IF(OR($A46&lt;Startops2,$A46&gt;=Endyr),0,VLOOKUP($A46,Capacity_Table,Tariff!$S$18))</f>
        <v>0.91</v>
      </c>
      <c r="L46" s="306" t="n">
        <f aca="false">IF(OR($A46&lt;Startops2,$A46&gt;=Endyr),0,VLOOKUP($A46,Capacity_Table,Tariff!$T$18))</f>
        <v>0.92</v>
      </c>
      <c r="M46" s="397" t="n">
        <f aca="false">IF($A46&lt;Startops2,0,IF($A46&lt;Startops3,VLOOKUP($A46,Convert_Table,Tariff!$Y$54),C46*D46*F46*K46*L46))</f>
        <v>270047.232</v>
      </c>
      <c r="N46" s="1544" t="str">
        <f aca="false">IF(MONTH($A46)=12,SUM(M35:M46)," ")</f>
        <v> </v>
      </c>
      <c r="O46" s="397" t="n">
        <f aca="false">IF($A46&lt;Startops2,0,IF($A46&lt;Startops3,Hr_II,Hr_III))</f>
        <v>7000</v>
      </c>
      <c r="P46" s="397" t="n">
        <f aca="false">M46*O46/1000</f>
        <v>1890330.624</v>
      </c>
      <c r="Q46" s="1545" t="str">
        <f aca="false">IF(MONTH($A46)=12,SUM(P35:P46)," ")</f>
        <v> </v>
      </c>
      <c r="R46" s="397" t="n">
        <f aca="false">IF($A46&gt;Endyr,0,IF($A46&lt;Assm!$A$55,P46,Assm!$F$55*$D46))</f>
        <v>1651242.08219178</v>
      </c>
      <c r="S46" s="1544" t="str">
        <f aca="false">IF(MONTH($A46)=12,SUM(R35:R46)," ")</f>
        <v> </v>
      </c>
      <c r="T46" s="397" t="n">
        <f aca="false">MAX(P46,R46)</f>
        <v>1890330.624</v>
      </c>
      <c r="U46" s="1546" t="str">
        <f aca="false">IF(MONTH($A46)=12,SUM(T35:T46)," ")</f>
        <v> </v>
      </c>
    </row>
    <row r="47" customFormat="false" ht="12.75" hidden="false" customHeight="false" outlineLevel="0" collapsed="false">
      <c r="A47" s="1538" t="n">
        <f aca="false">EDATE(A46,1)</f>
        <v>37316</v>
      </c>
      <c r="C47" s="1539" t="n">
        <f aca="false">IF($A47&gt;Endyr,0,VLOOKUP($A47,Capacity_Table,Tariff!$R$18))</f>
        <v>480</v>
      </c>
      <c r="D47" s="1540" t="n">
        <f aca="false">A48-A47</f>
        <v>31</v>
      </c>
      <c r="E47" s="1540" t="str">
        <f aca="false">IF(MONTH($A47)=12,SUM(D36:D47)," ")</f>
        <v> </v>
      </c>
      <c r="F47" s="1545" t="n">
        <f aca="false">F46</f>
        <v>24</v>
      </c>
      <c r="G47" s="1334" t="n">
        <f aca="false">IF(I47=0,0,I47/($C47*$D47*$F47*H47))</f>
        <v>0</v>
      </c>
      <c r="H47" s="1542" t="n">
        <f aca="false">IF(Avail_LDs_Switch=1,VLOOKUP('Plant Operations'!A47,RAC_AvailFactor_Table,RAC_LDs!$G$258),IF($A47&lt;Startops2,Tariff!$T$11,0))</f>
        <v>0</v>
      </c>
      <c r="I47" s="1543" t="n">
        <f aca="false">IF(OR($A47&lt;Startops1,$A47&gt;=Startops2),0,IF(AND($A47&gt;=DieselOps_2,$A47&lt;Startops2),VLOOKUP($A47,Diesel_Table,Tariff!$Y$41),VLOOKUP($A47,OA_Table,Tariff!$Y$26)))</f>
        <v>0</v>
      </c>
      <c r="J47" s="1544" t="str">
        <f aca="false">IF(MONTH($A47)=12,SUM(I36:I47)," ")</f>
        <v> </v>
      </c>
      <c r="K47" s="1334" t="n">
        <f aca="false">IF(OR($A47&lt;Startops2,$A47&gt;=Endyr),0,VLOOKUP($A47,Capacity_Table,Tariff!$S$18))</f>
        <v>0.91</v>
      </c>
      <c r="L47" s="306" t="n">
        <f aca="false">IF(OR($A47&lt;Startops2,$A47&gt;=Endyr),0,VLOOKUP($A47,Capacity_Table,Tariff!$T$18))</f>
        <v>0.92</v>
      </c>
      <c r="M47" s="397" t="n">
        <f aca="false">IF($A47&lt;Startops2,0,IF($A47&lt;Startops3,VLOOKUP($A47,Convert_Table,Tariff!$Y$54),C47*D47*F47*K47*L47))</f>
        <v>298980.864</v>
      </c>
      <c r="N47" s="1544" t="str">
        <f aca="false">IF(MONTH($A47)=12,SUM(M36:M47)," ")</f>
        <v> </v>
      </c>
      <c r="O47" s="397" t="n">
        <f aca="false">IF($A47&lt;Startops2,0,IF($A47&lt;Startops3,Hr_II,Hr_III))</f>
        <v>7000</v>
      </c>
      <c r="P47" s="397" t="n">
        <f aca="false">M47*O47/1000</f>
        <v>2092866.048</v>
      </c>
      <c r="Q47" s="1545" t="str">
        <f aca="false">IF(MONTH($A47)=12,SUM(P36:P47)," ")</f>
        <v> </v>
      </c>
      <c r="R47" s="397" t="n">
        <f aca="false">IF($A47&gt;Endyr,0,IF($A47&lt;Assm!$A$55,P47,Assm!$F$55*$D47))</f>
        <v>1828160.87671233</v>
      </c>
      <c r="S47" s="1544" t="str">
        <f aca="false">IF(MONTH($A47)=12,SUM(R36:R47)," ")</f>
        <v> </v>
      </c>
      <c r="T47" s="397" t="n">
        <f aca="false">MAX(P47,R47)</f>
        <v>2092866.048</v>
      </c>
      <c r="U47" s="1546" t="str">
        <f aca="false">IF(MONTH($A47)=12,SUM(T36:T47)," ")</f>
        <v> </v>
      </c>
    </row>
    <row r="48" customFormat="false" ht="12.75" hidden="false" customHeight="false" outlineLevel="0" collapsed="false">
      <c r="A48" s="1538" t="n">
        <f aca="false">EDATE(A47,1)</f>
        <v>37347</v>
      </c>
      <c r="C48" s="1539" t="n">
        <f aca="false">IF($A48&gt;Endyr,0,VLOOKUP($A48,Capacity_Table,Tariff!$R$18))</f>
        <v>480</v>
      </c>
      <c r="D48" s="1540" t="n">
        <f aca="false">A49-A48</f>
        <v>30</v>
      </c>
      <c r="E48" s="1540" t="str">
        <f aca="false">IF(MONTH($A48)=12,SUM(D37:D48)," ")</f>
        <v> </v>
      </c>
      <c r="F48" s="1545" t="n">
        <f aca="false">F47</f>
        <v>24</v>
      </c>
      <c r="G48" s="1334" t="n">
        <f aca="false">IF(I48=0,0,I48/($C48*$D48*$F48*H48))</f>
        <v>0</v>
      </c>
      <c r="H48" s="1542" t="n">
        <f aca="false">IF(Avail_LDs_Switch=1,VLOOKUP('Plant Operations'!A48,RAC_AvailFactor_Table,RAC_LDs!$G$258),IF($A48&lt;Startops2,Tariff!$T$11,0))</f>
        <v>0</v>
      </c>
      <c r="I48" s="1543" t="n">
        <f aca="false">IF(OR($A48&lt;Startops1,$A48&gt;=Startops2),0,IF(AND($A48&gt;=DieselOps_2,$A48&lt;Startops2),VLOOKUP($A48,Diesel_Table,Tariff!$Y$41),VLOOKUP($A48,OA_Table,Tariff!$Y$26)))</f>
        <v>0</v>
      </c>
      <c r="J48" s="1544" t="str">
        <f aca="false">IF(MONTH($A48)=12,SUM(I37:I48)," ")</f>
        <v> </v>
      </c>
      <c r="K48" s="1334" t="n">
        <f aca="false">IF(OR($A48&lt;Startops2,$A48&gt;=Endyr),0,VLOOKUP($A48,Capacity_Table,Tariff!$S$18))</f>
        <v>0.91</v>
      </c>
      <c r="L48" s="306" t="n">
        <f aca="false">IF(OR($A48&lt;Startops2,$A48&gt;=Endyr),0,VLOOKUP($A48,Capacity_Table,Tariff!$T$18))</f>
        <v>0.92</v>
      </c>
      <c r="M48" s="397" t="n">
        <f aca="false">IF($A48&lt;Startops2,0,IF($A48&lt;Startops3,VLOOKUP($A48,Convert_Table,Tariff!$Y$54),C48*D48*F48*K48*L48))</f>
        <v>289336.32</v>
      </c>
      <c r="N48" s="1544" t="str">
        <f aca="false">IF(MONTH($A48)=12,SUM(M37:M48)," ")</f>
        <v> </v>
      </c>
      <c r="O48" s="397" t="n">
        <f aca="false">IF($A48&lt;Startops2,0,IF($A48&lt;Startops3,Hr_II,Hr_III))</f>
        <v>7000</v>
      </c>
      <c r="P48" s="397" t="n">
        <f aca="false">M48*O48/1000</f>
        <v>2025354.24</v>
      </c>
      <c r="Q48" s="1545" t="str">
        <f aca="false">IF(MONTH($A48)=12,SUM(P37:P48)," ")</f>
        <v> </v>
      </c>
      <c r="R48" s="397" t="n">
        <f aca="false">IF($A48&gt;Endyr,0,IF($A48&lt;Assm!$A$55,P48,Assm!$F$55*$D48))</f>
        <v>1769187.94520548</v>
      </c>
      <c r="S48" s="1544" t="str">
        <f aca="false">IF(MONTH($A48)=12,SUM(R37:R48)," ")</f>
        <v> </v>
      </c>
      <c r="T48" s="397" t="n">
        <f aca="false">MAX(P48,R48)</f>
        <v>2025354.24</v>
      </c>
      <c r="U48" s="1546" t="str">
        <f aca="false">IF(MONTH($A48)=12,SUM(T37:T48)," ")</f>
        <v> </v>
      </c>
    </row>
    <row r="49" customFormat="false" ht="12.75" hidden="false" customHeight="false" outlineLevel="0" collapsed="false">
      <c r="A49" s="1538" t="n">
        <f aca="false">EDATE(A48,1)</f>
        <v>37377</v>
      </c>
      <c r="C49" s="1539" t="n">
        <f aca="false">IF($A49&gt;Endyr,0,VLOOKUP($A49,Capacity_Table,Tariff!$R$18))</f>
        <v>480</v>
      </c>
      <c r="D49" s="1540" t="n">
        <f aca="false">A50-A49</f>
        <v>31</v>
      </c>
      <c r="E49" s="1540" t="str">
        <f aca="false">IF(MONTH($A49)=12,SUM(D38:D49)," ")</f>
        <v> </v>
      </c>
      <c r="F49" s="1545" t="n">
        <f aca="false">F48</f>
        <v>24</v>
      </c>
      <c r="G49" s="1334" t="n">
        <f aca="false">IF(I49=0,0,I49/($C49*$D49*$F49*H49))</f>
        <v>0</v>
      </c>
      <c r="H49" s="1542" t="n">
        <f aca="false">IF(Avail_LDs_Switch=1,VLOOKUP('Plant Operations'!A49,RAC_AvailFactor_Table,RAC_LDs!$G$258),IF($A49&lt;Startops2,Tariff!$T$11,0))</f>
        <v>0</v>
      </c>
      <c r="I49" s="1543" t="n">
        <f aca="false">IF(OR($A49&lt;Startops1,$A49&gt;=Startops2),0,IF(AND($A49&gt;=DieselOps_2,$A49&lt;Startops2),VLOOKUP($A49,Diesel_Table,Tariff!$Y$41),VLOOKUP($A49,OA_Table,Tariff!$Y$26)))</f>
        <v>0</v>
      </c>
      <c r="J49" s="1544" t="str">
        <f aca="false">IF(MONTH($A49)=12,SUM(I38:I49)," ")</f>
        <v> </v>
      </c>
      <c r="K49" s="1334" t="n">
        <f aca="false">IF(OR($A49&lt;Startops2,$A49&gt;=Endyr),0,VLOOKUP($A49,Capacity_Table,Tariff!$S$18))</f>
        <v>0.91</v>
      </c>
      <c r="L49" s="306" t="n">
        <f aca="false">IF(OR($A49&lt;Startops2,$A49&gt;=Endyr),0,VLOOKUP($A49,Capacity_Table,Tariff!$T$18))</f>
        <v>0.92</v>
      </c>
      <c r="M49" s="397" t="n">
        <f aca="false">IF($A49&lt;Startops2,0,IF($A49&lt;Startops3,VLOOKUP($A49,Convert_Table,Tariff!$Y$54),C49*D49*F49*K49*L49))</f>
        <v>298980.864</v>
      </c>
      <c r="N49" s="1544" t="str">
        <f aca="false">IF(MONTH($A49)=12,SUM(M38:M49)," ")</f>
        <v> </v>
      </c>
      <c r="O49" s="397" t="n">
        <f aca="false">IF($A49&lt;Startops2,0,IF($A49&lt;Startops3,Hr_II,Hr_III))</f>
        <v>7000</v>
      </c>
      <c r="P49" s="397" t="n">
        <f aca="false">M49*O49/1000</f>
        <v>2092866.048</v>
      </c>
      <c r="Q49" s="1545" t="str">
        <f aca="false">IF(MONTH($A49)=12,SUM(P38:P49)," ")</f>
        <v> </v>
      </c>
      <c r="R49" s="397" t="n">
        <f aca="false">IF($A49&gt;Endyr,0,IF($A49&lt;Assm!$A$55,P49,Assm!$F$55*$D49))</f>
        <v>1828160.87671233</v>
      </c>
      <c r="S49" s="1544" t="str">
        <f aca="false">IF(MONTH($A49)=12,SUM(R38:R49)," ")</f>
        <v> </v>
      </c>
      <c r="T49" s="397" t="n">
        <f aca="false">MAX(P49,R49)</f>
        <v>2092866.048</v>
      </c>
      <c r="U49" s="1546" t="str">
        <f aca="false">IF(MONTH($A49)=12,SUM(T38:T49)," ")</f>
        <v> </v>
      </c>
    </row>
    <row r="50" customFormat="false" ht="12.75" hidden="false" customHeight="false" outlineLevel="0" collapsed="false">
      <c r="A50" s="1538" t="n">
        <f aca="false">EDATE(A49,1)</f>
        <v>37408</v>
      </c>
      <c r="C50" s="1539" t="n">
        <f aca="false">IF($A50&gt;Endyr,0,VLOOKUP($A50,Capacity_Table,Tariff!$R$18))</f>
        <v>480</v>
      </c>
      <c r="D50" s="1540" t="n">
        <f aca="false">A51-A50</f>
        <v>30</v>
      </c>
      <c r="E50" s="1540" t="str">
        <f aca="false">IF(MONTH($A50)=12,SUM(D39:D50)," ")</f>
        <v> </v>
      </c>
      <c r="F50" s="1545" t="n">
        <f aca="false">F49</f>
        <v>24</v>
      </c>
      <c r="G50" s="1334" t="n">
        <f aca="false">IF(I50=0,0,I50/($C50*$D50*$F50*H50))</f>
        <v>0</v>
      </c>
      <c r="H50" s="1542" t="n">
        <f aca="false">IF(Avail_LDs_Switch=1,VLOOKUP('Plant Operations'!A50,RAC_AvailFactor_Table,RAC_LDs!$G$258),IF($A50&lt;Startops2,Tariff!$T$11,0))</f>
        <v>0</v>
      </c>
      <c r="I50" s="1543" t="n">
        <f aca="false">IF(OR($A50&lt;Startops1,$A50&gt;=Startops2),0,IF(AND($A50&gt;=DieselOps_2,$A50&lt;Startops2),VLOOKUP($A50,Diesel_Table,Tariff!$Y$41),VLOOKUP($A50,OA_Table,Tariff!$Y$26)))</f>
        <v>0</v>
      </c>
      <c r="J50" s="1544" t="str">
        <f aca="false">IF(MONTH($A50)=12,SUM(I39:I50)," ")</f>
        <v> </v>
      </c>
      <c r="K50" s="1334" t="n">
        <f aca="false">IF(OR($A50&lt;Startops2,$A50&gt;=Endyr),0,VLOOKUP($A50,Capacity_Table,Tariff!$S$18))</f>
        <v>0.91</v>
      </c>
      <c r="L50" s="306" t="n">
        <f aca="false">IF(OR($A50&lt;Startops2,$A50&gt;=Endyr),0,VLOOKUP($A50,Capacity_Table,Tariff!$T$18))</f>
        <v>0.92</v>
      </c>
      <c r="M50" s="397" t="n">
        <f aca="false">IF($A50&lt;Startops2,0,IF($A50&lt;Startops3,VLOOKUP($A50,Convert_Table,Tariff!$Y$54),C50*D50*F50*K50*L50))</f>
        <v>289336.32</v>
      </c>
      <c r="N50" s="1544" t="str">
        <f aca="false">IF(MONTH($A50)=12,SUM(M39:M50)," ")</f>
        <v> </v>
      </c>
      <c r="O50" s="397" t="n">
        <f aca="false">IF($A50&lt;Startops2,0,IF($A50&lt;Startops3,Hr_II,Hr_III))</f>
        <v>7000</v>
      </c>
      <c r="P50" s="397" t="n">
        <f aca="false">M50*O50/1000</f>
        <v>2025354.24</v>
      </c>
      <c r="Q50" s="1545" t="str">
        <f aca="false">IF(MONTH($A50)=12,SUM(P39:P50)," ")</f>
        <v> </v>
      </c>
      <c r="R50" s="397" t="n">
        <f aca="false">IF($A50&gt;Endyr,0,IF($A50&lt;Assm!$A$55,P50,Assm!$F$55*$D50))</f>
        <v>1769187.94520548</v>
      </c>
      <c r="S50" s="1544" t="str">
        <f aca="false">IF(MONTH($A50)=12,SUM(R39:R50)," ")</f>
        <v> </v>
      </c>
      <c r="T50" s="397" t="n">
        <f aca="false">MAX(P50,R50)</f>
        <v>2025354.24</v>
      </c>
      <c r="U50" s="1546" t="str">
        <f aca="false">IF(MONTH($A50)=12,SUM(T39:T50)," ")</f>
        <v> </v>
      </c>
    </row>
    <row r="51" customFormat="false" ht="12.75" hidden="false" customHeight="false" outlineLevel="0" collapsed="false">
      <c r="A51" s="1538" t="n">
        <f aca="false">EDATE(A50,1)</f>
        <v>37438</v>
      </c>
      <c r="C51" s="1539" t="n">
        <f aca="false">IF($A51&gt;Endyr,0,VLOOKUP($A51,Capacity_Table,Tariff!$R$18))</f>
        <v>480</v>
      </c>
      <c r="D51" s="1540" t="n">
        <f aca="false">A52-A51</f>
        <v>31</v>
      </c>
      <c r="E51" s="1540" t="str">
        <f aca="false">IF(MONTH($A51)=12,SUM(D40:D51)," ")</f>
        <v> </v>
      </c>
      <c r="F51" s="1545" t="n">
        <f aca="false">F50</f>
        <v>24</v>
      </c>
      <c r="G51" s="1334" t="n">
        <f aca="false">IF(I51=0,0,I51/($C51*$D51*$F51*H51))</f>
        <v>0</v>
      </c>
      <c r="H51" s="1542" t="n">
        <f aca="false">IF(Avail_LDs_Switch=1,VLOOKUP('Plant Operations'!A51,RAC_AvailFactor_Table,RAC_LDs!$G$258),IF($A51&lt;Startops2,Tariff!$T$11,0))</f>
        <v>0</v>
      </c>
      <c r="I51" s="1543" t="n">
        <f aca="false">IF(OR($A51&lt;Startops1,$A51&gt;=Startops2),0,IF(AND($A51&gt;=DieselOps_2,$A51&lt;Startops2),VLOOKUP($A51,Diesel_Table,Tariff!$Y$41),VLOOKUP($A51,OA_Table,Tariff!$Y$26)))</f>
        <v>0</v>
      </c>
      <c r="J51" s="1544" t="str">
        <f aca="false">IF(MONTH($A51)=12,SUM(I40:I51)," ")</f>
        <v> </v>
      </c>
      <c r="K51" s="1334" t="n">
        <f aca="false">IF(OR($A51&lt;Startops2,$A51&gt;=Endyr),0,VLOOKUP($A51,Capacity_Table,Tariff!$S$18))</f>
        <v>0.91</v>
      </c>
      <c r="L51" s="306" t="n">
        <f aca="false">IF(OR($A51&lt;Startops2,$A51&gt;=Endyr),0,VLOOKUP($A51,Capacity_Table,Tariff!$T$18))</f>
        <v>0.92</v>
      </c>
      <c r="M51" s="397" t="n">
        <f aca="false">IF($A51&lt;Startops2,0,IF($A51&lt;Startops3,VLOOKUP($A51,Convert_Table,Tariff!$Y$54),C51*D51*F51*K51*L51))</f>
        <v>298980.864</v>
      </c>
      <c r="N51" s="1544" t="str">
        <f aca="false">IF(MONTH($A51)=12,SUM(M40:M51)," ")</f>
        <v> </v>
      </c>
      <c r="O51" s="397" t="n">
        <f aca="false">IF($A51&lt;Startops2,0,IF($A51&lt;Startops3,Hr_II,Hr_III))</f>
        <v>7000</v>
      </c>
      <c r="P51" s="397" t="n">
        <f aca="false">M51*O51/1000</f>
        <v>2092866.048</v>
      </c>
      <c r="Q51" s="1545" t="str">
        <f aca="false">IF(MONTH($A51)=12,SUM(P40:P51)," ")</f>
        <v> </v>
      </c>
      <c r="R51" s="397" t="n">
        <f aca="false">IF($A51&gt;Endyr,0,IF($A51&lt;Assm!$A$55,P51,Assm!$F$55*$D51))</f>
        <v>1828160.87671233</v>
      </c>
      <c r="S51" s="1544" t="str">
        <f aca="false">IF(MONTH($A51)=12,SUM(R40:R51)," ")</f>
        <v> </v>
      </c>
      <c r="T51" s="397" t="n">
        <f aca="false">MAX(P51,R51)</f>
        <v>2092866.048</v>
      </c>
      <c r="U51" s="1546" t="str">
        <f aca="false">IF(MONTH($A51)=12,SUM(T40:T51)," ")</f>
        <v> </v>
      </c>
    </row>
    <row r="52" customFormat="false" ht="12.75" hidden="false" customHeight="false" outlineLevel="0" collapsed="false">
      <c r="A52" s="1538" t="n">
        <f aca="false">EDATE(A51,1)</f>
        <v>37469</v>
      </c>
      <c r="C52" s="1539" t="n">
        <f aca="false">IF($A52&gt;Endyr,0,VLOOKUP($A52,Capacity_Table,Tariff!$R$18))</f>
        <v>480</v>
      </c>
      <c r="D52" s="1540" t="n">
        <f aca="false">A53-A52</f>
        <v>31</v>
      </c>
      <c r="E52" s="1540" t="str">
        <f aca="false">IF(MONTH($A52)=12,SUM(D41:D52)," ")</f>
        <v> </v>
      </c>
      <c r="F52" s="1545" t="n">
        <f aca="false">F51</f>
        <v>24</v>
      </c>
      <c r="G52" s="1334" t="n">
        <f aca="false">IF(I52=0,0,I52/($C52*$D52*$F52*H52))</f>
        <v>0</v>
      </c>
      <c r="H52" s="1542" t="n">
        <f aca="false">IF(Avail_LDs_Switch=1,VLOOKUP('Plant Operations'!A52,RAC_AvailFactor_Table,RAC_LDs!$G$258),IF($A52&lt;Startops2,Tariff!$T$11,0))</f>
        <v>0</v>
      </c>
      <c r="I52" s="1543" t="n">
        <f aca="false">IF(OR($A52&lt;Startops1,$A52&gt;=Startops2),0,IF(AND($A52&gt;=DieselOps_2,$A52&lt;Startops2),VLOOKUP($A52,Diesel_Table,Tariff!$Y$41),VLOOKUP($A52,OA_Table,Tariff!$Y$26)))</f>
        <v>0</v>
      </c>
      <c r="J52" s="1544" t="str">
        <f aca="false">IF(MONTH($A52)=12,SUM(I41:I52)," ")</f>
        <v> </v>
      </c>
      <c r="K52" s="1334" t="n">
        <f aca="false">IF(OR($A52&lt;Startops2,$A52&gt;=Endyr),0,VLOOKUP($A52,Capacity_Table,Tariff!$S$18))</f>
        <v>0.91</v>
      </c>
      <c r="L52" s="306" t="n">
        <f aca="false">IF(OR($A52&lt;Startops2,$A52&gt;=Endyr),0,VLOOKUP($A52,Capacity_Table,Tariff!$T$18))</f>
        <v>0.92</v>
      </c>
      <c r="M52" s="397" t="n">
        <f aca="false">IF($A52&lt;Startops2,0,IF($A52&lt;Startops3,VLOOKUP($A52,Convert_Table,Tariff!$Y$54),C52*D52*F52*K52*L52))</f>
        <v>298980.864</v>
      </c>
      <c r="N52" s="1544" t="str">
        <f aca="false">IF(MONTH($A52)=12,SUM(M41:M52)," ")</f>
        <v> </v>
      </c>
      <c r="O52" s="397" t="n">
        <f aca="false">IF($A52&lt;Startops2,0,IF($A52&lt;Startops3,Hr_II,Hr_III))</f>
        <v>7000</v>
      </c>
      <c r="P52" s="397" t="n">
        <f aca="false">M52*O52/1000</f>
        <v>2092866.048</v>
      </c>
      <c r="Q52" s="1545" t="str">
        <f aca="false">IF(MONTH($A52)=12,SUM(P41:P52)," ")</f>
        <v> </v>
      </c>
      <c r="R52" s="397" t="n">
        <f aca="false">IF($A52&gt;Endyr,0,IF($A52&lt;Assm!$A$55,P52,Assm!$F$55*$D52))</f>
        <v>1828160.87671233</v>
      </c>
      <c r="S52" s="1544" t="str">
        <f aca="false">IF(MONTH($A52)=12,SUM(R41:R52)," ")</f>
        <v> </v>
      </c>
      <c r="T52" s="397" t="n">
        <f aca="false">MAX(P52,R52)</f>
        <v>2092866.048</v>
      </c>
      <c r="U52" s="1546" t="str">
        <f aca="false">IF(MONTH($A52)=12,SUM(T41:T52)," ")</f>
        <v> </v>
      </c>
    </row>
    <row r="53" customFormat="false" ht="12.75" hidden="false" customHeight="false" outlineLevel="0" collapsed="false">
      <c r="A53" s="1538" t="n">
        <f aca="false">EDATE(A52,1)</f>
        <v>37500</v>
      </c>
      <c r="C53" s="1539" t="n">
        <f aca="false">IF($A53&gt;Endyr,0,VLOOKUP($A53,Capacity_Table,Tariff!$R$18))</f>
        <v>480</v>
      </c>
      <c r="D53" s="1540" t="n">
        <f aca="false">A54-A53</f>
        <v>30</v>
      </c>
      <c r="E53" s="1540" t="str">
        <f aca="false">IF(MONTH($A53)=12,SUM(D42:D53)," ")</f>
        <v> </v>
      </c>
      <c r="F53" s="1545" t="n">
        <f aca="false">F52</f>
        <v>24</v>
      </c>
      <c r="G53" s="1334" t="n">
        <f aca="false">IF(I53=0,0,I53/($C53*$D53*$F53*H53))</f>
        <v>0</v>
      </c>
      <c r="H53" s="1542" t="n">
        <f aca="false">IF(Avail_LDs_Switch=1,VLOOKUP('Plant Operations'!A53,RAC_AvailFactor_Table,RAC_LDs!$G$258),IF($A53&lt;Startops2,Tariff!$T$11,0))</f>
        <v>0</v>
      </c>
      <c r="I53" s="1543" t="n">
        <f aca="false">IF(OR($A53&lt;Startops1,$A53&gt;=Startops2),0,IF(AND($A53&gt;=DieselOps_2,$A53&lt;Startops2),VLOOKUP($A53,Diesel_Table,Tariff!$Y$41),VLOOKUP($A53,OA_Table,Tariff!$Y$26)))</f>
        <v>0</v>
      </c>
      <c r="J53" s="1544" t="str">
        <f aca="false">IF(MONTH($A53)=12,SUM(I42:I53)," ")</f>
        <v> </v>
      </c>
      <c r="K53" s="1334" t="n">
        <f aca="false">IF(OR($A53&lt;Startops2,$A53&gt;=Endyr),0,VLOOKUP($A53,Capacity_Table,Tariff!$S$18))</f>
        <v>0.91</v>
      </c>
      <c r="L53" s="306" t="n">
        <f aca="false">IF(OR($A53&lt;Startops2,$A53&gt;=Endyr),0,VLOOKUP($A53,Capacity_Table,Tariff!$T$18))</f>
        <v>0.92</v>
      </c>
      <c r="M53" s="397" t="n">
        <f aca="false">IF($A53&lt;Startops2,0,IF($A53&lt;Startops3,VLOOKUP($A53,Convert_Table,Tariff!$Y$54),C53*D53*F53*K53*L53))</f>
        <v>289336.32</v>
      </c>
      <c r="N53" s="1544" t="str">
        <f aca="false">IF(MONTH($A53)=12,SUM(M42:M53)," ")</f>
        <v> </v>
      </c>
      <c r="O53" s="397" t="n">
        <f aca="false">IF($A53&lt;Startops2,0,IF($A53&lt;Startops3,Hr_II,Hr_III))</f>
        <v>7000</v>
      </c>
      <c r="P53" s="397" t="n">
        <f aca="false">M53*O53/1000</f>
        <v>2025354.24</v>
      </c>
      <c r="Q53" s="1545" t="str">
        <f aca="false">IF(MONTH($A53)=12,SUM(P42:P53)," ")</f>
        <v> </v>
      </c>
      <c r="R53" s="397" t="n">
        <f aca="false">IF($A53&gt;Endyr,0,IF($A53&lt;Assm!$A$55,P53,Assm!$F$55*$D53))</f>
        <v>1769187.94520548</v>
      </c>
      <c r="S53" s="1544" t="str">
        <f aca="false">IF(MONTH($A53)=12,SUM(R42:R53)," ")</f>
        <v> </v>
      </c>
      <c r="T53" s="397" t="n">
        <f aca="false">MAX(P53,R53)</f>
        <v>2025354.24</v>
      </c>
      <c r="U53" s="1546" t="str">
        <f aca="false">IF(MONTH($A53)=12,SUM(T42:T53)," ")</f>
        <v> </v>
      </c>
    </row>
    <row r="54" customFormat="false" ht="12.75" hidden="false" customHeight="false" outlineLevel="0" collapsed="false">
      <c r="A54" s="1538" t="n">
        <f aca="false">EDATE(A53,1)</f>
        <v>37530</v>
      </c>
      <c r="C54" s="1539" t="n">
        <f aca="false">IF($A54&gt;Endyr,0,VLOOKUP($A54,Capacity_Table,Tariff!$R$18))</f>
        <v>480</v>
      </c>
      <c r="D54" s="1540" t="n">
        <f aca="false">A55-A54</f>
        <v>31</v>
      </c>
      <c r="E54" s="1540" t="str">
        <f aca="false">IF(MONTH($A54)=12,SUM(D43:D54)," ")</f>
        <v> </v>
      </c>
      <c r="F54" s="1545" t="n">
        <f aca="false">F53</f>
        <v>24</v>
      </c>
      <c r="G54" s="1334" t="n">
        <f aca="false">IF(I54=0,0,I54/($C54*$D54*$F54*H54))</f>
        <v>0</v>
      </c>
      <c r="H54" s="1542" t="n">
        <f aca="false">IF(Avail_LDs_Switch=1,VLOOKUP('Plant Operations'!A54,RAC_AvailFactor_Table,RAC_LDs!$G$258),IF($A54&lt;Startops2,Tariff!$T$11,0))</f>
        <v>0</v>
      </c>
      <c r="I54" s="1543" t="n">
        <f aca="false">IF(OR($A54&lt;Startops1,$A54&gt;=Startops2),0,IF(AND($A54&gt;=DieselOps_2,$A54&lt;Startops2),VLOOKUP($A54,Diesel_Table,Tariff!$Y$41),VLOOKUP($A54,OA_Table,Tariff!$Y$26)))</f>
        <v>0</v>
      </c>
      <c r="J54" s="1544" t="str">
        <f aca="false">IF(MONTH($A54)=12,SUM(I43:I54)," ")</f>
        <v> </v>
      </c>
      <c r="K54" s="1334" t="n">
        <f aca="false">IF(OR($A54&lt;Startops2,$A54&gt;=Endyr),0,VLOOKUP($A54,Capacity_Table,Tariff!$S$18))</f>
        <v>0.91</v>
      </c>
      <c r="L54" s="306" t="n">
        <f aca="false">IF(OR($A54&lt;Startops2,$A54&gt;=Endyr),0,VLOOKUP($A54,Capacity_Table,Tariff!$T$18))</f>
        <v>0.92</v>
      </c>
      <c r="M54" s="397" t="n">
        <f aca="false">IF($A54&lt;Startops2,0,IF($A54&lt;Startops3,VLOOKUP($A54,Convert_Table,Tariff!$Y$54),C54*D54*F54*K54*L54))</f>
        <v>298980.864</v>
      </c>
      <c r="N54" s="1544" t="str">
        <f aca="false">IF(MONTH($A54)=12,SUM(M43:M54)," ")</f>
        <v> </v>
      </c>
      <c r="O54" s="397" t="n">
        <f aca="false">IF($A54&lt;Startops2,0,IF($A54&lt;Startops3,Hr_II,Hr_III))</f>
        <v>7000</v>
      </c>
      <c r="P54" s="397" t="n">
        <f aca="false">M54*O54/1000</f>
        <v>2092866.048</v>
      </c>
      <c r="Q54" s="1545" t="str">
        <f aca="false">IF(MONTH($A54)=12,SUM(P43:P54)," ")</f>
        <v> </v>
      </c>
      <c r="R54" s="397" t="n">
        <f aca="false">IF($A54&gt;Endyr,0,IF($A54&lt;Assm!$A$55,P54,Assm!$F$55*$D54))</f>
        <v>1828160.87671233</v>
      </c>
      <c r="S54" s="1544" t="str">
        <f aca="false">IF(MONTH($A54)=12,SUM(R43:R54)," ")</f>
        <v> </v>
      </c>
      <c r="T54" s="397" t="n">
        <f aca="false">MAX(P54,R54)</f>
        <v>2092866.048</v>
      </c>
      <c r="U54" s="1546" t="str">
        <f aca="false">IF(MONTH($A54)=12,SUM(T43:T54)," ")</f>
        <v> </v>
      </c>
    </row>
    <row r="55" customFormat="false" ht="12.75" hidden="false" customHeight="false" outlineLevel="0" collapsed="false">
      <c r="A55" s="1538" t="n">
        <f aca="false">EDATE(A54,1)</f>
        <v>37561</v>
      </c>
      <c r="C55" s="1539" t="n">
        <f aca="false">IF($A55&gt;Endyr,0,VLOOKUP($A55,Capacity_Table,Tariff!$R$18))</f>
        <v>480</v>
      </c>
      <c r="D55" s="1540" t="n">
        <f aca="false">A56-A55</f>
        <v>30</v>
      </c>
      <c r="E55" s="1540" t="str">
        <f aca="false">IF(MONTH($A55)=12,SUM(D44:D55)," ")</f>
        <v> </v>
      </c>
      <c r="F55" s="1545" t="n">
        <f aca="false">F54</f>
        <v>24</v>
      </c>
      <c r="G55" s="1334" t="n">
        <f aca="false">IF(I55=0,0,I55/($C55*$D55*$F55*H55))</f>
        <v>0</v>
      </c>
      <c r="H55" s="1542" t="n">
        <f aca="false">IF(Avail_LDs_Switch=1,VLOOKUP('Plant Operations'!A55,RAC_AvailFactor_Table,RAC_LDs!$G$258),IF($A55&lt;Startops2,Tariff!$T$11,0))</f>
        <v>0</v>
      </c>
      <c r="I55" s="1543" t="n">
        <f aca="false">IF(OR($A55&lt;Startops1,$A55&gt;=Startops2),0,IF(AND($A55&gt;=DieselOps_2,$A55&lt;Startops2),VLOOKUP($A55,Diesel_Table,Tariff!$Y$41),VLOOKUP($A55,OA_Table,Tariff!$Y$26)))</f>
        <v>0</v>
      </c>
      <c r="J55" s="1544" t="str">
        <f aca="false">IF(MONTH($A55)=12,SUM(I44:I55)," ")</f>
        <v> </v>
      </c>
      <c r="K55" s="1334" t="n">
        <f aca="false">IF(OR($A55&lt;Startops2,$A55&gt;=Endyr),0,VLOOKUP($A55,Capacity_Table,Tariff!$S$18))</f>
        <v>0.91</v>
      </c>
      <c r="L55" s="306" t="n">
        <f aca="false">IF(OR($A55&lt;Startops2,$A55&gt;=Endyr),0,VLOOKUP($A55,Capacity_Table,Tariff!$T$18))</f>
        <v>0.92</v>
      </c>
      <c r="M55" s="397" t="n">
        <f aca="false">IF($A55&lt;Startops2,0,IF($A55&lt;Startops3,VLOOKUP($A55,Convert_Table,Tariff!$Y$54),C55*D55*F55*K55*L55))</f>
        <v>289336.32</v>
      </c>
      <c r="N55" s="1544" t="str">
        <f aca="false">IF(MONTH($A55)=12,SUM(M44:M55)," ")</f>
        <v> </v>
      </c>
      <c r="O55" s="397" t="n">
        <f aca="false">IF($A55&lt;Startops2,0,IF($A55&lt;Startops3,Hr_II,Hr_III))</f>
        <v>7000</v>
      </c>
      <c r="P55" s="397" t="n">
        <f aca="false">M55*O55/1000</f>
        <v>2025354.24</v>
      </c>
      <c r="Q55" s="1545" t="str">
        <f aca="false">IF(MONTH($A55)=12,SUM(P44:P55)," ")</f>
        <v> </v>
      </c>
      <c r="R55" s="397" t="n">
        <f aca="false">IF($A55&gt;Endyr,0,IF($A55&lt;Assm!$A$55,P55,Assm!$F$55*$D55))</f>
        <v>1769187.94520548</v>
      </c>
      <c r="S55" s="1544" t="str">
        <f aca="false">IF(MONTH($A55)=12,SUM(R44:R55)," ")</f>
        <v> </v>
      </c>
      <c r="T55" s="397" t="n">
        <f aca="false">MAX(P55,R55)</f>
        <v>2025354.24</v>
      </c>
      <c r="U55" s="1546" t="str">
        <f aca="false">IF(MONTH($A55)=12,SUM(T44:T55)," ")</f>
        <v> </v>
      </c>
    </row>
    <row r="56" customFormat="false" ht="12.75" hidden="false" customHeight="false" outlineLevel="0" collapsed="false">
      <c r="A56" s="1538" t="n">
        <f aca="false">EDATE(A55,1)</f>
        <v>37591</v>
      </c>
      <c r="C56" s="1539" t="n">
        <f aca="false">IF($A56&gt;Endyr,0,VLOOKUP($A56,Capacity_Table,Tariff!$R$18))</f>
        <v>480</v>
      </c>
      <c r="D56" s="1540" t="n">
        <f aca="false">A57-A56</f>
        <v>31</v>
      </c>
      <c r="E56" s="1540" t="n">
        <f aca="false">IF(MONTH($A56)=12,SUM(D45:D56)," ")</f>
        <v>365</v>
      </c>
      <c r="F56" s="1545" t="n">
        <f aca="false">F55</f>
        <v>24</v>
      </c>
      <c r="G56" s="1334" t="n">
        <f aca="false">IF(I56=0,0,I56/($C56*$D56*$F56*H56))</f>
        <v>0</v>
      </c>
      <c r="H56" s="1542" t="n">
        <f aca="false">IF(Avail_LDs_Switch=1,VLOOKUP('Plant Operations'!A56,RAC_AvailFactor_Table,RAC_LDs!$G$258),IF($A56&lt;Startops2,Tariff!$T$11,0))</f>
        <v>0</v>
      </c>
      <c r="I56" s="1543" t="n">
        <f aca="false">IF(OR($A56&lt;Startops1,$A56&gt;=Startops2),0,IF(AND($A56&gt;=DieselOps_2,$A56&lt;Startops2),VLOOKUP($A56,Diesel_Table,Tariff!$Y$41),VLOOKUP($A56,OA_Table,Tariff!$Y$26)))</f>
        <v>0</v>
      </c>
      <c r="J56" s="1544" t="n">
        <f aca="false">IF(MONTH($A56)=12,SUM(I45:I56)," ")</f>
        <v>0</v>
      </c>
      <c r="K56" s="1334" t="n">
        <f aca="false">IF(OR($A56&lt;Startops2,$A56&gt;=Endyr),0,VLOOKUP($A56,Capacity_Table,Tariff!$S$18))</f>
        <v>0.91</v>
      </c>
      <c r="L56" s="306" t="n">
        <f aca="false">IF(OR($A56&lt;Startops2,$A56&gt;=Endyr),0,VLOOKUP($A56,Capacity_Table,Tariff!$T$18))</f>
        <v>0.92</v>
      </c>
      <c r="M56" s="397" t="n">
        <f aca="false">IF($A56&lt;Startops2,0,IF($A56&lt;Startops3,VLOOKUP($A56,Convert_Table,Tariff!$Y$54),C56*D56*F56*K56*L56))</f>
        <v>298980.864</v>
      </c>
      <c r="N56" s="1544" t="n">
        <f aca="false">IF(MONTH($A56)=12,SUM(M45:M56)," ")</f>
        <v>3520258.56</v>
      </c>
      <c r="O56" s="397" t="n">
        <f aca="false">IF($A56&lt;Startops2,0,IF($A56&lt;Startops3,Hr_II,Hr_III))</f>
        <v>7000</v>
      </c>
      <c r="P56" s="397" t="n">
        <f aca="false">M56*O56/1000</f>
        <v>2092866.048</v>
      </c>
      <c r="Q56" s="1545" t="n">
        <f aca="false">IF(MONTH($A56)=12,SUM(P45:P56)," ")</f>
        <v>24641809.92</v>
      </c>
      <c r="R56" s="397" t="n">
        <f aca="false">IF($A56&gt;Endyr,0,IF($A56&lt;Assm!$A$55,P56,Assm!$F$55*$D56))</f>
        <v>1828160.87671233</v>
      </c>
      <c r="S56" s="1544" t="n">
        <f aca="false">IF(MONTH($A56)=12,SUM(R45:R56)," ")</f>
        <v>21525120</v>
      </c>
      <c r="T56" s="397" t="n">
        <f aca="false">MAX(P56,R56)</f>
        <v>2092866.048</v>
      </c>
      <c r="U56" s="1546" t="n">
        <f aca="false">IF(MONTH($A56)=12,SUM(T45:T56)," ")</f>
        <v>24641809.92</v>
      </c>
    </row>
    <row r="57" customFormat="false" ht="12.75" hidden="false" customHeight="false" outlineLevel="0" collapsed="false">
      <c r="A57" s="1538" t="n">
        <f aca="false">EDATE(A56,1)</f>
        <v>37622</v>
      </c>
      <c r="C57" s="1539" t="n">
        <f aca="false">IF($A57&gt;Endyr,0,VLOOKUP($A57,Capacity_Table,Tariff!$R$18))</f>
        <v>480</v>
      </c>
      <c r="D57" s="1540" t="n">
        <f aca="false">A58-A57</f>
        <v>31</v>
      </c>
      <c r="E57" s="1540" t="str">
        <f aca="false">IF(MONTH($A57)=12,SUM(D46:D57)," ")</f>
        <v> </v>
      </c>
      <c r="F57" s="1545" t="n">
        <f aca="false">F56</f>
        <v>24</v>
      </c>
      <c r="G57" s="1334" t="n">
        <f aca="false">IF(I57=0,0,I57/($C57*$D57*$F57*H57))</f>
        <v>0</v>
      </c>
      <c r="H57" s="1542" t="n">
        <f aca="false">IF(Avail_LDs_Switch=1,VLOOKUP('Plant Operations'!A57,RAC_AvailFactor_Table,RAC_LDs!$G$258),IF($A57&lt;Startops2,Tariff!$T$11,0))</f>
        <v>0</v>
      </c>
      <c r="I57" s="1543" t="n">
        <f aca="false">IF(OR($A57&lt;Startops1,$A57&gt;=Startops2),0,IF(AND($A57&gt;=DieselOps_2,$A57&lt;Startops2),VLOOKUP($A57,Diesel_Table,Tariff!$Y$41),VLOOKUP($A57,OA_Table,Tariff!$Y$26)))</f>
        <v>0</v>
      </c>
      <c r="J57" s="1544" t="str">
        <f aca="false">IF(MONTH($A57)=12,SUM(I46:I57)," ")</f>
        <v> </v>
      </c>
      <c r="K57" s="1334" t="n">
        <f aca="false">IF(OR($A57&lt;Startops2,$A57&gt;=Endyr),0,VLOOKUP($A57,Capacity_Table,Tariff!$S$18))</f>
        <v>0.91</v>
      </c>
      <c r="L57" s="306" t="n">
        <f aca="false">IF(OR($A57&lt;Startops2,$A57&gt;=Endyr),0,VLOOKUP($A57,Capacity_Table,Tariff!$T$18))</f>
        <v>0.92</v>
      </c>
      <c r="M57" s="397" t="n">
        <f aca="false">IF($A57&lt;Startops2,0,IF($A57&lt;Startops3,VLOOKUP($A57,Convert_Table,Tariff!$Y$54),C57*D57*F57*K57*L57))</f>
        <v>298980.864</v>
      </c>
      <c r="N57" s="1544" t="str">
        <f aca="false">IF(MONTH($A57)=12,SUM(M46:M57)," ")</f>
        <v> </v>
      </c>
      <c r="O57" s="397" t="n">
        <f aca="false">IF($A57&lt;Startops2,0,IF($A57&lt;Startops3,Hr_II,Hr_III))</f>
        <v>7000</v>
      </c>
      <c r="P57" s="397" t="n">
        <f aca="false">M57*O57/1000</f>
        <v>2092866.048</v>
      </c>
      <c r="Q57" s="1545" t="str">
        <f aca="false">IF(MONTH($A57)=12,SUM(P46:P57)," ")</f>
        <v> </v>
      </c>
      <c r="R57" s="397" t="n">
        <f aca="false">IF($A57&gt;Endyr,0,IF($A57&lt;Assm!$A$55,P57,Assm!$F$55*$D57))</f>
        <v>1828160.87671233</v>
      </c>
      <c r="S57" s="1544" t="str">
        <f aca="false">IF(MONTH($A57)=12,SUM(R46:R57)," ")</f>
        <v> </v>
      </c>
      <c r="T57" s="397" t="n">
        <f aca="false">MAX(P57,R57)</f>
        <v>2092866.048</v>
      </c>
      <c r="U57" s="1546" t="str">
        <f aca="false">IF(MONTH($A57)=12,SUM(T46:T57)," ")</f>
        <v> </v>
      </c>
    </row>
    <row r="58" customFormat="false" ht="12.75" hidden="false" customHeight="false" outlineLevel="0" collapsed="false">
      <c r="A58" s="1538" t="n">
        <f aca="false">EDATE(A57,1)</f>
        <v>37653</v>
      </c>
      <c r="C58" s="1539" t="n">
        <f aca="false">IF($A58&gt;Endyr,0,VLOOKUP($A58,Capacity_Table,Tariff!$R$18))</f>
        <v>480</v>
      </c>
      <c r="D58" s="1540" t="n">
        <f aca="false">A59-A58</f>
        <v>28</v>
      </c>
      <c r="E58" s="1540" t="str">
        <f aca="false">IF(MONTH($A58)=12,SUM(D47:D58)," ")</f>
        <v> </v>
      </c>
      <c r="F58" s="1545" t="n">
        <f aca="false">F57</f>
        <v>24</v>
      </c>
      <c r="G58" s="1334" t="n">
        <f aca="false">IF(I58=0,0,I58/($C58*$D58*$F58*H58))</f>
        <v>0</v>
      </c>
      <c r="H58" s="1542" t="n">
        <f aca="false">IF(Avail_LDs_Switch=1,VLOOKUP('Plant Operations'!A58,RAC_AvailFactor_Table,RAC_LDs!$G$258),IF($A58&lt;Startops2,Tariff!$T$11,0))</f>
        <v>0</v>
      </c>
      <c r="I58" s="1543" t="n">
        <f aca="false">IF(OR($A58&lt;Startops1,$A58&gt;=Startops2),0,IF(AND($A58&gt;=DieselOps_2,$A58&lt;Startops2),VLOOKUP($A58,Diesel_Table,Tariff!$Y$41),VLOOKUP($A58,OA_Table,Tariff!$Y$26)))</f>
        <v>0</v>
      </c>
      <c r="J58" s="1544" t="str">
        <f aca="false">IF(MONTH($A58)=12,SUM(I47:I58)," ")</f>
        <v> </v>
      </c>
      <c r="K58" s="1334" t="n">
        <f aca="false">IF(OR($A58&lt;Startops2,$A58&gt;=Endyr),0,VLOOKUP($A58,Capacity_Table,Tariff!$S$18))</f>
        <v>0.91</v>
      </c>
      <c r="L58" s="306" t="n">
        <f aca="false">IF(OR($A58&lt;Startops2,$A58&gt;=Endyr),0,VLOOKUP($A58,Capacity_Table,Tariff!$T$18))</f>
        <v>0.92</v>
      </c>
      <c r="M58" s="397" t="n">
        <f aca="false">IF($A58&lt;Startops2,0,IF($A58&lt;Startops3,VLOOKUP($A58,Convert_Table,Tariff!$Y$54),C58*D58*F58*K58*L58))</f>
        <v>270047.232</v>
      </c>
      <c r="N58" s="1544" t="str">
        <f aca="false">IF(MONTH($A58)=12,SUM(M47:M58)," ")</f>
        <v> </v>
      </c>
      <c r="O58" s="397" t="n">
        <f aca="false">IF($A58&lt;Startops2,0,IF($A58&lt;Startops3,Hr_II,Hr_III))</f>
        <v>7000</v>
      </c>
      <c r="P58" s="397" t="n">
        <f aca="false">M58*O58/1000</f>
        <v>1890330.624</v>
      </c>
      <c r="Q58" s="1545" t="str">
        <f aca="false">IF(MONTH($A58)=12,SUM(P47:P58)," ")</f>
        <v> </v>
      </c>
      <c r="R58" s="397" t="n">
        <f aca="false">IF($A58&gt;Endyr,0,IF($A58&lt;Assm!$A$55,P58,Assm!$F$55*$D58))</f>
        <v>1651242.08219178</v>
      </c>
      <c r="S58" s="1544" t="str">
        <f aca="false">IF(MONTH($A58)=12,SUM(R47:R58)," ")</f>
        <v> </v>
      </c>
      <c r="T58" s="397" t="n">
        <f aca="false">MAX(P58,R58)</f>
        <v>1890330.624</v>
      </c>
      <c r="U58" s="1546" t="str">
        <f aca="false">IF(MONTH($A58)=12,SUM(T47:T58)," ")</f>
        <v> </v>
      </c>
    </row>
    <row r="59" customFormat="false" ht="12.75" hidden="false" customHeight="false" outlineLevel="0" collapsed="false">
      <c r="A59" s="1538" t="n">
        <f aca="false">EDATE(A58,1)</f>
        <v>37681</v>
      </c>
      <c r="C59" s="1539" t="n">
        <f aca="false">IF($A59&gt;Endyr,0,VLOOKUP($A59,Capacity_Table,Tariff!$R$18))</f>
        <v>480</v>
      </c>
      <c r="D59" s="1540" t="n">
        <f aca="false">A60-A59</f>
        <v>31</v>
      </c>
      <c r="E59" s="1540" t="str">
        <f aca="false">IF(MONTH($A59)=12,SUM(D48:D59)," ")</f>
        <v> </v>
      </c>
      <c r="F59" s="1545" t="n">
        <f aca="false">F58</f>
        <v>24</v>
      </c>
      <c r="G59" s="1334" t="n">
        <f aca="false">IF(I59=0,0,I59/($C59*$D59*$F59*H59))</f>
        <v>0</v>
      </c>
      <c r="H59" s="1542" t="n">
        <f aca="false">IF(Avail_LDs_Switch=1,VLOOKUP('Plant Operations'!A59,RAC_AvailFactor_Table,RAC_LDs!$G$258),IF($A59&lt;Startops2,Tariff!$T$11,0))</f>
        <v>0</v>
      </c>
      <c r="I59" s="1543" t="n">
        <f aca="false">IF(OR($A59&lt;Startops1,$A59&gt;=Startops2),0,IF(AND($A59&gt;=DieselOps_2,$A59&lt;Startops2),VLOOKUP($A59,Diesel_Table,Tariff!$Y$41),VLOOKUP($A59,OA_Table,Tariff!$Y$26)))</f>
        <v>0</v>
      </c>
      <c r="J59" s="1544" t="str">
        <f aca="false">IF(MONTH($A59)=12,SUM(I48:I59)," ")</f>
        <v> </v>
      </c>
      <c r="K59" s="1334" t="n">
        <f aca="false">IF(OR($A59&lt;Startops2,$A59&gt;=Endyr),0,VLOOKUP($A59,Capacity_Table,Tariff!$S$18))</f>
        <v>0.91</v>
      </c>
      <c r="L59" s="306" t="n">
        <f aca="false">IF(OR($A59&lt;Startops2,$A59&gt;=Endyr),0,VLOOKUP($A59,Capacity_Table,Tariff!$T$18))</f>
        <v>0.92</v>
      </c>
      <c r="M59" s="397" t="n">
        <f aca="false">IF($A59&lt;Startops2,0,IF($A59&lt;Startops3,VLOOKUP($A59,Convert_Table,Tariff!$Y$54),C59*D59*F59*K59*L59))</f>
        <v>298980.864</v>
      </c>
      <c r="N59" s="1544" t="str">
        <f aca="false">IF(MONTH($A59)=12,SUM(M48:M59)," ")</f>
        <v> </v>
      </c>
      <c r="O59" s="397" t="n">
        <f aca="false">IF($A59&lt;Startops2,0,IF($A59&lt;Startops3,Hr_II,Hr_III))</f>
        <v>7000</v>
      </c>
      <c r="P59" s="397" t="n">
        <f aca="false">M59*O59/1000</f>
        <v>2092866.048</v>
      </c>
      <c r="Q59" s="1545" t="str">
        <f aca="false">IF(MONTH($A59)=12,SUM(P48:P59)," ")</f>
        <v> </v>
      </c>
      <c r="R59" s="397" t="n">
        <f aca="false">IF($A59&gt;Endyr,0,IF($A59&lt;Assm!$A$55,P59,Assm!$F$55*$D59))</f>
        <v>1828160.87671233</v>
      </c>
      <c r="S59" s="1544" t="str">
        <f aca="false">IF(MONTH($A59)=12,SUM(R48:R59)," ")</f>
        <v> </v>
      </c>
      <c r="T59" s="397" t="n">
        <f aca="false">MAX(P59,R59)</f>
        <v>2092866.048</v>
      </c>
      <c r="U59" s="1546" t="str">
        <f aca="false">IF(MONTH($A59)=12,SUM(T48:T59)," ")</f>
        <v> </v>
      </c>
    </row>
    <row r="60" customFormat="false" ht="12.75" hidden="false" customHeight="false" outlineLevel="0" collapsed="false">
      <c r="A60" s="1538" t="n">
        <f aca="false">EDATE(A59,1)</f>
        <v>37712</v>
      </c>
      <c r="C60" s="1539" t="n">
        <f aca="false">IF($A60&gt;Endyr,0,VLOOKUP($A60,Capacity_Table,Tariff!$R$18))</f>
        <v>480</v>
      </c>
      <c r="D60" s="1540" t="n">
        <f aca="false">A61-A60</f>
        <v>30</v>
      </c>
      <c r="E60" s="1540" t="str">
        <f aca="false">IF(MONTH($A60)=12,SUM(D49:D60)," ")</f>
        <v> </v>
      </c>
      <c r="F60" s="1545" t="n">
        <f aca="false">F59</f>
        <v>24</v>
      </c>
      <c r="G60" s="1334" t="n">
        <f aca="false">IF(I60=0,0,I60/($C60*$D60*$F60*H60))</f>
        <v>0</v>
      </c>
      <c r="H60" s="1542" t="n">
        <f aca="false">IF(Avail_LDs_Switch=1,VLOOKUP('Plant Operations'!A60,RAC_AvailFactor_Table,RAC_LDs!$G$258),IF($A60&lt;Startops2,Tariff!$T$11,0))</f>
        <v>0</v>
      </c>
      <c r="I60" s="1543" t="n">
        <f aca="false">IF(OR($A60&lt;Startops1,$A60&gt;=Startops2),0,IF(AND($A60&gt;=DieselOps_2,$A60&lt;Startops2),VLOOKUP($A60,Diesel_Table,Tariff!$Y$41),VLOOKUP($A60,OA_Table,Tariff!$Y$26)))</f>
        <v>0</v>
      </c>
      <c r="J60" s="1544" t="str">
        <f aca="false">IF(MONTH($A60)=12,SUM(I49:I60)," ")</f>
        <v> </v>
      </c>
      <c r="K60" s="1334" t="n">
        <f aca="false">IF(OR($A60&lt;Startops2,$A60&gt;=Endyr),0,VLOOKUP($A60,Capacity_Table,Tariff!$S$18))</f>
        <v>0.91</v>
      </c>
      <c r="L60" s="306" t="n">
        <f aca="false">IF(OR($A60&lt;Startops2,$A60&gt;=Endyr),0,VLOOKUP($A60,Capacity_Table,Tariff!$T$18))</f>
        <v>0.92</v>
      </c>
      <c r="M60" s="397" t="n">
        <f aca="false">IF($A60&lt;Startops2,0,IF($A60&lt;Startops3,VLOOKUP($A60,Convert_Table,Tariff!$Y$54),C60*D60*F60*K60*L60))</f>
        <v>289336.32</v>
      </c>
      <c r="N60" s="1544" t="str">
        <f aca="false">IF(MONTH($A60)=12,SUM(M49:M60)," ")</f>
        <v> </v>
      </c>
      <c r="O60" s="397" t="n">
        <f aca="false">IF($A60&lt;Startops2,0,IF($A60&lt;Startops3,Hr_II,Hr_III))</f>
        <v>7000</v>
      </c>
      <c r="P60" s="397" t="n">
        <f aca="false">M60*O60/1000</f>
        <v>2025354.24</v>
      </c>
      <c r="Q60" s="1545" t="str">
        <f aca="false">IF(MONTH($A60)=12,SUM(P49:P60)," ")</f>
        <v> </v>
      </c>
      <c r="R60" s="397" t="n">
        <f aca="false">IF($A60&gt;Endyr,0,IF($A60&lt;Assm!$A$55,P60,Assm!$F$55*$D60))</f>
        <v>1769187.94520548</v>
      </c>
      <c r="S60" s="1544" t="str">
        <f aca="false">IF(MONTH($A60)=12,SUM(R49:R60)," ")</f>
        <v> </v>
      </c>
      <c r="T60" s="397" t="n">
        <f aca="false">MAX(P60,R60)</f>
        <v>2025354.24</v>
      </c>
      <c r="U60" s="1546" t="str">
        <f aca="false">IF(MONTH($A60)=12,SUM(T49:T60)," ")</f>
        <v> </v>
      </c>
    </row>
    <row r="61" customFormat="false" ht="12.75" hidden="false" customHeight="false" outlineLevel="0" collapsed="false">
      <c r="A61" s="1538" t="n">
        <f aca="false">EDATE(A60,1)</f>
        <v>37742</v>
      </c>
      <c r="C61" s="1539" t="n">
        <f aca="false">IF($A61&gt;Endyr,0,VLOOKUP($A61,Capacity_Table,Tariff!$R$18))</f>
        <v>480</v>
      </c>
      <c r="D61" s="1540" t="n">
        <f aca="false">A62-A61</f>
        <v>31</v>
      </c>
      <c r="E61" s="1540" t="str">
        <f aca="false">IF(MONTH($A61)=12,SUM(D50:D61)," ")</f>
        <v> </v>
      </c>
      <c r="F61" s="1545" t="n">
        <f aca="false">F60</f>
        <v>24</v>
      </c>
      <c r="G61" s="1334" t="n">
        <f aca="false">IF(I61=0,0,I61/($C61*$D61*$F61*H61))</f>
        <v>0</v>
      </c>
      <c r="H61" s="1542" t="n">
        <f aca="false">IF(Avail_LDs_Switch=1,VLOOKUP('Plant Operations'!A61,RAC_AvailFactor_Table,RAC_LDs!$G$258),IF($A61&lt;Startops2,Tariff!$T$11,0))</f>
        <v>0</v>
      </c>
      <c r="I61" s="1543" t="n">
        <f aca="false">IF(OR($A61&lt;Startops1,$A61&gt;=Startops2),0,IF(AND($A61&gt;=DieselOps_2,$A61&lt;Startops2),VLOOKUP($A61,Diesel_Table,Tariff!$Y$41),VLOOKUP($A61,OA_Table,Tariff!$Y$26)))</f>
        <v>0</v>
      </c>
      <c r="J61" s="1544" t="str">
        <f aca="false">IF(MONTH($A61)=12,SUM(I50:I61)," ")</f>
        <v> </v>
      </c>
      <c r="K61" s="1334" t="n">
        <f aca="false">IF(OR($A61&lt;Startops2,$A61&gt;=Endyr),0,VLOOKUP($A61,Capacity_Table,Tariff!$S$18))</f>
        <v>0.91</v>
      </c>
      <c r="L61" s="306" t="n">
        <f aca="false">IF(OR($A61&lt;Startops2,$A61&gt;=Endyr),0,VLOOKUP($A61,Capacity_Table,Tariff!$T$18))</f>
        <v>0.92</v>
      </c>
      <c r="M61" s="397" t="n">
        <f aca="false">IF($A61&lt;Startops2,0,IF($A61&lt;Startops3,VLOOKUP($A61,Convert_Table,Tariff!$Y$54),C61*D61*F61*K61*L61))</f>
        <v>298980.864</v>
      </c>
      <c r="N61" s="1544" t="str">
        <f aca="false">IF(MONTH($A61)=12,SUM(M50:M61)," ")</f>
        <v> </v>
      </c>
      <c r="O61" s="397" t="n">
        <f aca="false">IF($A61&lt;Startops2,0,IF($A61&lt;Startops3,Hr_II,Hr_III))</f>
        <v>7000</v>
      </c>
      <c r="P61" s="397" t="n">
        <f aca="false">M61*O61/1000</f>
        <v>2092866.048</v>
      </c>
      <c r="Q61" s="1545" t="str">
        <f aca="false">IF(MONTH($A61)=12,SUM(P50:P61)," ")</f>
        <v> </v>
      </c>
      <c r="R61" s="397" t="n">
        <f aca="false">IF($A61&gt;Endyr,0,IF($A61&lt;Assm!$A$55,P61,Assm!$F$55*$D61))</f>
        <v>1828160.87671233</v>
      </c>
      <c r="S61" s="1544" t="str">
        <f aca="false">IF(MONTH($A61)=12,SUM(R50:R61)," ")</f>
        <v> </v>
      </c>
      <c r="T61" s="397" t="n">
        <f aca="false">MAX(P61,R61)</f>
        <v>2092866.048</v>
      </c>
      <c r="U61" s="1546" t="str">
        <f aca="false">IF(MONTH($A61)=12,SUM(T50:T61)," ")</f>
        <v> </v>
      </c>
    </row>
    <row r="62" customFormat="false" ht="12.75" hidden="false" customHeight="false" outlineLevel="0" collapsed="false">
      <c r="A62" s="1538" t="n">
        <f aca="false">EDATE(A61,1)</f>
        <v>37773</v>
      </c>
      <c r="C62" s="1539" t="n">
        <f aca="false">IF($A62&gt;Endyr,0,VLOOKUP($A62,Capacity_Table,Tariff!$R$18))</f>
        <v>480</v>
      </c>
      <c r="D62" s="1540" t="n">
        <f aca="false">A63-A62</f>
        <v>30</v>
      </c>
      <c r="E62" s="1540" t="str">
        <f aca="false">IF(MONTH($A62)=12,SUM(D51:D62)," ")</f>
        <v> </v>
      </c>
      <c r="F62" s="1545" t="n">
        <f aca="false">F61</f>
        <v>24</v>
      </c>
      <c r="G62" s="1334" t="n">
        <f aca="false">IF(I62=0,0,I62/($C62*$D62*$F62*H62))</f>
        <v>0</v>
      </c>
      <c r="H62" s="1542" t="n">
        <f aca="false">IF(Avail_LDs_Switch=1,VLOOKUP('Plant Operations'!A62,RAC_AvailFactor_Table,RAC_LDs!$G$258),IF($A62&lt;Startops2,Tariff!$T$11,0))</f>
        <v>0</v>
      </c>
      <c r="I62" s="1543" t="n">
        <f aca="false">IF(OR($A62&lt;Startops1,$A62&gt;=Startops2),0,IF(AND($A62&gt;=DieselOps_2,$A62&lt;Startops2),VLOOKUP($A62,Diesel_Table,Tariff!$Y$41),VLOOKUP($A62,OA_Table,Tariff!$Y$26)))</f>
        <v>0</v>
      </c>
      <c r="J62" s="1544" t="str">
        <f aca="false">IF(MONTH($A62)=12,SUM(I51:I62)," ")</f>
        <v> </v>
      </c>
      <c r="K62" s="1334" t="n">
        <f aca="false">IF(OR($A62&lt;Startops2,$A62&gt;=Endyr),0,VLOOKUP($A62,Capacity_Table,Tariff!$S$18))</f>
        <v>0.91</v>
      </c>
      <c r="L62" s="306" t="n">
        <f aca="false">IF(OR($A62&lt;Startops2,$A62&gt;=Endyr),0,VLOOKUP($A62,Capacity_Table,Tariff!$T$18))</f>
        <v>0.92</v>
      </c>
      <c r="M62" s="397" t="n">
        <f aca="false">IF($A62&lt;Startops2,0,IF($A62&lt;Startops3,VLOOKUP($A62,Convert_Table,Tariff!$Y$54),C62*D62*F62*K62*L62))</f>
        <v>289336.32</v>
      </c>
      <c r="N62" s="1544" t="str">
        <f aca="false">IF(MONTH($A62)=12,SUM(M51:M62)," ")</f>
        <v> </v>
      </c>
      <c r="O62" s="397" t="n">
        <f aca="false">IF($A62&lt;Startops2,0,IF($A62&lt;Startops3,Hr_II,Hr_III))</f>
        <v>7000</v>
      </c>
      <c r="P62" s="397" t="n">
        <f aca="false">M62*O62/1000</f>
        <v>2025354.24</v>
      </c>
      <c r="Q62" s="1545" t="str">
        <f aca="false">IF(MONTH($A62)=12,SUM(P51:P62)," ")</f>
        <v> </v>
      </c>
      <c r="R62" s="397" t="n">
        <f aca="false">IF($A62&gt;Endyr,0,IF($A62&lt;Assm!$A$55,P62,Assm!$F$55*$D62))</f>
        <v>1769187.94520548</v>
      </c>
      <c r="S62" s="1544" t="str">
        <f aca="false">IF(MONTH($A62)=12,SUM(R51:R62)," ")</f>
        <v> </v>
      </c>
      <c r="T62" s="397" t="n">
        <f aca="false">MAX(P62,R62)</f>
        <v>2025354.24</v>
      </c>
      <c r="U62" s="1546" t="str">
        <f aca="false">IF(MONTH($A62)=12,SUM(T51:T62)," ")</f>
        <v> </v>
      </c>
    </row>
    <row r="63" customFormat="false" ht="12.75" hidden="false" customHeight="false" outlineLevel="0" collapsed="false">
      <c r="A63" s="1538" t="n">
        <f aca="false">EDATE(A62,1)</f>
        <v>37803</v>
      </c>
      <c r="C63" s="1539" t="n">
        <f aca="false">IF($A63&gt;Endyr,0,VLOOKUP($A63,Capacity_Table,Tariff!$R$18))</f>
        <v>480</v>
      </c>
      <c r="D63" s="1540" t="n">
        <f aca="false">A64-A63</f>
        <v>31</v>
      </c>
      <c r="E63" s="1540" t="str">
        <f aca="false">IF(MONTH($A63)=12,SUM(D52:D63)," ")</f>
        <v> </v>
      </c>
      <c r="F63" s="1545" t="n">
        <f aca="false">F62</f>
        <v>24</v>
      </c>
      <c r="G63" s="1334" t="n">
        <f aca="false">IF(I63=0,0,I63/($C63*$D63*$F63*H63))</f>
        <v>0</v>
      </c>
      <c r="H63" s="1542" t="n">
        <f aca="false">IF(Avail_LDs_Switch=1,VLOOKUP('Plant Operations'!A63,RAC_AvailFactor_Table,RAC_LDs!$G$258),IF($A63&lt;Startops2,Tariff!$T$11,0))</f>
        <v>0</v>
      </c>
      <c r="I63" s="1543" t="n">
        <f aca="false">IF(OR($A63&lt;Startops1,$A63&gt;=Startops2),0,IF(AND($A63&gt;=DieselOps_2,$A63&lt;Startops2),VLOOKUP($A63,Diesel_Table,Tariff!$Y$41),VLOOKUP($A63,OA_Table,Tariff!$Y$26)))</f>
        <v>0</v>
      </c>
      <c r="J63" s="1544" t="str">
        <f aca="false">IF(MONTH($A63)=12,SUM(I52:I63)," ")</f>
        <v> </v>
      </c>
      <c r="K63" s="1334" t="n">
        <f aca="false">IF(OR($A63&lt;Startops2,$A63&gt;=Endyr),0,VLOOKUP($A63,Capacity_Table,Tariff!$S$18))</f>
        <v>0.91</v>
      </c>
      <c r="L63" s="306" t="n">
        <f aca="false">IF(OR($A63&lt;Startops2,$A63&gt;=Endyr),0,VLOOKUP($A63,Capacity_Table,Tariff!$T$18))</f>
        <v>0.92</v>
      </c>
      <c r="M63" s="397" t="n">
        <f aca="false">IF($A63&lt;Startops2,0,IF($A63&lt;Startops3,VLOOKUP($A63,Convert_Table,Tariff!$Y$54),C63*D63*F63*K63*L63))</f>
        <v>298980.864</v>
      </c>
      <c r="N63" s="1544" t="str">
        <f aca="false">IF(MONTH($A63)=12,SUM(M52:M63)," ")</f>
        <v> </v>
      </c>
      <c r="O63" s="397" t="n">
        <f aca="false">IF($A63&lt;Startops2,0,IF($A63&lt;Startops3,Hr_II,Hr_III))</f>
        <v>7000</v>
      </c>
      <c r="P63" s="397" t="n">
        <f aca="false">M63*O63/1000</f>
        <v>2092866.048</v>
      </c>
      <c r="Q63" s="1545" t="str">
        <f aca="false">IF(MONTH($A63)=12,SUM(P52:P63)," ")</f>
        <v> </v>
      </c>
      <c r="R63" s="397" t="n">
        <f aca="false">IF($A63&gt;Endyr,0,IF($A63&lt;Assm!$A$55,P63,Assm!$F$55*$D63))</f>
        <v>1828160.87671233</v>
      </c>
      <c r="S63" s="1544" t="str">
        <f aca="false">IF(MONTH($A63)=12,SUM(R52:R63)," ")</f>
        <v> </v>
      </c>
      <c r="T63" s="397" t="n">
        <f aca="false">MAX(P63,R63)</f>
        <v>2092866.048</v>
      </c>
      <c r="U63" s="1546" t="str">
        <f aca="false">IF(MONTH($A63)=12,SUM(T52:T63)," ")</f>
        <v> </v>
      </c>
    </row>
    <row r="64" customFormat="false" ht="12.75" hidden="false" customHeight="false" outlineLevel="0" collapsed="false">
      <c r="A64" s="1538" t="n">
        <f aca="false">EDATE(A63,1)</f>
        <v>37834</v>
      </c>
      <c r="C64" s="1539" t="n">
        <f aca="false">IF($A64&gt;Endyr,0,VLOOKUP($A64,Capacity_Table,Tariff!$R$18))</f>
        <v>480</v>
      </c>
      <c r="D64" s="1540" t="n">
        <f aca="false">A65-A64</f>
        <v>31</v>
      </c>
      <c r="E64" s="1540" t="str">
        <f aca="false">IF(MONTH($A64)=12,SUM(D53:D64)," ")</f>
        <v> </v>
      </c>
      <c r="F64" s="1545" t="n">
        <f aca="false">F63</f>
        <v>24</v>
      </c>
      <c r="G64" s="1334" t="n">
        <f aca="false">IF(I64=0,0,I64/($C64*$D64*$F64*H64))</f>
        <v>0</v>
      </c>
      <c r="H64" s="1542" t="n">
        <f aca="false">IF(Avail_LDs_Switch=1,VLOOKUP('Plant Operations'!A64,RAC_AvailFactor_Table,RAC_LDs!$G$258),IF($A64&lt;Startops2,Tariff!$T$11,0))</f>
        <v>0</v>
      </c>
      <c r="I64" s="1543" t="n">
        <f aca="false">IF(OR($A64&lt;Startops1,$A64&gt;=Startops2),0,IF(AND($A64&gt;=DieselOps_2,$A64&lt;Startops2),VLOOKUP($A64,Diesel_Table,Tariff!$Y$41),VLOOKUP($A64,OA_Table,Tariff!$Y$26)))</f>
        <v>0</v>
      </c>
      <c r="J64" s="1544" t="str">
        <f aca="false">IF(MONTH($A64)=12,SUM(I53:I64)," ")</f>
        <v> </v>
      </c>
      <c r="K64" s="1334" t="n">
        <f aca="false">IF(OR($A64&lt;Startops2,$A64&gt;=Endyr),0,VLOOKUP($A64,Capacity_Table,Tariff!$S$18))</f>
        <v>0.91</v>
      </c>
      <c r="L64" s="306" t="n">
        <f aca="false">IF(OR($A64&lt;Startops2,$A64&gt;=Endyr),0,VLOOKUP($A64,Capacity_Table,Tariff!$T$18))</f>
        <v>0.92</v>
      </c>
      <c r="M64" s="397" t="n">
        <f aca="false">IF($A64&lt;Startops2,0,IF($A64&lt;Startops3,VLOOKUP($A64,Convert_Table,Tariff!$Y$54),C64*D64*F64*K64*L64))</f>
        <v>298980.864</v>
      </c>
      <c r="N64" s="1544" t="str">
        <f aca="false">IF(MONTH($A64)=12,SUM(M53:M64)," ")</f>
        <v> </v>
      </c>
      <c r="O64" s="397" t="n">
        <f aca="false">IF($A64&lt;Startops2,0,IF($A64&lt;Startops3,Hr_II,Hr_III))</f>
        <v>7000</v>
      </c>
      <c r="P64" s="397" t="n">
        <f aca="false">M64*O64/1000</f>
        <v>2092866.048</v>
      </c>
      <c r="Q64" s="1545" t="str">
        <f aca="false">IF(MONTH($A64)=12,SUM(P53:P64)," ")</f>
        <v> </v>
      </c>
      <c r="R64" s="397" t="n">
        <f aca="false">IF($A64&gt;Endyr,0,IF($A64&lt;Assm!$A$55,P64,Assm!$F$55*$D64))</f>
        <v>1828160.87671233</v>
      </c>
      <c r="S64" s="1544" t="str">
        <f aca="false">IF(MONTH($A64)=12,SUM(R53:R64)," ")</f>
        <v> </v>
      </c>
      <c r="T64" s="397" t="n">
        <f aca="false">MAX(P64,R64)</f>
        <v>2092866.048</v>
      </c>
      <c r="U64" s="1546" t="str">
        <f aca="false">IF(MONTH($A64)=12,SUM(T53:T64)," ")</f>
        <v> </v>
      </c>
    </row>
    <row r="65" customFormat="false" ht="12.75" hidden="false" customHeight="false" outlineLevel="0" collapsed="false">
      <c r="A65" s="1538" t="n">
        <f aca="false">EDATE(A64,1)</f>
        <v>37865</v>
      </c>
      <c r="C65" s="1539" t="n">
        <f aca="false">IF($A65&gt;Endyr,0,VLOOKUP($A65,Capacity_Table,Tariff!$R$18))</f>
        <v>480</v>
      </c>
      <c r="D65" s="1540" t="n">
        <f aca="false">A66-A65</f>
        <v>30</v>
      </c>
      <c r="E65" s="1540" t="str">
        <f aca="false">IF(MONTH($A65)=12,SUM(D54:D65)," ")</f>
        <v> </v>
      </c>
      <c r="F65" s="1545" t="n">
        <f aca="false">F64</f>
        <v>24</v>
      </c>
      <c r="G65" s="1334" t="n">
        <f aca="false">IF(I65=0,0,I65/($C65*$D65*$F65*H65))</f>
        <v>0</v>
      </c>
      <c r="H65" s="1542" t="n">
        <f aca="false">IF(Avail_LDs_Switch=1,VLOOKUP('Plant Operations'!A65,RAC_AvailFactor_Table,RAC_LDs!$G$258),IF($A65&lt;Startops2,Tariff!$T$11,0))</f>
        <v>0</v>
      </c>
      <c r="I65" s="1543" t="n">
        <f aca="false">IF(OR($A65&lt;Startops1,$A65&gt;=Startops2),0,IF(AND($A65&gt;=DieselOps_2,$A65&lt;Startops2),VLOOKUP($A65,Diesel_Table,Tariff!$Y$41),VLOOKUP($A65,OA_Table,Tariff!$Y$26)))</f>
        <v>0</v>
      </c>
      <c r="J65" s="1544" t="str">
        <f aca="false">IF(MONTH($A65)=12,SUM(I54:I65)," ")</f>
        <v> </v>
      </c>
      <c r="K65" s="1334" t="n">
        <f aca="false">IF(OR($A65&lt;Startops2,$A65&gt;=Endyr),0,VLOOKUP($A65,Capacity_Table,Tariff!$S$18))</f>
        <v>0.91</v>
      </c>
      <c r="L65" s="306" t="n">
        <f aca="false">IF(OR($A65&lt;Startops2,$A65&gt;=Endyr),0,VLOOKUP($A65,Capacity_Table,Tariff!$T$18))</f>
        <v>0.92</v>
      </c>
      <c r="M65" s="397" t="n">
        <f aca="false">IF($A65&lt;Startops2,0,IF($A65&lt;Startops3,VLOOKUP($A65,Convert_Table,Tariff!$Y$54),C65*D65*F65*K65*L65))</f>
        <v>289336.32</v>
      </c>
      <c r="N65" s="1544" t="str">
        <f aca="false">IF(MONTH($A65)=12,SUM(M54:M65)," ")</f>
        <v> </v>
      </c>
      <c r="O65" s="397" t="n">
        <f aca="false">IF($A65&lt;Startops2,0,IF($A65&lt;Startops3,Hr_II,Hr_III))</f>
        <v>7000</v>
      </c>
      <c r="P65" s="397" t="n">
        <f aca="false">M65*O65/1000</f>
        <v>2025354.24</v>
      </c>
      <c r="Q65" s="1545" t="str">
        <f aca="false">IF(MONTH($A65)=12,SUM(P54:P65)," ")</f>
        <v> </v>
      </c>
      <c r="R65" s="397" t="n">
        <f aca="false">IF($A65&gt;Endyr,0,IF($A65&lt;Assm!$A$55,P65,Assm!$F$55*$D65))</f>
        <v>1769187.94520548</v>
      </c>
      <c r="S65" s="1544" t="str">
        <f aca="false">IF(MONTH($A65)=12,SUM(R54:R65)," ")</f>
        <v> </v>
      </c>
      <c r="T65" s="397" t="n">
        <f aca="false">MAX(P65,R65)</f>
        <v>2025354.24</v>
      </c>
      <c r="U65" s="1546" t="str">
        <f aca="false">IF(MONTH($A65)=12,SUM(T54:T65)," ")</f>
        <v> </v>
      </c>
    </row>
    <row r="66" customFormat="false" ht="12.75" hidden="false" customHeight="false" outlineLevel="0" collapsed="false">
      <c r="A66" s="1538" t="n">
        <f aca="false">EDATE(A65,1)</f>
        <v>37895</v>
      </c>
      <c r="C66" s="1539" t="n">
        <f aca="false">IF($A66&gt;Endyr,0,VLOOKUP($A66,Capacity_Table,Tariff!$R$18))</f>
        <v>480</v>
      </c>
      <c r="D66" s="1540" t="n">
        <f aca="false">A67-A66</f>
        <v>31</v>
      </c>
      <c r="E66" s="1540" t="str">
        <f aca="false">IF(MONTH($A66)=12,SUM(D55:D66)," ")</f>
        <v> </v>
      </c>
      <c r="F66" s="1545" t="n">
        <f aca="false">F65</f>
        <v>24</v>
      </c>
      <c r="G66" s="1334" t="n">
        <f aca="false">IF(I66=0,0,I66/($C66*$D66*$F66*H66))</f>
        <v>0</v>
      </c>
      <c r="H66" s="1542" t="n">
        <f aca="false">IF(Avail_LDs_Switch=1,VLOOKUP('Plant Operations'!A66,RAC_AvailFactor_Table,RAC_LDs!$G$258),IF($A66&lt;Startops2,Tariff!$T$11,0))</f>
        <v>0</v>
      </c>
      <c r="I66" s="1543" t="n">
        <f aca="false">IF(OR($A66&lt;Startops1,$A66&gt;=Startops2),0,IF(AND($A66&gt;=DieselOps_2,$A66&lt;Startops2),VLOOKUP($A66,Diesel_Table,Tariff!$Y$41),VLOOKUP($A66,OA_Table,Tariff!$Y$26)))</f>
        <v>0</v>
      </c>
      <c r="J66" s="1544" t="str">
        <f aca="false">IF(MONTH($A66)=12,SUM(I55:I66)," ")</f>
        <v> </v>
      </c>
      <c r="K66" s="1334" t="n">
        <f aca="false">IF(OR($A66&lt;Startops2,$A66&gt;=Endyr),0,VLOOKUP($A66,Capacity_Table,Tariff!$S$18))</f>
        <v>0.91</v>
      </c>
      <c r="L66" s="306" t="n">
        <f aca="false">IF(OR($A66&lt;Startops2,$A66&gt;=Endyr),0,VLOOKUP($A66,Capacity_Table,Tariff!$T$18))</f>
        <v>0.92</v>
      </c>
      <c r="M66" s="397" t="n">
        <f aca="false">IF($A66&lt;Startops2,0,IF($A66&lt;Startops3,VLOOKUP($A66,Convert_Table,Tariff!$Y$54),C66*D66*F66*K66*L66))</f>
        <v>298980.864</v>
      </c>
      <c r="N66" s="1544" t="str">
        <f aca="false">IF(MONTH($A66)=12,SUM(M55:M66)," ")</f>
        <v> </v>
      </c>
      <c r="O66" s="397" t="n">
        <f aca="false">IF($A66&lt;Startops2,0,IF($A66&lt;Startops3,Hr_II,Hr_III))</f>
        <v>7000</v>
      </c>
      <c r="P66" s="397" t="n">
        <f aca="false">M66*O66/1000</f>
        <v>2092866.048</v>
      </c>
      <c r="Q66" s="1545" t="str">
        <f aca="false">IF(MONTH($A66)=12,SUM(P55:P66)," ")</f>
        <v> </v>
      </c>
      <c r="R66" s="397" t="n">
        <f aca="false">IF($A66&gt;Endyr,0,IF($A66&lt;Assm!$A$55,P66,Assm!$F$55*$D66))</f>
        <v>1828160.87671233</v>
      </c>
      <c r="S66" s="1544" t="str">
        <f aca="false">IF(MONTH($A66)=12,SUM(R55:R66)," ")</f>
        <v> </v>
      </c>
      <c r="T66" s="397" t="n">
        <f aca="false">MAX(P66,R66)</f>
        <v>2092866.048</v>
      </c>
      <c r="U66" s="1546" t="str">
        <f aca="false">IF(MONTH($A66)=12,SUM(T55:T66)," ")</f>
        <v> </v>
      </c>
    </row>
    <row r="67" customFormat="false" ht="12.75" hidden="false" customHeight="false" outlineLevel="0" collapsed="false">
      <c r="A67" s="1538" t="n">
        <f aca="false">EDATE(A66,1)</f>
        <v>37926</v>
      </c>
      <c r="C67" s="1539" t="n">
        <f aca="false">IF($A67&gt;Endyr,0,VLOOKUP($A67,Capacity_Table,Tariff!$R$18))</f>
        <v>480</v>
      </c>
      <c r="D67" s="1540" t="n">
        <f aca="false">A68-A67</f>
        <v>30</v>
      </c>
      <c r="E67" s="1540" t="str">
        <f aca="false">IF(MONTH($A67)=12,SUM(D56:D67)," ")</f>
        <v> </v>
      </c>
      <c r="F67" s="1545" t="n">
        <f aca="false">F66</f>
        <v>24</v>
      </c>
      <c r="G67" s="1334" t="n">
        <f aca="false">IF(I67=0,0,I67/($C67*$D67*$F67*H67))</f>
        <v>0</v>
      </c>
      <c r="H67" s="1542" t="n">
        <f aca="false">IF(Avail_LDs_Switch=1,VLOOKUP('Plant Operations'!A67,RAC_AvailFactor_Table,RAC_LDs!$G$258),IF($A67&lt;Startops2,Tariff!$T$11,0))</f>
        <v>0</v>
      </c>
      <c r="I67" s="1543" t="n">
        <f aca="false">IF(OR($A67&lt;Startops1,$A67&gt;=Startops2),0,IF(AND($A67&gt;=DieselOps_2,$A67&lt;Startops2),VLOOKUP($A67,Diesel_Table,Tariff!$Y$41),VLOOKUP($A67,OA_Table,Tariff!$Y$26)))</f>
        <v>0</v>
      </c>
      <c r="J67" s="1544" t="str">
        <f aca="false">IF(MONTH($A67)=12,SUM(I56:I67)," ")</f>
        <v> </v>
      </c>
      <c r="K67" s="1334" t="n">
        <f aca="false">IF(OR($A67&lt;Startops2,$A67&gt;=Endyr),0,VLOOKUP($A67,Capacity_Table,Tariff!$S$18))</f>
        <v>0.91</v>
      </c>
      <c r="L67" s="306" t="n">
        <f aca="false">IF(OR($A67&lt;Startops2,$A67&gt;=Endyr),0,VLOOKUP($A67,Capacity_Table,Tariff!$T$18))</f>
        <v>0.92</v>
      </c>
      <c r="M67" s="397" t="n">
        <f aca="false">IF($A67&lt;Startops2,0,IF($A67&lt;Startops3,VLOOKUP($A67,Convert_Table,Tariff!$Y$54),C67*D67*F67*K67*L67))</f>
        <v>289336.32</v>
      </c>
      <c r="N67" s="1544" t="str">
        <f aca="false">IF(MONTH($A67)=12,SUM(M56:M67)," ")</f>
        <v> </v>
      </c>
      <c r="O67" s="397" t="n">
        <f aca="false">IF($A67&lt;Startops2,0,IF($A67&lt;Startops3,Hr_II,Hr_III))</f>
        <v>7000</v>
      </c>
      <c r="P67" s="397" t="n">
        <f aca="false">M67*O67/1000</f>
        <v>2025354.24</v>
      </c>
      <c r="Q67" s="1545" t="str">
        <f aca="false">IF(MONTH($A67)=12,SUM(P56:P67)," ")</f>
        <v> </v>
      </c>
      <c r="R67" s="397" t="n">
        <f aca="false">IF($A67&gt;Endyr,0,IF($A67&lt;Assm!$A$55,P67,Assm!$F$55*$D67))</f>
        <v>1769187.94520548</v>
      </c>
      <c r="S67" s="1544" t="str">
        <f aca="false">IF(MONTH($A67)=12,SUM(R56:R67)," ")</f>
        <v> </v>
      </c>
      <c r="T67" s="397" t="n">
        <f aca="false">MAX(P67,R67)</f>
        <v>2025354.24</v>
      </c>
      <c r="U67" s="1546" t="str">
        <f aca="false">IF(MONTH($A67)=12,SUM(T56:T67)," ")</f>
        <v> </v>
      </c>
    </row>
    <row r="68" customFormat="false" ht="12.75" hidden="false" customHeight="false" outlineLevel="0" collapsed="false">
      <c r="A68" s="1538" t="n">
        <f aca="false">EDATE(A67,1)</f>
        <v>37956</v>
      </c>
      <c r="C68" s="1539" t="n">
        <f aca="false">IF($A68&gt;Endyr,0,VLOOKUP($A68,Capacity_Table,Tariff!$R$18))</f>
        <v>480</v>
      </c>
      <c r="D68" s="1540" t="n">
        <f aca="false">A69-A68</f>
        <v>31</v>
      </c>
      <c r="E68" s="1540" t="n">
        <f aca="false">IF(MONTH($A68)=12,SUM(D57:D68)," ")</f>
        <v>365</v>
      </c>
      <c r="F68" s="1545" t="n">
        <f aca="false">F67</f>
        <v>24</v>
      </c>
      <c r="G68" s="1334" t="n">
        <f aca="false">IF(I68=0,0,I68/($C68*$D68*$F68*H68))</f>
        <v>0</v>
      </c>
      <c r="H68" s="1542" t="n">
        <f aca="false">IF(Avail_LDs_Switch=1,VLOOKUP('Plant Operations'!A68,RAC_AvailFactor_Table,RAC_LDs!$G$258),IF($A68&lt;Startops2,Tariff!$T$11,0))</f>
        <v>0</v>
      </c>
      <c r="I68" s="1543" t="n">
        <f aca="false">IF(OR($A68&lt;Startops1,$A68&gt;=Startops2),0,IF(AND($A68&gt;=DieselOps_2,$A68&lt;Startops2),VLOOKUP($A68,Diesel_Table,Tariff!$Y$41),VLOOKUP($A68,OA_Table,Tariff!$Y$26)))</f>
        <v>0</v>
      </c>
      <c r="J68" s="1544" t="n">
        <f aca="false">IF(MONTH($A68)=12,SUM(I57:I68)," ")</f>
        <v>0</v>
      </c>
      <c r="K68" s="1334" t="n">
        <f aca="false">IF(OR($A68&lt;Startops2,$A68&gt;=Endyr),0,VLOOKUP($A68,Capacity_Table,Tariff!$S$18))</f>
        <v>0.91</v>
      </c>
      <c r="L68" s="306" t="n">
        <f aca="false">IF(OR($A68&lt;Startops2,$A68&gt;=Endyr),0,VLOOKUP($A68,Capacity_Table,Tariff!$T$18))</f>
        <v>0.92</v>
      </c>
      <c r="M68" s="397" t="n">
        <f aca="false">IF($A68&lt;Startops2,0,IF($A68&lt;Startops3,VLOOKUP($A68,Convert_Table,Tariff!$Y$54),C68*D68*F68*K68*L68))</f>
        <v>298980.864</v>
      </c>
      <c r="N68" s="1544" t="n">
        <f aca="false">IF(MONTH($A68)=12,SUM(M57:M68)," ")</f>
        <v>3520258.56</v>
      </c>
      <c r="O68" s="397" t="n">
        <f aca="false">IF($A68&lt;Startops2,0,IF($A68&lt;Startops3,Hr_II,Hr_III))</f>
        <v>7000</v>
      </c>
      <c r="P68" s="397" t="n">
        <f aca="false">M68*O68/1000</f>
        <v>2092866.048</v>
      </c>
      <c r="Q68" s="1545" t="n">
        <f aca="false">IF(MONTH($A68)=12,SUM(P57:P68)," ")</f>
        <v>24641809.92</v>
      </c>
      <c r="R68" s="397" t="n">
        <f aca="false">IF($A68&gt;Endyr,0,IF($A68&lt;Assm!$A$55,P68,Assm!$F$55*$D68))</f>
        <v>1828160.87671233</v>
      </c>
      <c r="S68" s="1544" t="n">
        <f aca="false">IF(MONTH($A68)=12,SUM(R57:R68)," ")</f>
        <v>21525120</v>
      </c>
      <c r="T68" s="397" t="n">
        <f aca="false">MAX(P68,R68)</f>
        <v>2092866.048</v>
      </c>
      <c r="U68" s="1546" t="n">
        <f aca="false">IF(MONTH($A68)=12,SUM(T57:T68)," ")</f>
        <v>24641809.92</v>
      </c>
    </row>
    <row r="69" customFormat="false" ht="12.75" hidden="false" customHeight="false" outlineLevel="0" collapsed="false">
      <c r="A69" s="1538" t="n">
        <f aca="false">EDATE(A68,1)</f>
        <v>37987</v>
      </c>
      <c r="C69" s="1539" t="n">
        <f aca="false">IF($A69&gt;Endyr,0,VLOOKUP($A69,Capacity_Table,Tariff!$R$18))</f>
        <v>480</v>
      </c>
      <c r="D69" s="1540" t="n">
        <f aca="false">A70-A69</f>
        <v>31</v>
      </c>
      <c r="E69" s="1540" t="str">
        <f aca="false">IF(MONTH($A69)=12,SUM(D58:D69)," ")</f>
        <v> </v>
      </c>
      <c r="F69" s="1545" t="n">
        <f aca="false">F68</f>
        <v>24</v>
      </c>
      <c r="G69" s="1334" t="n">
        <f aca="false">IF(I69=0,0,I69/($C69*$D69*$F69*H69))</f>
        <v>0</v>
      </c>
      <c r="H69" s="1542" t="n">
        <f aca="false">IF(Avail_LDs_Switch=1,VLOOKUP('Plant Operations'!A69,RAC_AvailFactor_Table,RAC_LDs!$G$258),IF($A69&lt;Startops2,Tariff!$T$11,0))</f>
        <v>0</v>
      </c>
      <c r="I69" s="1543" t="n">
        <f aca="false">IF(OR($A69&lt;Startops1,$A69&gt;=Startops2),0,IF(AND($A69&gt;=DieselOps_2,$A69&lt;Startops2),VLOOKUP($A69,Diesel_Table,Tariff!$Y$41),VLOOKUP($A69,OA_Table,Tariff!$Y$26)))</f>
        <v>0</v>
      </c>
      <c r="J69" s="1544" t="str">
        <f aca="false">IF(MONTH($A69)=12,SUM(I58:I69)," ")</f>
        <v> </v>
      </c>
      <c r="K69" s="1334" t="n">
        <f aca="false">IF(OR($A69&lt;Startops2,$A69&gt;=Endyr),0,VLOOKUP($A69,Capacity_Table,Tariff!$S$18))</f>
        <v>0.91</v>
      </c>
      <c r="L69" s="306" t="n">
        <f aca="false">IF(OR($A69&lt;Startops2,$A69&gt;=Endyr),0,VLOOKUP($A69,Capacity_Table,Tariff!$T$18))</f>
        <v>0.92</v>
      </c>
      <c r="M69" s="397" t="n">
        <f aca="false">IF($A69&lt;Startops2,0,IF($A69&lt;Startops3,VLOOKUP($A69,Convert_Table,Tariff!$Y$54),C69*D69*F69*K69*L69))</f>
        <v>298980.864</v>
      </c>
      <c r="N69" s="1544" t="str">
        <f aca="false">IF(MONTH($A69)=12,SUM(M58:M69)," ")</f>
        <v> </v>
      </c>
      <c r="O69" s="397" t="n">
        <f aca="false">IF($A69&lt;Startops2,0,IF($A69&lt;Startops3,Hr_II,Hr_III))</f>
        <v>7000</v>
      </c>
      <c r="P69" s="397" t="n">
        <f aca="false">M69*O69/1000</f>
        <v>2092866.048</v>
      </c>
      <c r="Q69" s="1545" t="str">
        <f aca="false">IF(MONTH($A69)=12,SUM(P58:P69)," ")</f>
        <v> </v>
      </c>
      <c r="R69" s="397" t="n">
        <f aca="false">IF($A69&gt;Endyr,0,IF($A69&lt;Assm!$A$55,P69,Assm!$F$55*$D69))</f>
        <v>1828160.87671233</v>
      </c>
      <c r="S69" s="1544" t="str">
        <f aca="false">IF(MONTH($A69)=12,SUM(R58:R69)," ")</f>
        <v> </v>
      </c>
      <c r="T69" s="397" t="n">
        <f aca="false">MAX(P69,R69)</f>
        <v>2092866.048</v>
      </c>
      <c r="U69" s="1546" t="str">
        <f aca="false">IF(MONTH($A69)=12,SUM(T58:T69)," ")</f>
        <v> </v>
      </c>
    </row>
    <row r="70" customFormat="false" ht="12.75" hidden="false" customHeight="false" outlineLevel="0" collapsed="false">
      <c r="A70" s="1538" t="n">
        <f aca="false">EDATE(A69,1)</f>
        <v>38018</v>
      </c>
      <c r="C70" s="1539" t="n">
        <f aca="false">IF($A70&gt;Endyr,0,VLOOKUP($A70,Capacity_Table,Tariff!$R$18))</f>
        <v>480</v>
      </c>
      <c r="D70" s="1540" t="n">
        <f aca="false">A71-A70</f>
        <v>29</v>
      </c>
      <c r="E70" s="1540" t="str">
        <f aca="false">IF(MONTH($A70)=12,SUM(D59:D70)," ")</f>
        <v> </v>
      </c>
      <c r="F70" s="1545" t="n">
        <f aca="false">F69</f>
        <v>24</v>
      </c>
      <c r="G70" s="1334" t="n">
        <f aca="false">IF(I70=0,0,I70/($C70*$D70*$F70*H70))</f>
        <v>0</v>
      </c>
      <c r="H70" s="1542" t="n">
        <f aca="false">IF(Avail_LDs_Switch=1,VLOOKUP('Plant Operations'!A70,RAC_AvailFactor_Table,RAC_LDs!$G$258),IF($A70&lt;Startops2,Tariff!$T$11,0))</f>
        <v>0</v>
      </c>
      <c r="I70" s="1543" t="n">
        <f aca="false">IF(OR($A70&lt;Startops1,$A70&gt;=Startops2),0,IF(AND($A70&gt;=DieselOps_2,$A70&lt;Startops2),VLOOKUP($A70,Diesel_Table,Tariff!$Y$41),VLOOKUP($A70,OA_Table,Tariff!$Y$26)))</f>
        <v>0</v>
      </c>
      <c r="J70" s="1544" t="str">
        <f aca="false">IF(MONTH($A70)=12,SUM(I59:I70)," ")</f>
        <v> </v>
      </c>
      <c r="K70" s="1334" t="n">
        <f aca="false">IF(OR($A70&lt;Startops2,$A70&gt;=Endyr),0,VLOOKUP($A70,Capacity_Table,Tariff!$S$18))</f>
        <v>0.91</v>
      </c>
      <c r="L70" s="306" t="n">
        <f aca="false">IF(OR($A70&lt;Startops2,$A70&gt;=Endyr),0,VLOOKUP($A70,Capacity_Table,Tariff!$T$18))</f>
        <v>0.92</v>
      </c>
      <c r="M70" s="397" t="n">
        <f aca="false">IF($A70&lt;Startops2,0,IF($A70&lt;Startops3,VLOOKUP($A70,Convert_Table,Tariff!$Y$54),C70*D70*F70*K70*L70))</f>
        <v>279691.776</v>
      </c>
      <c r="N70" s="1544" t="str">
        <f aca="false">IF(MONTH($A70)=12,SUM(M59:M70)," ")</f>
        <v> </v>
      </c>
      <c r="O70" s="397" t="n">
        <f aca="false">IF($A70&lt;Startops2,0,IF($A70&lt;Startops3,Hr_II,Hr_III))</f>
        <v>7000</v>
      </c>
      <c r="P70" s="397" t="n">
        <f aca="false">M70*O70/1000</f>
        <v>1957842.432</v>
      </c>
      <c r="Q70" s="1545" t="str">
        <f aca="false">IF(MONTH($A70)=12,SUM(P59:P70)," ")</f>
        <v> </v>
      </c>
      <c r="R70" s="397" t="n">
        <f aca="false">IF($A70&gt;Endyr,0,IF($A70&lt;Assm!$A$55,P70,Assm!$F$55*$D70))</f>
        <v>1710215.01369863</v>
      </c>
      <c r="S70" s="1544" t="str">
        <f aca="false">IF(MONTH($A70)=12,SUM(R59:R70)," ")</f>
        <v> </v>
      </c>
      <c r="T70" s="397" t="n">
        <f aca="false">MAX(P70,R70)</f>
        <v>1957842.432</v>
      </c>
      <c r="U70" s="1546" t="str">
        <f aca="false">IF(MONTH($A70)=12,SUM(T59:T70)," ")</f>
        <v> </v>
      </c>
    </row>
    <row r="71" customFormat="false" ht="12.75" hidden="false" customHeight="false" outlineLevel="0" collapsed="false">
      <c r="A71" s="1538" t="n">
        <f aca="false">EDATE(A70,1)</f>
        <v>38047</v>
      </c>
      <c r="C71" s="1539" t="n">
        <f aca="false">IF($A71&gt;Endyr,0,VLOOKUP($A71,Capacity_Table,Tariff!$R$18))</f>
        <v>480</v>
      </c>
      <c r="D71" s="1540" t="n">
        <f aca="false">A72-A71</f>
        <v>31</v>
      </c>
      <c r="E71" s="1540" t="str">
        <f aca="false">IF(MONTH($A71)=12,SUM(D60:D71)," ")</f>
        <v> </v>
      </c>
      <c r="F71" s="1545" t="n">
        <f aca="false">F70</f>
        <v>24</v>
      </c>
      <c r="G71" s="1334" t="n">
        <f aca="false">IF(I71=0,0,I71/($C71*$D71*$F71*H71))</f>
        <v>0</v>
      </c>
      <c r="H71" s="1542" t="n">
        <f aca="false">IF(Avail_LDs_Switch=1,VLOOKUP('Plant Operations'!A71,RAC_AvailFactor_Table,RAC_LDs!$G$258),IF($A71&lt;Startops2,Tariff!$T$11,0))</f>
        <v>0</v>
      </c>
      <c r="I71" s="1543" t="n">
        <f aca="false">IF(OR($A71&lt;Startops1,$A71&gt;=Startops2),0,IF(AND($A71&gt;=DieselOps_2,$A71&lt;Startops2),VLOOKUP($A71,Diesel_Table,Tariff!$Y$41),VLOOKUP($A71,OA_Table,Tariff!$Y$26)))</f>
        <v>0</v>
      </c>
      <c r="J71" s="1544" t="str">
        <f aca="false">IF(MONTH($A71)=12,SUM(I60:I71)," ")</f>
        <v> </v>
      </c>
      <c r="K71" s="1334" t="n">
        <f aca="false">IF(OR($A71&lt;Startops2,$A71&gt;=Endyr),0,VLOOKUP($A71,Capacity_Table,Tariff!$S$18))</f>
        <v>0.91</v>
      </c>
      <c r="L71" s="306" t="n">
        <f aca="false">IF(OR($A71&lt;Startops2,$A71&gt;=Endyr),0,VLOOKUP($A71,Capacity_Table,Tariff!$T$18))</f>
        <v>0.92</v>
      </c>
      <c r="M71" s="397" t="n">
        <f aca="false">IF($A71&lt;Startops2,0,IF($A71&lt;Startops3,VLOOKUP($A71,Convert_Table,Tariff!$Y$54),C71*D71*F71*K71*L71))</f>
        <v>298980.864</v>
      </c>
      <c r="N71" s="1544" t="str">
        <f aca="false">IF(MONTH($A71)=12,SUM(M60:M71)," ")</f>
        <v> </v>
      </c>
      <c r="O71" s="397" t="n">
        <f aca="false">IF($A71&lt;Startops2,0,IF($A71&lt;Startops3,Hr_II,Hr_III))</f>
        <v>7000</v>
      </c>
      <c r="P71" s="397" t="n">
        <f aca="false">M71*O71/1000</f>
        <v>2092866.048</v>
      </c>
      <c r="Q71" s="1545" t="str">
        <f aca="false">IF(MONTH($A71)=12,SUM(P60:P71)," ")</f>
        <v> </v>
      </c>
      <c r="R71" s="397" t="n">
        <f aca="false">IF($A71&gt;Endyr,0,IF($A71&lt;Assm!$A$55,P71,Assm!$F$55*$D71))</f>
        <v>1828160.87671233</v>
      </c>
      <c r="S71" s="1544" t="str">
        <f aca="false">IF(MONTH($A71)=12,SUM(R60:R71)," ")</f>
        <v> </v>
      </c>
      <c r="T71" s="397" t="n">
        <f aca="false">MAX(P71,R71)</f>
        <v>2092866.048</v>
      </c>
      <c r="U71" s="1546" t="str">
        <f aca="false">IF(MONTH($A71)=12,SUM(T60:T71)," ")</f>
        <v> </v>
      </c>
    </row>
    <row r="72" customFormat="false" ht="12.75" hidden="false" customHeight="false" outlineLevel="0" collapsed="false">
      <c r="A72" s="1538" t="n">
        <f aca="false">EDATE(A71,1)</f>
        <v>38078</v>
      </c>
      <c r="C72" s="1539" t="n">
        <f aca="false">IF($A72&gt;Endyr,0,VLOOKUP($A72,Capacity_Table,Tariff!$R$18))</f>
        <v>480</v>
      </c>
      <c r="D72" s="1540" t="n">
        <f aca="false">A73-A72</f>
        <v>30</v>
      </c>
      <c r="E72" s="1540" t="str">
        <f aca="false">IF(MONTH($A72)=12,SUM(D61:D72)," ")</f>
        <v> </v>
      </c>
      <c r="F72" s="1545" t="n">
        <f aca="false">F71</f>
        <v>24</v>
      </c>
      <c r="G72" s="1334" t="n">
        <f aca="false">IF(I72=0,0,I72/($C72*$D72*$F72*H72))</f>
        <v>0</v>
      </c>
      <c r="H72" s="1542" t="n">
        <f aca="false">IF(Avail_LDs_Switch=1,VLOOKUP('Plant Operations'!A72,RAC_AvailFactor_Table,RAC_LDs!$G$258),IF($A72&lt;Startops2,Tariff!$T$11,0))</f>
        <v>0</v>
      </c>
      <c r="I72" s="1543" t="n">
        <f aca="false">IF(OR($A72&lt;Startops1,$A72&gt;=Startops2),0,IF(AND($A72&gt;=DieselOps_2,$A72&lt;Startops2),VLOOKUP($A72,Diesel_Table,Tariff!$Y$41),VLOOKUP($A72,OA_Table,Tariff!$Y$26)))</f>
        <v>0</v>
      </c>
      <c r="J72" s="1544" t="str">
        <f aca="false">IF(MONTH($A72)=12,SUM(I61:I72)," ")</f>
        <v> </v>
      </c>
      <c r="K72" s="1334" t="n">
        <f aca="false">IF(OR($A72&lt;Startops2,$A72&gt;=Endyr),0,VLOOKUP($A72,Capacity_Table,Tariff!$S$18))</f>
        <v>0.91</v>
      </c>
      <c r="L72" s="306" t="n">
        <f aca="false">IF(OR($A72&lt;Startops2,$A72&gt;=Endyr),0,VLOOKUP($A72,Capacity_Table,Tariff!$T$18))</f>
        <v>0.92</v>
      </c>
      <c r="M72" s="397" t="n">
        <f aca="false">IF($A72&lt;Startops2,0,IF($A72&lt;Startops3,VLOOKUP($A72,Convert_Table,Tariff!$Y$54),C72*D72*F72*K72*L72))</f>
        <v>289336.32</v>
      </c>
      <c r="N72" s="1544" t="str">
        <f aca="false">IF(MONTH($A72)=12,SUM(M61:M72)," ")</f>
        <v> </v>
      </c>
      <c r="O72" s="397" t="n">
        <f aca="false">IF($A72&lt;Startops2,0,IF($A72&lt;Startops3,Hr_II,Hr_III))</f>
        <v>7000</v>
      </c>
      <c r="P72" s="397" t="n">
        <f aca="false">M72*O72/1000</f>
        <v>2025354.24</v>
      </c>
      <c r="Q72" s="1545" t="str">
        <f aca="false">IF(MONTH($A72)=12,SUM(P61:P72)," ")</f>
        <v> </v>
      </c>
      <c r="R72" s="397" t="n">
        <f aca="false">IF($A72&gt;Endyr,0,IF($A72&lt;Assm!$A$55,P72,Assm!$F$55*$D72))</f>
        <v>1769187.94520548</v>
      </c>
      <c r="S72" s="1544" t="str">
        <f aca="false">IF(MONTH($A72)=12,SUM(R61:R72)," ")</f>
        <v> </v>
      </c>
      <c r="T72" s="397" t="n">
        <f aca="false">MAX(P72,R72)</f>
        <v>2025354.24</v>
      </c>
      <c r="U72" s="1546" t="str">
        <f aca="false">IF(MONTH($A72)=12,SUM(T61:T72)," ")</f>
        <v> </v>
      </c>
    </row>
    <row r="73" customFormat="false" ht="12.75" hidden="false" customHeight="false" outlineLevel="0" collapsed="false">
      <c r="A73" s="1538" t="n">
        <f aca="false">EDATE(A72,1)</f>
        <v>38108</v>
      </c>
      <c r="C73" s="1539" t="n">
        <f aca="false">IF($A73&gt;Endyr,0,VLOOKUP($A73,Capacity_Table,Tariff!$R$18))</f>
        <v>480</v>
      </c>
      <c r="D73" s="1540" t="n">
        <f aca="false">A74-A73</f>
        <v>31</v>
      </c>
      <c r="E73" s="1540" t="str">
        <f aca="false">IF(MONTH($A73)=12,SUM(D62:D73)," ")</f>
        <v> </v>
      </c>
      <c r="F73" s="1545" t="n">
        <f aca="false">F72</f>
        <v>24</v>
      </c>
      <c r="G73" s="1334" t="n">
        <f aca="false">IF(I73=0,0,I73/($C73*$D73*$F73*H73))</f>
        <v>0</v>
      </c>
      <c r="H73" s="1542" t="n">
        <f aca="false">IF(Avail_LDs_Switch=1,VLOOKUP('Plant Operations'!A73,RAC_AvailFactor_Table,RAC_LDs!$G$258),IF($A73&lt;Startops2,Tariff!$T$11,0))</f>
        <v>0</v>
      </c>
      <c r="I73" s="1543" t="n">
        <f aca="false">IF(OR($A73&lt;Startops1,$A73&gt;=Startops2),0,IF(AND($A73&gt;=DieselOps_2,$A73&lt;Startops2),VLOOKUP($A73,Diesel_Table,Tariff!$Y$41),VLOOKUP($A73,OA_Table,Tariff!$Y$26)))</f>
        <v>0</v>
      </c>
      <c r="J73" s="1544" t="str">
        <f aca="false">IF(MONTH($A73)=12,SUM(I62:I73)," ")</f>
        <v> </v>
      </c>
      <c r="K73" s="1334" t="n">
        <f aca="false">IF(OR($A73&lt;Startops2,$A73&gt;=Endyr),0,VLOOKUP($A73,Capacity_Table,Tariff!$S$18))</f>
        <v>0.91</v>
      </c>
      <c r="L73" s="306" t="n">
        <f aca="false">IF(OR($A73&lt;Startops2,$A73&gt;=Endyr),0,VLOOKUP($A73,Capacity_Table,Tariff!$T$18))</f>
        <v>0.92</v>
      </c>
      <c r="M73" s="397" t="n">
        <f aca="false">IF($A73&lt;Startops2,0,IF($A73&lt;Startops3,VLOOKUP($A73,Convert_Table,Tariff!$Y$54),C73*D73*F73*K73*L73))</f>
        <v>298980.864</v>
      </c>
      <c r="N73" s="1544" t="str">
        <f aca="false">IF(MONTH($A73)=12,SUM(M62:M73)," ")</f>
        <v> </v>
      </c>
      <c r="O73" s="397" t="n">
        <f aca="false">IF($A73&lt;Startops2,0,IF($A73&lt;Startops3,Hr_II,Hr_III))</f>
        <v>7000</v>
      </c>
      <c r="P73" s="397" t="n">
        <f aca="false">M73*O73/1000</f>
        <v>2092866.048</v>
      </c>
      <c r="Q73" s="1545" t="str">
        <f aca="false">IF(MONTH($A73)=12,SUM(P62:P73)," ")</f>
        <v> </v>
      </c>
      <c r="R73" s="397" t="n">
        <f aca="false">IF($A73&gt;Endyr,0,IF($A73&lt;Assm!$A$55,P73,Assm!$F$55*$D73))</f>
        <v>1828160.87671233</v>
      </c>
      <c r="S73" s="1544" t="str">
        <f aca="false">IF(MONTH($A73)=12,SUM(R62:R73)," ")</f>
        <v> </v>
      </c>
      <c r="T73" s="397" t="n">
        <f aca="false">MAX(P73,R73)</f>
        <v>2092866.048</v>
      </c>
      <c r="U73" s="1546" t="str">
        <f aca="false">IF(MONTH($A73)=12,SUM(T62:T73)," ")</f>
        <v> </v>
      </c>
    </row>
    <row r="74" customFormat="false" ht="12.75" hidden="false" customHeight="false" outlineLevel="0" collapsed="false">
      <c r="A74" s="1538" t="n">
        <f aca="false">EDATE(A73,1)</f>
        <v>38139</v>
      </c>
      <c r="C74" s="1539" t="n">
        <f aca="false">IF($A74&gt;Endyr,0,VLOOKUP($A74,Capacity_Table,Tariff!$R$18))</f>
        <v>480</v>
      </c>
      <c r="D74" s="1540" t="n">
        <f aca="false">A75-A74</f>
        <v>30</v>
      </c>
      <c r="E74" s="1540" t="str">
        <f aca="false">IF(MONTH($A74)=12,SUM(D63:D74)," ")</f>
        <v> </v>
      </c>
      <c r="F74" s="1545" t="n">
        <f aca="false">F73</f>
        <v>24</v>
      </c>
      <c r="G74" s="1334" t="n">
        <f aca="false">IF(I74=0,0,I74/($C74*$D74*$F74*H74))</f>
        <v>0</v>
      </c>
      <c r="H74" s="1542" t="n">
        <f aca="false">IF(Avail_LDs_Switch=1,VLOOKUP('Plant Operations'!A74,RAC_AvailFactor_Table,RAC_LDs!$G$258),IF($A74&lt;Startops2,Tariff!$T$11,0))</f>
        <v>0</v>
      </c>
      <c r="I74" s="1543" t="n">
        <f aca="false">IF(OR($A74&lt;Startops1,$A74&gt;=Startops2),0,IF(AND($A74&gt;=DieselOps_2,$A74&lt;Startops2),VLOOKUP($A74,Diesel_Table,Tariff!$Y$41),VLOOKUP($A74,OA_Table,Tariff!$Y$26)))</f>
        <v>0</v>
      </c>
      <c r="J74" s="1544" t="str">
        <f aca="false">IF(MONTH($A74)=12,SUM(I63:I74)," ")</f>
        <v> </v>
      </c>
      <c r="K74" s="1334" t="n">
        <f aca="false">IF(OR($A74&lt;Startops2,$A74&gt;=Endyr),0,VLOOKUP($A74,Capacity_Table,Tariff!$S$18))</f>
        <v>0.91</v>
      </c>
      <c r="L74" s="306" t="n">
        <f aca="false">IF(OR($A74&lt;Startops2,$A74&gt;=Endyr),0,VLOOKUP($A74,Capacity_Table,Tariff!$T$18))</f>
        <v>0.92</v>
      </c>
      <c r="M74" s="397" t="n">
        <f aca="false">IF($A74&lt;Startops2,0,IF($A74&lt;Startops3,VLOOKUP($A74,Convert_Table,Tariff!$Y$54),C74*D74*F74*K74*L74))</f>
        <v>289336.32</v>
      </c>
      <c r="N74" s="1544" t="str">
        <f aca="false">IF(MONTH($A74)=12,SUM(M63:M74)," ")</f>
        <v> </v>
      </c>
      <c r="O74" s="397" t="n">
        <f aca="false">IF($A74&lt;Startops2,0,IF($A74&lt;Startops3,Hr_II,Hr_III))</f>
        <v>7000</v>
      </c>
      <c r="P74" s="397" t="n">
        <f aca="false">M74*O74/1000</f>
        <v>2025354.24</v>
      </c>
      <c r="Q74" s="1545" t="str">
        <f aca="false">IF(MONTH($A74)=12,SUM(P63:P74)," ")</f>
        <v> </v>
      </c>
      <c r="R74" s="397" t="n">
        <f aca="false">IF($A74&gt;Endyr,0,IF($A74&lt;Assm!$A$55,P74,Assm!$F$55*$D74))</f>
        <v>1769187.94520548</v>
      </c>
      <c r="S74" s="1544" t="str">
        <f aca="false">IF(MONTH($A74)=12,SUM(R63:R74)," ")</f>
        <v> </v>
      </c>
      <c r="T74" s="397" t="n">
        <f aca="false">MAX(P74,R74)</f>
        <v>2025354.24</v>
      </c>
      <c r="U74" s="1546" t="str">
        <f aca="false">IF(MONTH($A74)=12,SUM(T63:T74)," ")</f>
        <v> </v>
      </c>
    </row>
    <row r="75" customFormat="false" ht="12.75" hidden="false" customHeight="false" outlineLevel="0" collapsed="false">
      <c r="A75" s="1538" t="n">
        <f aca="false">EDATE(A74,1)</f>
        <v>38169</v>
      </c>
      <c r="C75" s="1539" t="n">
        <f aca="false">IF($A75&gt;Endyr,0,VLOOKUP($A75,Capacity_Table,Tariff!$R$18))</f>
        <v>480</v>
      </c>
      <c r="D75" s="1540" t="n">
        <f aca="false">A76-A75</f>
        <v>31</v>
      </c>
      <c r="E75" s="1540" t="str">
        <f aca="false">IF(MONTH($A75)=12,SUM(D64:D75)," ")</f>
        <v> </v>
      </c>
      <c r="F75" s="1545" t="n">
        <f aca="false">F74</f>
        <v>24</v>
      </c>
      <c r="G75" s="1334" t="n">
        <f aca="false">IF(I75=0,0,I75/($C75*$D75*$F75*H75))</f>
        <v>0</v>
      </c>
      <c r="H75" s="1542" t="n">
        <f aca="false">IF(Avail_LDs_Switch=1,VLOOKUP('Plant Operations'!A75,RAC_AvailFactor_Table,RAC_LDs!$G$258),IF($A75&lt;Startops2,Tariff!$T$11,0))</f>
        <v>0</v>
      </c>
      <c r="I75" s="1543" t="n">
        <f aca="false">IF(OR($A75&lt;Startops1,$A75&gt;=Startops2),0,IF(AND($A75&gt;=DieselOps_2,$A75&lt;Startops2),VLOOKUP($A75,Diesel_Table,Tariff!$Y$41),VLOOKUP($A75,OA_Table,Tariff!$Y$26)))</f>
        <v>0</v>
      </c>
      <c r="J75" s="1544" t="str">
        <f aca="false">IF(MONTH($A75)=12,SUM(I64:I75)," ")</f>
        <v> </v>
      </c>
      <c r="K75" s="1334" t="n">
        <f aca="false">IF(OR($A75&lt;Startops2,$A75&gt;=Endyr),0,VLOOKUP($A75,Capacity_Table,Tariff!$S$18))</f>
        <v>0.91</v>
      </c>
      <c r="L75" s="306" t="n">
        <f aca="false">IF(OR($A75&lt;Startops2,$A75&gt;=Endyr),0,VLOOKUP($A75,Capacity_Table,Tariff!$T$18))</f>
        <v>0.92</v>
      </c>
      <c r="M75" s="397" t="n">
        <f aca="false">IF($A75&lt;Startops2,0,IF($A75&lt;Startops3,VLOOKUP($A75,Convert_Table,Tariff!$Y$54),C75*D75*F75*K75*L75))</f>
        <v>298980.864</v>
      </c>
      <c r="N75" s="1544" t="str">
        <f aca="false">IF(MONTH($A75)=12,SUM(M64:M75)," ")</f>
        <v> </v>
      </c>
      <c r="O75" s="397" t="n">
        <f aca="false">IF($A75&lt;Startops2,0,IF($A75&lt;Startops3,Hr_II,Hr_III))</f>
        <v>7000</v>
      </c>
      <c r="P75" s="397" t="n">
        <f aca="false">M75*O75/1000</f>
        <v>2092866.048</v>
      </c>
      <c r="Q75" s="1545" t="str">
        <f aca="false">IF(MONTH($A75)=12,SUM(P64:P75)," ")</f>
        <v> </v>
      </c>
      <c r="R75" s="397" t="n">
        <f aca="false">IF($A75&gt;Endyr,0,IF($A75&lt;Assm!$A$55,P75,Assm!$F$55*$D75))</f>
        <v>1828160.87671233</v>
      </c>
      <c r="S75" s="1544" t="str">
        <f aca="false">IF(MONTH($A75)=12,SUM(R64:R75)," ")</f>
        <v> </v>
      </c>
      <c r="T75" s="397" t="n">
        <f aca="false">MAX(P75,R75)</f>
        <v>2092866.048</v>
      </c>
      <c r="U75" s="1546" t="str">
        <f aca="false">IF(MONTH($A75)=12,SUM(T64:T75)," ")</f>
        <v> </v>
      </c>
    </row>
    <row r="76" customFormat="false" ht="12.75" hidden="false" customHeight="false" outlineLevel="0" collapsed="false">
      <c r="A76" s="1538" t="n">
        <f aca="false">EDATE(A75,1)</f>
        <v>38200</v>
      </c>
      <c r="C76" s="1539" t="n">
        <f aca="false">IF($A76&gt;Endyr,0,VLOOKUP($A76,Capacity_Table,Tariff!$R$18))</f>
        <v>480</v>
      </c>
      <c r="D76" s="1540" t="n">
        <f aca="false">A77-A76</f>
        <v>31</v>
      </c>
      <c r="E76" s="1540" t="str">
        <f aca="false">IF(MONTH($A76)=12,SUM(D65:D76)," ")</f>
        <v> </v>
      </c>
      <c r="F76" s="1545" t="n">
        <f aca="false">F75</f>
        <v>24</v>
      </c>
      <c r="G76" s="1334" t="n">
        <f aca="false">IF(I76=0,0,I76/($C76*$D76*$F76*H76))</f>
        <v>0</v>
      </c>
      <c r="H76" s="1542" t="n">
        <f aca="false">IF(Avail_LDs_Switch=1,VLOOKUP('Plant Operations'!A76,RAC_AvailFactor_Table,RAC_LDs!$G$258),IF($A76&lt;Startops2,Tariff!$T$11,0))</f>
        <v>0</v>
      </c>
      <c r="I76" s="1543" t="n">
        <f aca="false">IF(OR($A76&lt;Startops1,$A76&gt;=Startops2),0,IF(AND($A76&gt;=DieselOps_2,$A76&lt;Startops2),VLOOKUP($A76,Diesel_Table,Tariff!$Y$41),VLOOKUP($A76,OA_Table,Tariff!$Y$26)))</f>
        <v>0</v>
      </c>
      <c r="J76" s="1544" t="str">
        <f aca="false">IF(MONTH($A76)=12,SUM(I65:I76)," ")</f>
        <v> </v>
      </c>
      <c r="K76" s="1334" t="n">
        <f aca="false">IF(OR($A76&lt;Startops2,$A76&gt;=Endyr),0,VLOOKUP($A76,Capacity_Table,Tariff!$S$18))</f>
        <v>0.91</v>
      </c>
      <c r="L76" s="306" t="n">
        <f aca="false">IF(OR($A76&lt;Startops2,$A76&gt;=Endyr),0,VLOOKUP($A76,Capacity_Table,Tariff!$T$18))</f>
        <v>0.92</v>
      </c>
      <c r="M76" s="397" t="n">
        <f aca="false">IF($A76&lt;Startops2,0,IF($A76&lt;Startops3,VLOOKUP($A76,Convert_Table,Tariff!$Y$54),C76*D76*F76*K76*L76))</f>
        <v>298980.864</v>
      </c>
      <c r="N76" s="1544" t="str">
        <f aca="false">IF(MONTH($A76)=12,SUM(M65:M76)," ")</f>
        <v> </v>
      </c>
      <c r="O76" s="397" t="n">
        <f aca="false">IF($A76&lt;Startops2,0,IF($A76&lt;Startops3,Hr_II,Hr_III))</f>
        <v>7000</v>
      </c>
      <c r="P76" s="397" t="n">
        <f aca="false">M76*O76/1000</f>
        <v>2092866.048</v>
      </c>
      <c r="Q76" s="1545" t="str">
        <f aca="false">IF(MONTH($A76)=12,SUM(P65:P76)," ")</f>
        <v> </v>
      </c>
      <c r="R76" s="397" t="n">
        <f aca="false">IF($A76&gt;Endyr,0,IF($A76&lt;Assm!$A$55,P76,Assm!$F$55*$D76))</f>
        <v>1828160.87671233</v>
      </c>
      <c r="S76" s="1544" t="str">
        <f aca="false">IF(MONTH($A76)=12,SUM(R65:R76)," ")</f>
        <v> </v>
      </c>
      <c r="T76" s="397" t="n">
        <f aca="false">MAX(P76,R76)</f>
        <v>2092866.048</v>
      </c>
      <c r="U76" s="1546" t="str">
        <f aca="false">IF(MONTH($A76)=12,SUM(T65:T76)," ")</f>
        <v> </v>
      </c>
    </row>
    <row r="77" customFormat="false" ht="12.75" hidden="false" customHeight="false" outlineLevel="0" collapsed="false">
      <c r="A77" s="1538" t="n">
        <f aca="false">EDATE(A76,1)</f>
        <v>38231</v>
      </c>
      <c r="C77" s="1539" t="n">
        <f aca="false">IF($A77&gt;Endyr,0,VLOOKUP($A77,Capacity_Table,Tariff!$R$18))</f>
        <v>480</v>
      </c>
      <c r="D77" s="1540" t="n">
        <f aca="false">A78-A77</f>
        <v>30</v>
      </c>
      <c r="E77" s="1540" t="str">
        <f aca="false">IF(MONTH($A77)=12,SUM(D66:D77)," ")</f>
        <v> </v>
      </c>
      <c r="F77" s="1545" t="n">
        <f aca="false">F76</f>
        <v>24</v>
      </c>
      <c r="G77" s="1334" t="n">
        <f aca="false">IF(I77=0,0,I77/($C77*$D77*$F77*H77))</f>
        <v>0</v>
      </c>
      <c r="H77" s="1542" t="n">
        <f aca="false">IF(Avail_LDs_Switch=1,VLOOKUP('Plant Operations'!A77,RAC_AvailFactor_Table,RAC_LDs!$G$258),IF($A77&lt;Startops2,Tariff!$T$11,0))</f>
        <v>0</v>
      </c>
      <c r="I77" s="1543" t="n">
        <f aca="false">IF(OR($A77&lt;Startops1,$A77&gt;=Startops2),0,IF(AND($A77&gt;=DieselOps_2,$A77&lt;Startops2),VLOOKUP($A77,Diesel_Table,Tariff!$Y$41),VLOOKUP($A77,OA_Table,Tariff!$Y$26)))</f>
        <v>0</v>
      </c>
      <c r="J77" s="1544" t="str">
        <f aca="false">IF(MONTH($A77)=12,SUM(I66:I77)," ")</f>
        <v> </v>
      </c>
      <c r="K77" s="1334" t="n">
        <f aca="false">IF(OR($A77&lt;Startops2,$A77&gt;=Endyr),0,VLOOKUP($A77,Capacity_Table,Tariff!$S$18))</f>
        <v>0.91</v>
      </c>
      <c r="L77" s="306" t="n">
        <f aca="false">IF(OR($A77&lt;Startops2,$A77&gt;=Endyr),0,VLOOKUP($A77,Capacity_Table,Tariff!$T$18))</f>
        <v>0.92</v>
      </c>
      <c r="M77" s="397" t="n">
        <f aca="false">IF($A77&lt;Startops2,0,IF($A77&lt;Startops3,VLOOKUP($A77,Convert_Table,Tariff!$Y$54),C77*D77*F77*K77*L77))</f>
        <v>289336.32</v>
      </c>
      <c r="N77" s="1544" t="str">
        <f aca="false">IF(MONTH($A77)=12,SUM(M66:M77)," ")</f>
        <v> </v>
      </c>
      <c r="O77" s="397" t="n">
        <f aca="false">IF($A77&lt;Startops2,0,IF($A77&lt;Startops3,Hr_II,Hr_III))</f>
        <v>7000</v>
      </c>
      <c r="P77" s="397" t="n">
        <f aca="false">M77*O77/1000</f>
        <v>2025354.24</v>
      </c>
      <c r="Q77" s="1545" t="str">
        <f aca="false">IF(MONTH($A77)=12,SUM(P66:P77)," ")</f>
        <v> </v>
      </c>
      <c r="R77" s="397" t="n">
        <f aca="false">IF($A77&gt;Endyr,0,IF($A77&lt;Assm!$A$55,P77,Assm!$F$55*$D77))</f>
        <v>1769187.94520548</v>
      </c>
      <c r="S77" s="1544" t="str">
        <f aca="false">IF(MONTH($A77)=12,SUM(R66:R77)," ")</f>
        <v> </v>
      </c>
      <c r="T77" s="397" t="n">
        <f aca="false">MAX(P77,R77)</f>
        <v>2025354.24</v>
      </c>
      <c r="U77" s="1546" t="str">
        <f aca="false">IF(MONTH($A77)=12,SUM(T66:T77)," ")</f>
        <v> </v>
      </c>
    </row>
    <row r="78" customFormat="false" ht="12.75" hidden="false" customHeight="false" outlineLevel="0" collapsed="false">
      <c r="A78" s="1538" t="n">
        <f aca="false">EDATE(A77,1)</f>
        <v>38261</v>
      </c>
      <c r="C78" s="1539" t="n">
        <f aca="false">IF($A78&gt;Endyr,0,VLOOKUP($A78,Capacity_Table,Tariff!$R$18))</f>
        <v>480</v>
      </c>
      <c r="D78" s="1540" t="n">
        <f aca="false">A79-A78</f>
        <v>31</v>
      </c>
      <c r="E78" s="1540" t="str">
        <f aca="false">IF(MONTH($A78)=12,SUM(D67:D78)," ")</f>
        <v> </v>
      </c>
      <c r="F78" s="1545" t="n">
        <f aca="false">F77</f>
        <v>24</v>
      </c>
      <c r="G78" s="1334" t="n">
        <f aca="false">IF(I78=0,0,I78/($C78*$D78*$F78*H78))</f>
        <v>0</v>
      </c>
      <c r="H78" s="1542" t="n">
        <f aca="false">IF(Avail_LDs_Switch=1,VLOOKUP('Plant Operations'!A78,RAC_AvailFactor_Table,RAC_LDs!$G$258),IF($A78&lt;Startops2,Tariff!$T$11,0))</f>
        <v>0</v>
      </c>
      <c r="I78" s="1543" t="n">
        <f aca="false">IF(OR($A78&lt;Startops1,$A78&gt;=Startops2),0,IF(AND($A78&gt;=DieselOps_2,$A78&lt;Startops2),VLOOKUP($A78,Diesel_Table,Tariff!$Y$41),VLOOKUP($A78,OA_Table,Tariff!$Y$26)))</f>
        <v>0</v>
      </c>
      <c r="J78" s="1544" t="str">
        <f aca="false">IF(MONTH($A78)=12,SUM(I67:I78)," ")</f>
        <v> </v>
      </c>
      <c r="K78" s="1334" t="n">
        <f aca="false">IF(OR($A78&lt;Startops2,$A78&gt;=Endyr),0,VLOOKUP($A78,Capacity_Table,Tariff!$S$18))</f>
        <v>0.91</v>
      </c>
      <c r="L78" s="306" t="n">
        <f aca="false">IF(OR($A78&lt;Startops2,$A78&gt;=Endyr),0,VLOOKUP($A78,Capacity_Table,Tariff!$T$18))</f>
        <v>0.92</v>
      </c>
      <c r="M78" s="397" t="n">
        <f aca="false">IF($A78&lt;Startops2,0,IF($A78&lt;Startops3,VLOOKUP($A78,Convert_Table,Tariff!$Y$54),C78*D78*F78*K78*L78))</f>
        <v>298980.864</v>
      </c>
      <c r="N78" s="1544" t="str">
        <f aca="false">IF(MONTH($A78)=12,SUM(M67:M78)," ")</f>
        <v> </v>
      </c>
      <c r="O78" s="397" t="n">
        <f aca="false">IF($A78&lt;Startops2,0,IF($A78&lt;Startops3,Hr_II,Hr_III))</f>
        <v>7000</v>
      </c>
      <c r="P78" s="397" t="n">
        <f aca="false">M78*O78/1000</f>
        <v>2092866.048</v>
      </c>
      <c r="Q78" s="1545" t="str">
        <f aca="false">IF(MONTH($A78)=12,SUM(P67:P78)," ")</f>
        <v> </v>
      </c>
      <c r="R78" s="397" t="n">
        <f aca="false">IF($A78&gt;Endyr,0,IF($A78&lt;Assm!$A$55,P78,Assm!$F$55*$D78))</f>
        <v>1828160.87671233</v>
      </c>
      <c r="S78" s="1544" t="str">
        <f aca="false">IF(MONTH($A78)=12,SUM(R67:R78)," ")</f>
        <v> </v>
      </c>
      <c r="T78" s="397" t="n">
        <f aca="false">MAX(P78,R78)</f>
        <v>2092866.048</v>
      </c>
      <c r="U78" s="1546" t="str">
        <f aca="false">IF(MONTH($A78)=12,SUM(T67:T78)," ")</f>
        <v> </v>
      </c>
    </row>
    <row r="79" customFormat="false" ht="12.75" hidden="false" customHeight="false" outlineLevel="0" collapsed="false">
      <c r="A79" s="1538" t="n">
        <f aca="false">EDATE(A78,1)</f>
        <v>38292</v>
      </c>
      <c r="C79" s="1539" t="n">
        <f aca="false">IF($A79&gt;Endyr,0,VLOOKUP($A79,Capacity_Table,Tariff!$R$18))</f>
        <v>480</v>
      </c>
      <c r="D79" s="1540" t="n">
        <f aca="false">A80-A79</f>
        <v>30</v>
      </c>
      <c r="E79" s="1540" t="str">
        <f aca="false">IF(MONTH($A79)=12,SUM(D68:D79)," ")</f>
        <v> </v>
      </c>
      <c r="F79" s="1545" t="n">
        <f aca="false">F78</f>
        <v>24</v>
      </c>
      <c r="G79" s="1334" t="n">
        <f aca="false">IF(I79=0,0,I79/($C79*$D79*$F79*H79))</f>
        <v>0</v>
      </c>
      <c r="H79" s="1542" t="n">
        <f aca="false">IF(Avail_LDs_Switch=1,VLOOKUP('Plant Operations'!A79,RAC_AvailFactor_Table,RAC_LDs!$G$258),IF($A79&lt;Startops2,Tariff!$T$11,0))</f>
        <v>0</v>
      </c>
      <c r="I79" s="1543" t="n">
        <f aca="false">IF(OR($A79&lt;Startops1,$A79&gt;=Startops2),0,IF(AND($A79&gt;=DieselOps_2,$A79&lt;Startops2),VLOOKUP($A79,Diesel_Table,Tariff!$Y$41),VLOOKUP($A79,OA_Table,Tariff!$Y$26)))</f>
        <v>0</v>
      </c>
      <c r="J79" s="1544" t="str">
        <f aca="false">IF(MONTH($A79)=12,SUM(I68:I79)," ")</f>
        <v> </v>
      </c>
      <c r="K79" s="1334" t="n">
        <f aca="false">IF(OR($A79&lt;Startops2,$A79&gt;=Endyr),0,VLOOKUP($A79,Capacity_Table,Tariff!$S$18))</f>
        <v>0.91</v>
      </c>
      <c r="L79" s="306" t="n">
        <f aca="false">IF(OR($A79&lt;Startops2,$A79&gt;=Endyr),0,VLOOKUP($A79,Capacity_Table,Tariff!$T$18))</f>
        <v>0.92</v>
      </c>
      <c r="M79" s="397" t="n">
        <f aca="false">IF($A79&lt;Startops2,0,IF($A79&lt;Startops3,VLOOKUP($A79,Convert_Table,Tariff!$Y$54),C79*D79*F79*K79*L79))</f>
        <v>289336.32</v>
      </c>
      <c r="N79" s="1544" t="str">
        <f aca="false">IF(MONTH($A79)=12,SUM(M68:M79)," ")</f>
        <v> </v>
      </c>
      <c r="O79" s="397" t="n">
        <f aca="false">IF($A79&lt;Startops2,0,IF($A79&lt;Startops3,Hr_II,Hr_III))</f>
        <v>7000</v>
      </c>
      <c r="P79" s="397" t="n">
        <f aca="false">M79*O79/1000</f>
        <v>2025354.24</v>
      </c>
      <c r="Q79" s="1545" t="str">
        <f aca="false">IF(MONTH($A79)=12,SUM(P68:P79)," ")</f>
        <v> </v>
      </c>
      <c r="R79" s="397" t="n">
        <f aca="false">IF($A79&gt;Endyr,0,IF($A79&lt;Assm!$A$55,P79,Assm!$F$55*$D79))</f>
        <v>1769187.94520548</v>
      </c>
      <c r="S79" s="1544" t="str">
        <f aca="false">IF(MONTH($A79)=12,SUM(R68:R79)," ")</f>
        <v> </v>
      </c>
      <c r="T79" s="397" t="n">
        <f aca="false">MAX(P79,R79)</f>
        <v>2025354.24</v>
      </c>
      <c r="U79" s="1546" t="str">
        <f aca="false">IF(MONTH($A79)=12,SUM(T68:T79)," ")</f>
        <v> </v>
      </c>
    </row>
    <row r="80" customFormat="false" ht="12.75" hidden="false" customHeight="false" outlineLevel="0" collapsed="false">
      <c r="A80" s="1538" t="n">
        <f aca="false">EDATE(A79,1)</f>
        <v>38322</v>
      </c>
      <c r="C80" s="1539" t="n">
        <f aca="false">IF($A80&gt;Endyr,0,VLOOKUP($A80,Capacity_Table,Tariff!$R$18))</f>
        <v>480</v>
      </c>
      <c r="D80" s="1540" t="n">
        <f aca="false">A81-A80</f>
        <v>31</v>
      </c>
      <c r="E80" s="1540" t="n">
        <f aca="false">IF(MONTH($A80)=12,SUM(D69:D80)," ")</f>
        <v>366</v>
      </c>
      <c r="F80" s="1545" t="n">
        <f aca="false">F79</f>
        <v>24</v>
      </c>
      <c r="G80" s="1334" t="n">
        <f aca="false">IF(I80=0,0,I80/($C80*$D80*$F80*H80))</f>
        <v>0</v>
      </c>
      <c r="H80" s="1542" t="n">
        <f aca="false">IF(Avail_LDs_Switch=1,VLOOKUP('Plant Operations'!A80,RAC_AvailFactor_Table,RAC_LDs!$G$258),IF($A80&lt;Startops2,Tariff!$T$11,0))</f>
        <v>0</v>
      </c>
      <c r="I80" s="1543" t="n">
        <f aca="false">IF(OR($A80&lt;Startops1,$A80&gt;=Startops2),0,IF(AND($A80&gt;=DieselOps_2,$A80&lt;Startops2),VLOOKUP($A80,Diesel_Table,Tariff!$Y$41),VLOOKUP($A80,OA_Table,Tariff!$Y$26)))</f>
        <v>0</v>
      </c>
      <c r="J80" s="1544" t="n">
        <f aca="false">IF(MONTH($A80)=12,SUM(I69:I80)," ")</f>
        <v>0</v>
      </c>
      <c r="K80" s="1334" t="n">
        <f aca="false">IF(OR($A80&lt;Startops2,$A80&gt;=Endyr),0,VLOOKUP($A80,Capacity_Table,Tariff!$S$18))</f>
        <v>0.91</v>
      </c>
      <c r="L80" s="306" t="n">
        <f aca="false">IF(OR($A80&lt;Startops2,$A80&gt;=Endyr),0,VLOOKUP($A80,Capacity_Table,Tariff!$T$18))</f>
        <v>0.92</v>
      </c>
      <c r="M80" s="397" t="n">
        <f aca="false">IF($A80&lt;Startops2,0,IF($A80&lt;Startops3,VLOOKUP($A80,Convert_Table,Tariff!$Y$54),C80*D80*F80*K80*L80))</f>
        <v>298980.864</v>
      </c>
      <c r="N80" s="1544" t="n">
        <f aca="false">IF(MONTH($A80)=12,SUM(M69:M80)," ")</f>
        <v>3529903.104</v>
      </c>
      <c r="O80" s="397" t="n">
        <f aca="false">IF($A80&lt;Startops2,0,IF($A80&lt;Startops3,Hr_II,Hr_III))</f>
        <v>7000</v>
      </c>
      <c r="P80" s="397" t="n">
        <f aca="false">M80*O80/1000</f>
        <v>2092866.048</v>
      </c>
      <c r="Q80" s="1545" t="n">
        <f aca="false">IF(MONTH($A80)=12,SUM(P69:P80)," ")</f>
        <v>24709321.728</v>
      </c>
      <c r="R80" s="397" t="n">
        <f aca="false">IF($A80&gt;Endyr,0,IF($A80&lt;Assm!$A$55,P80,Assm!$F$55*$D80))</f>
        <v>1828160.87671233</v>
      </c>
      <c r="S80" s="1544" t="n">
        <f aca="false">IF(MONTH($A80)=12,SUM(R69:R80)," ")</f>
        <v>21584092.9315069</v>
      </c>
      <c r="T80" s="397" t="n">
        <f aca="false">MAX(P80,R80)</f>
        <v>2092866.048</v>
      </c>
      <c r="U80" s="1546" t="n">
        <f aca="false">IF(MONTH($A80)=12,SUM(T69:T80)," ")</f>
        <v>24709321.728</v>
      </c>
    </row>
    <row r="81" customFormat="false" ht="12.75" hidden="false" customHeight="false" outlineLevel="0" collapsed="false">
      <c r="A81" s="1538" t="n">
        <f aca="false">EDATE(A80,1)</f>
        <v>38353</v>
      </c>
      <c r="C81" s="1539" t="n">
        <f aca="false">IF($A81&gt;Endyr,0,VLOOKUP($A81,Capacity_Table,Tariff!$R$18))</f>
        <v>480</v>
      </c>
      <c r="D81" s="1540" t="n">
        <f aca="false">A82-A81</f>
        <v>31</v>
      </c>
      <c r="E81" s="1540" t="str">
        <f aca="false">IF(MONTH($A81)=12,SUM(D70:D81)," ")</f>
        <v> </v>
      </c>
      <c r="F81" s="1545" t="n">
        <f aca="false">F80</f>
        <v>24</v>
      </c>
      <c r="G81" s="1334" t="n">
        <f aca="false">IF(I81=0,0,I81/($C81*$D81*$F81*H81))</f>
        <v>0</v>
      </c>
      <c r="H81" s="1542" t="n">
        <f aca="false">IF(Avail_LDs_Switch=1,VLOOKUP('Plant Operations'!A81,RAC_AvailFactor_Table,RAC_LDs!$G$258),IF($A81&lt;Startops2,Tariff!$T$11,0))</f>
        <v>0</v>
      </c>
      <c r="I81" s="1543" t="n">
        <f aca="false">IF(OR($A81&lt;Startops1,$A81&gt;=Startops2),0,IF(AND($A81&gt;=DieselOps_2,$A81&lt;Startops2),VLOOKUP($A81,Diesel_Table,Tariff!$Y$41),VLOOKUP($A81,OA_Table,Tariff!$Y$26)))</f>
        <v>0</v>
      </c>
      <c r="J81" s="1544" t="str">
        <f aca="false">IF(MONTH($A81)=12,SUM(I70:I81)," ")</f>
        <v> </v>
      </c>
      <c r="K81" s="1334" t="n">
        <f aca="false">IF(OR($A81&lt;Startops2,$A81&gt;=Endyr),0,VLOOKUP($A81,Capacity_Table,Tariff!$S$18))</f>
        <v>0.91</v>
      </c>
      <c r="L81" s="306" t="n">
        <f aca="false">IF(OR($A81&lt;Startops2,$A81&gt;=Endyr),0,VLOOKUP($A81,Capacity_Table,Tariff!$T$18))</f>
        <v>0.92</v>
      </c>
      <c r="M81" s="397" t="n">
        <f aca="false">IF($A81&lt;Startops2,0,IF($A81&lt;Startops3,VLOOKUP($A81,Convert_Table,Tariff!$Y$54),C81*D81*F81*K81*L81))</f>
        <v>298980.864</v>
      </c>
      <c r="N81" s="1544" t="str">
        <f aca="false">IF(MONTH($A81)=12,SUM(M70:M81)," ")</f>
        <v> </v>
      </c>
      <c r="O81" s="397" t="n">
        <f aca="false">IF($A81&lt;Startops2,0,IF($A81&lt;Startops3,Hr_II,Hr_III))</f>
        <v>7000</v>
      </c>
      <c r="P81" s="397" t="n">
        <f aca="false">M81*O81/1000</f>
        <v>2092866.048</v>
      </c>
      <c r="Q81" s="1545" t="str">
        <f aca="false">IF(MONTH($A81)=12,SUM(P70:P81)," ")</f>
        <v> </v>
      </c>
      <c r="R81" s="397" t="n">
        <f aca="false">IF($A81&gt;Endyr,0,IF($A81&lt;Assm!$A$55,P81,Assm!$F$55*$D81))</f>
        <v>1828160.87671233</v>
      </c>
      <c r="S81" s="1544" t="str">
        <f aca="false">IF(MONTH($A81)=12,SUM(R70:R81)," ")</f>
        <v> </v>
      </c>
      <c r="T81" s="397" t="n">
        <f aca="false">MAX(P81,R81)</f>
        <v>2092866.048</v>
      </c>
      <c r="U81" s="1546" t="str">
        <f aca="false">IF(MONTH($A81)=12,SUM(T70:T81)," ")</f>
        <v> </v>
      </c>
    </row>
    <row r="82" customFormat="false" ht="12.75" hidden="false" customHeight="false" outlineLevel="0" collapsed="false">
      <c r="A82" s="1538" t="n">
        <f aca="false">EDATE(A81,1)</f>
        <v>38384</v>
      </c>
      <c r="C82" s="1539" t="n">
        <f aca="false">IF($A82&gt;Endyr,0,VLOOKUP($A82,Capacity_Table,Tariff!$R$18))</f>
        <v>480</v>
      </c>
      <c r="D82" s="1540" t="n">
        <f aca="false">A83-A82</f>
        <v>28</v>
      </c>
      <c r="E82" s="1540" t="str">
        <f aca="false">IF(MONTH($A82)=12,SUM(D71:D82)," ")</f>
        <v> </v>
      </c>
      <c r="F82" s="1545" t="n">
        <f aca="false">F81</f>
        <v>24</v>
      </c>
      <c r="G82" s="1334" t="n">
        <f aca="false">IF(I82=0,0,I82/($C82*$D82*$F82*H82))</f>
        <v>0</v>
      </c>
      <c r="H82" s="1542" t="n">
        <f aca="false">IF(Avail_LDs_Switch=1,VLOOKUP('Plant Operations'!A82,RAC_AvailFactor_Table,RAC_LDs!$G$258),IF($A82&lt;Startops2,Tariff!$T$11,0))</f>
        <v>0</v>
      </c>
      <c r="I82" s="1543" t="n">
        <f aca="false">IF(OR($A82&lt;Startops1,$A82&gt;=Startops2),0,IF(AND($A82&gt;=DieselOps_2,$A82&lt;Startops2),VLOOKUP($A82,Diesel_Table,Tariff!$Y$41),VLOOKUP($A82,OA_Table,Tariff!$Y$26)))</f>
        <v>0</v>
      </c>
      <c r="J82" s="1544" t="str">
        <f aca="false">IF(MONTH($A82)=12,SUM(I71:I82)," ")</f>
        <v> </v>
      </c>
      <c r="K82" s="1334" t="n">
        <f aca="false">IF(OR($A82&lt;Startops2,$A82&gt;=Endyr),0,VLOOKUP($A82,Capacity_Table,Tariff!$S$18))</f>
        <v>0.91</v>
      </c>
      <c r="L82" s="306" t="n">
        <f aca="false">IF(OR($A82&lt;Startops2,$A82&gt;=Endyr),0,VLOOKUP($A82,Capacity_Table,Tariff!$T$18))</f>
        <v>0.92</v>
      </c>
      <c r="M82" s="397" t="n">
        <f aca="false">IF($A82&lt;Startops2,0,IF($A82&lt;Startops3,VLOOKUP($A82,Convert_Table,Tariff!$Y$54),C82*D82*F82*K82*L82))</f>
        <v>270047.232</v>
      </c>
      <c r="N82" s="1544" t="str">
        <f aca="false">IF(MONTH($A82)=12,SUM(M71:M82)," ")</f>
        <v> </v>
      </c>
      <c r="O82" s="397" t="n">
        <f aca="false">IF($A82&lt;Startops2,0,IF($A82&lt;Startops3,Hr_II,Hr_III))</f>
        <v>7000</v>
      </c>
      <c r="P82" s="397" t="n">
        <f aca="false">M82*O82/1000</f>
        <v>1890330.624</v>
      </c>
      <c r="Q82" s="1545" t="str">
        <f aca="false">IF(MONTH($A82)=12,SUM(P71:P82)," ")</f>
        <v> </v>
      </c>
      <c r="R82" s="397" t="n">
        <f aca="false">IF($A82&gt;Endyr,0,IF($A82&lt;Assm!$A$55,P82,Assm!$F$55*$D82))</f>
        <v>1651242.08219178</v>
      </c>
      <c r="S82" s="1544" t="str">
        <f aca="false">IF(MONTH($A82)=12,SUM(R71:R82)," ")</f>
        <v> </v>
      </c>
      <c r="T82" s="397" t="n">
        <f aca="false">MAX(P82,R82)</f>
        <v>1890330.624</v>
      </c>
      <c r="U82" s="1546" t="str">
        <f aca="false">IF(MONTH($A82)=12,SUM(T71:T82)," ")</f>
        <v> </v>
      </c>
    </row>
    <row r="83" customFormat="false" ht="12.75" hidden="false" customHeight="false" outlineLevel="0" collapsed="false">
      <c r="A83" s="1538" t="n">
        <f aca="false">EDATE(A82,1)</f>
        <v>38412</v>
      </c>
      <c r="C83" s="1539" t="n">
        <f aca="false">IF($A83&gt;Endyr,0,VLOOKUP($A83,Capacity_Table,Tariff!$R$18))</f>
        <v>480</v>
      </c>
      <c r="D83" s="1540" t="n">
        <f aca="false">A84-A83</f>
        <v>31</v>
      </c>
      <c r="E83" s="1540" t="str">
        <f aca="false">IF(MONTH($A83)=12,SUM(D72:D83)," ")</f>
        <v> </v>
      </c>
      <c r="F83" s="1545" t="n">
        <f aca="false">F82</f>
        <v>24</v>
      </c>
      <c r="G83" s="1334" t="n">
        <f aca="false">IF(I83=0,0,I83/($C83*$D83*$F83*H83))</f>
        <v>0</v>
      </c>
      <c r="H83" s="1542" t="n">
        <f aca="false">IF(Avail_LDs_Switch=1,VLOOKUP('Plant Operations'!A83,RAC_AvailFactor_Table,RAC_LDs!$G$258),IF($A83&lt;Startops2,Tariff!$T$11,0))</f>
        <v>0</v>
      </c>
      <c r="I83" s="1543" t="n">
        <f aca="false">IF(OR($A83&lt;Startops1,$A83&gt;=Startops2),0,IF(AND($A83&gt;=DieselOps_2,$A83&lt;Startops2),VLOOKUP($A83,Diesel_Table,Tariff!$Y$41),VLOOKUP($A83,OA_Table,Tariff!$Y$26)))</f>
        <v>0</v>
      </c>
      <c r="J83" s="1544" t="str">
        <f aca="false">IF(MONTH($A83)=12,SUM(I72:I83)," ")</f>
        <v> </v>
      </c>
      <c r="K83" s="1334" t="n">
        <f aca="false">IF(OR($A83&lt;Startops2,$A83&gt;=Endyr),0,VLOOKUP($A83,Capacity_Table,Tariff!$S$18))</f>
        <v>0.91</v>
      </c>
      <c r="L83" s="306" t="n">
        <f aca="false">IF(OR($A83&lt;Startops2,$A83&gt;=Endyr),0,VLOOKUP($A83,Capacity_Table,Tariff!$T$18))</f>
        <v>0.92</v>
      </c>
      <c r="M83" s="397" t="n">
        <f aca="false">IF($A83&lt;Startops2,0,IF($A83&lt;Startops3,VLOOKUP($A83,Convert_Table,Tariff!$Y$54),C83*D83*F83*K83*L83))</f>
        <v>298980.864</v>
      </c>
      <c r="N83" s="1544" t="str">
        <f aca="false">IF(MONTH($A83)=12,SUM(M72:M83)," ")</f>
        <v> </v>
      </c>
      <c r="O83" s="397" t="n">
        <f aca="false">IF($A83&lt;Startops2,0,IF($A83&lt;Startops3,Hr_II,Hr_III))</f>
        <v>7000</v>
      </c>
      <c r="P83" s="397" t="n">
        <f aca="false">M83*O83/1000</f>
        <v>2092866.048</v>
      </c>
      <c r="Q83" s="1545" t="str">
        <f aca="false">IF(MONTH($A83)=12,SUM(P72:P83)," ")</f>
        <v> </v>
      </c>
      <c r="R83" s="397" t="n">
        <f aca="false">IF($A83&gt;Endyr,0,IF($A83&lt;Assm!$A$55,P83,Assm!$F$55*$D83))</f>
        <v>1828160.87671233</v>
      </c>
      <c r="S83" s="1544" t="str">
        <f aca="false">IF(MONTH($A83)=12,SUM(R72:R83)," ")</f>
        <v> </v>
      </c>
      <c r="T83" s="397" t="n">
        <f aca="false">MAX(P83,R83)</f>
        <v>2092866.048</v>
      </c>
      <c r="U83" s="1546" t="str">
        <f aca="false">IF(MONTH($A83)=12,SUM(T72:T83)," ")</f>
        <v> </v>
      </c>
    </row>
    <row r="84" customFormat="false" ht="12.75" hidden="false" customHeight="false" outlineLevel="0" collapsed="false">
      <c r="A84" s="1538" t="n">
        <f aca="false">EDATE(A83,1)</f>
        <v>38443</v>
      </c>
      <c r="C84" s="1539" t="n">
        <f aca="false">IF($A84&gt;Endyr,0,VLOOKUP($A84,Capacity_Table,Tariff!$R$18))</f>
        <v>480</v>
      </c>
      <c r="D84" s="1540" t="n">
        <f aca="false">A85-A84</f>
        <v>30</v>
      </c>
      <c r="E84" s="1540" t="str">
        <f aca="false">IF(MONTH($A84)=12,SUM(D73:D84)," ")</f>
        <v> </v>
      </c>
      <c r="F84" s="1545" t="n">
        <f aca="false">F83</f>
        <v>24</v>
      </c>
      <c r="G84" s="1334" t="n">
        <f aca="false">IF(I84=0,0,I84/($C84*$D84*$F84*H84))</f>
        <v>0</v>
      </c>
      <c r="H84" s="1542" t="n">
        <f aca="false">IF(Avail_LDs_Switch=1,VLOOKUP('Plant Operations'!A84,RAC_AvailFactor_Table,RAC_LDs!$G$258),IF($A84&lt;Startops2,Tariff!$T$11,0))</f>
        <v>0</v>
      </c>
      <c r="I84" s="1543" t="n">
        <f aca="false">IF(OR($A84&lt;Startops1,$A84&gt;=Startops2),0,IF(AND($A84&gt;=DieselOps_2,$A84&lt;Startops2),VLOOKUP($A84,Diesel_Table,Tariff!$Y$41),VLOOKUP($A84,OA_Table,Tariff!$Y$26)))</f>
        <v>0</v>
      </c>
      <c r="J84" s="1544" t="str">
        <f aca="false">IF(MONTH($A84)=12,SUM(I73:I84)," ")</f>
        <v> </v>
      </c>
      <c r="K84" s="1334" t="n">
        <f aca="false">IF(OR($A84&lt;Startops2,$A84&gt;=Endyr),0,VLOOKUP($A84,Capacity_Table,Tariff!$S$18))</f>
        <v>0.91</v>
      </c>
      <c r="L84" s="306" t="n">
        <f aca="false">IF(OR($A84&lt;Startops2,$A84&gt;=Endyr),0,VLOOKUP($A84,Capacity_Table,Tariff!$T$18))</f>
        <v>0.92</v>
      </c>
      <c r="M84" s="397" t="n">
        <f aca="false">IF($A84&lt;Startops2,0,IF($A84&lt;Startops3,VLOOKUP($A84,Convert_Table,Tariff!$Y$54),C84*D84*F84*K84*L84))</f>
        <v>289336.32</v>
      </c>
      <c r="N84" s="1544" t="str">
        <f aca="false">IF(MONTH($A84)=12,SUM(M73:M84)," ")</f>
        <v> </v>
      </c>
      <c r="O84" s="397" t="n">
        <f aca="false">IF($A84&lt;Startops2,0,IF($A84&lt;Startops3,Hr_II,Hr_III))</f>
        <v>7000</v>
      </c>
      <c r="P84" s="397" t="n">
        <f aca="false">M84*O84/1000</f>
        <v>2025354.24</v>
      </c>
      <c r="Q84" s="1545" t="str">
        <f aca="false">IF(MONTH($A84)=12,SUM(P73:P84)," ")</f>
        <v> </v>
      </c>
      <c r="R84" s="397" t="n">
        <f aca="false">IF($A84&gt;Endyr,0,IF($A84&lt;Assm!$A$55,P84,Assm!$F$55*$D84))</f>
        <v>1769187.94520548</v>
      </c>
      <c r="S84" s="1544" t="str">
        <f aca="false">IF(MONTH($A84)=12,SUM(R73:R84)," ")</f>
        <v> </v>
      </c>
      <c r="T84" s="397" t="n">
        <f aca="false">MAX(P84,R84)</f>
        <v>2025354.24</v>
      </c>
      <c r="U84" s="1546" t="str">
        <f aca="false">IF(MONTH($A84)=12,SUM(T73:T84)," ")</f>
        <v> </v>
      </c>
    </row>
    <row r="85" customFormat="false" ht="12.75" hidden="false" customHeight="false" outlineLevel="0" collapsed="false">
      <c r="A85" s="1538" t="n">
        <f aca="false">EDATE(A84,1)</f>
        <v>38473</v>
      </c>
      <c r="C85" s="1539" t="n">
        <f aca="false">IF($A85&gt;Endyr,0,VLOOKUP($A85,Capacity_Table,Tariff!$R$18))</f>
        <v>480</v>
      </c>
      <c r="D85" s="1540" t="n">
        <f aca="false">A86-A85</f>
        <v>31</v>
      </c>
      <c r="E85" s="1540" t="str">
        <f aca="false">IF(MONTH($A85)=12,SUM(D74:D85)," ")</f>
        <v> </v>
      </c>
      <c r="F85" s="1545" t="n">
        <f aca="false">F84</f>
        <v>24</v>
      </c>
      <c r="G85" s="1334" t="n">
        <f aca="false">IF(I85=0,0,I85/($C85*$D85*$F85*H85))</f>
        <v>0</v>
      </c>
      <c r="H85" s="1542" t="n">
        <f aca="false">IF(Avail_LDs_Switch=1,VLOOKUP('Plant Operations'!A85,RAC_AvailFactor_Table,RAC_LDs!$G$258),IF($A85&lt;Startops2,Tariff!$T$11,0))</f>
        <v>0</v>
      </c>
      <c r="I85" s="1543" t="n">
        <f aca="false">IF(OR($A85&lt;Startops1,$A85&gt;=Startops2),0,IF(AND($A85&gt;=DieselOps_2,$A85&lt;Startops2),VLOOKUP($A85,Diesel_Table,Tariff!$Y$41),VLOOKUP($A85,OA_Table,Tariff!$Y$26)))</f>
        <v>0</v>
      </c>
      <c r="J85" s="1544" t="str">
        <f aca="false">IF(MONTH($A85)=12,SUM(I74:I85)," ")</f>
        <v> </v>
      </c>
      <c r="K85" s="1334" t="n">
        <f aca="false">IF(OR($A85&lt;Startops2,$A85&gt;=Endyr),0,VLOOKUP($A85,Capacity_Table,Tariff!$S$18))</f>
        <v>0.91</v>
      </c>
      <c r="L85" s="306" t="n">
        <f aca="false">IF(OR($A85&lt;Startops2,$A85&gt;=Endyr),0,VLOOKUP($A85,Capacity_Table,Tariff!$T$18))</f>
        <v>0.92</v>
      </c>
      <c r="M85" s="397" t="n">
        <f aca="false">IF($A85&lt;Startops2,0,IF($A85&lt;Startops3,VLOOKUP($A85,Convert_Table,Tariff!$Y$54),C85*D85*F85*K85*L85))</f>
        <v>298980.864</v>
      </c>
      <c r="N85" s="1544" t="str">
        <f aca="false">IF(MONTH($A85)=12,SUM(M74:M85)," ")</f>
        <v> </v>
      </c>
      <c r="O85" s="397" t="n">
        <f aca="false">IF($A85&lt;Startops2,0,IF($A85&lt;Startops3,Hr_II,Hr_III))</f>
        <v>7000</v>
      </c>
      <c r="P85" s="397" t="n">
        <f aca="false">M85*O85/1000</f>
        <v>2092866.048</v>
      </c>
      <c r="Q85" s="1545" t="str">
        <f aca="false">IF(MONTH($A85)=12,SUM(P74:P85)," ")</f>
        <v> </v>
      </c>
      <c r="R85" s="397" t="n">
        <f aca="false">IF($A85&gt;Endyr,0,IF($A85&lt;Assm!$A$55,P85,Assm!$F$55*$D85))</f>
        <v>1828160.87671233</v>
      </c>
      <c r="S85" s="1544" t="str">
        <f aca="false">IF(MONTH($A85)=12,SUM(R74:R85)," ")</f>
        <v> </v>
      </c>
      <c r="T85" s="397" t="n">
        <f aca="false">MAX(P85,R85)</f>
        <v>2092866.048</v>
      </c>
      <c r="U85" s="1546" t="str">
        <f aca="false">IF(MONTH($A85)=12,SUM(T74:T85)," ")</f>
        <v> </v>
      </c>
    </row>
    <row r="86" customFormat="false" ht="12.75" hidden="false" customHeight="false" outlineLevel="0" collapsed="false">
      <c r="A86" s="1538" t="n">
        <f aca="false">EDATE(A85,1)</f>
        <v>38504</v>
      </c>
      <c r="C86" s="1539" t="n">
        <f aca="false">IF($A86&gt;Endyr,0,VLOOKUP($A86,Capacity_Table,Tariff!$R$18))</f>
        <v>480</v>
      </c>
      <c r="D86" s="1540" t="n">
        <f aca="false">A87-A86</f>
        <v>30</v>
      </c>
      <c r="E86" s="1540" t="str">
        <f aca="false">IF(MONTH($A86)=12,SUM(D75:D86)," ")</f>
        <v> </v>
      </c>
      <c r="F86" s="1545" t="n">
        <f aca="false">F85</f>
        <v>24</v>
      </c>
      <c r="G86" s="1334" t="n">
        <f aca="false">IF(I86=0,0,I86/($C86*$D86*$F86*H86))</f>
        <v>0</v>
      </c>
      <c r="H86" s="1542" t="n">
        <f aca="false">IF(Avail_LDs_Switch=1,VLOOKUP('Plant Operations'!A86,RAC_AvailFactor_Table,RAC_LDs!$G$258),IF($A86&lt;Startops2,Tariff!$T$11,0))</f>
        <v>0</v>
      </c>
      <c r="I86" s="1543" t="n">
        <f aca="false">IF(OR($A86&lt;Startops1,$A86&gt;=Startops2),0,IF(AND($A86&gt;=DieselOps_2,$A86&lt;Startops2),VLOOKUP($A86,Diesel_Table,Tariff!$Y$41),VLOOKUP($A86,OA_Table,Tariff!$Y$26)))</f>
        <v>0</v>
      </c>
      <c r="J86" s="1544" t="str">
        <f aca="false">IF(MONTH($A86)=12,SUM(I75:I86)," ")</f>
        <v> </v>
      </c>
      <c r="K86" s="1334" t="n">
        <f aca="false">IF(OR($A86&lt;Startops2,$A86&gt;=Endyr),0,VLOOKUP($A86,Capacity_Table,Tariff!$S$18))</f>
        <v>0.91</v>
      </c>
      <c r="L86" s="306" t="n">
        <f aca="false">IF(OR($A86&lt;Startops2,$A86&gt;=Endyr),0,VLOOKUP($A86,Capacity_Table,Tariff!$T$18))</f>
        <v>0.92</v>
      </c>
      <c r="M86" s="397" t="n">
        <f aca="false">IF($A86&lt;Startops2,0,IF($A86&lt;Startops3,VLOOKUP($A86,Convert_Table,Tariff!$Y$54),C86*D86*F86*K86*L86))</f>
        <v>289336.32</v>
      </c>
      <c r="N86" s="1544" t="str">
        <f aca="false">IF(MONTH($A86)=12,SUM(M75:M86)," ")</f>
        <v> </v>
      </c>
      <c r="O86" s="397" t="n">
        <f aca="false">IF($A86&lt;Startops2,0,IF($A86&lt;Startops3,Hr_II,Hr_III))</f>
        <v>7000</v>
      </c>
      <c r="P86" s="397" t="n">
        <f aca="false">M86*O86/1000</f>
        <v>2025354.24</v>
      </c>
      <c r="Q86" s="1545" t="str">
        <f aca="false">IF(MONTH($A86)=12,SUM(P75:P86)," ")</f>
        <v> </v>
      </c>
      <c r="R86" s="397" t="n">
        <f aca="false">IF($A86&gt;Endyr,0,IF($A86&lt;Assm!$A$55,P86,Assm!$F$55*$D86))</f>
        <v>1769187.94520548</v>
      </c>
      <c r="S86" s="1544" t="str">
        <f aca="false">IF(MONTH($A86)=12,SUM(R75:R86)," ")</f>
        <v> </v>
      </c>
      <c r="T86" s="397" t="n">
        <f aca="false">MAX(P86,R86)</f>
        <v>2025354.24</v>
      </c>
      <c r="U86" s="1546" t="str">
        <f aca="false">IF(MONTH($A86)=12,SUM(T75:T86)," ")</f>
        <v> </v>
      </c>
    </row>
    <row r="87" customFormat="false" ht="12.75" hidden="false" customHeight="false" outlineLevel="0" collapsed="false">
      <c r="A87" s="1538" t="n">
        <f aca="false">EDATE(A86,1)</f>
        <v>38534</v>
      </c>
      <c r="C87" s="1539" t="n">
        <f aca="false">IF($A87&gt;Endyr,0,VLOOKUP($A87,Capacity_Table,Tariff!$R$18))</f>
        <v>480</v>
      </c>
      <c r="D87" s="1540" t="n">
        <f aca="false">A88-A87</f>
        <v>31</v>
      </c>
      <c r="E87" s="1540" t="str">
        <f aca="false">IF(MONTH($A87)=12,SUM(D76:D87)," ")</f>
        <v> </v>
      </c>
      <c r="F87" s="1545" t="n">
        <f aca="false">F86</f>
        <v>24</v>
      </c>
      <c r="G87" s="1334" t="n">
        <f aca="false">IF(I87=0,0,I87/($C87*$D87*$F87*H87))</f>
        <v>0</v>
      </c>
      <c r="H87" s="1542" t="n">
        <f aca="false">IF(Avail_LDs_Switch=1,VLOOKUP('Plant Operations'!A87,RAC_AvailFactor_Table,RAC_LDs!$G$258),IF($A87&lt;Startops2,Tariff!$T$11,0))</f>
        <v>0</v>
      </c>
      <c r="I87" s="1543" t="n">
        <f aca="false">IF(OR($A87&lt;Startops1,$A87&gt;=Startops2),0,IF(AND($A87&gt;=DieselOps_2,$A87&lt;Startops2),VLOOKUP($A87,Diesel_Table,Tariff!$Y$41),VLOOKUP($A87,OA_Table,Tariff!$Y$26)))</f>
        <v>0</v>
      </c>
      <c r="J87" s="1544" t="str">
        <f aca="false">IF(MONTH($A87)=12,SUM(I76:I87)," ")</f>
        <v> </v>
      </c>
      <c r="K87" s="1334" t="n">
        <f aca="false">IF(OR($A87&lt;Startops2,$A87&gt;=Endyr),0,VLOOKUP($A87,Capacity_Table,Tariff!$S$18))</f>
        <v>0.91</v>
      </c>
      <c r="L87" s="306" t="n">
        <f aca="false">IF(OR($A87&lt;Startops2,$A87&gt;=Endyr),0,VLOOKUP($A87,Capacity_Table,Tariff!$T$18))</f>
        <v>0.92</v>
      </c>
      <c r="M87" s="397" t="n">
        <f aca="false">IF($A87&lt;Startops2,0,IF($A87&lt;Startops3,VLOOKUP($A87,Convert_Table,Tariff!$Y$54),C87*D87*F87*K87*L87))</f>
        <v>298980.864</v>
      </c>
      <c r="N87" s="1544" t="str">
        <f aca="false">IF(MONTH($A87)=12,SUM(M76:M87)," ")</f>
        <v> </v>
      </c>
      <c r="O87" s="397" t="n">
        <f aca="false">IF($A87&lt;Startops2,0,IF($A87&lt;Startops3,Hr_II,Hr_III))</f>
        <v>7000</v>
      </c>
      <c r="P87" s="397" t="n">
        <f aca="false">M87*O87/1000</f>
        <v>2092866.048</v>
      </c>
      <c r="Q87" s="1545" t="str">
        <f aca="false">IF(MONTH($A87)=12,SUM(P76:P87)," ")</f>
        <v> </v>
      </c>
      <c r="R87" s="397" t="n">
        <f aca="false">IF($A87&gt;Endyr,0,IF($A87&lt;Assm!$A$55,P87,Assm!$F$55*$D87))</f>
        <v>1828160.87671233</v>
      </c>
      <c r="S87" s="1544" t="str">
        <f aca="false">IF(MONTH($A87)=12,SUM(R76:R87)," ")</f>
        <v> </v>
      </c>
      <c r="T87" s="397" t="n">
        <f aca="false">MAX(P87,R87)</f>
        <v>2092866.048</v>
      </c>
      <c r="U87" s="1546" t="str">
        <f aca="false">IF(MONTH($A87)=12,SUM(T76:T87)," ")</f>
        <v> </v>
      </c>
    </row>
    <row r="88" customFormat="false" ht="12.75" hidden="false" customHeight="false" outlineLevel="0" collapsed="false">
      <c r="A88" s="1538" t="n">
        <f aca="false">EDATE(A87,1)</f>
        <v>38565</v>
      </c>
      <c r="C88" s="1539" t="n">
        <f aca="false">IF($A88&gt;Endyr,0,VLOOKUP($A88,Capacity_Table,Tariff!$R$18))</f>
        <v>480</v>
      </c>
      <c r="D88" s="1540" t="n">
        <f aca="false">A89-A88</f>
        <v>31</v>
      </c>
      <c r="E88" s="1540" t="str">
        <f aca="false">IF(MONTH($A88)=12,SUM(D77:D88)," ")</f>
        <v> </v>
      </c>
      <c r="F88" s="1545" t="n">
        <f aca="false">F87</f>
        <v>24</v>
      </c>
      <c r="G88" s="1334" t="n">
        <f aca="false">IF(I88=0,0,I88/($C88*$D88*$F88*H88))</f>
        <v>0</v>
      </c>
      <c r="H88" s="1542" t="n">
        <f aca="false">IF(Avail_LDs_Switch=1,VLOOKUP('Plant Operations'!A88,RAC_AvailFactor_Table,RAC_LDs!$G$258),IF($A88&lt;Startops2,Tariff!$T$11,0))</f>
        <v>0</v>
      </c>
      <c r="I88" s="1543" t="n">
        <f aca="false">IF(OR($A88&lt;Startops1,$A88&gt;=Startops2),0,IF(AND($A88&gt;=DieselOps_2,$A88&lt;Startops2),VLOOKUP($A88,Diesel_Table,Tariff!$Y$41),VLOOKUP($A88,OA_Table,Tariff!$Y$26)))</f>
        <v>0</v>
      </c>
      <c r="J88" s="1544" t="str">
        <f aca="false">IF(MONTH($A88)=12,SUM(I77:I88)," ")</f>
        <v> </v>
      </c>
      <c r="K88" s="1334" t="n">
        <f aca="false">IF(OR($A88&lt;Startops2,$A88&gt;=Endyr),0,VLOOKUP($A88,Capacity_Table,Tariff!$S$18))</f>
        <v>0.91</v>
      </c>
      <c r="L88" s="306" t="n">
        <f aca="false">IF(OR($A88&lt;Startops2,$A88&gt;=Endyr),0,VLOOKUP($A88,Capacity_Table,Tariff!$T$18))</f>
        <v>0.92</v>
      </c>
      <c r="M88" s="397" t="n">
        <f aca="false">IF($A88&lt;Startops2,0,IF($A88&lt;Startops3,VLOOKUP($A88,Convert_Table,Tariff!$Y$54),C88*D88*F88*K88*L88))</f>
        <v>298980.864</v>
      </c>
      <c r="N88" s="1544" t="str">
        <f aca="false">IF(MONTH($A88)=12,SUM(M77:M88)," ")</f>
        <v> </v>
      </c>
      <c r="O88" s="397" t="n">
        <f aca="false">IF($A88&lt;Startops2,0,IF($A88&lt;Startops3,Hr_II,Hr_III))</f>
        <v>7000</v>
      </c>
      <c r="P88" s="397" t="n">
        <f aca="false">M88*O88/1000</f>
        <v>2092866.048</v>
      </c>
      <c r="Q88" s="1545" t="str">
        <f aca="false">IF(MONTH($A88)=12,SUM(P77:P88)," ")</f>
        <v> </v>
      </c>
      <c r="R88" s="397" t="n">
        <f aca="false">IF($A88&gt;Endyr,0,IF($A88&lt;Assm!$A$55,P88,Assm!$F$55*$D88))</f>
        <v>1828160.87671233</v>
      </c>
      <c r="S88" s="1544" t="str">
        <f aca="false">IF(MONTH($A88)=12,SUM(R77:R88)," ")</f>
        <v> </v>
      </c>
      <c r="T88" s="397" t="n">
        <f aca="false">MAX(P88,R88)</f>
        <v>2092866.048</v>
      </c>
      <c r="U88" s="1546" t="str">
        <f aca="false">IF(MONTH($A88)=12,SUM(T77:T88)," ")</f>
        <v> </v>
      </c>
    </row>
    <row r="89" customFormat="false" ht="12.75" hidden="false" customHeight="false" outlineLevel="0" collapsed="false">
      <c r="A89" s="1538" t="n">
        <f aca="false">EDATE(A88,1)</f>
        <v>38596</v>
      </c>
      <c r="C89" s="1539" t="n">
        <f aca="false">IF($A89&gt;Endyr,0,VLOOKUP($A89,Capacity_Table,Tariff!$R$18))</f>
        <v>480</v>
      </c>
      <c r="D89" s="1540" t="n">
        <f aca="false">A90-A89</f>
        <v>30</v>
      </c>
      <c r="E89" s="1540" t="str">
        <f aca="false">IF(MONTH($A89)=12,SUM(D78:D89)," ")</f>
        <v> </v>
      </c>
      <c r="F89" s="1545" t="n">
        <f aca="false">F88</f>
        <v>24</v>
      </c>
      <c r="G89" s="1334" t="n">
        <f aca="false">IF(I89=0,0,I89/($C89*$D89*$F89*H89))</f>
        <v>0</v>
      </c>
      <c r="H89" s="1542" t="n">
        <f aca="false">IF(Avail_LDs_Switch=1,VLOOKUP('Plant Operations'!A89,RAC_AvailFactor_Table,RAC_LDs!$G$258),IF($A89&lt;Startops2,Tariff!$T$11,0))</f>
        <v>0</v>
      </c>
      <c r="I89" s="1543" t="n">
        <f aca="false">IF(OR($A89&lt;Startops1,$A89&gt;=Startops2),0,IF(AND($A89&gt;=DieselOps_2,$A89&lt;Startops2),VLOOKUP($A89,Diesel_Table,Tariff!$Y$41),VLOOKUP($A89,OA_Table,Tariff!$Y$26)))</f>
        <v>0</v>
      </c>
      <c r="J89" s="1544" t="str">
        <f aca="false">IF(MONTH($A89)=12,SUM(I78:I89)," ")</f>
        <v> </v>
      </c>
      <c r="K89" s="1334" t="n">
        <f aca="false">IF(OR($A89&lt;Startops2,$A89&gt;=Endyr),0,VLOOKUP($A89,Capacity_Table,Tariff!$S$18))</f>
        <v>0.91</v>
      </c>
      <c r="L89" s="306" t="n">
        <f aca="false">IF(OR($A89&lt;Startops2,$A89&gt;=Endyr),0,VLOOKUP($A89,Capacity_Table,Tariff!$T$18))</f>
        <v>0.92</v>
      </c>
      <c r="M89" s="397" t="n">
        <f aca="false">IF($A89&lt;Startops2,0,IF($A89&lt;Startops3,VLOOKUP($A89,Convert_Table,Tariff!$Y$54),C89*D89*F89*K89*L89))</f>
        <v>289336.32</v>
      </c>
      <c r="N89" s="1544" t="str">
        <f aca="false">IF(MONTH($A89)=12,SUM(M78:M89)," ")</f>
        <v> </v>
      </c>
      <c r="O89" s="397" t="n">
        <f aca="false">IF($A89&lt;Startops2,0,IF($A89&lt;Startops3,Hr_II,Hr_III))</f>
        <v>7000</v>
      </c>
      <c r="P89" s="397" t="n">
        <f aca="false">M89*O89/1000</f>
        <v>2025354.24</v>
      </c>
      <c r="Q89" s="1545" t="str">
        <f aca="false">IF(MONTH($A89)=12,SUM(P78:P89)," ")</f>
        <v> </v>
      </c>
      <c r="R89" s="397" t="n">
        <f aca="false">IF($A89&gt;Endyr,0,IF($A89&lt;Assm!$A$55,P89,Assm!$F$55*$D89))</f>
        <v>1769187.94520548</v>
      </c>
      <c r="S89" s="1544" t="str">
        <f aca="false">IF(MONTH($A89)=12,SUM(R78:R89)," ")</f>
        <v> </v>
      </c>
      <c r="T89" s="397" t="n">
        <f aca="false">MAX(P89,R89)</f>
        <v>2025354.24</v>
      </c>
      <c r="U89" s="1546" t="str">
        <f aca="false">IF(MONTH($A89)=12,SUM(T78:T89)," ")</f>
        <v> </v>
      </c>
    </row>
    <row r="90" customFormat="false" ht="12.75" hidden="false" customHeight="false" outlineLevel="0" collapsed="false">
      <c r="A90" s="1538" t="n">
        <f aca="false">EDATE(A89,1)</f>
        <v>38626</v>
      </c>
      <c r="C90" s="1539" t="n">
        <f aca="false">IF($A90&gt;Endyr,0,VLOOKUP($A90,Capacity_Table,Tariff!$R$18))</f>
        <v>480</v>
      </c>
      <c r="D90" s="1540" t="n">
        <f aca="false">A91-A90</f>
        <v>31</v>
      </c>
      <c r="E90" s="1540" t="str">
        <f aca="false">IF(MONTH($A90)=12,SUM(D79:D90)," ")</f>
        <v> </v>
      </c>
      <c r="F90" s="1545" t="n">
        <f aca="false">F89</f>
        <v>24</v>
      </c>
      <c r="G90" s="1334" t="n">
        <f aca="false">IF(I90=0,0,I90/($C90*$D90*$F90*H90))</f>
        <v>0</v>
      </c>
      <c r="H90" s="1542" t="n">
        <f aca="false">IF(Avail_LDs_Switch=1,VLOOKUP('Plant Operations'!A90,RAC_AvailFactor_Table,RAC_LDs!$G$258),IF($A90&lt;Startops2,Tariff!$T$11,0))</f>
        <v>0</v>
      </c>
      <c r="I90" s="1543" t="n">
        <f aca="false">IF(OR($A90&lt;Startops1,$A90&gt;=Startops2),0,IF(AND($A90&gt;=DieselOps_2,$A90&lt;Startops2),VLOOKUP($A90,Diesel_Table,Tariff!$Y$41),VLOOKUP($A90,OA_Table,Tariff!$Y$26)))</f>
        <v>0</v>
      </c>
      <c r="J90" s="1544" t="str">
        <f aca="false">IF(MONTH($A90)=12,SUM(I79:I90)," ")</f>
        <v> </v>
      </c>
      <c r="K90" s="1334" t="n">
        <f aca="false">IF(OR($A90&lt;Startops2,$A90&gt;=Endyr),0,VLOOKUP($A90,Capacity_Table,Tariff!$S$18))</f>
        <v>0.91</v>
      </c>
      <c r="L90" s="306" t="n">
        <f aca="false">IF(OR($A90&lt;Startops2,$A90&gt;=Endyr),0,VLOOKUP($A90,Capacity_Table,Tariff!$T$18))</f>
        <v>0.92</v>
      </c>
      <c r="M90" s="397" t="n">
        <f aca="false">IF($A90&lt;Startops2,0,IF($A90&lt;Startops3,VLOOKUP($A90,Convert_Table,Tariff!$Y$54),C90*D90*F90*K90*L90))</f>
        <v>298980.864</v>
      </c>
      <c r="N90" s="1544" t="str">
        <f aca="false">IF(MONTH($A90)=12,SUM(M79:M90)," ")</f>
        <v> </v>
      </c>
      <c r="O90" s="397" t="n">
        <f aca="false">IF($A90&lt;Startops2,0,IF($A90&lt;Startops3,Hr_II,Hr_III))</f>
        <v>7000</v>
      </c>
      <c r="P90" s="397" t="n">
        <f aca="false">M90*O90/1000</f>
        <v>2092866.048</v>
      </c>
      <c r="Q90" s="1545" t="str">
        <f aca="false">IF(MONTH($A90)=12,SUM(P79:P90)," ")</f>
        <v> </v>
      </c>
      <c r="R90" s="397" t="n">
        <f aca="false">IF($A90&gt;Endyr,0,IF($A90&lt;Assm!$A$55,P90,Assm!$F$55*$D90))</f>
        <v>1828160.87671233</v>
      </c>
      <c r="S90" s="1544" t="str">
        <f aca="false">IF(MONTH($A90)=12,SUM(R79:R90)," ")</f>
        <v> </v>
      </c>
      <c r="T90" s="397" t="n">
        <f aca="false">MAX(P90,R90)</f>
        <v>2092866.048</v>
      </c>
      <c r="U90" s="1546" t="str">
        <f aca="false">IF(MONTH($A90)=12,SUM(T79:T90)," ")</f>
        <v> </v>
      </c>
    </row>
    <row r="91" customFormat="false" ht="12.75" hidden="false" customHeight="false" outlineLevel="0" collapsed="false">
      <c r="A91" s="1538" t="n">
        <f aca="false">EDATE(A90,1)</f>
        <v>38657</v>
      </c>
      <c r="C91" s="1539" t="n">
        <f aca="false">IF($A91&gt;Endyr,0,VLOOKUP($A91,Capacity_Table,Tariff!$R$18))</f>
        <v>480</v>
      </c>
      <c r="D91" s="1540" t="n">
        <f aca="false">A92-A91</f>
        <v>30</v>
      </c>
      <c r="E91" s="1540" t="str">
        <f aca="false">IF(MONTH($A91)=12,SUM(D80:D91)," ")</f>
        <v> </v>
      </c>
      <c r="F91" s="1545" t="n">
        <f aca="false">F90</f>
        <v>24</v>
      </c>
      <c r="G91" s="1334" t="n">
        <f aca="false">IF(I91=0,0,I91/($C91*$D91*$F91*H91))</f>
        <v>0</v>
      </c>
      <c r="H91" s="1542" t="n">
        <f aca="false">IF(Avail_LDs_Switch=1,VLOOKUP('Plant Operations'!A91,RAC_AvailFactor_Table,RAC_LDs!$G$258),IF($A91&lt;Startops2,Tariff!$T$11,0))</f>
        <v>0</v>
      </c>
      <c r="I91" s="1543" t="n">
        <f aca="false">IF(OR($A91&lt;Startops1,$A91&gt;=Startops2),0,IF(AND($A91&gt;=DieselOps_2,$A91&lt;Startops2),VLOOKUP($A91,Diesel_Table,Tariff!$Y$41),VLOOKUP($A91,OA_Table,Tariff!$Y$26)))</f>
        <v>0</v>
      </c>
      <c r="J91" s="1544" t="str">
        <f aca="false">IF(MONTH($A91)=12,SUM(I80:I91)," ")</f>
        <v> </v>
      </c>
      <c r="K91" s="1334" t="n">
        <f aca="false">IF(OR($A91&lt;Startops2,$A91&gt;=Endyr),0,VLOOKUP($A91,Capacity_Table,Tariff!$S$18))</f>
        <v>0.91</v>
      </c>
      <c r="L91" s="306" t="n">
        <f aca="false">IF(OR($A91&lt;Startops2,$A91&gt;=Endyr),0,VLOOKUP($A91,Capacity_Table,Tariff!$T$18))</f>
        <v>0.92</v>
      </c>
      <c r="M91" s="397" t="n">
        <f aca="false">IF($A91&lt;Startops2,0,IF($A91&lt;Startops3,VLOOKUP($A91,Convert_Table,Tariff!$Y$54),C91*D91*F91*K91*L91))</f>
        <v>289336.32</v>
      </c>
      <c r="N91" s="1544" t="str">
        <f aca="false">IF(MONTH($A91)=12,SUM(M80:M91)," ")</f>
        <v> </v>
      </c>
      <c r="O91" s="397" t="n">
        <f aca="false">IF($A91&lt;Startops2,0,IF($A91&lt;Startops3,Hr_II,Hr_III))</f>
        <v>7000</v>
      </c>
      <c r="P91" s="397" t="n">
        <f aca="false">M91*O91/1000</f>
        <v>2025354.24</v>
      </c>
      <c r="Q91" s="1545" t="str">
        <f aca="false">IF(MONTH($A91)=12,SUM(P80:P91)," ")</f>
        <v> </v>
      </c>
      <c r="R91" s="397" t="n">
        <f aca="false">IF($A91&gt;Endyr,0,IF($A91&lt;Assm!$A$55,P91,Assm!$F$55*$D91))</f>
        <v>1769187.94520548</v>
      </c>
      <c r="S91" s="1544" t="str">
        <f aca="false">IF(MONTH($A91)=12,SUM(R80:R91)," ")</f>
        <v> </v>
      </c>
      <c r="T91" s="397" t="n">
        <f aca="false">MAX(P91,R91)</f>
        <v>2025354.24</v>
      </c>
      <c r="U91" s="1546" t="str">
        <f aca="false">IF(MONTH($A91)=12,SUM(T80:T91)," ")</f>
        <v> </v>
      </c>
    </row>
    <row r="92" customFormat="false" ht="12.75" hidden="false" customHeight="false" outlineLevel="0" collapsed="false">
      <c r="A92" s="1538" t="n">
        <f aca="false">EDATE(A91,1)</f>
        <v>38687</v>
      </c>
      <c r="C92" s="1539" t="n">
        <f aca="false">IF($A92&gt;Endyr,0,VLOOKUP($A92,Capacity_Table,Tariff!$R$18))</f>
        <v>480</v>
      </c>
      <c r="D92" s="1540" t="n">
        <f aca="false">A93-A92</f>
        <v>31</v>
      </c>
      <c r="E92" s="1540" t="n">
        <f aca="false">IF(MONTH($A92)=12,SUM(D81:D92)," ")</f>
        <v>365</v>
      </c>
      <c r="F92" s="1545" t="n">
        <f aca="false">F91</f>
        <v>24</v>
      </c>
      <c r="G92" s="1334" t="n">
        <f aca="false">IF(I92=0,0,I92/($C92*$D92*$F92*H92))</f>
        <v>0</v>
      </c>
      <c r="H92" s="1542" t="n">
        <f aca="false">IF(Avail_LDs_Switch=1,VLOOKUP('Plant Operations'!A92,RAC_AvailFactor_Table,RAC_LDs!$G$258),IF($A92&lt;Startops2,Tariff!$T$11,0))</f>
        <v>0</v>
      </c>
      <c r="I92" s="1543" t="n">
        <f aca="false">IF(OR($A92&lt;Startops1,$A92&gt;=Startops2),0,IF(AND($A92&gt;=DieselOps_2,$A92&lt;Startops2),VLOOKUP($A92,Diesel_Table,Tariff!$Y$41),VLOOKUP($A92,OA_Table,Tariff!$Y$26)))</f>
        <v>0</v>
      </c>
      <c r="J92" s="1544" t="n">
        <f aca="false">IF(MONTH($A92)=12,SUM(I81:I92)," ")</f>
        <v>0</v>
      </c>
      <c r="K92" s="1334" t="n">
        <f aca="false">IF(OR($A92&lt;Startops2,$A92&gt;=Endyr),0,VLOOKUP($A92,Capacity_Table,Tariff!$S$18))</f>
        <v>0.91</v>
      </c>
      <c r="L92" s="306" t="n">
        <f aca="false">IF(OR($A92&lt;Startops2,$A92&gt;=Endyr),0,VLOOKUP($A92,Capacity_Table,Tariff!$T$18))</f>
        <v>0.92</v>
      </c>
      <c r="M92" s="397" t="n">
        <f aca="false">IF($A92&lt;Startops2,0,IF($A92&lt;Startops3,VLOOKUP($A92,Convert_Table,Tariff!$Y$54),C92*D92*F92*K92*L92))</f>
        <v>298980.864</v>
      </c>
      <c r="N92" s="1544" t="n">
        <f aca="false">IF(MONTH($A92)=12,SUM(M81:M92)," ")</f>
        <v>3520258.56</v>
      </c>
      <c r="O92" s="397" t="n">
        <f aca="false">IF($A92&lt;Startops2,0,IF($A92&lt;Startops3,Hr_II,Hr_III))</f>
        <v>7000</v>
      </c>
      <c r="P92" s="397" t="n">
        <f aca="false">M92*O92/1000</f>
        <v>2092866.048</v>
      </c>
      <c r="Q92" s="1545" t="n">
        <f aca="false">IF(MONTH($A92)=12,SUM(P81:P92)," ")</f>
        <v>24641809.92</v>
      </c>
      <c r="R92" s="397" t="n">
        <f aca="false">IF($A92&gt;Endyr,0,IF($A92&lt;Assm!$A$55,P92,Assm!$F$55*$D92))</f>
        <v>1828160.87671233</v>
      </c>
      <c r="S92" s="1544" t="n">
        <f aca="false">IF(MONTH($A92)=12,SUM(R81:R92)," ")</f>
        <v>21525120</v>
      </c>
      <c r="T92" s="397" t="n">
        <f aca="false">MAX(P92,R92)</f>
        <v>2092866.048</v>
      </c>
      <c r="U92" s="1546" t="n">
        <f aca="false">IF(MONTH($A92)=12,SUM(T81:T92)," ")</f>
        <v>24641809.92</v>
      </c>
    </row>
    <row r="93" customFormat="false" ht="12.75" hidden="false" customHeight="false" outlineLevel="0" collapsed="false">
      <c r="A93" s="1538" t="n">
        <f aca="false">EDATE(A92,1)</f>
        <v>38718</v>
      </c>
      <c r="C93" s="1539" t="n">
        <f aca="false">IF($A93&gt;Endyr,0,VLOOKUP($A93,Capacity_Table,Tariff!$R$18))</f>
        <v>480</v>
      </c>
      <c r="D93" s="1540" t="n">
        <f aca="false">A94-A93</f>
        <v>31</v>
      </c>
      <c r="E93" s="1540" t="str">
        <f aca="false">IF(MONTH($A93)=12,SUM(D82:D93)," ")</f>
        <v> </v>
      </c>
      <c r="F93" s="1545" t="n">
        <f aca="false">F92</f>
        <v>24</v>
      </c>
      <c r="G93" s="1334" t="n">
        <f aca="false">IF(I93=0,0,I93/($C93*$D93*$F93*H93))</f>
        <v>0</v>
      </c>
      <c r="H93" s="1542" t="n">
        <f aca="false">IF(Avail_LDs_Switch=1,VLOOKUP('Plant Operations'!A93,RAC_AvailFactor_Table,RAC_LDs!$G$258),IF($A93&lt;Startops2,Tariff!$T$11,0))</f>
        <v>0</v>
      </c>
      <c r="I93" s="1543" t="n">
        <f aca="false">IF(OR($A93&lt;Startops1,$A93&gt;=Startops2),0,IF(AND($A93&gt;=DieselOps_2,$A93&lt;Startops2),VLOOKUP($A93,Diesel_Table,Tariff!$Y$41),VLOOKUP($A93,OA_Table,Tariff!$Y$26)))</f>
        <v>0</v>
      </c>
      <c r="J93" s="1544" t="str">
        <f aca="false">IF(MONTH($A93)=12,SUM(I82:I93)," ")</f>
        <v> </v>
      </c>
      <c r="K93" s="1334" t="n">
        <f aca="false">IF(OR($A93&lt;Startops2,$A93&gt;=Endyr),0,VLOOKUP($A93,Capacity_Table,Tariff!$S$18))</f>
        <v>0.91</v>
      </c>
      <c r="L93" s="306" t="n">
        <f aca="false">IF(OR($A93&lt;Startops2,$A93&gt;=Endyr),0,VLOOKUP($A93,Capacity_Table,Tariff!$T$18))</f>
        <v>0.92</v>
      </c>
      <c r="M93" s="397" t="n">
        <f aca="false">IF($A93&lt;Startops2,0,IF($A93&lt;Startops3,VLOOKUP($A93,Convert_Table,Tariff!$Y$54),C93*D93*F93*K93*L93))</f>
        <v>298980.864</v>
      </c>
      <c r="N93" s="1544" t="str">
        <f aca="false">IF(MONTH($A93)=12,SUM(M82:M93)," ")</f>
        <v> </v>
      </c>
      <c r="O93" s="397" t="n">
        <f aca="false">IF($A93&lt;Startops2,0,IF($A93&lt;Startops3,Hr_II,Hr_III))</f>
        <v>7000</v>
      </c>
      <c r="P93" s="397" t="n">
        <f aca="false">M93*O93/1000</f>
        <v>2092866.048</v>
      </c>
      <c r="Q93" s="1545" t="str">
        <f aca="false">IF(MONTH($A93)=12,SUM(P82:P93)," ")</f>
        <v> </v>
      </c>
      <c r="R93" s="397" t="n">
        <f aca="false">IF($A93&gt;Endyr,0,IF($A93&lt;Assm!$A$55,P93,Assm!$F$55*$D93))</f>
        <v>1828160.87671233</v>
      </c>
      <c r="S93" s="1544" t="str">
        <f aca="false">IF(MONTH($A93)=12,SUM(R82:R93)," ")</f>
        <v> </v>
      </c>
      <c r="T93" s="397" t="n">
        <f aca="false">MAX(P93,R93)</f>
        <v>2092866.048</v>
      </c>
      <c r="U93" s="1546" t="str">
        <f aca="false">IF(MONTH($A93)=12,SUM(T82:T93)," ")</f>
        <v> </v>
      </c>
    </row>
    <row r="94" customFormat="false" ht="12.75" hidden="false" customHeight="false" outlineLevel="0" collapsed="false">
      <c r="A94" s="1538" t="n">
        <f aca="false">EDATE(A93,1)</f>
        <v>38749</v>
      </c>
      <c r="C94" s="1539" t="n">
        <f aca="false">IF($A94&gt;Endyr,0,VLOOKUP($A94,Capacity_Table,Tariff!$R$18))</f>
        <v>480</v>
      </c>
      <c r="D94" s="1540" t="n">
        <f aca="false">A95-A94</f>
        <v>28</v>
      </c>
      <c r="E94" s="1540" t="str">
        <f aca="false">IF(MONTH($A94)=12,SUM(D83:D94)," ")</f>
        <v> </v>
      </c>
      <c r="F94" s="1545" t="n">
        <f aca="false">F93</f>
        <v>24</v>
      </c>
      <c r="G94" s="1334" t="n">
        <f aca="false">IF(I94=0,0,I94/($C94*$D94*$F94*H94))</f>
        <v>0</v>
      </c>
      <c r="H94" s="1542" t="n">
        <f aca="false">IF(Avail_LDs_Switch=1,VLOOKUP('Plant Operations'!A94,RAC_AvailFactor_Table,RAC_LDs!$G$258),IF($A94&lt;Startops2,Tariff!$T$11,0))</f>
        <v>0</v>
      </c>
      <c r="I94" s="1543" t="n">
        <f aca="false">IF(OR($A94&lt;Startops1,$A94&gt;=Startops2),0,IF(AND($A94&gt;=DieselOps_2,$A94&lt;Startops2),VLOOKUP($A94,Diesel_Table,Tariff!$Y$41),VLOOKUP($A94,OA_Table,Tariff!$Y$26)))</f>
        <v>0</v>
      </c>
      <c r="J94" s="1544" t="str">
        <f aca="false">IF(MONTH($A94)=12,SUM(I83:I94)," ")</f>
        <v> </v>
      </c>
      <c r="K94" s="1334" t="n">
        <f aca="false">IF(OR($A94&lt;Startops2,$A94&gt;=Endyr),0,VLOOKUP($A94,Capacity_Table,Tariff!$S$18))</f>
        <v>0.91</v>
      </c>
      <c r="L94" s="306" t="n">
        <f aca="false">IF(OR($A94&lt;Startops2,$A94&gt;=Endyr),0,VLOOKUP($A94,Capacity_Table,Tariff!$T$18))</f>
        <v>0.92</v>
      </c>
      <c r="M94" s="397" t="n">
        <f aca="false">IF($A94&lt;Startops2,0,IF($A94&lt;Startops3,VLOOKUP($A94,Convert_Table,Tariff!$Y$54),C94*D94*F94*K94*L94))</f>
        <v>270047.232</v>
      </c>
      <c r="N94" s="1544" t="str">
        <f aca="false">IF(MONTH($A94)=12,SUM(M83:M94)," ")</f>
        <v> </v>
      </c>
      <c r="O94" s="397" t="n">
        <f aca="false">IF($A94&lt;Startops2,0,IF($A94&lt;Startops3,Hr_II,Hr_III))</f>
        <v>7000</v>
      </c>
      <c r="P94" s="397" t="n">
        <f aca="false">M94*O94/1000</f>
        <v>1890330.624</v>
      </c>
      <c r="Q94" s="1545" t="str">
        <f aca="false">IF(MONTH($A94)=12,SUM(P83:P94)," ")</f>
        <v> </v>
      </c>
      <c r="R94" s="397" t="n">
        <f aca="false">IF($A94&gt;Endyr,0,IF($A94&lt;Assm!$A$55,P94,Assm!$F$55*$D94))</f>
        <v>1651242.08219178</v>
      </c>
      <c r="S94" s="1544" t="str">
        <f aca="false">IF(MONTH($A94)=12,SUM(R83:R94)," ")</f>
        <v> </v>
      </c>
      <c r="T94" s="397" t="n">
        <f aca="false">MAX(P94,R94)</f>
        <v>1890330.624</v>
      </c>
      <c r="U94" s="1546" t="str">
        <f aca="false">IF(MONTH($A94)=12,SUM(T83:T94)," ")</f>
        <v> </v>
      </c>
    </row>
    <row r="95" customFormat="false" ht="12.75" hidden="false" customHeight="false" outlineLevel="0" collapsed="false">
      <c r="A95" s="1538" t="n">
        <f aca="false">EDATE(A94,1)</f>
        <v>38777</v>
      </c>
      <c r="C95" s="1539" t="n">
        <f aca="false">IF($A95&gt;Endyr,0,VLOOKUP($A95,Capacity_Table,Tariff!$R$18))</f>
        <v>480</v>
      </c>
      <c r="D95" s="1540" t="n">
        <f aca="false">A96-A95</f>
        <v>31</v>
      </c>
      <c r="E95" s="1540" t="str">
        <f aca="false">IF(MONTH($A95)=12,SUM(D84:D95)," ")</f>
        <v> </v>
      </c>
      <c r="F95" s="1545" t="n">
        <f aca="false">F94</f>
        <v>24</v>
      </c>
      <c r="G95" s="1334" t="n">
        <f aca="false">IF(I95=0,0,I95/($C95*$D95*$F95*H95))</f>
        <v>0</v>
      </c>
      <c r="H95" s="1542" t="n">
        <f aca="false">IF(Avail_LDs_Switch=1,VLOOKUP('Plant Operations'!A95,RAC_AvailFactor_Table,RAC_LDs!$G$258),IF($A95&lt;Startops2,Tariff!$T$11,0))</f>
        <v>0</v>
      </c>
      <c r="I95" s="1543" t="n">
        <f aca="false">IF(OR($A95&lt;Startops1,$A95&gt;=Startops2),0,IF(AND($A95&gt;=DieselOps_2,$A95&lt;Startops2),VLOOKUP($A95,Diesel_Table,Tariff!$Y$41),VLOOKUP($A95,OA_Table,Tariff!$Y$26)))</f>
        <v>0</v>
      </c>
      <c r="J95" s="1544" t="str">
        <f aca="false">IF(MONTH($A95)=12,SUM(I84:I95)," ")</f>
        <v> </v>
      </c>
      <c r="K95" s="1334" t="n">
        <f aca="false">IF(OR($A95&lt;Startops2,$A95&gt;=Endyr),0,VLOOKUP($A95,Capacity_Table,Tariff!$S$18))</f>
        <v>0.91</v>
      </c>
      <c r="L95" s="306" t="n">
        <f aca="false">IF(OR($A95&lt;Startops2,$A95&gt;=Endyr),0,VLOOKUP($A95,Capacity_Table,Tariff!$T$18))</f>
        <v>0.92</v>
      </c>
      <c r="M95" s="397" t="n">
        <f aca="false">IF($A95&lt;Startops2,0,IF($A95&lt;Startops3,VLOOKUP($A95,Convert_Table,Tariff!$Y$54),C95*D95*F95*K95*L95))</f>
        <v>298980.864</v>
      </c>
      <c r="N95" s="1544" t="str">
        <f aca="false">IF(MONTH($A95)=12,SUM(M84:M95)," ")</f>
        <v> </v>
      </c>
      <c r="O95" s="397" t="n">
        <f aca="false">IF($A95&lt;Startops2,0,IF($A95&lt;Startops3,Hr_II,Hr_III))</f>
        <v>7000</v>
      </c>
      <c r="P95" s="397" t="n">
        <f aca="false">M95*O95/1000</f>
        <v>2092866.048</v>
      </c>
      <c r="Q95" s="1545" t="str">
        <f aca="false">IF(MONTH($A95)=12,SUM(P84:P95)," ")</f>
        <v> </v>
      </c>
      <c r="R95" s="397" t="n">
        <f aca="false">IF($A95&gt;Endyr,0,IF($A95&lt;Assm!$A$55,P95,Assm!$F$55*$D95))</f>
        <v>1828160.87671233</v>
      </c>
      <c r="S95" s="1544" t="str">
        <f aca="false">IF(MONTH($A95)=12,SUM(R84:R95)," ")</f>
        <v> </v>
      </c>
      <c r="T95" s="397" t="n">
        <f aca="false">MAX(P95,R95)</f>
        <v>2092866.048</v>
      </c>
      <c r="U95" s="1546" t="str">
        <f aca="false">IF(MONTH($A95)=12,SUM(T84:T95)," ")</f>
        <v> </v>
      </c>
    </row>
    <row r="96" customFormat="false" ht="12.75" hidden="false" customHeight="false" outlineLevel="0" collapsed="false">
      <c r="A96" s="1538" t="n">
        <f aca="false">EDATE(A95,1)</f>
        <v>38808</v>
      </c>
      <c r="C96" s="1539" t="n">
        <f aca="false">IF($A96&gt;Endyr,0,VLOOKUP($A96,Capacity_Table,Tariff!$R$18))</f>
        <v>480</v>
      </c>
      <c r="D96" s="1540" t="n">
        <f aca="false">A97-A96</f>
        <v>30</v>
      </c>
      <c r="E96" s="1540" t="str">
        <f aca="false">IF(MONTH($A96)=12,SUM(D85:D96)," ")</f>
        <v> </v>
      </c>
      <c r="F96" s="1545" t="n">
        <f aca="false">F95</f>
        <v>24</v>
      </c>
      <c r="G96" s="1334" t="n">
        <f aca="false">IF(I96=0,0,I96/($C96*$D96*$F96*H96))</f>
        <v>0</v>
      </c>
      <c r="H96" s="1542" t="n">
        <f aca="false">IF(Avail_LDs_Switch=1,VLOOKUP('Plant Operations'!A96,RAC_AvailFactor_Table,RAC_LDs!$G$258),IF($A96&lt;Startops2,Tariff!$T$11,0))</f>
        <v>0</v>
      </c>
      <c r="I96" s="1543" t="n">
        <f aca="false">IF(OR($A96&lt;Startops1,$A96&gt;=Startops2),0,IF(AND($A96&gt;=DieselOps_2,$A96&lt;Startops2),VLOOKUP($A96,Diesel_Table,Tariff!$Y$41),VLOOKUP($A96,OA_Table,Tariff!$Y$26)))</f>
        <v>0</v>
      </c>
      <c r="J96" s="1544" t="str">
        <f aca="false">IF(MONTH($A96)=12,SUM(I85:I96)," ")</f>
        <v> </v>
      </c>
      <c r="K96" s="1334" t="n">
        <f aca="false">IF(OR($A96&lt;Startops2,$A96&gt;=Endyr),0,VLOOKUP($A96,Capacity_Table,Tariff!$S$18))</f>
        <v>0.91</v>
      </c>
      <c r="L96" s="306" t="n">
        <f aca="false">IF(OR($A96&lt;Startops2,$A96&gt;=Endyr),0,VLOOKUP($A96,Capacity_Table,Tariff!$T$18))</f>
        <v>0.92</v>
      </c>
      <c r="M96" s="397" t="n">
        <f aca="false">IF($A96&lt;Startops2,0,IF($A96&lt;Startops3,VLOOKUP($A96,Convert_Table,Tariff!$Y$54),C96*D96*F96*K96*L96))</f>
        <v>289336.32</v>
      </c>
      <c r="N96" s="1544" t="str">
        <f aca="false">IF(MONTH($A96)=12,SUM(M85:M96)," ")</f>
        <v> </v>
      </c>
      <c r="O96" s="397" t="n">
        <f aca="false">IF($A96&lt;Startops2,0,IF($A96&lt;Startops3,Hr_II,Hr_III))</f>
        <v>7000</v>
      </c>
      <c r="P96" s="397" t="n">
        <f aca="false">M96*O96/1000</f>
        <v>2025354.24</v>
      </c>
      <c r="Q96" s="1545" t="str">
        <f aca="false">IF(MONTH($A96)=12,SUM(P85:P96)," ")</f>
        <v> </v>
      </c>
      <c r="R96" s="397" t="n">
        <f aca="false">IF($A96&gt;Endyr,0,IF($A96&lt;Assm!$A$55,P96,Assm!$F$55*$D96))</f>
        <v>1769187.94520548</v>
      </c>
      <c r="S96" s="1544" t="str">
        <f aca="false">IF(MONTH($A96)=12,SUM(R85:R96)," ")</f>
        <v> </v>
      </c>
      <c r="T96" s="397" t="n">
        <f aca="false">MAX(P96,R96)</f>
        <v>2025354.24</v>
      </c>
      <c r="U96" s="1546" t="str">
        <f aca="false">IF(MONTH($A96)=12,SUM(T85:T96)," ")</f>
        <v> </v>
      </c>
    </row>
    <row r="97" customFormat="false" ht="12.75" hidden="false" customHeight="false" outlineLevel="0" collapsed="false">
      <c r="A97" s="1538" t="n">
        <f aca="false">EDATE(A96,1)</f>
        <v>38838</v>
      </c>
      <c r="C97" s="1539" t="n">
        <f aca="false">IF($A97&gt;Endyr,0,VLOOKUP($A97,Capacity_Table,Tariff!$R$18))</f>
        <v>480</v>
      </c>
      <c r="D97" s="1540" t="n">
        <f aca="false">A98-A97</f>
        <v>31</v>
      </c>
      <c r="E97" s="1540" t="str">
        <f aca="false">IF(MONTH($A97)=12,SUM(D86:D97)," ")</f>
        <v> </v>
      </c>
      <c r="F97" s="1545" t="n">
        <f aca="false">F96</f>
        <v>24</v>
      </c>
      <c r="G97" s="1334" t="n">
        <f aca="false">IF(I97=0,0,I97/($C97*$D97*$F97*H97))</f>
        <v>0</v>
      </c>
      <c r="H97" s="1542" t="n">
        <f aca="false">IF(Avail_LDs_Switch=1,VLOOKUP('Plant Operations'!A97,RAC_AvailFactor_Table,RAC_LDs!$G$258),IF($A97&lt;Startops2,Tariff!$T$11,0))</f>
        <v>0</v>
      </c>
      <c r="I97" s="1543" t="n">
        <f aca="false">IF(OR($A97&lt;Startops1,$A97&gt;=Startops2),0,IF(AND($A97&gt;=DieselOps_2,$A97&lt;Startops2),VLOOKUP($A97,Diesel_Table,Tariff!$Y$41),VLOOKUP($A97,OA_Table,Tariff!$Y$26)))</f>
        <v>0</v>
      </c>
      <c r="J97" s="1544" t="str">
        <f aca="false">IF(MONTH($A97)=12,SUM(I86:I97)," ")</f>
        <v> </v>
      </c>
      <c r="K97" s="1334" t="n">
        <f aca="false">IF(OR($A97&lt;Startops2,$A97&gt;=Endyr),0,VLOOKUP($A97,Capacity_Table,Tariff!$S$18))</f>
        <v>0.91</v>
      </c>
      <c r="L97" s="306" t="n">
        <f aca="false">IF(OR($A97&lt;Startops2,$A97&gt;=Endyr),0,VLOOKUP($A97,Capacity_Table,Tariff!$T$18))</f>
        <v>0.92</v>
      </c>
      <c r="M97" s="397" t="n">
        <f aca="false">IF($A97&lt;Startops2,0,IF($A97&lt;Startops3,VLOOKUP($A97,Convert_Table,Tariff!$Y$54),C97*D97*F97*K97*L97))</f>
        <v>298980.864</v>
      </c>
      <c r="N97" s="1544" t="str">
        <f aca="false">IF(MONTH($A97)=12,SUM(M86:M97)," ")</f>
        <v> </v>
      </c>
      <c r="O97" s="397" t="n">
        <f aca="false">IF($A97&lt;Startops2,0,IF($A97&lt;Startops3,Hr_II,Hr_III))</f>
        <v>7000</v>
      </c>
      <c r="P97" s="397" t="n">
        <f aca="false">M97*O97/1000</f>
        <v>2092866.048</v>
      </c>
      <c r="Q97" s="1545" t="str">
        <f aca="false">IF(MONTH($A97)=12,SUM(P86:P97)," ")</f>
        <v> </v>
      </c>
      <c r="R97" s="397" t="n">
        <f aca="false">IF($A97&gt;Endyr,0,IF($A97&lt;Assm!$A$55,P97,Assm!$F$55*$D97))</f>
        <v>1828160.87671233</v>
      </c>
      <c r="S97" s="1544" t="str">
        <f aca="false">IF(MONTH($A97)=12,SUM(R86:R97)," ")</f>
        <v> </v>
      </c>
      <c r="T97" s="397" t="n">
        <f aca="false">MAX(P97,R97)</f>
        <v>2092866.048</v>
      </c>
      <c r="U97" s="1546" t="str">
        <f aca="false">IF(MONTH($A97)=12,SUM(T86:T97)," ")</f>
        <v> </v>
      </c>
    </row>
    <row r="98" customFormat="false" ht="12.75" hidden="false" customHeight="false" outlineLevel="0" collapsed="false">
      <c r="A98" s="1538" t="n">
        <f aca="false">EDATE(A97,1)</f>
        <v>38869</v>
      </c>
      <c r="C98" s="1539" t="n">
        <f aca="false">IF($A98&gt;Endyr,0,VLOOKUP($A98,Capacity_Table,Tariff!$R$18))</f>
        <v>480</v>
      </c>
      <c r="D98" s="1540" t="n">
        <f aca="false">A99-A98</f>
        <v>30</v>
      </c>
      <c r="E98" s="1540" t="str">
        <f aca="false">IF(MONTH($A98)=12,SUM(D87:D98)," ")</f>
        <v> </v>
      </c>
      <c r="F98" s="1545" t="n">
        <f aca="false">F97</f>
        <v>24</v>
      </c>
      <c r="G98" s="1334" t="n">
        <f aca="false">IF(I98=0,0,I98/($C98*$D98*$F98*H98))</f>
        <v>0</v>
      </c>
      <c r="H98" s="1542" t="n">
        <f aca="false">IF(Avail_LDs_Switch=1,VLOOKUP('Plant Operations'!A98,RAC_AvailFactor_Table,RAC_LDs!$G$258),IF($A98&lt;Startops2,Tariff!$T$11,0))</f>
        <v>0</v>
      </c>
      <c r="I98" s="1543" t="n">
        <f aca="false">IF(OR($A98&lt;Startops1,$A98&gt;=Startops2),0,IF(AND($A98&gt;=DieselOps_2,$A98&lt;Startops2),VLOOKUP($A98,Diesel_Table,Tariff!$Y$41),VLOOKUP($A98,OA_Table,Tariff!$Y$26)))</f>
        <v>0</v>
      </c>
      <c r="J98" s="1544" t="str">
        <f aca="false">IF(MONTH($A98)=12,SUM(I87:I98)," ")</f>
        <v> </v>
      </c>
      <c r="K98" s="1334" t="n">
        <f aca="false">IF(OR($A98&lt;Startops2,$A98&gt;=Endyr),0,VLOOKUP($A98,Capacity_Table,Tariff!$S$18))</f>
        <v>0.91</v>
      </c>
      <c r="L98" s="306" t="n">
        <f aca="false">IF(OR($A98&lt;Startops2,$A98&gt;=Endyr),0,VLOOKUP($A98,Capacity_Table,Tariff!$T$18))</f>
        <v>0.92</v>
      </c>
      <c r="M98" s="397" t="n">
        <f aca="false">IF($A98&lt;Startops2,0,IF($A98&lt;Startops3,VLOOKUP($A98,Convert_Table,Tariff!$Y$54),C98*D98*F98*K98*L98))</f>
        <v>289336.32</v>
      </c>
      <c r="N98" s="1544" t="str">
        <f aca="false">IF(MONTH($A98)=12,SUM(M87:M98)," ")</f>
        <v> </v>
      </c>
      <c r="O98" s="397" t="n">
        <f aca="false">IF($A98&lt;Startops2,0,IF($A98&lt;Startops3,Hr_II,Hr_III))</f>
        <v>7000</v>
      </c>
      <c r="P98" s="397" t="n">
        <f aca="false">M98*O98/1000</f>
        <v>2025354.24</v>
      </c>
      <c r="Q98" s="1545" t="str">
        <f aca="false">IF(MONTH($A98)=12,SUM(P87:P98)," ")</f>
        <v> </v>
      </c>
      <c r="R98" s="397" t="n">
        <f aca="false">IF($A98&gt;Endyr,0,IF($A98&lt;Assm!$A$55,P98,Assm!$F$55*$D98))</f>
        <v>1769187.94520548</v>
      </c>
      <c r="S98" s="1544" t="str">
        <f aca="false">IF(MONTH($A98)=12,SUM(R87:R98)," ")</f>
        <v> </v>
      </c>
      <c r="T98" s="397" t="n">
        <f aca="false">MAX(P98,R98)</f>
        <v>2025354.24</v>
      </c>
      <c r="U98" s="1546" t="str">
        <f aca="false">IF(MONTH($A98)=12,SUM(T87:T98)," ")</f>
        <v> </v>
      </c>
    </row>
    <row r="99" customFormat="false" ht="12.75" hidden="false" customHeight="false" outlineLevel="0" collapsed="false">
      <c r="A99" s="1538" t="n">
        <f aca="false">EDATE(A98,1)</f>
        <v>38899</v>
      </c>
      <c r="C99" s="1539" t="n">
        <f aca="false">IF($A99&gt;Endyr,0,VLOOKUP($A99,Capacity_Table,Tariff!$R$18))</f>
        <v>480</v>
      </c>
      <c r="D99" s="1540" t="n">
        <f aca="false">A100-A99</f>
        <v>31</v>
      </c>
      <c r="E99" s="1540" t="str">
        <f aca="false">IF(MONTH($A99)=12,SUM(D88:D99)," ")</f>
        <v> </v>
      </c>
      <c r="F99" s="1545" t="n">
        <f aca="false">F98</f>
        <v>24</v>
      </c>
      <c r="G99" s="1334" t="n">
        <f aca="false">IF(I99=0,0,I99/($C99*$D99*$F99*H99))</f>
        <v>0</v>
      </c>
      <c r="H99" s="1542" t="n">
        <f aca="false">IF(Avail_LDs_Switch=1,VLOOKUP('Plant Operations'!A99,RAC_AvailFactor_Table,RAC_LDs!$G$258),IF($A99&lt;Startops2,Tariff!$T$11,0))</f>
        <v>0</v>
      </c>
      <c r="I99" s="1543" t="n">
        <f aca="false">IF(OR($A99&lt;Startops1,$A99&gt;=Startops2),0,IF(AND($A99&gt;=DieselOps_2,$A99&lt;Startops2),VLOOKUP($A99,Diesel_Table,Tariff!$Y$41),VLOOKUP($A99,OA_Table,Tariff!$Y$26)))</f>
        <v>0</v>
      </c>
      <c r="J99" s="1544" t="str">
        <f aca="false">IF(MONTH($A99)=12,SUM(I88:I99)," ")</f>
        <v> </v>
      </c>
      <c r="K99" s="1334" t="n">
        <f aca="false">IF(OR($A99&lt;Startops2,$A99&gt;=Endyr),0,VLOOKUP($A99,Capacity_Table,Tariff!$S$18))</f>
        <v>0.91</v>
      </c>
      <c r="L99" s="306" t="n">
        <f aca="false">IF(OR($A99&lt;Startops2,$A99&gt;=Endyr),0,VLOOKUP($A99,Capacity_Table,Tariff!$T$18))</f>
        <v>0.92</v>
      </c>
      <c r="M99" s="397" t="n">
        <f aca="false">IF($A99&lt;Startops2,0,IF($A99&lt;Startops3,VLOOKUP($A99,Convert_Table,Tariff!$Y$54),C99*D99*F99*K99*L99))</f>
        <v>298980.864</v>
      </c>
      <c r="N99" s="1544" t="str">
        <f aca="false">IF(MONTH($A99)=12,SUM(M88:M99)," ")</f>
        <v> </v>
      </c>
      <c r="O99" s="397" t="n">
        <f aca="false">IF($A99&lt;Startops2,0,IF($A99&lt;Startops3,Hr_II,Hr_III))</f>
        <v>7000</v>
      </c>
      <c r="P99" s="397" t="n">
        <f aca="false">M99*O99/1000</f>
        <v>2092866.048</v>
      </c>
      <c r="Q99" s="1545" t="str">
        <f aca="false">IF(MONTH($A99)=12,SUM(P88:P99)," ")</f>
        <v> </v>
      </c>
      <c r="R99" s="397" t="n">
        <f aca="false">IF($A99&gt;Endyr,0,IF($A99&lt;Assm!$A$55,P99,Assm!$F$55*$D99))</f>
        <v>1828160.87671233</v>
      </c>
      <c r="S99" s="1544" t="str">
        <f aca="false">IF(MONTH($A99)=12,SUM(R88:R99)," ")</f>
        <v> </v>
      </c>
      <c r="T99" s="397" t="n">
        <f aca="false">MAX(P99,R99)</f>
        <v>2092866.048</v>
      </c>
      <c r="U99" s="1546" t="str">
        <f aca="false">IF(MONTH($A99)=12,SUM(T88:T99)," ")</f>
        <v> </v>
      </c>
    </row>
    <row r="100" customFormat="false" ht="12.75" hidden="false" customHeight="false" outlineLevel="0" collapsed="false">
      <c r="A100" s="1538" t="n">
        <f aca="false">EDATE(A99,1)</f>
        <v>38930</v>
      </c>
      <c r="C100" s="1539" t="n">
        <f aca="false">IF($A100&gt;Endyr,0,VLOOKUP($A100,Capacity_Table,Tariff!$R$18))</f>
        <v>480</v>
      </c>
      <c r="D100" s="1540" t="n">
        <f aca="false">A101-A100</f>
        <v>31</v>
      </c>
      <c r="E100" s="1540" t="str">
        <f aca="false">IF(MONTH($A100)=12,SUM(D89:D100)," ")</f>
        <v> </v>
      </c>
      <c r="F100" s="1545" t="n">
        <f aca="false">F99</f>
        <v>24</v>
      </c>
      <c r="G100" s="1334" t="n">
        <f aca="false">IF(I100=0,0,I100/($C100*$D100*$F100*H100))</f>
        <v>0</v>
      </c>
      <c r="H100" s="1542" t="n">
        <f aca="false">IF(Avail_LDs_Switch=1,VLOOKUP('Plant Operations'!A100,RAC_AvailFactor_Table,RAC_LDs!$G$258),IF($A100&lt;Startops2,Tariff!$T$11,0))</f>
        <v>0</v>
      </c>
      <c r="I100" s="1543" t="n">
        <f aca="false">IF(OR($A100&lt;Startops1,$A100&gt;=Startops2),0,IF(AND($A100&gt;=DieselOps_2,$A100&lt;Startops2),VLOOKUP($A100,Diesel_Table,Tariff!$Y$41),VLOOKUP($A100,OA_Table,Tariff!$Y$26)))</f>
        <v>0</v>
      </c>
      <c r="J100" s="1544" t="str">
        <f aca="false">IF(MONTH($A100)=12,SUM(I89:I100)," ")</f>
        <v> </v>
      </c>
      <c r="K100" s="1334" t="n">
        <f aca="false">IF(OR($A100&lt;Startops2,$A100&gt;=Endyr),0,VLOOKUP($A100,Capacity_Table,Tariff!$S$18))</f>
        <v>0.91</v>
      </c>
      <c r="L100" s="306" t="n">
        <f aca="false">IF(OR($A100&lt;Startops2,$A100&gt;=Endyr),0,VLOOKUP($A100,Capacity_Table,Tariff!$T$18))</f>
        <v>0.92</v>
      </c>
      <c r="M100" s="397" t="n">
        <f aca="false">IF($A100&lt;Startops2,0,IF($A100&lt;Startops3,VLOOKUP($A100,Convert_Table,Tariff!$Y$54),C100*D100*F100*K100*L100))</f>
        <v>298980.864</v>
      </c>
      <c r="N100" s="1544" t="str">
        <f aca="false">IF(MONTH($A100)=12,SUM(M89:M100)," ")</f>
        <v> </v>
      </c>
      <c r="O100" s="397" t="n">
        <f aca="false">IF($A100&lt;Startops2,0,IF($A100&lt;Startops3,Hr_II,Hr_III))</f>
        <v>7000</v>
      </c>
      <c r="P100" s="397" t="n">
        <f aca="false">M100*O100/1000</f>
        <v>2092866.048</v>
      </c>
      <c r="Q100" s="1545" t="str">
        <f aca="false">IF(MONTH($A100)=12,SUM(P89:P100)," ")</f>
        <v> </v>
      </c>
      <c r="R100" s="397" t="n">
        <f aca="false">IF($A100&gt;Endyr,0,IF($A100&lt;Assm!$A$55,P100,Assm!$F$55*$D100))</f>
        <v>1828160.87671233</v>
      </c>
      <c r="S100" s="1544" t="str">
        <f aca="false">IF(MONTH($A100)=12,SUM(R89:R100)," ")</f>
        <v> </v>
      </c>
      <c r="T100" s="397" t="n">
        <f aca="false">MAX(P100,R100)</f>
        <v>2092866.048</v>
      </c>
      <c r="U100" s="1546" t="str">
        <f aca="false">IF(MONTH($A100)=12,SUM(T89:T100)," ")</f>
        <v> </v>
      </c>
    </row>
    <row r="101" customFormat="false" ht="12.75" hidden="false" customHeight="false" outlineLevel="0" collapsed="false">
      <c r="A101" s="1538" t="n">
        <f aca="false">EDATE(A100,1)</f>
        <v>38961</v>
      </c>
      <c r="C101" s="1539" t="n">
        <f aca="false">IF($A101&gt;Endyr,0,VLOOKUP($A101,Capacity_Table,Tariff!$R$18))</f>
        <v>480</v>
      </c>
      <c r="D101" s="1540" t="n">
        <f aca="false">A102-A101</f>
        <v>30</v>
      </c>
      <c r="E101" s="1540" t="str">
        <f aca="false">IF(MONTH($A101)=12,SUM(D90:D101)," ")</f>
        <v> </v>
      </c>
      <c r="F101" s="1545" t="n">
        <f aca="false">F100</f>
        <v>24</v>
      </c>
      <c r="G101" s="1334" t="n">
        <f aca="false">IF(I101=0,0,I101/($C101*$D101*$F101*H101))</f>
        <v>0</v>
      </c>
      <c r="H101" s="1542" t="n">
        <f aca="false">IF(Avail_LDs_Switch=1,VLOOKUP('Plant Operations'!A101,RAC_AvailFactor_Table,RAC_LDs!$G$258),IF($A101&lt;Startops2,Tariff!$T$11,0))</f>
        <v>0</v>
      </c>
      <c r="I101" s="1543" t="n">
        <f aca="false">IF(OR($A101&lt;Startops1,$A101&gt;=Startops2),0,IF(AND($A101&gt;=DieselOps_2,$A101&lt;Startops2),VLOOKUP($A101,Diesel_Table,Tariff!$Y$41),VLOOKUP($A101,OA_Table,Tariff!$Y$26)))</f>
        <v>0</v>
      </c>
      <c r="J101" s="1544" t="str">
        <f aca="false">IF(MONTH($A101)=12,SUM(I90:I101)," ")</f>
        <v> </v>
      </c>
      <c r="K101" s="1334" t="n">
        <f aca="false">IF(OR($A101&lt;Startops2,$A101&gt;=Endyr),0,VLOOKUP($A101,Capacity_Table,Tariff!$S$18))</f>
        <v>0.91</v>
      </c>
      <c r="L101" s="306" t="n">
        <f aca="false">IF(OR($A101&lt;Startops2,$A101&gt;=Endyr),0,VLOOKUP($A101,Capacity_Table,Tariff!$T$18))</f>
        <v>0.92</v>
      </c>
      <c r="M101" s="397" t="n">
        <f aca="false">IF($A101&lt;Startops2,0,IF($A101&lt;Startops3,VLOOKUP($A101,Convert_Table,Tariff!$Y$54),C101*D101*F101*K101*L101))</f>
        <v>289336.32</v>
      </c>
      <c r="N101" s="1544" t="str">
        <f aca="false">IF(MONTH($A101)=12,SUM(M90:M101)," ")</f>
        <v> </v>
      </c>
      <c r="O101" s="397" t="n">
        <f aca="false">IF($A101&lt;Startops2,0,IF($A101&lt;Startops3,Hr_II,Hr_III))</f>
        <v>7000</v>
      </c>
      <c r="P101" s="397" t="n">
        <f aca="false">M101*O101/1000</f>
        <v>2025354.24</v>
      </c>
      <c r="Q101" s="1545" t="str">
        <f aca="false">IF(MONTH($A101)=12,SUM(P90:P101)," ")</f>
        <v> </v>
      </c>
      <c r="R101" s="397" t="n">
        <f aca="false">IF($A101&gt;Endyr,0,IF($A101&lt;Assm!$A$55,P101,Assm!$F$55*$D101))</f>
        <v>1769187.94520548</v>
      </c>
      <c r="S101" s="1544" t="str">
        <f aca="false">IF(MONTH($A101)=12,SUM(R90:R101)," ")</f>
        <v> </v>
      </c>
      <c r="T101" s="397" t="n">
        <f aca="false">MAX(P101,R101)</f>
        <v>2025354.24</v>
      </c>
      <c r="U101" s="1546" t="str">
        <f aca="false">IF(MONTH($A101)=12,SUM(T90:T101)," ")</f>
        <v> </v>
      </c>
    </row>
    <row r="102" customFormat="false" ht="12.75" hidden="false" customHeight="false" outlineLevel="0" collapsed="false">
      <c r="A102" s="1538" t="n">
        <f aca="false">EDATE(A101,1)</f>
        <v>38991</v>
      </c>
      <c r="C102" s="1539" t="n">
        <f aca="false">IF($A102&gt;Endyr,0,VLOOKUP($A102,Capacity_Table,Tariff!$R$18))</f>
        <v>480</v>
      </c>
      <c r="D102" s="1540" t="n">
        <f aca="false">A103-A102</f>
        <v>31</v>
      </c>
      <c r="E102" s="1540" t="str">
        <f aca="false">IF(MONTH($A102)=12,SUM(D91:D102)," ")</f>
        <v> </v>
      </c>
      <c r="F102" s="1545" t="n">
        <f aca="false">F101</f>
        <v>24</v>
      </c>
      <c r="G102" s="1334" t="n">
        <f aca="false">IF(I102=0,0,I102/($C102*$D102*$F102*H102))</f>
        <v>0</v>
      </c>
      <c r="H102" s="1542" t="n">
        <f aca="false">IF(Avail_LDs_Switch=1,VLOOKUP('Plant Operations'!A102,RAC_AvailFactor_Table,RAC_LDs!$G$258),IF($A102&lt;Startops2,Tariff!$T$11,0))</f>
        <v>0</v>
      </c>
      <c r="I102" s="1543" t="n">
        <f aca="false">IF(OR($A102&lt;Startops1,$A102&gt;=Startops2),0,IF(AND($A102&gt;=DieselOps_2,$A102&lt;Startops2),VLOOKUP($A102,Diesel_Table,Tariff!$Y$41),VLOOKUP($A102,OA_Table,Tariff!$Y$26)))</f>
        <v>0</v>
      </c>
      <c r="J102" s="1544" t="str">
        <f aca="false">IF(MONTH($A102)=12,SUM(I91:I102)," ")</f>
        <v> </v>
      </c>
      <c r="K102" s="1334" t="n">
        <f aca="false">IF(OR($A102&lt;Startops2,$A102&gt;=Endyr),0,VLOOKUP($A102,Capacity_Table,Tariff!$S$18))</f>
        <v>0.91</v>
      </c>
      <c r="L102" s="306" t="n">
        <f aca="false">IF(OR($A102&lt;Startops2,$A102&gt;=Endyr),0,VLOOKUP($A102,Capacity_Table,Tariff!$T$18))</f>
        <v>0.92</v>
      </c>
      <c r="M102" s="397" t="n">
        <f aca="false">IF($A102&lt;Startops2,0,IF($A102&lt;Startops3,VLOOKUP($A102,Convert_Table,Tariff!$Y$54),C102*D102*F102*K102*L102))</f>
        <v>298980.864</v>
      </c>
      <c r="N102" s="1544" t="str">
        <f aca="false">IF(MONTH($A102)=12,SUM(M91:M102)," ")</f>
        <v> </v>
      </c>
      <c r="O102" s="397" t="n">
        <f aca="false">IF($A102&lt;Startops2,0,IF($A102&lt;Startops3,Hr_II,Hr_III))</f>
        <v>7000</v>
      </c>
      <c r="P102" s="397" t="n">
        <f aca="false">M102*O102/1000</f>
        <v>2092866.048</v>
      </c>
      <c r="Q102" s="1545" t="str">
        <f aca="false">IF(MONTH($A102)=12,SUM(P91:P102)," ")</f>
        <v> </v>
      </c>
      <c r="R102" s="397" t="n">
        <f aca="false">IF($A102&gt;Endyr,0,IF($A102&lt;Assm!$A$55,P102,Assm!$F$55*$D102))</f>
        <v>1828160.87671233</v>
      </c>
      <c r="S102" s="1544" t="str">
        <f aca="false">IF(MONTH($A102)=12,SUM(R91:R102)," ")</f>
        <v> </v>
      </c>
      <c r="T102" s="397" t="n">
        <f aca="false">MAX(P102,R102)</f>
        <v>2092866.048</v>
      </c>
      <c r="U102" s="1546" t="str">
        <f aca="false">IF(MONTH($A102)=12,SUM(T91:T102)," ")</f>
        <v> </v>
      </c>
    </row>
    <row r="103" customFormat="false" ht="12.75" hidden="false" customHeight="false" outlineLevel="0" collapsed="false">
      <c r="A103" s="1538" t="n">
        <f aca="false">EDATE(A102,1)</f>
        <v>39022</v>
      </c>
      <c r="C103" s="1539" t="n">
        <f aca="false">IF($A103&gt;Endyr,0,VLOOKUP($A103,Capacity_Table,Tariff!$R$18))</f>
        <v>480</v>
      </c>
      <c r="D103" s="1540" t="n">
        <f aca="false">A104-A103</f>
        <v>30</v>
      </c>
      <c r="E103" s="1540" t="str">
        <f aca="false">IF(MONTH($A103)=12,SUM(D92:D103)," ")</f>
        <v> </v>
      </c>
      <c r="F103" s="1545" t="n">
        <f aca="false">F102</f>
        <v>24</v>
      </c>
      <c r="G103" s="1334" t="n">
        <f aca="false">IF(I103=0,0,I103/($C103*$D103*$F103*H103))</f>
        <v>0</v>
      </c>
      <c r="H103" s="1542" t="n">
        <f aca="false">IF(Avail_LDs_Switch=1,VLOOKUP('Plant Operations'!A103,RAC_AvailFactor_Table,RAC_LDs!$G$258),IF($A103&lt;Startops2,Tariff!$T$11,0))</f>
        <v>0</v>
      </c>
      <c r="I103" s="1543" t="n">
        <f aca="false">IF(OR($A103&lt;Startops1,$A103&gt;=Startops2),0,IF(AND($A103&gt;=DieselOps_2,$A103&lt;Startops2),VLOOKUP($A103,Diesel_Table,Tariff!$Y$41),VLOOKUP($A103,OA_Table,Tariff!$Y$26)))</f>
        <v>0</v>
      </c>
      <c r="J103" s="1544" t="str">
        <f aca="false">IF(MONTH($A103)=12,SUM(I92:I103)," ")</f>
        <v> </v>
      </c>
      <c r="K103" s="1334" t="n">
        <f aca="false">IF(OR($A103&lt;Startops2,$A103&gt;=Endyr),0,VLOOKUP($A103,Capacity_Table,Tariff!$S$18))</f>
        <v>0.91</v>
      </c>
      <c r="L103" s="306" t="n">
        <f aca="false">IF(OR($A103&lt;Startops2,$A103&gt;=Endyr),0,VLOOKUP($A103,Capacity_Table,Tariff!$T$18))</f>
        <v>0.92</v>
      </c>
      <c r="M103" s="397" t="n">
        <f aca="false">IF($A103&lt;Startops2,0,IF($A103&lt;Startops3,VLOOKUP($A103,Convert_Table,Tariff!$Y$54),C103*D103*F103*K103*L103))</f>
        <v>289336.32</v>
      </c>
      <c r="N103" s="1544" t="str">
        <f aca="false">IF(MONTH($A103)=12,SUM(M92:M103)," ")</f>
        <v> </v>
      </c>
      <c r="O103" s="397" t="n">
        <f aca="false">IF($A103&lt;Startops2,0,IF($A103&lt;Startops3,Hr_II,Hr_III))</f>
        <v>7000</v>
      </c>
      <c r="P103" s="397" t="n">
        <f aca="false">M103*O103/1000</f>
        <v>2025354.24</v>
      </c>
      <c r="Q103" s="1545" t="str">
        <f aca="false">IF(MONTH($A103)=12,SUM(P92:P103)," ")</f>
        <v> </v>
      </c>
      <c r="R103" s="397" t="n">
        <f aca="false">IF($A103&gt;Endyr,0,IF($A103&lt;Assm!$A$55,P103,Assm!$F$55*$D103))</f>
        <v>1769187.94520548</v>
      </c>
      <c r="S103" s="1544" t="str">
        <f aca="false">IF(MONTH($A103)=12,SUM(R92:R103)," ")</f>
        <v> </v>
      </c>
      <c r="T103" s="397" t="n">
        <f aca="false">MAX(P103,R103)</f>
        <v>2025354.24</v>
      </c>
      <c r="U103" s="1546" t="str">
        <f aca="false">IF(MONTH($A103)=12,SUM(T92:T103)," ")</f>
        <v> </v>
      </c>
    </row>
    <row r="104" customFormat="false" ht="12.75" hidden="false" customHeight="false" outlineLevel="0" collapsed="false">
      <c r="A104" s="1538" t="n">
        <f aca="false">EDATE(A103,1)</f>
        <v>39052</v>
      </c>
      <c r="C104" s="1539" t="n">
        <f aca="false">IF($A104&gt;Endyr,0,VLOOKUP($A104,Capacity_Table,Tariff!$R$18))</f>
        <v>480</v>
      </c>
      <c r="D104" s="1540" t="n">
        <f aca="false">A105-A104</f>
        <v>31</v>
      </c>
      <c r="E104" s="1540" t="n">
        <f aca="false">IF(MONTH($A104)=12,SUM(D93:D104)," ")</f>
        <v>365</v>
      </c>
      <c r="F104" s="1545" t="n">
        <f aca="false">F103</f>
        <v>24</v>
      </c>
      <c r="G104" s="1334" t="n">
        <f aca="false">IF(I104=0,0,I104/($C104*$D104*$F104*H104))</f>
        <v>0</v>
      </c>
      <c r="H104" s="1542" t="n">
        <f aca="false">IF(Avail_LDs_Switch=1,VLOOKUP('Plant Operations'!A104,RAC_AvailFactor_Table,RAC_LDs!$G$258),IF($A104&lt;Startops2,Tariff!$T$11,0))</f>
        <v>0</v>
      </c>
      <c r="I104" s="1543" t="n">
        <f aca="false">IF(OR($A104&lt;Startops1,$A104&gt;=Startops2),0,IF(AND($A104&gt;=DieselOps_2,$A104&lt;Startops2),VLOOKUP($A104,Diesel_Table,Tariff!$Y$41),VLOOKUP($A104,OA_Table,Tariff!$Y$26)))</f>
        <v>0</v>
      </c>
      <c r="J104" s="1544" t="n">
        <f aca="false">IF(MONTH($A104)=12,SUM(I93:I104)," ")</f>
        <v>0</v>
      </c>
      <c r="K104" s="1334" t="n">
        <f aca="false">IF(OR($A104&lt;Startops2,$A104&gt;=Endyr),0,VLOOKUP($A104,Capacity_Table,Tariff!$S$18))</f>
        <v>0.91</v>
      </c>
      <c r="L104" s="306" t="n">
        <f aca="false">IF(OR($A104&lt;Startops2,$A104&gt;=Endyr),0,VLOOKUP($A104,Capacity_Table,Tariff!$T$18))</f>
        <v>0.92</v>
      </c>
      <c r="M104" s="397" t="n">
        <f aca="false">IF($A104&lt;Startops2,0,IF($A104&lt;Startops3,VLOOKUP($A104,Convert_Table,Tariff!$Y$54),C104*D104*F104*K104*L104))</f>
        <v>298980.864</v>
      </c>
      <c r="N104" s="1544" t="n">
        <f aca="false">IF(MONTH($A104)=12,SUM(M93:M104)," ")</f>
        <v>3520258.56</v>
      </c>
      <c r="O104" s="397" t="n">
        <f aca="false">IF($A104&lt;Startops2,0,IF($A104&lt;Startops3,Hr_II,Hr_III))</f>
        <v>7000</v>
      </c>
      <c r="P104" s="397" t="n">
        <f aca="false">M104*O104/1000</f>
        <v>2092866.048</v>
      </c>
      <c r="Q104" s="1545" t="n">
        <f aca="false">IF(MONTH($A104)=12,SUM(P93:P104)," ")</f>
        <v>24641809.92</v>
      </c>
      <c r="R104" s="397" t="n">
        <f aca="false">IF($A104&gt;Endyr,0,IF($A104&lt;Assm!$A$55,P104,Assm!$F$55*$D104))</f>
        <v>1828160.87671233</v>
      </c>
      <c r="S104" s="1544" t="n">
        <f aca="false">IF(MONTH($A104)=12,SUM(R93:R104)," ")</f>
        <v>21525120</v>
      </c>
      <c r="T104" s="397" t="n">
        <f aca="false">MAX(P104,R104)</f>
        <v>2092866.048</v>
      </c>
      <c r="U104" s="1546" t="n">
        <f aca="false">IF(MONTH($A104)=12,SUM(T93:T104)," ")</f>
        <v>24641809.92</v>
      </c>
    </row>
    <row r="105" customFormat="false" ht="12.75" hidden="false" customHeight="false" outlineLevel="0" collapsed="false">
      <c r="A105" s="1538" t="n">
        <f aca="false">EDATE(A104,1)</f>
        <v>39083</v>
      </c>
      <c r="C105" s="1539" t="n">
        <f aca="false">IF($A105&gt;Endyr,0,VLOOKUP($A105,Capacity_Table,Tariff!$R$18))</f>
        <v>480</v>
      </c>
      <c r="D105" s="1540" t="n">
        <f aca="false">A106-A105</f>
        <v>31</v>
      </c>
      <c r="E105" s="1540" t="str">
        <f aca="false">IF(MONTH($A105)=12,SUM(D94:D105)," ")</f>
        <v> </v>
      </c>
      <c r="F105" s="1545" t="n">
        <f aca="false">F104</f>
        <v>24</v>
      </c>
      <c r="G105" s="1334" t="n">
        <f aca="false">IF(I105=0,0,I105/($C105*$D105*$F105*H105))</f>
        <v>0</v>
      </c>
      <c r="H105" s="1542" t="n">
        <f aca="false">IF(Avail_LDs_Switch=1,VLOOKUP('Plant Operations'!A105,RAC_AvailFactor_Table,RAC_LDs!$G$258),IF($A105&lt;Startops2,Tariff!$T$11,0))</f>
        <v>0</v>
      </c>
      <c r="I105" s="1543" t="n">
        <f aca="false">IF(OR($A105&lt;Startops1,$A105&gt;=Startops2),0,IF(AND($A105&gt;=DieselOps_2,$A105&lt;Startops2),VLOOKUP($A105,Diesel_Table,Tariff!$Y$41),VLOOKUP($A105,OA_Table,Tariff!$Y$26)))</f>
        <v>0</v>
      </c>
      <c r="J105" s="1544" t="str">
        <f aca="false">IF(MONTH($A105)=12,SUM(I94:I105)," ")</f>
        <v> </v>
      </c>
      <c r="K105" s="1334" t="n">
        <f aca="false">IF(OR($A105&lt;Startops2,$A105&gt;=Endyr),0,VLOOKUP($A105,Capacity_Table,Tariff!$S$18))</f>
        <v>0.91</v>
      </c>
      <c r="L105" s="306" t="n">
        <f aca="false">IF(OR($A105&lt;Startops2,$A105&gt;=Endyr),0,VLOOKUP($A105,Capacity_Table,Tariff!$T$18))</f>
        <v>0.92</v>
      </c>
      <c r="M105" s="397" t="n">
        <f aca="false">IF($A105&lt;Startops2,0,IF($A105&lt;Startops3,VLOOKUP($A105,Convert_Table,Tariff!$Y$54),C105*D105*F105*K105*L105))</f>
        <v>298980.864</v>
      </c>
      <c r="N105" s="1544" t="str">
        <f aca="false">IF(MONTH($A105)=12,SUM(M94:M105)," ")</f>
        <v> </v>
      </c>
      <c r="O105" s="397" t="n">
        <f aca="false">IF($A105&lt;Startops2,0,IF($A105&lt;Startops3,Hr_II,Hr_III))</f>
        <v>7000</v>
      </c>
      <c r="P105" s="397" t="n">
        <f aca="false">M105*O105/1000</f>
        <v>2092866.048</v>
      </c>
      <c r="Q105" s="1545" t="str">
        <f aca="false">IF(MONTH($A105)=12,SUM(P94:P105)," ")</f>
        <v> </v>
      </c>
      <c r="R105" s="397" t="n">
        <f aca="false">IF($A105&gt;Endyr,0,IF($A105&lt;Assm!$A$55,P105,Assm!$F$55*$D105))</f>
        <v>1828160.87671233</v>
      </c>
      <c r="S105" s="1544" t="str">
        <f aca="false">IF(MONTH($A105)=12,SUM(R94:R105)," ")</f>
        <v> </v>
      </c>
      <c r="T105" s="397" t="n">
        <f aca="false">MAX(P105,R105)</f>
        <v>2092866.048</v>
      </c>
      <c r="U105" s="1546" t="str">
        <f aca="false">IF(MONTH($A105)=12,SUM(T94:T105)," ")</f>
        <v> </v>
      </c>
    </row>
    <row r="106" customFormat="false" ht="12.75" hidden="false" customHeight="false" outlineLevel="0" collapsed="false">
      <c r="A106" s="1538" t="n">
        <f aca="false">EDATE(A105,1)</f>
        <v>39114</v>
      </c>
      <c r="C106" s="1539" t="n">
        <f aca="false">IF($A106&gt;Endyr,0,VLOOKUP($A106,Capacity_Table,Tariff!$R$18))</f>
        <v>480</v>
      </c>
      <c r="D106" s="1540" t="n">
        <f aca="false">A107-A106</f>
        <v>28</v>
      </c>
      <c r="E106" s="1540" t="str">
        <f aca="false">IF(MONTH($A106)=12,SUM(D95:D106)," ")</f>
        <v> </v>
      </c>
      <c r="F106" s="1545" t="n">
        <f aca="false">F105</f>
        <v>24</v>
      </c>
      <c r="G106" s="1334" t="n">
        <f aca="false">IF(I106=0,0,I106/($C106*$D106*$F106*H106))</f>
        <v>0</v>
      </c>
      <c r="H106" s="1542" t="n">
        <f aca="false">IF(Avail_LDs_Switch=1,VLOOKUP('Plant Operations'!A106,RAC_AvailFactor_Table,RAC_LDs!$G$258),IF($A106&lt;Startops2,Tariff!$T$11,0))</f>
        <v>0</v>
      </c>
      <c r="I106" s="1543" t="n">
        <f aca="false">IF(OR($A106&lt;Startops1,$A106&gt;=Startops2),0,IF(AND($A106&gt;=DieselOps_2,$A106&lt;Startops2),VLOOKUP($A106,Diesel_Table,Tariff!$Y$41),VLOOKUP($A106,OA_Table,Tariff!$Y$26)))</f>
        <v>0</v>
      </c>
      <c r="J106" s="1544" t="str">
        <f aca="false">IF(MONTH($A106)=12,SUM(I95:I106)," ")</f>
        <v> </v>
      </c>
      <c r="K106" s="1334" t="n">
        <f aca="false">IF(OR($A106&lt;Startops2,$A106&gt;=Endyr),0,VLOOKUP($A106,Capacity_Table,Tariff!$S$18))</f>
        <v>0.91</v>
      </c>
      <c r="L106" s="306" t="n">
        <f aca="false">IF(OR($A106&lt;Startops2,$A106&gt;=Endyr),0,VLOOKUP($A106,Capacity_Table,Tariff!$T$18))</f>
        <v>0.92</v>
      </c>
      <c r="M106" s="397" t="n">
        <f aca="false">IF($A106&lt;Startops2,0,IF($A106&lt;Startops3,VLOOKUP($A106,Convert_Table,Tariff!$Y$54),C106*D106*F106*K106*L106))</f>
        <v>270047.232</v>
      </c>
      <c r="N106" s="1544" t="str">
        <f aca="false">IF(MONTH($A106)=12,SUM(M95:M106)," ")</f>
        <v> </v>
      </c>
      <c r="O106" s="397" t="n">
        <f aca="false">IF($A106&lt;Startops2,0,IF($A106&lt;Startops3,Hr_II,Hr_III))</f>
        <v>7000</v>
      </c>
      <c r="P106" s="397" t="n">
        <f aca="false">M106*O106/1000</f>
        <v>1890330.624</v>
      </c>
      <c r="Q106" s="1545" t="str">
        <f aca="false">IF(MONTH($A106)=12,SUM(P95:P106)," ")</f>
        <v> </v>
      </c>
      <c r="R106" s="397" t="n">
        <f aca="false">IF($A106&gt;Endyr,0,IF($A106&lt;Assm!$A$55,P106,Assm!$F$55*$D106))</f>
        <v>1651242.08219178</v>
      </c>
      <c r="S106" s="1544" t="str">
        <f aca="false">IF(MONTH($A106)=12,SUM(R95:R106)," ")</f>
        <v> </v>
      </c>
      <c r="T106" s="397" t="n">
        <f aca="false">MAX(P106,R106)</f>
        <v>1890330.624</v>
      </c>
      <c r="U106" s="1546" t="str">
        <f aca="false">IF(MONTH($A106)=12,SUM(T95:T106)," ")</f>
        <v> </v>
      </c>
    </row>
    <row r="107" customFormat="false" ht="12.75" hidden="false" customHeight="false" outlineLevel="0" collapsed="false">
      <c r="A107" s="1538" t="n">
        <f aca="false">EDATE(A106,1)</f>
        <v>39142</v>
      </c>
      <c r="C107" s="1539" t="n">
        <f aca="false">IF($A107&gt;Endyr,0,VLOOKUP($A107,Capacity_Table,Tariff!$R$18))</f>
        <v>480</v>
      </c>
      <c r="D107" s="1540" t="n">
        <f aca="false">A108-A107</f>
        <v>31</v>
      </c>
      <c r="E107" s="1540" t="str">
        <f aca="false">IF(MONTH($A107)=12,SUM(D96:D107)," ")</f>
        <v> </v>
      </c>
      <c r="F107" s="1545" t="n">
        <f aca="false">F106</f>
        <v>24</v>
      </c>
      <c r="G107" s="1334" t="n">
        <f aca="false">IF(I107=0,0,I107/($C107*$D107*$F107*H107))</f>
        <v>0</v>
      </c>
      <c r="H107" s="1542" t="n">
        <f aca="false">IF(Avail_LDs_Switch=1,VLOOKUP('Plant Operations'!A107,RAC_AvailFactor_Table,RAC_LDs!$G$258),IF($A107&lt;Startops2,Tariff!$T$11,0))</f>
        <v>0</v>
      </c>
      <c r="I107" s="1543" t="n">
        <f aca="false">IF(OR($A107&lt;Startops1,$A107&gt;=Startops2),0,IF(AND($A107&gt;=DieselOps_2,$A107&lt;Startops2),VLOOKUP($A107,Diesel_Table,Tariff!$Y$41),VLOOKUP($A107,OA_Table,Tariff!$Y$26)))</f>
        <v>0</v>
      </c>
      <c r="J107" s="1544" t="str">
        <f aca="false">IF(MONTH($A107)=12,SUM(I96:I107)," ")</f>
        <v> </v>
      </c>
      <c r="K107" s="1334" t="n">
        <f aca="false">IF(OR($A107&lt;Startops2,$A107&gt;=Endyr),0,VLOOKUP($A107,Capacity_Table,Tariff!$S$18))</f>
        <v>0.91</v>
      </c>
      <c r="L107" s="306" t="n">
        <f aca="false">IF(OR($A107&lt;Startops2,$A107&gt;=Endyr),0,VLOOKUP($A107,Capacity_Table,Tariff!$T$18))</f>
        <v>0.92</v>
      </c>
      <c r="M107" s="397" t="n">
        <f aca="false">IF($A107&lt;Startops2,0,IF($A107&lt;Startops3,VLOOKUP($A107,Convert_Table,Tariff!$Y$54),C107*D107*F107*K107*L107))</f>
        <v>298980.864</v>
      </c>
      <c r="N107" s="1544" t="str">
        <f aca="false">IF(MONTH($A107)=12,SUM(M96:M107)," ")</f>
        <v> </v>
      </c>
      <c r="O107" s="397" t="n">
        <f aca="false">IF($A107&lt;Startops2,0,IF($A107&lt;Startops3,Hr_II,Hr_III))</f>
        <v>7000</v>
      </c>
      <c r="P107" s="397" t="n">
        <f aca="false">M107*O107/1000</f>
        <v>2092866.048</v>
      </c>
      <c r="Q107" s="1545" t="str">
        <f aca="false">IF(MONTH($A107)=12,SUM(P96:P107)," ")</f>
        <v> </v>
      </c>
      <c r="R107" s="397" t="n">
        <f aca="false">IF($A107&gt;Endyr,0,IF($A107&lt;Assm!$A$55,P107,Assm!$F$55*$D107))</f>
        <v>1828160.87671233</v>
      </c>
      <c r="S107" s="1544" t="str">
        <f aca="false">IF(MONTH($A107)=12,SUM(R96:R107)," ")</f>
        <v> </v>
      </c>
      <c r="T107" s="397" t="n">
        <f aca="false">MAX(P107,R107)</f>
        <v>2092866.048</v>
      </c>
      <c r="U107" s="1546" t="str">
        <f aca="false">IF(MONTH($A107)=12,SUM(T96:T107)," ")</f>
        <v> </v>
      </c>
    </row>
    <row r="108" customFormat="false" ht="12.75" hidden="false" customHeight="false" outlineLevel="0" collapsed="false">
      <c r="A108" s="1538" t="n">
        <f aca="false">EDATE(A107,1)</f>
        <v>39173</v>
      </c>
      <c r="C108" s="1539" t="n">
        <f aca="false">IF($A108&gt;Endyr,0,VLOOKUP($A108,Capacity_Table,Tariff!$R$18))</f>
        <v>480</v>
      </c>
      <c r="D108" s="1540" t="n">
        <f aca="false">A109-A108</f>
        <v>30</v>
      </c>
      <c r="E108" s="1540" t="str">
        <f aca="false">IF(MONTH($A108)=12,SUM(D97:D108)," ")</f>
        <v> </v>
      </c>
      <c r="F108" s="1545" t="n">
        <f aca="false">F107</f>
        <v>24</v>
      </c>
      <c r="G108" s="1334" t="n">
        <f aca="false">IF(I108=0,0,I108/($C108*$D108*$F108*H108))</f>
        <v>0</v>
      </c>
      <c r="H108" s="1542" t="n">
        <f aca="false">IF(Avail_LDs_Switch=1,VLOOKUP('Plant Operations'!A108,RAC_AvailFactor_Table,RAC_LDs!$G$258),IF($A108&lt;Startops2,Tariff!$T$11,0))</f>
        <v>0</v>
      </c>
      <c r="I108" s="1543" t="n">
        <f aca="false">IF(OR($A108&lt;Startops1,$A108&gt;=Startops2),0,IF(AND($A108&gt;=DieselOps_2,$A108&lt;Startops2),VLOOKUP($A108,Diesel_Table,Tariff!$Y$41),VLOOKUP($A108,OA_Table,Tariff!$Y$26)))</f>
        <v>0</v>
      </c>
      <c r="J108" s="1544" t="str">
        <f aca="false">IF(MONTH($A108)=12,SUM(I97:I108)," ")</f>
        <v> </v>
      </c>
      <c r="K108" s="1334" t="n">
        <f aca="false">IF(OR($A108&lt;Startops2,$A108&gt;=Endyr),0,VLOOKUP($A108,Capacity_Table,Tariff!$S$18))</f>
        <v>0.91</v>
      </c>
      <c r="L108" s="306" t="n">
        <f aca="false">IF(OR($A108&lt;Startops2,$A108&gt;=Endyr),0,VLOOKUP($A108,Capacity_Table,Tariff!$T$18))</f>
        <v>0.92</v>
      </c>
      <c r="M108" s="397" t="n">
        <f aca="false">IF($A108&lt;Startops2,0,IF($A108&lt;Startops3,VLOOKUP($A108,Convert_Table,Tariff!$Y$54),C108*D108*F108*K108*L108))</f>
        <v>289336.32</v>
      </c>
      <c r="N108" s="1544" t="str">
        <f aca="false">IF(MONTH($A108)=12,SUM(M97:M108)," ")</f>
        <v> </v>
      </c>
      <c r="O108" s="397" t="n">
        <f aca="false">IF($A108&lt;Startops2,0,IF($A108&lt;Startops3,Hr_II,Hr_III))</f>
        <v>7000</v>
      </c>
      <c r="P108" s="397" t="n">
        <f aca="false">M108*O108/1000</f>
        <v>2025354.24</v>
      </c>
      <c r="Q108" s="1545" t="str">
        <f aca="false">IF(MONTH($A108)=12,SUM(P97:P108)," ")</f>
        <v> </v>
      </c>
      <c r="R108" s="397" t="n">
        <f aca="false">IF($A108&gt;Endyr,0,IF($A108&lt;Assm!$A$55,P108,Assm!$F$55*$D108))</f>
        <v>1769187.94520548</v>
      </c>
      <c r="S108" s="1544" t="str">
        <f aca="false">IF(MONTH($A108)=12,SUM(R97:R108)," ")</f>
        <v> </v>
      </c>
      <c r="T108" s="397" t="n">
        <f aca="false">MAX(P108,R108)</f>
        <v>2025354.24</v>
      </c>
      <c r="U108" s="1546" t="str">
        <f aca="false">IF(MONTH($A108)=12,SUM(T97:T108)," ")</f>
        <v> </v>
      </c>
    </row>
    <row r="109" customFormat="false" ht="12.75" hidden="false" customHeight="false" outlineLevel="0" collapsed="false">
      <c r="A109" s="1538" t="n">
        <f aca="false">EDATE(A108,1)</f>
        <v>39203</v>
      </c>
      <c r="C109" s="1539" t="n">
        <f aca="false">IF($A109&gt;Endyr,0,VLOOKUP($A109,Capacity_Table,Tariff!$R$18))</f>
        <v>480</v>
      </c>
      <c r="D109" s="1540" t="n">
        <f aca="false">A110-A109</f>
        <v>31</v>
      </c>
      <c r="E109" s="1540" t="str">
        <f aca="false">IF(MONTH($A109)=12,SUM(D98:D109)," ")</f>
        <v> </v>
      </c>
      <c r="F109" s="1545" t="n">
        <f aca="false">F108</f>
        <v>24</v>
      </c>
      <c r="G109" s="1334" t="n">
        <f aca="false">IF(I109=0,0,I109/($C109*$D109*$F109*H109))</f>
        <v>0</v>
      </c>
      <c r="H109" s="1542" t="n">
        <f aca="false">IF(Avail_LDs_Switch=1,VLOOKUP('Plant Operations'!A109,RAC_AvailFactor_Table,RAC_LDs!$G$258),IF($A109&lt;Startops2,Tariff!$T$11,0))</f>
        <v>0</v>
      </c>
      <c r="I109" s="1543" t="n">
        <f aca="false">IF(OR($A109&lt;Startops1,$A109&gt;=Startops2),0,IF(AND($A109&gt;=DieselOps_2,$A109&lt;Startops2),VLOOKUP($A109,Diesel_Table,Tariff!$Y$41),VLOOKUP($A109,OA_Table,Tariff!$Y$26)))</f>
        <v>0</v>
      </c>
      <c r="J109" s="1544" t="str">
        <f aca="false">IF(MONTH($A109)=12,SUM(I98:I109)," ")</f>
        <v> </v>
      </c>
      <c r="K109" s="1334" t="n">
        <f aca="false">IF(OR($A109&lt;Startops2,$A109&gt;=Endyr),0,VLOOKUP($A109,Capacity_Table,Tariff!$S$18))</f>
        <v>0.91</v>
      </c>
      <c r="L109" s="306" t="n">
        <f aca="false">IF(OR($A109&lt;Startops2,$A109&gt;=Endyr),0,VLOOKUP($A109,Capacity_Table,Tariff!$T$18))</f>
        <v>0.92</v>
      </c>
      <c r="M109" s="397" t="n">
        <f aca="false">IF($A109&lt;Startops2,0,IF($A109&lt;Startops3,VLOOKUP($A109,Convert_Table,Tariff!$Y$54),C109*D109*F109*K109*L109))</f>
        <v>298980.864</v>
      </c>
      <c r="N109" s="1544" t="str">
        <f aca="false">IF(MONTH($A109)=12,SUM(M98:M109)," ")</f>
        <v> </v>
      </c>
      <c r="O109" s="397" t="n">
        <f aca="false">IF($A109&lt;Startops2,0,IF($A109&lt;Startops3,Hr_II,Hr_III))</f>
        <v>7000</v>
      </c>
      <c r="P109" s="397" t="n">
        <f aca="false">M109*O109/1000</f>
        <v>2092866.048</v>
      </c>
      <c r="Q109" s="1545" t="str">
        <f aca="false">IF(MONTH($A109)=12,SUM(P98:P109)," ")</f>
        <v> </v>
      </c>
      <c r="R109" s="397" t="n">
        <f aca="false">IF($A109&gt;Endyr,0,IF($A109&lt;Assm!$A$55,P109,Assm!$F$55*$D109))</f>
        <v>1828160.87671233</v>
      </c>
      <c r="S109" s="1544" t="str">
        <f aca="false">IF(MONTH($A109)=12,SUM(R98:R109)," ")</f>
        <v> </v>
      </c>
      <c r="T109" s="397" t="n">
        <f aca="false">MAX(P109,R109)</f>
        <v>2092866.048</v>
      </c>
      <c r="U109" s="1546" t="str">
        <f aca="false">IF(MONTH($A109)=12,SUM(T98:T109)," ")</f>
        <v> </v>
      </c>
    </row>
    <row r="110" customFormat="false" ht="12.75" hidden="false" customHeight="false" outlineLevel="0" collapsed="false">
      <c r="A110" s="1538" t="n">
        <f aca="false">EDATE(A109,1)</f>
        <v>39234</v>
      </c>
      <c r="C110" s="1539" t="n">
        <f aca="false">IF($A110&gt;Endyr,0,VLOOKUP($A110,Capacity_Table,Tariff!$R$18))</f>
        <v>480</v>
      </c>
      <c r="D110" s="1540" t="n">
        <f aca="false">A111-A110</f>
        <v>30</v>
      </c>
      <c r="E110" s="1540" t="str">
        <f aca="false">IF(MONTH($A110)=12,SUM(D99:D110)," ")</f>
        <v> </v>
      </c>
      <c r="F110" s="1545" t="n">
        <f aca="false">F109</f>
        <v>24</v>
      </c>
      <c r="G110" s="1334" t="n">
        <f aca="false">IF(I110=0,0,I110/($C110*$D110*$F110*H110))</f>
        <v>0</v>
      </c>
      <c r="H110" s="1542" t="n">
        <f aca="false">IF(Avail_LDs_Switch=1,VLOOKUP('Plant Operations'!A110,RAC_AvailFactor_Table,RAC_LDs!$G$258),IF($A110&lt;Startops2,Tariff!$T$11,0))</f>
        <v>0</v>
      </c>
      <c r="I110" s="1543" t="n">
        <f aca="false">IF(OR($A110&lt;Startops1,$A110&gt;=Startops2),0,IF(AND($A110&gt;=DieselOps_2,$A110&lt;Startops2),VLOOKUP($A110,Diesel_Table,Tariff!$Y$41),VLOOKUP($A110,OA_Table,Tariff!$Y$26)))</f>
        <v>0</v>
      </c>
      <c r="J110" s="1544" t="str">
        <f aca="false">IF(MONTH($A110)=12,SUM(I99:I110)," ")</f>
        <v> </v>
      </c>
      <c r="K110" s="1334" t="n">
        <f aca="false">IF(OR($A110&lt;Startops2,$A110&gt;=Endyr),0,VLOOKUP($A110,Capacity_Table,Tariff!$S$18))</f>
        <v>0.91</v>
      </c>
      <c r="L110" s="306" t="n">
        <f aca="false">IF(OR($A110&lt;Startops2,$A110&gt;=Endyr),0,VLOOKUP($A110,Capacity_Table,Tariff!$T$18))</f>
        <v>0.92</v>
      </c>
      <c r="M110" s="397" t="n">
        <f aca="false">IF($A110&lt;Startops2,0,IF($A110&lt;Startops3,VLOOKUP($A110,Convert_Table,Tariff!$Y$54),C110*D110*F110*K110*L110))</f>
        <v>289336.32</v>
      </c>
      <c r="N110" s="1544" t="str">
        <f aca="false">IF(MONTH($A110)=12,SUM(M99:M110)," ")</f>
        <v> </v>
      </c>
      <c r="O110" s="397" t="n">
        <f aca="false">IF($A110&lt;Startops2,0,IF($A110&lt;Startops3,Hr_II,Hr_III))</f>
        <v>7000</v>
      </c>
      <c r="P110" s="397" t="n">
        <f aca="false">M110*O110/1000</f>
        <v>2025354.24</v>
      </c>
      <c r="Q110" s="1545" t="str">
        <f aca="false">IF(MONTH($A110)=12,SUM(P99:P110)," ")</f>
        <v> </v>
      </c>
      <c r="R110" s="397" t="n">
        <f aca="false">IF($A110&gt;Endyr,0,IF($A110&lt;Assm!$A$55,P110,Assm!$F$55*$D110))</f>
        <v>1769187.94520548</v>
      </c>
      <c r="S110" s="1544" t="str">
        <f aca="false">IF(MONTH($A110)=12,SUM(R99:R110)," ")</f>
        <v> </v>
      </c>
      <c r="T110" s="397" t="n">
        <f aca="false">MAX(P110,R110)</f>
        <v>2025354.24</v>
      </c>
      <c r="U110" s="1546" t="str">
        <f aca="false">IF(MONTH($A110)=12,SUM(T99:T110)," ")</f>
        <v> </v>
      </c>
    </row>
    <row r="111" customFormat="false" ht="12.75" hidden="false" customHeight="false" outlineLevel="0" collapsed="false">
      <c r="A111" s="1538" t="n">
        <f aca="false">EDATE(A110,1)</f>
        <v>39264</v>
      </c>
      <c r="C111" s="1539" t="n">
        <f aca="false">IF($A111&gt;Endyr,0,VLOOKUP($A111,Capacity_Table,Tariff!$R$18))</f>
        <v>480</v>
      </c>
      <c r="D111" s="1540" t="n">
        <f aca="false">A112-A111</f>
        <v>31</v>
      </c>
      <c r="E111" s="1540" t="str">
        <f aca="false">IF(MONTH($A111)=12,SUM(D100:D111)," ")</f>
        <v> </v>
      </c>
      <c r="F111" s="1545" t="n">
        <f aca="false">F110</f>
        <v>24</v>
      </c>
      <c r="G111" s="1334" t="n">
        <f aca="false">IF(I111=0,0,I111/($C111*$D111*$F111*H111))</f>
        <v>0</v>
      </c>
      <c r="H111" s="1542" t="n">
        <f aca="false">IF(Avail_LDs_Switch=1,VLOOKUP('Plant Operations'!A111,RAC_AvailFactor_Table,RAC_LDs!$G$258),IF($A111&lt;Startops2,Tariff!$T$11,0))</f>
        <v>0</v>
      </c>
      <c r="I111" s="1543" t="n">
        <f aca="false">IF(OR($A111&lt;Startops1,$A111&gt;=Startops2),0,IF(AND($A111&gt;=DieselOps_2,$A111&lt;Startops2),VLOOKUP($A111,Diesel_Table,Tariff!$Y$41),VLOOKUP($A111,OA_Table,Tariff!$Y$26)))</f>
        <v>0</v>
      </c>
      <c r="J111" s="1544" t="str">
        <f aca="false">IF(MONTH($A111)=12,SUM(I100:I111)," ")</f>
        <v> </v>
      </c>
      <c r="K111" s="1334" t="n">
        <f aca="false">IF(OR($A111&lt;Startops2,$A111&gt;=Endyr),0,VLOOKUP($A111,Capacity_Table,Tariff!$S$18))</f>
        <v>0.91</v>
      </c>
      <c r="L111" s="306" t="n">
        <f aca="false">IF(OR($A111&lt;Startops2,$A111&gt;=Endyr),0,VLOOKUP($A111,Capacity_Table,Tariff!$T$18))</f>
        <v>0.92</v>
      </c>
      <c r="M111" s="397" t="n">
        <f aca="false">IF($A111&lt;Startops2,0,IF($A111&lt;Startops3,VLOOKUP($A111,Convert_Table,Tariff!$Y$54),C111*D111*F111*K111*L111))</f>
        <v>298980.864</v>
      </c>
      <c r="N111" s="1544" t="str">
        <f aca="false">IF(MONTH($A111)=12,SUM(M100:M111)," ")</f>
        <v> </v>
      </c>
      <c r="O111" s="397" t="n">
        <f aca="false">IF($A111&lt;Startops2,0,IF($A111&lt;Startops3,Hr_II,Hr_III))</f>
        <v>7000</v>
      </c>
      <c r="P111" s="397" t="n">
        <f aca="false">M111*O111/1000</f>
        <v>2092866.048</v>
      </c>
      <c r="Q111" s="1545" t="str">
        <f aca="false">IF(MONTH($A111)=12,SUM(P100:P111)," ")</f>
        <v> </v>
      </c>
      <c r="R111" s="397" t="n">
        <f aca="false">IF($A111&gt;Endyr,0,IF($A111&lt;Assm!$A$55,P111,Assm!$F$55*$D111))</f>
        <v>1828160.87671233</v>
      </c>
      <c r="S111" s="1544" t="str">
        <f aca="false">IF(MONTH($A111)=12,SUM(R100:R111)," ")</f>
        <v> </v>
      </c>
      <c r="T111" s="397" t="n">
        <f aca="false">MAX(P111,R111)</f>
        <v>2092866.048</v>
      </c>
      <c r="U111" s="1546" t="str">
        <f aca="false">IF(MONTH($A111)=12,SUM(T100:T111)," ")</f>
        <v> </v>
      </c>
    </row>
    <row r="112" customFormat="false" ht="12.75" hidden="false" customHeight="false" outlineLevel="0" collapsed="false">
      <c r="A112" s="1538" t="n">
        <f aca="false">EDATE(A111,1)</f>
        <v>39295</v>
      </c>
      <c r="C112" s="1539" t="n">
        <f aca="false">IF($A112&gt;Endyr,0,VLOOKUP($A112,Capacity_Table,Tariff!$R$18))</f>
        <v>480</v>
      </c>
      <c r="D112" s="1540" t="n">
        <f aca="false">A113-A112</f>
        <v>31</v>
      </c>
      <c r="E112" s="1540" t="str">
        <f aca="false">IF(MONTH($A112)=12,SUM(D101:D112)," ")</f>
        <v> </v>
      </c>
      <c r="F112" s="1545" t="n">
        <f aca="false">F111</f>
        <v>24</v>
      </c>
      <c r="G112" s="1334" t="n">
        <f aca="false">IF(I112=0,0,I112/($C112*$D112*$F112*H112))</f>
        <v>0</v>
      </c>
      <c r="H112" s="1542" t="n">
        <f aca="false">IF(Avail_LDs_Switch=1,VLOOKUP('Plant Operations'!A112,RAC_AvailFactor_Table,RAC_LDs!$G$258),IF($A112&lt;Startops2,Tariff!$T$11,0))</f>
        <v>0</v>
      </c>
      <c r="I112" s="1543" t="n">
        <f aca="false">IF(OR($A112&lt;Startops1,$A112&gt;=Startops2),0,IF(AND($A112&gt;=DieselOps_2,$A112&lt;Startops2),VLOOKUP($A112,Diesel_Table,Tariff!$Y$41),VLOOKUP($A112,OA_Table,Tariff!$Y$26)))</f>
        <v>0</v>
      </c>
      <c r="J112" s="1544" t="str">
        <f aca="false">IF(MONTH($A112)=12,SUM(I101:I112)," ")</f>
        <v> </v>
      </c>
      <c r="K112" s="1334" t="n">
        <f aca="false">IF(OR($A112&lt;Startops2,$A112&gt;=Endyr),0,VLOOKUP($A112,Capacity_Table,Tariff!$S$18))</f>
        <v>0.91</v>
      </c>
      <c r="L112" s="306" t="n">
        <f aca="false">IF(OR($A112&lt;Startops2,$A112&gt;=Endyr),0,VLOOKUP($A112,Capacity_Table,Tariff!$T$18))</f>
        <v>0.92</v>
      </c>
      <c r="M112" s="397" t="n">
        <f aca="false">IF($A112&lt;Startops2,0,IF($A112&lt;Startops3,VLOOKUP($A112,Convert_Table,Tariff!$Y$54),C112*D112*F112*K112*L112))</f>
        <v>298980.864</v>
      </c>
      <c r="N112" s="1544" t="str">
        <f aca="false">IF(MONTH($A112)=12,SUM(M101:M112)," ")</f>
        <v> </v>
      </c>
      <c r="O112" s="397" t="n">
        <f aca="false">IF($A112&lt;Startops2,0,IF($A112&lt;Startops3,Hr_II,Hr_III))</f>
        <v>7000</v>
      </c>
      <c r="P112" s="397" t="n">
        <f aca="false">M112*O112/1000</f>
        <v>2092866.048</v>
      </c>
      <c r="Q112" s="1545" t="str">
        <f aca="false">IF(MONTH($A112)=12,SUM(P101:P112)," ")</f>
        <v> </v>
      </c>
      <c r="R112" s="397" t="n">
        <f aca="false">IF($A112&gt;Endyr,0,IF($A112&lt;Assm!$A$55,P112,Assm!$F$55*$D112))</f>
        <v>1828160.87671233</v>
      </c>
      <c r="S112" s="1544" t="str">
        <f aca="false">IF(MONTH($A112)=12,SUM(R101:R112)," ")</f>
        <v> </v>
      </c>
      <c r="T112" s="397" t="n">
        <f aca="false">MAX(P112,R112)</f>
        <v>2092866.048</v>
      </c>
      <c r="U112" s="1546" t="str">
        <f aca="false">IF(MONTH($A112)=12,SUM(T101:T112)," ")</f>
        <v> </v>
      </c>
    </row>
    <row r="113" customFormat="false" ht="12.75" hidden="false" customHeight="false" outlineLevel="0" collapsed="false">
      <c r="A113" s="1538" t="n">
        <f aca="false">EDATE(A112,1)</f>
        <v>39326</v>
      </c>
      <c r="C113" s="1539" t="n">
        <f aca="false">IF($A113&gt;Endyr,0,VLOOKUP($A113,Capacity_Table,Tariff!$R$18))</f>
        <v>480</v>
      </c>
      <c r="D113" s="1540" t="n">
        <f aca="false">A114-A113</f>
        <v>30</v>
      </c>
      <c r="E113" s="1540" t="str">
        <f aca="false">IF(MONTH($A113)=12,SUM(D102:D113)," ")</f>
        <v> </v>
      </c>
      <c r="F113" s="1545" t="n">
        <f aca="false">F112</f>
        <v>24</v>
      </c>
      <c r="G113" s="1334" t="n">
        <f aca="false">IF(I113=0,0,I113/($C113*$D113*$F113*H113))</f>
        <v>0</v>
      </c>
      <c r="H113" s="1542" t="n">
        <f aca="false">IF(Avail_LDs_Switch=1,VLOOKUP('Plant Operations'!A113,RAC_AvailFactor_Table,RAC_LDs!$G$258),IF($A113&lt;Startops2,Tariff!$T$11,0))</f>
        <v>0</v>
      </c>
      <c r="I113" s="1543" t="n">
        <f aca="false">IF(OR($A113&lt;Startops1,$A113&gt;=Startops2),0,IF(AND($A113&gt;=DieselOps_2,$A113&lt;Startops2),VLOOKUP($A113,Diesel_Table,Tariff!$Y$41),VLOOKUP($A113,OA_Table,Tariff!$Y$26)))</f>
        <v>0</v>
      </c>
      <c r="J113" s="1544" t="str">
        <f aca="false">IF(MONTH($A113)=12,SUM(I102:I113)," ")</f>
        <v> </v>
      </c>
      <c r="K113" s="1334" t="n">
        <f aca="false">IF(OR($A113&lt;Startops2,$A113&gt;=Endyr),0,VLOOKUP($A113,Capacity_Table,Tariff!$S$18))</f>
        <v>0.91</v>
      </c>
      <c r="L113" s="306" t="n">
        <f aca="false">IF(OR($A113&lt;Startops2,$A113&gt;=Endyr),0,VLOOKUP($A113,Capacity_Table,Tariff!$T$18))</f>
        <v>0.92</v>
      </c>
      <c r="M113" s="397" t="n">
        <f aca="false">IF($A113&lt;Startops2,0,IF($A113&lt;Startops3,VLOOKUP($A113,Convert_Table,Tariff!$Y$54),C113*D113*F113*K113*L113))</f>
        <v>289336.32</v>
      </c>
      <c r="N113" s="1544" t="str">
        <f aca="false">IF(MONTH($A113)=12,SUM(M102:M113)," ")</f>
        <v> </v>
      </c>
      <c r="O113" s="397" t="n">
        <f aca="false">IF($A113&lt;Startops2,0,IF($A113&lt;Startops3,Hr_II,Hr_III))</f>
        <v>7000</v>
      </c>
      <c r="P113" s="397" t="n">
        <f aca="false">M113*O113/1000</f>
        <v>2025354.24</v>
      </c>
      <c r="Q113" s="1545" t="str">
        <f aca="false">IF(MONTH($A113)=12,SUM(P102:P113)," ")</f>
        <v> </v>
      </c>
      <c r="R113" s="397" t="n">
        <f aca="false">IF($A113&gt;Endyr,0,IF($A113&lt;Assm!$A$55,P113,Assm!$F$55*$D113))</f>
        <v>1769187.94520548</v>
      </c>
      <c r="S113" s="1544" t="str">
        <f aca="false">IF(MONTH($A113)=12,SUM(R102:R113)," ")</f>
        <v> </v>
      </c>
      <c r="T113" s="397" t="n">
        <f aca="false">MAX(P113,R113)</f>
        <v>2025354.24</v>
      </c>
      <c r="U113" s="1546" t="str">
        <f aca="false">IF(MONTH($A113)=12,SUM(T102:T113)," ")</f>
        <v> </v>
      </c>
    </row>
    <row r="114" customFormat="false" ht="12.75" hidden="false" customHeight="false" outlineLevel="0" collapsed="false">
      <c r="A114" s="1538" t="n">
        <f aca="false">EDATE(A113,1)</f>
        <v>39356</v>
      </c>
      <c r="C114" s="1539" t="n">
        <f aca="false">IF($A114&gt;Endyr,0,VLOOKUP($A114,Capacity_Table,Tariff!$R$18))</f>
        <v>480</v>
      </c>
      <c r="D114" s="1540" t="n">
        <f aca="false">A115-A114</f>
        <v>31</v>
      </c>
      <c r="E114" s="1540" t="str">
        <f aca="false">IF(MONTH($A114)=12,SUM(D103:D114)," ")</f>
        <v> </v>
      </c>
      <c r="F114" s="1545" t="n">
        <f aca="false">F113</f>
        <v>24</v>
      </c>
      <c r="G114" s="1334" t="n">
        <f aca="false">IF(I114=0,0,I114/($C114*$D114*$F114*H114))</f>
        <v>0</v>
      </c>
      <c r="H114" s="1542" t="n">
        <f aca="false">IF(Avail_LDs_Switch=1,VLOOKUP('Plant Operations'!A114,RAC_AvailFactor_Table,RAC_LDs!$G$258),IF($A114&lt;Startops2,Tariff!$T$11,0))</f>
        <v>0</v>
      </c>
      <c r="I114" s="1543" t="n">
        <f aca="false">IF(OR($A114&lt;Startops1,$A114&gt;=Startops2),0,IF(AND($A114&gt;=DieselOps_2,$A114&lt;Startops2),VLOOKUP($A114,Diesel_Table,Tariff!$Y$41),VLOOKUP($A114,OA_Table,Tariff!$Y$26)))</f>
        <v>0</v>
      </c>
      <c r="J114" s="1544" t="str">
        <f aca="false">IF(MONTH($A114)=12,SUM(I103:I114)," ")</f>
        <v> </v>
      </c>
      <c r="K114" s="1334" t="n">
        <f aca="false">IF(OR($A114&lt;Startops2,$A114&gt;=Endyr),0,VLOOKUP($A114,Capacity_Table,Tariff!$S$18))</f>
        <v>0.91</v>
      </c>
      <c r="L114" s="306" t="n">
        <f aca="false">IF(OR($A114&lt;Startops2,$A114&gt;=Endyr),0,VLOOKUP($A114,Capacity_Table,Tariff!$T$18))</f>
        <v>0.92</v>
      </c>
      <c r="M114" s="397" t="n">
        <f aca="false">IF($A114&lt;Startops2,0,IF($A114&lt;Startops3,VLOOKUP($A114,Convert_Table,Tariff!$Y$54),C114*D114*F114*K114*L114))</f>
        <v>298980.864</v>
      </c>
      <c r="N114" s="1544" t="str">
        <f aca="false">IF(MONTH($A114)=12,SUM(M103:M114)," ")</f>
        <v> </v>
      </c>
      <c r="O114" s="397" t="n">
        <f aca="false">IF($A114&lt;Startops2,0,IF($A114&lt;Startops3,Hr_II,Hr_III))</f>
        <v>7000</v>
      </c>
      <c r="P114" s="397" t="n">
        <f aca="false">M114*O114/1000</f>
        <v>2092866.048</v>
      </c>
      <c r="Q114" s="1545" t="str">
        <f aca="false">IF(MONTH($A114)=12,SUM(P103:P114)," ")</f>
        <v> </v>
      </c>
      <c r="R114" s="397" t="n">
        <f aca="false">IF($A114&gt;Endyr,0,IF($A114&lt;Assm!$A$55,P114,Assm!$F$55*$D114))</f>
        <v>1828160.87671233</v>
      </c>
      <c r="S114" s="1544" t="str">
        <f aca="false">IF(MONTH($A114)=12,SUM(R103:R114)," ")</f>
        <v> </v>
      </c>
      <c r="T114" s="397" t="n">
        <f aca="false">MAX(P114,R114)</f>
        <v>2092866.048</v>
      </c>
      <c r="U114" s="1546" t="str">
        <f aca="false">IF(MONTH($A114)=12,SUM(T103:T114)," ")</f>
        <v> </v>
      </c>
    </row>
    <row r="115" customFormat="false" ht="12.75" hidden="false" customHeight="false" outlineLevel="0" collapsed="false">
      <c r="A115" s="1538" t="n">
        <f aca="false">EDATE(A114,1)</f>
        <v>39387</v>
      </c>
      <c r="C115" s="1539" t="n">
        <f aca="false">IF($A115&gt;Endyr,0,VLOOKUP($A115,Capacity_Table,Tariff!$R$18))</f>
        <v>480</v>
      </c>
      <c r="D115" s="1540" t="n">
        <f aca="false">A116-A115</f>
        <v>30</v>
      </c>
      <c r="E115" s="1540" t="str">
        <f aca="false">IF(MONTH($A115)=12,SUM(D104:D115)," ")</f>
        <v> </v>
      </c>
      <c r="F115" s="1545" t="n">
        <f aca="false">F114</f>
        <v>24</v>
      </c>
      <c r="G115" s="1334" t="n">
        <f aca="false">IF(I115=0,0,I115/($C115*$D115*$F115*H115))</f>
        <v>0</v>
      </c>
      <c r="H115" s="1542" t="n">
        <f aca="false">IF(Avail_LDs_Switch=1,VLOOKUP('Plant Operations'!A115,RAC_AvailFactor_Table,RAC_LDs!$G$258),IF($A115&lt;Startops2,Tariff!$T$11,0))</f>
        <v>0</v>
      </c>
      <c r="I115" s="1543" t="n">
        <f aca="false">IF(OR($A115&lt;Startops1,$A115&gt;=Startops2),0,IF(AND($A115&gt;=DieselOps_2,$A115&lt;Startops2),VLOOKUP($A115,Diesel_Table,Tariff!$Y$41),VLOOKUP($A115,OA_Table,Tariff!$Y$26)))</f>
        <v>0</v>
      </c>
      <c r="J115" s="1544" t="str">
        <f aca="false">IF(MONTH($A115)=12,SUM(I104:I115)," ")</f>
        <v> </v>
      </c>
      <c r="K115" s="1334" t="n">
        <f aca="false">IF(OR($A115&lt;Startops2,$A115&gt;=Endyr),0,VLOOKUP($A115,Capacity_Table,Tariff!$S$18))</f>
        <v>0.91</v>
      </c>
      <c r="L115" s="306" t="n">
        <f aca="false">IF(OR($A115&lt;Startops2,$A115&gt;=Endyr),0,VLOOKUP($A115,Capacity_Table,Tariff!$T$18))</f>
        <v>0.92</v>
      </c>
      <c r="M115" s="397" t="n">
        <f aca="false">IF($A115&lt;Startops2,0,IF($A115&lt;Startops3,VLOOKUP($A115,Convert_Table,Tariff!$Y$54),C115*D115*F115*K115*L115))</f>
        <v>289336.32</v>
      </c>
      <c r="N115" s="1544" t="str">
        <f aca="false">IF(MONTH($A115)=12,SUM(M104:M115)," ")</f>
        <v> </v>
      </c>
      <c r="O115" s="397" t="n">
        <f aca="false">IF($A115&lt;Startops2,0,IF($A115&lt;Startops3,Hr_II,Hr_III))</f>
        <v>7000</v>
      </c>
      <c r="P115" s="397" t="n">
        <f aca="false">M115*O115/1000</f>
        <v>2025354.24</v>
      </c>
      <c r="Q115" s="1545" t="str">
        <f aca="false">IF(MONTH($A115)=12,SUM(P104:P115)," ")</f>
        <v> </v>
      </c>
      <c r="R115" s="397" t="n">
        <f aca="false">IF($A115&gt;Endyr,0,IF($A115&lt;Assm!$A$55,P115,Assm!$F$55*$D115))</f>
        <v>1769187.94520548</v>
      </c>
      <c r="S115" s="1544" t="str">
        <f aca="false">IF(MONTH($A115)=12,SUM(R104:R115)," ")</f>
        <v> </v>
      </c>
      <c r="T115" s="397" t="n">
        <f aca="false">MAX(P115,R115)</f>
        <v>2025354.24</v>
      </c>
      <c r="U115" s="1546" t="str">
        <f aca="false">IF(MONTH($A115)=12,SUM(T104:T115)," ")</f>
        <v> </v>
      </c>
    </row>
    <row r="116" customFormat="false" ht="12.75" hidden="false" customHeight="false" outlineLevel="0" collapsed="false">
      <c r="A116" s="1538" t="n">
        <f aca="false">EDATE(A115,1)</f>
        <v>39417</v>
      </c>
      <c r="C116" s="1539" t="n">
        <f aca="false">IF($A116&gt;Endyr,0,VLOOKUP($A116,Capacity_Table,Tariff!$R$18))</f>
        <v>480</v>
      </c>
      <c r="D116" s="1540" t="n">
        <f aca="false">A117-A116</f>
        <v>31</v>
      </c>
      <c r="E116" s="1540" t="n">
        <f aca="false">IF(MONTH($A116)=12,SUM(D105:D116)," ")</f>
        <v>365</v>
      </c>
      <c r="F116" s="1545" t="n">
        <f aca="false">F115</f>
        <v>24</v>
      </c>
      <c r="G116" s="1334" t="n">
        <f aca="false">IF(I116=0,0,I116/($C116*$D116*$F116*H116))</f>
        <v>0</v>
      </c>
      <c r="H116" s="1542" t="n">
        <f aca="false">IF(Avail_LDs_Switch=1,VLOOKUP('Plant Operations'!A116,RAC_AvailFactor_Table,RAC_LDs!$G$258),IF($A116&lt;Startops2,Tariff!$T$11,0))</f>
        <v>0</v>
      </c>
      <c r="I116" s="1543" t="n">
        <f aca="false">IF(OR($A116&lt;Startops1,$A116&gt;=Startops2),0,IF(AND($A116&gt;=DieselOps_2,$A116&lt;Startops2),VLOOKUP($A116,Diesel_Table,Tariff!$Y$41),VLOOKUP($A116,OA_Table,Tariff!$Y$26)))</f>
        <v>0</v>
      </c>
      <c r="J116" s="1544" t="n">
        <f aca="false">IF(MONTH($A116)=12,SUM(I105:I116)," ")</f>
        <v>0</v>
      </c>
      <c r="K116" s="1334" t="n">
        <f aca="false">IF(OR($A116&lt;Startops2,$A116&gt;=Endyr),0,VLOOKUP($A116,Capacity_Table,Tariff!$S$18))</f>
        <v>0.91</v>
      </c>
      <c r="L116" s="306" t="n">
        <f aca="false">IF(OR($A116&lt;Startops2,$A116&gt;=Endyr),0,VLOOKUP($A116,Capacity_Table,Tariff!$T$18))</f>
        <v>0.92</v>
      </c>
      <c r="M116" s="397" t="n">
        <f aca="false">IF($A116&lt;Startops2,0,IF($A116&lt;Startops3,VLOOKUP($A116,Convert_Table,Tariff!$Y$54),C116*D116*F116*K116*L116))</f>
        <v>298980.864</v>
      </c>
      <c r="N116" s="1544" t="n">
        <f aca="false">IF(MONTH($A116)=12,SUM(M105:M116)," ")</f>
        <v>3520258.56</v>
      </c>
      <c r="O116" s="397" t="n">
        <f aca="false">IF($A116&lt;Startops2,0,IF($A116&lt;Startops3,Hr_II,Hr_III))</f>
        <v>7000</v>
      </c>
      <c r="P116" s="397" t="n">
        <f aca="false">M116*O116/1000</f>
        <v>2092866.048</v>
      </c>
      <c r="Q116" s="1545" t="n">
        <f aca="false">IF(MONTH($A116)=12,SUM(P105:P116)," ")</f>
        <v>24641809.92</v>
      </c>
      <c r="R116" s="397" t="n">
        <f aca="false">IF($A116&gt;Endyr,0,IF($A116&lt;Assm!$A$55,P116,Assm!$F$55*$D116))</f>
        <v>1828160.87671233</v>
      </c>
      <c r="S116" s="1544" t="n">
        <f aca="false">IF(MONTH($A116)=12,SUM(R105:R116)," ")</f>
        <v>21525120</v>
      </c>
      <c r="T116" s="397" t="n">
        <f aca="false">MAX(P116,R116)</f>
        <v>2092866.048</v>
      </c>
      <c r="U116" s="1546" t="n">
        <f aca="false">IF(MONTH($A116)=12,SUM(T105:T116)," ")</f>
        <v>24641809.92</v>
      </c>
    </row>
    <row r="117" customFormat="false" ht="12.75" hidden="false" customHeight="false" outlineLevel="0" collapsed="false">
      <c r="A117" s="1538" t="n">
        <f aca="false">EDATE(A116,1)</f>
        <v>39448</v>
      </c>
      <c r="C117" s="1539" t="n">
        <f aca="false">IF($A117&gt;Endyr,0,VLOOKUP($A117,Capacity_Table,Tariff!$R$18))</f>
        <v>480</v>
      </c>
      <c r="D117" s="1540" t="n">
        <f aca="false">A118-A117</f>
        <v>31</v>
      </c>
      <c r="E117" s="1540" t="str">
        <f aca="false">IF(MONTH($A117)=12,SUM(D106:D117)," ")</f>
        <v> </v>
      </c>
      <c r="F117" s="1545" t="n">
        <f aca="false">F116</f>
        <v>24</v>
      </c>
      <c r="G117" s="1334" t="n">
        <f aca="false">IF(I117=0,0,I117/($C117*$D117*$F117*H117))</f>
        <v>0</v>
      </c>
      <c r="H117" s="1542" t="n">
        <f aca="false">IF(Avail_LDs_Switch=1,VLOOKUP('Plant Operations'!A117,RAC_AvailFactor_Table,RAC_LDs!$G$258),IF($A117&lt;Startops2,Tariff!$T$11,0))</f>
        <v>0</v>
      </c>
      <c r="I117" s="1543" t="n">
        <f aca="false">IF(OR($A117&lt;Startops1,$A117&gt;=Startops2),0,IF(AND($A117&gt;=DieselOps_2,$A117&lt;Startops2),VLOOKUP($A117,Diesel_Table,Tariff!$Y$41),VLOOKUP($A117,OA_Table,Tariff!$Y$26)))</f>
        <v>0</v>
      </c>
      <c r="J117" s="1544" t="str">
        <f aca="false">IF(MONTH($A117)=12,SUM(I106:I117)," ")</f>
        <v> </v>
      </c>
      <c r="K117" s="1334" t="n">
        <f aca="false">IF(OR($A117&lt;Startops2,$A117&gt;=Endyr),0,VLOOKUP($A117,Capacity_Table,Tariff!$S$18))</f>
        <v>0.91</v>
      </c>
      <c r="L117" s="306" t="n">
        <f aca="false">IF(OR($A117&lt;Startops2,$A117&gt;=Endyr),0,VLOOKUP($A117,Capacity_Table,Tariff!$T$18))</f>
        <v>0.92</v>
      </c>
      <c r="M117" s="397" t="n">
        <f aca="false">IF($A117&lt;Startops2,0,IF($A117&lt;Startops3,VLOOKUP($A117,Convert_Table,Tariff!$Y$54),C117*D117*F117*K117*L117))</f>
        <v>298980.864</v>
      </c>
      <c r="N117" s="1544" t="str">
        <f aca="false">IF(MONTH($A117)=12,SUM(M106:M117)," ")</f>
        <v> </v>
      </c>
      <c r="O117" s="397" t="n">
        <f aca="false">IF($A117&lt;Startops2,0,IF($A117&lt;Startops3,Hr_II,Hr_III))</f>
        <v>7000</v>
      </c>
      <c r="P117" s="397" t="n">
        <f aca="false">M117*O117/1000</f>
        <v>2092866.048</v>
      </c>
      <c r="Q117" s="1545" t="str">
        <f aca="false">IF(MONTH($A117)=12,SUM(P106:P117)," ")</f>
        <v> </v>
      </c>
      <c r="R117" s="397" t="n">
        <f aca="false">IF($A117&gt;Endyr,0,IF($A117&lt;Assm!$A$55,P117,Assm!$F$55*$D117))</f>
        <v>1828160.87671233</v>
      </c>
      <c r="S117" s="1544" t="str">
        <f aca="false">IF(MONTH($A117)=12,SUM(R106:R117)," ")</f>
        <v> </v>
      </c>
      <c r="T117" s="397" t="n">
        <f aca="false">MAX(P117,R117)</f>
        <v>2092866.048</v>
      </c>
      <c r="U117" s="1546" t="str">
        <f aca="false">IF(MONTH($A117)=12,SUM(T106:T117)," ")</f>
        <v> </v>
      </c>
    </row>
    <row r="118" customFormat="false" ht="12.75" hidden="false" customHeight="false" outlineLevel="0" collapsed="false">
      <c r="A118" s="1538" t="n">
        <f aca="false">EDATE(A117,1)</f>
        <v>39479</v>
      </c>
      <c r="C118" s="1539" t="n">
        <f aca="false">IF($A118&gt;Endyr,0,VLOOKUP($A118,Capacity_Table,Tariff!$R$18))</f>
        <v>480</v>
      </c>
      <c r="D118" s="1540" t="n">
        <f aca="false">A119-A118</f>
        <v>29</v>
      </c>
      <c r="E118" s="1540" t="str">
        <f aca="false">IF(MONTH($A118)=12,SUM(D107:D118)," ")</f>
        <v> </v>
      </c>
      <c r="F118" s="1545" t="n">
        <f aca="false">F117</f>
        <v>24</v>
      </c>
      <c r="G118" s="1334" t="n">
        <f aca="false">IF(I118=0,0,I118/($C118*$D118*$F118*H118))</f>
        <v>0</v>
      </c>
      <c r="H118" s="1542" t="n">
        <f aca="false">IF(Avail_LDs_Switch=1,VLOOKUP('Plant Operations'!A118,RAC_AvailFactor_Table,RAC_LDs!$G$258),IF($A118&lt;Startops2,Tariff!$T$11,0))</f>
        <v>0</v>
      </c>
      <c r="I118" s="1543" t="n">
        <f aca="false">IF(OR($A118&lt;Startops1,$A118&gt;=Startops2),0,IF(AND($A118&gt;=DieselOps_2,$A118&lt;Startops2),VLOOKUP($A118,Diesel_Table,Tariff!$Y$41),VLOOKUP($A118,OA_Table,Tariff!$Y$26)))</f>
        <v>0</v>
      </c>
      <c r="J118" s="1544" t="str">
        <f aca="false">IF(MONTH($A118)=12,SUM(I107:I118)," ")</f>
        <v> </v>
      </c>
      <c r="K118" s="1334" t="n">
        <f aca="false">IF(OR($A118&lt;Startops2,$A118&gt;=Endyr),0,VLOOKUP($A118,Capacity_Table,Tariff!$S$18))</f>
        <v>0.91</v>
      </c>
      <c r="L118" s="306" t="n">
        <f aca="false">IF(OR($A118&lt;Startops2,$A118&gt;=Endyr),0,VLOOKUP($A118,Capacity_Table,Tariff!$T$18))</f>
        <v>0.92</v>
      </c>
      <c r="M118" s="397" t="n">
        <f aca="false">IF($A118&lt;Startops2,0,IF($A118&lt;Startops3,VLOOKUP($A118,Convert_Table,Tariff!$Y$54),C118*D118*F118*K118*L118))</f>
        <v>279691.776</v>
      </c>
      <c r="N118" s="1544" t="str">
        <f aca="false">IF(MONTH($A118)=12,SUM(M107:M118)," ")</f>
        <v> </v>
      </c>
      <c r="O118" s="397" t="n">
        <f aca="false">IF($A118&lt;Startops2,0,IF($A118&lt;Startops3,Hr_II,Hr_III))</f>
        <v>7000</v>
      </c>
      <c r="P118" s="397" t="n">
        <f aca="false">M118*O118/1000</f>
        <v>1957842.432</v>
      </c>
      <c r="Q118" s="1545" t="str">
        <f aca="false">IF(MONTH($A118)=12,SUM(P107:P118)," ")</f>
        <v> </v>
      </c>
      <c r="R118" s="397" t="n">
        <f aca="false">IF($A118&gt;Endyr,0,IF($A118&lt;Assm!$A$55,P118,Assm!$F$55*$D118))</f>
        <v>1710215.01369863</v>
      </c>
      <c r="S118" s="1544" t="str">
        <f aca="false">IF(MONTH($A118)=12,SUM(R107:R118)," ")</f>
        <v> </v>
      </c>
      <c r="T118" s="397" t="n">
        <f aca="false">MAX(P118,R118)</f>
        <v>1957842.432</v>
      </c>
      <c r="U118" s="1546" t="str">
        <f aca="false">IF(MONTH($A118)=12,SUM(T107:T118)," ")</f>
        <v> </v>
      </c>
    </row>
    <row r="119" customFormat="false" ht="12.75" hidden="false" customHeight="false" outlineLevel="0" collapsed="false">
      <c r="A119" s="1538" t="n">
        <f aca="false">EDATE(A118,1)</f>
        <v>39508</v>
      </c>
      <c r="C119" s="1539" t="n">
        <f aca="false">IF($A119&gt;Endyr,0,VLOOKUP($A119,Capacity_Table,Tariff!$R$18))</f>
        <v>480</v>
      </c>
      <c r="D119" s="1540" t="n">
        <f aca="false">A120-A119</f>
        <v>31</v>
      </c>
      <c r="E119" s="1540" t="str">
        <f aca="false">IF(MONTH($A119)=12,SUM(D108:D119)," ")</f>
        <v> </v>
      </c>
      <c r="F119" s="1545" t="n">
        <f aca="false">F118</f>
        <v>24</v>
      </c>
      <c r="G119" s="1334" t="n">
        <f aca="false">IF(I119=0,0,I119/($C119*$D119*$F119*H119))</f>
        <v>0</v>
      </c>
      <c r="H119" s="1542" t="n">
        <f aca="false">IF(Avail_LDs_Switch=1,VLOOKUP('Plant Operations'!A119,RAC_AvailFactor_Table,RAC_LDs!$G$258),IF($A119&lt;Startops2,Tariff!$T$11,0))</f>
        <v>0</v>
      </c>
      <c r="I119" s="1543" t="n">
        <f aca="false">IF(OR($A119&lt;Startops1,$A119&gt;=Startops2),0,IF(AND($A119&gt;=DieselOps_2,$A119&lt;Startops2),VLOOKUP($A119,Diesel_Table,Tariff!$Y$41),VLOOKUP($A119,OA_Table,Tariff!$Y$26)))</f>
        <v>0</v>
      </c>
      <c r="J119" s="1544" t="str">
        <f aca="false">IF(MONTH($A119)=12,SUM(I108:I119)," ")</f>
        <v> </v>
      </c>
      <c r="K119" s="1334" t="n">
        <f aca="false">IF(OR($A119&lt;Startops2,$A119&gt;=Endyr),0,VLOOKUP($A119,Capacity_Table,Tariff!$S$18))</f>
        <v>0.91</v>
      </c>
      <c r="L119" s="306" t="n">
        <f aca="false">IF(OR($A119&lt;Startops2,$A119&gt;=Endyr),0,VLOOKUP($A119,Capacity_Table,Tariff!$T$18))</f>
        <v>0.92</v>
      </c>
      <c r="M119" s="397" t="n">
        <f aca="false">IF($A119&lt;Startops2,0,IF($A119&lt;Startops3,VLOOKUP($A119,Convert_Table,Tariff!$Y$54),C119*D119*F119*K119*L119))</f>
        <v>298980.864</v>
      </c>
      <c r="N119" s="1544" t="str">
        <f aca="false">IF(MONTH($A119)=12,SUM(M108:M119)," ")</f>
        <v> </v>
      </c>
      <c r="O119" s="397" t="n">
        <f aca="false">IF($A119&lt;Startops2,0,IF($A119&lt;Startops3,Hr_II,Hr_III))</f>
        <v>7000</v>
      </c>
      <c r="P119" s="397" t="n">
        <f aca="false">M119*O119/1000</f>
        <v>2092866.048</v>
      </c>
      <c r="Q119" s="1545" t="str">
        <f aca="false">IF(MONTH($A119)=12,SUM(P108:P119)," ")</f>
        <v> </v>
      </c>
      <c r="R119" s="397" t="n">
        <f aca="false">IF($A119&gt;Endyr,0,IF($A119&lt;Assm!$A$55,P119,Assm!$F$55*$D119))</f>
        <v>1828160.87671233</v>
      </c>
      <c r="S119" s="1544" t="str">
        <f aca="false">IF(MONTH($A119)=12,SUM(R108:R119)," ")</f>
        <v> </v>
      </c>
      <c r="T119" s="397" t="n">
        <f aca="false">MAX(P119,R119)</f>
        <v>2092866.048</v>
      </c>
      <c r="U119" s="1546" t="str">
        <f aca="false">IF(MONTH($A119)=12,SUM(T108:T119)," ")</f>
        <v> </v>
      </c>
    </row>
    <row r="120" customFormat="false" ht="12.75" hidden="false" customHeight="false" outlineLevel="0" collapsed="false">
      <c r="A120" s="1538" t="n">
        <f aca="false">EDATE(A119,1)</f>
        <v>39539</v>
      </c>
      <c r="C120" s="1539" t="n">
        <f aca="false">IF($A120&gt;Endyr,0,VLOOKUP($A120,Capacity_Table,Tariff!$R$18))</f>
        <v>480</v>
      </c>
      <c r="D120" s="1540" t="n">
        <f aca="false">A121-A120</f>
        <v>30</v>
      </c>
      <c r="E120" s="1540" t="str">
        <f aca="false">IF(MONTH($A120)=12,SUM(D109:D120)," ")</f>
        <v> </v>
      </c>
      <c r="F120" s="1545" t="n">
        <f aca="false">F119</f>
        <v>24</v>
      </c>
      <c r="G120" s="1334" t="n">
        <f aca="false">IF(I120=0,0,I120/($C120*$D120*$F120*H120))</f>
        <v>0</v>
      </c>
      <c r="H120" s="1542" t="n">
        <f aca="false">IF(Avail_LDs_Switch=1,VLOOKUP('Plant Operations'!A120,RAC_AvailFactor_Table,RAC_LDs!$G$258),IF($A120&lt;Startops2,Tariff!$T$11,0))</f>
        <v>0</v>
      </c>
      <c r="I120" s="1543" t="n">
        <f aca="false">IF(OR($A120&lt;Startops1,$A120&gt;=Startops2),0,IF(AND($A120&gt;=DieselOps_2,$A120&lt;Startops2),VLOOKUP($A120,Diesel_Table,Tariff!$Y$41),VLOOKUP($A120,OA_Table,Tariff!$Y$26)))</f>
        <v>0</v>
      </c>
      <c r="J120" s="1544" t="str">
        <f aca="false">IF(MONTH($A120)=12,SUM(I109:I120)," ")</f>
        <v> </v>
      </c>
      <c r="K120" s="1334" t="n">
        <f aca="false">IF(OR($A120&lt;Startops2,$A120&gt;=Endyr),0,VLOOKUP($A120,Capacity_Table,Tariff!$S$18))</f>
        <v>0.91</v>
      </c>
      <c r="L120" s="306" t="n">
        <f aca="false">IF(OR($A120&lt;Startops2,$A120&gt;=Endyr),0,VLOOKUP($A120,Capacity_Table,Tariff!$T$18))</f>
        <v>0.92</v>
      </c>
      <c r="M120" s="397" t="n">
        <f aca="false">IF($A120&lt;Startops2,0,IF($A120&lt;Startops3,VLOOKUP($A120,Convert_Table,Tariff!$Y$54),C120*D120*F120*K120*L120))</f>
        <v>289336.32</v>
      </c>
      <c r="N120" s="1544" t="str">
        <f aca="false">IF(MONTH($A120)=12,SUM(M109:M120)," ")</f>
        <v> </v>
      </c>
      <c r="O120" s="397" t="n">
        <f aca="false">IF($A120&lt;Startops2,0,IF($A120&lt;Startops3,Hr_II,Hr_III))</f>
        <v>7000</v>
      </c>
      <c r="P120" s="397" t="n">
        <f aca="false">M120*O120/1000</f>
        <v>2025354.24</v>
      </c>
      <c r="Q120" s="1545" t="str">
        <f aca="false">IF(MONTH($A120)=12,SUM(P109:P120)," ")</f>
        <v> </v>
      </c>
      <c r="R120" s="397" t="n">
        <f aca="false">IF($A120&gt;Endyr,0,IF($A120&lt;Assm!$A$55,P120,Assm!$F$55*$D120))</f>
        <v>1769187.94520548</v>
      </c>
      <c r="S120" s="1544" t="str">
        <f aca="false">IF(MONTH($A120)=12,SUM(R109:R120)," ")</f>
        <v> </v>
      </c>
      <c r="T120" s="397" t="n">
        <f aca="false">MAX(P120,R120)</f>
        <v>2025354.24</v>
      </c>
      <c r="U120" s="1546" t="str">
        <f aca="false">IF(MONTH($A120)=12,SUM(T109:T120)," ")</f>
        <v> </v>
      </c>
    </row>
    <row r="121" customFormat="false" ht="12.75" hidden="false" customHeight="false" outlineLevel="0" collapsed="false">
      <c r="A121" s="1538" t="n">
        <f aca="false">EDATE(A120,1)</f>
        <v>39569</v>
      </c>
      <c r="C121" s="1539" t="n">
        <f aca="false">IF($A121&gt;Endyr,0,VLOOKUP($A121,Capacity_Table,Tariff!$R$18))</f>
        <v>480</v>
      </c>
      <c r="D121" s="1540" t="n">
        <f aca="false">A122-A121</f>
        <v>31</v>
      </c>
      <c r="E121" s="1540" t="str">
        <f aca="false">IF(MONTH($A121)=12,SUM(D110:D121)," ")</f>
        <v> </v>
      </c>
      <c r="F121" s="1545" t="n">
        <f aca="false">F120</f>
        <v>24</v>
      </c>
      <c r="G121" s="1334" t="n">
        <f aca="false">IF(I121=0,0,I121/($C121*$D121*$F121*H121))</f>
        <v>0</v>
      </c>
      <c r="H121" s="1542" t="n">
        <f aca="false">IF(Avail_LDs_Switch=1,VLOOKUP('Plant Operations'!A121,RAC_AvailFactor_Table,RAC_LDs!$G$258),IF($A121&lt;Startops2,Tariff!$T$11,0))</f>
        <v>0</v>
      </c>
      <c r="I121" s="1543" t="n">
        <f aca="false">IF(OR($A121&lt;Startops1,$A121&gt;=Startops2),0,IF(AND($A121&gt;=DieselOps_2,$A121&lt;Startops2),VLOOKUP($A121,Diesel_Table,Tariff!$Y$41),VLOOKUP($A121,OA_Table,Tariff!$Y$26)))</f>
        <v>0</v>
      </c>
      <c r="J121" s="1544" t="str">
        <f aca="false">IF(MONTH($A121)=12,SUM(I110:I121)," ")</f>
        <v> </v>
      </c>
      <c r="K121" s="1334" t="n">
        <f aca="false">IF(OR($A121&lt;Startops2,$A121&gt;=Endyr),0,VLOOKUP($A121,Capacity_Table,Tariff!$S$18))</f>
        <v>0.91</v>
      </c>
      <c r="L121" s="306" t="n">
        <f aca="false">IF(OR($A121&lt;Startops2,$A121&gt;=Endyr),0,VLOOKUP($A121,Capacity_Table,Tariff!$T$18))</f>
        <v>0.92</v>
      </c>
      <c r="M121" s="397" t="n">
        <f aca="false">IF($A121&lt;Startops2,0,IF($A121&lt;Startops3,VLOOKUP($A121,Convert_Table,Tariff!$Y$54),C121*D121*F121*K121*L121))</f>
        <v>298980.864</v>
      </c>
      <c r="N121" s="1544" t="str">
        <f aca="false">IF(MONTH($A121)=12,SUM(M110:M121)," ")</f>
        <v> </v>
      </c>
      <c r="O121" s="397" t="n">
        <f aca="false">IF($A121&lt;Startops2,0,IF($A121&lt;Startops3,Hr_II,Hr_III))</f>
        <v>7000</v>
      </c>
      <c r="P121" s="397" t="n">
        <f aca="false">M121*O121/1000</f>
        <v>2092866.048</v>
      </c>
      <c r="Q121" s="1545" t="str">
        <f aca="false">IF(MONTH($A121)=12,SUM(P110:P121)," ")</f>
        <v> </v>
      </c>
      <c r="R121" s="397" t="n">
        <f aca="false">IF($A121&gt;Endyr,0,IF($A121&lt;Assm!$A$55,P121,Assm!$F$55*$D121))</f>
        <v>1828160.87671233</v>
      </c>
      <c r="S121" s="1544" t="str">
        <f aca="false">IF(MONTH($A121)=12,SUM(R110:R121)," ")</f>
        <v> </v>
      </c>
      <c r="T121" s="397" t="n">
        <f aca="false">MAX(P121,R121)</f>
        <v>2092866.048</v>
      </c>
      <c r="U121" s="1546" t="str">
        <f aca="false">IF(MONTH($A121)=12,SUM(T110:T121)," ")</f>
        <v> </v>
      </c>
    </row>
    <row r="122" customFormat="false" ht="12.75" hidden="false" customHeight="false" outlineLevel="0" collapsed="false">
      <c r="A122" s="1538" t="n">
        <f aca="false">EDATE(A121,1)</f>
        <v>39600</v>
      </c>
      <c r="C122" s="1539" t="n">
        <f aca="false">IF($A122&gt;Endyr,0,VLOOKUP($A122,Capacity_Table,Tariff!$R$18))</f>
        <v>480</v>
      </c>
      <c r="D122" s="1540" t="n">
        <f aca="false">A123-A122</f>
        <v>30</v>
      </c>
      <c r="E122" s="1540" t="str">
        <f aca="false">IF(MONTH($A122)=12,SUM(D111:D122)," ")</f>
        <v> </v>
      </c>
      <c r="F122" s="1545" t="n">
        <f aca="false">F121</f>
        <v>24</v>
      </c>
      <c r="G122" s="1334" t="n">
        <f aca="false">IF(I122=0,0,I122/($C122*$D122*$F122*H122))</f>
        <v>0</v>
      </c>
      <c r="H122" s="1542" t="n">
        <f aca="false">IF(Avail_LDs_Switch=1,VLOOKUP('Plant Operations'!A122,RAC_AvailFactor_Table,RAC_LDs!$G$258),IF($A122&lt;Startops2,Tariff!$T$11,0))</f>
        <v>0</v>
      </c>
      <c r="I122" s="1543" t="n">
        <f aca="false">IF(OR($A122&lt;Startops1,$A122&gt;=Startops2),0,IF(AND($A122&gt;=DieselOps_2,$A122&lt;Startops2),VLOOKUP($A122,Diesel_Table,Tariff!$Y$41),VLOOKUP($A122,OA_Table,Tariff!$Y$26)))</f>
        <v>0</v>
      </c>
      <c r="J122" s="1544" t="str">
        <f aca="false">IF(MONTH($A122)=12,SUM(I111:I122)," ")</f>
        <v> </v>
      </c>
      <c r="K122" s="1334" t="n">
        <f aca="false">IF(OR($A122&lt;Startops2,$A122&gt;=Endyr),0,VLOOKUP($A122,Capacity_Table,Tariff!$S$18))</f>
        <v>0.91</v>
      </c>
      <c r="L122" s="306" t="n">
        <f aca="false">IF(OR($A122&lt;Startops2,$A122&gt;=Endyr),0,VLOOKUP($A122,Capacity_Table,Tariff!$T$18))</f>
        <v>0.92</v>
      </c>
      <c r="M122" s="397" t="n">
        <f aca="false">IF($A122&lt;Startops2,0,IF($A122&lt;Startops3,VLOOKUP($A122,Convert_Table,Tariff!$Y$54),C122*D122*F122*K122*L122))</f>
        <v>289336.32</v>
      </c>
      <c r="N122" s="1544" t="str">
        <f aca="false">IF(MONTH($A122)=12,SUM(M111:M122)," ")</f>
        <v> </v>
      </c>
      <c r="O122" s="397" t="n">
        <f aca="false">IF($A122&lt;Startops2,0,IF($A122&lt;Startops3,Hr_II,Hr_III))</f>
        <v>7000</v>
      </c>
      <c r="P122" s="397" t="n">
        <f aca="false">M122*O122/1000</f>
        <v>2025354.24</v>
      </c>
      <c r="Q122" s="1545" t="str">
        <f aca="false">IF(MONTH($A122)=12,SUM(P111:P122)," ")</f>
        <v> </v>
      </c>
      <c r="R122" s="397" t="n">
        <f aca="false">IF($A122&gt;Endyr,0,IF($A122&lt;Assm!$A$55,P122,Assm!$F$55*$D122))</f>
        <v>1769187.94520548</v>
      </c>
      <c r="S122" s="1544" t="str">
        <f aca="false">IF(MONTH($A122)=12,SUM(R111:R122)," ")</f>
        <v> </v>
      </c>
      <c r="T122" s="397" t="n">
        <f aca="false">MAX(P122,R122)</f>
        <v>2025354.24</v>
      </c>
      <c r="U122" s="1546" t="str">
        <f aca="false">IF(MONTH($A122)=12,SUM(T111:T122)," ")</f>
        <v> </v>
      </c>
    </row>
    <row r="123" customFormat="false" ht="12.75" hidden="false" customHeight="false" outlineLevel="0" collapsed="false">
      <c r="A123" s="1538" t="n">
        <f aca="false">EDATE(A122,1)</f>
        <v>39630</v>
      </c>
      <c r="C123" s="1539" t="n">
        <f aca="false">IF($A123&gt;Endyr,0,VLOOKUP($A123,Capacity_Table,Tariff!$R$18))</f>
        <v>480</v>
      </c>
      <c r="D123" s="1540" t="n">
        <f aca="false">A124-A123</f>
        <v>31</v>
      </c>
      <c r="E123" s="1540" t="str">
        <f aca="false">IF(MONTH($A123)=12,SUM(D112:D123)," ")</f>
        <v> </v>
      </c>
      <c r="F123" s="1545" t="n">
        <f aca="false">F122</f>
        <v>24</v>
      </c>
      <c r="G123" s="1334" t="n">
        <f aca="false">IF(I123=0,0,I123/($C123*$D123*$F123*H123))</f>
        <v>0</v>
      </c>
      <c r="H123" s="1542" t="n">
        <f aca="false">IF(Avail_LDs_Switch=1,VLOOKUP('Plant Operations'!A123,RAC_AvailFactor_Table,RAC_LDs!$G$258),IF($A123&lt;Startops2,Tariff!$T$11,0))</f>
        <v>0</v>
      </c>
      <c r="I123" s="1543" t="n">
        <f aca="false">IF(OR($A123&lt;Startops1,$A123&gt;=Startops2),0,IF(AND($A123&gt;=DieselOps_2,$A123&lt;Startops2),VLOOKUP($A123,Diesel_Table,Tariff!$Y$41),VLOOKUP($A123,OA_Table,Tariff!$Y$26)))</f>
        <v>0</v>
      </c>
      <c r="J123" s="1544" t="str">
        <f aca="false">IF(MONTH($A123)=12,SUM(I112:I123)," ")</f>
        <v> </v>
      </c>
      <c r="K123" s="1334" t="n">
        <f aca="false">IF(OR($A123&lt;Startops2,$A123&gt;=Endyr),0,VLOOKUP($A123,Capacity_Table,Tariff!$S$18))</f>
        <v>0.91</v>
      </c>
      <c r="L123" s="306" t="n">
        <f aca="false">IF(OR($A123&lt;Startops2,$A123&gt;=Endyr),0,VLOOKUP($A123,Capacity_Table,Tariff!$T$18))</f>
        <v>0.92</v>
      </c>
      <c r="M123" s="397" t="n">
        <f aca="false">IF($A123&lt;Startops2,0,IF($A123&lt;Startops3,VLOOKUP($A123,Convert_Table,Tariff!$Y$54),C123*D123*F123*K123*L123))</f>
        <v>298980.864</v>
      </c>
      <c r="N123" s="1544" t="str">
        <f aca="false">IF(MONTH($A123)=12,SUM(M112:M123)," ")</f>
        <v> </v>
      </c>
      <c r="O123" s="397" t="n">
        <f aca="false">IF($A123&lt;Startops2,0,IF($A123&lt;Startops3,Hr_II,Hr_III))</f>
        <v>7000</v>
      </c>
      <c r="P123" s="397" t="n">
        <f aca="false">M123*O123/1000</f>
        <v>2092866.048</v>
      </c>
      <c r="Q123" s="1545" t="str">
        <f aca="false">IF(MONTH($A123)=12,SUM(P112:P123)," ")</f>
        <v> </v>
      </c>
      <c r="R123" s="397" t="n">
        <f aca="false">IF($A123&gt;Endyr,0,IF($A123&lt;Assm!$A$55,P123,Assm!$F$55*$D123))</f>
        <v>1828160.87671233</v>
      </c>
      <c r="S123" s="1544" t="str">
        <f aca="false">IF(MONTH($A123)=12,SUM(R112:R123)," ")</f>
        <v> </v>
      </c>
      <c r="T123" s="397" t="n">
        <f aca="false">MAX(P123,R123)</f>
        <v>2092866.048</v>
      </c>
      <c r="U123" s="1546" t="str">
        <f aca="false">IF(MONTH($A123)=12,SUM(T112:T123)," ")</f>
        <v> </v>
      </c>
    </row>
    <row r="124" customFormat="false" ht="12.75" hidden="false" customHeight="false" outlineLevel="0" collapsed="false">
      <c r="A124" s="1538" t="n">
        <f aca="false">EDATE(A123,1)</f>
        <v>39661</v>
      </c>
      <c r="C124" s="1539" t="n">
        <f aca="false">IF($A124&gt;Endyr,0,VLOOKUP($A124,Capacity_Table,Tariff!$R$18))</f>
        <v>480</v>
      </c>
      <c r="D124" s="1540" t="n">
        <f aca="false">A125-A124</f>
        <v>31</v>
      </c>
      <c r="E124" s="1540" t="str">
        <f aca="false">IF(MONTH($A124)=12,SUM(D113:D124)," ")</f>
        <v> </v>
      </c>
      <c r="F124" s="1545" t="n">
        <f aca="false">F123</f>
        <v>24</v>
      </c>
      <c r="G124" s="1334" t="n">
        <f aca="false">IF(I124=0,0,I124/($C124*$D124*$F124*H124))</f>
        <v>0</v>
      </c>
      <c r="H124" s="1542" t="n">
        <f aca="false">IF(Avail_LDs_Switch=1,VLOOKUP('Plant Operations'!A124,RAC_AvailFactor_Table,RAC_LDs!$G$258),IF($A124&lt;Startops2,Tariff!$T$11,0))</f>
        <v>0</v>
      </c>
      <c r="I124" s="1543" t="n">
        <f aca="false">IF(OR($A124&lt;Startops1,$A124&gt;=Startops2),0,IF(AND($A124&gt;=DieselOps_2,$A124&lt;Startops2),VLOOKUP($A124,Diesel_Table,Tariff!$Y$41),VLOOKUP($A124,OA_Table,Tariff!$Y$26)))</f>
        <v>0</v>
      </c>
      <c r="J124" s="1544" t="str">
        <f aca="false">IF(MONTH($A124)=12,SUM(I113:I124)," ")</f>
        <v> </v>
      </c>
      <c r="K124" s="1334" t="n">
        <f aca="false">IF(OR($A124&lt;Startops2,$A124&gt;=Endyr),0,VLOOKUP($A124,Capacity_Table,Tariff!$S$18))</f>
        <v>0.91</v>
      </c>
      <c r="L124" s="306" t="n">
        <f aca="false">IF(OR($A124&lt;Startops2,$A124&gt;=Endyr),0,VLOOKUP($A124,Capacity_Table,Tariff!$T$18))</f>
        <v>0.92</v>
      </c>
      <c r="M124" s="397" t="n">
        <f aca="false">IF($A124&lt;Startops2,0,IF($A124&lt;Startops3,VLOOKUP($A124,Convert_Table,Tariff!$Y$54),C124*D124*F124*K124*L124))</f>
        <v>298980.864</v>
      </c>
      <c r="N124" s="1544" t="str">
        <f aca="false">IF(MONTH($A124)=12,SUM(M113:M124)," ")</f>
        <v> </v>
      </c>
      <c r="O124" s="397" t="n">
        <f aca="false">IF($A124&lt;Startops2,0,IF($A124&lt;Startops3,Hr_II,Hr_III))</f>
        <v>7000</v>
      </c>
      <c r="P124" s="397" t="n">
        <f aca="false">M124*O124/1000</f>
        <v>2092866.048</v>
      </c>
      <c r="Q124" s="1545" t="str">
        <f aca="false">IF(MONTH($A124)=12,SUM(P113:P124)," ")</f>
        <v> </v>
      </c>
      <c r="R124" s="397" t="n">
        <f aca="false">IF($A124&gt;Endyr,0,IF($A124&lt;Assm!$A$55,P124,Assm!$F$55*$D124))</f>
        <v>1828160.87671233</v>
      </c>
      <c r="S124" s="1544" t="str">
        <f aca="false">IF(MONTH($A124)=12,SUM(R113:R124)," ")</f>
        <v> </v>
      </c>
      <c r="T124" s="397" t="n">
        <f aca="false">MAX(P124,R124)</f>
        <v>2092866.048</v>
      </c>
      <c r="U124" s="1546" t="str">
        <f aca="false">IF(MONTH($A124)=12,SUM(T113:T124)," ")</f>
        <v> </v>
      </c>
    </row>
    <row r="125" customFormat="false" ht="12.75" hidden="false" customHeight="false" outlineLevel="0" collapsed="false">
      <c r="A125" s="1538" t="n">
        <f aca="false">EDATE(A124,1)</f>
        <v>39692</v>
      </c>
      <c r="C125" s="1539" t="n">
        <f aca="false">IF($A125&gt;Endyr,0,VLOOKUP($A125,Capacity_Table,Tariff!$R$18))</f>
        <v>480</v>
      </c>
      <c r="D125" s="1540" t="n">
        <f aca="false">A126-A125</f>
        <v>30</v>
      </c>
      <c r="E125" s="1540" t="str">
        <f aca="false">IF(MONTH($A125)=12,SUM(D114:D125)," ")</f>
        <v> </v>
      </c>
      <c r="F125" s="1545" t="n">
        <f aca="false">F124</f>
        <v>24</v>
      </c>
      <c r="G125" s="1334" t="n">
        <f aca="false">IF(I125=0,0,I125/($C125*$D125*$F125*H125))</f>
        <v>0</v>
      </c>
      <c r="H125" s="1542" t="n">
        <f aca="false">IF(Avail_LDs_Switch=1,VLOOKUP('Plant Operations'!A125,RAC_AvailFactor_Table,RAC_LDs!$G$258),IF($A125&lt;Startops2,Tariff!$T$11,0))</f>
        <v>0</v>
      </c>
      <c r="I125" s="1543" t="n">
        <f aca="false">IF(OR($A125&lt;Startops1,$A125&gt;=Startops2),0,IF(AND($A125&gt;=DieselOps_2,$A125&lt;Startops2),VLOOKUP($A125,Diesel_Table,Tariff!$Y$41),VLOOKUP($A125,OA_Table,Tariff!$Y$26)))</f>
        <v>0</v>
      </c>
      <c r="J125" s="1544" t="str">
        <f aca="false">IF(MONTH($A125)=12,SUM(I114:I125)," ")</f>
        <v> </v>
      </c>
      <c r="K125" s="1334" t="n">
        <f aca="false">IF(OR($A125&lt;Startops2,$A125&gt;=Endyr),0,VLOOKUP($A125,Capacity_Table,Tariff!$S$18))</f>
        <v>0.91</v>
      </c>
      <c r="L125" s="306" t="n">
        <f aca="false">IF(OR($A125&lt;Startops2,$A125&gt;=Endyr),0,VLOOKUP($A125,Capacity_Table,Tariff!$T$18))</f>
        <v>0.92</v>
      </c>
      <c r="M125" s="397" t="n">
        <f aca="false">IF($A125&lt;Startops2,0,IF($A125&lt;Startops3,VLOOKUP($A125,Convert_Table,Tariff!$Y$54),C125*D125*F125*K125*L125))</f>
        <v>289336.32</v>
      </c>
      <c r="N125" s="1544" t="str">
        <f aca="false">IF(MONTH($A125)=12,SUM(M114:M125)," ")</f>
        <v> </v>
      </c>
      <c r="O125" s="397" t="n">
        <f aca="false">IF($A125&lt;Startops2,0,IF($A125&lt;Startops3,Hr_II,Hr_III))</f>
        <v>7000</v>
      </c>
      <c r="P125" s="397" t="n">
        <f aca="false">M125*O125/1000</f>
        <v>2025354.24</v>
      </c>
      <c r="Q125" s="1545" t="str">
        <f aca="false">IF(MONTH($A125)=12,SUM(P114:P125)," ")</f>
        <v> </v>
      </c>
      <c r="R125" s="397" t="n">
        <f aca="false">IF($A125&gt;Endyr,0,IF($A125&lt;Assm!$A$55,P125,Assm!$F$55*$D125))</f>
        <v>1769187.94520548</v>
      </c>
      <c r="S125" s="1544" t="str">
        <f aca="false">IF(MONTH($A125)=12,SUM(R114:R125)," ")</f>
        <v> </v>
      </c>
      <c r="T125" s="397" t="n">
        <f aca="false">MAX(P125,R125)</f>
        <v>2025354.24</v>
      </c>
      <c r="U125" s="1546" t="str">
        <f aca="false">IF(MONTH($A125)=12,SUM(T114:T125)," ")</f>
        <v> </v>
      </c>
    </row>
    <row r="126" customFormat="false" ht="12.75" hidden="false" customHeight="false" outlineLevel="0" collapsed="false">
      <c r="A126" s="1538" t="n">
        <f aca="false">EDATE(A125,1)</f>
        <v>39722</v>
      </c>
      <c r="C126" s="1539" t="n">
        <f aca="false">IF($A126&gt;Endyr,0,VLOOKUP($A126,Capacity_Table,Tariff!$R$18))</f>
        <v>480</v>
      </c>
      <c r="D126" s="1540" t="n">
        <f aca="false">A127-A126</f>
        <v>31</v>
      </c>
      <c r="E126" s="1540" t="str">
        <f aca="false">IF(MONTH($A126)=12,SUM(D115:D126)," ")</f>
        <v> </v>
      </c>
      <c r="F126" s="1545" t="n">
        <f aca="false">F125</f>
        <v>24</v>
      </c>
      <c r="G126" s="1334" t="n">
        <f aca="false">IF(I126=0,0,I126/($C126*$D126*$F126*H126))</f>
        <v>0</v>
      </c>
      <c r="H126" s="1542" t="n">
        <f aca="false">IF(Avail_LDs_Switch=1,VLOOKUP('Plant Operations'!A126,RAC_AvailFactor_Table,RAC_LDs!$G$258),IF($A126&lt;Startops2,Tariff!$T$11,0))</f>
        <v>0</v>
      </c>
      <c r="I126" s="1543" t="n">
        <f aca="false">IF(OR($A126&lt;Startops1,$A126&gt;=Startops2),0,IF(AND($A126&gt;=DieselOps_2,$A126&lt;Startops2),VLOOKUP($A126,Diesel_Table,Tariff!$Y$41),VLOOKUP($A126,OA_Table,Tariff!$Y$26)))</f>
        <v>0</v>
      </c>
      <c r="J126" s="1544" t="str">
        <f aca="false">IF(MONTH($A126)=12,SUM(I115:I126)," ")</f>
        <v> </v>
      </c>
      <c r="K126" s="1334" t="n">
        <f aca="false">IF(OR($A126&lt;Startops2,$A126&gt;=Endyr),0,VLOOKUP($A126,Capacity_Table,Tariff!$S$18))</f>
        <v>0.91</v>
      </c>
      <c r="L126" s="306" t="n">
        <f aca="false">IF(OR($A126&lt;Startops2,$A126&gt;=Endyr),0,VLOOKUP($A126,Capacity_Table,Tariff!$T$18))</f>
        <v>0.92</v>
      </c>
      <c r="M126" s="397" t="n">
        <f aca="false">IF($A126&lt;Startops2,0,IF($A126&lt;Startops3,VLOOKUP($A126,Convert_Table,Tariff!$Y$54),C126*D126*F126*K126*L126))</f>
        <v>298980.864</v>
      </c>
      <c r="N126" s="1544" t="str">
        <f aca="false">IF(MONTH($A126)=12,SUM(M115:M126)," ")</f>
        <v> </v>
      </c>
      <c r="O126" s="397" t="n">
        <f aca="false">IF($A126&lt;Startops2,0,IF($A126&lt;Startops3,Hr_II,Hr_III))</f>
        <v>7000</v>
      </c>
      <c r="P126" s="397" t="n">
        <f aca="false">M126*O126/1000</f>
        <v>2092866.048</v>
      </c>
      <c r="Q126" s="1545" t="str">
        <f aca="false">IF(MONTH($A126)=12,SUM(P115:P126)," ")</f>
        <v> </v>
      </c>
      <c r="R126" s="397" t="n">
        <f aca="false">IF($A126&gt;Endyr,0,IF($A126&lt;Assm!$A$55,P126,Assm!$F$55*$D126))</f>
        <v>1828160.87671233</v>
      </c>
      <c r="S126" s="1544" t="str">
        <f aca="false">IF(MONTH($A126)=12,SUM(R115:R126)," ")</f>
        <v> </v>
      </c>
      <c r="T126" s="397" t="n">
        <f aca="false">MAX(P126,R126)</f>
        <v>2092866.048</v>
      </c>
      <c r="U126" s="1546" t="str">
        <f aca="false">IF(MONTH($A126)=12,SUM(T115:T126)," ")</f>
        <v> </v>
      </c>
    </row>
    <row r="127" customFormat="false" ht="12.75" hidden="false" customHeight="false" outlineLevel="0" collapsed="false">
      <c r="A127" s="1538" t="n">
        <f aca="false">EDATE(A126,1)</f>
        <v>39753</v>
      </c>
      <c r="C127" s="1539" t="n">
        <f aca="false">IF($A127&gt;Endyr,0,VLOOKUP($A127,Capacity_Table,Tariff!$R$18))</f>
        <v>480</v>
      </c>
      <c r="D127" s="1540" t="n">
        <f aca="false">A128-A127</f>
        <v>30</v>
      </c>
      <c r="E127" s="1540" t="str">
        <f aca="false">IF(MONTH($A127)=12,SUM(D116:D127)," ")</f>
        <v> </v>
      </c>
      <c r="F127" s="1545" t="n">
        <f aca="false">F126</f>
        <v>24</v>
      </c>
      <c r="G127" s="1334" t="n">
        <f aca="false">IF(I127=0,0,I127/($C127*$D127*$F127*H127))</f>
        <v>0</v>
      </c>
      <c r="H127" s="1542" t="n">
        <f aca="false">IF(Avail_LDs_Switch=1,VLOOKUP('Plant Operations'!A127,RAC_AvailFactor_Table,RAC_LDs!$G$258),IF($A127&lt;Startops2,Tariff!$T$11,0))</f>
        <v>0</v>
      </c>
      <c r="I127" s="1543" t="n">
        <f aca="false">IF(OR($A127&lt;Startops1,$A127&gt;=Startops2),0,IF(AND($A127&gt;=DieselOps_2,$A127&lt;Startops2),VLOOKUP($A127,Diesel_Table,Tariff!$Y$41),VLOOKUP($A127,OA_Table,Tariff!$Y$26)))</f>
        <v>0</v>
      </c>
      <c r="J127" s="1544" t="str">
        <f aca="false">IF(MONTH($A127)=12,SUM(I116:I127)," ")</f>
        <v> </v>
      </c>
      <c r="K127" s="1334" t="n">
        <f aca="false">IF(OR($A127&lt;Startops2,$A127&gt;=Endyr),0,VLOOKUP($A127,Capacity_Table,Tariff!$S$18))</f>
        <v>0.91</v>
      </c>
      <c r="L127" s="306" t="n">
        <f aca="false">IF(OR($A127&lt;Startops2,$A127&gt;=Endyr),0,VLOOKUP($A127,Capacity_Table,Tariff!$T$18))</f>
        <v>0.92</v>
      </c>
      <c r="M127" s="397" t="n">
        <f aca="false">IF($A127&lt;Startops2,0,IF($A127&lt;Startops3,VLOOKUP($A127,Convert_Table,Tariff!$Y$54),C127*D127*F127*K127*L127))</f>
        <v>289336.32</v>
      </c>
      <c r="N127" s="1544" t="str">
        <f aca="false">IF(MONTH($A127)=12,SUM(M116:M127)," ")</f>
        <v> </v>
      </c>
      <c r="O127" s="397" t="n">
        <f aca="false">IF($A127&lt;Startops2,0,IF($A127&lt;Startops3,Hr_II,Hr_III))</f>
        <v>7000</v>
      </c>
      <c r="P127" s="397" t="n">
        <f aca="false">M127*O127/1000</f>
        <v>2025354.24</v>
      </c>
      <c r="Q127" s="1545" t="str">
        <f aca="false">IF(MONTH($A127)=12,SUM(P116:P127)," ")</f>
        <v> </v>
      </c>
      <c r="R127" s="397" t="n">
        <f aca="false">IF($A127&gt;Endyr,0,IF($A127&lt;Assm!$A$55,P127,Assm!$F$55*$D127))</f>
        <v>1769187.94520548</v>
      </c>
      <c r="S127" s="1544" t="str">
        <f aca="false">IF(MONTH($A127)=12,SUM(R116:R127)," ")</f>
        <v> </v>
      </c>
      <c r="T127" s="397" t="n">
        <f aca="false">MAX(P127,R127)</f>
        <v>2025354.24</v>
      </c>
      <c r="U127" s="1546" t="str">
        <f aca="false">IF(MONTH($A127)=12,SUM(T116:T127)," ")</f>
        <v> </v>
      </c>
    </row>
    <row r="128" customFormat="false" ht="12.75" hidden="false" customHeight="false" outlineLevel="0" collapsed="false">
      <c r="A128" s="1538" t="n">
        <f aca="false">EDATE(A127,1)</f>
        <v>39783</v>
      </c>
      <c r="C128" s="1539" t="n">
        <f aca="false">IF($A128&gt;Endyr,0,VLOOKUP($A128,Capacity_Table,Tariff!$R$18))</f>
        <v>480</v>
      </c>
      <c r="D128" s="1540" t="n">
        <f aca="false">A129-A128</f>
        <v>31</v>
      </c>
      <c r="E128" s="1540" t="n">
        <f aca="false">IF(MONTH($A128)=12,SUM(D117:D128)," ")</f>
        <v>366</v>
      </c>
      <c r="F128" s="1545" t="n">
        <f aca="false">F127</f>
        <v>24</v>
      </c>
      <c r="G128" s="1334" t="n">
        <f aca="false">IF(I128=0,0,I128/($C128*$D128*$F128*H128))</f>
        <v>0</v>
      </c>
      <c r="H128" s="1542" t="n">
        <f aca="false">IF(Avail_LDs_Switch=1,VLOOKUP('Plant Operations'!A128,RAC_AvailFactor_Table,RAC_LDs!$G$258),IF($A128&lt;Startops2,Tariff!$T$11,0))</f>
        <v>0</v>
      </c>
      <c r="I128" s="1543" t="n">
        <f aca="false">IF(OR($A128&lt;Startops1,$A128&gt;=Startops2),0,IF(AND($A128&gt;=DieselOps_2,$A128&lt;Startops2),VLOOKUP($A128,Diesel_Table,Tariff!$Y$41),VLOOKUP($A128,OA_Table,Tariff!$Y$26)))</f>
        <v>0</v>
      </c>
      <c r="J128" s="1544" t="n">
        <f aca="false">IF(MONTH($A128)=12,SUM(I117:I128)," ")</f>
        <v>0</v>
      </c>
      <c r="K128" s="1334" t="n">
        <f aca="false">IF(OR($A128&lt;Startops2,$A128&gt;=Endyr),0,VLOOKUP($A128,Capacity_Table,Tariff!$S$18))</f>
        <v>0.91</v>
      </c>
      <c r="L128" s="306" t="n">
        <f aca="false">IF(OR($A128&lt;Startops2,$A128&gt;=Endyr),0,VLOOKUP($A128,Capacity_Table,Tariff!$T$18))</f>
        <v>0.92</v>
      </c>
      <c r="M128" s="397" t="n">
        <f aca="false">IF($A128&lt;Startops2,0,IF($A128&lt;Startops3,VLOOKUP($A128,Convert_Table,Tariff!$Y$54),C128*D128*F128*K128*L128))</f>
        <v>298980.864</v>
      </c>
      <c r="N128" s="1544" t="n">
        <f aca="false">IF(MONTH($A128)=12,SUM(M117:M128)," ")</f>
        <v>3529903.104</v>
      </c>
      <c r="O128" s="397" t="n">
        <f aca="false">IF($A128&lt;Startops2,0,IF($A128&lt;Startops3,Hr_II,Hr_III))</f>
        <v>7000</v>
      </c>
      <c r="P128" s="397" t="n">
        <f aca="false">M128*O128/1000</f>
        <v>2092866.048</v>
      </c>
      <c r="Q128" s="1545" t="n">
        <f aca="false">IF(MONTH($A128)=12,SUM(P117:P128)," ")</f>
        <v>24709321.728</v>
      </c>
      <c r="R128" s="397" t="n">
        <f aca="false">IF($A128&gt;Endyr,0,IF($A128&lt;Assm!$A$55,P128,Assm!$F$55*$D128))</f>
        <v>1828160.87671233</v>
      </c>
      <c r="S128" s="1544" t="n">
        <f aca="false">IF(MONTH($A128)=12,SUM(R117:R128)," ")</f>
        <v>21584092.9315069</v>
      </c>
      <c r="T128" s="397" t="n">
        <f aca="false">MAX(P128,R128)</f>
        <v>2092866.048</v>
      </c>
      <c r="U128" s="1546" t="n">
        <f aca="false">IF(MONTH($A128)=12,SUM(T117:T128)," ")</f>
        <v>24709321.728</v>
      </c>
    </row>
    <row r="129" customFormat="false" ht="12.75" hidden="false" customHeight="false" outlineLevel="0" collapsed="false">
      <c r="A129" s="1538" t="n">
        <f aca="false">EDATE(A128,1)</f>
        <v>39814</v>
      </c>
      <c r="C129" s="1539" t="n">
        <f aca="false">IF($A129&gt;Endyr,0,VLOOKUP($A129,Capacity_Table,Tariff!$R$18))</f>
        <v>480</v>
      </c>
      <c r="D129" s="1540" t="n">
        <f aca="false">A130-A129</f>
        <v>31</v>
      </c>
      <c r="E129" s="1540" t="str">
        <f aca="false">IF(MONTH($A129)=12,SUM(D118:D129)," ")</f>
        <v> </v>
      </c>
      <c r="F129" s="1545" t="n">
        <f aca="false">F128</f>
        <v>24</v>
      </c>
      <c r="G129" s="1334" t="n">
        <f aca="false">IF(I129=0,0,I129/($C129*$D129*$F129*H129))</f>
        <v>0</v>
      </c>
      <c r="H129" s="1542" t="n">
        <f aca="false">IF(Avail_LDs_Switch=1,VLOOKUP('Plant Operations'!A129,RAC_AvailFactor_Table,RAC_LDs!$G$258),IF($A129&lt;Startops2,Tariff!$T$11,0))</f>
        <v>0</v>
      </c>
      <c r="I129" s="1543" t="n">
        <f aca="false">IF(OR($A129&lt;Startops1,$A129&gt;=Startops2),0,IF(AND($A129&gt;=DieselOps_2,$A129&lt;Startops2),VLOOKUP($A129,Diesel_Table,Tariff!$Y$41),VLOOKUP($A129,OA_Table,Tariff!$Y$26)))</f>
        <v>0</v>
      </c>
      <c r="J129" s="1544" t="str">
        <f aca="false">IF(MONTH($A129)=12,SUM(I118:I129)," ")</f>
        <v> </v>
      </c>
      <c r="K129" s="1334" t="n">
        <f aca="false">IF(OR($A129&lt;Startops2,$A129&gt;=Endyr),0,VLOOKUP($A129,Capacity_Table,Tariff!$S$18))</f>
        <v>0.91</v>
      </c>
      <c r="L129" s="306" t="n">
        <f aca="false">IF(OR($A129&lt;Startops2,$A129&gt;=Endyr),0,VLOOKUP($A129,Capacity_Table,Tariff!$T$18))</f>
        <v>0.92</v>
      </c>
      <c r="M129" s="397" t="n">
        <f aca="false">IF($A129&lt;Startops2,0,IF($A129&lt;Startops3,VLOOKUP($A129,Convert_Table,Tariff!$Y$54),C129*D129*F129*K129*L129))</f>
        <v>298980.864</v>
      </c>
      <c r="N129" s="1544" t="str">
        <f aca="false">IF(MONTH($A129)=12,SUM(M118:M129)," ")</f>
        <v> </v>
      </c>
      <c r="O129" s="397" t="n">
        <f aca="false">IF($A129&lt;Startops2,0,IF($A129&lt;Startops3,Hr_II,Hr_III))</f>
        <v>7000</v>
      </c>
      <c r="P129" s="397" t="n">
        <f aca="false">M129*O129/1000</f>
        <v>2092866.048</v>
      </c>
      <c r="Q129" s="1545" t="str">
        <f aca="false">IF(MONTH($A129)=12,SUM(P118:P129)," ")</f>
        <v> </v>
      </c>
      <c r="R129" s="397" t="n">
        <f aca="false">IF($A129&gt;Endyr,0,IF($A129&lt;Assm!$A$55,P129,Assm!$F$55*$D129))</f>
        <v>1828160.87671233</v>
      </c>
      <c r="S129" s="1544" t="str">
        <f aca="false">IF(MONTH($A129)=12,SUM(R118:R129)," ")</f>
        <v> </v>
      </c>
      <c r="T129" s="397" t="n">
        <f aca="false">MAX(P129,R129)</f>
        <v>2092866.048</v>
      </c>
      <c r="U129" s="1546" t="str">
        <f aca="false">IF(MONTH($A129)=12,SUM(T118:T129)," ")</f>
        <v> </v>
      </c>
    </row>
    <row r="130" customFormat="false" ht="12.75" hidden="false" customHeight="false" outlineLevel="0" collapsed="false">
      <c r="A130" s="1538" t="n">
        <f aca="false">EDATE(A129,1)</f>
        <v>39845</v>
      </c>
      <c r="C130" s="1539" t="n">
        <f aca="false">IF($A130&gt;Endyr,0,VLOOKUP($A130,Capacity_Table,Tariff!$R$18))</f>
        <v>480</v>
      </c>
      <c r="D130" s="1540" t="n">
        <f aca="false">A131-A130</f>
        <v>28</v>
      </c>
      <c r="E130" s="1540" t="str">
        <f aca="false">IF(MONTH($A130)=12,SUM(D119:D130)," ")</f>
        <v> </v>
      </c>
      <c r="F130" s="1545" t="n">
        <f aca="false">F129</f>
        <v>24</v>
      </c>
      <c r="G130" s="1334" t="n">
        <f aca="false">IF(I130=0,0,I130/($C130*$D130*$F130*H130))</f>
        <v>0</v>
      </c>
      <c r="H130" s="1542" t="n">
        <f aca="false">IF(Avail_LDs_Switch=1,VLOOKUP('Plant Operations'!A130,RAC_AvailFactor_Table,RAC_LDs!$G$258),IF($A130&lt;Startops2,Tariff!$T$11,0))</f>
        <v>0</v>
      </c>
      <c r="I130" s="1543" t="n">
        <f aca="false">IF(OR($A130&lt;Startops1,$A130&gt;=Startops2),0,IF(AND($A130&gt;=DieselOps_2,$A130&lt;Startops2),VLOOKUP($A130,Diesel_Table,Tariff!$Y$41),VLOOKUP($A130,OA_Table,Tariff!$Y$26)))</f>
        <v>0</v>
      </c>
      <c r="J130" s="1544" t="str">
        <f aca="false">IF(MONTH($A130)=12,SUM(I119:I130)," ")</f>
        <v> </v>
      </c>
      <c r="K130" s="1334" t="n">
        <f aca="false">IF(OR($A130&lt;Startops2,$A130&gt;=Endyr),0,VLOOKUP($A130,Capacity_Table,Tariff!$S$18))</f>
        <v>0.91</v>
      </c>
      <c r="L130" s="306" t="n">
        <f aca="false">IF(OR($A130&lt;Startops2,$A130&gt;=Endyr),0,VLOOKUP($A130,Capacity_Table,Tariff!$T$18))</f>
        <v>0.92</v>
      </c>
      <c r="M130" s="397" t="n">
        <f aca="false">IF($A130&lt;Startops2,0,IF($A130&lt;Startops3,VLOOKUP($A130,Convert_Table,Tariff!$Y$54),C130*D130*F130*K130*L130))</f>
        <v>270047.232</v>
      </c>
      <c r="N130" s="1544" t="str">
        <f aca="false">IF(MONTH($A130)=12,SUM(M119:M130)," ")</f>
        <v> </v>
      </c>
      <c r="O130" s="397" t="n">
        <f aca="false">IF($A130&lt;Startops2,0,IF($A130&lt;Startops3,Hr_II,Hr_III))</f>
        <v>7000</v>
      </c>
      <c r="P130" s="397" t="n">
        <f aca="false">M130*O130/1000</f>
        <v>1890330.624</v>
      </c>
      <c r="Q130" s="1545" t="str">
        <f aca="false">IF(MONTH($A130)=12,SUM(P119:P130)," ")</f>
        <v> </v>
      </c>
      <c r="R130" s="397" t="n">
        <f aca="false">IF($A130&gt;Endyr,0,IF($A130&lt;Assm!$A$55,P130,Assm!$F$55*$D130))</f>
        <v>1651242.08219178</v>
      </c>
      <c r="S130" s="1544" t="str">
        <f aca="false">IF(MONTH($A130)=12,SUM(R119:R130)," ")</f>
        <v> </v>
      </c>
      <c r="T130" s="397" t="n">
        <f aca="false">MAX(P130,R130)</f>
        <v>1890330.624</v>
      </c>
      <c r="U130" s="1546" t="str">
        <f aca="false">IF(MONTH($A130)=12,SUM(T119:T130)," ")</f>
        <v> </v>
      </c>
    </row>
    <row r="131" customFormat="false" ht="12.75" hidden="false" customHeight="false" outlineLevel="0" collapsed="false">
      <c r="A131" s="1538" t="n">
        <f aca="false">EDATE(A130,1)</f>
        <v>39873</v>
      </c>
      <c r="C131" s="1539" t="n">
        <f aca="false">IF($A131&gt;Endyr,0,VLOOKUP($A131,Capacity_Table,Tariff!$R$18))</f>
        <v>480</v>
      </c>
      <c r="D131" s="1540" t="n">
        <f aca="false">A132-A131</f>
        <v>31</v>
      </c>
      <c r="E131" s="1540" t="str">
        <f aca="false">IF(MONTH($A131)=12,SUM(D120:D131)," ")</f>
        <v> </v>
      </c>
      <c r="F131" s="1545" t="n">
        <f aca="false">F130</f>
        <v>24</v>
      </c>
      <c r="G131" s="1334" t="n">
        <f aca="false">IF(I131=0,0,I131/($C131*$D131*$F131*H131))</f>
        <v>0</v>
      </c>
      <c r="H131" s="1542" t="n">
        <f aca="false">IF(Avail_LDs_Switch=1,VLOOKUP('Plant Operations'!A131,RAC_AvailFactor_Table,RAC_LDs!$G$258),IF($A131&lt;Startops2,Tariff!$T$11,0))</f>
        <v>0</v>
      </c>
      <c r="I131" s="1543" t="n">
        <f aca="false">IF(OR($A131&lt;Startops1,$A131&gt;=Startops2),0,IF(AND($A131&gt;=DieselOps_2,$A131&lt;Startops2),VLOOKUP($A131,Diesel_Table,Tariff!$Y$41),VLOOKUP($A131,OA_Table,Tariff!$Y$26)))</f>
        <v>0</v>
      </c>
      <c r="J131" s="1544" t="str">
        <f aca="false">IF(MONTH($A131)=12,SUM(I120:I131)," ")</f>
        <v> </v>
      </c>
      <c r="K131" s="1334" t="n">
        <f aca="false">IF(OR($A131&lt;Startops2,$A131&gt;=Endyr),0,VLOOKUP($A131,Capacity_Table,Tariff!$S$18))</f>
        <v>0.91</v>
      </c>
      <c r="L131" s="306" t="n">
        <f aca="false">IF(OR($A131&lt;Startops2,$A131&gt;=Endyr),0,VLOOKUP($A131,Capacity_Table,Tariff!$T$18))</f>
        <v>0.92</v>
      </c>
      <c r="M131" s="397" t="n">
        <f aca="false">IF($A131&lt;Startops2,0,IF($A131&lt;Startops3,VLOOKUP($A131,Convert_Table,Tariff!$Y$54),C131*D131*F131*K131*L131))</f>
        <v>298980.864</v>
      </c>
      <c r="N131" s="1544" t="str">
        <f aca="false">IF(MONTH($A131)=12,SUM(M120:M131)," ")</f>
        <v> </v>
      </c>
      <c r="O131" s="397" t="n">
        <f aca="false">IF($A131&lt;Startops2,0,IF($A131&lt;Startops3,Hr_II,Hr_III))</f>
        <v>7000</v>
      </c>
      <c r="P131" s="397" t="n">
        <f aca="false">M131*O131/1000</f>
        <v>2092866.048</v>
      </c>
      <c r="Q131" s="1545" t="str">
        <f aca="false">IF(MONTH($A131)=12,SUM(P120:P131)," ")</f>
        <v> </v>
      </c>
      <c r="R131" s="397" t="n">
        <f aca="false">IF($A131&gt;Endyr,0,IF($A131&lt;Assm!$A$55,P131,Assm!$F$55*$D131))</f>
        <v>1828160.87671233</v>
      </c>
      <c r="S131" s="1544" t="str">
        <f aca="false">IF(MONTH($A131)=12,SUM(R120:R131)," ")</f>
        <v> </v>
      </c>
      <c r="T131" s="397" t="n">
        <f aca="false">MAX(P131,R131)</f>
        <v>2092866.048</v>
      </c>
      <c r="U131" s="1546" t="str">
        <f aca="false">IF(MONTH($A131)=12,SUM(T120:T131)," ")</f>
        <v> </v>
      </c>
    </row>
    <row r="132" customFormat="false" ht="12.75" hidden="false" customHeight="false" outlineLevel="0" collapsed="false">
      <c r="A132" s="1538" t="n">
        <f aca="false">EDATE(A131,1)</f>
        <v>39904</v>
      </c>
      <c r="C132" s="1539" t="n">
        <f aca="false">IF($A132&gt;Endyr,0,VLOOKUP($A132,Capacity_Table,Tariff!$R$18))</f>
        <v>480</v>
      </c>
      <c r="D132" s="1540" t="n">
        <f aca="false">A133-A132</f>
        <v>30</v>
      </c>
      <c r="E132" s="1540" t="str">
        <f aca="false">IF(MONTH($A132)=12,SUM(D121:D132)," ")</f>
        <v> </v>
      </c>
      <c r="F132" s="1545" t="n">
        <f aca="false">F131</f>
        <v>24</v>
      </c>
      <c r="G132" s="1334" t="n">
        <f aca="false">IF(I132=0,0,I132/($C132*$D132*$F132*H132))</f>
        <v>0</v>
      </c>
      <c r="H132" s="1542" t="n">
        <f aca="false">IF(Avail_LDs_Switch=1,VLOOKUP('Plant Operations'!A132,RAC_AvailFactor_Table,RAC_LDs!$G$258),IF($A132&lt;Startops2,Tariff!$T$11,0))</f>
        <v>0</v>
      </c>
      <c r="I132" s="1543" t="n">
        <f aca="false">IF(OR($A132&lt;Startops1,$A132&gt;=Startops2),0,IF(AND($A132&gt;=DieselOps_2,$A132&lt;Startops2),VLOOKUP($A132,Diesel_Table,Tariff!$Y$41),VLOOKUP($A132,OA_Table,Tariff!$Y$26)))</f>
        <v>0</v>
      </c>
      <c r="J132" s="1544" t="str">
        <f aca="false">IF(MONTH($A132)=12,SUM(I121:I132)," ")</f>
        <v> </v>
      </c>
      <c r="K132" s="1334" t="n">
        <f aca="false">IF(OR($A132&lt;Startops2,$A132&gt;=Endyr),0,VLOOKUP($A132,Capacity_Table,Tariff!$S$18))</f>
        <v>0.91</v>
      </c>
      <c r="L132" s="306" t="n">
        <f aca="false">IF(OR($A132&lt;Startops2,$A132&gt;=Endyr),0,VLOOKUP($A132,Capacity_Table,Tariff!$T$18))</f>
        <v>0.92</v>
      </c>
      <c r="M132" s="397" t="n">
        <f aca="false">IF($A132&lt;Startops2,0,IF($A132&lt;Startops3,VLOOKUP($A132,Convert_Table,Tariff!$Y$54),C132*D132*F132*K132*L132))</f>
        <v>289336.32</v>
      </c>
      <c r="N132" s="1544" t="str">
        <f aca="false">IF(MONTH($A132)=12,SUM(M121:M132)," ")</f>
        <v> </v>
      </c>
      <c r="O132" s="397" t="n">
        <f aca="false">IF($A132&lt;Startops2,0,IF($A132&lt;Startops3,Hr_II,Hr_III))</f>
        <v>7000</v>
      </c>
      <c r="P132" s="397" t="n">
        <f aca="false">M132*O132/1000</f>
        <v>2025354.24</v>
      </c>
      <c r="Q132" s="1545" t="str">
        <f aca="false">IF(MONTH($A132)=12,SUM(P121:P132)," ")</f>
        <v> </v>
      </c>
      <c r="R132" s="397" t="n">
        <f aca="false">IF($A132&gt;Endyr,0,IF($A132&lt;Assm!$A$55,P132,Assm!$F$55*$D132))</f>
        <v>1769187.94520548</v>
      </c>
      <c r="S132" s="1544" t="str">
        <f aca="false">IF(MONTH($A132)=12,SUM(R121:R132)," ")</f>
        <v> </v>
      </c>
      <c r="T132" s="397" t="n">
        <f aca="false">MAX(P132,R132)</f>
        <v>2025354.24</v>
      </c>
      <c r="U132" s="1546" t="str">
        <f aca="false">IF(MONTH($A132)=12,SUM(T121:T132)," ")</f>
        <v> </v>
      </c>
    </row>
    <row r="133" customFormat="false" ht="12.75" hidden="false" customHeight="false" outlineLevel="0" collapsed="false">
      <c r="A133" s="1538" t="n">
        <f aca="false">EDATE(A132,1)</f>
        <v>39934</v>
      </c>
      <c r="C133" s="1539" t="n">
        <f aca="false">IF($A133&gt;Endyr,0,VLOOKUP($A133,Capacity_Table,Tariff!$R$18))</f>
        <v>480</v>
      </c>
      <c r="D133" s="1540" t="n">
        <f aca="false">A134-A133</f>
        <v>31</v>
      </c>
      <c r="E133" s="1540" t="str">
        <f aca="false">IF(MONTH($A133)=12,SUM(D122:D133)," ")</f>
        <v> </v>
      </c>
      <c r="F133" s="1545" t="n">
        <f aca="false">F132</f>
        <v>24</v>
      </c>
      <c r="G133" s="1334" t="n">
        <f aca="false">IF(I133=0,0,I133/($C133*$D133*$F133*H133))</f>
        <v>0</v>
      </c>
      <c r="H133" s="1542" t="n">
        <f aca="false">IF(Avail_LDs_Switch=1,VLOOKUP('Plant Operations'!A133,RAC_AvailFactor_Table,RAC_LDs!$G$258),IF($A133&lt;Startops2,Tariff!$T$11,0))</f>
        <v>0</v>
      </c>
      <c r="I133" s="1543" t="n">
        <f aca="false">IF(OR($A133&lt;Startops1,$A133&gt;=Startops2),0,IF(AND($A133&gt;=DieselOps_2,$A133&lt;Startops2),VLOOKUP($A133,Diesel_Table,Tariff!$Y$41),VLOOKUP($A133,OA_Table,Tariff!$Y$26)))</f>
        <v>0</v>
      </c>
      <c r="J133" s="1544" t="str">
        <f aca="false">IF(MONTH($A133)=12,SUM(I122:I133)," ")</f>
        <v> </v>
      </c>
      <c r="K133" s="1334" t="n">
        <f aca="false">IF(OR($A133&lt;Startops2,$A133&gt;=Endyr),0,VLOOKUP($A133,Capacity_Table,Tariff!$S$18))</f>
        <v>0.91</v>
      </c>
      <c r="L133" s="306" t="n">
        <f aca="false">IF(OR($A133&lt;Startops2,$A133&gt;=Endyr),0,VLOOKUP($A133,Capacity_Table,Tariff!$T$18))</f>
        <v>0.92</v>
      </c>
      <c r="M133" s="397" t="n">
        <f aca="false">IF($A133&lt;Startops2,0,IF($A133&lt;Startops3,VLOOKUP($A133,Convert_Table,Tariff!$Y$54),C133*D133*F133*K133*L133))</f>
        <v>298980.864</v>
      </c>
      <c r="N133" s="1544" t="str">
        <f aca="false">IF(MONTH($A133)=12,SUM(M122:M133)," ")</f>
        <v> </v>
      </c>
      <c r="O133" s="397" t="n">
        <f aca="false">IF($A133&lt;Startops2,0,IF($A133&lt;Startops3,Hr_II,Hr_III))</f>
        <v>7000</v>
      </c>
      <c r="P133" s="397" t="n">
        <f aca="false">M133*O133/1000</f>
        <v>2092866.048</v>
      </c>
      <c r="Q133" s="1545" t="str">
        <f aca="false">IF(MONTH($A133)=12,SUM(P122:P133)," ")</f>
        <v> </v>
      </c>
      <c r="R133" s="397" t="n">
        <f aca="false">IF($A133&gt;Endyr,0,IF($A133&lt;Assm!$A$55,P133,Assm!$F$55*$D133))</f>
        <v>1828160.87671233</v>
      </c>
      <c r="S133" s="1544" t="str">
        <f aca="false">IF(MONTH($A133)=12,SUM(R122:R133)," ")</f>
        <v> </v>
      </c>
      <c r="T133" s="397" t="n">
        <f aca="false">MAX(P133,R133)</f>
        <v>2092866.048</v>
      </c>
      <c r="U133" s="1546" t="str">
        <f aca="false">IF(MONTH($A133)=12,SUM(T122:T133)," ")</f>
        <v> </v>
      </c>
    </row>
    <row r="134" customFormat="false" ht="12.75" hidden="false" customHeight="false" outlineLevel="0" collapsed="false">
      <c r="A134" s="1538" t="n">
        <f aca="false">EDATE(A133,1)</f>
        <v>39965</v>
      </c>
      <c r="C134" s="1539" t="n">
        <f aca="false">IF($A134&gt;Endyr,0,VLOOKUP($A134,Capacity_Table,Tariff!$R$18))</f>
        <v>480</v>
      </c>
      <c r="D134" s="1540" t="n">
        <f aca="false">A135-A134</f>
        <v>30</v>
      </c>
      <c r="E134" s="1540" t="str">
        <f aca="false">IF(MONTH($A134)=12,SUM(D123:D134)," ")</f>
        <v> </v>
      </c>
      <c r="F134" s="1545" t="n">
        <f aca="false">F133</f>
        <v>24</v>
      </c>
      <c r="G134" s="1334" t="n">
        <f aca="false">IF(I134=0,0,I134/($C134*$D134*$F134*H134))</f>
        <v>0</v>
      </c>
      <c r="H134" s="1542" t="n">
        <f aca="false">IF(Avail_LDs_Switch=1,VLOOKUP('Plant Operations'!A134,RAC_AvailFactor_Table,RAC_LDs!$G$258),IF($A134&lt;Startops2,Tariff!$T$11,0))</f>
        <v>0</v>
      </c>
      <c r="I134" s="1543" t="n">
        <f aca="false">IF(OR($A134&lt;Startops1,$A134&gt;=Startops2),0,IF(AND($A134&gt;=DieselOps_2,$A134&lt;Startops2),VLOOKUP($A134,Diesel_Table,Tariff!$Y$41),VLOOKUP($A134,OA_Table,Tariff!$Y$26)))</f>
        <v>0</v>
      </c>
      <c r="J134" s="1544" t="str">
        <f aca="false">IF(MONTH($A134)=12,SUM(I123:I134)," ")</f>
        <v> </v>
      </c>
      <c r="K134" s="1334" t="n">
        <f aca="false">IF(OR($A134&lt;Startops2,$A134&gt;=Endyr),0,VLOOKUP($A134,Capacity_Table,Tariff!$S$18))</f>
        <v>0.91</v>
      </c>
      <c r="L134" s="306" t="n">
        <f aca="false">IF(OR($A134&lt;Startops2,$A134&gt;=Endyr),0,VLOOKUP($A134,Capacity_Table,Tariff!$T$18))</f>
        <v>0.92</v>
      </c>
      <c r="M134" s="397" t="n">
        <f aca="false">IF($A134&lt;Startops2,0,IF($A134&lt;Startops3,VLOOKUP($A134,Convert_Table,Tariff!$Y$54),C134*D134*F134*K134*L134))</f>
        <v>289336.32</v>
      </c>
      <c r="N134" s="1544" t="str">
        <f aca="false">IF(MONTH($A134)=12,SUM(M123:M134)," ")</f>
        <v> </v>
      </c>
      <c r="O134" s="397" t="n">
        <f aca="false">IF($A134&lt;Startops2,0,IF($A134&lt;Startops3,Hr_II,Hr_III))</f>
        <v>7000</v>
      </c>
      <c r="P134" s="397" t="n">
        <f aca="false">M134*O134/1000</f>
        <v>2025354.24</v>
      </c>
      <c r="Q134" s="1545" t="str">
        <f aca="false">IF(MONTH($A134)=12,SUM(P123:P134)," ")</f>
        <v> </v>
      </c>
      <c r="R134" s="397" t="n">
        <f aca="false">IF($A134&gt;Endyr,0,IF($A134&lt;Assm!$A$55,P134,Assm!$F$55*$D134))</f>
        <v>1769187.94520548</v>
      </c>
      <c r="S134" s="1544" t="str">
        <f aca="false">IF(MONTH($A134)=12,SUM(R123:R134)," ")</f>
        <v> </v>
      </c>
      <c r="T134" s="397" t="n">
        <f aca="false">MAX(P134,R134)</f>
        <v>2025354.24</v>
      </c>
      <c r="U134" s="1546" t="str">
        <f aca="false">IF(MONTH($A134)=12,SUM(T123:T134)," ")</f>
        <v> </v>
      </c>
    </row>
    <row r="135" customFormat="false" ht="12.75" hidden="false" customHeight="false" outlineLevel="0" collapsed="false">
      <c r="A135" s="1538" t="n">
        <f aca="false">EDATE(A134,1)</f>
        <v>39995</v>
      </c>
      <c r="C135" s="1539" t="n">
        <f aca="false">IF($A135&gt;Endyr,0,VLOOKUP($A135,Capacity_Table,Tariff!$R$18))</f>
        <v>480</v>
      </c>
      <c r="D135" s="1540" t="n">
        <f aca="false">A136-A135</f>
        <v>31</v>
      </c>
      <c r="E135" s="1540" t="str">
        <f aca="false">IF(MONTH($A135)=12,SUM(D124:D135)," ")</f>
        <v> </v>
      </c>
      <c r="F135" s="1545" t="n">
        <f aca="false">F134</f>
        <v>24</v>
      </c>
      <c r="G135" s="1334" t="n">
        <f aca="false">IF(I135=0,0,I135/($C135*$D135*$F135*H135))</f>
        <v>0</v>
      </c>
      <c r="H135" s="1542" t="n">
        <f aca="false">IF(Avail_LDs_Switch=1,VLOOKUP('Plant Operations'!A135,RAC_AvailFactor_Table,RAC_LDs!$G$258),IF($A135&lt;Startops2,Tariff!$T$11,0))</f>
        <v>0</v>
      </c>
      <c r="I135" s="1543" t="n">
        <f aca="false">IF(OR($A135&lt;Startops1,$A135&gt;=Startops2),0,IF(AND($A135&gt;=DieselOps_2,$A135&lt;Startops2),VLOOKUP($A135,Diesel_Table,Tariff!$Y$41),VLOOKUP($A135,OA_Table,Tariff!$Y$26)))</f>
        <v>0</v>
      </c>
      <c r="J135" s="1544" t="str">
        <f aca="false">IF(MONTH($A135)=12,SUM(I124:I135)," ")</f>
        <v> </v>
      </c>
      <c r="K135" s="1334" t="n">
        <f aca="false">IF(OR($A135&lt;Startops2,$A135&gt;=Endyr),0,VLOOKUP($A135,Capacity_Table,Tariff!$S$18))</f>
        <v>0.91</v>
      </c>
      <c r="L135" s="306" t="n">
        <f aca="false">IF(OR($A135&lt;Startops2,$A135&gt;=Endyr),0,VLOOKUP($A135,Capacity_Table,Tariff!$T$18))</f>
        <v>0.92</v>
      </c>
      <c r="M135" s="397" t="n">
        <f aca="false">IF($A135&lt;Startops2,0,IF($A135&lt;Startops3,VLOOKUP($A135,Convert_Table,Tariff!$Y$54),C135*D135*F135*K135*L135))</f>
        <v>298980.864</v>
      </c>
      <c r="N135" s="1544" t="str">
        <f aca="false">IF(MONTH($A135)=12,SUM(M124:M135)," ")</f>
        <v> </v>
      </c>
      <c r="O135" s="397" t="n">
        <f aca="false">IF($A135&lt;Startops2,0,IF($A135&lt;Startops3,Hr_II,Hr_III))</f>
        <v>7000</v>
      </c>
      <c r="P135" s="397" t="n">
        <f aca="false">M135*O135/1000</f>
        <v>2092866.048</v>
      </c>
      <c r="Q135" s="1545" t="str">
        <f aca="false">IF(MONTH($A135)=12,SUM(P124:P135)," ")</f>
        <v> </v>
      </c>
      <c r="R135" s="397" t="n">
        <f aca="false">IF($A135&gt;Endyr,0,IF($A135&lt;Assm!$A$55,P135,Assm!$F$55*$D135))</f>
        <v>1828160.87671233</v>
      </c>
      <c r="S135" s="1544" t="str">
        <f aca="false">IF(MONTH($A135)=12,SUM(R124:R135)," ")</f>
        <v> </v>
      </c>
      <c r="T135" s="397" t="n">
        <f aca="false">MAX(P135,R135)</f>
        <v>2092866.048</v>
      </c>
      <c r="U135" s="1546" t="str">
        <f aca="false">IF(MONTH($A135)=12,SUM(T124:T135)," ")</f>
        <v> </v>
      </c>
    </row>
    <row r="136" customFormat="false" ht="12.75" hidden="false" customHeight="false" outlineLevel="0" collapsed="false">
      <c r="A136" s="1538" t="n">
        <f aca="false">EDATE(A135,1)</f>
        <v>40026</v>
      </c>
      <c r="C136" s="1539" t="n">
        <f aca="false">IF($A136&gt;Endyr,0,VLOOKUP($A136,Capacity_Table,Tariff!$R$18))</f>
        <v>480</v>
      </c>
      <c r="D136" s="1540" t="n">
        <f aca="false">A137-A136</f>
        <v>31</v>
      </c>
      <c r="E136" s="1540" t="str">
        <f aca="false">IF(MONTH($A136)=12,SUM(D125:D136)," ")</f>
        <v> </v>
      </c>
      <c r="F136" s="1545" t="n">
        <f aca="false">F135</f>
        <v>24</v>
      </c>
      <c r="G136" s="1334" t="n">
        <f aca="false">IF(I136=0,0,I136/($C136*$D136*$F136*H136))</f>
        <v>0</v>
      </c>
      <c r="H136" s="1542" t="n">
        <f aca="false">IF(Avail_LDs_Switch=1,VLOOKUP('Plant Operations'!A136,RAC_AvailFactor_Table,RAC_LDs!$G$258),IF($A136&lt;Startops2,Tariff!$T$11,0))</f>
        <v>0</v>
      </c>
      <c r="I136" s="1543" t="n">
        <f aca="false">IF(OR($A136&lt;Startops1,$A136&gt;=Startops2),0,IF(AND($A136&gt;=DieselOps_2,$A136&lt;Startops2),VLOOKUP($A136,Diesel_Table,Tariff!$Y$41),VLOOKUP($A136,OA_Table,Tariff!$Y$26)))</f>
        <v>0</v>
      </c>
      <c r="J136" s="1544" t="str">
        <f aca="false">IF(MONTH($A136)=12,SUM(I125:I136)," ")</f>
        <v> </v>
      </c>
      <c r="K136" s="1334" t="n">
        <f aca="false">IF(OR($A136&lt;Startops2,$A136&gt;=Endyr),0,VLOOKUP($A136,Capacity_Table,Tariff!$S$18))</f>
        <v>0.91</v>
      </c>
      <c r="L136" s="306" t="n">
        <f aca="false">IF(OR($A136&lt;Startops2,$A136&gt;=Endyr),0,VLOOKUP($A136,Capacity_Table,Tariff!$T$18))</f>
        <v>0.92</v>
      </c>
      <c r="M136" s="397" t="n">
        <f aca="false">IF($A136&lt;Startops2,0,IF($A136&lt;Startops3,VLOOKUP($A136,Convert_Table,Tariff!$Y$54),C136*D136*F136*K136*L136))</f>
        <v>298980.864</v>
      </c>
      <c r="N136" s="1544" t="str">
        <f aca="false">IF(MONTH($A136)=12,SUM(M125:M136)," ")</f>
        <v> </v>
      </c>
      <c r="O136" s="397" t="n">
        <f aca="false">IF($A136&lt;Startops2,0,IF($A136&lt;Startops3,Hr_II,Hr_III))</f>
        <v>7000</v>
      </c>
      <c r="P136" s="397" t="n">
        <f aca="false">M136*O136/1000</f>
        <v>2092866.048</v>
      </c>
      <c r="Q136" s="1545" t="str">
        <f aca="false">IF(MONTH($A136)=12,SUM(P125:P136)," ")</f>
        <v> </v>
      </c>
      <c r="R136" s="397" t="n">
        <f aca="false">IF($A136&gt;Endyr,0,IF($A136&lt;Assm!$A$55,P136,Assm!$F$55*$D136))</f>
        <v>1828160.87671233</v>
      </c>
      <c r="S136" s="1544" t="str">
        <f aca="false">IF(MONTH($A136)=12,SUM(R125:R136)," ")</f>
        <v> </v>
      </c>
      <c r="T136" s="397" t="n">
        <f aca="false">MAX(P136,R136)</f>
        <v>2092866.048</v>
      </c>
      <c r="U136" s="1546" t="str">
        <f aca="false">IF(MONTH($A136)=12,SUM(T125:T136)," ")</f>
        <v> </v>
      </c>
    </row>
    <row r="137" customFormat="false" ht="12.75" hidden="false" customHeight="false" outlineLevel="0" collapsed="false">
      <c r="A137" s="1538" t="n">
        <f aca="false">EDATE(A136,1)</f>
        <v>40057</v>
      </c>
      <c r="C137" s="1539" t="n">
        <f aca="false">IF($A137&gt;Endyr,0,VLOOKUP($A137,Capacity_Table,Tariff!$R$18))</f>
        <v>480</v>
      </c>
      <c r="D137" s="1540" t="n">
        <f aca="false">A138-A137</f>
        <v>30</v>
      </c>
      <c r="E137" s="1540" t="str">
        <f aca="false">IF(MONTH($A137)=12,SUM(D126:D137)," ")</f>
        <v> </v>
      </c>
      <c r="F137" s="1545" t="n">
        <f aca="false">F136</f>
        <v>24</v>
      </c>
      <c r="G137" s="1334" t="n">
        <f aca="false">IF(I137=0,0,I137/($C137*$D137*$F137*H137))</f>
        <v>0</v>
      </c>
      <c r="H137" s="1542" t="n">
        <f aca="false">IF(Avail_LDs_Switch=1,VLOOKUP('Plant Operations'!A137,RAC_AvailFactor_Table,RAC_LDs!$G$258),IF($A137&lt;Startops2,Tariff!$T$11,0))</f>
        <v>0</v>
      </c>
      <c r="I137" s="1543" t="n">
        <f aca="false">IF(OR($A137&lt;Startops1,$A137&gt;=Startops2),0,IF(AND($A137&gt;=DieselOps_2,$A137&lt;Startops2),VLOOKUP($A137,Diesel_Table,Tariff!$Y$41),VLOOKUP($A137,OA_Table,Tariff!$Y$26)))</f>
        <v>0</v>
      </c>
      <c r="J137" s="1544" t="str">
        <f aca="false">IF(MONTH($A137)=12,SUM(I126:I137)," ")</f>
        <v> </v>
      </c>
      <c r="K137" s="1334" t="n">
        <f aca="false">IF(OR($A137&lt;Startops2,$A137&gt;=Endyr),0,VLOOKUP($A137,Capacity_Table,Tariff!$S$18))</f>
        <v>0.91</v>
      </c>
      <c r="L137" s="306" t="n">
        <f aca="false">IF(OR($A137&lt;Startops2,$A137&gt;=Endyr),0,VLOOKUP($A137,Capacity_Table,Tariff!$T$18))</f>
        <v>0.92</v>
      </c>
      <c r="M137" s="397" t="n">
        <f aca="false">IF($A137&lt;Startops2,0,IF($A137&lt;Startops3,VLOOKUP($A137,Convert_Table,Tariff!$Y$54),C137*D137*F137*K137*L137))</f>
        <v>289336.32</v>
      </c>
      <c r="N137" s="1544" t="str">
        <f aca="false">IF(MONTH($A137)=12,SUM(M126:M137)," ")</f>
        <v> </v>
      </c>
      <c r="O137" s="397" t="n">
        <f aca="false">IF($A137&lt;Startops2,0,IF($A137&lt;Startops3,Hr_II,Hr_III))</f>
        <v>7000</v>
      </c>
      <c r="P137" s="397" t="n">
        <f aca="false">M137*O137/1000</f>
        <v>2025354.24</v>
      </c>
      <c r="Q137" s="1545" t="str">
        <f aca="false">IF(MONTH($A137)=12,SUM(P126:P137)," ")</f>
        <v> </v>
      </c>
      <c r="R137" s="397" t="n">
        <f aca="false">IF($A137&gt;Endyr,0,IF($A137&lt;Assm!$A$55,P137,Assm!$F$55*$D137))</f>
        <v>1769187.94520548</v>
      </c>
      <c r="S137" s="1544" t="str">
        <f aca="false">IF(MONTH($A137)=12,SUM(R126:R137)," ")</f>
        <v> </v>
      </c>
      <c r="T137" s="397" t="n">
        <f aca="false">MAX(P137,R137)</f>
        <v>2025354.24</v>
      </c>
      <c r="U137" s="1546" t="str">
        <f aca="false">IF(MONTH($A137)=12,SUM(T126:T137)," ")</f>
        <v> </v>
      </c>
    </row>
    <row r="138" customFormat="false" ht="12.75" hidden="false" customHeight="false" outlineLevel="0" collapsed="false">
      <c r="A138" s="1538" t="n">
        <f aca="false">EDATE(A137,1)</f>
        <v>40087</v>
      </c>
      <c r="C138" s="1539" t="n">
        <f aca="false">IF($A138&gt;Endyr,0,VLOOKUP($A138,Capacity_Table,Tariff!$R$18))</f>
        <v>480</v>
      </c>
      <c r="D138" s="1540" t="n">
        <f aca="false">A139-A138</f>
        <v>31</v>
      </c>
      <c r="E138" s="1540" t="str">
        <f aca="false">IF(MONTH($A138)=12,SUM(D127:D138)," ")</f>
        <v> </v>
      </c>
      <c r="F138" s="1545" t="n">
        <f aca="false">F137</f>
        <v>24</v>
      </c>
      <c r="G138" s="1334" t="n">
        <f aca="false">IF(I138=0,0,I138/($C138*$D138*$F138*H138))</f>
        <v>0</v>
      </c>
      <c r="H138" s="1542" t="n">
        <f aca="false">IF(Avail_LDs_Switch=1,VLOOKUP('Plant Operations'!A138,RAC_AvailFactor_Table,RAC_LDs!$G$258),IF($A138&lt;Startops2,Tariff!$T$11,0))</f>
        <v>0</v>
      </c>
      <c r="I138" s="1543" t="n">
        <f aca="false">IF(OR($A138&lt;Startops1,$A138&gt;=Startops2),0,IF(AND($A138&gt;=DieselOps_2,$A138&lt;Startops2),VLOOKUP($A138,Diesel_Table,Tariff!$Y$41),VLOOKUP($A138,OA_Table,Tariff!$Y$26)))</f>
        <v>0</v>
      </c>
      <c r="J138" s="1544" t="str">
        <f aca="false">IF(MONTH($A138)=12,SUM(I127:I138)," ")</f>
        <v> </v>
      </c>
      <c r="K138" s="1334" t="n">
        <f aca="false">IF(OR($A138&lt;Startops2,$A138&gt;=Endyr),0,VLOOKUP($A138,Capacity_Table,Tariff!$S$18))</f>
        <v>0.91</v>
      </c>
      <c r="L138" s="306" t="n">
        <f aca="false">IF(OR($A138&lt;Startops2,$A138&gt;=Endyr),0,VLOOKUP($A138,Capacity_Table,Tariff!$T$18))</f>
        <v>0.92</v>
      </c>
      <c r="M138" s="397" t="n">
        <f aca="false">IF($A138&lt;Startops2,0,IF($A138&lt;Startops3,VLOOKUP($A138,Convert_Table,Tariff!$Y$54),C138*D138*F138*K138*L138))</f>
        <v>298980.864</v>
      </c>
      <c r="N138" s="1544" t="str">
        <f aca="false">IF(MONTH($A138)=12,SUM(M127:M138)," ")</f>
        <v> </v>
      </c>
      <c r="O138" s="397" t="n">
        <f aca="false">IF($A138&lt;Startops2,0,IF($A138&lt;Startops3,Hr_II,Hr_III))</f>
        <v>7000</v>
      </c>
      <c r="P138" s="397" t="n">
        <f aca="false">M138*O138/1000</f>
        <v>2092866.048</v>
      </c>
      <c r="Q138" s="1545" t="str">
        <f aca="false">IF(MONTH($A138)=12,SUM(P127:P138)," ")</f>
        <v> </v>
      </c>
      <c r="R138" s="397" t="n">
        <f aca="false">IF($A138&gt;Endyr,0,IF($A138&lt;Assm!$A$55,P138,Assm!$F$55*$D138))</f>
        <v>1828160.87671233</v>
      </c>
      <c r="S138" s="1544" t="str">
        <f aca="false">IF(MONTH($A138)=12,SUM(R127:R138)," ")</f>
        <v> </v>
      </c>
      <c r="T138" s="397" t="n">
        <f aca="false">MAX(P138,R138)</f>
        <v>2092866.048</v>
      </c>
      <c r="U138" s="1546" t="str">
        <f aca="false">IF(MONTH($A138)=12,SUM(T127:T138)," ")</f>
        <v> </v>
      </c>
    </row>
    <row r="139" customFormat="false" ht="12.75" hidden="false" customHeight="false" outlineLevel="0" collapsed="false">
      <c r="A139" s="1538" t="n">
        <f aca="false">EDATE(A138,1)</f>
        <v>40118</v>
      </c>
      <c r="C139" s="1539" t="n">
        <f aca="false">IF($A139&gt;Endyr,0,VLOOKUP($A139,Capacity_Table,Tariff!$R$18))</f>
        <v>480</v>
      </c>
      <c r="D139" s="1540" t="n">
        <f aca="false">A140-A139</f>
        <v>30</v>
      </c>
      <c r="E139" s="1540" t="str">
        <f aca="false">IF(MONTH($A139)=12,SUM(D128:D139)," ")</f>
        <v> </v>
      </c>
      <c r="F139" s="1545" t="n">
        <f aca="false">F138</f>
        <v>24</v>
      </c>
      <c r="G139" s="1334" t="n">
        <f aca="false">IF(I139=0,0,I139/($C139*$D139*$F139*H139))</f>
        <v>0</v>
      </c>
      <c r="H139" s="1542" t="n">
        <f aca="false">IF(Avail_LDs_Switch=1,VLOOKUP('Plant Operations'!A139,RAC_AvailFactor_Table,RAC_LDs!$G$258),IF($A139&lt;Startops2,Tariff!$T$11,0))</f>
        <v>0</v>
      </c>
      <c r="I139" s="1543" t="n">
        <f aca="false">IF(OR($A139&lt;Startops1,$A139&gt;=Startops2),0,IF(AND($A139&gt;=DieselOps_2,$A139&lt;Startops2),VLOOKUP($A139,Diesel_Table,Tariff!$Y$41),VLOOKUP($A139,OA_Table,Tariff!$Y$26)))</f>
        <v>0</v>
      </c>
      <c r="J139" s="1544" t="str">
        <f aca="false">IF(MONTH($A139)=12,SUM(I128:I139)," ")</f>
        <v> </v>
      </c>
      <c r="K139" s="1334" t="n">
        <f aca="false">IF(OR($A139&lt;Startops2,$A139&gt;=Endyr),0,VLOOKUP($A139,Capacity_Table,Tariff!$S$18))</f>
        <v>0.91</v>
      </c>
      <c r="L139" s="306" t="n">
        <f aca="false">IF(OR($A139&lt;Startops2,$A139&gt;=Endyr),0,VLOOKUP($A139,Capacity_Table,Tariff!$T$18))</f>
        <v>0.92</v>
      </c>
      <c r="M139" s="397" t="n">
        <f aca="false">IF($A139&lt;Startops2,0,IF($A139&lt;Startops3,VLOOKUP($A139,Convert_Table,Tariff!$Y$54),C139*D139*F139*K139*L139))</f>
        <v>289336.32</v>
      </c>
      <c r="N139" s="1544" t="str">
        <f aca="false">IF(MONTH($A139)=12,SUM(M128:M139)," ")</f>
        <v> </v>
      </c>
      <c r="O139" s="397" t="n">
        <f aca="false">IF($A139&lt;Startops2,0,IF($A139&lt;Startops3,Hr_II,Hr_III))</f>
        <v>7000</v>
      </c>
      <c r="P139" s="397" t="n">
        <f aca="false">M139*O139/1000</f>
        <v>2025354.24</v>
      </c>
      <c r="Q139" s="1545" t="str">
        <f aca="false">IF(MONTH($A139)=12,SUM(P128:P139)," ")</f>
        <v> </v>
      </c>
      <c r="R139" s="397" t="n">
        <f aca="false">IF($A139&gt;Endyr,0,IF($A139&lt;Assm!$A$55,P139,Assm!$F$55*$D139))</f>
        <v>1769187.94520548</v>
      </c>
      <c r="S139" s="1544" t="str">
        <f aca="false">IF(MONTH($A139)=12,SUM(R128:R139)," ")</f>
        <v> </v>
      </c>
      <c r="T139" s="397" t="n">
        <f aca="false">MAX(P139,R139)</f>
        <v>2025354.24</v>
      </c>
      <c r="U139" s="1546" t="str">
        <f aca="false">IF(MONTH($A139)=12,SUM(T128:T139)," ")</f>
        <v> </v>
      </c>
    </row>
    <row r="140" customFormat="false" ht="12.75" hidden="false" customHeight="false" outlineLevel="0" collapsed="false">
      <c r="A140" s="1538" t="n">
        <f aca="false">EDATE(A139,1)</f>
        <v>40148</v>
      </c>
      <c r="C140" s="1539" t="n">
        <f aca="false">IF($A140&gt;Endyr,0,VLOOKUP($A140,Capacity_Table,Tariff!$R$18))</f>
        <v>480</v>
      </c>
      <c r="D140" s="1540" t="n">
        <f aca="false">A141-A140</f>
        <v>31</v>
      </c>
      <c r="E140" s="1540" t="n">
        <f aca="false">IF(MONTH($A140)=12,SUM(D129:D140)," ")</f>
        <v>365</v>
      </c>
      <c r="F140" s="1545" t="n">
        <f aca="false">F139</f>
        <v>24</v>
      </c>
      <c r="G140" s="1334" t="n">
        <f aca="false">IF(I140=0,0,I140/($C140*$D140*$F140*H140))</f>
        <v>0</v>
      </c>
      <c r="H140" s="1542" t="n">
        <f aca="false">IF(Avail_LDs_Switch=1,VLOOKUP('Plant Operations'!A140,RAC_AvailFactor_Table,RAC_LDs!$G$258),IF($A140&lt;Startops2,Tariff!$T$11,0))</f>
        <v>0</v>
      </c>
      <c r="I140" s="1543" t="n">
        <f aca="false">IF(OR($A140&lt;Startops1,$A140&gt;=Startops2),0,IF(AND($A140&gt;=DieselOps_2,$A140&lt;Startops2),VLOOKUP($A140,Diesel_Table,Tariff!$Y$41),VLOOKUP($A140,OA_Table,Tariff!$Y$26)))</f>
        <v>0</v>
      </c>
      <c r="J140" s="1544" t="n">
        <f aca="false">IF(MONTH($A140)=12,SUM(I129:I140)," ")</f>
        <v>0</v>
      </c>
      <c r="K140" s="1334" t="n">
        <f aca="false">IF(OR($A140&lt;Startops2,$A140&gt;=Endyr),0,VLOOKUP($A140,Capacity_Table,Tariff!$S$18))</f>
        <v>0.91</v>
      </c>
      <c r="L140" s="306" t="n">
        <f aca="false">IF(OR($A140&lt;Startops2,$A140&gt;=Endyr),0,VLOOKUP($A140,Capacity_Table,Tariff!$T$18))</f>
        <v>0.92</v>
      </c>
      <c r="M140" s="397" t="n">
        <f aca="false">IF($A140&lt;Startops2,0,IF($A140&lt;Startops3,VLOOKUP($A140,Convert_Table,Tariff!$Y$54),C140*D140*F140*K140*L140))</f>
        <v>298980.864</v>
      </c>
      <c r="N140" s="1544" t="n">
        <f aca="false">IF(MONTH($A140)=12,SUM(M129:M140)," ")</f>
        <v>3520258.56</v>
      </c>
      <c r="O140" s="397" t="n">
        <f aca="false">IF($A140&lt;Startops2,0,IF($A140&lt;Startops3,Hr_II,Hr_III))</f>
        <v>7000</v>
      </c>
      <c r="P140" s="397" t="n">
        <f aca="false">M140*O140/1000</f>
        <v>2092866.048</v>
      </c>
      <c r="Q140" s="1545" t="n">
        <f aca="false">IF(MONTH($A140)=12,SUM(P129:P140)," ")</f>
        <v>24641809.92</v>
      </c>
      <c r="R140" s="397" t="n">
        <f aca="false">IF($A140&gt;Endyr,0,IF($A140&lt;Assm!$A$55,P140,Assm!$F$55*$D140))</f>
        <v>1828160.87671233</v>
      </c>
      <c r="S140" s="1544" t="n">
        <f aca="false">IF(MONTH($A140)=12,SUM(R129:R140)," ")</f>
        <v>21525120</v>
      </c>
      <c r="T140" s="397" t="n">
        <f aca="false">MAX(P140,R140)</f>
        <v>2092866.048</v>
      </c>
      <c r="U140" s="1546" t="n">
        <f aca="false">IF(MONTH($A140)=12,SUM(T129:T140)," ")</f>
        <v>24641809.92</v>
      </c>
    </row>
    <row r="141" customFormat="false" ht="12.75" hidden="false" customHeight="false" outlineLevel="0" collapsed="false">
      <c r="A141" s="1538" t="n">
        <f aca="false">EDATE(A140,1)</f>
        <v>40179</v>
      </c>
      <c r="C141" s="1539" t="n">
        <f aca="false">IF($A141&gt;Endyr,0,VLOOKUP($A141,Capacity_Table,Tariff!$R$18))</f>
        <v>480</v>
      </c>
      <c r="D141" s="1540" t="n">
        <f aca="false">A142-A141</f>
        <v>31</v>
      </c>
      <c r="E141" s="1540" t="str">
        <f aca="false">IF(MONTH($A141)=12,SUM(D130:D141)," ")</f>
        <v> </v>
      </c>
      <c r="F141" s="1545" t="n">
        <f aca="false">F140</f>
        <v>24</v>
      </c>
      <c r="G141" s="1334" t="n">
        <f aca="false">IF(I141=0,0,I141/($C141*$D141*$F141*H141))</f>
        <v>0</v>
      </c>
      <c r="H141" s="1542" t="n">
        <f aca="false">IF(Avail_LDs_Switch=1,VLOOKUP('Plant Operations'!A141,RAC_AvailFactor_Table,RAC_LDs!$G$258),IF($A141&lt;Startops2,Tariff!$T$11,0))</f>
        <v>0</v>
      </c>
      <c r="I141" s="1543" t="n">
        <f aca="false">IF(OR($A141&lt;Startops1,$A141&gt;=Startops2),0,IF(AND($A141&gt;=DieselOps_2,$A141&lt;Startops2),VLOOKUP($A141,Diesel_Table,Tariff!$Y$41),VLOOKUP($A141,OA_Table,Tariff!$Y$26)))</f>
        <v>0</v>
      </c>
      <c r="J141" s="1544" t="str">
        <f aca="false">IF(MONTH($A141)=12,SUM(I130:I141)," ")</f>
        <v> </v>
      </c>
      <c r="K141" s="1334" t="n">
        <f aca="false">IF(OR($A141&lt;Startops2,$A141&gt;=Endyr),0,VLOOKUP($A141,Capacity_Table,Tariff!$S$18))</f>
        <v>0.91</v>
      </c>
      <c r="L141" s="306" t="n">
        <f aca="false">IF(OR($A141&lt;Startops2,$A141&gt;=Endyr),0,VLOOKUP($A141,Capacity_Table,Tariff!$T$18))</f>
        <v>0.92</v>
      </c>
      <c r="M141" s="397" t="n">
        <f aca="false">IF($A141&lt;Startops2,0,IF($A141&lt;Startops3,VLOOKUP($A141,Convert_Table,Tariff!$Y$54),C141*D141*F141*K141*L141))</f>
        <v>298980.864</v>
      </c>
      <c r="N141" s="1544" t="str">
        <f aca="false">IF(MONTH($A141)=12,SUM(M130:M141)," ")</f>
        <v> </v>
      </c>
      <c r="O141" s="397" t="n">
        <f aca="false">IF($A141&lt;Startops2,0,IF($A141&lt;Startops3,Hr_II,Hr_III))</f>
        <v>7000</v>
      </c>
      <c r="P141" s="397" t="n">
        <f aca="false">M141*O141/1000</f>
        <v>2092866.048</v>
      </c>
      <c r="Q141" s="1545" t="str">
        <f aca="false">IF(MONTH($A141)=12,SUM(P130:P141)," ")</f>
        <v> </v>
      </c>
      <c r="R141" s="397" t="n">
        <f aca="false">IF($A141&gt;Endyr,0,IF($A141&lt;Assm!$A$55,P141,Assm!$F$55*$D141))</f>
        <v>1828160.87671233</v>
      </c>
      <c r="S141" s="1544" t="str">
        <f aca="false">IF(MONTH($A141)=12,SUM(R130:R141)," ")</f>
        <v> </v>
      </c>
      <c r="T141" s="397" t="n">
        <f aca="false">MAX(P141,R141)</f>
        <v>2092866.048</v>
      </c>
      <c r="U141" s="1546" t="str">
        <f aca="false">IF(MONTH($A141)=12,SUM(T130:T141)," ")</f>
        <v> </v>
      </c>
    </row>
    <row r="142" customFormat="false" ht="12.75" hidden="false" customHeight="false" outlineLevel="0" collapsed="false">
      <c r="A142" s="1538" t="n">
        <f aca="false">EDATE(A141,1)</f>
        <v>40210</v>
      </c>
      <c r="C142" s="1539" t="n">
        <f aca="false">IF($A142&gt;Endyr,0,VLOOKUP($A142,Capacity_Table,Tariff!$R$18))</f>
        <v>480</v>
      </c>
      <c r="D142" s="1540" t="n">
        <f aca="false">A143-A142</f>
        <v>28</v>
      </c>
      <c r="E142" s="1540" t="str">
        <f aca="false">IF(MONTH($A142)=12,SUM(D131:D142)," ")</f>
        <v> </v>
      </c>
      <c r="F142" s="1545" t="n">
        <f aca="false">F141</f>
        <v>24</v>
      </c>
      <c r="G142" s="1334" t="n">
        <f aca="false">IF(I142=0,0,I142/($C142*$D142*$F142*H142))</f>
        <v>0</v>
      </c>
      <c r="H142" s="1542" t="n">
        <f aca="false">IF(Avail_LDs_Switch=1,VLOOKUP('Plant Operations'!A142,RAC_AvailFactor_Table,RAC_LDs!$G$258),IF($A142&lt;Startops2,Tariff!$T$11,0))</f>
        <v>0</v>
      </c>
      <c r="I142" s="1543" t="n">
        <f aca="false">IF(OR($A142&lt;Startops1,$A142&gt;=Startops2),0,IF(AND($A142&gt;=DieselOps_2,$A142&lt;Startops2),VLOOKUP($A142,Diesel_Table,Tariff!$Y$41),VLOOKUP($A142,OA_Table,Tariff!$Y$26)))</f>
        <v>0</v>
      </c>
      <c r="J142" s="1544" t="str">
        <f aca="false">IF(MONTH($A142)=12,SUM(I131:I142)," ")</f>
        <v> </v>
      </c>
      <c r="K142" s="1334" t="n">
        <f aca="false">IF(OR($A142&lt;Startops2,$A142&gt;=Endyr),0,VLOOKUP($A142,Capacity_Table,Tariff!$S$18))</f>
        <v>0.91</v>
      </c>
      <c r="L142" s="306" t="n">
        <f aca="false">IF(OR($A142&lt;Startops2,$A142&gt;=Endyr),0,VLOOKUP($A142,Capacity_Table,Tariff!$T$18))</f>
        <v>0.92</v>
      </c>
      <c r="M142" s="397" t="n">
        <f aca="false">IF($A142&lt;Startops2,0,IF($A142&lt;Startops3,VLOOKUP($A142,Convert_Table,Tariff!$Y$54),C142*D142*F142*K142*L142))</f>
        <v>270047.232</v>
      </c>
      <c r="N142" s="1544" t="str">
        <f aca="false">IF(MONTH($A142)=12,SUM(M131:M142)," ")</f>
        <v> </v>
      </c>
      <c r="O142" s="397" t="n">
        <f aca="false">IF($A142&lt;Startops2,0,IF($A142&lt;Startops3,Hr_II,Hr_III))</f>
        <v>7000</v>
      </c>
      <c r="P142" s="397" t="n">
        <f aca="false">M142*O142/1000</f>
        <v>1890330.624</v>
      </c>
      <c r="Q142" s="1545" t="str">
        <f aca="false">IF(MONTH($A142)=12,SUM(P131:P142)," ")</f>
        <v> </v>
      </c>
      <c r="R142" s="397" t="n">
        <f aca="false">IF($A142&gt;Endyr,0,IF($A142&lt;Assm!$A$55,P142,Assm!$F$55*$D142))</f>
        <v>1651242.08219178</v>
      </c>
      <c r="S142" s="1544" t="str">
        <f aca="false">IF(MONTH($A142)=12,SUM(R131:R142)," ")</f>
        <v> </v>
      </c>
      <c r="T142" s="397" t="n">
        <f aca="false">MAX(P142,R142)</f>
        <v>1890330.624</v>
      </c>
      <c r="U142" s="1546" t="str">
        <f aca="false">IF(MONTH($A142)=12,SUM(T131:T142)," ")</f>
        <v> </v>
      </c>
    </row>
    <row r="143" customFormat="false" ht="12.75" hidden="false" customHeight="false" outlineLevel="0" collapsed="false">
      <c r="A143" s="1538" t="n">
        <f aca="false">EDATE(A142,1)</f>
        <v>40238</v>
      </c>
      <c r="C143" s="1539" t="n">
        <f aca="false">IF($A143&gt;Endyr,0,VLOOKUP($A143,Capacity_Table,Tariff!$R$18))</f>
        <v>480</v>
      </c>
      <c r="D143" s="1540" t="n">
        <f aca="false">A144-A143</f>
        <v>31</v>
      </c>
      <c r="E143" s="1540" t="str">
        <f aca="false">IF(MONTH($A143)=12,SUM(D132:D143)," ")</f>
        <v> </v>
      </c>
      <c r="F143" s="1545" t="n">
        <f aca="false">F142</f>
        <v>24</v>
      </c>
      <c r="G143" s="1334" t="n">
        <f aca="false">IF(I143=0,0,I143/($C143*$D143*$F143*H143))</f>
        <v>0</v>
      </c>
      <c r="H143" s="1542" t="n">
        <f aca="false">IF(Avail_LDs_Switch=1,VLOOKUP('Plant Operations'!A143,RAC_AvailFactor_Table,RAC_LDs!$G$258),IF($A143&lt;Startops2,Tariff!$T$11,0))</f>
        <v>0</v>
      </c>
      <c r="I143" s="1543" t="n">
        <f aca="false">IF(OR($A143&lt;Startops1,$A143&gt;=Startops2),0,IF(AND($A143&gt;=DieselOps_2,$A143&lt;Startops2),VLOOKUP($A143,Diesel_Table,Tariff!$Y$41),VLOOKUP($A143,OA_Table,Tariff!$Y$26)))</f>
        <v>0</v>
      </c>
      <c r="J143" s="1544" t="str">
        <f aca="false">IF(MONTH($A143)=12,SUM(I132:I143)," ")</f>
        <v> </v>
      </c>
      <c r="K143" s="1334" t="n">
        <f aca="false">IF(OR($A143&lt;Startops2,$A143&gt;=Endyr),0,VLOOKUP($A143,Capacity_Table,Tariff!$S$18))</f>
        <v>0.91</v>
      </c>
      <c r="L143" s="306" t="n">
        <f aca="false">IF(OR($A143&lt;Startops2,$A143&gt;=Endyr),0,VLOOKUP($A143,Capacity_Table,Tariff!$T$18))</f>
        <v>0.92</v>
      </c>
      <c r="M143" s="397" t="n">
        <f aca="false">IF($A143&lt;Startops2,0,IF($A143&lt;Startops3,VLOOKUP($A143,Convert_Table,Tariff!$Y$54),C143*D143*F143*K143*L143))</f>
        <v>298980.864</v>
      </c>
      <c r="N143" s="1544" t="str">
        <f aca="false">IF(MONTH($A143)=12,SUM(M132:M143)," ")</f>
        <v> </v>
      </c>
      <c r="O143" s="397" t="n">
        <f aca="false">IF($A143&lt;Startops2,0,IF($A143&lt;Startops3,Hr_II,Hr_III))</f>
        <v>7000</v>
      </c>
      <c r="P143" s="397" t="n">
        <f aca="false">M143*O143/1000</f>
        <v>2092866.048</v>
      </c>
      <c r="Q143" s="1545" t="str">
        <f aca="false">IF(MONTH($A143)=12,SUM(P132:P143)," ")</f>
        <v> </v>
      </c>
      <c r="R143" s="397" t="n">
        <f aca="false">IF($A143&gt;Endyr,0,IF($A143&lt;Assm!$A$55,P143,Assm!$F$55*$D143))</f>
        <v>1828160.87671233</v>
      </c>
      <c r="S143" s="1544" t="str">
        <f aca="false">IF(MONTH($A143)=12,SUM(R132:R143)," ")</f>
        <v> </v>
      </c>
      <c r="T143" s="397" t="n">
        <f aca="false">MAX(P143,R143)</f>
        <v>2092866.048</v>
      </c>
      <c r="U143" s="1546" t="str">
        <f aca="false">IF(MONTH($A143)=12,SUM(T132:T143)," ")</f>
        <v> </v>
      </c>
    </row>
    <row r="144" customFormat="false" ht="12.75" hidden="false" customHeight="false" outlineLevel="0" collapsed="false">
      <c r="A144" s="1538" t="n">
        <f aca="false">EDATE(A143,1)</f>
        <v>40269</v>
      </c>
      <c r="C144" s="1539" t="n">
        <f aca="false">IF($A144&gt;Endyr,0,VLOOKUP($A144,Capacity_Table,Tariff!$R$18))</f>
        <v>480</v>
      </c>
      <c r="D144" s="1540" t="n">
        <f aca="false">A145-A144</f>
        <v>30</v>
      </c>
      <c r="E144" s="1540" t="str">
        <f aca="false">IF(MONTH($A144)=12,SUM(D133:D144)," ")</f>
        <v> </v>
      </c>
      <c r="F144" s="1545" t="n">
        <f aca="false">F143</f>
        <v>24</v>
      </c>
      <c r="G144" s="1334" t="n">
        <f aca="false">IF(I144=0,0,I144/($C144*$D144*$F144*H144))</f>
        <v>0</v>
      </c>
      <c r="H144" s="1542" t="n">
        <f aca="false">IF(Avail_LDs_Switch=1,VLOOKUP('Plant Operations'!A144,RAC_AvailFactor_Table,RAC_LDs!$G$258),IF($A144&lt;Startops2,Tariff!$T$11,0))</f>
        <v>0</v>
      </c>
      <c r="I144" s="1543" t="n">
        <f aca="false">IF(OR($A144&lt;Startops1,$A144&gt;=Startops2),0,IF(AND($A144&gt;=DieselOps_2,$A144&lt;Startops2),VLOOKUP($A144,Diesel_Table,Tariff!$Y$41),VLOOKUP($A144,OA_Table,Tariff!$Y$26)))</f>
        <v>0</v>
      </c>
      <c r="J144" s="1544" t="str">
        <f aca="false">IF(MONTH($A144)=12,SUM(I133:I144)," ")</f>
        <v> </v>
      </c>
      <c r="K144" s="1334" t="n">
        <f aca="false">IF(OR($A144&lt;Startops2,$A144&gt;=Endyr),0,VLOOKUP($A144,Capacity_Table,Tariff!$S$18))</f>
        <v>0.91</v>
      </c>
      <c r="L144" s="306" t="n">
        <f aca="false">IF(OR($A144&lt;Startops2,$A144&gt;=Endyr),0,VLOOKUP($A144,Capacity_Table,Tariff!$T$18))</f>
        <v>0.92</v>
      </c>
      <c r="M144" s="397" t="n">
        <f aca="false">IF($A144&lt;Startops2,0,IF($A144&lt;Startops3,VLOOKUP($A144,Convert_Table,Tariff!$Y$54),C144*D144*F144*K144*L144))</f>
        <v>289336.32</v>
      </c>
      <c r="N144" s="1544" t="str">
        <f aca="false">IF(MONTH($A144)=12,SUM(M133:M144)," ")</f>
        <v> </v>
      </c>
      <c r="O144" s="397" t="n">
        <f aca="false">IF($A144&lt;Startops2,0,IF($A144&lt;Startops3,Hr_II,Hr_III))</f>
        <v>7000</v>
      </c>
      <c r="P144" s="397" t="n">
        <f aca="false">M144*O144/1000</f>
        <v>2025354.24</v>
      </c>
      <c r="Q144" s="1545" t="str">
        <f aca="false">IF(MONTH($A144)=12,SUM(P133:P144)," ")</f>
        <v> </v>
      </c>
      <c r="R144" s="397" t="n">
        <f aca="false">IF($A144&gt;Endyr,0,IF($A144&lt;Assm!$A$55,P144,Assm!$F$55*$D144))</f>
        <v>1769187.94520548</v>
      </c>
      <c r="S144" s="1544" t="str">
        <f aca="false">IF(MONTH($A144)=12,SUM(R133:R144)," ")</f>
        <v> </v>
      </c>
      <c r="T144" s="397" t="n">
        <f aca="false">MAX(P144,R144)</f>
        <v>2025354.24</v>
      </c>
      <c r="U144" s="1546" t="str">
        <f aca="false">IF(MONTH($A144)=12,SUM(T133:T144)," ")</f>
        <v> </v>
      </c>
    </row>
    <row r="145" customFormat="false" ht="12.75" hidden="false" customHeight="false" outlineLevel="0" collapsed="false">
      <c r="A145" s="1538" t="n">
        <f aca="false">EDATE(A144,1)</f>
        <v>40299</v>
      </c>
      <c r="C145" s="1539" t="n">
        <f aca="false">IF($A145&gt;Endyr,0,VLOOKUP($A145,Capacity_Table,Tariff!$R$18))</f>
        <v>480</v>
      </c>
      <c r="D145" s="1540" t="n">
        <f aca="false">A146-A145</f>
        <v>31</v>
      </c>
      <c r="E145" s="1540" t="str">
        <f aca="false">IF(MONTH($A145)=12,SUM(D134:D145)," ")</f>
        <v> </v>
      </c>
      <c r="F145" s="1545" t="n">
        <f aca="false">F144</f>
        <v>24</v>
      </c>
      <c r="G145" s="1334" t="n">
        <f aca="false">IF(I145=0,0,I145/($C145*$D145*$F145*H145))</f>
        <v>0</v>
      </c>
      <c r="H145" s="1542" t="n">
        <f aca="false">IF(Avail_LDs_Switch=1,VLOOKUP('Plant Operations'!A145,RAC_AvailFactor_Table,RAC_LDs!$G$258),IF($A145&lt;Startops2,Tariff!$T$11,0))</f>
        <v>0</v>
      </c>
      <c r="I145" s="1543" t="n">
        <f aca="false">IF(OR($A145&lt;Startops1,$A145&gt;=Startops2),0,IF(AND($A145&gt;=DieselOps_2,$A145&lt;Startops2),VLOOKUP($A145,Diesel_Table,Tariff!$Y$41),VLOOKUP($A145,OA_Table,Tariff!$Y$26)))</f>
        <v>0</v>
      </c>
      <c r="J145" s="1544" t="str">
        <f aca="false">IF(MONTH($A145)=12,SUM(I134:I145)," ")</f>
        <v> </v>
      </c>
      <c r="K145" s="1334" t="n">
        <f aca="false">IF(OR($A145&lt;Startops2,$A145&gt;=Endyr),0,VLOOKUP($A145,Capacity_Table,Tariff!$S$18))</f>
        <v>0.91</v>
      </c>
      <c r="L145" s="306" t="n">
        <f aca="false">IF(OR($A145&lt;Startops2,$A145&gt;=Endyr),0,VLOOKUP($A145,Capacity_Table,Tariff!$T$18))</f>
        <v>0.92</v>
      </c>
      <c r="M145" s="397" t="n">
        <f aca="false">IF($A145&lt;Startops2,0,IF($A145&lt;Startops3,VLOOKUP($A145,Convert_Table,Tariff!$Y$54),C145*D145*F145*K145*L145))</f>
        <v>298980.864</v>
      </c>
      <c r="N145" s="1544" t="str">
        <f aca="false">IF(MONTH($A145)=12,SUM(M134:M145)," ")</f>
        <v> </v>
      </c>
      <c r="O145" s="397" t="n">
        <f aca="false">IF($A145&lt;Startops2,0,IF($A145&lt;Startops3,Hr_II,Hr_III))</f>
        <v>7000</v>
      </c>
      <c r="P145" s="397" t="n">
        <f aca="false">M145*O145/1000</f>
        <v>2092866.048</v>
      </c>
      <c r="Q145" s="1545" t="str">
        <f aca="false">IF(MONTH($A145)=12,SUM(P134:P145)," ")</f>
        <v> </v>
      </c>
      <c r="R145" s="397" t="n">
        <f aca="false">IF($A145&gt;Endyr,0,IF($A145&lt;Assm!$A$55,P145,Assm!$F$55*$D145))</f>
        <v>1828160.87671233</v>
      </c>
      <c r="S145" s="1544" t="str">
        <f aca="false">IF(MONTH($A145)=12,SUM(R134:R145)," ")</f>
        <v> </v>
      </c>
      <c r="T145" s="397" t="n">
        <f aca="false">MAX(P145,R145)</f>
        <v>2092866.048</v>
      </c>
      <c r="U145" s="1546" t="str">
        <f aca="false">IF(MONTH($A145)=12,SUM(T134:T145)," ")</f>
        <v> </v>
      </c>
    </row>
    <row r="146" customFormat="false" ht="12.75" hidden="false" customHeight="false" outlineLevel="0" collapsed="false">
      <c r="A146" s="1538" t="n">
        <f aca="false">EDATE(A145,1)</f>
        <v>40330</v>
      </c>
      <c r="C146" s="1539" t="n">
        <f aca="false">IF($A146&gt;Endyr,0,VLOOKUP($A146,Capacity_Table,Tariff!$R$18))</f>
        <v>480</v>
      </c>
      <c r="D146" s="1540" t="n">
        <f aca="false">A147-A146</f>
        <v>30</v>
      </c>
      <c r="E146" s="1540" t="str">
        <f aca="false">IF(MONTH($A146)=12,SUM(D135:D146)," ")</f>
        <v> </v>
      </c>
      <c r="F146" s="1545" t="n">
        <f aca="false">F145</f>
        <v>24</v>
      </c>
      <c r="G146" s="1334" t="n">
        <f aca="false">IF(I146=0,0,I146/($C146*$D146*$F146*H146))</f>
        <v>0</v>
      </c>
      <c r="H146" s="1542" t="n">
        <f aca="false">IF(Avail_LDs_Switch=1,VLOOKUP('Plant Operations'!A146,RAC_AvailFactor_Table,RAC_LDs!$G$258),IF($A146&lt;Startops2,Tariff!$T$11,0))</f>
        <v>0</v>
      </c>
      <c r="I146" s="1543" t="n">
        <f aca="false">IF(OR($A146&lt;Startops1,$A146&gt;=Startops2),0,IF(AND($A146&gt;=DieselOps_2,$A146&lt;Startops2),VLOOKUP($A146,Diesel_Table,Tariff!$Y$41),VLOOKUP($A146,OA_Table,Tariff!$Y$26)))</f>
        <v>0</v>
      </c>
      <c r="J146" s="1544" t="str">
        <f aca="false">IF(MONTH($A146)=12,SUM(I135:I146)," ")</f>
        <v> </v>
      </c>
      <c r="K146" s="1334" t="n">
        <f aca="false">IF(OR($A146&lt;Startops2,$A146&gt;=Endyr),0,VLOOKUP($A146,Capacity_Table,Tariff!$S$18))</f>
        <v>0.91</v>
      </c>
      <c r="L146" s="306" t="n">
        <f aca="false">IF(OR($A146&lt;Startops2,$A146&gt;=Endyr),0,VLOOKUP($A146,Capacity_Table,Tariff!$T$18))</f>
        <v>0.92</v>
      </c>
      <c r="M146" s="397" t="n">
        <f aca="false">IF($A146&lt;Startops2,0,IF($A146&lt;Startops3,VLOOKUP($A146,Convert_Table,Tariff!$Y$54),C146*D146*F146*K146*L146))</f>
        <v>289336.32</v>
      </c>
      <c r="N146" s="1544" t="str">
        <f aca="false">IF(MONTH($A146)=12,SUM(M135:M146)," ")</f>
        <v> </v>
      </c>
      <c r="O146" s="397" t="n">
        <f aca="false">IF($A146&lt;Startops2,0,IF($A146&lt;Startops3,Hr_II,Hr_III))</f>
        <v>7000</v>
      </c>
      <c r="P146" s="397" t="n">
        <f aca="false">M146*O146/1000</f>
        <v>2025354.24</v>
      </c>
      <c r="Q146" s="1545" t="str">
        <f aca="false">IF(MONTH($A146)=12,SUM(P135:P146)," ")</f>
        <v> </v>
      </c>
      <c r="R146" s="397" t="n">
        <f aca="false">IF($A146&gt;Endyr,0,IF($A146&lt;Assm!$A$55,P146,Assm!$F$55*$D146))</f>
        <v>1769187.94520548</v>
      </c>
      <c r="S146" s="1544" t="str">
        <f aca="false">IF(MONTH($A146)=12,SUM(R135:R146)," ")</f>
        <v> </v>
      </c>
      <c r="T146" s="397" t="n">
        <f aca="false">MAX(P146,R146)</f>
        <v>2025354.24</v>
      </c>
      <c r="U146" s="1546" t="str">
        <f aca="false">IF(MONTH($A146)=12,SUM(T135:T146)," ")</f>
        <v> </v>
      </c>
    </row>
    <row r="147" customFormat="false" ht="12.75" hidden="false" customHeight="false" outlineLevel="0" collapsed="false">
      <c r="A147" s="1538" t="n">
        <f aca="false">EDATE(A146,1)</f>
        <v>40360</v>
      </c>
      <c r="C147" s="1539" t="n">
        <f aca="false">IF($A147&gt;Endyr,0,VLOOKUP($A147,Capacity_Table,Tariff!$R$18))</f>
        <v>480</v>
      </c>
      <c r="D147" s="1540" t="n">
        <f aca="false">A148-A147</f>
        <v>31</v>
      </c>
      <c r="E147" s="1540" t="str">
        <f aca="false">IF(MONTH($A147)=12,SUM(D136:D147)," ")</f>
        <v> </v>
      </c>
      <c r="F147" s="1545" t="n">
        <f aca="false">F146</f>
        <v>24</v>
      </c>
      <c r="G147" s="1334" t="n">
        <f aca="false">IF(I147=0,0,I147/($C147*$D147*$F147*H147))</f>
        <v>0</v>
      </c>
      <c r="H147" s="1542" t="n">
        <f aca="false">IF(Avail_LDs_Switch=1,VLOOKUP('Plant Operations'!A147,RAC_AvailFactor_Table,RAC_LDs!$G$258),IF($A147&lt;Startops2,Tariff!$T$11,0))</f>
        <v>0</v>
      </c>
      <c r="I147" s="1543" t="n">
        <f aca="false">IF(OR($A147&lt;Startops1,$A147&gt;=Startops2),0,IF(AND($A147&gt;=DieselOps_2,$A147&lt;Startops2),VLOOKUP($A147,Diesel_Table,Tariff!$Y$41),VLOOKUP($A147,OA_Table,Tariff!$Y$26)))</f>
        <v>0</v>
      </c>
      <c r="J147" s="1544" t="str">
        <f aca="false">IF(MONTH($A147)=12,SUM(I136:I147)," ")</f>
        <v> </v>
      </c>
      <c r="K147" s="1334" t="n">
        <f aca="false">IF(OR($A147&lt;Startops2,$A147&gt;=Endyr),0,VLOOKUP($A147,Capacity_Table,Tariff!$S$18))</f>
        <v>0.91</v>
      </c>
      <c r="L147" s="306" t="n">
        <f aca="false">IF(OR($A147&lt;Startops2,$A147&gt;=Endyr),0,VLOOKUP($A147,Capacity_Table,Tariff!$T$18))</f>
        <v>0.92</v>
      </c>
      <c r="M147" s="397" t="n">
        <f aca="false">IF($A147&lt;Startops2,0,IF($A147&lt;Startops3,VLOOKUP($A147,Convert_Table,Tariff!$Y$54),C147*D147*F147*K147*L147))</f>
        <v>298980.864</v>
      </c>
      <c r="N147" s="1544" t="str">
        <f aca="false">IF(MONTH($A147)=12,SUM(M136:M147)," ")</f>
        <v> </v>
      </c>
      <c r="O147" s="397" t="n">
        <f aca="false">IF($A147&lt;Startops2,0,IF($A147&lt;Startops3,Hr_II,Hr_III))</f>
        <v>7000</v>
      </c>
      <c r="P147" s="397" t="n">
        <f aca="false">M147*O147/1000</f>
        <v>2092866.048</v>
      </c>
      <c r="Q147" s="1545" t="str">
        <f aca="false">IF(MONTH($A147)=12,SUM(P136:P147)," ")</f>
        <v> </v>
      </c>
      <c r="R147" s="397" t="n">
        <f aca="false">IF($A147&gt;Endyr,0,IF($A147&lt;Assm!$A$55,P147,Assm!$F$55*$D147))</f>
        <v>1828160.87671233</v>
      </c>
      <c r="S147" s="1544" t="str">
        <f aca="false">IF(MONTH($A147)=12,SUM(R136:R147)," ")</f>
        <v> </v>
      </c>
      <c r="T147" s="397" t="n">
        <f aca="false">MAX(P147,R147)</f>
        <v>2092866.048</v>
      </c>
      <c r="U147" s="1546" t="str">
        <f aca="false">IF(MONTH($A147)=12,SUM(T136:T147)," ")</f>
        <v> </v>
      </c>
    </row>
    <row r="148" customFormat="false" ht="12.75" hidden="false" customHeight="false" outlineLevel="0" collapsed="false">
      <c r="A148" s="1538" t="n">
        <f aca="false">EDATE(A147,1)</f>
        <v>40391</v>
      </c>
      <c r="C148" s="1539" t="n">
        <f aca="false">IF($A148&gt;Endyr,0,VLOOKUP($A148,Capacity_Table,Tariff!$R$18))</f>
        <v>480</v>
      </c>
      <c r="D148" s="1540" t="n">
        <f aca="false">A149-A148</f>
        <v>31</v>
      </c>
      <c r="E148" s="1540" t="str">
        <f aca="false">IF(MONTH($A148)=12,SUM(D137:D148)," ")</f>
        <v> </v>
      </c>
      <c r="F148" s="1545" t="n">
        <f aca="false">F147</f>
        <v>24</v>
      </c>
      <c r="G148" s="1334" t="n">
        <f aca="false">IF(I148=0,0,I148/($C148*$D148*$F148*H148))</f>
        <v>0</v>
      </c>
      <c r="H148" s="1542" t="n">
        <f aca="false">IF(Avail_LDs_Switch=1,VLOOKUP('Plant Operations'!A148,RAC_AvailFactor_Table,RAC_LDs!$G$258),IF($A148&lt;Startops2,Tariff!$T$11,0))</f>
        <v>0</v>
      </c>
      <c r="I148" s="1543" t="n">
        <f aca="false">IF(OR($A148&lt;Startops1,$A148&gt;=Startops2),0,IF(AND($A148&gt;=DieselOps_2,$A148&lt;Startops2),VLOOKUP($A148,Diesel_Table,Tariff!$Y$41),VLOOKUP($A148,OA_Table,Tariff!$Y$26)))</f>
        <v>0</v>
      </c>
      <c r="J148" s="1544" t="str">
        <f aca="false">IF(MONTH($A148)=12,SUM(I137:I148)," ")</f>
        <v> </v>
      </c>
      <c r="K148" s="1334" t="n">
        <f aca="false">IF(OR($A148&lt;Startops2,$A148&gt;=Endyr),0,VLOOKUP($A148,Capacity_Table,Tariff!$S$18))</f>
        <v>0.91</v>
      </c>
      <c r="L148" s="306" t="n">
        <f aca="false">IF(OR($A148&lt;Startops2,$A148&gt;=Endyr),0,VLOOKUP($A148,Capacity_Table,Tariff!$T$18))</f>
        <v>0.92</v>
      </c>
      <c r="M148" s="397" t="n">
        <f aca="false">IF($A148&lt;Startops2,0,IF($A148&lt;Startops3,VLOOKUP($A148,Convert_Table,Tariff!$Y$54),C148*D148*F148*K148*L148))</f>
        <v>298980.864</v>
      </c>
      <c r="N148" s="1544" t="str">
        <f aca="false">IF(MONTH($A148)=12,SUM(M137:M148)," ")</f>
        <v> </v>
      </c>
      <c r="O148" s="397" t="n">
        <f aca="false">IF($A148&lt;Startops2,0,IF($A148&lt;Startops3,Hr_II,Hr_III))</f>
        <v>7000</v>
      </c>
      <c r="P148" s="397" t="n">
        <f aca="false">M148*O148/1000</f>
        <v>2092866.048</v>
      </c>
      <c r="Q148" s="1545" t="str">
        <f aca="false">IF(MONTH($A148)=12,SUM(P137:P148)," ")</f>
        <v> </v>
      </c>
      <c r="R148" s="397" t="n">
        <f aca="false">IF($A148&gt;Endyr,0,IF($A148&lt;Assm!$A$55,P148,Assm!$F$55*$D148))</f>
        <v>1828160.87671233</v>
      </c>
      <c r="S148" s="1544" t="str">
        <f aca="false">IF(MONTH($A148)=12,SUM(R137:R148)," ")</f>
        <v> </v>
      </c>
      <c r="T148" s="397" t="n">
        <f aca="false">MAX(P148,R148)</f>
        <v>2092866.048</v>
      </c>
      <c r="U148" s="1546" t="str">
        <f aca="false">IF(MONTH($A148)=12,SUM(T137:T148)," ")</f>
        <v> </v>
      </c>
    </row>
    <row r="149" customFormat="false" ht="12.75" hidden="false" customHeight="false" outlineLevel="0" collapsed="false">
      <c r="A149" s="1538" t="n">
        <f aca="false">EDATE(A148,1)</f>
        <v>40422</v>
      </c>
      <c r="C149" s="1539" t="n">
        <f aca="false">IF($A149&gt;Endyr,0,VLOOKUP($A149,Capacity_Table,Tariff!$R$18))</f>
        <v>480</v>
      </c>
      <c r="D149" s="1540" t="n">
        <f aca="false">A150-A149</f>
        <v>30</v>
      </c>
      <c r="E149" s="1540" t="str">
        <f aca="false">IF(MONTH($A149)=12,SUM(D138:D149)," ")</f>
        <v> </v>
      </c>
      <c r="F149" s="1545" t="n">
        <f aca="false">F148</f>
        <v>24</v>
      </c>
      <c r="G149" s="1334" t="n">
        <f aca="false">IF(I149=0,0,I149/($C149*$D149*$F149*H149))</f>
        <v>0</v>
      </c>
      <c r="H149" s="1542" t="n">
        <f aca="false">IF(Avail_LDs_Switch=1,VLOOKUP('Plant Operations'!A149,RAC_AvailFactor_Table,RAC_LDs!$G$258),IF($A149&lt;Startops2,Tariff!$T$11,0))</f>
        <v>0</v>
      </c>
      <c r="I149" s="1543" t="n">
        <f aca="false">IF(OR($A149&lt;Startops1,$A149&gt;=Startops2),0,IF(AND($A149&gt;=DieselOps_2,$A149&lt;Startops2),VLOOKUP($A149,Diesel_Table,Tariff!$Y$41),VLOOKUP($A149,OA_Table,Tariff!$Y$26)))</f>
        <v>0</v>
      </c>
      <c r="J149" s="1544" t="str">
        <f aca="false">IF(MONTH($A149)=12,SUM(I138:I149)," ")</f>
        <v> </v>
      </c>
      <c r="K149" s="1334" t="n">
        <f aca="false">IF(OR($A149&lt;Startops2,$A149&gt;=Endyr),0,VLOOKUP($A149,Capacity_Table,Tariff!$S$18))</f>
        <v>0.91</v>
      </c>
      <c r="L149" s="306" t="n">
        <f aca="false">IF(OR($A149&lt;Startops2,$A149&gt;=Endyr),0,VLOOKUP($A149,Capacity_Table,Tariff!$T$18))</f>
        <v>0.92</v>
      </c>
      <c r="M149" s="397" t="n">
        <f aca="false">IF($A149&lt;Startops2,0,IF($A149&lt;Startops3,VLOOKUP($A149,Convert_Table,Tariff!$Y$54),C149*D149*F149*K149*L149))</f>
        <v>289336.32</v>
      </c>
      <c r="N149" s="1544" t="str">
        <f aca="false">IF(MONTH($A149)=12,SUM(M138:M149)," ")</f>
        <v> </v>
      </c>
      <c r="O149" s="397" t="n">
        <f aca="false">IF($A149&lt;Startops2,0,IF($A149&lt;Startops3,Hr_II,Hr_III))</f>
        <v>7000</v>
      </c>
      <c r="P149" s="397" t="n">
        <f aca="false">M149*O149/1000</f>
        <v>2025354.24</v>
      </c>
      <c r="Q149" s="1545" t="str">
        <f aca="false">IF(MONTH($A149)=12,SUM(P138:P149)," ")</f>
        <v> </v>
      </c>
      <c r="R149" s="397" t="n">
        <f aca="false">IF($A149&gt;Endyr,0,IF($A149&lt;Assm!$A$55,P149,Assm!$F$55*$D149))</f>
        <v>1769187.94520548</v>
      </c>
      <c r="S149" s="1544" t="str">
        <f aca="false">IF(MONTH($A149)=12,SUM(R138:R149)," ")</f>
        <v> </v>
      </c>
      <c r="T149" s="397" t="n">
        <f aca="false">MAX(P149,R149)</f>
        <v>2025354.24</v>
      </c>
      <c r="U149" s="1546" t="str">
        <f aca="false">IF(MONTH($A149)=12,SUM(T138:T149)," ")</f>
        <v> </v>
      </c>
    </row>
    <row r="150" customFormat="false" ht="12.75" hidden="false" customHeight="false" outlineLevel="0" collapsed="false">
      <c r="A150" s="1538" t="n">
        <f aca="false">EDATE(A149,1)</f>
        <v>40452</v>
      </c>
      <c r="C150" s="1539" t="n">
        <f aca="false">IF($A150&gt;Endyr,0,VLOOKUP($A150,Capacity_Table,Tariff!$R$18))</f>
        <v>480</v>
      </c>
      <c r="D150" s="1540" t="n">
        <f aca="false">A151-A150</f>
        <v>31</v>
      </c>
      <c r="E150" s="1540" t="str">
        <f aca="false">IF(MONTH($A150)=12,SUM(D139:D150)," ")</f>
        <v> </v>
      </c>
      <c r="F150" s="1545" t="n">
        <f aca="false">F149</f>
        <v>24</v>
      </c>
      <c r="G150" s="1334" t="n">
        <f aca="false">IF(I150=0,0,I150/($C150*$D150*$F150*H150))</f>
        <v>0</v>
      </c>
      <c r="H150" s="1542" t="n">
        <f aca="false">IF(Avail_LDs_Switch=1,VLOOKUP('Plant Operations'!A150,RAC_AvailFactor_Table,RAC_LDs!$G$258),IF($A150&lt;Startops2,Tariff!$T$11,0))</f>
        <v>0</v>
      </c>
      <c r="I150" s="1543" t="n">
        <f aca="false">IF(OR($A150&lt;Startops1,$A150&gt;=Startops2),0,IF(AND($A150&gt;=DieselOps_2,$A150&lt;Startops2),VLOOKUP($A150,Diesel_Table,Tariff!$Y$41),VLOOKUP($A150,OA_Table,Tariff!$Y$26)))</f>
        <v>0</v>
      </c>
      <c r="J150" s="1544" t="str">
        <f aca="false">IF(MONTH($A150)=12,SUM(I139:I150)," ")</f>
        <v> </v>
      </c>
      <c r="K150" s="1334" t="n">
        <f aca="false">IF(OR($A150&lt;Startops2,$A150&gt;=Endyr),0,VLOOKUP($A150,Capacity_Table,Tariff!$S$18))</f>
        <v>0.91</v>
      </c>
      <c r="L150" s="306" t="n">
        <f aca="false">IF(OR($A150&lt;Startops2,$A150&gt;=Endyr),0,VLOOKUP($A150,Capacity_Table,Tariff!$T$18))</f>
        <v>0.92</v>
      </c>
      <c r="M150" s="397" t="n">
        <f aca="false">IF($A150&lt;Startops2,0,IF($A150&lt;Startops3,VLOOKUP($A150,Convert_Table,Tariff!$Y$54),C150*D150*F150*K150*L150))</f>
        <v>298980.864</v>
      </c>
      <c r="N150" s="1544" t="str">
        <f aca="false">IF(MONTH($A150)=12,SUM(M139:M150)," ")</f>
        <v> </v>
      </c>
      <c r="O150" s="397" t="n">
        <f aca="false">IF($A150&lt;Startops2,0,IF($A150&lt;Startops3,Hr_II,Hr_III))</f>
        <v>7000</v>
      </c>
      <c r="P150" s="397" t="n">
        <f aca="false">M150*O150/1000</f>
        <v>2092866.048</v>
      </c>
      <c r="Q150" s="1545" t="str">
        <f aca="false">IF(MONTH($A150)=12,SUM(P139:P150)," ")</f>
        <v> </v>
      </c>
      <c r="R150" s="397" t="n">
        <f aca="false">IF($A150&gt;Endyr,0,IF($A150&lt;Assm!$A$55,P150,Assm!$F$55*$D150))</f>
        <v>1828160.87671233</v>
      </c>
      <c r="S150" s="1544" t="str">
        <f aca="false">IF(MONTH($A150)=12,SUM(R139:R150)," ")</f>
        <v> </v>
      </c>
      <c r="T150" s="397" t="n">
        <f aca="false">MAX(P150,R150)</f>
        <v>2092866.048</v>
      </c>
      <c r="U150" s="1546" t="str">
        <f aca="false">IF(MONTH($A150)=12,SUM(T139:T150)," ")</f>
        <v> </v>
      </c>
    </row>
    <row r="151" customFormat="false" ht="12.75" hidden="false" customHeight="false" outlineLevel="0" collapsed="false">
      <c r="A151" s="1538" t="n">
        <f aca="false">EDATE(A150,1)</f>
        <v>40483</v>
      </c>
      <c r="C151" s="1539" t="n">
        <f aca="false">IF($A151&gt;Endyr,0,VLOOKUP($A151,Capacity_Table,Tariff!$R$18))</f>
        <v>480</v>
      </c>
      <c r="D151" s="1540" t="n">
        <f aca="false">A152-A151</f>
        <v>30</v>
      </c>
      <c r="E151" s="1540" t="str">
        <f aca="false">IF(MONTH($A151)=12,SUM(D140:D151)," ")</f>
        <v> </v>
      </c>
      <c r="F151" s="1545" t="n">
        <f aca="false">F150</f>
        <v>24</v>
      </c>
      <c r="G151" s="1334" t="n">
        <f aca="false">IF(I151=0,0,I151/($C151*$D151*$F151*H151))</f>
        <v>0</v>
      </c>
      <c r="H151" s="1542" t="n">
        <f aca="false">IF(Avail_LDs_Switch=1,VLOOKUP('Plant Operations'!A151,RAC_AvailFactor_Table,RAC_LDs!$G$258),IF($A151&lt;Startops2,Tariff!$T$11,0))</f>
        <v>0</v>
      </c>
      <c r="I151" s="1543" t="n">
        <f aca="false">IF(OR($A151&lt;Startops1,$A151&gt;=Startops2),0,IF(AND($A151&gt;=DieselOps_2,$A151&lt;Startops2),VLOOKUP($A151,Diesel_Table,Tariff!$Y$41),VLOOKUP($A151,OA_Table,Tariff!$Y$26)))</f>
        <v>0</v>
      </c>
      <c r="J151" s="1544" t="str">
        <f aca="false">IF(MONTH($A151)=12,SUM(I140:I151)," ")</f>
        <v> </v>
      </c>
      <c r="K151" s="1334" t="n">
        <f aca="false">IF(OR($A151&lt;Startops2,$A151&gt;=Endyr),0,VLOOKUP($A151,Capacity_Table,Tariff!$S$18))</f>
        <v>0.91</v>
      </c>
      <c r="L151" s="306" t="n">
        <f aca="false">IF(OR($A151&lt;Startops2,$A151&gt;=Endyr),0,VLOOKUP($A151,Capacity_Table,Tariff!$T$18))</f>
        <v>0.92</v>
      </c>
      <c r="M151" s="397" t="n">
        <f aca="false">IF($A151&lt;Startops2,0,IF($A151&lt;Startops3,VLOOKUP($A151,Convert_Table,Tariff!$Y$54),C151*D151*F151*K151*L151))</f>
        <v>289336.32</v>
      </c>
      <c r="N151" s="1544" t="str">
        <f aca="false">IF(MONTH($A151)=12,SUM(M140:M151)," ")</f>
        <v> </v>
      </c>
      <c r="O151" s="397" t="n">
        <f aca="false">IF($A151&lt;Startops2,0,IF($A151&lt;Startops3,Hr_II,Hr_III))</f>
        <v>7000</v>
      </c>
      <c r="P151" s="397" t="n">
        <f aca="false">M151*O151/1000</f>
        <v>2025354.24</v>
      </c>
      <c r="Q151" s="1545" t="str">
        <f aca="false">IF(MONTH($A151)=12,SUM(P140:P151)," ")</f>
        <v> </v>
      </c>
      <c r="R151" s="397" t="n">
        <f aca="false">IF($A151&gt;Endyr,0,IF($A151&lt;Assm!$A$55,P151,Assm!$F$55*$D151))</f>
        <v>1769187.94520548</v>
      </c>
      <c r="S151" s="1544" t="str">
        <f aca="false">IF(MONTH($A151)=12,SUM(R140:R151)," ")</f>
        <v> </v>
      </c>
      <c r="T151" s="397" t="n">
        <f aca="false">MAX(P151,R151)</f>
        <v>2025354.24</v>
      </c>
      <c r="U151" s="1546" t="str">
        <f aca="false">IF(MONTH($A151)=12,SUM(T140:T151)," ")</f>
        <v> </v>
      </c>
    </row>
    <row r="152" customFormat="false" ht="12.75" hidden="false" customHeight="false" outlineLevel="0" collapsed="false">
      <c r="A152" s="1538" t="n">
        <f aca="false">EDATE(A151,1)</f>
        <v>40513</v>
      </c>
      <c r="C152" s="1539" t="n">
        <f aca="false">IF($A152&gt;Endyr,0,VLOOKUP($A152,Capacity_Table,Tariff!$R$18))</f>
        <v>480</v>
      </c>
      <c r="D152" s="1540" t="n">
        <f aca="false">A153-A152</f>
        <v>31</v>
      </c>
      <c r="E152" s="1540" t="n">
        <f aca="false">IF(MONTH($A152)=12,SUM(D141:D152)," ")</f>
        <v>365</v>
      </c>
      <c r="F152" s="1545" t="n">
        <f aca="false">F151</f>
        <v>24</v>
      </c>
      <c r="G152" s="1334" t="n">
        <f aca="false">IF(I152=0,0,I152/($C152*$D152*$F152*H152))</f>
        <v>0</v>
      </c>
      <c r="H152" s="1542" t="n">
        <f aca="false">IF(Avail_LDs_Switch=1,VLOOKUP('Plant Operations'!A152,RAC_AvailFactor_Table,RAC_LDs!$G$258),IF($A152&lt;Startops2,Tariff!$T$11,0))</f>
        <v>0</v>
      </c>
      <c r="I152" s="1543" t="n">
        <f aca="false">IF(OR($A152&lt;Startops1,$A152&gt;=Startops2),0,IF(AND($A152&gt;=DieselOps_2,$A152&lt;Startops2),VLOOKUP($A152,Diesel_Table,Tariff!$Y$41),VLOOKUP($A152,OA_Table,Tariff!$Y$26)))</f>
        <v>0</v>
      </c>
      <c r="J152" s="1544" t="n">
        <f aca="false">IF(MONTH($A152)=12,SUM(I141:I152)," ")</f>
        <v>0</v>
      </c>
      <c r="K152" s="1334" t="n">
        <f aca="false">IF(OR($A152&lt;Startops2,$A152&gt;=Endyr),0,VLOOKUP($A152,Capacity_Table,Tariff!$S$18))</f>
        <v>0.91</v>
      </c>
      <c r="L152" s="306" t="n">
        <f aca="false">IF(OR($A152&lt;Startops2,$A152&gt;=Endyr),0,VLOOKUP($A152,Capacity_Table,Tariff!$T$18))</f>
        <v>0.92</v>
      </c>
      <c r="M152" s="397" t="n">
        <f aca="false">IF($A152&lt;Startops2,0,IF($A152&lt;Startops3,VLOOKUP($A152,Convert_Table,Tariff!$Y$54),C152*D152*F152*K152*L152))</f>
        <v>298980.864</v>
      </c>
      <c r="N152" s="1544" t="n">
        <f aca="false">IF(MONTH($A152)=12,SUM(M141:M152)," ")</f>
        <v>3520258.56</v>
      </c>
      <c r="O152" s="397" t="n">
        <f aca="false">IF($A152&lt;Startops2,0,IF($A152&lt;Startops3,Hr_II,Hr_III))</f>
        <v>7000</v>
      </c>
      <c r="P152" s="397" t="n">
        <f aca="false">M152*O152/1000</f>
        <v>2092866.048</v>
      </c>
      <c r="Q152" s="1545" t="n">
        <f aca="false">IF(MONTH($A152)=12,SUM(P141:P152)," ")</f>
        <v>24641809.92</v>
      </c>
      <c r="R152" s="397" t="n">
        <f aca="false">IF($A152&gt;Endyr,0,IF($A152&lt;Assm!$A$55,P152,Assm!$F$55*$D152))</f>
        <v>1828160.87671233</v>
      </c>
      <c r="S152" s="1544" t="n">
        <f aca="false">IF(MONTH($A152)=12,SUM(R141:R152)," ")</f>
        <v>21525120</v>
      </c>
      <c r="T152" s="397" t="n">
        <f aca="false">MAX(P152,R152)</f>
        <v>2092866.048</v>
      </c>
      <c r="U152" s="1546" t="n">
        <f aca="false">IF(MONTH($A152)=12,SUM(T141:T152)," ")</f>
        <v>24641809.92</v>
      </c>
    </row>
    <row r="153" customFormat="false" ht="12.75" hidden="false" customHeight="false" outlineLevel="0" collapsed="false">
      <c r="A153" s="1538" t="n">
        <f aca="false">EDATE(A152,1)</f>
        <v>40544</v>
      </c>
      <c r="C153" s="1539" t="n">
        <f aca="false">IF($A153&gt;Endyr,0,VLOOKUP($A153,Capacity_Table,Tariff!$R$18))</f>
        <v>480</v>
      </c>
      <c r="D153" s="1540" t="n">
        <f aca="false">A154-A153</f>
        <v>31</v>
      </c>
      <c r="E153" s="1540" t="str">
        <f aca="false">IF(MONTH($A153)=12,SUM(D142:D153)," ")</f>
        <v> </v>
      </c>
      <c r="F153" s="1545" t="n">
        <f aca="false">F152</f>
        <v>24</v>
      </c>
      <c r="G153" s="1334" t="n">
        <f aca="false">IF(I153=0,0,I153/($C153*$D153*$F153*H153))</f>
        <v>0</v>
      </c>
      <c r="H153" s="1542" t="n">
        <f aca="false">IF(Avail_LDs_Switch=1,VLOOKUP('Plant Operations'!A153,RAC_AvailFactor_Table,RAC_LDs!$G$258),IF($A153&lt;Startops2,Tariff!$T$11,0))</f>
        <v>0</v>
      </c>
      <c r="I153" s="1543" t="n">
        <f aca="false">IF(OR($A153&lt;Startops1,$A153&gt;=Startops2),0,IF(AND($A153&gt;=DieselOps_2,$A153&lt;Startops2),VLOOKUP($A153,Diesel_Table,Tariff!$Y$41),VLOOKUP($A153,OA_Table,Tariff!$Y$26)))</f>
        <v>0</v>
      </c>
      <c r="J153" s="1544" t="str">
        <f aca="false">IF(MONTH($A153)=12,SUM(I142:I153)," ")</f>
        <v> </v>
      </c>
      <c r="K153" s="1334" t="n">
        <f aca="false">IF(OR($A153&lt;Startops2,$A153&gt;=Endyr),0,VLOOKUP($A153,Capacity_Table,Tariff!$S$18))</f>
        <v>0.91</v>
      </c>
      <c r="L153" s="306" t="n">
        <f aca="false">IF(OR($A153&lt;Startops2,$A153&gt;=Endyr),0,VLOOKUP($A153,Capacity_Table,Tariff!$T$18))</f>
        <v>0.92</v>
      </c>
      <c r="M153" s="397" t="n">
        <f aca="false">IF($A153&lt;Startops2,0,IF($A153&lt;Startops3,VLOOKUP($A153,Convert_Table,Tariff!$Y$54),C153*D153*F153*K153*L153))</f>
        <v>298980.864</v>
      </c>
      <c r="N153" s="1544" t="str">
        <f aca="false">IF(MONTH($A153)=12,SUM(M142:M153)," ")</f>
        <v> </v>
      </c>
      <c r="O153" s="397" t="n">
        <f aca="false">IF($A153&lt;Startops2,0,IF($A153&lt;Startops3,Hr_II,Hr_III))</f>
        <v>7000</v>
      </c>
      <c r="P153" s="397" t="n">
        <f aca="false">M153*O153/1000</f>
        <v>2092866.048</v>
      </c>
      <c r="Q153" s="1545" t="str">
        <f aca="false">IF(MONTH($A153)=12,SUM(P142:P153)," ")</f>
        <v> </v>
      </c>
      <c r="R153" s="397" t="n">
        <f aca="false">IF($A153&gt;Endyr,0,IF($A153&lt;Assm!$A$55,P153,Assm!$F$55*$D153))</f>
        <v>1828160.87671233</v>
      </c>
      <c r="S153" s="1544" t="str">
        <f aca="false">IF(MONTH($A153)=12,SUM(R142:R153)," ")</f>
        <v> </v>
      </c>
      <c r="T153" s="397" t="n">
        <f aca="false">MAX(P153,R153)</f>
        <v>2092866.048</v>
      </c>
      <c r="U153" s="1546" t="str">
        <f aca="false">IF(MONTH($A153)=12,SUM(T142:T153)," ")</f>
        <v> </v>
      </c>
    </row>
    <row r="154" customFormat="false" ht="12.75" hidden="false" customHeight="false" outlineLevel="0" collapsed="false">
      <c r="A154" s="1538" t="n">
        <f aca="false">EDATE(A153,1)</f>
        <v>40575</v>
      </c>
      <c r="C154" s="1539" t="n">
        <f aca="false">IF($A154&gt;Endyr,0,VLOOKUP($A154,Capacity_Table,Tariff!$R$18))</f>
        <v>480</v>
      </c>
      <c r="D154" s="1540" t="n">
        <f aca="false">A155-A154</f>
        <v>28</v>
      </c>
      <c r="E154" s="1540" t="str">
        <f aca="false">IF(MONTH($A154)=12,SUM(D143:D154)," ")</f>
        <v> </v>
      </c>
      <c r="F154" s="1545" t="n">
        <f aca="false">F153</f>
        <v>24</v>
      </c>
      <c r="G154" s="1334" t="n">
        <f aca="false">IF(I154=0,0,I154/($C154*$D154*$F154*H154))</f>
        <v>0</v>
      </c>
      <c r="H154" s="1542" t="n">
        <f aca="false">IF(Avail_LDs_Switch=1,VLOOKUP('Plant Operations'!A154,RAC_AvailFactor_Table,RAC_LDs!$G$258),IF($A154&lt;Startops2,Tariff!$T$11,0))</f>
        <v>0</v>
      </c>
      <c r="I154" s="1543" t="n">
        <f aca="false">IF(OR($A154&lt;Startops1,$A154&gt;=Startops2),0,IF(AND($A154&gt;=DieselOps_2,$A154&lt;Startops2),VLOOKUP($A154,Diesel_Table,Tariff!$Y$41),VLOOKUP($A154,OA_Table,Tariff!$Y$26)))</f>
        <v>0</v>
      </c>
      <c r="J154" s="1544" t="str">
        <f aca="false">IF(MONTH($A154)=12,SUM(I143:I154)," ")</f>
        <v> </v>
      </c>
      <c r="K154" s="1334" t="n">
        <f aca="false">IF(OR($A154&lt;Startops2,$A154&gt;=Endyr),0,VLOOKUP($A154,Capacity_Table,Tariff!$S$18))</f>
        <v>0.91</v>
      </c>
      <c r="L154" s="306" t="n">
        <f aca="false">IF(OR($A154&lt;Startops2,$A154&gt;=Endyr),0,VLOOKUP($A154,Capacity_Table,Tariff!$T$18))</f>
        <v>0.92</v>
      </c>
      <c r="M154" s="397" t="n">
        <f aca="false">IF($A154&lt;Startops2,0,IF($A154&lt;Startops3,VLOOKUP($A154,Convert_Table,Tariff!$Y$54),C154*D154*F154*K154*L154))</f>
        <v>270047.232</v>
      </c>
      <c r="N154" s="1544" t="str">
        <f aca="false">IF(MONTH($A154)=12,SUM(M143:M154)," ")</f>
        <v> </v>
      </c>
      <c r="O154" s="397" t="n">
        <f aca="false">IF($A154&lt;Startops2,0,IF($A154&lt;Startops3,Hr_II,Hr_III))</f>
        <v>7000</v>
      </c>
      <c r="P154" s="397" t="n">
        <f aca="false">M154*O154/1000</f>
        <v>1890330.624</v>
      </c>
      <c r="Q154" s="1545" t="str">
        <f aca="false">IF(MONTH($A154)=12,SUM(P143:P154)," ")</f>
        <v> </v>
      </c>
      <c r="R154" s="397" t="n">
        <f aca="false">IF($A154&gt;Endyr,0,IF($A154&lt;Assm!$A$55,P154,Assm!$F$55*$D154))</f>
        <v>1651242.08219178</v>
      </c>
      <c r="S154" s="1544" t="str">
        <f aca="false">IF(MONTH($A154)=12,SUM(R143:R154)," ")</f>
        <v> </v>
      </c>
      <c r="T154" s="397" t="n">
        <f aca="false">MAX(P154,R154)</f>
        <v>1890330.624</v>
      </c>
      <c r="U154" s="1546" t="str">
        <f aca="false">IF(MONTH($A154)=12,SUM(T143:T154)," ")</f>
        <v> </v>
      </c>
    </row>
    <row r="155" customFormat="false" ht="12.75" hidden="false" customHeight="false" outlineLevel="0" collapsed="false">
      <c r="A155" s="1538" t="n">
        <f aca="false">EDATE(A154,1)</f>
        <v>40603</v>
      </c>
      <c r="C155" s="1539" t="n">
        <f aca="false">IF($A155&gt;Endyr,0,VLOOKUP($A155,Capacity_Table,Tariff!$R$18))</f>
        <v>480</v>
      </c>
      <c r="D155" s="1540" t="n">
        <f aca="false">A156-A155</f>
        <v>31</v>
      </c>
      <c r="E155" s="1540" t="str">
        <f aca="false">IF(MONTH($A155)=12,SUM(D144:D155)," ")</f>
        <v> </v>
      </c>
      <c r="F155" s="1545" t="n">
        <f aca="false">F154</f>
        <v>24</v>
      </c>
      <c r="G155" s="1334" t="n">
        <f aca="false">IF(I155=0,0,I155/($C155*$D155*$F155*H155))</f>
        <v>0</v>
      </c>
      <c r="H155" s="1542" t="n">
        <f aca="false">IF(Avail_LDs_Switch=1,VLOOKUP('Plant Operations'!A155,RAC_AvailFactor_Table,RAC_LDs!$G$258),IF($A155&lt;Startops2,Tariff!$T$11,0))</f>
        <v>0</v>
      </c>
      <c r="I155" s="1543" t="n">
        <f aca="false">IF(OR($A155&lt;Startops1,$A155&gt;=Startops2),0,IF(AND($A155&gt;=DieselOps_2,$A155&lt;Startops2),VLOOKUP($A155,Diesel_Table,Tariff!$Y$41),VLOOKUP($A155,OA_Table,Tariff!$Y$26)))</f>
        <v>0</v>
      </c>
      <c r="J155" s="1544" t="str">
        <f aca="false">IF(MONTH($A155)=12,SUM(I144:I155)," ")</f>
        <v> </v>
      </c>
      <c r="K155" s="1334" t="n">
        <f aca="false">IF(OR($A155&lt;Startops2,$A155&gt;=Endyr),0,VLOOKUP($A155,Capacity_Table,Tariff!$S$18))</f>
        <v>0.91</v>
      </c>
      <c r="L155" s="306" t="n">
        <f aca="false">IF(OR($A155&lt;Startops2,$A155&gt;=Endyr),0,VLOOKUP($A155,Capacity_Table,Tariff!$T$18))</f>
        <v>0.92</v>
      </c>
      <c r="M155" s="397" t="n">
        <f aca="false">IF($A155&lt;Startops2,0,IF($A155&lt;Startops3,VLOOKUP($A155,Convert_Table,Tariff!$Y$54),C155*D155*F155*K155*L155))</f>
        <v>298980.864</v>
      </c>
      <c r="N155" s="1544" t="str">
        <f aca="false">IF(MONTH($A155)=12,SUM(M144:M155)," ")</f>
        <v> </v>
      </c>
      <c r="O155" s="397" t="n">
        <f aca="false">IF($A155&lt;Startops2,0,IF($A155&lt;Startops3,Hr_II,Hr_III))</f>
        <v>7000</v>
      </c>
      <c r="P155" s="397" t="n">
        <f aca="false">M155*O155/1000</f>
        <v>2092866.048</v>
      </c>
      <c r="Q155" s="1545" t="str">
        <f aca="false">IF(MONTH($A155)=12,SUM(P144:P155)," ")</f>
        <v> </v>
      </c>
      <c r="R155" s="397" t="n">
        <f aca="false">IF($A155&gt;Endyr,0,IF($A155&lt;Assm!$A$55,P155,Assm!$F$55*$D155))</f>
        <v>1828160.87671233</v>
      </c>
      <c r="S155" s="1544" t="str">
        <f aca="false">IF(MONTH($A155)=12,SUM(R144:R155)," ")</f>
        <v> </v>
      </c>
      <c r="T155" s="397" t="n">
        <f aca="false">MAX(P155,R155)</f>
        <v>2092866.048</v>
      </c>
      <c r="U155" s="1546" t="str">
        <f aca="false">IF(MONTH($A155)=12,SUM(T144:T155)," ")</f>
        <v> </v>
      </c>
    </row>
    <row r="156" customFormat="false" ht="12.75" hidden="false" customHeight="false" outlineLevel="0" collapsed="false">
      <c r="A156" s="1538" t="n">
        <f aca="false">EDATE(A155,1)</f>
        <v>40634</v>
      </c>
      <c r="C156" s="1539" t="n">
        <f aca="false">IF($A156&gt;Endyr,0,VLOOKUP($A156,Capacity_Table,Tariff!$R$18))</f>
        <v>480</v>
      </c>
      <c r="D156" s="1540" t="n">
        <f aca="false">A157-A156</f>
        <v>30</v>
      </c>
      <c r="E156" s="1540" t="str">
        <f aca="false">IF(MONTH($A156)=12,SUM(D145:D156)," ")</f>
        <v> </v>
      </c>
      <c r="F156" s="1545" t="n">
        <f aca="false">F155</f>
        <v>24</v>
      </c>
      <c r="G156" s="1334" t="n">
        <f aca="false">IF(I156=0,0,I156/($C156*$D156*$F156*H156))</f>
        <v>0</v>
      </c>
      <c r="H156" s="1542" t="n">
        <f aca="false">IF(Avail_LDs_Switch=1,VLOOKUP('Plant Operations'!A156,RAC_AvailFactor_Table,RAC_LDs!$G$258),IF($A156&lt;Startops2,Tariff!$T$11,0))</f>
        <v>0</v>
      </c>
      <c r="I156" s="1543" t="n">
        <f aca="false">IF(OR($A156&lt;Startops1,$A156&gt;=Startops2),0,IF(AND($A156&gt;=DieselOps_2,$A156&lt;Startops2),VLOOKUP($A156,Diesel_Table,Tariff!$Y$41),VLOOKUP($A156,OA_Table,Tariff!$Y$26)))</f>
        <v>0</v>
      </c>
      <c r="J156" s="1544" t="str">
        <f aca="false">IF(MONTH($A156)=12,SUM(I145:I156)," ")</f>
        <v> </v>
      </c>
      <c r="K156" s="1334" t="n">
        <f aca="false">IF(OR($A156&lt;Startops2,$A156&gt;=Endyr),0,VLOOKUP($A156,Capacity_Table,Tariff!$S$18))</f>
        <v>0.91</v>
      </c>
      <c r="L156" s="306" t="n">
        <f aca="false">IF(OR($A156&lt;Startops2,$A156&gt;=Endyr),0,VLOOKUP($A156,Capacity_Table,Tariff!$T$18))</f>
        <v>0.92</v>
      </c>
      <c r="M156" s="397" t="n">
        <f aca="false">IF($A156&lt;Startops2,0,IF($A156&lt;Startops3,VLOOKUP($A156,Convert_Table,Tariff!$Y$54),C156*D156*F156*K156*L156))</f>
        <v>289336.32</v>
      </c>
      <c r="N156" s="1544" t="str">
        <f aca="false">IF(MONTH($A156)=12,SUM(M145:M156)," ")</f>
        <v> </v>
      </c>
      <c r="O156" s="397" t="n">
        <f aca="false">IF($A156&lt;Startops2,0,IF($A156&lt;Startops3,Hr_II,Hr_III))</f>
        <v>7000</v>
      </c>
      <c r="P156" s="397" t="n">
        <f aca="false">M156*O156/1000</f>
        <v>2025354.24</v>
      </c>
      <c r="Q156" s="1545" t="str">
        <f aca="false">IF(MONTH($A156)=12,SUM(P145:P156)," ")</f>
        <v> </v>
      </c>
      <c r="R156" s="397" t="n">
        <f aca="false">IF($A156&gt;Endyr,0,IF($A156&lt;Assm!$A$55,P156,Assm!$F$55*$D156))</f>
        <v>1769187.94520548</v>
      </c>
      <c r="S156" s="1544" t="str">
        <f aca="false">IF(MONTH($A156)=12,SUM(R145:R156)," ")</f>
        <v> </v>
      </c>
      <c r="T156" s="397" t="n">
        <f aca="false">MAX(P156,R156)</f>
        <v>2025354.24</v>
      </c>
      <c r="U156" s="1546" t="str">
        <f aca="false">IF(MONTH($A156)=12,SUM(T145:T156)," ")</f>
        <v> </v>
      </c>
    </row>
    <row r="157" customFormat="false" ht="12.75" hidden="false" customHeight="false" outlineLevel="0" collapsed="false">
      <c r="A157" s="1538" t="n">
        <f aca="false">EDATE(A156,1)</f>
        <v>40664</v>
      </c>
      <c r="C157" s="1539" t="n">
        <f aca="false">IF($A157&gt;Endyr,0,VLOOKUP($A157,Capacity_Table,Tariff!$R$18))</f>
        <v>480</v>
      </c>
      <c r="D157" s="1540" t="n">
        <f aca="false">A158-A157</f>
        <v>31</v>
      </c>
      <c r="E157" s="1540" t="str">
        <f aca="false">IF(MONTH($A157)=12,SUM(D146:D157)," ")</f>
        <v> </v>
      </c>
      <c r="F157" s="1545" t="n">
        <f aca="false">F156</f>
        <v>24</v>
      </c>
      <c r="G157" s="1334" t="n">
        <f aca="false">IF(I157=0,0,I157/($C157*$D157*$F157*H157))</f>
        <v>0</v>
      </c>
      <c r="H157" s="1542" t="n">
        <f aca="false">IF(Avail_LDs_Switch=1,VLOOKUP('Plant Operations'!A157,RAC_AvailFactor_Table,RAC_LDs!$G$258),IF($A157&lt;Startops2,Tariff!$T$11,0))</f>
        <v>0</v>
      </c>
      <c r="I157" s="1543" t="n">
        <f aca="false">IF(OR($A157&lt;Startops1,$A157&gt;=Startops2),0,IF(AND($A157&gt;=DieselOps_2,$A157&lt;Startops2),VLOOKUP($A157,Diesel_Table,Tariff!$Y$41),VLOOKUP($A157,OA_Table,Tariff!$Y$26)))</f>
        <v>0</v>
      </c>
      <c r="J157" s="1544" t="str">
        <f aca="false">IF(MONTH($A157)=12,SUM(I146:I157)," ")</f>
        <v> </v>
      </c>
      <c r="K157" s="1334" t="n">
        <f aca="false">IF(OR($A157&lt;Startops2,$A157&gt;=Endyr),0,VLOOKUP($A157,Capacity_Table,Tariff!$S$18))</f>
        <v>0.91</v>
      </c>
      <c r="L157" s="306" t="n">
        <f aca="false">IF(OR($A157&lt;Startops2,$A157&gt;=Endyr),0,VLOOKUP($A157,Capacity_Table,Tariff!$T$18))</f>
        <v>0.92</v>
      </c>
      <c r="M157" s="397" t="n">
        <f aca="false">IF($A157&lt;Startops2,0,IF($A157&lt;Startops3,VLOOKUP($A157,Convert_Table,Tariff!$Y$54),C157*D157*F157*K157*L157))</f>
        <v>298980.864</v>
      </c>
      <c r="N157" s="1544" t="str">
        <f aca="false">IF(MONTH($A157)=12,SUM(M146:M157)," ")</f>
        <v> </v>
      </c>
      <c r="O157" s="397" t="n">
        <f aca="false">IF($A157&lt;Startops2,0,IF($A157&lt;Startops3,Hr_II,Hr_III))</f>
        <v>7000</v>
      </c>
      <c r="P157" s="397" t="n">
        <f aca="false">M157*O157/1000</f>
        <v>2092866.048</v>
      </c>
      <c r="Q157" s="1545" t="str">
        <f aca="false">IF(MONTH($A157)=12,SUM(P146:P157)," ")</f>
        <v> </v>
      </c>
      <c r="R157" s="397" t="n">
        <f aca="false">IF($A157&gt;Endyr,0,IF($A157&lt;Assm!$A$55,P157,Assm!$F$55*$D157))</f>
        <v>1828160.87671233</v>
      </c>
      <c r="S157" s="1544" t="str">
        <f aca="false">IF(MONTH($A157)=12,SUM(R146:R157)," ")</f>
        <v> </v>
      </c>
      <c r="T157" s="397" t="n">
        <f aca="false">MAX(P157,R157)</f>
        <v>2092866.048</v>
      </c>
      <c r="U157" s="1546" t="str">
        <f aca="false">IF(MONTH($A157)=12,SUM(T146:T157)," ")</f>
        <v> </v>
      </c>
    </row>
    <row r="158" customFormat="false" ht="12.75" hidden="false" customHeight="false" outlineLevel="0" collapsed="false">
      <c r="A158" s="1538" t="n">
        <f aca="false">EDATE(A157,1)</f>
        <v>40695</v>
      </c>
      <c r="C158" s="1539" t="n">
        <f aca="false">IF($A158&gt;Endyr,0,VLOOKUP($A158,Capacity_Table,Tariff!$R$18))</f>
        <v>480</v>
      </c>
      <c r="D158" s="1540" t="n">
        <f aca="false">A159-A158</f>
        <v>30</v>
      </c>
      <c r="E158" s="1540" t="str">
        <f aca="false">IF(MONTH($A158)=12,SUM(D147:D158)," ")</f>
        <v> </v>
      </c>
      <c r="F158" s="1545" t="n">
        <f aca="false">F157</f>
        <v>24</v>
      </c>
      <c r="G158" s="1334" t="n">
        <f aca="false">IF(I158=0,0,I158/($C158*$D158*$F158*H158))</f>
        <v>0</v>
      </c>
      <c r="H158" s="1542" t="n">
        <f aca="false">IF(Avail_LDs_Switch=1,VLOOKUP('Plant Operations'!A158,RAC_AvailFactor_Table,RAC_LDs!$G$258),IF($A158&lt;Startops2,Tariff!$T$11,0))</f>
        <v>0</v>
      </c>
      <c r="I158" s="1543" t="n">
        <f aca="false">IF(OR($A158&lt;Startops1,$A158&gt;=Startops2),0,IF(AND($A158&gt;=DieselOps_2,$A158&lt;Startops2),VLOOKUP($A158,Diesel_Table,Tariff!$Y$41),VLOOKUP($A158,OA_Table,Tariff!$Y$26)))</f>
        <v>0</v>
      </c>
      <c r="J158" s="1544" t="str">
        <f aca="false">IF(MONTH($A158)=12,SUM(I147:I158)," ")</f>
        <v> </v>
      </c>
      <c r="K158" s="1334" t="n">
        <f aca="false">IF(OR($A158&lt;Startops2,$A158&gt;=Endyr),0,VLOOKUP($A158,Capacity_Table,Tariff!$S$18))</f>
        <v>0.91</v>
      </c>
      <c r="L158" s="306" t="n">
        <f aca="false">IF(OR($A158&lt;Startops2,$A158&gt;=Endyr),0,VLOOKUP($A158,Capacity_Table,Tariff!$T$18))</f>
        <v>0.92</v>
      </c>
      <c r="M158" s="397" t="n">
        <f aca="false">IF($A158&lt;Startops2,0,IF($A158&lt;Startops3,VLOOKUP($A158,Convert_Table,Tariff!$Y$54),C158*D158*F158*K158*L158))</f>
        <v>289336.32</v>
      </c>
      <c r="N158" s="1544" t="str">
        <f aca="false">IF(MONTH($A158)=12,SUM(M147:M158)," ")</f>
        <v> </v>
      </c>
      <c r="O158" s="397" t="n">
        <f aca="false">IF($A158&lt;Startops2,0,IF($A158&lt;Startops3,Hr_II,Hr_III))</f>
        <v>7000</v>
      </c>
      <c r="P158" s="397" t="n">
        <f aca="false">M158*O158/1000</f>
        <v>2025354.24</v>
      </c>
      <c r="Q158" s="1545" t="str">
        <f aca="false">IF(MONTH($A158)=12,SUM(P147:P158)," ")</f>
        <v> </v>
      </c>
      <c r="R158" s="397" t="n">
        <f aca="false">IF($A158&gt;Endyr,0,IF($A158&lt;Assm!$A$55,P158,Assm!$F$55*$D158))</f>
        <v>1769187.94520548</v>
      </c>
      <c r="S158" s="1544" t="str">
        <f aca="false">IF(MONTH($A158)=12,SUM(R147:R158)," ")</f>
        <v> </v>
      </c>
      <c r="T158" s="397" t="n">
        <f aca="false">MAX(P158,R158)</f>
        <v>2025354.24</v>
      </c>
      <c r="U158" s="1546" t="str">
        <f aca="false">IF(MONTH($A158)=12,SUM(T147:T158)," ")</f>
        <v> </v>
      </c>
    </row>
    <row r="159" customFormat="false" ht="12.75" hidden="false" customHeight="false" outlineLevel="0" collapsed="false">
      <c r="A159" s="1538" t="n">
        <f aca="false">EDATE(A158,1)</f>
        <v>40725</v>
      </c>
      <c r="C159" s="1539" t="n">
        <f aca="false">IF($A159&gt;Endyr,0,VLOOKUP($A159,Capacity_Table,Tariff!$R$18))</f>
        <v>480</v>
      </c>
      <c r="D159" s="1540" t="n">
        <f aca="false">A160-A159</f>
        <v>31</v>
      </c>
      <c r="E159" s="1540" t="str">
        <f aca="false">IF(MONTH($A159)=12,SUM(D148:D159)," ")</f>
        <v> </v>
      </c>
      <c r="F159" s="1545" t="n">
        <f aca="false">F158</f>
        <v>24</v>
      </c>
      <c r="G159" s="1334" t="n">
        <f aca="false">IF(I159=0,0,I159/($C159*$D159*$F159*H159))</f>
        <v>0</v>
      </c>
      <c r="H159" s="1542" t="n">
        <f aca="false">IF(Avail_LDs_Switch=1,VLOOKUP('Plant Operations'!A159,RAC_AvailFactor_Table,RAC_LDs!$G$258),IF($A159&lt;Startops2,Tariff!$T$11,0))</f>
        <v>0</v>
      </c>
      <c r="I159" s="1543" t="n">
        <f aca="false">IF(OR($A159&lt;Startops1,$A159&gt;=Startops2),0,IF(AND($A159&gt;=DieselOps_2,$A159&lt;Startops2),VLOOKUP($A159,Diesel_Table,Tariff!$Y$41),VLOOKUP($A159,OA_Table,Tariff!$Y$26)))</f>
        <v>0</v>
      </c>
      <c r="J159" s="1544" t="str">
        <f aca="false">IF(MONTH($A159)=12,SUM(I148:I159)," ")</f>
        <v> </v>
      </c>
      <c r="K159" s="1334" t="n">
        <f aca="false">IF(OR($A159&lt;Startops2,$A159&gt;=Endyr),0,VLOOKUP($A159,Capacity_Table,Tariff!$S$18))</f>
        <v>0.91</v>
      </c>
      <c r="L159" s="306" t="n">
        <f aca="false">IF(OR($A159&lt;Startops2,$A159&gt;=Endyr),0,VLOOKUP($A159,Capacity_Table,Tariff!$T$18))</f>
        <v>0.92</v>
      </c>
      <c r="M159" s="397" t="n">
        <f aca="false">IF($A159&lt;Startops2,0,IF($A159&lt;Startops3,VLOOKUP($A159,Convert_Table,Tariff!$Y$54),C159*D159*F159*K159*L159))</f>
        <v>298980.864</v>
      </c>
      <c r="N159" s="1544" t="str">
        <f aca="false">IF(MONTH($A159)=12,SUM(M148:M159)," ")</f>
        <v> </v>
      </c>
      <c r="O159" s="397" t="n">
        <f aca="false">IF($A159&lt;Startops2,0,IF($A159&lt;Startops3,Hr_II,Hr_III))</f>
        <v>7000</v>
      </c>
      <c r="P159" s="397" t="n">
        <f aca="false">M159*O159/1000</f>
        <v>2092866.048</v>
      </c>
      <c r="Q159" s="1545" t="str">
        <f aca="false">IF(MONTH($A159)=12,SUM(P148:P159)," ")</f>
        <v> </v>
      </c>
      <c r="R159" s="397" t="n">
        <f aca="false">IF($A159&gt;Endyr,0,IF($A159&lt;Assm!$A$55,P159,Assm!$F$55*$D159))</f>
        <v>1828160.87671233</v>
      </c>
      <c r="S159" s="1544" t="str">
        <f aca="false">IF(MONTH($A159)=12,SUM(R148:R159)," ")</f>
        <v> </v>
      </c>
      <c r="T159" s="397" t="n">
        <f aca="false">MAX(P159,R159)</f>
        <v>2092866.048</v>
      </c>
      <c r="U159" s="1546" t="str">
        <f aca="false">IF(MONTH($A159)=12,SUM(T148:T159)," ")</f>
        <v> </v>
      </c>
    </row>
    <row r="160" customFormat="false" ht="12.75" hidden="false" customHeight="false" outlineLevel="0" collapsed="false">
      <c r="A160" s="1538" t="n">
        <f aca="false">EDATE(A159,1)</f>
        <v>40756</v>
      </c>
      <c r="C160" s="1539" t="n">
        <f aca="false">IF($A160&gt;Endyr,0,VLOOKUP($A160,Capacity_Table,Tariff!$R$18))</f>
        <v>480</v>
      </c>
      <c r="D160" s="1540" t="n">
        <f aca="false">A161-A160</f>
        <v>31</v>
      </c>
      <c r="E160" s="1540" t="str">
        <f aca="false">IF(MONTH($A160)=12,SUM(D149:D160)," ")</f>
        <v> </v>
      </c>
      <c r="F160" s="1545" t="n">
        <f aca="false">F159</f>
        <v>24</v>
      </c>
      <c r="G160" s="1334" t="n">
        <f aca="false">IF(I160=0,0,I160/($C160*$D160*$F160*H160))</f>
        <v>0</v>
      </c>
      <c r="H160" s="1542" t="n">
        <f aca="false">IF(Avail_LDs_Switch=1,VLOOKUP('Plant Operations'!A160,RAC_AvailFactor_Table,RAC_LDs!$G$258),IF($A160&lt;Startops2,Tariff!$T$11,0))</f>
        <v>0</v>
      </c>
      <c r="I160" s="1543" t="n">
        <f aca="false">IF(OR($A160&lt;Startops1,$A160&gt;=Startops2),0,IF(AND($A160&gt;=DieselOps_2,$A160&lt;Startops2),VLOOKUP($A160,Diesel_Table,Tariff!$Y$41),VLOOKUP($A160,OA_Table,Tariff!$Y$26)))</f>
        <v>0</v>
      </c>
      <c r="J160" s="1544" t="str">
        <f aca="false">IF(MONTH($A160)=12,SUM(I149:I160)," ")</f>
        <v> </v>
      </c>
      <c r="K160" s="1334" t="n">
        <f aca="false">IF(OR($A160&lt;Startops2,$A160&gt;=Endyr),0,VLOOKUP($A160,Capacity_Table,Tariff!$S$18))</f>
        <v>0.91</v>
      </c>
      <c r="L160" s="306" t="n">
        <f aca="false">IF(OR($A160&lt;Startops2,$A160&gt;=Endyr),0,VLOOKUP($A160,Capacity_Table,Tariff!$T$18))</f>
        <v>0.92</v>
      </c>
      <c r="M160" s="397" t="n">
        <f aca="false">IF($A160&lt;Startops2,0,IF($A160&lt;Startops3,VLOOKUP($A160,Convert_Table,Tariff!$Y$54),C160*D160*F160*K160*L160))</f>
        <v>298980.864</v>
      </c>
      <c r="N160" s="1544" t="str">
        <f aca="false">IF(MONTH($A160)=12,SUM(M149:M160)," ")</f>
        <v> </v>
      </c>
      <c r="O160" s="397" t="n">
        <f aca="false">IF($A160&lt;Startops2,0,IF($A160&lt;Startops3,Hr_II,Hr_III))</f>
        <v>7000</v>
      </c>
      <c r="P160" s="397" t="n">
        <f aca="false">M160*O160/1000</f>
        <v>2092866.048</v>
      </c>
      <c r="Q160" s="1545" t="str">
        <f aca="false">IF(MONTH($A160)=12,SUM(P149:P160)," ")</f>
        <v> </v>
      </c>
      <c r="R160" s="397" t="n">
        <f aca="false">IF($A160&gt;Endyr,0,IF($A160&lt;Assm!$A$55,P160,Assm!$F$55*$D160))</f>
        <v>1828160.87671233</v>
      </c>
      <c r="S160" s="1544" t="str">
        <f aca="false">IF(MONTH($A160)=12,SUM(R149:R160)," ")</f>
        <v> </v>
      </c>
      <c r="T160" s="397" t="n">
        <f aca="false">MAX(P160,R160)</f>
        <v>2092866.048</v>
      </c>
      <c r="U160" s="1546" t="str">
        <f aca="false">IF(MONTH($A160)=12,SUM(T149:T160)," ")</f>
        <v> </v>
      </c>
    </row>
    <row r="161" customFormat="false" ht="12.75" hidden="false" customHeight="false" outlineLevel="0" collapsed="false">
      <c r="A161" s="1538" t="n">
        <f aca="false">EDATE(A160,1)</f>
        <v>40787</v>
      </c>
      <c r="C161" s="1539" t="n">
        <f aca="false">IF($A161&gt;Endyr,0,VLOOKUP($A161,Capacity_Table,Tariff!$R$18))</f>
        <v>480</v>
      </c>
      <c r="D161" s="1540" t="n">
        <f aca="false">A162-A161</f>
        <v>30</v>
      </c>
      <c r="E161" s="1540" t="str">
        <f aca="false">IF(MONTH($A161)=12,SUM(D150:D161)," ")</f>
        <v> </v>
      </c>
      <c r="F161" s="1545" t="n">
        <f aca="false">F160</f>
        <v>24</v>
      </c>
      <c r="G161" s="1334" t="n">
        <f aca="false">IF(I161=0,0,I161/($C161*$D161*$F161*H161))</f>
        <v>0</v>
      </c>
      <c r="H161" s="1542" t="n">
        <f aca="false">IF(Avail_LDs_Switch=1,VLOOKUP('Plant Operations'!A161,RAC_AvailFactor_Table,RAC_LDs!$G$258),IF($A161&lt;Startops2,Tariff!$T$11,0))</f>
        <v>0</v>
      </c>
      <c r="I161" s="1543" t="n">
        <f aca="false">IF(OR($A161&lt;Startops1,$A161&gt;=Startops2),0,IF(AND($A161&gt;=DieselOps_2,$A161&lt;Startops2),VLOOKUP($A161,Diesel_Table,Tariff!$Y$41),VLOOKUP($A161,OA_Table,Tariff!$Y$26)))</f>
        <v>0</v>
      </c>
      <c r="J161" s="1544" t="str">
        <f aca="false">IF(MONTH($A161)=12,SUM(I150:I161)," ")</f>
        <v> </v>
      </c>
      <c r="K161" s="1334" t="n">
        <f aca="false">IF(OR($A161&lt;Startops2,$A161&gt;=Endyr),0,VLOOKUP($A161,Capacity_Table,Tariff!$S$18))</f>
        <v>0.91</v>
      </c>
      <c r="L161" s="306" t="n">
        <f aca="false">IF(OR($A161&lt;Startops2,$A161&gt;=Endyr),0,VLOOKUP($A161,Capacity_Table,Tariff!$T$18))</f>
        <v>0.92</v>
      </c>
      <c r="M161" s="397" t="n">
        <f aca="false">IF($A161&lt;Startops2,0,IF($A161&lt;Startops3,VLOOKUP($A161,Convert_Table,Tariff!$Y$54),C161*D161*F161*K161*L161))</f>
        <v>289336.32</v>
      </c>
      <c r="N161" s="1544" t="str">
        <f aca="false">IF(MONTH($A161)=12,SUM(M150:M161)," ")</f>
        <v> </v>
      </c>
      <c r="O161" s="397" t="n">
        <f aca="false">IF($A161&lt;Startops2,0,IF($A161&lt;Startops3,Hr_II,Hr_III))</f>
        <v>7000</v>
      </c>
      <c r="P161" s="397" t="n">
        <f aca="false">M161*O161/1000</f>
        <v>2025354.24</v>
      </c>
      <c r="Q161" s="1545" t="str">
        <f aca="false">IF(MONTH($A161)=12,SUM(P150:P161)," ")</f>
        <v> </v>
      </c>
      <c r="R161" s="397" t="n">
        <f aca="false">IF($A161&gt;Endyr,0,IF($A161&lt;Assm!$A$55,P161,Assm!$F$55*$D161))</f>
        <v>1769187.94520548</v>
      </c>
      <c r="S161" s="1544" t="str">
        <f aca="false">IF(MONTH($A161)=12,SUM(R150:R161)," ")</f>
        <v> </v>
      </c>
      <c r="T161" s="397" t="n">
        <f aca="false">MAX(P161,R161)</f>
        <v>2025354.24</v>
      </c>
      <c r="U161" s="1546" t="str">
        <f aca="false">IF(MONTH($A161)=12,SUM(T150:T161)," ")</f>
        <v> </v>
      </c>
    </row>
    <row r="162" customFormat="false" ht="12.75" hidden="false" customHeight="false" outlineLevel="0" collapsed="false">
      <c r="A162" s="1538" t="n">
        <f aca="false">EDATE(A161,1)</f>
        <v>40817</v>
      </c>
      <c r="C162" s="1539" t="n">
        <f aca="false">IF($A162&gt;Endyr,0,VLOOKUP($A162,Capacity_Table,Tariff!$R$18))</f>
        <v>480</v>
      </c>
      <c r="D162" s="1540" t="n">
        <f aca="false">A163-A162</f>
        <v>31</v>
      </c>
      <c r="E162" s="1540" t="str">
        <f aca="false">IF(MONTH($A162)=12,SUM(D151:D162)," ")</f>
        <v> </v>
      </c>
      <c r="F162" s="1545" t="n">
        <f aca="false">F161</f>
        <v>24</v>
      </c>
      <c r="G162" s="1334" t="n">
        <f aca="false">IF(I162=0,0,I162/($C162*$D162*$F162*H162))</f>
        <v>0</v>
      </c>
      <c r="H162" s="1542" t="n">
        <f aca="false">IF(Avail_LDs_Switch=1,VLOOKUP('Plant Operations'!A162,RAC_AvailFactor_Table,RAC_LDs!$G$258),IF($A162&lt;Startops2,Tariff!$T$11,0))</f>
        <v>0</v>
      </c>
      <c r="I162" s="1543" t="n">
        <f aca="false">IF(OR($A162&lt;Startops1,$A162&gt;=Startops2),0,IF(AND($A162&gt;=DieselOps_2,$A162&lt;Startops2),VLOOKUP($A162,Diesel_Table,Tariff!$Y$41),VLOOKUP($A162,OA_Table,Tariff!$Y$26)))</f>
        <v>0</v>
      </c>
      <c r="J162" s="1544" t="str">
        <f aca="false">IF(MONTH($A162)=12,SUM(I151:I162)," ")</f>
        <v> </v>
      </c>
      <c r="K162" s="1334" t="n">
        <f aca="false">IF(OR($A162&lt;Startops2,$A162&gt;=Endyr),0,VLOOKUP($A162,Capacity_Table,Tariff!$S$18))</f>
        <v>0.91</v>
      </c>
      <c r="L162" s="306" t="n">
        <f aca="false">IF(OR($A162&lt;Startops2,$A162&gt;=Endyr),0,VLOOKUP($A162,Capacity_Table,Tariff!$T$18))</f>
        <v>0.92</v>
      </c>
      <c r="M162" s="397" t="n">
        <f aca="false">IF($A162&lt;Startops2,0,IF($A162&lt;Startops3,VLOOKUP($A162,Convert_Table,Tariff!$Y$54),C162*D162*F162*K162*L162))</f>
        <v>298980.864</v>
      </c>
      <c r="N162" s="1544" t="str">
        <f aca="false">IF(MONTH($A162)=12,SUM(M151:M162)," ")</f>
        <v> </v>
      </c>
      <c r="O162" s="397" t="n">
        <f aca="false">IF($A162&lt;Startops2,0,IF($A162&lt;Startops3,Hr_II,Hr_III))</f>
        <v>7000</v>
      </c>
      <c r="P162" s="397" t="n">
        <f aca="false">M162*O162/1000</f>
        <v>2092866.048</v>
      </c>
      <c r="Q162" s="1545" t="str">
        <f aca="false">IF(MONTH($A162)=12,SUM(P151:P162)," ")</f>
        <v> </v>
      </c>
      <c r="R162" s="397" t="n">
        <f aca="false">IF($A162&gt;Endyr,0,IF($A162&lt;Assm!$A$55,P162,Assm!$F$55*$D162))</f>
        <v>1828160.87671233</v>
      </c>
      <c r="S162" s="1544" t="str">
        <f aca="false">IF(MONTH($A162)=12,SUM(R151:R162)," ")</f>
        <v> </v>
      </c>
      <c r="T162" s="397" t="n">
        <f aca="false">MAX(P162,R162)</f>
        <v>2092866.048</v>
      </c>
      <c r="U162" s="1546" t="str">
        <f aca="false">IF(MONTH($A162)=12,SUM(T151:T162)," ")</f>
        <v> </v>
      </c>
    </row>
    <row r="163" customFormat="false" ht="12.75" hidden="false" customHeight="false" outlineLevel="0" collapsed="false">
      <c r="A163" s="1538" t="n">
        <f aca="false">EDATE(A162,1)</f>
        <v>40848</v>
      </c>
      <c r="C163" s="1539" t="n">
        <f aca="false">IF($A163&gt;Endyr,0,VLOOKUP($A163,Capacity_Table,Tariff!$R$18))</f>
        <v>480</v>
      </c>
      <c r="D163" s="1540" t="n">
        <f aca="false">A164-A163</f>
        <v>30</v>
      </c>
      <c r="E163" s="1540" t="str">
        <f aca="false">IF(MONTH($A163)=12,SUM(D152:D163)," ")</f>
        <v> </v>
      </c>
      <c r="F163" s="1545" t="n">
        <f aca="false">F162</f>
        <v>24</v>
      </c>
      <c r="G163" s="1334" t="n">
        <f aca="false">IF(I163=0,0,I163/($C163*$D163*$F163*H163))</f>
        <v>0</v>
      </c>
      <c r="H163" s="1542" t="n">
        <f aca="false">IF(Avail_LDs_Switch=1,VLOOKUP('Plant Operations'!A163,RAC_AvailFactor_Table,RAC_LDs!$G$258),IF($A163&lt;Startops2,Tariff!$T$11,0))</f>
        <v>0</v>
      </c>
      <c r="I163" s="1543" t="n">
        <f aca="false">IF(OR($A163&lt;Startops1,$A163&gt;=Startops2),0,IF(AND($A163&gt;=DieselOps_2,$A163&lt;Startops2),VLOOKUP($A163,Diesel_Table,Tariff!$Y$41),VLOOKUP($A163,OA_Table,Tariff!$Y$26)))</f>
        <v>0</v>
      </c>
      <c r="J163" s="1544" t="str">
        <f aca="false">IF(MONTH($A163)=12,SUM(I152:I163)," ")</f>
        <v> </v>
      </c>
      <c r="K163" s="1334" t="n">
        <f aca="false">IF(OR($A163&lt;Startops2,$A163&gt;=Endyr),0,VLOOKUP($A163,Capacity_Table,Tariff!$S$18))</f>
        <v>0.91</v>
      </c>
      <c r="L163" s="306" t="n">
        <f aca="false">IF(OR($A163&lt;Startops2,$A163&gt;=Endyr),0,VLOOKUP($A163,Capacity_Table,Tariff!$T$18))</f>
        <v>0.92</v>
      </c>
      <c r="M163" s="397" t="n">
        <f aca="false">IF($A163&lt;Startops2,0,IF($A163&lt;Startops3,VLOOKUP($A163,Convert_Table,Tariff!$Y$54),C163*D163*F163*K163*L163))</f>
        <v>289336.32</v>
      </c>
      <c r="N163" s="1544" t="str">
        <f aca="false">IF(MONTH($A163)=12,SUM(M152:M163)," ")</f>
        <v> </v>
      </c>
      <c r="O163" s="397" t="n">
        <f aca="false">IF($A163&lt;Startops2,0,IF($A163&lt;Startops3,Hr_II,Hr_III))</f>
        <v>7000</v>
      </c>
      <c r="P163" s="397" t="n">
        <f aca="false">M163*O163/1000</f>
        <v>2025354.24</v>
      </c>
      <c r="Q163" s="1545" t="str">
        <f aca="false">IF(MONTH($A163)=12,SUM(P152:P163)," ")</f>
        <v> </v>
      </c>
      <c r="R163" s="397" t="n">
        <f aca="false">IF($A163&gt;Endyr,0,IF($A163&lt;Assm!$A$55,P163,Assm!$F$55*$D163))</f>
        <v>1769187.94520548</v>
      </c>
      <c r="S163" s="1544" t="str">
        <f aca="false">IF(MONTH($A163)=12,SUM(R152:R163)," ")</f>
        <v> </v>
      </c>
      <c r="T163" s="397" t="n">
        <f aca="false">MAX(P163,R163)</f>
        <v>2025354.24</v>
      </c>
      <c r="U163" s="1546" t="str">
        <f aca="false">IF(MONTH($A163)=12,SUM(T152:T163)," ")</f>
        <v> </v>
      </c>
    </row>
    <row r="164" customFormat="false" ht="12.75" hidden="false" customHeight="false" outlineLevel="0" collapsed="false">
      <c r="A164" s="1538" t="n">
        <f aca="false">EDATE(A163,1)</f>
        <v>40878</v>
      </c>
      <c r="C164" s="1539" t="n">
        <f aca="false">IF($A164&gt;Endyr,0,VLOOKUP($A164,Capacity_Table,Tariff!$R$18))</f>
        <v>480</v>
      </c>
      <c r="D164" s="1540" t="n">
        <f aca="false">A165-A164</f>
        <v>31</v>
      </c>
      <c r="E164" s="1540" t="n">
        <f aca="false">IF(MONTH($A164)=12,SUM(D153:D164)," ")</f>
        <v>365</v>
      </c>
      <c r="F164" s="1545" t="n">
        <f aca="false">F163</f>
        <v>24</v>
      </c>
      <c r="G164" s="1334" t="n">
        <f aca="false">IF(I164=0,0,I164/($C164*$D164*$F164*H164))</f>
        <v>0</v>
      </c>
      <c r="H164" s="1542" t="n">
        <f aca="false">IF(Avail_LDs_Switch=1,VLOOKUP('Plant Operations'!A164,RAC_AvailFactor_Table,RAC_LDs!$G$258),IF($A164&lt;Startops2,Tariff!$T$11,0))</f>
        <v>0</v>
      </c>
      <c r="I164" s="1543" t="n">
        <f aca="false">IF(OR($A164&lt;Startops1,$A164&gt;=Startops2),0,IF(AND($A164&gt;=DieselOps_2,$A164&lt;Startops2),VLOOKUP($A164,Diesel_Table,Tariff!$Y$41),VLOOKUP($A164,OA_Table,Tariff!$Y$26)))</f>
        <v>0</v>
      </c>
      <c r="J164" s="1544" t="n">
        <f aca="false">IF(MONTH($A164)=12,SUM(I153:I164)," ")</f>
        <v>0</v>
      </c>
      <c r="K164" s="1334" t="n">
        <f aca="false">IF(OR($A164&lt;Startops2,$A164&gt;=Endyr),0,VLOOKUP($A164,Capacity_Table,Tariff!$S$18))</f>
        <v>0.91</v>
      </c>
      <c r="L164" s="306" t="n">
        <f aca="false">IF(OR($A164&lt;Startops2,$A164&gt;=Endyr),0,VLOOKUP($A164,Capacity_Table,Tariff!$T$18))</f>
        <v>0.92</v>
      </c>
      <c r="M164" s="397" t="n">
        <f aca="false">IF($A164&lt;Startops2,0,IF($A164&lt;Startops3,VLOOKUP($A164,Convert_Table,Tariff!$Y$54),C164*D164*F164*K164*L164))</f>
        <v>298980.864</v>
      </c>
      <c r="N164" s="1544" t="n">
        <f aca="false">IF(MONTH($A164)=12,SUM(M153:M164)," ")</f>
        <v>3520258.56</v>
      </c>
      <c r="O164" s="397" t="n">
        <f aca="false">IF($A164&lt;Startops2,0,IF($A164&lt;Startops3,Hr_II,Hr_III))</f>
        <v>7000</v>
      </c>
      <c r="P164" s="397" t="n">
        <f aca="false">M164*O164/1000</f>
        <v>2092866.048</v>
      </c>
      <c r="Q164" s="1545" t="n">
        <f aca="false">IF(MONTH($A164)=12,SUM(P153:P164)," ")</f>
        <v>24641809.92</v>
      </c>
      <c r="R164" s="397" t="n">
        <f aca="false">IF($A164&gt;Endyr,0,IF($A164&lt;Assm!$A$55,P164,Assm!$F$55*$D164))</f>
        <v>1828160.87671233</v>
      </c>
      <c r="S164" s="1544" t="n">
        <f aca="false">IF(MONTH($A164)=12,SUM(R153:R164)," ")</f>
        <v>21525120</v>
      </c>
      <c r="T164" s="397" t="n">
        <f aca="false">MAX(P164,R164)</f>
        <v>2092866.048</v>
      </c>
      <c r="U164" s="1546" t="n">
        <f aca="false">IF(MONTH($A164)=12,SUM(T153:T164)," ")</f>
        <v>24641809.92</v>
      </c>
    </row>
    <row r="165" customFormat="false" ht="12.75" hidden="false" customHeight="false" outlineLevel="0" collapsed="false">
      <c r="A165" s="1538" t="n">
        <f aca="false">EDATE(A164,1)</f>
        <v>40909</v>
      </c>
      <c r="C165" s="1539" t="n">
        <f aca="false">IF($A165&gt;Endyr,0,VLOOKUP($A165,Capacity_Table,Tariff!$R$18))</f>
        <v>480</v>
      </c>
      <c r="D165" s="1540" t="n">
        <f aca="false">A166-A165</f>
        <v>31</v>
      </c>
      <c r="E165" s="1540" t="str">
        <f aca="false">IF(MONTH($A165)=12,SUM(D154:D165)," ")</f>
        <v> </v>
      </c>
      <c r="F165" s="1545" t="n">
        <f aca="false">F164</f>
        <v>24</v>
      </c>
      <c r="G165" s="1334" t="n">
        <f aca="false">IF(I165=0,0,I165/($C165*$D165*$F165*H165))</f>
        <v>0</v>
      </c>
      <c r="H165" s="1542" t="n">
        <f aca="false">IF(Avail_LDs_Switch=1,VLOOKUP('Plant Operations'!A165,RAC_AvailFactor_Table,RAC_LDs!$G$258),IF($A165&lt;Startops2,Tariff!$T$11,0))</f>
        <v>0</v>
      </c>
      <c r="I165" s="1543" t="n">
        <f aca="false">IF(OR($A165&lt;Startops1,$A165&gt;=Startops2),0,IF(AND($A165&gt;=DieselOps_2,$A165&lt;Startops2),VLOOKUP($A165,Diesel_Table,Tariff!$Y$41),VLOOKUP($A165,OA_Table,Tariff!$Y$26)))</f>
        <v>0</v>
      </c>
      <c r="J165" s="1544" t="str">
        <f aca="false">IF(MONTH($A165)=12,SUM(I154:I165)," ")</f>
        <v> </v>
      </c>
      <c r="K165" s="1334" t="n">
        <f aca="false">IF(OR($A165&lt;Startops2,$A165&gt;=Endyr),0,VLOOKUP($A165,Capacity_Table,Tariff!$S$18))</f>
        <v>0.91</v>
      </c>
      <c r="L165" s="306" t="n">
        <f aca="false">IF(OR($A165&lt;Startops2,$A165&gt;=Endyr),0,VLOOKUP($A165,Capacity_Table,Tariff!$T$18))</f>
        <v>0.92</v>
      </c>
      <c r="M165" s="397" t="n">
        <f aca="false">IF($A165&lt;Startops2,0,IF($A165&lt;Startops3,VLOOKUP($A165,Convert_Table,Tariff!$Y$54),C165*D165*F165*K165*L165))</f>
        <v>298980.864</v>
      </c>
      <c r="N165" s="1544" t="str">
        <f aca="false">IF(MONTH($A165)=12,SUM(M154:M165)," ")</f>
        <v> </v>
      </c>
      <c r="O165" s="397" t="n">
        <f aca="false">IF($A165&lt;Startops2,0,IF($A165&lt;Startops3,Hr_II,Hr_III))</f>
        <v>7000</v>
      </c>
      <c r="P165" s="397" t="n">
        <f aca="false">M165*O165/1000</f>
        <v>2092866.048</v>
      </c>
      <c r="Q165" s="1545" t="str">
        <f aca="false">IF(MONTH($A165)=12,SUM(P154:P165)," ")</f>
        <v> </v>
      </c>
      <c r="R165" s="397" t="n">
        <f aca="false">IF($A165&gt;Endyr,0,IF($A165&lt;Assm!$A$55,P165,Assm!$F$55*$D165))</f>
        <v>1828160.87671233</v>
      </c>
      <c r="S165" s="1544" t="str">
        <f aca="false">IF(MONTH($A165)=12,SUM(R154:R165)," ")</f>
        <v> </v>
      </c>
      <c r="T165" s="397" t="n">
        <f aca="false">MAX(P165,R165)</f>
        <v>2092866.048</v>
      </c>
      <c r="U165" s="1546" t="str">
        <f aca="false">IF(MONTH($A165)=12,SUM(T154:T165)," ")</f>
        <v> </v>
      </c>
    </row>
    <row r="166" customFormat="false" ht="12.75" hidden="false" customHeight="false" outlineLevel="0" collapsed="false">
      <c r="A166" s="1538" t="n">
        <f aca="false">EDATE(A165,1)</f>
        <v>40940</v>
      </c>
      <c r="C166" s="1539" t="n">
        <f aca="false">IF($A166&gt;Endyr,0,VLOOKUP($A166,Capacity_Table,Tariff!$R$18))</f>
        <v>480</v>
      </c>
      <c r="D166" s="1540" t="n">
        <f aca="false">A167-A166</f>
        <v>29</v>
      </c>
      <c r="E166" s="1540" t="str">
        <f aca="false">IF(MONTH($A166)=12,SUM(D155:D166)," ")</f>
        <v> </v>
      </c>
      <c r="F166" s="1545" t="n">
        <f aca="false">F165</f>
        <v>24</v>
      </c>
      <c r="G166" s="1334" t="n">
        <f aca="false">IF(I166=0,0,I166/($C166*$D166*$F166*H166))</f>
        <v>0</v>
      </c>
      <c r="H166" s="1542" t="n">
        <f aca="false">IF(Avail_LDs_Switch=1,VLOOKUP('Plant Operations'!A166,RAC_AvailFactor_Table,RAC_LDs!$G$258),IF($A166&lt;Startops2,Tariff!$T$11,0))</f>
        <v>0</v>
      </c>
      <c r="I166" s="1543" t="n">
        <f aca="false">IF(OR($A166&lt;Startops1,$A166&gt;=Startops2),0,IF(AND($A166&gt;=DieselOps_2,$A166&lt;Startops2),VLOOKUP($A166,Diesel_Table,Tariff!$Y$41),VLOOKUP($A166,OA_Table,Tariff!$Y$26)))</f>
        <v>0</v>
      </c>
      <c r="J166" s="1544" t="str">
        <f aca="false">IF(MONTH($A166)=12,SUM(I155:I166)," ")</f>
        <v> </v>
      </c>
      <c r="K166" s="1334" t="n">
        <f aca="false">IF(OR($A166&lt;Startops2,$A166&gt;=Endyr),0,VLOOKUP($A166,Capacity_Table,Tariff!$S$18))</f>
        <v>0.91</v>
      </c>
      <c r="L166" s="306" t="n">
        <f aca="false">IF(OR($A166&lt;Startops2,$A166&gt;=Endyr),0,VLOOKUP($A166,Capacity_Table,Tariff!$T$18))</f>
        <v>0.92</v>
      </c>
      <c r="M166" s="397" t="n">
        <f aca="false">IF($A166&lt;Startops2,0,IF($A166&lt;Startops3,VLOOKUP($A166,Convert_Table,Tariff!$Y$54),C166*D166*F166*K166*L166))</f>
        <v>279691.776</v>
      </c>
      <c r="N166" s="1544" t="str">
        <f aca="false">IF(MONTH($A166)=12,SUM(M155:M166)," ")</f>
        <v> </v>
      </c>
      <c r="O166" s="397" t="n">
        <f aca="false">IF($A166&lt;Startops2,0,IF($A166&lt;Startops3,Hr_II,Hr_III))</f>
        <v>7000</v>
      </c>
      <c r="P166" s="397" t="n">
        <f aca="false">M166*O166/1000</f>
        <v>1957842.432</v>
      </c>
      <c r="Q166" s="1545" t="str">
        <f aca="false">IF(MONTH($A166)=12,SUM(P155:P166)," ")</f>
        <v> </v>
      </c>
      <c r="R166" s="397" t="n">
        <f aca="false">IF($A166&gt;Endyr,0,IF($A166&lt;Assm!$A$55,P166,Assm!$F$55*$D166))</f>
        <v>1710215.01369863</v>
      </c>
      <c r="S166" s="1544" t="str">
        <f aca="false">IF(MONTH($A166)=12,SUM(R155:R166)," ")</f>
        <v> </v>
      </c>
      <c r="T166" s="397" t="n">
        <f aca="false">MAX(P166,R166)</f>
        <v>1957842.432</v>
      </c>
      <c r="U166" s="1546" t="str">
        <f aca="false">IF(MONTH($A166)=12,SUM(T155:T166)," ")</f>
        <v> </v>
      </c>
    </row>
    <row r="167" customFormat="false" ht="12.75" hidden="false" customHeight="false" outlineLevel="0" collapsed="false">
      <c r="A167" s="1538" t="n">
        <f aca="false">EDATE(A166,1)</f>
        <v>40969</v>
      </c>
      <c r="C167" s="1539" t="n">
        <f aca="false">IF($A167&gt;Endyr,0,VLOOKUP($A167,Capacity_Table,Tariff!$R$18))</f>
        <v>480</v>
      </c>
      <c r="D167" s="1540" t="n">
        <f aca="false">A168-A167</f>
        <v>31</v>
      </c>
      <c r="E167" s="1540" t="str">
        <f aca="false">IF(MONTH($A167)=12,SUM(D156:D167)," ")</f>
        <v> </v>
      </c>
      <c r="F167" s="1545" t="n">
        <f aca="false">F166</f>
        <v>24</v>
      </c>
      <c r="G167" s="1334" t="n">
        <f aca="false">IF(I167=0,0,I167/($C167*$D167*$F167*H167))</f>
        <v>0</v>
      </c>
      <c r="H167" s="1542" t="n">
        <f aca="false">IF(Avail_LDs_Switch=1,VLOOKUP('Plant Operations'!A167,RAC_AvailFactor_Table,RAC_LDs!$G$258),IF($A167&lt;Startops2,Tariff!$T$11,0))</f>
        <v>0</v>
      </c>
      <c r="I167" s="1543" t="n">
        <f aca="false">IF(OR($A167&lt;Startops1,$A167&gt;=Startops2),0,IF(AND($A167&gt;=DieselOps_2,$A167&lt;Startops2),VLOOKUP($A167,Diesel_Table,Tariff!$Y$41),VLOOKUP($A167,OA_Table,Tariff!$Y$26)))</f>
        <v>0</v>
      </c>
      <c r="J167" s="1544" t="str">
        <f aca="false">IF(MONTH($A167)=12,SUM(I156:I167)," ")</f>
        <v> </v>
      </c>
      <c r="K167" s="1334" t="n">
        <f aca="false">IF(OR($A167&lt;Startops2,$A167&gt;=Endyr),0,VLOOKUP($A167,Capacity_Table,Tariff!$S$18))</f>
        <v>0.91</v>
      </c>
      <c r="L167" s="306" t="n">
        <f aca="false">IF(OR($A167&lt;Startops2,$A167&gt;=Endyr),0,VLOOKUP($A167,Capacity_Table,Tariff!$T$18))</f>
        <v>0.92</v>
      </c>
      <c r="M167" s="397" t="n">
        <f aca="false">IF($A167&lt;Startops2,0,IF($A167&lt;Startops3,VLOOKUP($A167,Convert_Table,Tariff!$Y$54),C167*D167*F167*K167*L167))</f>
        <v>298980.864</v>
      </c>
      <c r="N167" s="1544" t="str">
        <f aca="false">IF(MONTH($A167)=12,SUM(M156:M167)," ")</f>
        <v> </v>
      </c>
      <c r="O167" s="397" t="n">
        <f aca="false">IF($A167&lt;Startops2,0,IF($A167&lt;Startops3,Hr_II,Hr_III))</f>
        <v>7000</v>
      </c>
      <c r="P167" s="397" t="n">
        <f aca="false">M167*O167/1000</f>
        <v>2092866.048</v>
      </c>
      <c r="Q167" s="1545" t="str">
        <f aca="false">IF(MONTH($A167)=12,SUM(P156:P167)," ")</f>
        <v> </v>
      </c>
      <c r="R167" s="397" t="n">
        <f aca="false">IF($A167&gt;Endyr,0,IF($A167&lt;Assm!$A$55,P167,Assm!$F$55*$D167))</f>
        <v>1828160.87671233</v>
      </c>
      <c r="S167" s="1544" t="str">
        <f aca="false">IF(MONTH($A167)=12,SUM(R156:R167)," ")</f>
        <v> </v>
      </c>
      <c r="T167" s="397" t="n">
        <f aca="false">MAX(P167,R167)</f>
        <v>2092866.048</v>
      </c>
      <c r="U167" s="1546" t="str">
        <f aca="false">IF(MONTH($A167)=12,SUM(T156:T167)," ")</f>
        <v> </v>
      </c>
    </row>
    <row r="168" customFormat="false" ht="12.75" hidden="false" customHeight="false" outlineLevel="0" collapsed="false">
      <c r="A168" s="1538" t="n">
        <f aca="false">EDATE(A167,1)</f>
        <v>41000</v>
      </c>
      <c r="C168" s="1539" t="n">
        <f aca="false">IF($A168&gt;Endyr,0,VLOOKUP($A168,Capacity_Table,Tariff!$R$18))</f>
        <v>480</v>
      </c>
      <c r="D168" s="1540" t="n">
        <f aca="false">A169-A168</f>
        <v>30</v>
      </c>
      <c r="E168" s="1540" t="str">
        <f aca="false">IF(MONTH($A168)=12,SUM(D157:D168)," ")</f>
        <v> </v>
      </c>
      <c r="F168" s="1545" t="n">
        <f aca="false">F167</f>
        <v>24</v>
      </c>
      <c r="G168" s="1334" t="n">
        <f aca="false">IF(I168=0,0,I168/($C168*$D168*$F168*H168))</f>
        <v>0</v>
      </c>
      <c r="H168" s="1542" t="n">
        <f aca="false">IF(Avail_LDs_Switch=1,VLOOKUP('Plant Operations'!A168,RAC_AvailFactor_Table,RAC_LDs!$G$258),IF($A168&lt;Startops2,Tariff!$T$11,0))</f>
        <v>0</v>
      </c>
      <c r="I168" s="1543" t="n">
        <f aca="false">IF(OR($A168&lt;Startops1,$A168&gt;=Startops2),0,IF(AND($A168&gt;=DieselOps_2,$A168&lt;Startops2),VLOOKUP($A168,Diesel_Table,Tariff!$Y$41),VLOOKUP($A168,OA_Table,Tariff!$Y$26)))</f>
        <v>0</v>
      </c>
      <c r="J168" s="1544" t="str">
        <f aca="false">IF(MONTH($A168)=12,SUM(I157:I168)," ")</f>
        <v> </v>
      </c>
      <c r="K168" s="1334" t="n">
        <f aca="false">IF(OR($A168&lt;Startops2,$A168&gt;=Endyr),0,VLOOKUP($A168,Capacity_Table,Tariff!$S$18))</f>
        <v>0.91</v>
      </c>
      <c r="L168" s="306" t="n">
        <f aca="false">IF(OR($A168&lt;Startops2,$A168&gt;=Endyr),0,VLOOKUP($A168,Capacity_Table,Tariff!$T$18))</f>
        <v>0.92</v>
      </c>
      <c r="M168" s="397" t="n">
        <f aca="false">IF($A168&lt;Startops2,0,IF($A168&lt;Startops3,VLOOKUP($A168,Convert_Table,Tariff!$Y$54),C168*D168*F168*K168*L168))</f>
        <v>289336.32</v>
      </c>
      <c r="N168" s="1544" t="str">
        <f aca="false">IF(MONTH($A168)=12,SUM(M157:M168)," ")</f>
        <v> </v>
      </c>
      <c r="O168" s="397" t="n">
        <f aca="false">IF($A168&lt;Startops2,0,IF($A168&lt;Startops3,Hr_II,Hr_III))</f>
        <v>7000</v>
      </c>
      <c r="P168" s="397" t="n">
        <f aca="false">M168*O168/1000</f>
        <v>2025354.24</v>
      </c>
      <c r="Q168" s="1545" t="str">
        <f aca="false">IF(MONTH($A168)=12,SUM(P157:P168)," ")</f>
        <v> </v>
      </c>
      <c r="R168" s="397" t="n">
        <f aca="false">IF($A168&gt;Endyr,0,IF($A168&lt;Assm!$A$55,P168,Assm!$F$55*$D168))</f>
        <v>1769187.94520548</v>
      </c>
      <c r="S168" s="1544" t="str">
        <f aca="false">IF(MONTH($A168)=12,SUM(R157:R168)," ")</f>
        <v> </v>
      </c>
      <c r="T168" s="397" t="n">
        <f aca="false">MAX(P168,R168)</f>
        <v>2025354.24</v>
      </c>
      <c r="U168" s="1546" t="str">
        <f aca="false">IF(MONTH($A168)=12,SUM(T157:T168)," ")</f>
        <v> </v>
      </c>
    </row>
    <row r="169" customFormat="false" ht="12.75" hidden="false" customHeight="false" outlineLevel="0" collapsed="false">
      <c r="A169" s="1538" t="n">
        <f aca="false">EDATE(A168,1)</f>
        <v>41030</v>
      </c>
      <c r="C169" s="1539" t="n">
        <f aca="false">IF($A169&gt;Endyr,0,VLOOKUP($A169,Capacity_Table,Tariff!$R$18))</f>
        <v>480</v>
      </c>
      <c r="D169" s="1540" t="n">
        <f aca="false">A170-A169</f>
        <v>31</v>
      </c>
      <c r="E169" s="1540" t="str">
        <f aca="false">IF(MONTH($A169)=12,SUM(D158:D169)," ")</f>
        <v> </v>
      </c>
      <c r="F169" s="1545" t="n">
        <f aca="false">F168</f>
        <v>24</v>
      </c>
      <c r="G169" s="1334" t="n">
        <f aca="false">IF(I169=0,0,I169/($C169*$D169*$F169*H169))</f>
        <v>0</v>
      </c>
      <c r="H169" s="1542" t="n">
        <f aca="false">IF(Avail_LDs_Switch=1,VLOOKUP('Plant Operations'!A169,RAC_AvailFactor_Table,RAC_LDs!$G$258),IF($A169&lt;Startops2,Tariff!$T$11,0))</f>
        <v>0</v>
      </c>
      <c r="I169" s="1543" t="n">
        <f aca="false">IF(OR($A169&lt;Startops1,$A169&gt;=Startops2),0,IF(AND($A169&gt;=DieselOps_2,$A169&lt;Startops2),VLOOKUP($A169,Diesel_Table,Tariff!$Y$41),VLOOKUP($A169,OA_Table,Tariff!$Y$26)))</f>
        <v>0</v>
      </c>
      <c r="J169" s="1544" t="str">
        <f aca="false">IF(MONTH($A169)=12,SUM(I158:I169)," ")</f>
        <v> </v>
      </c>
      <c r="K169" s="1334" t="n">
        <f aca="false">IF(OR($A169&lt;Startops2,$A169&gt;=Endyr),0,VLOOKUP($A169,Capacity_Table,Tariff!$S$18))</f>
        <v>0.91</v>
      </c>
      <c r="L169" s="306" t="n">
        <f aca="false">IF(OR($A169&lt;Startops2,$A169&gt;=Endyr),0,VLOOKUP($A169,Capacity_Table,Tariff!$T$18))</f>
        <v>0.92</v>
      </c>
      <c r="M169" s="397" t="n">
        <f aca="false">IF($A169&lt;Startops2,0,IF($A169&lt;Startops3,VLOOKUP($A169,Convert_Table,Tariff!$Y$54),C169*D169*F169*K169*L169))</f>
        <v>298980.864</v>
      </c>
      <c r="N169" s="1544" t="str">
        <f aca="false">IF(MONTH($A169)=12,SUM(M158:M169)," ")</f>
        <v> </v>
      </c>
      <c r="O169" s="397" t="n">
        <f aca="false">IF($A169&lt;Startops2,0,IF($A169&lt;Startops3,Hr_II,Hr_III))</f>
        <v>7000</v>
      </c>
      <c r="P169" s="397" t="n">
        <f aca="false">M169*O169/1000</f>
        <v>2092866.048</v>
      </c>
      <c r="Q169" s="1545" t="str">
        <f aca="false">IF(MONTH($A169)=12,SUM(P158:P169)," ")</f>
        <v> </v>
      </c>
      <c r="R169" s="397" t="n">
        <f aca="false">IF($A169&gt;Endyr,0,IF($A169&lt;Assm!$A$55,P169,Assm!$F$55*$D169))</f>
        <v>1828160.87671233</v>
      </c>
      <c r="S169" s="1544" t="str">
        <f aca="false">IF(MONTH($A169)=12,SUM(R158:R169)," ")</f>
        <v> </v>
      </c>
      <c r="T169" s="397" t="n">
        <f aca="false">MAX(P169,R169)</f>
        <v>2092866.048</v>
      </c>
      <c r="U169" s="1546" t="str">
        <f aca="false">IF(MONTH($A169)=12,SUM(T158:T169)," ")</f>
        <v> </v>
      </c>
    </row>
    <row r="170" customFormat="false" ht="12.75" hidden="false" customHeight="false" outlineLevel="0" collapsed="false">
      <c r="A170" s="1538" t="n">
        <f aca="false">EDATE(A169,1)</f>
        <v>41061</v>
      </c>
      <c r="C170" s="1539" t="n">
        <f aca="false">IF($A170&gt;Endyr,0,VLOOKUP($A170,Capacity_Table,Tariff!$R$18))</f>
        <v>480</v>
      </c>
      <c r="D170" s="1540" t="n">
        <f aca="false">A171-A170</f>
        <v>30</v>
      </c>
      <c r="E170" s="1540" t="str">
        <f aca="false">IF(MONTH($A170)=12,SUM(D159:D170)," ")</f>
        <v> </v>
      </c>
      <c r="F170" s="1545" t="n">
        <f aca="false">F169</f>
        <v>24</v>
      </c>
      <c r="G170" s="1334" t="n">
        <f aca="false">IF(I170=0,0,I170/($C170*$D170*$F170*H170))</f>
        <v>0</v>
      </c>
      <c r="H170" s="1542" t="n">
        <f aca="false">IF(Avail_LDs_Switch=1,VLOOKUP('Plant Operations'!A170,RAC_AvailFactor_Table,RAC_LDs!$G$258),IF($A170&lt;Startops2,Tariff!$T$11,0))</f>
        <v>0</v>
      </c>
      <c r="I170" s="1543" t="n">
        <f aca="false">IF(OR($A170&lt;Startops1,$A170&gt;=Startops2),0,IF(AND($A170&gt;=DieselOps_2,$A170&lt;Startops2),VLOOKUP($A170,Diesel_Table,Tariff!$Y$41),VLOOKUP($A170,OA_Table,Tariff!$Y$26)))</f>
        <v>0</v>
      </c>
      <c r="J170" s="1544" t="str">
        <f aca="false">IF(MONTH($A170)=12,SUM(I159:I170)," ")</f>
        <v> </v>
      </c>
      <c r="K170" s="1334" t="n">
        <f aca="false">IF(OR($A170&lt;Startops2,$A170&gt;=Endyr),0,VLOOKUP($A170,Capacity_Table,Tariff!$S$18))</f>
        <v>0.91</v>
      </c>
      <c r="L170" s="306" t="n">
        <f aca="false">IF(OR($A170&lt;Startops2,$A170&gt;=Endyr),0,VLOOKUP($A170,Capacity_Table,Tariff!$T$18))</f>
        <v>0.92</v>
      </c>
      <c r="M170" s="397" t="n">
        <f aca="false">IF($A170&lt;Startops2,0,IF($A170&lt;Startops3,VLOOKUP($A170,Convert_Table,Tariff!$Y$54),C170*D170*F170*K170*L170))</f>
        <v>289336.32</v>
      </c>
      <c r="N170" s="1544" t="str">
        <f aca="false">IF(MONTH($A170)=12,SUM(M159:M170)," ")</f>
        <v> </v>
      </c>
      <c r="O170" s="397" t="n">
        <f aca="false">IF($A170&lt;Startops2,0,IF($A170&lt;Startops3,Hr_II,Hr_III))</f>
        <v>7000</v>
      </c>
      <c r="P170" s="397" t="n">
        <f aca="false">M170*O170/1000</f>
        <v>2025354.24</v>
      </c>
      <c r="Q170" s="1545" t="str">
        <f aca="false">IF(MONTH($A170)=12,SUM(P159:P170)," ")</f>
        <v> </v>
      </c>
      <c r="R170" s="397" t="n">
        <f aca="false">IF($A170&gt;Endyr,0,IF($A170&lt;Assm!$A$55,P170,Assm!$F$55*$D170))</f>
        <v>1769187.94520548</v>
      </c>
      <c r="S170" s="1544" t="str">
        <f aca="false">IF(MONTH($A170)=12,SUM(R159:R170)," ")</f>
        <v> </v>
      </c>
      <c r="T170" s="397" t="n">
        <f aca="false">MAX(P170,R170)</f>
        <v>2025354.24</v>
      </c>
      <c r="U170" s="1546" t="str">
        <f aca="false">IF(MONTH($A170)=12,SUM(T159:T170)," ")</f>
        <v> </v>
      </c>
    </row>
    <row r="171" customFormat="false" ht="12.75" hidden="false" customHeight="false" outlineLevel="0" collapsed="false">
      <c r="A171" s="1538" t="n">
        <f aca="false">EDATE(A170,1)</f>
        <v>41091</v>
      </c>
      <c r="C171" s="1539" t="n">
        <f aca="false">IF($A171&gt;Endyr,0,VLOOKUP($A171,Capacity_Table,Tariff!$R$18))</f>
        <v>480</v>
      </c>
      <c r="D171" s="1540" t="n">
        <f aca="false">A172-A171</f>
        <v>31</v>
      </c>
      <c r="E171" s="1540" t="str">
        <f aca="false">IF(MONTH($A171)=12,SUM(D160:D171)," ")</f>
        <v> </v>
      </c>
      <c r="F171" s="1545" t="n">
        <f aca="false">F170</f>
        <v>24</v>
      </c>
      <c r="G171" s="1334" t="n">
        <f aca="false">IF(I171=0,0,I171/($C171*$D171*$F171*H171))</f>
        <v>0</v>
      </c>
      <c r="H171" s="1542" t="n">
        <f aca="false">IF(Avail_LDs_Switch=1,VLOOKUP('Plant Operations'!A171,RAC_AvailFactor_Table,RAC_LDs!$G$258),IF($A171&lt;Startops2,Tariff!$T$11,0))</f>
        <v>0</v>
      </c>
      <c r="I171" s="1543" t="n">
        <f aca="false">IF(OR($A171&lt;Startops1,$A171&gt;=Startops2),0,IF(AND($A171&gt;=DieselOps_2,$A171&lt;Startops2),VLOOKUP($A171,Diesel_Table,Tariff!$Y$41),VLOOKUP($A171,OA_Table,Tariff!$Y$26)))</f>
        <v>0</v>
      </c>
      <c r="J171" s="1544" t="str">
        <f aca="false">IF(MONTH($A171)=12,SUM(I160:I171)," ")</f>
        <v> </v>
      </c>
      <c r="K171" s="1334" t="n">
        <f aca="false">IF(OR($A171&lt;Startops2,$A171&gt;=Endyr),0,VLOOKUP($A171,Capacity_Table,Tariff!$S$18))</f>
        <v>0.91</v>
      </c>
      <c r="L171" s="306" t="n">
        <f aca="false">IF(OR($A171&lt;Startops2,$A171&gt;=Endyr),0,VLOOKUP($A171,Capacity_Table,Tariff!$T$18))</f>
        <v>0.92</v>
      </c>
      <c r="M171" s="397" t="n">
        <f aca="false">IF($A171&lt;Startops2,0,IF($A171&lt;Startops3,VLOOKUP($A171,Convert_Table,Tariff!$Y$54),C171*D171*F171*K171*L171))</f>
        <v>298980.864</v>
      </c>
      <c r="N171" s="1544" t="str">
        <f aca="false">IF(MONTH($A171)=12,SUM(M160:M171)," ")</f>
        <v> </v>
      </c>
      <c r="O171" s="397" t="n">
        <f aca="false">IF($A171&lt;Startops2,0,IF($A171&lt;Startops3,Hr_II,Hr_III))</f>
        <v>7000</v>
      </c>
      <c r="P171" s="397" t="n">
        <f aca="false">M171*O171/1000</f>
        <v>2092866.048</v>
      </c>
      <c r="Q171" s="1545" t="str">
        <f aca="false">IF(MONTH($A171)=12,SUM(P160:P171)," ")</f>
        <v> </v>
      </c>
      <c r="R171" s="397" t="n">
        <f aca="false">IF($A171&gt;Endyr,0,IF($A171&lt;Assm!$A$55,P171,Assm!$F$55*$D171))</f>
        <v>1828160.87671233</v>
      </c>
      <c r="S171" s="1544" t="str">
        <f aca="false">IF(MONTH($A171)=12,SUM(R160:R171)," ")</f>
        <v> </v>
      </c>
      <c r="T171" s="397" t="n">
        <f aca="false">MAX(P171,R171)</f>
        <v>2092866.048</v>
      </c>
      <c r="U171" s="1546" t="str">
        <f aca="false">IF(MONTH($A171)=12,SUM(T160:T171)," ")</f>
        <v> </v>
      </c>
    </row>
    <row r="172" customFormat="false" ht="12.75" hidden="false" customHeight="false" outlineLevel="0" collapsed="false">
      <c r="A172" s="1538" t="n">
        <f aca="false">EDATE(A171,1)</f>
        <v>41122</v>
      </c>
      <c r="C172" s="1539" t="n">
        <f aca="false">IF($A172&gt;Endyr,0,VLOOKUP($A172,Capacity_Table,Tariff!$R$18))</f>
        <v>480</v>
      </c>
      <c r="D172" s="1540" t="n">
        <f aca="false">A173-A172</f>
        <v>31</v>
      </c>
      <c r="E172" s="1540" t="str">
        <f aca="false">IF(MONTH($A172)=12,SUM(D161:D172)," ")</f>
        <v> </v>
      </c>
      <c r="F172" s="1545" t="n">
        <f aca="false">F171</f>
        <v>24</v>
      </c>
      <c r="G172" s="1334" t="n">
        <f aca="false">IF(I172=0,0,I172/($C172*$D172*$F172*H172))</f>
        <v>0</v>
      </c>
      <c r="H172" s="1542" t="n">
        <f aca="false">IF(Avail_LDs_Switch=1,VLOOKUP('Plant Operations'!A172,RAC_AvailFactor_Table,RAC_LDs!$G$258),IF($A172&lt;Startops2,Tariff!$T$11,0))</f>
        <v>0</v>
      </c>
      <c r="I172" s="1543" t="n">
        <f aca="false">IF(OR($A172&lt;Startops1,$A172&gt;=Startops2),0,IF(AND($A172&gt;=DieselOps_2,$A172&lt;Startops2),VLOOKUP($A172,Diesel_Table,Tariff!$Y$41),VLOOKUP($A172,OA_Table,Tariff!$Y$26)))</f>
        <v>0</v>
      </c>
      <c r="J172" s="1544" t="str">
        <f aca="false">IF(MONTH($A172)=12,SUM(I161:I172)," ")</f>
        <v> </v>
      </c>
      <c r="K172" s="1334" t="n">
        <f aca="false">IF(OR($A172&lt;Startops2,$A172&gt;=Endyr),0,VLOOKUP($A172,Capacity_Table,Tariff!$S$18))</f>
        <v>0.91</v>
      </c>
      <c r="L172" s="306" t="n">
        <f aca="false">IF(OR($A172&lt;Startops2,$A172&gt;=Endyr),0,VLOOKUP($A172,Capacity_Table,Tariff!$T$18))</f>
        <v>0.92</v>
      </c>
      <c r="M172" s="397" t="n">
        <f aca="false">IF($A172&lt;Startops2,0,IF($A172&lt;Startops3,VLOOKUP($A172,Convert_Table,Tariff!$Y$54),C172*D172*F172*K172*L172))</f>
        <v>298980.864</v>
      </c>
      <c r="N172" s="1544" t="str">
        <f aca="false">IF(MONTH($A172)=12,SUM(M161:M172)," ")</f>
        <v> </v>
      </c>
      <c r="O172" s="397" t="n">
        <f aca="false">IF($A172&lt;Startops2,0,IF($A172&lt;Startops3,Hr_II,Hr_III))</f>
        <v>7000</v>
      </c>
      <c r="P172" s="397" t="n">
        <f aca="false">M172*O172/1000</f>
        <v>2092866.048</v>
      </c>
      <c r="Q172" s="1545" t="str">
        <f aca="false">IF(MONTH($A172)=12,SUM(P161:P172)," ")</f>
        <v> </v>
      </c>
      <c r="R172" s="397" t="n">
        <f aca="false">IF($A172&gt;Endyr,0,IF($A172&lt;Assm!$A$55,P172,Assm!$F$55*$D172))</f>
        <v>1828160.87671233</v>
      </c>
      <c r="S172" s="1544" t="str">
        <f aca="false">IF(MONTH($A172)=12,SUM(R161:R172)," ")</f>
        <v> </v>
      </c>
      <c r="T172" s="397" t="n">
        <f aca="false">MAX(P172,R172)</f>
        <v>2092866.048</v>
      </c>
      <c r="U172" s="1546" t="str">
        <f aca="false">IF(MONTH($A172)=12,SUM(T161:T172)," ")</f>
        <v> </v>
      </c>
    </row>
    <row r="173" customFormat="false" ht="12.75" hidden="false" customHeight="false" outlineLevel="0" collapsed="false">
      <c r="A173" s="1538" t="n">
        <f aca="false">EDATE(A172,1)</f>
        <v>41153</v>
      </c>
      <c r="C173" s="1539" t="n">
        <f aca="false">IF($A173&gt;Endyr,0,VLOOKUP($A173,Capacity_Table,Tariff!$R$18))</f>
        <v>480</v>
      </c>
      <c r="D173" s="1540" t="n">
        <f aca="false">A174-A173</f>
        <v>30</v>
      </c>
      <c r="E173" s="1540" t="str">
        <f aca="false">IF(MONTH($A173)=12,SUM(D162:D173)," ")</f>
        <v> </v>
      </c>
      <c r="F173" s="1545" t="n">
        <f aca="false">F172</f>
        <v>24</v>
      </c>
      <c r="G173" s="1334" t="n">
        <f aca="false">IF(I173=0,0,I173/($C173*$D173*$F173*H173))</f>
        <v>0</v>
      </c>
      <c r="H173" s="1542" t="n">
        <f aca="false">IF(Avail_LDs_Switch=1,VLOOKUP('Plant Operations'!A173,RAC_AvailFactor_Table,RAC_LDs!$G$258),IF($A173&lt;Startops2,Tariff!$T$11,0))</f>
        <v>0</v>
      </c>
      <c r="I173" s="1543" t="n">
        <f aca="false">IF(OR($A173&lt;Startops1,$A173&gt;=Startops2),0,IF(AND($A173&gt;=DieselOps_2,$A173&lt;Startops2),VLOOKUP($A173,Diesel_Table,Tariff!$Y$41),VLOOKUP($A173,OA_Table,Tariff!$Y$26)))</f>
        <v>0</v>
      </c>
      <c r="J173" s="1544" t="str">
        <f aca="false">IF(MONTH($A173)=12,SUM(I162:I173)," ")</f>
        <v> </v>
      </c>
      <c r="K173" s="1334" t="n">
        <f aca="false">IF(OR($A173&lt;Startops2,$A173&gt;=Endyr),0,VLOOKUP($A173,Capacity_Table,Tariff!$S$18))</f>
        <v>0.91</v>
      </c>
      <c r="L173" s="306" t="n">
        <f aca="false">IF(OR($A173&lt;Startops2,$A173&gt;=Endyr),0,VLOOKUP($A173,Capacity_Table,Tariff!$T$18))</f>
        <v>0.92</v>
      </c>
      <c r="M173" s="397" t="n">
        <f aca="false">IF($A173&lt;Startops2,0,IF($A173&lt;Startops3,VLOOKUP($A173,Convert_Table,Tariff!$Y$54),C173*D173*F173*K173*L173))</f>
        <v>289336.32</v>
      </c>
      <c r="N173" s="1544" t="str">
        <f aca="false">IF(MONTH($A173)=12,SUM(M162:M173)," ")</f>
        <v> </v>
      </c>
      <c r="O173" s="397" t="n">
        <f aca="false">IF($A173&lt;Startops2,0,IF($A173&lt;Startops3,Hr_II,Hr_III))</f>
        <v>7000</v>
      </c>
      <c r="P173" s="397" t="n">
        <f aca="false">M173*O173/1000</f>
        <v>2025354.24</v>
      </c>
      <c r="Q173" s="1545" t="str">
        <f aca="false">IF(MONTH($A173)=12,SUM(P162:P173)," ")</f>
        <v> </v>
      </c>
      <c r="R173" s="397" t="n">
        <f aca="false">IF($A173&gt;Endyr,0,IF($A173&lt;Assm!$A$55,P173,Assm!$F$55*$D173))</f>
        <v>1769187.94520548</v>
      </c>
      <c r="S173" s="1544" t="str">
        <f aca="false">IF(MONTH($A173)=12,SUM(R162:R173)," ")</f>
        <v> </v>
      </c>
      <c r="T173" s="397" t="n">
        <f aca="false">MAX(P173,R173)</f>
        <v>2025354.24</v>
      </c>
      <c r="U173" s="1546" t="str">
        <f aca="false">IF(MONTH($A173)=12,SUM(T162:T173)," ")</f>
        <v> </v>
      </c>
    </row>
    <row r="174" customFormat="false" ht="12.75" hidden="false" customHeight="false" outlineLevel="0" collapsed="false">
      <c r="A174" s="1538" t="n">
        <f aca="false">EDATE(A173,1)</f>
        <v>41183</v>
      </c>
      <c r="C174" s="1539" t="n">
        <f aca="false">IF($A174&gt;Endyr,0,VLOOKUP($A174,Capacity_Table,Tariff!$R$18))</f>
        <v>480</v>
      </c>
      <c r="D174" s="1540" t="n">
        <f aca="false">A175-A174</f>
        <v>31</v>
      </c>
      <c r="E174" s="1540" t="str">
        <f aca="false">IF(MONTH($A174)=12,SUM(D163:D174)," ")</f>
        <v> </v>
      </c>
      <c r="F174" s="1545" t="n">
        <f aca="false">F173</f>
        <v>24</v>
      </c>
      <c r="G174" s="1334" t="n">
        <f aca="false">IF(I174=0,0,I174/($C174*$D174*$F174*H174))</f>
        <v>0</v>
      </c>
      <c r="H174" s="1542" t="n">
        <f aca="false">IF(Avail_LDs_Switch=1,VLOOKUP('Plant Operations'!A174,RAC_AvailFactor_Table,RAC_LDs!$G$258),IF($A174&lt;Startops2,Tariff!$T$11,0))</f>
        <v>0</v>
      </c>
      <c r="I174" s="1543" t="n">
        <f aca="false">IF(OR($A174&lt;Startops1,$A174&gt;=Startops2),0,IF(AND($A174&gt;=DieselOps_2,$A174&lt;Startops2),VLOOKUP($A174,Diesel_Table,Tariff!$Y$41),VLOOKUP($A174,OA_Table,Tariff!$Y$26)))</f>
        <v>0</v>
      </c>
      <c r="J174" s="1544" t="str">
        <f aca="false">IF(MONTH($A174)=12,SUM(I163:I174)," ")</f>
        <v> </v>
      </c>
      <c r="K174" s="1334" t="n">
        <f aca="false">IF(OR($A174&lt;Startops2,$A174&gt;=Endyr),0,VLOOKUP($A174,Capacity_Table,Tariff!$S$18))</f>
        <v>0.91</v>
      </c>
      <c r="L174" s="306" t="n">
        <f aca="false">IF(OR($A174&lt;Startops2,$A174&gt;=Endyr),0,VLOOKUP($A174,Capacity_Table,Tariff!$T$18))</f>
        <v>0.92</v>
      </c>
      <c r="M174" s="397" t="n">
        <f aca="false">IF($A174&lt;Startops2,0,IF($A174&lt;Startops3,VLOOKUP($A174,Convert_Table,Tariff!$Y$54),C174*D174*F174*K174*L174))</f>
        <v>298980.864</v>
      </c>
      <c r="N174" s="1544" t="str">
        <f aca="false">IF(MONTH($A174)=12,SUM(M163:M174)," ")</f>
        <v> </v>
      </c>
      <c r="O174" s="397" t="n">
        <f aca="false">IF($A174&lt;Startops2,0,IF($A174&lt;Startops3,Hr_II,Hr_III))</f>
        <v>7000</v>
      </c>
      <c r="P174" s="397" t="n">
        <f aca="false">M174*O174/1000</f>
        <v>2092866.048</v>
      </c>
      <c r="Q174" s="1545" t="str">
        <f aca="false">IF(MONTH($A174)=12,SUM(P163:P174)," ")</f>
        <v> </v>
      </c>
      <c r="R174" s="397" t="n">
        <f aca="false">IF($A174&gt;Endyr,0,IF($A174&lt;Assm!$A$55,P174,Assm!$F$55*$D174))</f>
        <v>1828160.87671233</v>
      </c>
      <c r="S174" s="1544" t="str">
        <f aca="false">IF(MONTH($A174)=12,SUM(R163:R174)," ")</f>
        <v> </v>
      </c>
      <c r="T174" s="397" t="n">
        <f aca="false">MAX(P174,R174)</f>
        <v>2092866.048</v>
      </c>
      <c r="U174" s="1546" t="str">
        <f aca="false">IF(MONTH($A174)=12,SUM(T163:T174)," ")</f>
        <v> </v>
      </c>
    </row>
    <row r="175" customFormat="false" ht="12.75" hidden="false" customHeight="false" outlineLevel="0" collapsed="false">
      <c r="A175" s="1538" t="n">
        <f aca="false">EDATE(A174,1)</f>
        <v>41214</v>
      </c>
      <c r="C175" s="1539" t="n">
        <f aca="false">IF($A175&gt;Endyr,0,VLOOKUP($A175,Capacity_Table,Tariff!$R$18))</f>
        <v>480</v>
      </c>
      <c r="D175" s="1540" t="n">
        <f aca="false">A176-A175</f>
        <v>30</v>
      </c>
      <c r="E175" s="1540" t="str">
        <f aca="false">IF(MONTH($A175)=12,SUM(D164:D175)," ")</f>
        <v> </v>
      </c>
      <c r="F175" s="1545" t="n">
        <f aca="false">F174</f>
        <v>24</v>
      </c>
      <c r="G175" s="1334" t="n">
        <f aca="false">IF(I175=0,0,I175/($C175*$D175*$F175*H175))</f>
        <v>0</v>
      </c>
      <c r="H175" s="1542" t="n">
        <f aca="false">IF(Avail_LDs_Switch=1,VLOOKUP('Plant Operations'!A175,RAC_AvailFactor_Table,RAC_LDs!$G$258),IF($A175&lt;Startops2,Tariff!$T$11,0))</f>
        <v>0</v>
      </c>
      <c r="I175" s="1543" t="n">
        <f aca="false">IF(OR($A175&lt;Startops1,$A175&gt;=Startops2),0,IF(AND($A175&gt;=DieselOps_2,$A175&lt;Startops2),VLOOKUP($A175,Diesel_Table,Tariff!$Y$41),VLOOKUP($A175,OA_Table,Tariff!$Y$26)))</f>
        <v>0</v>
      </c>
      <c r="J175" s="1544" t="str">
        <f aca="false">IF(MONTH($A175)=12,SUM(I164:I175)," ")</f>
        <v> </v>
      </c>
      <c r="K175" s="1334" t="n">
        <f aca="false">IF(OR($A175&lt;Startops2,$A175&gt;=Endyr),0,VLOOKUP($A175,Capacity_Table,Tariff!$S$18))</f>
        <v>0.91</v>
      </c>
      <c r="L175" s="306" t="n">
        <f aca="false">IF(OR($A175&lt;Startops2,$A175&gt;=Endyr),0,VLOOKUP($A175,Capacity_Table,Tariff!$T$18))</f>
        <v>0.92</v>
      </c>
      <c r="M175" s="397" t="n">
        <f aca="false">IF($A175&lt;Startops2,0,IF($A175&lt;Startops3,VLOOKUP($A175,Convert_Table,Tariff!$Y$54),C175*D175*F175*K175*L175))</f>
        <v>289336.32</v>
      </c>
      <c r="N175" s="1544" t="str">
        <f aca="false">IF(MONTH($A175)=12,SUM(M164:M175)," ")</f>
        <v> </v>
      </c>
      <c r="O175" s="397" t="n">
        <f aca="false">IF($A175&lt;Startops2,0,IF($A175&lt;Startops3,Hr_II,Hr_III))</f>
        <v>7000</v>
      </c>
      <c r="P175" s="397" t="n">
        <f aca="false">M175*O175/1000</f>
        <v>2025354.24</v>
      </c>
      <c r="Q175" s="1545" t="str">
        <f aca="false">IF(MONTH($A175)=12,SUM(P164:P175)," ")</f>
        <v> </v>
      </c>
      <c r="R175" s="397" t="n">
        <f aca="false">IF($A175&gt;Endyr,0,IF($A175&lt;Assm!$A$55,P175,Assm!$F$55*$D175))</f>
        <v>1769187.94520548</v>
      </c>
      <c r="S175" s="1544" t="str">
        <f aca="false">IF(MONTH($A175)=12,SUM(R164:R175)," ")</f>
        <v> </v>
      </c>
      <c r="T175" s="397" t="n">
        <f aca="false">MAX(P175,R175)</f>
        <v>2025354.24</v>
      </c>
      <c r="U175" s="1546" t="str">
        <f aca="false">IF(MONTH($A175)=12,SUM(T164:T175)," ")</f>
        <v> </v>
      </c>
    </row>
    <row r="176" customFormat="false" ht="12.75" hidden="false" customHeight="false" outlineLevel="0" collapsed="false">
      <c r="A176" s="1538" t="n">
        <f aca="false">EDATE(A175,1)</f>
        <v>41244</v>
      </c>
      <c r="C176" s="1539" t="n">
        <f aca="false">IF($A176&gt;Endyr,0,VLOOKUP($A176,Capacity_Table,Tariff!$R$18))</f>
        <v>480</v>
      </c>
      <c r="D176" s="1540" t="n">
        <f aca="false">A177-A176</f>
        <v>31</v>
      </c>
      <c r="E176" s="1540" t="n">
        <f aca="false">IF(MONTH($A176)=12,SUM(D165:D176)," ")</f>
        <v>366</v>
      </c>
      <c r="F176" s="1545" t="n">
        <f aca="false">F175</f>
        <v>24</v>
      </c>
      <c r="G176" s="1334" t="n">
        <f aca="false">IF(I176=0,0,I176/($C176*$D176*$F176*H176))</f>
        <v>0</v>
      </c>
      <c r="H176" s="1542" t="n">
        <f aca="false">IF(Avail_LDs_Switch=1,VLOOKUP('Plant Operations'!A176,RAC_AvailFactor_Table,RAC_LDs!$G$258),IF($A176&lt;Startops2,Tariff!$T$11,0))</f>
        <v>0</v>
      </c>
      <c r="I176" s="1543" t="n">
        <f aca="false">IF(OR($A176&lt;Startops1,$A176&gt;=Startops2),0,IF(AND($A176&gt;=DieselOps_2,$A176&lt;Startops2),VLOOKUP($A176,Diesel_Table,Tariff!$Y$41),VLOOKUP($A176,OA_Table,Tariff!$Y$26)))</f>
        <v>0</v>
      </c>
      <c r="J176" s="1544" t="n">
        <f aca="false">IF(MONTH($A176)=12,SUM(I165:I176)," ")</f>
        <v>0</v>
      </c>
      <c r="K176" s="1334" t="n">
        <f aca="false">IF(OR($A176&lt;Startops2,$A176&gt;=Endyr),0,VLOOKUP($A176,Capacity_Table,Tariff!$S$18))</f>
        <v>0.91</v>
      </c>
      <c r="L176" s="306" t="n">
        <f aca="false">IF(OR($A176&lt;Startops2,$A176&gt;=Endyr),0,VLOOKUP($A176,Capacity_Table,Tariff!$T$18))</f>
        <v>0.92</v>
      </c>
      <c r="M176" s="397" t="n">
        <f aca="false">IF($A176&lt;Startops2,0,IF($A176&lt;Startops3,VLOOKUP($A176,Convert_Table,Tariff!$Y$54),C176*D176*F176*K176*L176))</f>
        <v>298980.864</v>
      </c>
      <c r="N176" s="1544" t="n">
        <f aca="false">IF(MONTH($A176)=12,SUM(M165:M176)," ")</f>
        <v>3529903.104</v>
      </c>
      <c r="O176" s="397" t="n">
        <f aca="false">IF($A176&lt;Startops2,0,IF($A176&lt;Startops3,Hr_II,Hr_III))</f>
        <v>7000</v>
      </c>
      <c r="P176" s="397" t="n">
        <f aca="false">M176*O176/1000</f>
        <v>2092866.048</v>
      </c>
      <c r="Q176" s="1545" t="n">
        <f aca="false">IF(MONTH($A176)=12,SUM(P165:P176)," ")</f>
        <v>24709321.728</v>
      </c>
      <c r="R176" s="397" t="n">
        <f aca="false">IF($A176&gt;Endyr,0,IF($A176&lt;Assm!$A$55,P176,Assm!$F$55*$D176))</f>
        <v>1828160.87671233</v>
      </c>
      <c r="S176" s="1544" t="n">
        <f aca="false">IF(MONTH($A176)=12,SUM(R165:R176)," ")</f>
        <v>21584092.9315069</v>
      </c>
      <c r="T176" s="397" t="n">
        <f aca="false">MAX(P176,R176)</f>
        <v>2092866.048</v>
      </c>
      <c r="U176" s="1546" t="n">
        <f aca="false">IF(MONTH($A176)=12,SUM(T165:T176)," ")</f>
        <v>24709321.728</v>
      </c>
    </row>
    <row r="177" customFormat="false" ht="12.75" hidden="false" customHeight="false" outlineLevel="0" collapsed="false">
      <c r="A177" s="1538" t="n">
        <f aca="false">EDATE(A176,1)</f>
        <v>41275</v>
      </c>
      <c r="C177" s="1539" t="n">
        <f aca="false">IF($A177&gt;Endyr,0,VLOOKUP($A177,Capacity_Table,Tariff!$R$18))</f>
        <v>480</v>
      </c>
      <c r="D177" s="1540" t="n">
        <f aca="false">A178-A177</f>
        <v>31</v>
      </c>
      <c r="E177" s="1540" t="str">
        <f aca="false">IF(MONTH($A177)=12,SUM(D166:D177)," ")</f>
        <v> </v>
      </c>
      <c r="F177" s="1545" t="n">
        <f aca="false">F176</f>
        <v>24</v>
      </c>
      <c r="G177" s="1334" t="n">
        <f aca="false">IF(I177=0,0,I177/($C177*$D177*$F177*H177))</f>
        <v>0</v>
      </c>
      <c r="H177" s="1542" t="n">
        <f aca="false">IF(Avail_LDs_Switch=1,VLOOKUP('Plant Operations'!A177,RAC_AvailFactor_Table,RAC_LDs!$G$258),IF($A177&lt;Startops2,Tariff!$T$11,0))</f>
        <v>0</v>
      </c>
      <c r="I177" s="1543" t="n">
        <f aca="false">IF(OR($A177&lt;Startops1,$A177&gt;=Startops2),0,IF(AND($A177&gt;=DieselOps_2,$A177&lt;Startops2),VLOOKUP($A177,Diesel_Table,Tariff!$Y$41),VLOOKUP($A177,OA_Table,Tariff!$Y$26)))</f>
        <v>0</v>
      </c>
      <c r="J177" s="1544" t="str">
        <f aca="false">IF(MONTH($A177)=12,SUM(I166:I177)," ")</f>
        <v> </v>
      </c>
      <c r="K177" s="1334" t="n">
        <f aca="false">IF(OR($A177&lt;Startops2,$A177&gt;=Endyr),0,VLOOKUP($A177,Capacity_Table,Tariff!$S$18))</f>
        <v>0.91</v>
      </c>
      <c r="L177" s="306" t="n">
        <f aca="false">IF(OR($A177&lt;Startops2,$A177&gt;=Endyr),0,VLOOKUP($A177,Capacity_Table,Tariff!$T$18))</f>
        <v>0.92</v>
      </c>
      <c r="M177" s="397" t="n">
        <f aca="false">IF($A177&lt;Startops2,0,IF($A177&lt;Startops3,VLOOKUP($A177,Convert_Table,Tariff!$Y$54),C177*D177*F177*K177*L177))</f>
        <v>298980.864</v>
      </c>
      <c r="N177" s="1544" t="str">
        <f aca="false">IF(MONTH($A177)=12,SUM(M166:M177)," ")</f>
        <v> </v>
      </c>
      <c r="O177" s="397" t="n">
        <f aca="false">IF($A177&lt;Startops2,0,IF($A177&lt;Startops3,Hr_II,Hr_III))</f>
        <v>7000</v>
      </c>
      <c r="P177" s="397" t="n">
        <f aca="false">M177*O177/1000</f>
        <v>2092866.048</v>
      </c>
      <c r="Q177" s="1545" t="str">
        <f aca="false">IF(MONTH($A177)=12,SUM(P166:P177)," ")</f>
        <v> </v>
      </c>
      <c r="R177" s="397" t="n">
        <f aca="false">IF($A177&gt;Endyr,0,IF($A177&lt;Assm!$A$55,P177,Assm!$F$55*$D177))</f>
        <v>1828160.87671233</v>
      </c>
      <c r="S177" s="1544" t="str">
        <f aca="false">IF(MONTH($A177)=12,SUM(R166:R177)," ")</f>
        <v> </v>
      </c>
      <c r="T177" s="397" t="n">
        <f aca="false">MAX(P177,R177)</f>
        <v>2092866.048</v>
      </c>
      <c r="U177" s="1546" t="str">
        <f aca="false">IF(MONTH($A177)=12,SUM(T166:T177)," ")</f>
        <v> </v>
      </c>
    </row>
    <row r="178" customFormat="false" ht="12.75" hidden="false" customHeight="false" outlineLevel="0" collapsed="false">
      <c r="A178" s="1538" t="n">
        <f aca="false">EDATE(A177,1)</f>
        <v>41306</v>
      </c>
      <c r="C178" s="1539" t="n">
        <f aca="false">IF($A178&gt;Endyr,0,VLOOKUP($A178,Capacity_Table,Tariff!$R$18))</f>
        <v>480</v>
      </c>
      <c r="D178" s="1540" t="n">
        <f aca="false">A179-A178</f>
        <v>28</v>
      </c>
      <c r="E178" s="1540" t="str">
        <f aca="false">IF(MONTH($A178)=12,SUM(D167:D178)," ")</f>
        <v> </v>
      </c>
      <c r="F178" s="1545" t="n">
        <f aca="false">F177</f>
        <v>24</v>
      </c>
      <c r="G178" s="1334" t="n">
        <f aca="false">IF(I178=0,0,I178/($C178*$D178*$F178*H178))</f>
        <v>0</v>
      </c>
      <c r="H178" s="1542" t="n">
        <f aca="false">IF(Avail_LDs_Switch=1,VLOOKUP('Plant Operations'!A178,RAC_AvailFactor_Table,RAC_LDs!$G$258),IF($A178&lt;Startops2,Tariff!$T$11,0))</f>
        <v>0</v>
      </c>
      <c r="I178" s="1543" t="n">
        <f aca="false">IF(OR($A178&lt;Startops1,$A178&gt;=Startops2),0,IF(AND($A178&gt;=DieselOps_2,$A178&lt;Startops2),VLOOKUP($A178,Diesel_Table,Tariff!$Y$41),VLOOKUP($A178,OA_Table,Tariff!$Y$26)))</f>
        <v>0</v>
      </c>
      <c r="J178" s="1544" t="str">
        <f aca="false">IF(MONTH($A178)=12,SUM(I167:I178)," ")</f>
        <v> </v>
      </c>
      <c r="K178" s="1334" t="n">
        <f aca="false">IF(OR($A178&lt;Startops2,$A178&gt;=Endyr),0,VLOOKUP($A178,Capacity_Table,Tariff!$S$18))</f>
        <v>0.91</v>
      </c>
      <c r="L178" s="306" t="n">
        <f aca="false">IF(OR($A178&lt;Startops2,$A178&gt;=Endyr),0,VLOOKUP($A178,Capacity_Table,Tariff!$T$18))</f>
        <v>0.92</v>
      </c>
      <c r="M178" s="397" t="n">
        <f aca="false">IF($A178&lt;Startops2,0,IF($A178&lt;Startops3,VLOOKUP($A178,Convert_Table,Tariff!$Y$54),C178*D178*F178*K178*L178))</f>
        <v>270047.232</v>
      </c>
      <c r="N178" s="1544" t="str">
        <f aca="false">IF(MONTH($A178)=12,SUM(M167:M178)," ")</f>
        <v> </v>
      </c>
      <c r="O178" s="397" t="n">
        <f aca="false">IF($A178&lt;Startops2,0,IF($A178&lt;Startops3,Hr_II,Hr_III))</f>
        <v>7000</v>
      </c>
      <c r="P178" s="397" t="n">
        <f aca="false">M178*O178/1000</f>
        <v>1890330.624</v>
      </c>
      <c r="Q178" s="1545" t="str">
        <f aca="false">IF(MONTH($A178)=12,SUM(P167:P178)," ")</f>
        <v> </v>
      </c>
      <c r="R178" s="397" t="n">
        <f aca="false">IF($A178&gt;Endyr,0,IF($A178&lt;Assm!$A$55,P178,Assm!$F$55*$D178))</f>
        <v>1651242.08219178</v>
      </c>
      <c r="S178" s="1544" t="str">
        <f aca="false">IF(MONTH($A178)=12,SUM(R167:R178)," ")</f>
        <v> </v>
      </c>
      <c r="T178" s="397" t="n">
        <f aca="false">MAX(P178,R178)</f>
        <v>1890330.624</v>
      </c>
      <c r="U178" s="1546" t="str">
        <f aca="false">IF(MONTH($A178)=12,SUM(T167:T178)," ")</f>
        <v> </v>
      </c>
    </row>
    <row r="179" customFormat="false" ht="12.75" hidden="false" customHeight="false" outlineLevel="0" collapsed="false">
      <c r="A179" s="1538" t="n">
        <f aca="false">EDATE(A178,1)</f>
        <v>41334</v>
      </c>
      <c r="C179" s="1539" t="n">
        <f aca="false">IF($A179&gt;Endyr,0,VLOOKUP($A179,Capacity_Table,Tariff!$R$18))</f>
        <v>480</v>
      </c>
      <c r="D179" s="1540" t="n">
        <f aca="false">A180-A179</f>
        <v>31</v>
      </c>
      <c r="E179" s="1540" t="str">
        <f aca="false">IF(MONTH($A179)=12,SUM(D168:D179)," ")</f>
        <v> </v>
      </c>
      <c r="F179" s="1545" t="n">
        <f aca="false">F178</f>
        <v>24</v>
      </c>
      <c r="G179" s="1334" t="n">
        <f aca="false">IF(I179=0,0,I179/($C179*$D179*$F179*H179))</f>
        <v>0</v>
      </c>
      <c r="H179" s="1542" t="n">
        <f aca="false">IF(Avail_LDs_Switch=1,VLOOKUP('Plant Operations'!A179,RAC_AvailFactor_Table,RAC_LDs!$G$258),IF($A179&lt;Startops2,Tariff!$T$11,0))</f>
        <v>0</v>
      </c>
      <c r="I179" s="1543" t="n">
        <f aca="false">IF(OR($A179&lt;Startops1,$A179&gt;=Startops2),0,IF(AND($A179&gt;=DieselOps_2,$A179&lt;Startops2),VLOOKUP($A179,Diesel_Table,Tariff!$Y$41),VLOOKUP($A179,OA_Table,Tariff!$Y$26)))</f>
        <v>0</v>
      </c>
      <c r="J179" s="1544" t="str">
        <f aca="false">IF(MONTH($A179)=12,SUM(I168:I179)," ")</f>
        <v> </v>
      </c>
      <c r="K179" s="1334" t="n">
        <f aca="false">IF(OR($A179&lt;Startops2,$A179&gt;=Endyr),0,VLOOKUP($A179,Capacity_Table,Tariff!$S$18))</f>
        <v>0.91</v>
      </c>
      <c r="L179" s="306" t="n">
        <f aca="false">IF(OR($A179&lt;Startops2,$A179&gt;=Endyr),0,VLOOKUP($A179,Capacity_Table,Tariff!$T$18))</f>
        <v>0.92</v>
      </c>
      <c r="M179" s="397" t="n">
        <f aca="false">IF($A179&lt;Startops2,0,IF($A179&lt;Startops3,VLOOKUP($A179,Convert_Table,Tariff!$Y$54),C179*D179*F179*K179*L179))</f>
        <v>298980.864</v>
      </c>
      <c r="N179" s="1544" t="str">
        <f aca="false">IF(MONTH($A179)=12,SUM(M168:M179)," ")</f>
        <v> </v>
      </c>
      <c r="O179" s="397" t="n">
        <f aca="false">IF($A179&lt;Startops2,0,IF($A179&lt;Startops3,Hr_II,Hr_III))</f>
        <v>7000</v>
      </c>
      <c r="P179" s="397" t="n">
        <f aca="false">M179*O179/1000</f>
        <v>2092866.048</v>
      </c>
      <c r="Q179" s="1545" t="str">
        <f aca="false">IF(MONTH($A179)=12,SUM(P168:P179)," ")</f>
        <v> </v>
      </c>
      <c r="R179" s="397" t="n">
        <f aca="false">IF($A179&gt;Endyr,0,IF($A179&lt;Assm!$A$55,P179,Assm!$F$55*$D179))</f>
        <v>1828160.87671233</v>
      </c>
      <c r="S179" s="1544" t="str">
        <f aca="false">IF(MONTH($A179)=12,SUM(R168:R179)," ")</f>
        <v> </v>
      </c>
      <c r="T179" s="397" t="n">
        <f aca="false">MAX(P179,R179)</f>
        <v>2092866.048</v>
      </c>
      <c r="U179" s="1546" t="str">
        <f aca="false">IF(MONTH($A179)=12,SUM(T168:T179)," ")</f>
        <v> </v>
      </c>
    </row>
    <row r="180" customFormat="false" ht="12.75" hidden="false" customHeight="false" outlineLevel="0" collapsed="false">
      <c r="A180" s="1538" t="n">
        <f aca="false">EDATE(A179,1)</f>
        <v>41365</v>
      </c>
      <c r="C180" s="1539" t="n">
        <f aca="false">IF($A180&gt;Endyr,0,VLOOKUP($A180,Capacity_Table,Tariff!$R$18))</f>
        <v>480</v>
      </c>
      <c r="D180" s="1540" t="n">
        <f aca="false">A181-A180</f>
        <v>30</v>
      </c>
      <c r="E180" s="1540" t="str">
        <f aca="false">IF(MONTH($A180)=12,SUM(D169:D180)," ")</f>
        <v> </v>
      </c>
      <c r="F180" s="1545" t="n">
        <f aca="false">F179</f>
        <v>24</v>
      </c>
      <c r="G180" s="1334" t="n">
        <f aca="false">IF(I180=0,0,I180/($C180*$D180*$F180*H180))</f>
        <v>0</v>
      </c>
      <c r="H180" s="1542" t="n">
        <f aca="false">IF(Avail_LDs_Switch=1,VLOOKUP('Plant Operations'!A180,RAC_AvailFactor_Table,RAC_LDs!$G$258),IF($A180&lt;Startops2,Tariff!$T$11,0))</f>
        <v>0</v>
      </c>
      <c r="I180" s="1543" t="n">
        <f aca="false">IF(OR($A180&lt;Startops1,$A180&gt;=Startops2),0,IF(AND($A180&gt;=DieselOps_2,$A180&lt;Startops2),VLOOKUP($A180,Diesel_Table,Tariff!$Y$41),VLOOKUP($A180,OA_Table,Tariff!$Y$26)))</f>
        <v>0</v>
      </c>
      <c r="J180" s="1544" t="str">
        <f aca="false">IF(MONTH($A180)=12,SUM(I169:I180)," ")</f>
        <v> </v>
      </c>
      <c r="K180" s="1334" t="n">
        <f aca="false">IF(OR($A180&lt;Startops2,$A180&gt;=Endyr),0,VLOOKUP($A180,Capacity_Table,Tariff!$S$18))</f>
        <v>0.91</v>
      </c>
      <c r="L180" s="306" t="n">
        <f aca="false">IF(OR($A180&lt;Startops2,$A180&gt;=Endyr),0,VLOOKUP($A180,Capacity_Table,Tariff!$T$18))</f>
        <v>0.92</v>
      </c>
      <c r="M180" s="397" t="n">
        <f aca="false">IF($A180&lt;Startops2,0,IF($A180&lt;Startops3,VLOOKUP($A180,Convert_Table,Tariff!$Y$54),C180*D180*F180*K180*L180))</f>
        <v>289336.32</v>
      </c>
      <c r="N180" s="1544" t="str">
        <f aca="false">IF(MONTH($A180)=12,SUM(M169:M180)," ")</f>
        <v> </v>
      </c>
      <c r="O180" s="397" t="n">
        <f aca="false">IF($A180&lt;Startops2,0,IF($A180&lt;Startops3,Hr_II,Hr_III))</f>
        <v>7000</v>
      </c>
      <c r="P180" s="397" t="n">
        <f aca="false">M180*O180/1000</f>
        <v>2025354.24</v>
      </c>
      <c r="Q180" s="1545" t="str">
        <f aca="false">IF(MONTH($A180)=12,SUM(P169:P180)," ")</f>
        <v> </v>
      </c>
      <c r="R180" s="397" t="n">
        <f aca="false">IF($A180&gt;Endyr,0,IF($A180&lt;Assm!$A$55,P180,Assm!$F$55*$D180))</f>
        <v>1769187.94520548</v>
      </c>
      <c r="S180" s="1544" t="str">
        <f aca="false">IF(MONTH($A180)=12,SUM(R169:R180)," ")</f>
        <v> </v>
      </c>
      <c r="T180" s="397" t="n">
        <f aca="false">MAX(P180,R180)</f>
        <v>2025354.24</v>
      </c>
      <c r="U180" s="1546" t="str">
        <f aca="false">IF(MONTH($A180)=12,SUM(T169:T180)," ")</f>
        <v> </v>
      </c>
    </row>
    <row r="181" customFormat="false" ht="12.75" hidden="false" customHeight="false" outlineLevel="0" collapsed="false">
      <c r="A181" s="1538" t="n">
        <f aca="false">EDATE(A180,1)</f>
        <v>41395</v>
      </c>
      <c r="C181" s="1539" t="n">
        <f aca="false">IF($A181&gt;Endyr,0,VLOOKUP($A181,Capacity_Table,Tariff!$R$18))</f>
        <v>480</v>
      </c>
      <c r="D181" s="1540" t="n">
        <f aca="false">A182-A181</f>
        <v>31</v>
      </c>
      <c r="E181" s="1540" t="str">
        <f aca="false">IF(MONTH($A181)=12,SUM(D170:D181)," ")</f>
        <v> </v>
      </c>
      <c r="F181" s="1545" t="n">
        <f aca="false">F180</f>
        <v>24</v>
      </c>
      <c r="G181" s="1334" t="n">
        <f aca="false">IF(I181=0,0,I181/($C181*$D181*$F181*H181))</f>
        <v>0</v>
      </c>
      <c r="H181" s="1542" t="n">
        <f aca="false">IF(Avail_LDs_Switch=1,VLOOKUP('Plant Operations'!A181,RAC_AvailFactor_Table,RAC_LDs!$G$258),IF($A181&lt;Startops2,Tariff!$T$11,0))</f>
        <v>0</v>
      </c>
      <c r="I181" s="1543" t="n">
        <f aca="false">IF(OR($A181&lt;Startops1,$A181&gt;=Startops2),0,IF(AND($A181&gt;=DieselOps_2,$A181&lt;Startops2),VLOOKUP($A181,Diesel_Table,Tariff!$Y$41),VLOOKUP($A181,OA_Table,Tariff!$Y$26)))</f>
        <v>0</v>
      </c>
      <c r="J181" s="1544" t="str">
        <f aca="false">IF(MONTH($A181)=12,SUM(I170:I181)," ")</f>
        <v> </v>
      </c>
      <c r="K181" s="1334" t="n">
        <f aca="false">IF(OR($A181&lt;Startops2,$A181&gt;=Endyr),0,VLOOKUP($A181,Capacity_Table,Tariff!$S$18))</f>
        <v>0.91</v>
      </c>
      <c r="L181" s="306" t="n">
        <f aca="false">IF(OR($A181&lt;Startops2,$A181&gt;=Endyr),0,VLOOKUP($A181,Capacity_Table,Tariff!$T$18))</f>
        <v>0.92</v>
      </c>
      <c r="M181" s="397" t="n">
        <f aca="false">IF($A181&lt;Startops2,0,IF($A181&lt;Startops3,VLOOKUP($A181,Convert_Table,Tariff!$Y$54),C181*D181*F181*K181*L181))</f>
        <v>298980.864</v>
      </c>
      <c r="N181" s="1544" t="str">
        <f aca="false">IF(MONTH($A181)=12,SUM(M170:M181)," ")</f>
        <v> </v>
      </c>
      <c r="O181" s="397" t="n">
        <f aca="false">IF($A181&lt;Startops2,0,IF($A181&lt;Startops3,Hr_II,Hr_III))</f>
        <v>7000</v>
      </c>
      <c r="P181" s="397" t="n">
        <f aca="false">M181*O181/1000</f>
        <v>2092866.048</v>
      </c>
      <c r="Q181" s="1545" t="str">
        <f aca="false">IF(MONTH($A181)=12,SUM(P170:P181)," ")</f>
        <v> </v>
      </c>
      <c r="R181" s="397" t="n">
        <f aca="false">IF($A181&gt;Endyr,0,IF($A181&lt;Assm!$A$55,P181,Assm!$F$55*$D181))</f>
        <v>1828160.87671233</v>
      </c>
      <c r="S181" s="1544" t="str">
        <f aca="false">IF(MONTH($A181)=12,SUM(R170:R181)," ")</f>
        <v> </v>
      </c>
      <c r="T181" s="397" t="n">
        <f aca="false">MAX(P181,R181)</f>
        <v>2092866.048</v>
      </c>
      <c r="U181" s="1546" t="str">
        <f aca="false">IF(MONTH($A181)=12,SUM(T170:T181)," ")</f>
        <v> </v>
      </c>
    </row>
    <row r="182" customFormat="false" ht="12.75" hidden="false" customHeight="false" outlineLevel="0" collapsed="false">
      <c r="A182" s="1538" t="n">
        <f aca="false">EDATE(A181,1)</f>
        <v>41426</v>
      </c>
      <c r="C182" s="1539" t="n">
        <f aca="false">IF($A182&gt;Endyr,0,VLOOKUP($A182,Capacity_Table,Tariff!$R$18))</f>
        <v>480</v>
      </c>
      <c r="D182" s="1540" t="n">
        <f aca="false">A183-A182</f>
        <v>30</v>
      </c>
      <c r="E182" s="1540" t="str">
        <f aca="false">IF(MONTH($A182)=12,SUM(D171:D182)," ")</f>
        <v> </v>
      </c>
      <c r="F182" s="1545" t="n">
        <f aca="false">F181</f>
        <v>24</v>
      </c>
      <c r="G182" s="1334" t="n">
        <f aca="false">IF(I182=0,0,I182/($C182*$D182*$F182*H182))</f>
        <v>0</v>
      </c>
      <c r="H182" s="1542" t="n">
        <f aca="false">IF(Avail_LDs_Switch=1,VLOOKUP('Plant Operations'!A182,RAC_AvailFactor_Table,RAC_LDs!$G$258),IF($A182&lt;Startops2,Tariff!$T$11,0))</f>
        <v>0</v>
      </c>
      <c r="I182" s="1543" t="n">
        <f aca="false">IF(OR($A182&lt;Startops1,$A182&gt;=Startops2),0,IF(AND($A182&gt;=DieselOps_2,$A182&lt;Startops2),VLOOKUP($A182,Diesel_Table,Tariff!$Y$41),VLOOKUP($A182,OA_Table,Tariff!$Y$26)))</f>
        <v>0</v>
      </c>
      <c r="J182" s="1544" t="str">
        <f aca="false">IF(MONTH($A182)=12,SUM(I171:I182)," ")</f>
        <v> </v>
      </c>
      <c r="K182" s="1334" t="n">
        <f aca="false">IF(OR($A182&lt;Startops2,$A182&gt;=Endyr),0,VLOOKUP($A182,Capacity_Table,Tariff!$S$18))</f>
        <v>0.91</v>
      </c>
      <c r="L182" s="306" t="n">
        <f aca="false">IF(OR($A182&lt;Startops2,$A182&gt;=Endyr),0,VLOOKUP($A182,Capacity_Table,Tariff!$T$18))</f>
        <v>0.92</v>
      </c>
      <c r="M182" s="397" t="n">
        <f aca="false">IF($A182&lt;Startops2,0,IF($A182&lt;Startops3,VLOOKUP($A182,Convert_Table,Tariff!$Y$54),C182*D182*F182*K182*L182))</f>
        <v>289336.32</v>
      </c>
      <c r="N182" s="1544" t="str">
        <f aca="false">IF(MONTH($A182)=12,SUM(M171:M182)," ")</f>
        <v> </v>
      </c>
      <c r="O182" s="397" t="n">
        <f aca="false">IF($A182&lt;Startops2,0,IF($A182&lt;Startops3,Hr_II,Hr_III))</f>
        <v>7000</v>
      </c>
      <c r="P182" s="397" t="n">
        <f aca="false">M182*O182/1000</f>
        <v>2025354.24</v>
      </c>
      <c r="Q182" s="1545" t="str">
        <f aca="false">IF(MONTH($A182)=12,SUM(P171:P182)," ")</f>
        <v> </v>
      </c>
      <c r="R182" s="397" t="n">
        <f aca="false">IF($A182&gt;Endyr,0,IF($A182&lt;Assm!$A$55,P182,Assm!$F$55*$D182))</f>
        <v>1769187.94520548</v>
      </c>
      <c r="S182" s="1544" t="str">
        <f aca="false">IF(MONTH($A182)=12,SUM(R171:R182)," ")</f>
        <v> </v>
      </c>
      <c r="T182" s="397" t="n">
        <f aca="false">MAX(P182,R182)</f>
        <v>2025354.24</v>
      </c>
      <c r="U182" s="1546" t="str">
        <f aca="false">IF(MONTH($A182)=12,SUM(T171:T182)," ")</f>
        <v> </v>
      </c>
    </row>
    <row r="183" customFormat="false" ht="12.75" hidden="false" customHeight="false" outlineLevel="0" collapsed="false">
      <c r="A183" s="1538" t="n">
        <f aca="false">EDATE(A182,1)</f>
        <v>41456</v>
      </c>
      <c r="C183" s="1539" t="n">
        <f aca="false">IF($A183&gt;Endyr,0,VLOOKUP($A183,Capacity_Table,Tariff!$R$18))</f>
        <v>480</v>
      </c>
      <c r="D183" s="1540" t="n">
        <f aca="false">A184-A183</f>
        <v>31</v>
      </c>
      <c r="E183" s="1540" t="str">
        <f aca="false">IF(MONTH($A183)=12,SUM(D172:D183)," ")</f>
        <v> </v>
      </c>
      <c r="F183" s="1545" t="n">
        <f aca="false">F182</f>
        <v>24</v>
      </c>
      <c r="G183" s="1334" t="n">
        <f aca="false">IF(I183=0,0,I183/($C183*$D183*$F183*H183))</f>
        <v>0</v>
      </c>
      <c r="H183" s="1542" t="n">
        <f aca="false">IF(Avail_LDs_Switch=1,VLOOKUP('Plant Operations'!A183,RAC_AvailFactor_Table,RAC_LDs!$G$258),IF($A183&lt;Startops2,Tariff!$T$11,0))</f>
        <v>0</v>
      </c>
      <c r="I183" s="1543" t="n">
        <f aca="false">IF(OR($A183&lt;Startops1,$A183&gt;=Startops2),0,IF(AND($A183&gt;=DieselOps_2,$A183&lt;Startops2),VLOOKUP($A183,Diesel_Table,Tariff!$Y$41),VLOOKUP($A183,OA_Table,Tariff!$Y$26)))</f>
        <v>0</v>
      </c>
      <c r="J183" s="1544" t="str">
        <f aca="false">IF(MONTH($A183)=12,SUM(I172:I183)," ")</f>
        <v> </v>
      </c>
      <c r="K183" s="1334" t="n">
        <f aca="false">IF(OR($A183&lt;Startops2,$A183&gt;=Endyr),0,VLOOKUP($A183,Capacity_Table,Tariff!$S$18))</f>
        <v>0.91</v>
      </c>
      <c r="L183" s="306" t="n">
        <f aca="false">IF(OR($A183&lt;Startops2,$A183&gt;=Endyr),0,VLOOKUP($A183,Capacity_Table,Tariff!$T$18))</f>
        <v>0.92</v>
      </c>
      <c r="M183" s="397" t="n">
        <f aca="false">IF($A183&lt;Startops2,0,IF($A183&lt;Startops3,VLOOKUP($A183,Convert_Table,Tariff!$Y$54),C183*D183*F183*K183*L183))</f>
        <v>298980.864</v>
      </c>
      <c r="N183" s="1544" t="str">
        <f aca="false">IF(MONTH($A183)=12,SUM(M172:M183)," ")</f>
        <v> </v>
      </c>
      <c r="O183" s="397" t="n">
        <f aca="false">IF($A183&lt;Startops2,0,IF($A183&lt;Startops3,Hr_II,Hr_III))</f>
        <v>7000</v>
      </c>
      <c r="P183" s="397" t="n">
        <f aca="false">M183*O183/1000</f>
        <v>2092866.048</v>
      </c>
      <c r="Q183" s="1545" t="str">
        <f aca="false">IF(MONTH($A183)=12,SUM(P172:P183)," ")</f>
        <v> </v>
      </c>
      <c r="R183" s="397" t="n">
        <f aca="false">IF($A183&gt;Endyr,0,IF($A183&lt;Assm!$A$55,P183,Assm!$F$55*$D183))</f>
        <v>1828160.87671233</v>
      </c>
      <c r="S183" s="1544" t="str">
        <f aca="false">IF(MONTH($A183)=12,SUM(R172:R183)," ")</f>
        <v> </v>
      </c>
      <c r="T183" s="397" t="n">
        <f aca="false">MAX(P183,R183)</f>
        <v>2092866.048</v>
      </c>
      <c r="U183" s="1546" t="str">
        <f aca="false">IF(MONTH($A183)=12,SUM(T172:T183)," ")</f>
        <v> </v>
      </c>
    </row>
    <row r="184" customFormat="false" ht="12.75" hidden="false" customHeight="false" outlineLevel="0" collapsed="false">
      <c r="A184" s="1538" t="n">
        <f aca="false">EDATE(A183,1)</f>
        <v>41487</v>
      </c>
      <c r="C184" s="1539" t="n">
        <f aca="false">IF($A184&gt;Endyr,0,VLOOKUP($A184,Capacity_Table,Tariff!$R$18))</f>
        <v>480</v>
      </c>
      <c r="D184" s="1540" t="n">
        <f aca="false">A185-A184</f>
        <v>31</v>
      </c>
      <c r="E184" s="1540" t="str">
        <f aca="false">IF(MONTH($A184)=12,SUM(D173:D184)," ")</f>
        <v> </v>
      </c>
      <c r="F184" s="1545" t="n">
        <f aca="false">F183</f>
        <v>24</v>
      </c>
      <c r="G184" s="1334" t="n">
        <f aca="false">IF(I184=0,0,I184/($C184*$D184*$F184*H184))</f>
        <v>0</v>
      </c>
      <c r="H184" s="1542" t="n">
        <f aca="false">IF(Avail_LDs_Switch=1,VLOOKUP('Plant Operations'!A184,RAC_AvailFactor_Table,RAC_LDs!$G$258),IF($A184&lt;Startops2,Tariff!$T$11,0))</f>
        <v>0</v>
      </c>
      <c r="I184" s="1543" t="n">
        <f aca="false">IF(OR($A184&lt;Startops1,$A184&gt;=Startops2),0,IF(AND($A184&gt;=DieselOps_2,$A184&lt;Startops2),VLOOKUP($A184,Diesel_Table,Tariff!$Y$41),VLOOKUP($A184,OA_Table,Tariff!$Y$26)))</f>
        <v>0</v>
      </c>
      <c r="J184" s="1544" t="str">
        <f aca="false">IF(MONTH($A184)=12,SUM(I173:I184)," ")</f>
        <v> </v>
      </c>
      <c r="K184" s="1334" t="n">
        <f aca="false">IF(OR($A184&lt;Startops2,$A184&gt;=Endyr),0,VLOOKUP($A184,Capacity_Table,Tariff!$S$18))</f>
        <v>0.91</v>
      </c>
      <c r="L184" s="306" t="n">
        <f aca="false">IF(OR($A184&lt;Startops2,$A184&gt;=Endyr),0,VLOOKUP($A184,Capacity_Table,Tariff!$T$18))</f>
        <v>0.92</v>
      </c>
      <c r="M184" s="397" t="n">
        <f aca="false">IF($A184&lt;Startops2,0,IF($A184&lt;Startops3,VLOOKUP($A184,Convert_Table,Tariff!$Y$54),C184*D184*F184*K184*L184))</f>
        <v>298980.864</v>
      </c>
      <c r="N184" s="1544" t="str">
        <f aca="false">IF(MONTH($A184)=12,SUM(M173:M184)," ")</f>
        <v> </v>
      </c>
      <c r="O184" s="397" t="n">
        <f aca="false">IF($A184&lt;Startops2,0,IF($A184&lt;Startops3,Hr_II,Hr_III))</f>
        <v>7000</v>
      </c>
      <c r="P184" s="397" t="n">
        <f aca="false">M184*O184/1000</f>
        <v>2092866.048</v>
      </c>
      <c r="Q184" s="1545" t="str">
        <f aca="false">IF(MONTH($A184)=12,SUM(P173:P184)," ")</f>
        <v> </v>
      </c>
      <c r="R184" s="397" t="n">
        <f aca="false">IF($A184&gt;Endyr,0,IF($A184&lt;Assm!$A$55,P184,Assm!$F$55*$D184))</f>
        <v>1828160.87671233</v>
      </c>
      <c r="S184" s="1544" t="str">
        <f aca="false">IF(MONTH($A184)=12,SUM(R173:R184)," ")</f>
        <v> </v>
      </c>
      <c r="T184" s="397" t="n">
        <f aca="false">MAX(P184,R184)</f>
        <v>2092866.048</v>
      </c>
      <c r="U184" s="1546" t="str">
        <f aca="false">IF(MONTH($A184)=12,SUM(T173:T184)," ")</f>
        <v> </v>
      </c>
    </row>
    <row r="185" customFormat="false" ht="12.75" hidden="false" customHeight="false" outlineLevel="0" collapsed="false">
      <c r="A185" s="1538" t="n">
        <f aca="false">EDATE(A184,1)</f>
        <v>41518</v>
      </c>
      <c r="C185" s="1539" t="n">
        <f aca="false">IF($A185&gt;Endyr,0,VLOOKUP($A185,Capacity_Table,Tariff!$R$18))</f>
        <v>480</v>
      </c>
      <c r="D185" s="1540" t="n">
        <f aca="false">A186-A185</f>
        <v>30</v>
      </c>
      <c r="E185" s="1540" t="str">
        <f aca="false">IF(MONTH($A185)=12,SUM(D174:D185)," ")</f>
        <v> </v>
      </c>
      <c r="F185" s="1545" t="n">
        <f aca="false">F184</f>
        <v>24</v>
      </c>
      <c r="G185" s="1334" t="n">
        <f aca="false">IF(I185=0,0,I185/($C185*$D185*$F185*H185))</f>
        <v>0</v>
      </c>
      <c r="H185" s="1542" t="n">
        <f aca="false">IF(Avail_LDs_Switch=1,VLOOKUP('Plant Operations'!A185,RAC_AvailFactor_Table,RAC_LDs!$G$258),IF($A185&lt;Startops2,Tariff!$T$11,0))</f>
        <v>0</v>
      </c>
      <c r="I185" s="1543" t="n">
        <f aca="false">IF(OR($A185&lt;Startops1,$A185&gt;=Startops2),0,IF(AND($A185&gt;=DieselOps_2,$A185&lt;Startops2),VLOOKUP($A185,Diesel_Table,Tariff!$Y$41),VLOOKUP($A185,OA_Table,Tariff!$Y$26)))</f>
        <v>0</v>
      </c>
      <c r="J185" s="1544" t="str">
        <f aca="false">IF(MONTH($A185)=12,SUM(I174:I185)," ")</f>
        <v> </v>
      </c>
      <c r="K185" s="1334" t="n">
        <f aca="false">IF(OR($A185&lt;Startops2,$A185&gt;=Endyr),0,VLOOKUP($A185,Capacity_Table,Tariff!$S$18))</f>
        <v>0.91</v>
      </c>
      <c r="L185" s="306" t="n">
        <f aca="false">IF(OR($A185&lt;Startops2,$A185&gt;=Endyr),0,VLOOKUP($A185,Capacity_Table,Tariff!$T$18))</f>
        <v>0.92</v>
      </c>
      <c r="M185" s="397" t="n">
        <f aca="false">IF($A185&lt;Startops2,0,IF($A185&lt;Startops3,VLOOKUP($A185,Convert_Table,Tariff!$Y$54),C185*D185*F185*K185*L185))</f>
        <v>289336.32</v>
      </c>
      <c r="N185" s="1544" t="str">
        <f aca="false">IF(MONTH($A185)=12,SUM(M174:M185)," ")</f>
        <v> </v>
      </c>
      <c r="O185" s="397" t="n">
        <f aca="false">IF($A185&lt;Startops2,0,IF($A185&lt;Startops3,Hr_II,Hr_III))</f>
        <v>7000</v>
      </c>
      <c r="P185" s="397" t="n">
        <f aca="false">M185*O185/1000</f>
        <v>2025354.24</v>
      </c>
      <c r="Q185" s="1545" t="str">
        <f aca="false">IF(MONTH($A185)=12,SUM(P174:P185)," ")</f>
        <v> </v>
      </c>
      <c r="R185" s="397" t="n">
        <f aca="false">IF($A185&gt;Endyr,0,IF($A185&lt;Assm!$A$55,P185,Assm!$F$55*$D185))</f>
        <v>1769187.94520548</v>
      </c>
      <c r="S185" s="1544" t="str">
        <f aca="false">IF(MONTH($A185)=12,SUM(R174:R185)," ")</f>
        <v> </v>
      </c>
      <c r="T185" s="397" t="n">
        <f aca="false">MAX(P185,R185)</f>
        <v>2025354.24</v>
      </c>
      <c r="U185" s="1546" t="str">
        <f aca="false">IF(MONTH($A185)=12,SUM(T174:T185)," ")</f>
        <v> </v>
      </c>
    </row>
    <row r="186" customFormat="false" ht="12.75" hidden="false" customHeight="false" outlineLevel="0" collapsed="false">
      <c r="A186" s="1538" t="n">
        <f aca="false">EDATE(A185,1)</f>
        <v>41548</v>
      </c>
      <c r="C186" s="1539" t="n">
        <f aca="false">IF($A186&gt;Endyr,0,VLOOKUP($A186,Capacity_Table,Tariff!$R$18))</f>
        <v>480</v>
      </c>
      <c r="D186" s="1540" t="n">
        <f aca="false">A187-A186</f>
        <v>31</v>
      </c>
      <c r="E186" s="1540" t="str">
        <f aca="false">IF(MONTH($A186)=12,SUM(D175:D186)," ")</f>
        <v> </v>
      </c>
      <c r="F186" s="1545" t="n">
        <f aca="false">F185</f>
        <v>24</v>
      </c>
      <c r="G186" s="1334" t="n">
        <f aca="false">IF(I186=0,0,I186/($C186*$D186*$F186*H186))</f>
        <v>0</v>
      </c>
      <c r="H186" s="1542" t="n">
        <f aca="false">IF(Avail_LDs_Switch=1,VLOOKUP('Plant Operations'!A186,RAC_AvailFactor_Table,RAC_LDs!$G$258),IF($A186&lt;Startops2,Tariff!$T$11,0))</f>
        <v>0</v>
      </c>
      <c r="I186" s="1543" t="n">
        <f aca="false">IF(OR($A186&lt;Startops1,$A186&gt;=Startops2),0,IF(AND($A186&gt;=DieselOps_2,$A186&lt;Startops2),VLOOKUP($A186,Diesel_Table,Tariff!$Y$41),VLOOKUP($A186,OA_Table,Tariff!$Y$26)))</f>
        <v>0</v>
      </c>
      <c r="J186" s="1544" t="str">
        <f aca="false">IF(MONTH($A186)=12,SUM(I175:I186)," ")</f>
        <v> </v>
      </c>
      <c r="K186" s="1334" t="n">
        <f aca="false">IF(OR($A186&lt;Startops2,$A186&gt;=Endyr),0,VLOOKUP($A186,Capacity_Table,Tariff!$S$18))</f>
        <v>0.91</v>
      </c>
      <c r="L186" s="306" t="n">
        <f aca="false">IF(OR($A186&lt;Startops2,$A186&gt;=Endyr),0,VLOOKUP($A186,Capacity_Table,Tariff!$T$18))</f>
        <v>0.92</v>
      </c>
      <c r="M186" s="397" t="n">
        <f aca="false">IF($A186&lt;Startops2,0,IF($A186&lt;Startops3,VLOOKUP($A186,Convert_Table,Tariff!$Y$54),C186*D186*F186*K186*L186))</f>
        <v>298980.864</v>
      </c>
      <c r="N186" s="1544" t="str">
        <f aca="false">IF(MONTH($A186)=12,SUM(M175:M186)," ")</f>
        <v> </v>
      </c>
      <c r="O186" s="397" t="n">
        <f aca="false">IF($A186&lt;Startops2,0,IF($A186&lt;Startops3,Hr_II,Hr_III))</f>
        <v>7000</v>
      </c>
      <c r="P186" s="397" t="n">
        <f aca="false">M186*O186/1000</f>
        <v>2092866.048</v>
      </c>
      <c r="Q186" s="1545" t="str">
        <f aca="false">IF(MONTH($A186)=12,SUM(P175:P186)," ")</f>
        <v> </v>
      </c>
      <c r="R186" s="397" t="n">
        <f aca="false">IF($A186&gt;Endyr,0,IF($A186&lt;Assm!$A$55,P186,Assm!$F$55*$D186))</f>
        <v>1828160.87671233</v>
      </c>
      <c r="S186" s="1544" t="str">
        <f aca="false">IF(MONTH($A186)=12,SUM(R175:R186)," ")</f>
        <v> </v>
      </c>
      <c r="T186" s="397" t="n">
        <f aca="false">MAX(P186,R186)</f>
        <v>2092866.048</v>
      </c>
      <c r="U186" s="1546" t="str">
        <f aca="false">IF(MONTH($A186)=12,SUM(T175:T186)," ")</f>
        <v> </v>
      </c>
    </row>
    <row r="187" customFormat="false" ht="12.75" hidden="false" customHeight="false" outlineLevel="0" collapsed="false">
      <c r="A187" s="1538" t="n">
        <f aca="false">EDATE(A186,1)</f>
        <v>41579</v>
      </c>
      <c r="C187" s="1539" t="n">
        <f aca="false">IF($A187&gt;Endyr,0,VLOOKUP($A187,Capacity_Table,Tariff!$R$18))</f>
        <v>480</v>
      </c>
      <c r="D187" s="1540" t="n">
        <f aca="false">A188-A187</f>
        <v>30</v>
      </c>
      <c r="E187" s="1540" t="str">
        <f aca="false">IF(MONTH($A187)=12,SUM(D176:D187)," ")</f>
        <v> </v>
      </c>
      <c r="F187" s="1545" t="n">
        <f aca="false">F186</f>
        <v>24</v>
      </c>
      <c r="G187" s="1334" t="n">
        <f aca="false">IF(I187=0,0,I187/($C187*$D187*$F187*H187))</f>
        <v>0</v>
      </c>
      <c r="H187" s="1542" t="n">
        <f aca="false">IF(Avail_LDs_Switch=1,VLOOKUP('Plant Operations'!A187,RAC_AvailFactor_Table,RAC_LDs!$G$258),IF($A187&lt;Startops2,Tariff!$T$11,0))</f>
        <v>0</v>
      </c>
      <c r="I187" s="1543" t="n">
        <f aca="false">IF(OR($A187&lt;Startops1,$A187&gt;=Startops2),0,IF(AND($A187&gt;=DieselOps_2,$A187&lt;Startops2),VLOOKUP($A187,Diesel_Table,Tariff!$Y$41),VLOOKUP($A187,OA_Table,Tariff!$Y$26)))</f>
        <v>0</v>
      </c>
      <c r="J187" s="1544" t="str">
        <f aca="false">IF(MONTH($A187)=12,SUM(I176:I187)," ")</f>
        <v> </v>
      </c>
      <c r="K187" s="1334" t="n">
        <f aca="false">IF(OR($A187&lt;Startops2,$A187&gt;=Endyr),0,VLOOKUP($A187,Capacity_Table,Tariff!$S$18))</f>
        <v>0.91</v>
      </c>
      <c r="L187" s="306" t="n">
        <f aca="false">IF(OR($A187&lt;Startops2,$A187&gt;=Endyr),0,VLOOKUP($A187,Capacity_Table,Tariff!$T$18))</f>
        <v>0.92</v>
      </c>
      <c r="M187" s="397" t="n">
        <f aca="false">IF($A187&lt;Startops2,0,IF($A187&lt;Startops3,VLOOKUP($A187,Convert_Table,Tariff!$Y$54),C187*D187*F187*K187*L187))</f>
        <v>289336.32</v>
      </c>
      <c r="N187" s="1544" t="str">
        <f aca="false">IF(MONTH($A187)=12,SUM(M176:M187)," ")</f>
        <v> </v>
      </c>
      <c r="O187" s="397" t="n">
        <f aca="false">IF($A187&lt;Startops2,0,IF($A187&lt;Startops3,Hr_II,Hr_III))</f>
        <v>7000</v>
      </c>
      <c r="P187" s="397" t="n">
        <f aca="false">M187*O187/1000</f>
        <v>2025354.24</v>
      </c>
      <c r="Q187" s="1545" t="str">
        <f aca="false">IF(MONTH($A187)=12,SUM(P176:P187)," ")</f>
        <v> </v>
      </c>
      <c r="R187" s="397" t="n">
        <f aca="false">IF($A187&gt;Endyr,0,IF($A187&lt;Assm!$A$55,P187,Assm!$F$55*$D187))</f>
        <v>1769187.94520548</v>
      </c>
      <c r="S187" s="1544" t="str">
        <f aca="false">IF(MONTH($A187)=12,SUM(R176:R187)," ")</f>
        <v> </v>
      </c>
      <c r="T187" s="397" t="n">
        <f aca="false">MAX(P187,R187)</f>
        <v>2025354.24</v>
      </c>
      <c r="U187" s="1546" t="str">
        <f aca="false">IF(MONTH($A187)=12,SUM(T176:T187)," ")</f>
        <v> </v>
      </c>
    </row>
    <row r="188" customFormat="false" ht="12.75" hidden="false" customHeight="false" outlineLevel="0" collapsed="false">
      <c r="A188" s="1538" t="n">
        <f aca="false">EDATE(A187,1)</f>
        <v>41609</v>
      </c>
      <c r="C188" s="1539" t="n">
        <f aca="false">IF($A188&gt;Endyr,0,VLOOKUP($A188,Capacity_Table,Tariff!$R$18))</f>
        <v>480</v>
      </c>
      <c r="D188" s="1540" t="n">
        <f aca="false">A189-A188</f>
        <v>31</v>
      </c>
      <c r="E188" s="1540" t="n">
        <f aca="false">IF(MONTH($A188)=12,SUM(D177:D188)," ")</f>
        <v>365</v>
      </c>
      <c r="F188" s="1545" t="n">
        <f aca="false">F187</f>
        <v>24</v>
      </c>
      <c r="G188" s="1334" t="n">
        <f aca="false">IF(I188=0,0,I188/($C188*$D188*$F188*H188))</f>
        <v>0</v>
      </c>
      <c r="H188" s="1542" t="n">
        <f aca="false">IF(Avail_LDs_Switch=1,VLOOKUP('Plant Operations'!A188,RAC_AvailFactor_Table,RAC_LDs!$G$258),IF($A188&lt;Startops2,Tariff!$T$11,0))</f>
        <v>0</v>
      </c>
      <c r="I188" s="1543" t="n">
        <f aca="false">IF(OR($A188&lt;Startops1,$A188&gt;=Startops2),0,IF(AND($A188&gt;=DieselOps_2,$A188&lt;Startops2),VLOOKUP($A188,Diesel_Table,Tariff!$Y$41),VLOOKUP($A188,OA_Table,Tariff!$Y$26)))</f>
        <v>0</v>
      </c>
      <c r="J188" s="1544" t="n">
        <f aca="false">IF(MONTH($A188)=12,SUM(I177:I188)," ")</f>
        <v>0</v>
      </c>
      <c r="K188" s="1334" t="n">
        <f aca="false">IF(OR($A188&lt;Startops2,$A188&gt;=Endyr),0,VLOOKUP($A188,Capacity_Table,Tariff!$S$18))</f>
        <v>0.91</v>
      </c>
      <c r="L188" s="306" t="n">
        <f aca="false">IF(OR($A188&lt;Startops2,$A188&gt;=Endyr),0,VLOOKUP($A188,Capacity_Table,Tariff!$T$18))</f>
        <v>0.92</v>
      </c>
      <c r="M188" s="397" t="n">
        <f aca="false">IF($A188&lt;Startops2,0,IF($A188&lt;Startops3,VLOOKUP($A188,Convert_Table,Tariff!$Y$54),C188*D188*F188*K188*L188))</f>
        <v>298980.864</v>
      </c>
      <c r="N188" s="1544" t="n">
        <f aca="false">IF(MONTH($A188)=12,SUM(M177:M188)," ")</f>
        <v>3520258.56</v>
      </c>
      <c r="O188" s="397" t="n">
        <f aca="false">IF($A188&lt;Startops2,0,IF($A188&lt;Startops3,Hr_II,Hr_III))</f>
        <v>7000</v>
      </c>
      <c r="P188" s="397" t="n">
        <f aca="false">M188*O188/1000</f>
        <v>2092866.048</v>
      </c>
      <c r="Q188" s="1545" t="n">
        <f aca="false">IF(MONTH($A188)=12,SUM(P177:P188)," ")</f>
        <v>24641809.92</v>
      </c>
      <c r="R188" s="397" t="n">
        <f aca="false">IF($A188&gt;Endyr,0,IF($A188&lt;Assm!$A$55,P188,Assm!$F$55*$D188))</f>
        <v>1828160.87671233</v>
      </c>
      <c r="S188" s="1544" t="n">
        <f aca="false">IF(MONTH($A188)=12,SUM(R177:R188)," ")</f>
        <v>21525120</v>
      </c>
      <c r="T188" s="397" t="n">
        <f aca="false">MAX(P188,R188)</f>
        <v>2092866.048</v>
      </c>
      <c r="U188" s="1546" t="n">
        <f aca="false">IF(MONTH($A188)=12,SUM(T177:T188)," ")</f>
        <v>24641809.92</v>
      </c>
    </row>
    <row r="189" customFormat="false" ht="12.75" hidden="false" customHeight="false" outlineLevel="0" collapsed="false">
      <c r="A189" s="1538" t="n">
        <f aca="false">EDATE(A188,1)</f>
        <v>41640</v>
      </c>
      <c r="C189" s="1539" t="n">
        <f aca="false">IF($A189&gt;Endyr,0,VLOOKUP($A189,Capacity_Table,Tariff!$R$18))</f>
        <v>480</v>
      </c>
      <c r="D189" s="1540" t="n">
        <f aca="false">A190-A189</f>
        <v>31</v>
      </c>
      <c r="E189" s="1540" t="str">
        <f aca="false">IF(MONTH($A189)=12,SUM(D178:D189)," ")</f>
        <v> </v>
      </c>
      <c r="F189" s="1545" t="n">
        <f aca="false">F188</f>
        <v>24</v>
      </c>
      <c r="G189" s="1334" t="n">
        <f aca="false">IF(I189=0,0,I189/($C189*$D189*$F189*H189))</f>
        <v>0</v>
      </c>
      <c r="H189" s="1542" t="n">
        <f aca="false">IF(Avail_LDs_Switch=1,VLOOKUP('Plant Operations'!A189,RAC_AvailFactor_Table,RAC_LDs!$G$258),IF($A189&lt;Startops2,Tariff!$T$11,0))</f>
        <v>0</v>
      </c>
      <c r="I189" s="1543" t="n">
        <f aca="false">IF(OR($A189&lt;Startops1,$A189&gt;=Startops2),0,IF(AND($A189&gt;=DieselOps_2,$A189&lt;Startops2),VLOOKUP($A189,Diesel_Table,Tariff!$Y$41),VLOOKUP($A189,OA_Table,Tariff!$Y$26)))</f>
        <v>0</v>
      </c>
      <c r="J189" s="1544" t="str">
        <f aca="false">IF(MONTH($A189)=12,SUM(I178:I189)," ")</f>
        <v> </v>
      </c>
      <c r="K189" s="1334" t="n">
        <f aca="false">IF(OR($A189&lt;Startops2,$A189&gt;=Endyr),0,VLOOKUP($A189,Capacity_Table,Tariff!$S$18))</f>
        <v>0.91</v>
      </c>
      <c r="L189" s="306" t="n">
        <f aca="false">IF(OR($A189&lt;Startops2,$A189&gt;=Endyr),0,VLOOKUP($A189,Capacity_Table,Tariff!$T$18))</f>
        <v>0.92</v>
      </c>
      <c r="M189" s="397" t="n">
        <f aca="false">IF($A189&lt;Startops2,0,IF($A189&lt;Startops3,VLOOKUP($A189,Convert_Table,Tariff!$Y$54),C189*D189*F189*K189*L189))</f>
        <v>298980.864</v>
      </c>
      <c r="N189" s="1544" t="str">
        <f aca="false">IF(MONTH($A189)=12,SUM(M178:M189)," ")</f>
        <v> </v>
      </c>
      <c r="O189" s="397" t="n">
        <f aca="false">IF($A189&lt;Startops2,0,IF($A189&lt;Startops3,Hr_II,Hr_III))</f>
        <v>7000</v>
      </c>
      <c r="P189" s="397" t="n">
        <f aca="false">M189*O189/1000</f>
        <v>2092866.048</v>
      </c>
      <c r="Q189" s="1545" t="str">
        <f aca="false">IF(MONTH($A189)=12,SUM(P178:P189)," ")</f>
        <v> </v>
      </c>
      <c r="R189" s="397" t="n">
        <f aca="false">IF($A189&gt;Endyr,0,IF($A189&lt;Assm!$A$55,P189,Assm!$F$55*$D189))</f>
        <v>1828160.87671233</v>
      </c>
      <c r="S189" s="1544" t="str">
        <f aca="false">IF(MONTH($A189)=12,SUM(R178:R189)," ")</f>
        <v> </v>
      </c>
      <c r="T189" s="397" t="n">
        <f aca="false">MAX(P189,R189)</f>
        <v>2092866.048</v>
      </c>
      <c r="U189" s="1546" t="str">
        <f aca="false">IF(MONTH($A189)=12,SUM(T178:T189)," ")</f>
        <v> </v>
      </c>
    </row>
    <row r="190" customFormat="false" ht="12.75" hidden="false" customHeight="false" outlineLevel="0" collapsed="false">
      <c r="A190" s="1538" t="n">
        <f aca="false">EDATE(A189,1)</f>
        <v>41671</v>
      </c>
      <c r="C190" s="1539" t="n">
        <f aca="false">IF($A190&gt;Endyr,0,VLOOKUP($A190,Capacity_Table,Tariff!$R$18))</f>
        <v>480</v>
      </c>
      <c r="D190" s="1540" t="n">
        <f aca="false">A191-A190</f>
        <v>28</v>
      </c>
      <c r="E190" s="1540" t="str">
        <f aca="false">IF(MONTH($A190)=12,SUM(D179:D190)," ")</f>
        <v> </v>
      </c>
      <c r="F190" s="1545" t="n">
        <f aca="false">F189</f>
        <v>24</v>
      </c>
      <c r="G190" s="1334" t="n">
        <f aca="false">IF(I190=0,0,I190/($C190*$D190*$F190*H190))</f>
        <v>0</v>
      </c>
      <c r="H190" s="1542" t="n">
        <f aca="false">IF(Avail_LDs_Switch=1,VLOOKUP('Plant Operations'!A190,RAC_AvailFactor_Table,RAC_LDs!$G$258),IF($A190&lt;Startops2,Tariff!$T$11,0))</f>
        <v>0</v>
      </c>
      <c r="I190" s="1543" t="n">
        <f aca="false">IF(OR($A190&lt;Startops1,$A190&gt;=Startops2),0,IF(AND($A190&gt;=DieselOps_2,$A190&lt;Startops2),VLOOKUP($A190,Diesel_Table,Tariff!$Y$41),VLOOKUP($A190,OA_Table,Tariff!$Y$26)))</f>
        <v>0</v>
      </c>
      <c r="J190" s="1544" t="str">
        <f aca="false">IF(MONTH($A190)=12,SUM(I179:I190)," ")</f>
        <v> </v>
      </c>
      <c r="K190" s="1334" t="n">
        <f aca="false">IF(OR($A190&lt;Startops2,$A190&gt;=Endyr),0,VLOOKUP($A190,Capacity_Table,Tariff!$S$18))</f>
        <v>0.91</v>
      </c>
      <c r="L190" s="306" t="n">
        <f aca="false">IF(OR($A190&lt;Startops2,$A190&gt;=Endyr),0,VLOOKUP($A190,Capacity_Table,Tariff!$T$18))</f>
        <v>0.92</v>
      </c>
      <c r="M190" s="397" t="n">
        <f aca="false">IF($A190&lt;Startops2,0,IF($A190&lt;Startops3,VLOOKUP($A190,Convert_Table,Tariff!$Y$54),C190*D190*F190*K190*L190))</f>
        <v>270047.232</v>
      </c>
      <c r="N190" s="1544" t="str">
        <f aca="false">IF(MONTH($A190)=12,SUM(M179:M190)," ")</f>
        <v> </v>
      </c>
      <c r="O190" s="397" t="n">
        <f aca="false">IF($A190&lt;Startops2,0,IF($A190&lt;Startops3,Hr_II,Hr_III))</f>
        <v>7000</v>
      </c>
      <c r="P190" s="397" t="n">
        <f aca="false">M190*O190/1000</f>
        <v>1890330.624</v>
      </c>
      <c r="Q190" s="1545" t="str">
        <f aca="false">IF(MONTH($A190)=12,SUM(P179:P190)," ")</f>
        <v> </v>
      </c>
      <c r="R190" s="397" t="n">
        <f aca="false">IF($A190&gt;Endyr,0,IF($A190&lt;Assm!$A$55,P190,Assm!$F$55*$D190))</f>
        <v>1651242.08219178</v>
      </c>
      <c r="S190" s="1544" t="str">
        <f aca="false">IF(MONTH($A190)=12,SUM(R179:R190)," ")</f>
        <v> </v>
      </c>
      <c r="T190" s="397" t="n">
        <f aca="false">MAX(P190,R190)</f>
        <v>1890330.624</v>
      </c>
      <c r="U190" s="1546" t="str">
        <f aca="false">IF(MONTH($A190)=12,SUM(T179:T190)," ")</f>
        <v> </v>
      </c>
    </row>
    <row r="191" customFormat="false" ht="12.75" hidden="false" customHeight="false" outlineLevel="0" collapsed="false">
      <c r="A191" s="1538" t="n">
        <f aca="false">EDATE(A190,1)</f>
        <v>41699</v>
      </c>
      <c r="C191" s="1539" t="n">
        <f aca="false">IF($A191&gt;Endyr,0,VLOOKUP($A191,Capacity_Table,Tariff!$R$18))</f>
        <v>480</v>
      </c>
      <c r="D191" s="1540" t="n">
        <f aca="false">A192-A191</f>
        <v>31</v>
      </c>
      <c r="E191" s="1540" t="str">
        <f aca="false">IF(MONTH($A191)=12,SUM(D180:D191)," ")</f>
        <v> </v>
      </c>
      <c r="F191" s="1545" t="n">
        <f aca="false">F190</f>
        <v>24</v>
      </c>
      <c r="G191" s="1334" t="n">
        <f aca="false">IF(I191=0,0,I191/($C191*$D191*$F191*H191))</f>
        <v>0</v>
      </c>
      <c r="H191" s="1542" t="n">
        <f aca="false">IF(Avail_LDs_Switch=1,VLOOKUP('Plant Operations'!A191,RAC_AvailFactor_Table,RAC_LDs!$G$258),IF($A191&lt;Startops2,Tariff!$T$11,0))</f>
        <v>0</v>
      </c>
      <c r="I191" s="1543" t="n">
        <f aca="false">IF(OR($A191&lt;Startops1,$A191&gt;=Startops2),0,IF(AND($A191&gt;=DieselOps_2,$A191&lt;Startops2),VLOOKUP($A191,Diesel_Table,Tariff!$Y$41),VLOOKUP($A191,OA_Table,Tariff!$Y$26)))</f>
        <v>0</v>
      </c>
      <c r="J191" s="1544" t="str">
        <f aca="false">IF(MONTH($A191)=12,SUM(I180:I191)," ")</f>
        <v> </v>
      </c>
      <c r="K191" s="1334" t="n">
        <f aca="false">IF(OR($A191&lt;Startops2,$A191&gt;=Endyr),0,VLOOKUP($A191,Capacity_Table,Tariff!$S$18))</f>
        <v>0.91</v>
      </c>
      <c r="L191" s="306" t="n">
        <f aca="false">IF(OR($A191&lt;Startops2,$A191&gt;=Endyr),0,VLOOKUP($A191,Capacity_Table,Tariff!$T$18))</f>
        <v>0.92</v>
      </c>
      <c r="M191" s="397" t="n">
        <f aca="false">IF($A191&lt;Startops2,0,IF($A191&lt;Startops3,VLOOKUP($A191,Convert_Table,Tariff!$Y$54),C191*D191*F191*K191*L191))</f>
        <v>298980.864</v>
      </c>
      <c r="N191" s="1544" t="str">
        <f aca="false">IF(MONTH($A191)=12,SUM(M180:M191)," ")</f>
        <v> </v>
      </c>
      <c r="O191" s="397" t="n">
        <f aca="false">IF($A191&lt;Startops2,0,IF($A191&lt;Startops3,Hr_II,Hr_III))</f>
        <v>7000</v>
      </c>
      <c r="P191" s="397" t="n">
        <f aca="false">M191*O191/1000</f>
        <v>2092866.048</v>
      </c>
      <c r="Q191" s="1545" t="str">
        <f aca="false">IF(MONTH($A191)=12,SUM(P180:P191)," ")</f>
        <v> </v>
      </c>
      <c r="R191" s="397" t="n">
        <f aca="false">IF($A191&gt;Endyr,0,IF($A191&lt;Assm!$A$55,P191,Assm!$F$55*$D191))</f>
        <v>1828160.87671233</v>
      </c>
      <c r="S191" s="1544" t="str">
        <f aca="false">IF(MONTH($A191)=12,SUM(R180:R191)," ")</f>
        <v> </v>
      </c>
      <c r="T191" s="397" t="n">
        <f aca="false">MAX(P191,R191)</f>
        <v>2092866.048</v>
      </c>
      <c r="U191" s="1546" t="str">
        <f aca="false">IF(MONTH($A191)=12,SUM(T180:T191)," ")</f>
        <v> </v>
      </c>
    </row>
    <row r="192" customFormat="false" ht="12.75" hidden="false" customHeight="false" outlineLevel="0" collapsed="false">
      <c r="A192" s="1538" t="n">
        <f aca="false">EDATE(A191,1)</f>
        <v>41730</v>
      </c>
      <c r="C192" s="1539" t="n">
        <f aca="false">IF($A192&gt;Endyr,0,VLOOKUP($A192,Capacity_Table,Tariff!$R$18))</f>
        <v>480</v>
      </c>
      <c r="D192" s="1540" t="n">
        <f aca="false">A193-A192</f>
        <v>30</v>
      </c>
      <c r="E192" s="1540" t="str">
        <f aca="false">IF(MONTH($A192)=12,SUM(D181:D192)," ")</f>
        <v> </v>
      </c>
      <c r="F192" s="1545" t="n">
        <f aca="false">F191</f>
        <v>24</v>
      </c>
      <c r="G192" s="1334" t="n">
        <f aca="false">IF(I192=0,0,I192/($C192*$D192*$F192*H192))</f>
        <v>0</v>
      </c>
      <c r="H192" s="1542" t="n">
        <f aca="false">IF(Avail_LDs_Switch=1,VLOOKUP('Plant Operations'!A192,RAC_AvailFactor_Table,RAC_LDs!$G$258),IF($A192&lt;Startops2,Tariff!$T$11,0))</f>
        <v>0</v>
      </c>
      <c r="I192" s="1543" t="n">
        <f aca="false">IF(OR($A192&lt;Startops1,$A192&gt;=Startops2),0,IF(AND($A192&gt;=DieselOps_2,$A192&lt;Startops2),VLOOKUP($A192,Diesel_Table,Tariff!$Y$41),VLOOKUP($A192,OA_Table,Tariff!$Y$26)))</f>
        <v>0</v>
      </c>
      <c r="J192" s="1544" t="str">
        <f aca="false">IF(MONTH($A192)=12,SUM(I181:I192)," ")</f>
        <v> </v>
      </c>
      <c r="K192" s="1334" t="n">
        <f aca="false">IF(OR($A192&lt;Startops2,$A192&gt;=Endyr),0,VLOOKUP($A192,Capacity_Table,Tariff!$S$18))</f>
        <v>0.91</v>
      </c>
      <c r="L192" s="306" t="n">
        <f aca="false">IF(OR($A192&lt;Startops2,$A192&gt;=Endyr),0,VLOOKUP($A192,Capacity_Table,Tariff!$T$18))</f>
        <v>0.92</v>
      </c>
      <c r="M192" s="397" t="n">
        <f aca="false">IF($A192&lt;Startops2,0,IF($A192&lt;Startops3,VLOOKUP($A192,Convert_Table,Tariff!$Y$54),C192*D192*F192*K192*L192))</f>
        <v>289336.32</v>
      </c>
      <c r="N192" s="1544" t="str">
        <f aca="false">IF(MONTH($A192)=12,SUM(M181:M192)," ")</f>
        <v> </v>
      </c>
      <c r="O192" s="397" t="n">
        <f aca="false">IF($A192&lt;Startops2,0,IF($A192&lt;Startops3,Hr_II,Hr_III))</f>
        <v>7000</v>
      </c>
      <c r="P192" s="397" t="n">
        <f aca="false">M192*O192/1000</f>
        <v>2025354.24</v>
      </c>
      <c r="Q192" s="1545" t="str">
        <f aca="false">IF(MONTH($A192)=12,SUM(P181:P192)," ")</f>
        <v> </v>
      </c>
      <c r="R192" s="397" t="n">
        <f aca="false">IF($A192&gt;Endyr,0,IF($A192&lt;Assm!$A$55,P192,Assm!$F$55*$D192))</f>
        <v>1769187.94520548</v>
      </c>
      <c r="S192" s="1544" t="str">
        <f aca="false">IF(MONTH($A192)=12,SUM(R181:R192)," ")</f>
        <v> </v>
      </c>
      <c r="T192" s="397" t="n">
        <f aca="false">MAX(P192,R192)</f>
        <v>2025354.24</v>
      </c>
      <c r="U192" s="1546" t="str">
        <f aca="false">IF(MONTH($A192)=12,SUM(T181:T192)," ")</f>
        <v> </v>
      </c>
    </row>
    <row r="193" customFormat="false" ht="12.75" hidden="false" customHeight="false" outlineLevel="0" collapsed="false">
      <c r="A193" s="1538" t="n">
        <f aca="false">EDATE(A192,1)</f>
        <v>41760</v>
      </c>
      <c r="C193" s="1539" t="n">
        <f aca="false">IF($A193&gt;Endyr,0,VLOOKUP($A193,Capacity_Table,Tariff!$R$18))</f>
        <v>480</v>
      </c>
      <c r="D193" s="1540" t="n">
        <f aca="false">A194-A193</f>
        <v>31</v>
      </c>
      <c r="E193" s="1540" t="str">
        <f aca="false">IF(MONTH($A193)=12,SUM(D182:D193)," ")</f>
        <v> </v>
      </c>
      <c r="F193" s="1545" t="n">
        <f aca="false">F192</f>
        <v>24</v>
      </c>
      <c r="G193" s="1334" t="n">
        <f aca="false">IF(I193=0,0,I193/($C193*$D193*$F193*H193))</f>
        <v>0</v>
      </c>
      <c r="H193" s="1542" t="n">
        <f aca="false">IF(Avail_LDs_Switch=1,VLOOKUP('Plant Operations'!A193,RAC_AvailFactor_Table,RAC_LDs!$G$258),IF($A193&lt;Startops2,Tariff!$T$11,0))</f>
        <v>0</v>
      </c>
      <c r="I193" s="1543" t="n">
        <f aca="false">IF(OR($A193&lt;Startops1,$A193&gt;=Startops2),0,IF(AND($A193&gt;=DieselOps_2,$A193&lt;Startops2),VLOOKUP($A193,Diesel_Table,Tariff!$Y$41),VLOOKUP($A193,OA_Table,Tariff!$Y$26)))</f>
        <v>0</v>
      </c>
      <c r="J193" s="1544" t="str">
        <f aca="false">IF(MONTH($A193)=12,SUM(I182:I193)," ")</f>
        <v> </v>
      </c>
      <c r="K193" s="1334" t="n">
        <f aca="false">IF(OR($A193&lt;Startops2,$A193&gt;=Endyr),0,VLOOKUP($A193,Capacity_Table,Tariff!$S$18))</f>
        <v>0.91</v>
      </c>
      <c r="L193" s="306" t="n">
        <f aca="false">IF(OR($A193&lt;Startops2,$A193&gt;=Endyr),0,VLOOKUP($A193,Capacity_Table,Tariff!$T$18))</f>
        <v>0.92</v>
      </c>
      <c r="M193" s="397" t="n">
        <f aca="false">IF($A193&lt;Startops2,0,IF($A193&lt;Startops3,VLOOKUP($A193,Convert_Table,Tariff!$Y$54),C193*D193*F193*K193*L193))</f>
        <v>298980.864</v>
      </c>
      <c r="N193" s="1544" t="str">
        <f aca="false">IF(MONTH($A193)=12,SUM(M182:M193)," ")</f>
        <v> </v>
      </c>
      <c r="O193" s="397" t="n">
        <f aca="false">IF($A193&lt;Startops2,0,IF($A193&lt;Startops3,Hr_II,Hr_III))</f>
        <v>7000</v>
      </c>
      <c r="P193" s="397" t="n">
        <f aca="false">M193*O193/1000</f>
        <v>2092866.048</v>
      </c>
      <c r="Q193" s="1545" t="str">
        <f aca="false">IF(MONTH($A193)=12,SUM(P182:P193)," ")</f>
        <v> </v>
      </c>
      <c r="R193" s="397" t="n">
        <f aca="false">IF($A193&gt;Endyr,0,IF($A193&lt;Assm!$A$55,P193,Assm!$F$55*$D193))</f>
        <v>1828160.87671233</v>
      </c>
      <c r="S193" s="1544" t="str">
        <f aca="false">IF(MONTH($A193)=12,SUM(R182:R193)," ")</f>
        <v> </v>
      </c>
      <c r="T193" s="397" t="n">
        <f aca="false">MAX(P193,R193)</f>
        <v>2092866.048</v>
      </c>
      <c r="U193" s="1546" t="str">
        <f aca="false">IF(MONTH($A193)=12,SUM(T182:T193)," ")</f>
        <v> </v>
      </c>
    </row>
    <row r="194" customFormat="false" ht="12.75" hidden="false" customHeight="false" outlineLevel="0" collapsed="false">
      <c r="A194" s="1538" t="n">
        <f aca="false">EDATE(A193,1)</f>
        <v>41791</v>
      </c>
      <c r="C194" s="1539" t="n">
        <f aca="false">IF($A194&gt;Endyr,0,VLOOKUP($A194,Capacity_Table,Tariff!$R$18))</f>
        <v>480</v>
      </c>
      <c r="D194" s="1540" t="n">
        <f aca="false">A195-A194</f>
        <v>30</v>
      </c>
      <c r="E194" s="1540" t="str">
        <f aca="false">IF(MONTH($A194)=12,SUM(D183:D194)," ")</f>
        <v> </v>
      </c>
      <c r="F194" s="1545" t="n">
        <f aca="false">F193</f>
        <v>24</v>
      </c>
      <c r="G194" s="1334" t="n">
        <f aca="false">IF(I194=0,0,I194/($C194*$D194*$F194*H194))</f>
        <v>0</v>
      </c>
      <c r="H194" s="1542" t="n">
        <f aca="false">IF(Avail_LDs_Switch=1,VLOOKUP('Plant Operations'!A194,RAC_AvailFactor_Table,RAC_LDs!$G$258),IF($A194&lt;Startops2,Tariff!$T$11,0))</f>
        <v>0</v>
      </c>
      <c r="I194" s="1543" t="n">
        <f aca="false">IF(OR($A194&lt;Startops1,$A194&gt;=Startops2),0,IF(AND($A194&gt;=DieselOps_2,$A194&lt;Startops2),VLOOKUP($A194,Diesel_Table,Tariff!$Y$41),VLOOKUP($A194,OA_Table,Tariff!$Y$26)))</f>
        <v>0</v>
      </c>
      <c r="J194" s="1544" t="str">
        <f aca="false">IF(MONTH($A194)=12,SUM(I183:I194)," ")</f>
        <v> </v>
      </c>
      <c r="K194" s="1334" t="n">
        <f aca="false">IF(OR($A194&lt;Startops2,$A194&gt;=Endyr),0,VLOOKUP($A194,Capacity_Table,Tariff!$S$18))</f>
        <v>0.91</v>
      </c>
      <c r="L194" s="306" t="n">
        <f aca="false">IF(OR($A194&lt;Startops2,$A194&gt;=Endyr),0,VLOOKUP($A194,Capacity_Table,Tariff!$T$18))</f>
        <v>0.92</v>
      </c>
      <c r="M194" s="397" t="n">
        <f aca="false">IF($A194&lt;Startops2,0,IF($A194&lt;Startops3,VLOOKUP($A194,Convert_Table,Tariff!$Y$54),C194*D194*F194*K194*L194))</f>
        <v>289336.32</v>
      </c>
      <c r="N194" s="1544" t="str">
        <f aca="false">IF(MONTH($A194)=12,SUM(M183:M194)," ")</f>
        <v> </v>
      </c>
      <c r="O194" s="397" t="n">
        <f aca="false">IF($A194&lt;Startops2,0,IF($A194&lt;Startops3,Hr_II,Hr_III))</f>
        <v>7000</v>
      </c>
      <c r="P194" s="397" t="n">
        <f aca="false">M194*O194/1000</f>
        <v>2025354.24</v>
      </c>
      <c r="Q194" s="1545" t="str">
        <f aca="false">IF(MONTH($A194)=12,SUM(P183:P194)," ")</f>
        <v> </v>
      </c>
      <c r="R194" s="397" t="n">
        <f aca="false">IF($A194&gt;Endyr,0,IF($A194&lt;Assm!$A$55,P194,Assm!$F$55*$D194))</f>
        <v>1769187.94520548</v>
      </c>
      <c r="S194" s="1544" t="str">
        <f aca="false">IF(MONTH($A194)=12,SUM(R183:R194)," ")</f>
        <v> </v>
      </c>
      <c r="T194" s="397" t="n">
        <f aca="false">MAX(P194,R194)</f>
        <v>2025354.24</v>
      </c>
      <c r="U194" s="1546" t="str">
        <f aca="false">IF(MONTH($A194)=12,SUM(T183:T194)," ")</f>
        <v> </v>
      </c>
    </row>
    <row r="195" customFormat="false" ht="12.75" hidden="false" customHeight="false" outlineLevel="0" collapsed="false">
      <c r="A195" s="1538" t="n">
        <f aca="false">EDATE(A194,1)</f>
        <v>41821</v>
      </c>
      <c r="C195" s="1539" t="n">
        <f aca="false">IF($A195&gt;Endyr,0,VLOOKUP($A195,Capacity_Table,Tariff!$R$18))</f>
        <v>480</v>
      </c>
      <c r="D195" s="1540" t="n">
        <f aca="false">A196-A195</f>
        <v>31</v>
      </c>
      <c r="E195" s="1540" t="str">
        <f aca="false">IF(MONTH($A195)=12,SUM(D184:D195)," ")</f>
        <v> </v>
      </c>
      <c r="F195" s="1545" t="n">
        <f aca="false">F194</f>
        <v>24</v>
      </c>
      <c r="G195" s="1334" t="n">
        <f aca="false">IF(I195=0,0,I195/($C195*$D195*$F195*H195))</f>
        <v>0</v>
      </c>
      <c r="H195" s="1542" t="n">
        <f aca="false">IF(Avail_LDs_Switch=1,VLOOKUP('Plant Operations'!A195,RAC_AvailFactor_Table,RAC_LDs!$G$258),IF($A195&lt;Startops2,Tariff!$T$11,0))</f>
        <v>0</v>
      </c>
      <c r="I195" s="1543" t="n">
        <f aca="false">IF(OR($A195&lt;Startops1,$A195&gt;=Startops2),0,IF(AND($A195&gt;=DieselOps_2,$A195&lt;Startops2),VLOOKUP($A195,Diesel_Table,Tariff!$Y$41),VLOOKUP($A195,OA_Table,Tariff!$Y$26)))</f>
        <v>0</v>
      </c>
      <c r="J195" s="1544" t="str">
        <f aca="false">IF(MONTH($A195)=12,SUM(I184:I195)," ")</f>
        <v> </v>
      </c>
      <c r="K195" s="1334" t="n">
        <f aca="false">IF(OR($A195&lt;Startops2,$A195&gt;=Endyr),0,VLOOKUP($A195,Capacity_Table,Tariff!$S$18))</f>
        <v>0.91</v>
      </c>
      <c r="L195" s="306" t="n">
        <f aca="false">IF(OR($A195&lt;Startops2,$A195&gt;=Endyr),0,VLOOKUP($A195,Capacity_Table,Tariff!$T$18))</f>
        <v>0.92</v>
      </c>
      <c r="M195" s="397" t="n">
        <f aca="false">IF($A195&lt;Startops2,0,IF($A195&lt;Startops3,VLOOKUP($A195,Convert_Table,Tariff!$Y$54),C195*D195*F195*K195*L195))</f>
        <v>298980.864</v>
      </c>
      <c r="N195" s="1544" t="str">
        <f aca="false">IF(MONTH($A195)=12,SUM(M184:M195)," ")</f>
        <v> </v>
      </c>
      <c r="O195" s="397" t="n">
        <f aca="false">IF($A195&lt;Startops2,0,IF($A195&lt;Startops3,Hr_II,Hr_III))</f>
        <v>7000</v>
      </c>
      <c r="P195" s="397" t="n">
        <f aca="false">M195*O195/1000</f>
        <v>2092866.048</v>
      </c>
      <c r="Q195" s="1545" t="str">
        <f aca="false">IF(MONTH($A195)=12,SUM(P184:P195)," ")</f>
        <v> </v>
      </c>
      <c r="R195" s="397" t="n">
        <f aca="false">IF($A195&gt;Endyr,0,IF($A195&lt;Assm!$A$55,P195,Assm!$F$55*$D195))</f>
        <v>1828160.87671233</v>
      </c>
      <c r="S195" s="1544" t="str">
        <f aca="false">IF(MONTH($A195)=12,SUM(R184:R195)," ")</f>
        <v> </v>
      </c>
      <c r="T195" s="397" t="n">
        <f aca="false">MAX(P195,R195)</f>
        <v>2092866.048</v>
      </c>
      <c r="U195" s="1546" t="str">
        <f aca="false">IF(MONTH($A195)=12,SUM(T184:T195)," ")</f>
        <v> </v>
      </c>
    </row>
    <row r="196" customFormat="false" ht="12.75" hidden="false" customHeight="false" outlineLevel="0" collapsed="false">
      <c r="A196" s="1538" t="n">
        <f aca="false">EDATE(A195,1)</f>
        <v>41852</v>
      </c>
      <c r="C196" s="1539" t="n">
        <f aca="false">IF($A196&gt;Endyr,0,VLOOKUP($A196,Capacity_Table,Tariff!$R$18))</f>
        <v>480</v>
      </c>
      <c r="D196" s="1540" t="n">
        <f aca="false">A197-A196</f>
        <v>31</v>
      </c>
      <c r="E196" s="1540" t="str">
        <f aca="false">IF(MONTH($A196)=12,SUM(D185:D196)," ")</f>
        <v> </v>
      </c>
      <c r="F196" s="1545" t="n">
        <f aca="false">F195</f>
        <v>24</v>
      </c>
      <c r="G196" s="1334" t="n">
        <f aca="false">IF(I196=0,0,I196/($C196*$D196*$F196*H196))</f>
        <v>0</v>
      </c>
      <c r="H196" s="1542" t="n">
        <f aca="false">IF(Avail_LDs_Switch=1,VLOOKUP('Plant Operations'!A196,RAC_AvailFactor_Table,RAC_LDs!$G$258),IF($A196&lt;Startops2,Tariff!$T$11,0))</f>
        <v>0</v>
      </c>
      <c r="I196" s="1543" t="n">
        <f aca="false">IF(OR($A196&lt;Startops1,$A196&gt;=Startops2),0,IF(AND($A196&gt;=DieselOps_2,$A196&lt;Startops2),VLOOKUP($A196,Diesel_Table,Tariff!$Y$41),VLOOKUP($A196,OA_Table,Tariff!$Y$26)))</f>
        <v>0</v>
      </c>
      <c r="J196" s="1544" t="str">
        <f aca="false">IF(MONTH($A196)=12,SUM(I185:I196)," ")</f>
        <v> </v>
      </c>
      <c r="K196" s="1334" t="n">
        <f aca="false">IF(OR($A196&lt;Startops2,$A196&gt;=Endyr),0,VLOOKUP($A196,Capacity_Table,Tariff!$S$18))</f>
        <v>0.91</v>
      </c>
      <c r="L196" s="306" t="n">
        <f aca="false">IF(OR($A196&lt;Startops2,$A196&gt;=Endyr),0,VLOOKUP($A196,Capacity_Table,Tariff!$T$18))</f>
        <v>0.92</v>
      </c>
      <c r="M196" s="397" t="n">
        <f aca="false">IF($A196&lt;Startops2,0,IF($A196&lt;Startops3,VLOOKUP($A196,Convert_Table,Tariff!$Y$54),C196*D196*F196*K196*L196))</f>
        <v>298980.864</v>
      </c>
      <c r="N196" s="1544" t="str">
        <f aca="false">IF(MONTH($A196)=12,SUM(M185:M196)," ")</f>
        <v> </v>
      </c>
      <c r="O196" s="397" t="n">
        <f aca="false">IF($A196&lt;Startops2,0,IF($A196&lt;Startops3,Hr_II,Hr_III))</f>
        <v>7000</v>
      </c>
      <c r="P196" s="397" t="n">
        <f aca="false">M196*O196/1000</f>
        <v>2092866.048</v>
      </c>
      <c r="Q196" s="1545" t="str">
        <f aca="false">IF(MONTH($A196)=12,SUM(P185:P196)," ")</f>
        <v> </v>
      </c>
      <c r="R196" s="397" t="n">
        <f aca="false">IF($A196&gt;Endyr,0,IF($A196&lt;Assm!$A$55,P196,Assm!$F$55*$D196))</f>
        <v>1828160.87671233</v>
      </c>
      <c r="S196" s="1544" t="str">
        <f aca="false">IF(MONTH($A196)=12,SUM(R185:R196)," ")</f>
        <v> </v>
      </c>
      <c r="T196" s="397" t="n">
        <f aca="false">MAX(P196,R196)</f>
        <v>2092866.048</v>
      </c>
      <c r="U196" s="1546" t="str">
        <f aca="false">IF(MONTH($A196)=12,SUM(T185:T196)," ")</f>
        <v> </v>
      </c>
    </row>
    <row r="197" customFormat="false" ht="12.75" hidden="false" customHeight="false" outlineLevel="0" collapsed="false">
      <c r="A197" s="1538" t="n">
        <f aca="false">EDATE(A196,1)</f>
        <v>41883</v>
      </c>
      <c r="C197" s="1539" t="n">
        <f aca="false">IF($A197&gt;Endyr,0,VLOOKUP($A197,Capacity_Table,Tariff!$R$18))</f>
        <v>480</v>
      </c>
      <c r="D197" s="1540" t="n">
        <f aca="false">A198-A197</f>
        <v>30</v>
      </c>
      <c r="E197" s="1540" t="str">
        <f aca="false">IF(MONTH($A197)=12,SUM(D186:D197)," ")</f>
        <v> </v>
      </c>
      <c r="F197" s="1545" t="n">
        <f aca="false">F196</f>
        <v>24</v>
      </c>
      <c r="G197" s="1334" t="n">
        <f aca="false">IF(I197=0,0,I197/($C197*$D197*$F197*H197))</f>
        <v>0</v>
      </c>
      <c r="H197" s="1542" t="n">
        <f aca="false">IF(Avail_LDs_Switch=1,VLOOKUP('Plant Operations'!A197,RAC_AvailFactor_Table,RAC_LDs!$G$258),IF($A197&lt;Startops2,Tariff!$T$11,0))</f>
        <v>0</v>
      </c>
      <c r="I197" s="1543" t="n">
        <f aca="false">IF(OR($A197&lt;Startops1,$A197&gt;=Startops2),0,IF(AND($A197&gt;=DieselOps_2,$A197&lt;Startops2),VLOOKUP($A197,Diesel_Table,Tariff!$Y$41),VLOOKUP($A197,OA_Table,Tariff!$Y$26)))</f>
        <v>0</v>
      </c>
      <c r="J197" s="1544" t="str">
        <f aca="false">IF(MONTH($A197)=12,SUM(I186:I197)," ")</f>
        <v> </v>
      </c>
      <c r="K197" s="1334" t="n">
        <f aca="false">IF(OR($A197&lt;Startops2,$A197&gt;=Endyr),0,VLOOKUP($A197,Capacity_Table,Tariff!$S$18))</f>
        <v>0.91</v>
      </c>
      <c r="L197" s="306" t="n">
        <f aca="false">IF(OR($A197&lt;Startops2,$A197&gt;=Endyr),0,VLOOKUP($A197,Capacity_Table,Tariff!$T$18))</f>
        <v>0.92</v>
      </c>
      <c r="M197" s="397" t="n">
        <f aca="false">IF($A197&lt;Startops2,0,IF($A197&lt;Startops3,VLOOKUP($A197,Convert_Table,Tariff!$Y$54),C197*D197*F197*K197*L197))</f>
        <v>289336.32</v>
      </c>
      <c r="N197" s="1544" t="str">
        <f aca="false">IF(MONTH($A197)=12,SUM(M186:M197)," ")</f>
        <v> </v>
      </c>
      <c r="O197" s="397" t="n">
        <f aca="false">IF($A197&lt;Startops2,0,IF($A197&lt;Startops3,Hr_II,Hr_III))</f>
        <v>7000</v>
      </c>
      <c r="P197" s="397" t="n">
        <f aca="false">M197*O197/1000</f>
        <v>2025354.24</v>
      </c>
      <c r="Q197" s="1545" t="str">
        <f aca="false">IF(MONTH($A197)=12,SUM(P186:P197)," ")</f>
        <v> </v>
      </c>
      <c r="R197" s="397" t="n">
        <f aca="false">IF($A197&gt;Endyr,0,IF($A197&lt;Assm!$A$55,P197,Assm!$F$55*$D197))</f>
        <v>1769187.94520548</v>
      </c>
      <c r="S197" s="1544" t="str">
        <f aca="false">IF(MONTH($A197)=12,SUM(R186:R197)," ")</f>
        <v> </v>
      </c>
      <c r="T197" s="397" t="n">
        <f aca="false">MAX(P197,R197)</f>
        <v>2025354.24</v>
      </c>
      <c r="U197" s="1546" t="str">
        <f aca="false">IF(MONTH($A197)=12,SUM(T186:T197)," ")</f>
        <v> </v>
      </c>
    </row>
    <row r="198" customFormat="false" ht="12.75" hidden="false" customHeight="false" outlineLevel="0" collapsed="false">
      <c r="A198" s="1538" t="n">
        <f aca="false">EDATE(A197,1)</f>
        <v>41913</v>
      </c>
      <c r="C198" s="1539" t="n">
        <f aca="false">IF($A198&gt;Endyr,0,VLOOKUP($A198,Capacity_Table,Tariff!$R$18))</f>
        <v>480</v>
      </c>
      <c r="D198" s="1540" t="n">
        <f aca="false">A199-A198</f>
        <v>31</v>
      </c>
      <c r="E198" s="1540" t="str">
        <f aca="false">IF(MONTH($A198)=12,SUM(D187:D198)," ")</f>
        <v> </v>
      </c>
      <c r="F198" s="1545" t="n">
        <f aca="false">F197</f>
        <v>24</v>
      </c>
      <c r="G198" s="1334" t="n">
        <f aca="false">IF(I198=0,0,I198/($C198*$D198*$F198*H198))</f>
        <v>0</v>
      </c>
      <c r="H198" s="1542" t="n">
        <f aca="false">IF(Avail_LDs_Switch=1,VLOOKUP('Plant Operations'!A198,RAC_AvailFactor_Table,RAC_LDs!$G$258),IF($A198&lt;Startops2,Tariff!$T$11,0))</f>
        <v>0</v>
      </c>
      <c r="I198" s="1543" t="n">
        <f aca="false">IF(OR($A198&lt;Startops1,$A198&gt;=Startops2),0,IF(AND($A198&gt;=DieselOps_2,$A198&lt;Startops2),VLOOKUP($A198,Diesel_Table,Tariff!$Y$41),VLOOKUP($A198,OA_Table,Tariff!$Y$26)))</f>
        <v>0</v>
      </c>
      <c r="J198" s="1544" t="str">
        <f aca="false">IF(MONTH($A198)=12,SUM(I187:I198)," ")</f>
        <v> </v>
      </c>
      <c r="K198" s="1334" t="n">
        <f aca="false">IF(OR($A198&lt;Startops2,$A198&gt;=Endyr),0,VLOOKUP($A198,Capacity_Table,Tariff!$S$18))</f>
        <v>0.91</v>
      </c>
      <c r="L198" s="306" t="n">
        <f aca="false">IF(OR($A198&lt;Startops2,$A198&gt;=Endyr),0,VLOOKUP($A198,Capacity_Table,Tariff!$T$18))</f>
        <v>0.92</v>
      </c>
      <c r="M198" s="397" t="n">
        <f aca="false">IF($A198&lt;Startops2,0,IF($A198&lt;Startops3,VLOOKUP($A198,Convert_Table,Tariff!$Y$54),C198*D198*F198*K198*L198))</f>
        <v>298980.864</v>
      </c>
      <c r="N198" s="1544" t="str">
        <f aca="false">IF(MONTH($A198)=12,SUM(M187:M198)," ")</f>
        <v> </v>
      </c>
      <c r="O198" s="397" t="n">
        <f aca="false">IF($A198&lt;Startops2,0,IF($A198&lt;Startops3,Hr_II,Hr_III))</f>
        <v>7000</v>
      </c>
      <c r="P198" s="397" t="n">
        <f aca="false">M198*O198/1000</f>
        <v>2092866.048</v>
      </c>
      <c r="Q198" s="1545" t="str">
        <f aca="false">IF(MONTH($A198)=12,SUM(P187:P198)," ")</f>
        <v> </v>
      </c>
      <c r="R198" s="397" t="n">
        <f aca="false">IF($A198&gt;Endyr,0,IF($A198&lt;Assm!$A$55,P198,Assm!$F$55*$D198))</f>
        <v>1828160.87671233</v>
      </c>
      <c r="S198" s="1544" t="str">
        <f aca="false">IF(MONTH($A198)=12,SUM(R187:R198)," ")</f>
        <v> </v>
      </c>
      <c r="T198" s="397" t="n">
        <f aca="false">MAX(P198,R198)</f>
        <v>2092866.048</v>
      </c>
      <c r="U198" s="1546" t="str">
        <f aca="false">IF(MONTH($A198)=12,SUM(T187:T198)," ")</f>
        <v> </v>
      </c>
    </row>
    <row r="199" customFormat="false" ht="12.75" hidden="false" customHeight="false" outlineLevel="0" collapsed="false">
      <c r="A199" s="1538" t="n">
        <f aca="false">EDATE(A198,1)</f>
        <v>41944</v>
      </c>
      <c r="C199" s="1539" t="n">
        <f aca="false">IF($A199&gt;Endyr,0,VLOOKUP($A199,Capacity_Table,Tariff!$R$18))</f>
        <v>480</v>
      </c>
      <c r="D199" s="1540" t="n">
        <f aca="false">A200-A199</f>
        <v>30</v>
      </c>
      <c r="E199" s="1540" t="str">
        <f aca="false">IF(MONTH($A199)=12,SUM(D188:D199)," ")</f>
        <v> </v>
      </c>
      <c r="F199" s="1545" t="n">
        <f aca="false">F198</f>
        <v>24</v>
      </c>
      <c r="G199" s="1334" t="n">
        <f aca="false">IF(I199=0,0,I199/($C199*$D199*$F199*H199))</f>
        <v>0</v>
      </c>
      <c r="H199" s="1542" t="n">
        <f aca="false">IF(Avail_LDs_Switch=1,VLOOKUP('Plant Operations'!A199,RAC_AvailFactor_Table,RAC_LDs!$G$258),IF($A199&lt;Startops2,Tariff!$T$11,0))</f>
        <v>0</v>
      </c>
      <c r="I199" s="1543" t="n">
        <f aca="false">IF(OR($A199&lt;Startops1,$A199&gt;=Startops2),0,IF(AND($A199&gt;=DieselOps_2,$A199&lt;Startops2),VLOOKUP($A199,Diesel_Table,Tariff!$Y$41),VLOOKUP($A199,OA_Table,Tariff!$Y$26)))</f>
        <v>0</v>
      </c>
      <c r="J199" s="1544" t="str">
        <f aca="false">IF(MONTH($A199)=12,SUM(I188:I199)," ")</f>
        <v> </v>
      </c>
      <c r="K199" s="1334" t="n">
        <f aca="false">IF(OR($A199&lt;Startops2,$A199&gt;=Endyr),0,VLOOKUP($A199,Capacity_Table,Tariff!$S$18))</f>
        <v>0.91</v>
      </c>
      <c r="L199" s="306" t="n">
        <f aca="false">IF(OR($A199&lt;Startops2,$A199&gt;=Endyr),0,VLOOKUP($A199,Capacity_Table,Tariff!$T$18))</f>
        <v>0.92</v>
      </c>
      <c r="M199" s="397" t="n">
        <f aca="false">IF($A199&lt;Startops2,0,IF($A199&lt;Startops3,VLOOKUP($A199,Convert_Table,Tariff!$Y$54),C199*D199*F199*K199*L199))</f>
        <v>289336.32</v>
      </c>
      <c r="N199" s="1544" t="str">
        <f aca="false">IF(MONTH($A199)=12,SUM(M188:M199)," ")</f>
        <v> </v>
      </c>
      <c r="O199" s="397" t="n">
        <f aca="false">IF($A199&lt;Startops2,0,IF($A199&lt;Startops3,Hr_II,Hr_III))</f>
        <v>7000</v>
      </c>
      <c r="P199" s="397" t="n">
        <f aca="false">M199*O199/1000</f>
        <v>2025354.24</v>
      </c>
      <c r="Q199" s="1545" t="str">
        <f aca="false">IF(MONTH($A199)=12,SUM(P188:P199)," ")</f>
        <v> </v>
      </c>
      <c r="R199" s="397" t="n">
        <f aca="false">IF($A199&gt;Endyr,0,IF($A199&lt;Assm!$A$55,P199,Assm!$F$55*$D199))</f>
        <v>1769187.94520548</v>
      </c>
      <c r="S199" s="1544" t="str">
        <f aca="false">IF(MONTH($A199)=12,SUM(R188:R199)," ")</f>
        <v> </v>
      </c>
      <c r="T199" s="397" t="n">
        <f aca="false">MAX(P199,R199)</f>
        <v>2025354.24</v>
      </c>
      <c r="U199" s="1546" t="str">
        <f aca="false">IF(MONTH($A199)=12,SUM(T188:T199)," ")</f>
        <v> </v>
      </c>
    </row>
    <row r="200" customFormat="false" ht="12.75" hidden="false" customHeight="false" outlineLevel="0" collapsed="false">
      <c r="A200" s="1538" t="n">
        <f aca="false">EDATE(A199,1)</f>
        <v>41974</v>
      </c>
      <c r="C200" s="1539" t="n">
        <f aca="false">IF($A200&gt;Endyr,0,VLOOKUP($A200,Capacity_Table,Tariff!$R$18))</f>
        <v>480</v>
      </c>
      <c r="D200" s="1540" t="n">
        <f aca="false">A201-A200</f>
        <v>31</v>
      </c>
      <c r="E200" s="1540" t="n">
        <f aca="false">IF(MONTH($A200)=12,SUM(D189:D200)," ")</f>
        <v>365</v>
      </c>
      <c r="F200" s="1545" t="n">
        <f aca="false">F199</f>
        <v>24</v>
      </c>
      <c r="G200" s="1334" t="n">
        <f aca="false">IF(I200=0,0,I200/($C200*$D200*$F200*H200))</f>
        <v>0</v>
      </c>
      <c r="H200" s="1542" t="n">
        <f aca="false">IF(Avail_LDs_Switch=1,VLOOKUP('Plant Operations'!A200,RAC_AvailFactor_Table,RAC_LDs!$G$258),IF($A200&lt;Startops2,Tariff!$T$11,0))</f>
        <v>0</v>
      </c>
      <c r="I200" s="1543" t="n">
        <f aca="false">IF(OR($A200&lt;Startops1,$A200&gt;=Startops2),0,IF(AND($A200&gt;=DieselOps_2,$A200&lt;Startops2),VLOOKUP($A200,Diesel_Table,Tariff!$Y$41),VLOOKUP($A200,OA_Table,Tariff!$Y$26)))</f>
        <v>0</v>
      </c>
      <c r="J200" s="1544" t="n">
        <f aca="false">IF(MONTH($A200)=12,SUM(I189:I200)," ")</f>
        <v>0</v>
      </c>
      <c r="K200" s="1334" t="n">
        <f aca="false">IF(OR($A200&lt;Startops2,$A200&gt;=Endyr),0,VLOOKUP($A200,Capacity_Table,Tariff!$S$18))</f>
        <v>0.91</v>
      </c>
      <c r="L200" s="306" t="n">
        <f aca="false">IF(OR($A200&lt;Startops2,$A200&gt;=Endyr),0,VLOOKUP($A200,Capacity_Table,Tariff!$T$18))</f>
        <v>0.92</v>
      </c>
      <c r="M200" s="397" t="n">
        <f aca="false">IF($A200&lt;Startops2,0,IF($A200&lt;Startops3,VLOOKUP($A200,Convert_Table,Tariff!$Y$54),C200*D200*F200*K200*L200))</f>
        <v>298980.864</v>
      </c>
      <c r="N200" s="1544" t="n">
        <f aca="false">IF(MONTH($A200)=12,SUM(M189:M200)," ")</f>
        <v>3520258.56</v>
      </c>
      <c r="O200" s="397" t="n">
        <f aca="false">IF($A200&lt;Startops2,0,IF($A200&lt;Startops3,Hr_II,Hr_III))</f>
        <v>7000</v>
      </c>
      <c r="P200" s="397" t="n">
        <f aca="false">M200*O200/1000</f>
        <v>2092866.048</v>
      </c>
      <c r="Q200" s="1545" t="n">
        <f aca="false">IF(MONTH($A200)=12,SUM(P189:P200)," ")</f>
        <v>24641809.92</v>
      </c>
      <c r="R200" s="397" t="n">
        <f aca="false">IF($A200&gt;Endyr,0,IF($A200&lt;Assm!$A$55,P200,Assm!$F$55*$D200))</f>
        <v>1828160.87671233</v>
      </c>
      <c r="S200" s="1544" t="n">
        <f aca="false">IF(MONTH($A200)=12,SUM(R189:R200)," ")</f>
        <v>21525120</v>
      </c>
      <c r="T200" s="397" t="n">
        <f aca="false">MAX(P200,R200)</f>
        <v>2092866.048</v>
      </c>
      <c r="U200" s="1546" t="n">
        <f aca="false">IF(MONTH($A200)=12,SUM(T189:T200)," ")</f>
        <v>24641809.92</v>
      </c>
    </row>
    <row r="201" customFormat="false" ht="12.75" hidden="false" customHeight="false" outlineLevel="0" collapsed="false">
      <c r="A201" s="1538" t="n">
        <f aca="false">EDATE(A200,1)</f>
        <v>42005</v>
      </c>
      <c r="C201" s="1539" t="n">
        <f aca="false">IF($A201&gt;Endyr,0,VLOOKUP($A201,Capacity_Table,Tariff!$R$18))</f>
        <v>480</v>
      </c>
      <c r="D201" s="1540" t="n">
        <f aca="false">A202-A201</f>
        <v>31</v>
      </c>
      <c r="E201" s="1540" t="str">
        <f aca="false">IF(MONTH($A201)=12,SUM(D190:D201)," ")</f>
        <v> </v>
      </c>
      <c r="F201" s="1545" t="n">
        <f aca="false">F200</f>
        <v>24</v>
      </c>
      <c r="G201" s="1334" t="n">
        <f aca="false">IF(I201=0,0,I201/($C201*$D201*$F201*H201))</f>
        <v>0</v>
      </c>
      <c r="H201" s="1542" t="n">
        <f aca="false">IF(Avail_LDs_Switch=1,VLOOKUP('Plant Operations'!A201,RAC_AvailFactor_Table,RAC_LDs!$G$258),IF($A201&lt;Startops2,Tariff!$T$11,0))</f>
        <v>0</v>
      </c>
      <c r="I201" s="1543" t="n">
        <f aca="false">IF(OR($A201&lt;Startops1,$A201&gt;=Startops2),0,IF(AND($A201&gt;=DieselOps_2,$A201&lt;Startops2),VLOOKUP($A201,Diesel_Table,Tariff!$Y$41),VLOOKUP($A201,OA_Table,Tariff!$Y$26)))</f>
        <v>0</v>
      </c>
      <c r="J201" s="1544" t="str">
        <f aca="false">IF(MONTH($A201)=12,SUM(I190:I201)," ")</f>
        <v> </v>
      </c>
      <c r="K201" s="1334" t="n">
        <f aca="false">IF(OR($A201&lt;Startops2,$A201&gt;=Endyr),0,VLOOKUP($A201,Capacity_Table,Tariff!$S$18))</f>
        <v>0.91</v>
      </c>
      <c r="L201" s="306" t="n">
        <f aca="false">IF(OR($A201&lt;Startops2,$A201&gt;=Endyr),0,VLOOKUP($A201,Capacity_Table,Tariff!$T$18))</f>
        <v>0.92</v>
      </c>
      <c r="M201" s="397" t="n">
        <f aca="false">IF($A201&lt;Startops2,0,IF($A201&lt;Startops3,VLOOKUP($A201,Convert_Table,Tariff!$Y$54),C201*D201*F201*K201*L201))</f>
        <v>298980.864</v>
      </c>
      <c r="N201" s="1544" t="str">
        <f aca="false">IF(MONTH($A201)=12,SUM(M190:M201)," ")</f>
        <v> </v>
      </c>
      <c r="O201" s="397" t="n">
        <f aca="false">IF($A201&lt;Startops2,0,IF($A201&lt;Startops3,Hr_II,Hr_III))</f>
        <v>7000</v>
      </c>
      <c r="P201" s="397" t="n">
        <f aca="false">M201*O201/1000</f>
        <v>2092866.048</v>
      </c>
      <c r="Q201" s="1545" t="str">
        <f aca="false">IF(MONTH($A201)=12,SUM(P190:P201)," ")</f>
        <v> </v>
      </c>
      <c r="R201" s="397" t="n">
        <f aca="false">IF($A201&gt;Endyr,0,IF($A201&lt;Assm!$A$55,P201,Assm!$F$55*$D201))</f>
        <v>1828160.87671233</v>
      </c>
      <c r="S201" s="1544" t="str">
        <f aca="false">IF(MONTH($A201)=12,SUM(R190:R201)," ")</f>
        <v> </v>
      </c>
      <c r="T201" s="397" t="n">
        <f aca="false">MAX(P201,R201)</f>
        <v>2092866.048</v>
      </c>
      <c r="U201" s="1546" t="str">
        <f aca="false">IF(MONTH($A201)=12,SUM(T190:T201)," ")</f>
        <v> </v>
      </c>
    </row>
    <row r="202" customFormat="false" ht="12.75" hidden="false" customHeight="false" outlineLevel="0" collapsed="false">
      <c r="A202" s="1538" t="n">
        <f aca="false">EDATE(A201,1)</f>
        <v>42036</v>
      </c>
      <c r="C202" s="1539" t="n">
        <f aca="false">IF($A202&gt;Endyr,0,VLOOKUP($A202,Capacity_Table,Tariff!$R$18))</f>
        <v>480</v>
      </c>
      <c r="D202" s="1540" t="n">
        <f aca="false">A203-A202</f>
        <v>28</v>
      </c>
      <c r="E202" s="1540" t="str">
        <f aca="false">IF(MONTH($A202)=12,SUM(D191:D202)," ")</f>
        <v> </v>
      </c>
      <c r="F202" s="1545" t="n">
        <f aca="false">F201</f>
        <v>24</v>
      </c>
      <c r="G202" s="1334" t="n">
        <f aca="false">IF(I202=0,0,I202/($C202*$D202*$F202*H202))</f>
        <v>0</v>
      </c>
      <c r="H202" s="1542" t="n">
        <f aca="false">IF(Avail_LDs_Switch=1,VLOOKUP('Plant Operations'!A202,RAC_AvailFactor_Table,RAC_LDs!$G$258),IF($A202&lt;Startops2,Tariff!$T$11,0))</f>
        <v>0</v>
      </c>
      <c r="I202" s="1543" t="n">
        <f aca="false">IF(OR($A202&lt;Startops1,$A202&gt;=Startops2),0,IF(AND($A202&gt;=DieselOps_2,$A202&lt;Startops2),VLOOKUP($A202,Diesel_Table,Tariff!$Y$41),VLOOKUP($A202,OA_Table,Tariff!$Y$26)))</f>
        <v>0</v>
      </c>
      <c r="J202" s="1544" t="str">
        <f aca="false">IF(MONTH($A202)=12,SUM(I191:I202)," ")</f>
        <v> </v>
      </c>
      <c r="K202" s="1334" t="n">
        <f aca="false">IF(OR($A202&lt;Startops2,$A202&gt;=Endyr),0,VLOOKUP($A202,Capacity_Table,Tariff!$S$18))</f>
        <v>0.91</v>
      </c>
      <c r="L202" s="306" t="n">
        <f aca="false">IF(OR($A202&lt;Startops2,$A202&gt;=Endyr),0,VLOOKUP($A202,Capacity_Table,Tariff!$T$18))</f>
        <v>0.92</v>
      </c>
      <c r="M202" s="397" t="n">
        <f aca="false">IF($A202&lt;Startops2,0,IF($A202&lt;Startops3,VLOOKUP($A202,Convert_Table,Tariff!$Y$54),C202*D202*F202*K202*L202))</f>
        <v>270047.232</v>
      </c>
      <c r="N202" s="1544" t="str">
        <f aca="false">IF(MONTH($A202)=12,SUM(M191:M202)," ")</f>
        <v> </v>
      </c>
      <c r="O202" s="397" t="n">
        <f aca="false">IF($A202&lt;Startops2,0,IF($A202&lt;Startops3,Hr_II,Hr_III))</f>
        <v>7000</v>
      </c>
      <c r="P202" s="397" t="n">
        <f aca="false">M202*O202/1000</f>
        <v>1890330.624</v>
      </c>
      <c r="Q202" s="1545" t="str">
        <f aca="false">IF(MONTH($A202)=12,SUM(P191:P202)," ")</f>
        <v> </v>
      </c>
      <c r="R202" s="397" t="n">
        <f aca="false">IF($A202&gt;Endyr,0,IF($A202&lt;Assm!$A$55,P202,Assm!$F$55*$D202))</f>
        <v>1651242.08219178</v>
      </c>
      <c r="S202" s="1544" t="str">
        <f aca="false">IF(MONTH($A202)=12,SUM(R191:R202)," ")</f>
        <v> </v>
      </c>
      <c r="T202" s="397" t="n">
        <f aca="false">MAX(P202,R202)</f>
        <v>1890330.624</v>
      </c>
      <c r="U202" s="1546" t="str">
        <f aca="false">IF(MONTH($A202)=12,SUM(T191:T202)," ")</f>
        <v> </v>
      </c>
    </row>
    <row r="203" customFormat="false" ht="12.75" hidden="false" customHeight="false" outlineLevel="0" collapsed="false">
      <c r="A203" s="1538" t="n">
        <f aca="false">EDATE(A202,1)</f>
        <v>42064</v>
      </c>
      <c r="C203" s="1539" t="n">
        <f aca="false">IF($A203&gt;Endyr,0,VLOOKUP($A203,Capacity_Table,Tariff!$R$18))</f>
        <v>480</v>
      </c>
      <c r="D203" s="1540" t="n">
        <f aca="false">A204-A203</f>
        <v>31</v>
      </c>
      <c r="E203" s="1540" t="str">
        <f aca="false">IF(MONTH($A203)=12,SUM(D192:D203)," ")</f>
        <v> </v>
      </c>
      <c r="F203" s="1545" t="n">
        <f aca="false">F202</f>
        <v>24</v>
      </c>
      <c r="G203" s="1334" t="n">
        <f aca="false">IF(I203=0,0,I203/($C203*$D203*$F203*H203))</f>
        <v>0</v>
      </c>
      <c r="H203" s="1542" t="n">
        <f aca="false">IF(Avail_LDs_Switch=1,VLOOKUP('Plant Operations'!A203,RAC_AvailFactor_Table,RAC_LDs!$G$258),IF($A203&lt;Startops2,Tariff!$T$11,0))</f>
        <v>0</v>
      </c>
      <c r="I203" s="1543" t="n">
        <f aca="false">IF(OR($A203&lt;Startops1,$A203&gt;=Startops2),0,IF(AND($A203&gt;=DieselOps_2,$A203&lt;Startops2),VLOOKUP($A203,Diesel_Table,Tariff!$Y$41),VLOOKUP($A203,OA_Table,Tariff!$Y$26)))</f>
        <v>0</v>
      </c>
      <c r="J203" s="1544" t="str">
        <f aca="false">IF(MONTH($A203)=12,SUM(I192:I203)," ")</f>
        <v> </v>
      </c>
      <c r="K203" s="1334" t="n">
        <f aca="false">IF(OR($A203&lt;Startops2,$A203&gt;=Endyr),0,VLOOKUP($A203,Capacity_Table,Tariff!$S$18))</f>
        <v>0.91</v>
      </c>
      <c r="L203" s="306" t="n">
        <f aca="false">IF(OR($A203&lt;Startops2,$A203&gt;=Endyr),0,VLOOKUP($A203,Capacity_Table,Tariff!$T$18))</f>
        <v>0.92</v>
      </c>
      <c r="M203" s="397" t="n">
        <f aca="false">IF($A203&lt;Startops2,0,IF($A203&lt;Startops3,VLOOKUP($A203,Convert_Table,Tariff!$Y$54),C203*D203*F203*K203*L203))</f>
        <v>298980.864</v>
      </c>
      <c r="N203" s="1544" t="str">
        <f aca="false">IF(MONTH($A203)=12,SUM(M192:M203)," ")</f>
        <v> </v>
      </c>
      <c r="O203" s="397" t="n">
        <f aca="false">IF($A203&lt;Startops2,0,IF($A203&lt;Startops3,Hr_II,Hr_III))</f>
        <v>7000</v>
      </c>
      <c r="P203" s="397" t="n">
        <f aca="false">M203*O203/1000</f>
        <v>2092866.048</v>
      </c>
      <c r="Q203" s="1545" t="str">
        <f aca="false">IF(MONTH($A203)=12,SUM(P192:P203)," ")</f>
        <v> </v>
      </c>
      <c r="R203" s="397" t="n">
        <f aca="false">IF($A203&gt;Endyr,0,IF($A203&lt;Assm!$A$55,P203,Assm!$F$55*$D203))</f>
        <v>1828160.87671233</v>
      </c>
      <c r="S203" s="1544" t="str">
        <f aca="false">IF(MONTH($A203)=12,SUM(R192:R203)," ")</f>
        <v> </v>
      </c>
      <c r="T203" s="397" t="n">
        <f aca="false">MAX(P203,R203)</f>
        <v>2092866.048</v>
      </c>
      <c r="U203" s="1546" t="str">
        <f aca="false">IF(MONTH($A203)=12,SUM(T192:T203)," ")</f>
        <v> </v>
      </c>
    </row>
    <row r="204" customFormat="false" ht="12.75" hidden="false" customHeight="false" outlineLevel="0" collapsed="false">
      <c r="A204" s="1538" t="n">
        <f aca="false">EDATE(A203,1)</f>
        <v>42095</v>
      </c>
      <c r="C204" s="1539" t="n">
        <f aca="false">IF($A204&gt;Endyr,0,VLOOKUP($A204,Capacity_Table,Tariff!$R$18))</f>
        <v>480</v>
      </c>
      <c r="D204" s="1540" t="n">
        <f aca="false">A205-A204</f>
        <v>30</v>
      </c>
      <c r="E204" s="1540" t="str">
        <f aca="false">IF(MONTH($A204)=12,SUM(D193:D204)," ")</f>
        <v> </v>
      </c>
      <c r="F204" s="1545" t="n">
        <f aca="false">F203</f>
        <v>24</v>
      </c>
      <c r="G204" s="1334" t="n">
        <f aca="false">IF(I204=0,0,I204/($C204*$D204*$F204*H204))</f>
        <v>0</v>
      </c>
      <c r="H204" s="1542" t="n">
        <f aca="false">IF(Avail_LDs_Switch=1,VLOOKUP('Plant Operations'!A204,RAC_AvailFactor_Table,RAC_LDs!$G$258),IF($A204&lt;Startops2,Tariff!$T$11,0))</f>
        <v>0</v>
      </c>
      <c r="I204" s="1543" t="n">
        <f aca="false">IF(OR($A204&lt;Startops1,$A204&gt;=Startops2),0,IF(AND($A204&gt;=DieselOps_2,$A204&lt;Startops2),VLOOKUP($A204,Diesel_Table,Tariff!$Y$41),VLOOKUP($A204,OA_Table,Tariff!$Y$26)))</f>
        <v>0</v>
      </c>
      <c r="J204" s="1544" t="str">
        <f aca="false">IF(MONTH($A204)=12,SUM(I193:I204)," ")</f>
        <v> </v>
      </c>
      <c r="K204" s="1334" t="n">
        <f aca="false">IF(OR($A204&lt;Startops2,$A204&gt;=Endyr),0,VLOOKUP($A204,Capacity_Table,Tariff!$S$18))</f>
        <v>0.91</v>
      </c>
      <c r="L204" s="306" t="n">
        <f aca="false">IF(OR($A204&lt;Startops2,$A204&gt;=Endyr),0,VLOOKUP($A204,Capacity_Table,Tariff!$T$18))</f>
        <v>0.92</v>
      </c>
      <c r="M204" s="397" t="n">
        <f aca="false">IF($A204&lt;Startops2,0,IF($A204&lt;Startops3,VLOOKUP($A204,Convert_Table,Tariff!$Y$54),C204*D204*F204*K204*L204))</f>
        <v>289336.32</v>
      </c>
      <c r="N204" s="1544" t="str">
        <f aca="false">IF(MONTH($A204)=12,SUM(M193:M204)," ")</f>
        <v> </v>
      </c>
      <c r="O204" s="397" t="n">
        <f aca="false">IF($A204&lt;Startops2,0,IF($A204&lt;Startops3,Hr_II,Hr_III))</f>
        <v>7000</v>
      </c>
      <c r="P204" s="397" t="n">
        <f aca="false">M204*O204/1000</f>
        <v>2025354.24</v>
      </c>
      <c r="Q204" s="1545" t="str">
        <f aca="false">IF(MONTH($A204)=12,SUM(P193:P204)," ")</f>
        <v> </v>
      </c>
      <c r="R204" s="397" t="n">
        <f aca="false">IF($A204&gt;Endyr,0,IF($A204&lt;Assm!$A$55,P204,Assm!$F$55*$D204))</f>
        <v>1769187.94520548</v>
      </c>
      <c r="S204" s="1544" t="str">
        <f aca="false">IF(MONTH($A204)=12,SUM(R193:R204)," ")</f>
        <v> </v>
      </c>
      <c r="T204" s="397" t="n">
        <f aca="false">MAX(P204,R204)</f>
        <v>2025354.24</v>
      </c>
      <c r="U204" s="1546" t="str">
        <f aca="false">IF(MONTH($A204)=12,SUM(T193:T204)," ")</f>
        <v> </v>
      </c>
    </row>
    <row r="205" customFormat="false" ht="12.75" hidden="false" customHeight="false" outlineLevel="0" collapsed="false">
      <c r="A205" s="1538" t="n">
        <f aca="false">EDATE(A204,1)</f>
        <v>42125</v>
      </c>
      <c r="C205" s="1539" t="n">
        <f aca="false">IF($A205&gt;Endyr,0,VLOOKUP($A205,Capacity_Table,Tariff!$R$18))</f>
        <v>480</v>
      </c>
      <c r="D205" s="1540" t="n">
        <f aca="false">A206-A205</f>
        <v>31</v>
      </c>
      <c r="E205" s="1540" t="str">
        <f aca="false">IF(MONTH($A205)=12,SUM(D194:D205)," ")</f>
        <v> </v>
      </c>
      <c r="F205" s="1545" t="n">
        <f aca="false">F204</f>
        <v>24</v>
      </c>
      <c r="G205" s="1334" t="n">
        <f aca="false">IF(I205=0,0,I205/($C205*$D205*$F205*H205))</f>
        <v>0</v>
      </c>
      <c r="H205" s="1542" t="n">
        <f aca="false">IF(Avail_LDs_Switch=1,VLOOKUP('Plant Operations'!A205,RAC_AvailFactor_Table,RAC_LDs!$G$258),IF($A205&lt;Startops2,Tariff!$T$11,0))</f>
        <v>0</v>
      </c>
      <c r="I205" s="1543" t="n">
        <f aca="false">IF(OR($A205&lt;Startops1,$A205&gt;=Startops2),0,IF(AND($A205&gt;=DieselOps_2,$A205&lt;Startops2),VLOOKUP($A205,Diesel_Table,Tariff!$Y$41),VLOOKUP($A205,OA_Table,Tariff!$Y$26)))</f>
        <v>0</v>
      </c>
      <c r="J205" s="1544" t="str">
        <f aca="false">IF(MONTH($A205)=12,SUM(I194:I205)," ")</f>
        <v> </v>
      </c>
      <c r="K205" s="1334" t="n">
        <f aca="false">IF(OR($A205&lt;Startops2,$A205&gt;=Endyr),0,VLOOKUP($A205,Capacity_Table,Tariff!$S$18))</f>
        <v>0.91</v>
      </c>
      <c r="L205" s="306" t="n">
        <f aca="false">IF(OR($A205&lt;Startops2,$A205&gt;=Endyr),0,VLOOKUP($A205,Capacity_Table,Tariff!$T$18))</f>
        <v>0.92</v>
      </c>
      <c r="M205" s="397" t="n">
        <f aca="false">IF($A205&lt;Startops2,0,IF($A205&lt;Startops3,VLOOKUP($A205,Convert_Table,Tariff!$Y$54),C205*D205*F205*K205*L205))</f>
        <v>298980.864</v>
      </c>
      <c r="N205" s="1544" t="str">
        <f aca="false">IF(MONTH($A205)=12,SUM(M194:M205)," ")</f>
        <v> </v>
      </c>
      <c r="O205" s="397" t="n">
        <f aca="false">IF($A205&lt;Startops2,0,IF($A205&lt;Startops3,Hr_II,Hr_III))</f>
        <v>7000</v>
      </c>
      <c r="P205" s="397" t="n">
        <f aca="false">M205*O205/1000</f>
        <v>2092866.048</v>
      </c>
      <c r="Q205" s="1545" t="str">
        <f aca="false">IF(MONTH($A205)=12,SUM(P194:P205)," ")</f>
        <v> </v>
      </c>
      <c r="R205" s="397" t="n">
        <f aca="false">IF($A205&gt;Endyr,0,IF($A205&lt;Assm!$A$55,P205,Assm!$F$55*$D205))</f>
        <v>1828160.87671233</v>
      </c>
      <c r="S205" s="1544" t="str">
        <f aca="false">IF(MONTH($A205)=12,SUM(R194:R205)," ")</f>
        <v> </v>
      </c>
      <c r="T205" s="397" t="n">
        <f aca="false">MAX(P205,R205)</f>
        <v>2092866.048</v>
      </c>
      <c r="U205" s="1546" t="str">
        <f aca="false">IF(MONTH($A205)=12,SUM(T194:T205)," ")</f>
        <v> </v>
      </c>
    </row>
    <row r="206" customFormat="false" ht="12.75" hidden="false" customHeight="false" outlineLevel="0" collapsed="false">
      <c r="A206" s="1538" t="n">
        <f aca="false">EDATE(A205,1)</f>
        <v>42156</v>
      </c>
      <c r="C206" s="1539" t="n">
        <f aca="false">IF($A206&gt;Endyr,0,VLOOKUP($A206,Capacity_Table,Tariff!$R$18))</f>
        <v>480</v>
      </c>
      <c r="D206" s="1540" t="n">
        <f aca="false">A207-A206</f>
        <v>30</v>
      </c>
      <c r="E206" s="1540" t="str">
        <f aca="false">IF(MONTH($A206)=12,SUM(D195:D206)," ")</f>
        <v> </v>
      </c>
      <c r="F206" s="1545" t="n">
        <f aca="false">F205</f>
        <v>24</v>
      </c>
      <c r="G206" s="1334" t="n">
        <f aca="false">IF(I206=0,0,I206/($C206*$D206*$F206*H206))</f>
        <v>0</v>
      </c>
      <c r="H206" s="1542" t="n">
        <f aca="false">IF(Avail_LDs_Switch=1,VLOOKUP('Plant Operations'!A206,RAC_AvailFactor_Table,RAC_LDs!$G$258),IF($A206&lt;Startops2,Tariff!$T$11,0))</f>
        <v>0</v>
      </c>
      <c r="I206" s="1543" t="n">
        <f aca="false">IF(OR($A206&lt;Startops1,$A206&gt;=Startops2),0,IF(AND($A206&gt;=DieselOps_2,$A206&lt;Startops2),VLOOKUP($A206,Diesel_Table,Tariff!$Y$41),VLOOKUP($A206,OA_Table,Tariff!$Y$26)))</f>
        <v>0</v>
      </c>
      <c r="J206" s="1544" t="str">
        <f aca="false">IF(MONTH($A206)=12,SUM(I195:I206)," ")</f>
        <v> </v>
      </c>
      <c r="K206" s="1334" t="n">
        <f aca="false">IF(OR($A206&lt;Startops2,$A206&gt;=Endyr),0,VLOOKUP($A206,Capacity_Table,Tariff!$S$18))</f>
        <v>0.91</v>
      </c>
      <c r="L206" s="306" t="n">
        <f aca="false">IF(OR($A206&lt;Startops2,$A206&gt;=Endyr),0,VLOOKUP($A206,Capacity_Table,Tariff!$T$18))</f>
        <v>0.92</v>
      </c>
      <c r="M206" s="397" t="n">
        <f aca="false">IF($A206&lt;Startops2,0,IF($A206&lt;Startops3,VLOOKUP($A206,Convert_Table,Tariff!$Y$54),C206*D206*F206*K206*L206))</f>
        <v>289336.32</v>
      </c>
      <c r="N206" s="1544" t="str">
        <f aca="false">IF(MONTH($A206)=12,SUM(M195:M206)," ")</f>
        <v> </v>
      </c>
      <c r="O206" s="397" t="n">
        <f aca="false">IF($A206&lt;Startops2,0,IF($A206&lt;Startops3,Hr_II,Hr_III))</f>
        <v>7000</v>
      </c>
      <c r="P206" s="397" t="n">
        <f aca="false">M206*O206/1000</f>
        <v>2025354.24</v>
      </c>
      <c r="Q206" s="1545" t="str">
        <f aca="false">IF(MONTH($A206)=12,SUM(P195:P206)," ")</f>
        <v> </v>
      </c>
      <c r="R206" s="397" t="n">
        <f aca="false">IF($A206&gt;Endyr,0,IF($A206&lt;Assm!$A$55,P206,Assm!$F$55*$D206))</f>
        <v>1769187.94520548</v>
      </c>
      <c r="S206" s="1544" t="str">
        <f aca="false">IF(MONTH($A206)=12,SUM(R195:R206)," ")</f>
        <v> </v>
      </c>
      <c r="T206" s="397" t="n">
        <f aca="false">MAX(P206,R206)</f>
        <v>2025354.24</v>
      </c>
      <c r="U206" s="1546" t="str">
        <f aca="false">IF(MONTH($A206)=12,SUM(T195:T206)," ")</f>
        <v> </v>
      </c>
    </row>
    <row r="207" customFormat="false" ht="12.75" hidden="false" customHeight="false" outlineLevel="0" collapsed="false">
      <c r="A207" s="1538" t="n">
        <f aca="false">EDATE(A206,1)</f>
        <v>42186</v>
      </c>
      <c r="C207" s="1539" t="n">
        <f aca="false">IF($A207&gt;Endyr,0,VLOOKUP($A207,Capacity_Table,Tariff!$R$18))</f>
        <v>480</v>
      </c>
      <c r="D207" s="1540" t="n">
        <f aca="false">A208-A207</f>
        <v>31</v>
      </c>
      <c r="E207" s="1540" t="str">
        <f aca="false">IF(MONTH($A207)=12,SUM(D196:D207)," ")</f>
        <v> </v>
      </c>
      <c r="F207" s="1545" t="n">
        <f aca="false">F206</f>
        <v>24</v>
      </c>
      <c r="G207" s="1334" t="n">
        <f aca="false">IF(I207=0,0,I207/($C207*$D207*$F207*H207))</f>
        <v>0</v>
      </c>
      <c r="H207" s="1542" t="n">
        <f aca="false">IF(Avail_LDs_Switch=1,VLOOKUP('Plant Operations'!A207,RAC_AvailFactor_Table,RAC_LDs!$G$258),IF($A207&lt;Startops2,Tariff!$T$11,0))</f>
        <v>0</v>
      </c>
      <c r="I207" s="1543" t="n">
        <f aca="false">IF(OR($A207&lt;Startops1,$A207&gt;=Startops2),0,IF(AND($A207&gt;=DieselOps_2,$A207&lt;Startops2),VLOOKUP($A207,Diesel_Table,Tariff!$Y$41),VLOOKUP($A207,OA_Table,Tariff!$Y$26)))</f>
        <v>0</v>
      </c>
      <c r="J207" s="1544" t="str">
        <f aca="false">IF(MONTH($A207)=12,SUM(I196:I207)," ")</f>
        <v> </v>
      </c>
      <c r="K207" s="1334" t="n">
        <f aca="false">IF(OR($A207&lt;Startops2,$A207&gt;=Endyr),0,VLOOKUP($A207,Capacity_Table,Tariff!$S$18))</f>
        <v>0.91</v>
      </c>
      <c r="L207" s="306" t="n">
        <f aca="false">IF(OR($A207&lt;Startops2,$A207&gt;=Endyr),0,VLOOKUP($A207,Capacity_Table,Tariff!$T$18))</f>
        <v>0.92</v>
      </c>
      <c r="M207" s="397" t="n">
        <f aca="false">IF($A207&lt;Startops2,0,IF($A207&lt;Startops3,VLOOKUP($A207,Convert_Table,Tariff!$Y$54),C207*D207*F207*K207*L207))</f>
        <v>298980.864</v>
      </c>
      <c r="N207" s="1544" t="str">
        <f aca="false">IF(MONTH($A207)=12,SUM(M196:M207)," ")</f>
        <v> </v>
      </c>
      <c r="O207" s="397" t="n">
        <f aca="false">IF($A207&lt;Startops2,0,IF($A207&lt;Startops3,Hr_II,Hr_III))</f>
        <v>7000</v>
      </c>
      <c r="P207" s="397" t="n">
        <f aca="false">M207*O207/1000</f>
        <v>2092866.048</v>
      </c>
      <c r="Q207" s="1545" t="str">
        <f aca="false">IF(MONTH($A207)=12,SUM(P196:P207)," ")</f>
        <v> </v>
      </c>
      <c r="R207" s="397" t="n">
        <f aca="false">IF($A207&gt;Endyr,0,IF($A207&lt;Assm!$A$55,P207,Assm!$F$55*$D207))</f>
        <v>1828160.87671233</v>
      </c>
      <c r="S207" s="1544" t="str">
        <f aca="false">IF(MONTH($A207)=12,SUM(R196:R207)," ")</f>
        <v> </v>
      </c>
      <c r="T207" s="397" t="n">
        <f aca="false">MAX(P207,R207)</f>
        <v>2092866.048</v>
      </c>
      <c r="U207" s="1546" t="str">
        <f aca="false">IF(MONTH($A207)=12,SUM(T196:T207)," ")</f>
        <v> </v>
      </c>
    </row>
    <row r="208" customFormat="false" ht="12.75" hidden="false" customHeight="false" outlineLevel="0" collapsed="false">
      <c r="A208" s="1538" t="n">
        <f aca="false">EDATE(A207,1)</f>
        <v>42217</v>
      </c>
      <c r="C208" s="1539" t="n">
        <f aca="false">IF($A208&gt;Endyr,0,VLOOKUP($A208,Capacity_Table,Tariff!$R$18))</f>
        <v>480</v>
      </c>
      <c r="D208" s="1540" t="n">
        <f aca="false">A209-A208</f>
        <v>31</v>
      </c>
      <c r="E208" s="1540" t="str">
        <f aca="false">IF(MONTH($A208)=12,SUM(D197:D208)," ")</f>
        <v> </v>
      </c>
      <c r="F208" s="1545" t="n">
        <f aca="false">F207</f>
        <v>24</v>
      </c>
      <c r="G208" s="1334" t="n">
        <f aca="false">IF(I208=0,0,I208/($C208*$D208*$F208*H208))</f>
        <v>0</v>
      </c>
      <c r="H208" s="1542" t="n">
        <f aca="false">IF(Avail_LDs_Switch=1,VLOOKUP('Plant Operations'!A208,RAC_AvailFactor_Table,RAC_LDs!$G$258),IF($A208&lt;Startops2,Tariff!$T$11,0))</f>
        <v>0</v>
      </c>
      <c r="I208" s="1543" t="n">
        <f aca="false">IF(OR($A208&lt;Startops1,$A208&gt;=Startops2),0,IF(AND($A208&gt;=DieselOps_2,$A208&lt;Startops2),VLOOKUP($A208,Diesel_Table,Tariff!$Y$41),VLOOKUP($A208,OA_Table,Tariff!$Y$26)))</f>
        <v>0</v>
      </c>
      <c r="J208" s="1544" t="str">
        <f aca="false">IF(MONTH($A208)=12,SUM(I197:I208)," ")</f>
        <v> </v>
      </c>
      <c r="K208" s="1334" t="n">
        <f aca="false">IF(OR($A208&lt;Startops2,$A208&gt;=Endyr),0,VLOOKUP($A208,Capacity_Table,Tariff!$S$18))</f>
        <v>0.91</v>
      </c>
      <c r="L208" s="306" t="n">
        <f aca="false">IF(OR($A208&lt;Startops2,$A208&gt;=Endyr),0,VLOOKUP($A208,Capacity_Table,Tariff!$T$18))</f>
        <v>0.92</v>
      </c>
      <c r="M208" s="397" t="n">
        <f aca="false">IF($A208&lt;Startops2,0,IF($A208&lt;Startops3,VLOOKUP($A208,Convert_Table,Tariff!$Y$54),C208*D208*F208*K208*L208))</f>
        <v>298980.864</v>
      </c>
      <c r="N208" s="1544" t="str">
        <f aca="false">IF(MONTH($A208)=12,SUM(M197:M208)," ")</f>
        <v> </v>
      </c>
      <c r="O208" s="397" t="n">
        <f aca="false">IF($A208&lt;Startops2,0,IF($A208&lt;Startops3,Hr_II,Hr_III))</f>
        <v>7000</v>
      </c>
      <c r="P208" s="397" t="n">
        <f aca="false">M208*O208/1000</f>
        <v>2092866.048</v>
      </c>
      <c r="Q208" s="1545" t="str">
        <f aca="false">IF(MONTH($A208)=12,SUM(P197:P208)," ")</f>
        <v> </v>
      </c>
      <c r="R208" s="397" t="n">
        <f aca="false">IF($A208&gt;Endyr,0,IF($A208&lt;Assm!$A$55,P208,Assm!$F$55*$D208))</f>
        <v>1828160.87671233</v>
      </c>
      <c r="S208" s="1544" t="str">
        <f aca="false">IF(MONTH($A208)=12,SUM(R197:R208)," ")</f>
        <v> </v>
      </c>
      <c r="T208" s="397" t="n">
        <f aca="false">MAX(P208,R208)</f>
        <v>2092866.048</v>
      </c>
      <c r="U208" s="1546" t="str">
        <f aca="false">IF(MONTH($A208)=12,SUM(T197:T208)," ")</f>
        <v> </v>
      </c>
    </row>
    <row r="209" customFormat="false" ht="12.75" hidden="false" customHeight="false" outlineLevel="0" collapsed="false">
      <c r="A209" s="1538" t="n">
        <f aca="false">EDATE(A208,1)</f>
        <v>42248</v>
      </c>
      <c r="C209" s="1539" t="n">
        <f aca="false">IF($A209&gt;Endyr,0,VLOOKUP($A209,Capacity_Table,Tariff!$R$18))</f>
        <v>480</v>
      </c>
      <c r="D209" s="1540" t="n">
        <f aca="false">A210-A209</f>
        <v>30</v>
      </c>
      <c r="E209" s="1540" t="str">
        <f aca="false">IF(MONTH($A209)=12,SUM(D198:D209)," ")</f>
        <v> </v>
      </c>
      <c r="F209" s="1545" t="n">
        <f aca="false">F208</f>
        <v>24</v>
      </c>
      <c r="G209" s="1334" t="n">
        <f aca="false">IF(I209=0,0,I209/($C209*$D209*$F209*H209))</f>
        <v>0</v>
      </c>
      <c r="H209" s="1542" t="n">
        <f aca="false">IF(Avail_LDs_Switch=1,VLOOKUP('Plant Operations'!A209,RAC_AvailFactor_Table,RAC_LDs!$G$258),IF($A209&lt;Startops2,Tariff!$T$11,0))</f>
        <v>0</v>
      </c>
      <c r="I209" s="1543" t="n">
        <f aca="false">IF(OR($A209&lt;Startops1,$A209&gt;=Startops2),0,IF(AND($A209&gt;=DieselOps_2,$A209&lt;Startops2),VLOOKUP($A209,Diesel_Table,Tariff!$Y$41),VLOOKUP($A209,OA_Table,Tariff!$Y$26)))</f>
        <v>0</v>
      </c>
      <c r="J209" s="1544" t="str">
        <f aca="false">IF(MONTH($A209)=12,SUM(I198:I209)," ")</f>
        <v> </v>
      </c>
      <c r="K209" s="1334" t="n">
        <f aca="false">IF(OR($A209&lt;Startops2,$A209&gt;=Endyr),0,VLOOKUP($A209,Capacity_Table,Tariff!$S$18))</f>
        <v>0.91</v>
      </c>
      <c r="L209" s="306" t="n">
        <f aca="false">IF(OR($A209&lt;Startops2,$A209&gt;=Endyr),0,VLOOKUP($A209,Capacity_Table,Tariff!$T$18))</f>
        <v>0.92</v>
      </c>
      <c r="M209" s="397" t="n">
        <f aca="false">IF($A209&lt;Startops2,0,IF($A209&lt;Startops3,VLOOKUP($A209,Convert_Table,Tariff!$Y$54),C209*D209*F209*K209*L209))</f>
        <v>289336.32</v>
      </c>
      <c r="N209" s="1544" t="str">
        <f aca="false">IF(MONTH($A209)=12,SUM(M198:M209)," ")</f>
        <v> </v>
      </c>
      <c r="O209" s="397" t="n">
        <f aca="false">IF($A209&lt;Startops2,0,IF($A209&lt;Startops3,Hr_II,Hr_III))</f>
        <v>7000</v>
      </c>
      <c r="P209" s="397" t="n">
        <f aca="false">M209*O209/1000</f>
        <v>2025354.24</v>
      </c>
      <c r="Q209" s="1545" t="str">
        <f aca="false">IF(MONTH($A209)=12,SUM(P198:P209)," ")</f>
        <v> </v>
      </c>
      <c r="R209" s="397" t="n">
        <f aca="false">IF($A209&gt;Endyr,0,IF($A209&lt;Assm!$A$55,P209,Assm!$F$55*$D209))</f>
        <v>1769187.94520548</v>
      </c>
      <c r="S209" s="1544" t="str">
        <f aca="false">IF(MONTH($A209)=12,SUM(R198:R209)," ")</f>
        <v> </v>
      </c>
      <c r="T209" s="397" t="n">
        <f aca="false">MAX(P209,R209)</f>
        <v>2025354.24</v>
      </c>
      <c r="U209" s="1546" t="str">
        <f aca="false">IF(MONTH($A209)=12,SUM(T198:T209)," ")</f>
        <v> </v>
      </c>
    </row>
    <row r="210" customFormat="false" ht="12.75" hidden="false" customHeight="false" outlineLevel="0" collapsed="false">
      <c r="A210" s="1538" t="n">
        <f aca="false">EDATE(A209,1)</f>
        <v>42278</v>
      </c>
      <c r="C210" s="1539" t="n">
        <f aca="false">IF($A210&gt;Endyr,0,VLOOKUP($A210,Capacity_Table,Tariff!$R$18))</f>
        <v>480</v>
      </c>
      <c r="D210" s="1540" t="n">
        <f aca="false">A211-A210</f>
        <v>31</v>
      </c>
      <c r="E210" s="1540" t="str">
        <f aca="false">IF(MONTH($A210)=12,SUM(D199:D210)," ")</f>
        <v> </v>
      </c>
      <c r="F210" s="1545" t="n">
        <f aca="false">F209</f>
        <v>24</v>
      </c>
      <c r="G210" s="1334" t="n">
        <f aca="false">IF(I210=0,0,I210/($C210*$D210*$F210*H210))</f>
        <v>0</v>
      </c>
      <c r="H210" s="1542" t="n">
        <f aca="false">IF(Avail_LDs_Switch=1,VLOOKUP('Plant Operations'!A210,RAC_AvailFactor_Table,RAC_LDs!$G$258),IF($A210&lt;Startops2,Tariff!$T$11,0))</f>
        <v>0</v>
      </c>
      <c r="I210" s="1543" t="n">
        <f aca="false">IF(OR($A210&lt;Startops1,$A210&gt;=Startops2),0,IF(AND($A210&gt;=DieselOps_2,$A210&lt;Startops2),VLOOKUP($A210,Diesel_Table,Tariff!$Y$41),VLOOKUP($A210,OA_Table,Tariff!$Y$26)))</f>
        <v>0</v>
      </c>
      <c r="J210" s="1544" t="str">
        <f aca="false">IF(MONTH($A210)=12,SUM(I199:I210)," ")</f>
        <v> </v>
      </c>
      <c r="K210" s="1334" t="n">
        <f aca="false">IF(OR($A210&lt;Startops2,$A210&gt;=Endyr),0,VLOOKUP($A210,Capacity_Table,Tariff!$S$18))</f>
        <v>0.91</v>
      </c>
      <c r="L210" s="306" t="n">
        <f aca="false">IF(OR($A210&lt;Startops2,$A210&gt;=Endyr),0,VLOOKUP($A210,Capacity_Table,Tariff!$T$18))</f>
        <v>0.92</v>
      </c>
      <c r="M210" s="397" t="n">
        <f aca="false">IF($A210&lt;Startops2,0,IF($A210&lt;Startops3,VLOOKUP($A210,Convert_Table,Tariff!$Y$54),C210*D210*F210*K210*L210))</f>
        <v>298980.864</v>
      </c>
      <c r="N210" s="1544" t="str">
        <f aca="false">IF(MONTH($A210)=12,SUM(M199:M210)," ")</f>
        <v> </v>
      </c>
      <c r="O210" s="397" t="n">
        <f aca="false">IF($A210&lt;Startops2,0,IF($A210&lt;Startops3,Hr_II,Hr_III))</f>
        <v>7000</v>
      </c>
      <c r="P210" s="397" t="n">
        <f aca="false">M210*O210/1000</f>
        <v>2092866.048</v>
      </c>
      <c r="Q210" s="1545" t="str">
        <f aca="false">IF(MONTH($A210)=12,SUM(P199:P210)," ")</f>
        <v> </v>
      </c>
      <c r="R210" s="397" t="n">
        <f aca="false">IF($A210&gt;Endyr,0,IF($A210&lt;Assm!$A$55,P210,Assm!$F$55*$D210))</f>
        <v>1828160.87671233</v>
      </c>
      <c r="S210" s="1544" t="str">
        <f aca="false">IF(MONTH($A210)=12,SUM(R199:R210)," ")</f>
        <v> </v>
      </c>
      <c r="T210" s="397" t="n">
        <f aca="false">MAX(P210,R210)</f>
        <v>2092866.048</v>
      </c>
      <c r="U210" s="1546" t="str">
        <f aca="false">IF(MONTH($A210)=12,SUM(T199:T210)," ")</f>
        <v> </v>
      </c>
    </row>
    <row r="211" customFormat="false" ht="12.75" hidden="false" customHeight="false" outlineLevel="0" collapsed="false">
      <c r="A211" s="1538" t="n">
        <f aca="false">EDATE(A210,1)</f>
        <v>42309</v>
      </c>
      <c r="C211" s="1539" t="n">
        <f aca="false">IF($A211&gt;Endyr,0,VLOOKUP($A211,Capacity_Table,Tariff!$R$18))</f>
        <v>480</v>
      </c>
      <c r="D211" s="1540" t="n">
        <f aca="false">A212-A211</f>
        <v>30</v>
      </c>
      <c r="E211" s="1540" t="str">
        <f aca="false">IF(MONTH($A211)=12,SUM(D200:D211)," ")</f>
        <v> </v>
      </c>
      <c r="F211" s="1545" t="n">
        <f aca="false">F210</f>
        <v>24</v>
      </c>
      <c r="G211" s="1334" t="n">
        <f aca="false">IF(I211=0,0,I211/($C211*$D211*$F211*H211))</f>
        <v>0</v>
      </c>
      <c r="H211" s="1542" t="n">
        <f aca="false">IF(Avail_LDs_Switch=1,VLOOKUP('Plant Operations'!A211,RAC_AvailFactor_Table,RAC_LDs!$G$258),IF($A211&lt;Startops2,Tariff!$T$11,0))</f>
        <v>0</v>
      </c>
      <c r="I211" s="1543" t="n">
        <f aca="false">IF(OR($A211&lt;Startops1,$A211&gt;=Startops2),0,IF(AND($A211&gt;=DieselOps_2,$A211&lt;Startops2),VLOOKUP($A211,Diesel_Table,Tariff!$Y$41),VLOOKUP($A211,OA_Table,Tariff!$Y$26)))</f>
        <v>0</v>
      </c>
      <c r="J211" s="1544" t="str">
        <f aca="false">IF(MONTH($A211)=12,SUM(I200:I211)," ")</f>
        <v> </v>
      </c>
      <c r="K211" s="1334" t="n">
        <f aca="false">IF(OR($A211&lt;Startops2,$A211&gt;=Endyr),0,VLOOKUP($A211,Capacity_Table,Tariff!$S$18))</f>
        <v>0.91</v>
      </c>
      <c r="L211" s="306" t="n">
        <f aca="false">IF(OR($A211&lt;Startops2,$A211&gt;=Endyr),0,VLOOKUP($A211,Capacity_Table,Tariff!$T$18))</f>
        <v>0.92</v>
      </c>
      <c r="M211" s="397" t="n">
        <f aca="false">IF($A211&lt;Startops2,0,IF($A211&lt;Startops3,VLOOKUP($A211,Convert_Table,Tariff!$Y$54),C211*D211*F211*K211*L211))</f>
        <v>289336.32</v>
      </c>
      <c r="N211" s="1544" t="str">
        <f aca="false">IF(MONTH($A211)=12,SUM(M200:M211)," ")</f>
        <v> </v>
      </c>
      <c r="O211" s="397" t="n">
        <f aca="false">IF($A211&lt;Startops2,0,IF($A211&lt;Startops3,Hr_II,Hr_III))</f>
        <v>7000</v>
      </c>
      <c r="P211" s="397" t="n">
        <f aca="false">M211*O211/1000</f>
        <v>2025354.24</v>
      </c>
      <c r="Q211" s="1545" t="str">
        <f aca="false">IF(MONTH($A211)=12,SUM(P200:P211)," ")</f>
        <v> </v>
      </c>
      <c r="R211" s="397" t="n">
        <f aca="false">IF($A211&gt;Endyr,0,IF($A211&lt;Assm!$A$55,P211,Assm!$F$55*$D211))</f>
        <v>1769187.94520548</v>
      </c>
      <c r="S211" s="1544" t="str">
        <f aca="false">IF(MONTH($A211)=12,SUM(R200:R211)," ")</f>
        <v> </v>
      </c>
      <c r="T211" s="397" t="n">
        <f aca="false">MAX(P211,R211)</f>
        <v>2025354.24</v>
      </c>
      <c r="U211" s="1546" t="str">
        <f aca="false">IF(MONTH($A211)=12,SUM(T200:T211)," ")</f>
        <v> </v>
      </c>
    </row>
    <row r="212" customFormat="false" ht="12.75" hidden="false" customHeight="false" outlineLevel="0" collapsed="false">
      <c r="A212" s="1538" t="n">
        <f aca="false">EDATE(A211,1)</f>
        <v>42339</v>
      </c>
      <c r="C212" s="1539" t="n">
        <f aca="false">IF($A212&gt;Endyr,0,VLOOKUP($A212,Capacity_Table,Tariff!$R$18))</f>
        <v>480</v>
      </c>
      <c r="D212" s="1540" t="n">
        <f aca="false">A213-A212</f>
        <v>31</v>
      </c>
      <c r="E212" s="1540" t="n">
        <f aca="false">IF(MONTH($A212)=12,SUM(D201:D212)," ")</f>
        <v>365</v>
      </c>
      <c r="F212" s="1545" t="n">
        <f aca="false">F211</f>
        <v>24</v>
      </c>
      <c r="G212" s="1334" t="n">
        <f aca="false">IF(I212=0,0,I212/($C212*$D212*$F212*H212))</f>
        <v>0</v>
      </c>
      <c r="H212" s="1542" t="n">
        <f aca="false">IF(Avail_LDs_Switch=1,VLOOKUP('Plant Operations'!A212,RAC_AvailFactor_Table,RAC_LDs!$G$258),IF($A212&lt;Startops2,Tariff!$T$11,0))</f>
        <v>0</v>
      </c>
      <c r="I212" s="1543" t="n">
        <f aca="false">IF(OR($A212&lt;Startops1,$A212&gt;=Startops2),0,IF(AND($A212&gt;=DieselOps_2,$A212&lt;Startops2),VLOOKUP($A212,Diesel_Table,Tariff!$Y$41),VLOOKUP($A212,OA_Table,Tariff!$Y$26)))</f>
        <v>0</v>
      </c>
      <c r="J212" s="1544" t="n">
        <f aca="false">IF(MONTH($A212)=12,SUM(I201:I212)," ")</f>
        <v>0</v>
      </c>
      <c r="K212" s="1334" t="n">
        <f aca="false">IF(OR($A212&lt;Startops2,$A212&gt;=Endyr),0,VLOOKUP($A212,Capacity_Table,Tariff!$S$18))</f>
        <v>0.91</v>
      </c>
      <c r="L212" s="306" t="n">
        <f aca="false">IF(OR($A212&lt;Startops2,$A212&gt;=Endyr),0,VLOOKUP($A212,Capacity_Table,Tariff!$T$18))</f>
        <v>0.92</v>
      </c>
      <c r="M212" s="397" t="n">
        <f aca="false">IF($A212&lt;Startops2,0,IF($A212&lt;Startops3,VLOOKUP($A212,Convert_Table,Tariff!$Y$54),C212*D212*F212*K212*L212))</f>
        <v>298980.864</v>
      </c>
      <c r="N212" s="1544" t="n">
        <f aca="false">IF(MONTH($A212)=12,SUM(M201:M212)," ")</f>
        <v>3520258.56</v>
      </c>
      <c r="O212" s="397" t="n">
        <f aca="false">IF($A212&lt;Startops2,0,IF($A212&lt;Startops3,Hr_II,Hr_III))</f>
        <v>7000</v>
      </c>
      <c r="P212" s="397" t="n">
        <f aca="false">M212*O212/1000</f>
        <v>2092866.048</v>
      </c>
      <c r="Q212" s="1545" t="n">
        <f aca="false">IF(MONTH($A212)=12,SUM(P201:P212)," ")</f>
        <v>24641809.92</v>
      </c>
      <c r="R212" s="397" t="n">
        <f aca="false">IF($A212&gt;Endyr,0,IF($A212&lt;Assm!$A$55,P212,Assm!$F$55*$D212))</f>
        <v>1828160.87671233</v>
      </c>
      <c r="S212" s="1544" t="n">
        <f aca="false">IF(MONTH($A212)=12,SUM(R201:R212)," ")</f>
        <v>21525120</v>
      </c>
      <c r="T212" s="397" t="n">
        <f aca="false">MAX(P212,R212)</f>
        <v>2092866.048</v>
      </c>
      <c r="U212" s="1546" t="n">
        <f aca="false">IF(MONTH($A212)=12,SUM(T201:T212)," ")</f>
        <v>24641809.92</v>
      </c>
    </row>
    <row r="213" customFormat="false" ht="12.75" hidden="false" customHeight="false" outlineLevel="0" collapsed="false">
      <c r="A213" s="1538" t="n">
        <f aca="false">EDATE(A212,1)</f>
        <v>42370</v>
      </c>
      <c r="C213" s="1539" t="n">
        <f aca="false">IF($A213&gt;Endyr,0,VLOOKUP($A213,Capacity_Table,Tariff!$R$18))</f>
        <v>480</v>
      </c>
      <c r="D213" s="1540" t="n">
        <f aca="false">A214-A213</f>
        <v>31</v>
      </c>
      <c r="E213" s="1540" t="str">
        <f aca="false">IF(MONTH($A213)=12,SUM(D202:D213)," ")</f>
        <v> </v>
      </c>
      <c r="F213" s="1545" t="n">
        <f aca="false">F212</f>
        <v>24</v>
      </c>
      <c r="G213" s="1334" t="n">
        <f aca="false">IF(I213=0,0,I213/($C213*$D213*$F213*H213))</f>
        <v>0</v>
      </c>
      <c r="H213" s="1542" t="n">
        <f aca="false">IF(Avail_LDs_Switch=1,VLOOKUP('Plant Operations'!A213,RAC_AvailFactor_Table,RAC_LDs!$G$258),IF($A213&lt;Startops2,Tariff!$T$11,0))</f>
        <v>0</v>
      </c>
      <c r="I213" s="1543" t="n">
        <f aca="false">IF(OR($A213&lt;Startops1,$A213&gt;=Startops2),0,IF(AND($A213&gt;=DieselOps_2,$A213&lt;Startops2),VLOOKUP($A213,Diesel_Table,Tariff!$Y$41),VLOOKUP($A213,OA_Table,Tariff!$Y$26)))</f>
        <v>0</v>
      </c>
      <c r="J213" s="1544" t="str">
        <f aca="false">IF(MONTH($A213)=12,SUM(I202:I213)," ")</f>
        <v> </v>
      </c>
      <c r="K213" s="1334" t="n">
        <f aca="false">IF(OR($A213&lt;Startops2,$A213&gt;=Endyr),0,VLOOKUP($A213,Capacity_Table,Tariff!$S$18))</f>
        <v>0.91</v>
      </c>
      <c r="L213" s="306" t="n">
        <f aca="false">IF(OR($A213&lt;Startops2,$A213&gt;=Endyr),0,VLOOKUP($A213,Capacity_Table,Tariff!$T$18))</f>
        <v>0.92</v>
      </c>
      <c r="M213" s="397" t="n">
        <f aca="false">IF($A213&lt;Startops2,0,IF($A213&lt;Startops3,VLOOKUP($A213,Convert_Table,Tariff!$Y$54),C213*D213*F213*K213*L213))</f>
        <v>298980.864</v>
      </c>
      <c r="N213" s="1544" t="str">
        <f aca="false">IF(MONTH($A213)=12,SUM(M202:M213)," ")</f>
        <v> </v>
      </c>
      <c r="O213" s="397" t="n">
        <f aca="false">IF($A213&lt;Startops2,0,IF($A213&lt;Startops3,Hr_II,Hr_III))</f>
        <v>7000</v>
      </c>
      <c r="P213" s="397" t="n">
        <f aca="false">M213*O213/1000</f>
        <v>2092866.048</v>
      </c>
      <c r="Q213" s="1545" t="str">
        <f aca="false">IF(MONTH($A213)=12,SUM(P202:P213)," ")</f>
        <v> </v>
      </c>
      <c r="R213" s="397" t="n">
        <f aca="false">IF($A213&gt;Endyr,0,IF($A213&lt;Assm!$A$55,P213,Assm!$F$55*$D213))</f>
        <v>1828160.87671233</v>
      </c>
      <c r="S213" s="1544" t="str">
        <f aca="false">IF(MONTH($A213)=12,SUM(R202:R213)," ")</f>
        <v> </v>
      </c>
      <c r="T213" s="397" t="n">
        <f aca="false">MAX(P213,R213)</f>
        <v>2092866.048</v>
      </c>
      <c r="U213" s="1546" t="str">
        <f aca="false">IF(MONTH($A213)=12,SUM(T202:T213)," ")</f>
        <v> </v>
      </c>
    </row>
    <row r="214" customFormat="false" ht="12.75" hidden="false" customHeight="false" outlineLevel="0" collapsed="false">
      <c r="A214" s="1538" t="n">
        <f aca="false">EDATE(A213,1)</f>
        <v>42401</v>
      </c>
      <c r="C214" s="1539" t="n">
        <f aca="false">IF($A214&gt;Endyr,0,VLOOKUP($A214,Capacity_Table,Tariff!$R$18))</f>
        <v>480</v>
      </c>
      <c r="D214" s="1540" t="n">
        <f aca="false">A215-A214</f>
        <v>29</v>
      </c>
      <c r="E214" s="1540" t="str">
        <f aca="false">IF(MONTH($A214)=12,SUM(D203:D214)," ")</f>
        <v> </v>
      </c>
      <c r="F214" s="1545" t="n">
        <f aca="false">F213</f>
        <v>24</v>
      </c>
      <c r="G214" s="1334" t="n">
        <f aca="false">IF(I214=0,0,I214/($C214*$D214*$F214*H214))</f>
        <v>0</v>
      </c>
      <c r="H214" s="1542" t="n">
        <f aca="false">IF(Avail_LDs_Switch=1,VLOOKUP('Plant Operations'!A214,RAC_AvailFactor_Table,RAC_LDs!$G$258),IF($A214&lt;Startops2,Tariff!$T$11,0))</f>
        <v>0</v>
      </c>
      <c r="I214" s="1543" t="n">
        <f aca="false">IF(OR($A214&lt;Startops1,$A214&gt;=Startops2),0,IF(AND($A214&gt;=DieselOps_2,$A214&lt;Startops2),VLOOKUP($A214,Diesel_Table,Tariff!$Y$41),VLOOKUP($A214,OA_Table,Tariff!$Y$26)))</f>
        <v>0</v>
      </c>
      <c r="J214" s="1544" t="str">
        <f aca="false">IF(MONTH($A214)=12,SUM(I203:I214)," ")</f>
        <v> </v>
      </c>
      <c r="K214" s="1334" t="n">
        <f aca="false">IF(OR($A214&lt;Startops2,$A214&gt;=Endyr),0,VLOOKUP($A214,Capacity_Table,Tariff!$S$18))</f>
        <v>0.91</v>
      </c>
      <c r="L214" s="306" t="n">
        <f aca="false">IF(OR($A214&lt;Startops2,$A214&gt;=Endyr),0,VLOOKUP($A214,Capacity_Table,Tariff!$T$18))</f>
        <v>0.92</v>
      </c>
      <c r="M214" s="397" t="n">
        <f aca="false">IF($A214&lt;Startops2,0,IF($A214&lt;Startops3,VLOOKUP($A214,Convert_Table,Tariff!$Y$54),C214*D214*F214*K214*L214))</f>
        <v>279691.776</v>
      </c>
      <c r="N214" s="1544" t="str">
        <f aca="false">IF(MONTH($A214)=12,SUM(M203:M214)," ")</f>
        <v> </v>
      </c>
      <c r="O214" s="397" t="n">
        <f aca="false">IF($A214&lt;Startops2,0,IF($A214&lt;Startops3,Hr_II,Hr_III))</f>
        <v>7000</v>
      </c>
      <c r="P214" s="397" t="n">
        <f aca="false">M214*O214/1000</f>
        <v>1957842.432</v>
      </c>
      <c r="Q214" s="1545" t="str">
        <f aca="false">IF(MONTH($A214)=12,SUM(P203:P214)," ")</f>
        <v> </v>
      </c>
      <c r="R214" s="397" t="n">
        <f aca="false">IF($A214&gt;Endyr,0,IF($A214&lt;Assm!$A$55,P214,Assm!$F$55*$D214))</f>
        <v>1710215.01369863</v>
      </c>
      <c r="S214" s="1544" t="str">
        <f aca="false">IF(MONTH($A214)=12,SUM(R203:R214)," ")</f>
        <v> </v>
      </c>
      <c r="T214" s="397" t="n">
        <f aca="false">MAX(P214,R214)</f>
        <v>1957842.432</v>
      </c>
      <c r="U214" s="1546" t="str">
        <f aca="false">IF(MONTH($A214)=12,SUM(T203:T214)," ")</f>
        <v> </v>
      </c>
    </row>
    <row r="215" customFormat="false" ht="12.75" hidden="false" customHeight="false" outlineLevel="0" collapsed="false">
      <c r="A215" s="1538" t="n">
        <f aca="false">EDATE(A214,1)</f>
        <v>42430</v>
      </c>
      <c r="C215" s="1539" t="n">
        <f aca="false">IF($A215&gt;Endyr,0,VLOOKUP($A215,Capacity_Table,Tariff!$R$18))</f>
        <v>480</v>
      </c>
      <c r="D215" s="1540" t="n">
        <f aca="false">A216-A215</f>
        <v>31</v>
      </c>
      <c r="E215" s="1540" t="str">
        <f aca="false">IF(MONTH($A215)=12,SUM(D204:D215)," ")</f>
        <v> </v>
      </c>
      <c r="F215" s="1545" t="n">
        <f aca="false">F214</f>
        <v>24</v>
      </c>
      <c r="G215" s="1334" t="n">
        <f aca="false">IF(I215=0,0,I215/($C215*$D215*$F215*H215))</f>
        <v>0</v>
      </c>
      <c r="H215" s="1542" t="n">
        <f aca="false">IF(Avail_LDs_Switch=1,VLOOKUP('Plant Operations'!A215,RAC_AvailFactor_Table,RAC_LDs!$G$258),IF($A215&lt;Startops2,Tariff!$T$11,0))</f>
        <v>0</v>
      </c>
      <c r="I215" s="1543" t="n">
        <f aca="false">IF(OR($A215&lt;Startops1,$A215&gt;=Startops2),0,IF(AND($A215&gt;=DieselOps_2,$A215&lt;Startops2),VLOOKUP($A215,Diesel_Table,Tariff!$Y$41),VLOOKUP($A215,OA_Table,Tariff!$Y$26)))</f>
        <v>0</v>
      </c>
      <c r="J215" s="1544" t="str">
        <f aca="false">IF(MONTH($A215)=12,SUM(I204:I215)," ")</f>
        <v> </v>
      </c>
      <c r="K215" s="1334" t="n">
        <f aca="false">IF(OR($A215&lt;Startops2,$A215&gt;=Endyr),0,VLOOKUP($A215,Capacity_Table,Tariff!$S$18))</f>
        <v>0.91</v>
      </c>
      <c r="L215" s="306" t="n">
        <f aca="false">IF(OR($A215&lt;Startops2,$A215&gt;=Endyr),0,VLOOKUP($A215,Capacity_Table,Tariff!$T$18))</f>
        <v>0.92</v>
      </c>
      <c r="M215" s="397" t="n">
        <f aca="false">IF($A215&lt;Startops2,0,IF($A215&lt;Startops3,VLOOKUP($A215,Convert_Table,Tariff!$Y$54),C215*D215*F215*K215*L215))</f>
        <v>298980.864</v>
      </c>
      <c r="N215" s="1544" t="str">
        <f aca="false">IF(MONTH($A215)=12,SUM(M204:M215)," ")</f>
        <v> </v>
      </c>
      <c r="O215" s="397" t="n">
        <f aca="false">IF($A215&lt;Startops2,0,IF($A215&lt;Startops3,Hr_II,Hr_III))</f>
        <v>7000</v>
      </c>
      <c r="P215" s="397" t="n">
        <f aca="false">M215*O215/1000</f>
        <v>2092866.048</v>
      </c>
      <c r="Q215" s="1545" t="str">
        <f aca="false">IF(MONTH($A215)=12,SUM(P204:P215)," ")</f>
        <v> </v>
      </c>
      <c r="R215" s="397" t="n">
        <f aca="false">IF($A215&gt;Endyr,0,IF($A215&lt;Assm!$A$55,P215,Assm!$F$55*$D215))</f>
        <v>1828160.87671233</v>
      </c>
      <c r="S215" s="1544" t="str">
        <f aca="false">IF(MONTH($A215)=12,SUM(R204:R215)," ")</f>
        <v> </v>
      </c>
      <c r="T215" s="397" t="n">
        <f aca="false">MAX(P215,R215)</f>
        <v>2092866.048</v>
      </c>
      <c r="U215" s="1546" t="str">
        <f aca="false">IF(MONTH($A215)=12,SUM(T204:T215)," ")</f>
        <v> </v>
      </c>
    </row>
    <row r="216" customFormat="false" ht="12.75" hidden="false" customHeight="false" outlineLevel="0" collapsed="false">
      <c r="A216" s="1538" t="n">
        <f aca="false">EDATE(A215,1)</f>
        <v>42461</v>
      </c>
      <c r="C216" s="1539" t="n">
        <f aca="false">IF($A216&gt;Endyr,0,VLOOKUP($A216,Capacity_Table,Tariff!$R$18))</f>
        <v>480</v>
      </c>
      <c r="D216" s="1540" t="n">
        <f aca="false">A217-A216</f>
        <v>30</v>
      </c>
      <c r="E216" s="1540" t="str">
        <f aca="false">IF(MONTH($A216)=12,SUM(D205:D216)," ")</f>
        <v> </v>
      </c>
      <c r="F216" s="1545" t="n">
        <f aca="false">F215</f>
        <v>24</v>
      </c>
      <c r="G216" s="1334" t="n">
        <f aca="false">IF(I216=0,0,I216/($C216*$D216*$F216*H216))</f>
        <v>0</v>
      </c>
      <c r="H216" s="1542" t="n">
        <f aca="false">IF(Avail_LDs_Switch=1,VLOOKUP('Plant Operations'!A216,RAC_AvailFactor_Table,RAC_LDs!$G$258),IF($A216&lt;Startops2,Tariff!$T$11,0))</f>
        <v>0</v>
      </c>
      <c r="I216" s="1543" t="n">
        <f aca="false">IF(OR($A216&lt;Startops1,$A216&gt;=Startops2),0,IF(AND($A216&gt;=DieselOps_2,$A216&lt;Startops2),VLOOKUP($A216,Diesel_Table,Tariff!$Y$41),VLOOKUP($A216,OA_Table,Tariff!$Y$26)))</f>
        <v>0</v>
      </c>
      <c r="J216" s="1544" t="str">
        <f aca="false">IF(MONTH($A216)=12,SUM(I205:I216)," ")</f>
        <v> </v>
      </c>
      <c r="K216" s="1334" t="n">
        <f aca="false">IF(OR($A216&lt;Startops2,$A216&gt;=Endyr),0,VLOOKUP($A216,Capacity_Table,Tariff!$S$18))</f>
        <v>0.91</v>
      </c>
      <c r="L216" s="306" t="n">
        <f aca="false">IF(OR($A216&lt;Startops2,$A216&gt;=Endyr),0,VLOOKUP($A216,Capacity_Table,Tariff!$T$18))</f>
        <v>0.92</v>
      </c>
      <c r="M216" s="397" t="n">
        <f aca="false">IF($A216&lt;Startops2,0,IF($A216&lt;Startops3,VLOOKUP($A216,Convert_Table,Tariff!$Y$54),C216*D216*F216*K216*L216))</f>
        <v>289336.32</v>
      </c>
      <c r="N216" s="1544" t="str">
        <f aca="false">IF(MONTH($A216)=12,SUM(M205:M216)," ")</f>
        <v> </v>
      </c>
      <c r="O216" s="397" t="n">
        <f aca="false">IF($A216&lt;Startops2,0,IF($A216&lt;Startops3,Hr_II,Hr_III))</f>
        <v>7000</v>
      </c>
      <c r="P216" s="397" t="n">
        <f aca="false">M216*O216/1000</f>
        <v>2025354.24</v>
      </c>
      <c r="Q216" s="1545" t="str">
        <f aca="false">IF(MONTH($A216)=12,SUM(P205:P216)," ")</f>
        <v> </v>
      </c>
      <c r="R216" s="397" t="n">
        <f aca="false">IF($A216&gt;Endyr,0,IF($A216&lt;Assm!$A$55,P216,Assm!$F$55*$D216))</f>
        <v>1769187.94520548</v>
      </c>
      <c r="S216" s="1544" t="str">
        <f aca="false">IF(MONTH($A216)=12,SUM(R205:R216)," ")</f>
        <v> </v>
      </c>
      <c r="T216" s="397" t="n">
        <f aca="false">MAX(P216,R216)</f>
        <v>2025354.24</v>
      </c>
      <c r="U216" s="1546" t="str">
        <f aca="false">IF(MONTH($A216)=12,SUM(T205:T216)," ")</f>
        <v> </v>
      </c>
    </row>
    <row r="217" customFormat="false" ht="12.75" hidden="false" customHeight="false" outlineLevel="0" collapsed="false">
      <c r="A217" s="1538" t="n">
        <f aca="false">EDATE(A216,1)</f>
        <v>42491</v>
      </c>
      <c r="C217" s="1539" t="n">
        <f aca="false">IF($A217&gt;Endyr,0,VLOOKUP($A217,Capacity_Table,Tariff!$R$18))</f>
        <v>480</v>
      </c>
      <c r="D217" s="1540" t="n">
        <f aca="false">A218-A217</f>
        <v>31</v>
      </c>
      <c r="E217" s="1540" t="str">
        <f aca="false">IF(MONTH($A217)=12,SUM(D206:D217)," ")</f>
        <v> </v>
      </c>
      <c r="F217" s="1545" t="n">
        <f aca="false">F216</f>
        <v>24</v>
      </c>
      <c r="G217" s="1334" t="n">
        <f aca="false">IF(I217=0,0,I217/($C217*$D217*$F217*H217))</f>
        <v>0</v>
      </c>
      <c r="H217" s="1542" t="n">
        <f aca="false">IF(Avail_LDs_Switch=1,VLOOKUP('Plant Operations'!A217,RAC_AvailFactor_Table,RAC_LDs!$G$258),IF($A217&lt;Startops2,Tariff!$T$11,0))</f>
        <v>0</v>
      </c>
      <c r="I217" s="1543" t="n">
        <f aca="false">IF(OR($A217&lt;Startops1,$A217&gt;=Startops2),0,IF(AND($A217&gt;=DieselOps_2,$A217&lt;Startops2),VLOOKUP($A217,Diesel_Table,Tariff!$Y$41),VLOOKUP($A217,OA_Table,Tariff!$Y$26)))</f>
        <v>0</v>
      </c>
      <c r="J217" s="1544" t="str">
        <f aca="false">IF(MONTH($A217)=12,SUM(I206:I217)," ")</f>
        <v> </v>
      </c>
      <c r="K217" s="1334" t="n">
        <f aca="false">IF(OR($A217&lt;Startops2,$A217&gt;=Endyr),0,VLOOKUP($A217,Capacity_Table,Tariff!$S$18))</f>
        <v>0.91</v>
      </c>
      <c r="L217" s="306" t="n">
        <f aca="false">IF(OR($A217&lt;Startops2,$A217&gt;=Endyr),0,VLOOKUP($A217,Capacity_Table,Tariff!$T$18))</f>
        <v>0.92</v>
      </c>
      <c r="M217" s="397" t="n">
        <f aca="false">IF($A217&lt;Startops2,0,IF($A217&lt;Startops3,VLOOKUP($A217,Convert_Table,Tariff!$Y$54),C217*D217*F217*K217*L217))</f>
        <v>298980.864</v>
      </c>
      <c r="N217" s="1544" t="str">
        <f aca="false">IF(MONTH($A217)=12,SUM(M206:M217)," ")</f>
        <v> </v>
      </c>
      <c r="O217" s="397" t="n">
        <f aca="false">IF($A217&lt;Startops2,0,IF($A217&lt;Startops3,Hr_II,Hr_III))</f>
        <v>7000</v>
      </c>
      <c r="P217" s="397" t="n">
        <f aca="false">M217*O217/1000</f>
        <v>2092866.048</v>
      </c>
      <c r="Q217" s="1545" t="str">
        <f aca="false">IF(MONTH($A217)=12,SUM(P206:P217)," ")</f>
        <v> </v>
      </c>
      <c r="R217" s="397" t="n">
        <f aca="false">IF($A217&gt;Endyr,0,IF($A217&lt;Assm!$A$55,P217,Assm!$F$55*$D217))</f>
        <v>1828160.87671233</v>
      </c>
      <c r="S217" s="1544" t="str">
        <f aca="false">IF(MONTH($A217)=12,SUM(R206:R217)," ")</f>
        <v> </v>
      </c>
      <c r="T217" s="397" t="n">
        <f aca="false">MAX(P217,R217)</f>
        <v>2092866.048</v>
      </c>
      <c r="U217" s="1546" t="str">
        <f aca="false">IF(MONTH($A217)=12,SUM(T206:T217)," ")</f>
        <v> </v>
      </c>
    </row>
    <row r="218" customFormat="false" ht="12.75" hidden="false" customHeight="false" outlineLevel="0" collapsed="false">
      <c r="A218" s="1538" t="n">
        <f aca="false">EDATE(A217,1)</f>
        <v>42522</v>
      </c>
      <c r="C218" s="1539" t="n">
        <f aca="false">IF($A218&gt;Endyr,0,VLOOKUP($A218,Capacity_Table,Tariff!$R$18))</f>
        <v>480</v>
      </c>
      <c r="D218" s="1540" t="n">
        <f aca="false">A219-A218</f>
        <v>30</v>
      </c>
      <c r="E218" s="1540" t="str">
        <f aca="false">IF(MONTH($A218)=12,SUM(D207:D218)," ")</f>
        <v> </v>
      </c>
      <c r="F218" s="1545" t="n">
        <f aca="false">F217</f>
        <v>24</v>
      </c>
      <c r="G218" s="1334" t="n">
        <f aca="false">IF(I218=0,0,I218/($C218*$D218*$F218*H218))</f>
        <v>0</v>
      </c>
      <c r="H218" s="1542" t="n">
        <f aca="false">IF(Avail_LDs_Switch=1,VLOOKUP('Plant Operations'!A218,RAC_AvailFactor_Table,RAC_LDs!$G$258),IF($A218&lt;Startops2,Tariff!$T$11,0))</f>
        <v>0</v>
      </c>
      <c r="I218" s="1543" t="n">
        <f aca="false">IF(OR($A218&lt;Startops1,$A218&gt;=Startops2),0,IF(AND($A218&gt;=DieselOps_2,$A218&lt;Startops2),VLOOKUP($A218,Diesel_Table,Tariff!$Y$41),VLOOKUP($A218,OA_Table,Tariff!$Y$26)))</f>
        <v>0</v>
      </c>
      <c r="J218" s="1544" t="str">
        <f aca="false">IF(MONTH($A218)=12,SUM(I207:I218)," ")</f>
        <v> </v>
      </c>
      <c r="K218" s="1334" t="n">
        <f aca="false">IF(OR($A218&lt;Startops2,$A218&gt;=Endyr),0,VLOOKUP($A218,Capacity_Table,Tariff!$S$18))</f>
        <v>0.91</v>
      </c>
      <c r="L218" s="306" t="n">
        <f aca="false">IF(OR($A218&lt;Startops2,$A218&gt;=Endyr),0,VLOOKUP($A218,Capacity_Table,Tariff!$T$18))</f>
        <v>0.92</v>
      </c>
      <c r="M218" s="397" t="n">
        <f aca="false">IF($A218&lt;Startops2,0,IF($A218&lt;Startops3,VLOOKUP($A218,Convert_Table,Tariff!$Y$54),C218*D218*F218*K218*L218))</f>
        <v>289336.32</v>
      </c>
      <c r="N218" s="1544" t="str">
        <f aca="false">IF(MONTH($A218)=12,SUM(M207:M218)," ")</f>
        <v> </v>
      </c>
      <c r="O218" s="397" t="n">
        <f aca="false">IF($A218&lt;Startops2,0,IF($A218&lt;Startops3,Hr_II,Hr_III))</f>
        <v>7000</v>
      </c>
      <c r="P218" s="397" t="n">
        <f aca="false">M218*O218/1000</f>
        <v>2025354.24</v>
      </c>
      <c r="Q218" s="1545" t="str">
        <f aca="false">IF(MONTH($A218)=12,SUM(P207:P218)," ")</f>
        <v> </v>
      </c>
      <c r="R218" s="397" t="n">
        <f aca="false">IF($A218&gt;Endyr,0,IF($A218&lt;Assm!$A$55,P218,Assm!$F$55*$D218))</f>
        <v>1769187.94520548</v>
      </c>
      <c r="S218" s="1544" t="str">
        <f aca="false">IF(MONTH($A218)=12,SUM(R207:R218)," ")</f>
        <v> </v>
      </c>
      <c r="T218" s="397" t="n">
        <f aca="false">MAX(P218,R218)</f>
        <v>2025354.24</v>
      </c>
      <c r="U218" s="1546" t="str">
        <f aca="false">IF(MONTH($A218)=12,SUM(T207:T218)," ")</f>
        <v> </v>
      </c>
    </row>
    <row r="219" customFormat="false" ht="12.75" hidden="false" customHeight="false" outlineLevel="0" collapsed="false">
      <c r="A219" s="1538" t="n">
        <f aca="false">EDATE(A218,1)</f>
        <v>42552</v>
      </c>
      <c r="C219" s="1539" t="n">
        <f aca="false">IF($A219&gt;Endyr,0,VLOOKUP($A219,Capacity_Table,Tariff!$R$18))</f>
        <v>480</v>
      </c>
      <c r="D219" s="1540" t="n">
        <f aca="false">A220-A219</f>
        <v>31</v>
      </c>
      <c r="E219" s="1540" t="str">
        <f aca="false">IF(MONTH($A219)=12,SUM(D208:D219)," ")</f>
        <v> </v>
      </c>
      <c r="F219" s="1545" t="n">
        <f aca="false">F218</f>
        <v>24</v>
      </c>
      <c r="G219" s="1334" t="n">
        <f aca="false">IF(I219=0,0,I219/($C219*$D219*$F219*H219))</f>
        <v>0</v>
      </c>
      <c r="H219" s="1542" t="n">
        <f aca="false">IF(Avail_LDs_Switch=1,VLOOKUP('Plant Operations'!A219,RAC_AvailFactor_Table,RAC_LDs!$G$258),IF($A219&lt;Startops2,Tariff!$T$11,0))</f>
        <v>0</v>
      </c>
      <c r="I219" s="1543" t="n">
        <f aca="false">IF(OR($A219&lt;Startops1,$A219&gt;=Startops2),0,IF(AND($A219&gt;=DieselOps_2,$A219&lt;Startops2),VLOOKUP($A219,Diesel_Table,Tariff!$Y$41),VLOOKUP($A219,OA_Table,Tariff!$Y$26)))</f>
        <v>0</v>
      </c>
      <c r="J219" s="1544" t="str">
        <f aca="false">IF(MONTH($A219)=12,SUM(I208:I219)," ")</f>
        <v> </v>
      </c>
      <c r="K219" s="1334" t="n">
        <f aca="false">IF(OR($A219&lt;Startops2,$A219&gt;=Endyr),0,VLOOKUP($A219,Capacity_Table,Tariff!$S$18))</f>
        <v>0.91</v>
      </c>
      <c r="L219" s="306" t="n">
        <f aca="false">IF(OR($A219&lt;Startops2,$A219&gt;=Endyr),0,VLOOKUP($A219,Capacity_Table,Tariff!$T$18))</f>
        <v>0.92</v>
      </c>
      <c r="M219" s="397" t="n">
        <f aca="false">IF($A219&lt;Startops2,0,IF($A219&lt;Startops3,VLOOKUP($A219,Convert_Table,Tariff!$Y$54),C219*D219*F219*K219*L219))</f>
        <v>298980.864</v>
      </c>
      <c r="N219" s="1544" t="str">
        <f aca="false">IF(MONTH($A219)=12,SUM(M208:M219)," ")</f>
        <v> </v>
      </c>
      <c r="O219" s="397" t="n">
        <f aca="false">IF($A219&lt;Startops2,0,IF($A219&lt;Startops3,Hr_II,Hr_III))</f>
        <v>7000</v>
      </c>
      <c r="P219" s="397" t="n">
        <f aca="false">M219*O219/1000</f>
        <v>2092866.048</v>
      </c>
      <c r="Q219" s="1545" t="str">
        <f aca="false">IF(MONTH($A219)=12,SUM(P208:P219)," ")</f>
        <v> </v>
      </c>
      <c r="R219" s="397" t="n">
        <f aca="false">IF($A219&gt;Endyr,0,IF($A219&lt;Assm!$A$55,P219,Assm!$F$55*$D219))</f>
        <v>1828160.87671233</v>
      </c>
      <c r="S219" s="1544" t="str">
        <f aca="false">IF(MONTH($A219)=12,SUM(R208:R219)," ")</f>
        <v> </v>
      </c>
      <c r="T219" s="397" t="n">
        <f aca="false">MAX(P219,R219)</f>
        <v>2092866.048</v>
      </c>
      <c r="U219" s="1546" t="str">
        <f aca="false">IF(MONTH($A219)=12,SUM(T208:T219)," ")</f>
        <v> </v>
      </c>
    </row>
    <row r="220" customFormat="false" ht="12.75" hidden="false" customHeight="false" outlineLevel="0" collapsed="false">
      <c r="A220" s="1538" t="n">
        <f aca="false">EDATE(A219,1)</f>
        <v>42583</v>
      </c>
      <c r="C220" s="1539" t="n">
        <f aca="false">IF($A220&gt;Endyr,0,VLOOKUP($A220,Capacity_Table,Tariff!$R$18))</f>
        <v>480</v>
      </c>
      <c r="D220" s="1540" t="n">
        <f aca="false">A221-A220</f>
        <v>31</v>
      </c>
      <c r="E220" s="1540" t="str">
        <f aca="false">IF(MONTH($A220)=12,SUM(D209:D220)," ")</f>
        <v> </v>
      </c>
      <c r="F220" s="1545" t="n">
        <f aca="false">F219</f>
        <v>24</v>
      </c>
      <c r="G220" s="1334" t="n">
        <f aca="false">IF(I220=0,0,I220/($C220*$D220*$F220*H220))</f>
        <v>0</v>
      </c>
      <c r="H220" s="1542" t="n">
        <f aca="false">IF(Avail_LDs_Switch=1,VLOOKUP('Plant Operations'!A220,RAC_AvailFactor_Table,RAC_LDs!$G$258),IF($A220&lt;Startops2,Tariff!$T$11,0))</f>
        <v>0</v>
      </c>
      <c r="I220" s="1543" t="n">
        <f aca="false">IF(OR($A220&lt;Startops1,$A220&gt;=Startops2),0,IF(AND($A220&gt;=DieselOps_2,$A220&lt;Startops2),VLOOKUP($A220,Diesel_Table,Tariff!$Y$41),VLOOKUP($A220,OA_Table,Tariff!$Y$26)))</f>
        <v>0</v>
      </c>
      <c r="J220" s="1544" t="str">
        <f aca="false">IF(MONTH($A220)=12,SUM(I209:I220)," ")</f>
        <v> </v>
      </c>
      <c r="K220" s="1334" t="n">
        <f aca="false">IF(OR($A220&lt;Startops2,$A220&gt;=Endyr),0,VLOOKUP($A220,Capacity_Table,Tariff!$S$18))</f>
        <v>0.91</v>
      </c>
      <c r="L220" s="306" t="n">
        <f aca="false">IF(OR($A220&lt;Startops2,$A220&gt;=Endyr),0,VLOOKUP($A220,Capacity_Table,Tariff!$T$18))</f>
        <v>0.92</v>
      </c>
      <c r="M220" s="397" t="n">
        <f aca="false">IF($A220&lt;Startops2,0,IF($A220&lt;Startops3,VLOOKUP($A220,Convert_Table,Tariff!$Y$54),C220*D220*F220*K220*L220))</f>
        <v>298980.864</v>
      </c>
      <c r="N220" s="1544" t="str">
        <f aca="false">IF(MONTH($A220)=12,SUM(M209:M220)," ")</f>
        <v> </v>
      </c>
      <c r="O220" s="397" t="n">
        <f aca="false">IF($A220&lt;Startops2,0,IF($A220&lt;Startops3,Hr_II,Hr_III))</f>
        <v>7000</v>
      </c>
      <c r="P220" s="397" t="n">
        <f aca="false">M220*O220/1000</f>
        <v>2092866.048</v>
      </c>
      <c r="Q220" s="1545" t="str">
        <f aca="false">IF(MONTH($A220)=12,SUM(P209:P220)," ")</f>
        <v> </v>
      </c>
      <c r="R220" s="397" t="n">
        <f aca="false">IF($A220&gt;Endyr,0,IF($A220&lt;Assm!$A$55,P220,Assm!$F$55*$D220))</f>
        <v>1828160.87671233</v>
      </c>
      <c r="S220" s="1544" t="str">
        <f aca="false">IF(MONTH($A220)=12,SUM(R209:R220)," ")</f>
        <v> </v>
      </c>
      <c r="T220" s="397" t="n">
        <f aca="false">MAX(P220,R220)</f>
        <v>2092866.048</v>
      </c>
      <c r="U220" s="1546" t="str">
        <f aca="false">IF(MONTH($A220)=12,SUM(T209:T220)," ")</f>
        <v> </v>
      </c>
    </row>
    <row r="221" customFormat="false" ht="12.75" hidden="false" customHeight="false" outlineLevel="0" collapsed="false">
      <c r="A221" s="1538" t="n">
        <f aca="false">EDATE(A220,1)</f>
        <v>42614</v>
      </c>
      <c r="C221" s="1539" t="n">
        <f aca="false">IF($A221&gt;Endyr,0,VLOOKUP($A221,Capacity_Table,Tariff!$R$18))</f>
        <v>480</v>
      </c>
      <c r="D221" s="1540" t="n">
        <f aca="false">A222-A221</f>
        <v>30</v>
      </c>
      <c r="E221" s="1540" t="str">
        <f aca="false">IF(MONTH($A221)=12,SUM(D210:D221)," ")</f>
        <v> </v>
      </c>
      <c r="F221" s="1545" t="n">
        <f aca="false">F220</f>
        <v>24</v>
      </c>
      <c r="G221" s="1334" t="n">
        <f aca="false">IF(I221=0,0,I221/($C221*$D221*$F221*H221))</f>
        <v>0</v>
      </c>
      <c r="H221" s="1542" t="n">
        <f aca="false">IF(Avail_LDs_Switch=1,VLOOKUP('Plant Operations'!A221,RAC_AvailFactor_Table,RAC_LDs!$G$258),IF($A221&lt;Startops2,Tariff!$T$11,0))</f>
        <v>0</v>
      </c>
      <c r="I221" s="1543" t="n">
        <f aca="false">IF(OR($A221&lt;Startops1,$A221&gt;=Startops2),0,IF(AND($A221&gt;=DieselOps_2,$A221&lt;Startops2),VLOOKUP($A221,Diesel_Table,Tariff!$Y$41),VLOOKUP($A221,OA_Table,Tariff!$Y$26)))</f>
        <v>0</v>
      </c>
      <c r="J221" s="1544" t="str">
        <f aca="false">IF(MONTH($A221)=12,SUM(I210:I221)," ")</f>
        <v> </v>
      </c>
      <c r="K221" s="1334" t="n">
        <f aca="false">IF(OR($A221&lt;Startops2,$A221&gt;=Endyr),0,VLOOKUP($A221,Capacity_Table,Tariff!$S$18))</f>
        <v>0.91</v>
      </c>
      <c r="L221" s="306" t="n">
        <f aca="false">IF(OR($A221&lt;Startops2,$A221&gt;=Endyr),0,VLOOKUP($A221,Capacity_Table,Tariff!$T$18))</f>
        <v>0.92</v>
      </c>
      <c r="M221" s="397" t="n">
        <f aca="false">IF($A221&lt;Startops2,0,IF($A221&lt;Startops3,VLOOKUP($A221,Convert_Table,Tariff!$Y$54),C221*D221*F221*K221*L221))</f>
        <v>289336.32</v>
      </c>
      <c r="N221" s="1544" t="str">
        <f aca="false">IF(MONTH($A221)=12,SUM(M210:M221)," ")</f>
        <v> </v>
      </c>
      <c r="O221" s="397" t="n">
        <f aca="false">IF($A221&lt;Startops2,0,IF($A221&lt;Startops3,Hr_II,Hr_III))</f>
        <v>7000</v>
      </c>
      <c r="P221" s="397" t="n">
        <f aca="false">M221*O221/1000</f>
        <v>2025354.24</v>
      </c>
      <c r="Q221" s="1545" t="str">
        <f aca="false">IF(MONTH($A221)=12,SUM(P210:P221)," ")</f>
        <v> </v>
      </c>
      <c r="R221" s="397" t="n">
        <f aca="false">IF($A221&gt;Endyr,0,IF($A221&lt;Assm!$A$55,P221,Assm!$F$55*$D221))</f>
        <v>1769187.94520548</v>
      </c>
      <c r="S221" s="1544" t="str">
        <f aca="false">IF(MONTH($A221)=12,SUM(R210:R221)," ")</f>
        <v> </v>
      </c>
      <c r="T221" s="397" t="n">
        <f aca="false">MAX(P221,R221)</f>
        <v>2025354.24</v>
      </c>
      <c r="U221" s="1546" t="str">
        <f aca="false">IF(MONTH($A221)=12,SUM(T210:T221)," ")</f>
        <v> </v>
      </c>
    </row>
    <row r="222" customFormat="false" ht="12.75" hidden="false" customHeight="false" outlineLevel="0" collapsed="false">
      <c r="A222" s="1538" t="n">
        <f aca="false">EDATE(A221,1)</f>
        <v>42644</v>
      </c>
      <c r="C222" s="1539" t="n">
        <f aca="false">IF($A222&gt;Endyr,0,VLOOKUP($A222,Capacity_Table,Tariff!$R$18))</f>
        <v>480</v>
      </c>
      <c r="D222" s="1540" t="n">
        <f aca="false">A223-A222</f>
        <v>31</v>
      </c>
      <c r="E222" s="1540" t="str">
        <f aca="false">IF(MONTH($A222)=12,SUM(D211:D222)," ")</f>
        <v> </v>
      </c>
      <c r="F222" s="1545" t="n">
        <f aca="false">F221</f>
        <v>24</v>
      </c>
      <c r="G222" s="1334" t="n">
        <f aca="false">IF(I222=0,0,I222/($C222*$D222*$F222*H222))</f>
        <v>0</v>
      </c>
      <c r="H222" s="1542" t="n">
        <f aca="false">IF(Avail_LDs_Switch=1,VLOOKUP('Plant Operations'!A222,RAC_AvailFactor_Table,RAC_LDs!$G$258),IF($A222&lt;Startops2,Tariff!$T$11,0))</f>
        <v>0</v>
      </c>
      <c r="I222" s="1543" t="n">
        <f aca="false">IF(OR($A222&lt;Startops1,$A222&gt;=Startops2),0,IF(AND($A222&gt;=DieselOps_2,$A222&lt;Startops2),VLOOKUP($A222,Diesel_Table,Tariff!$Y$41),VLOOKUP($A222,OA_Table,Tariff!$Y$26)))</f>
        <v>0</v>
      </c>
      <c r="J222" s="1544" t="str">
        <f aca="false">IF(MONTH($A222)=12,SUM(I211:I222)," ")</f>
        <v> </v>
      </c>
      <c r="K222" s="1334" t="n">
        <f aca="false">IF(OR($A222&lt;Startops2,$A222&gt;=Endyr),0,VLOOKUP($A222,Capacity_Table,Tariff!$S$18))</f>
        <v>0.91</v>
      </c>
      <c r="L222" s="306" t="n">
        <f aca="false">IF(OR($A222&lt;Startops2,$A222&gt;=Endyr),0,VLOOKUP($A222,Capacity_Table,Tariff!$T$18))</f>
        <v>0.92</v>
      </c>
      <c r="M222" s="397" t="n">
        <f aca="false">IF($A222&lt;Startops2,0,IF($A222&lt;Startops3,VLOOKUP($A222,Convert_Table,Tariff!$Y$54),C222*D222*F222*K222*L222))</f>
        <v>298980.864</v>
      </c>
      <c r="N222" s="1544" t="str">
        <f aca="false">IF(MONTH($A222)=12,SUM(M211:M222)," ")</f>
        <v> </v>
      </c>
      <c r="O222" s="397" t="n">
        <f aca="false">IF($A222&lt;Startops2,0,IF($A222&lt;Startops3,Hr_II,Hr_III))</f>
        <v>7000</v>
      </c>
      <c r="P222" s="397" t="n">
        <f aca="false">M222*O222/1000</f>
        <v>2092866.048</v>
      </c>
      <c r="Q222" s="1545" t="str">
        <f aca="false">IF(MONTH($A222)=12,SUM(P211:P222)," ")</f>
        <v> </v>
      </c>
      <c r="R222" s="397" t="n">
        <f aca="false">IF($A222&gt;Endyr,0,IF($A222&lt;Assm!$A$55,P222,Assm!$F$55*$D222))</f>
        <v>1828160.87671233</v>
      </c>
      <c r="S222" s="1544" t="str">
        <f aca="false">IF(MONTH($A222)=12,SUM(R211:R222)," ")</f>
        <v> </v>
      </c>
      <c r="T222" s="397" t="n">
        <f aca="false">MAX(P222,R222)</f>
        <v>2092866.048</v>
      </c>
      <c r="U222" s="1546" t="str">
        <f aca="false">IF(MONTH($A222)=12,SUM(T211:T222)," ")</f>
        <v> </v>
      </c>
    </row>
    <row r="223" customFormat="false" ht="12.75" hidden="false" customHeight="false" outlineLevel="0" collapsed="false">
      <c r="A223" s="1538" t="n">
        <f aca="false">EDATE(A222,1)</f>
        <v>42675</v>
      </c>
      <c r="C223" s="1539" t="n">
        <f aca="false">IF($A223&gt;Endyr,0,VLOOKUP($A223,Capacity_Table,Tariff!$R$18))</f>
        <v>480</v>
      </c>
      <c r="D223" s="1540" t="n">
        <f aca="false">A224-A223</f>
        <v>30</v>
      </c>
      <c r="E223" s="1540" t="str">
        <f aca="false">IF(MONTH($A223)=12,SUM(D212:D223)," ")</f>
        <v> </v>
      </c>
      <c r="F223" s="1545" t="n">
        <f aca="false">F222</f>
        <v>24</v>
      </c>
      <c r="G223" s="1334" t="n">
        <f aca="false">IF(I223=0,0,I223/($C223*$D223*$F223*H223))</f>
        <v>0</v>
      </c>
      <c r="H223" s="1542" t="n">
        <f aca="false">IF(Avail_LDs_Switch=1,VLOOKUP('Plant Operations'!A223,RAC_AvailFactor_Table,RAC_LDs!$G$258),IF($A223&lt;Startops2,Tariff!$T$11,0))</f>
        <v>0</v>
      </c>
      <c r="I223" s="1543" t="n">
        <f aca="false">IF(OR($A223&lt;Startops1,$A223&gt;=Startops2),0,IF(AND($A223&gt;=DieselOps_2,$A223&lt;Startops2),VLOOKUP($A223,Diesel_Table,Tariff!$Y$41),VLOOKUP($A223,OA_Table,Tariff!$Y$26)))</f>
        <v>0</v>
      </c>
      <c r="J223" s="1544" t="str">
        <f aca="false">IF(MONTH($A223)=12,SUM(I212:I223)," ")</f>
        <v> </v>
      </c>
      <c r="K223" s="1334" t="n">
        <f aca="false">IF(OR($A223&lt;Startops2,$A223&gt;=Endyr),0,VLOOKUP($A223,Capacity_Table,Tariff!$S$18))</f>
        <v>0.91</v>
      </c>
      <c r="L223" s="306" t="n">
        <f aca="false">IF(OR($A223&lt;Startops2,$A223&gt;=Endyr),0,VLOOKUP($A223,Capacity_Table,Tariff!$T$18))</f>
        <v>0.92</v>
      </c>
      <c r="M223" s="397" t="n">
        <f aca="false">IF($A223&lt;Startops2,0,IF($A223&lt;Startops3,VLOOKUP($A223,Convert_Table,Tariff!$Y$54),C223*D223*F223*K223*L223))</f>
        <v>289336.32</v>
      </c>
      <c r="N223" s="1544" t="str">
        <f aca="false">IF(MONTH($A223)=12,SUM(M212:M223)," ")</f>
        <v> </v>
      </c>
      <c r="O223" s="397" t="n">
        <f aca="false">IF($A223&lt;Startops2,0,IF($A223&lt;Startops3,Hr_II,Hr_III))</f>
        <v>7000</v>
      </c>
      <c r="P223" s="397" t="n">
        <f aca="false">M223*O223/1000</f>
        <v>2025354.24</v>
      </c>
      <c r="Q223" s="1545" t="str">
        <f aca="false">IF(MONTH($A223)=12,SUM(P212:P223)," ")</f>
        <v> </v>
      </c>
      <c r="R223" s="397" t="n">
        <f aca="false">IF($A223&gt;Endyr,0,IF($A223&lt;Assm!$A$55,P223,Assm!$F$55*$D223))</f>
        <v>1769187.94520548</v>
      </c>
      <c r="S223" s="1544" t="str">
        <f aca="false">IF(MONTH($A223)=12,SUM(R212:R223)," ")</f>
        <v> </v>
      </c>
      <c r="T223" s="397" t="n">
        <f aca="false">MAX(P223,R223)</f>
        <v>2025354.24</v>
      </c>
      <c r="U223" s="1546" t="str">
        <f aca="false">IF(MONTH($A223)=12,SUM(T212:T223)," ")</f>
        <v> </v>
      </c>
    </row>
    <row r="224" customFormat="false" ht="12.75" hidden="false" customHeight="false" outlineLevel="0" collapsed="false">
      <c r="A224" s="1538" t="n">
        <f aca="false">EDATE(A223,1)</f>
        <v>42705</v>
      </c>
      <c r="C224" s="1539" t="n">
        <f aca="false">IF($A224&gt;Endyr,0,VLOOKUP($A224,Capacity_Table,Tariff!$R$18))</f>
        <v>480</v>
      </c>
      <c r="D224" s="1540" t="n">
        <f aca="false">A225-A224</f>
        <v>31</v>
      </c>
      <c r="E224" s="1540" t="n">
        <f aca="false">IF(MONTH($A224)=12,SUM(D213:D224)," ")</f>
        <v>366</v>
      </c>
      <c r="F224" s="1545" t="n">
        <f aca="false">F223</f>
        <v>24</v>
      </c>
      <c r="G224" s="1334" t="n">
        <f aca="false">IF(I224=0,0,I224/($C224*$D224*$F224*H224))</f>
        <v>0</v>
      </c>
      <c r="H224" s="1542" t="n">
        <f aca="false">IF(Avail_LDs_Switch=1,VLOOKUP('Plant Operations'!A224,RAC_AvailFactor_Table,RAC_LDs!$G$258),IF($A224&lt;Startops2,Tariff!$T$11,0))</f>
        <v>0</v>
      </c>
      <c r="I224" s="1543" t="n">
        <f aca="false">IF(OR($A224&lt;Startops1,$A224&gt;=Startops2),0,IF(AND($A224&gt;=DieselOps_2,$A224&lt;Startops2),VLOOKUP($A224,Diesel_Table,Tariff!$Y$41),VLOOKUP($A224,OA_Table,Tariff!$Y$26)))</f>
        <v>0</v>
      </c>
      <c r="J224" s="1544" t="n">
        <f aca="false">IF(MONTH($A224)=12,SUM(I213:I224)," ")</f>
        <v>0</v>
      </c>
      <c r="K224" s="1334" t="n">
        <f aca="false">IF(OR($A224&lt;Startops2,$A224&gt;=Endyr),0,VLOOKUP($A224,Capacity_Table,Tariff!$S$18))</f>
        <v>0.91</v>
      </c>
      <c r="L224" s="306" t="n">
        <f aca="false">IF(OR($A224&lt;Startops2,$A224&gt;=Endyr),0,VLOOKUP($A224,Capacity_Table,Tariff!$T$18))</f>
        <v>0.92</v>
      </c>
      <c r="M224" s="397" t="n">
        <f aca="false">IF($A224&lt;Startops2,0,IF($A224&lt;Startops3,VLOOKUP($A224,Convert_Table,Tariff!$Y$54),C224*D224*F224*K224*L224))</f>
        <v>298980.864</v>
      </c>
      <c r="N224" s="1544" t="n">
        <f aca="false">IF(MONTH($A224)=12,SUM(M213:M224)," ")</f>
        <v>3529903.104</v>
      </c>
      <c r="O224" s="397" t="n">
        <f aca="false">IF($A224&lt;Startops2,0,IF($A224&lt;Startops3,Hr_II,Hr_III))</f>
        <v>7000</v>
      </c>
      <c r="P224" s="397" t="n">
        <f aca="false">M224*O224/1000</f>
        <v>2092866.048</v>
      </c>
      <c r="Q224" s="1545" t="n">
        <f aca="false">IF(MONTH($A224)=12,SUM(P213:P224)," ")</f>
        <v>24709321.728</v>
      </c>
      <c r="R224" s="397" t="n">
        <f aca="false">IF($A224&gt;Endyr,0,IF($A224&lt;Assm!$A$55,P224,Assm!$F$55*$D224))</f>
        <v>1828160.87671233</v>
      </c>
      <c r="S224" s="1544" t="n">
        <f aca="false">IF(MONTH($A224)=12,SUM(R213:R224)," ")</f>
        <v>21584092.9315069</v>
      </c>
      <c r="T224" s="397" t="n">
        <f aca="false">MAX(P224,R224)</f>
        <v>2092866.048</v>
      </c>
      <c r="U224" s="1546" t="n">
        <f aca="false">IF(MONTH($A224)=12,SUM(T213:T224)," ")</f>
        <v>24709321.728</v>
      </c>
    </row>
    <row r="225" customFormat="false" ht="12.75" hidden="false" customHeight="false" outlineLevel="0" collapsed="false">
      <c r="A225" s="1538" t="n">
        <f aca="false">EDATE(A224,1)</f>
        <v>42736</v>
      </c>
      <c r="C225" s="1539" t="n">
        <f aca="false">IF($A225&gt;Endyr,0,VLOOKUP($A225,Capacity_Table,Tariff!$R$18))</f>
        <v>480</v>
      </c>
      <c r="D225" s="1540" t="n">
        <f aca="false">A226-A225</f>
        <v>31</v>
      </c>
      <c r="E225" s="1540" t="str">
        <f aca="false">IF(MONTH($A225)=12,SUM(D214:D225)," ")</f>
        <v> </v>
      </c>
      <c r="F225" s="1545" t="n">
        <f aca="false">F224</f>
        <v>24</v>
      </c>
      <c r="G225" s="1334" t="n">
        <f aca="false">IF(I225=0,0,I225/($C225*$D225*$F225*H225))</f>
        <v>0</v>
      </c>
      <c r="H225" s="1542" t="n">
        <f aca="false">IF(Avail_LDs_Switch=1,VLOOKUP('Plant Operations'!A225,RAC_AvailFactor_Table,RAC_LDs!$G$258),IF($A225&lt;Startops2,Tariff!$T$11,0))</f>
        <v>0</v>
      </c>
      <c r="I225" s="1543" t="n">
        <f aca="false">IF(OR($A225&lt;Startops1,$A225&gt;=Startops2),0,IF(AND($A225&gt;=DieselOps_2,$A225&lt;Startops2),VLOOKUP($A225,Diesel_Table,Tariff!$Y$41),VLOOKUP($A225,OA_Table,Tariff!$Y$26)))</f>
        <v>0</v>
      </c>
      <c r="J225" s="1544" t="str">
        <f aca="false">IF(MONTH($A225)=12,SUM(I214:I225)," ")</f>
        <v> </v>
      </c>
      <c r="K225" s="1334" t="n">
        <f aca="false">IF(OR($A225&lt;Startops2,$A225&gt;=Endyr),0,VLOOKUP($A225,Capacity_Table,Tariff!$S$18))</f>
        <v>0.91</v>
      </c>
      <c r="L225" s="306" t="n">
        <f aca="false">IF(OR($A225&lt;Startops2,$A225&gt;=Endyr),0,VLOOKUP($A225,Capacity_Table,Tariff!$T$18))</f>
        <v>0.92</v>
      </c>
      <c r="M225" s="397" t="n">
        <f aca="false">IF($A225&lt;Startops2,0,IF($A225&lt;Startops3,VLOOKUP($A225,Convert_Table,Tariff!$Y$54),C225*D225*F225*K225*L225))</f>
        <v>298980.864</v>
      </c>
      <c r="N225" s="1544" t="str">
        <f aca="false">IF(MONTH($A225)=12,SUM(M214:M225)," ")</f>
        <v> </v>
      </c>
      <c r="O225" s="397" t="n">
        <f aca="false">IF($A225&lt;Startops2,0,IF($A225&lt;Startops3,Hr_II,Hr_III))</f>
        <v>7000</v>
      </c>
      <c r="P225" s="397" t="n">
        <f aca="false">M225*O225/1000</f>
        <v>2092866.048</v>
      </c>
      <c r="Q225" s="1545" t="str">
        <f aca="false">IF(MONTH($A225)=12,SUM(P214:P225)," ")</f>
        <v> </v>
      </c>
      <c r="R225" s="397" t="n">
        <f aca="false">IF($A225&gt;Endyr,0,IF($A225&lt;Assm!$A$55,P225,Assm!$F$55*$D225))</f>
        <v>1828160.87671233</v>
      </c>
      <c r="S225" s="1544" t="str">
        <f aca="false">IF(MONTH($A225)=12,SUM(R214:R225)," ")</f>
        <v> </v>
      </c>
      <c r="T225" s="397" t="n">
        <f aca="false">MAX(P225,R225)</f>
        <v>2092866.048</v>
      </c>
      <c r="U225" s="1546" t="str">
        <f aca="false">IF(MONTH($A225)=12,SUM(T214:T225)," ")</f>
        <v> </v>
      </c>
    </row>
    <row r="226" customFormat="false" ht="12.75" hidden="false" customHeight="false" outlineLevel="0" collapsed="false">
      <c r="A226" s="1538" t="n">
        <f aca="false">EDATE(A225,1)</f>
        <v>42767</v>
      </c>
      <c r="C226" s="1539" t="n">
        <f aca="false">IF($A226&gt;Endyr,0,VLOOKUP($A226,Capacity_Table,Tariff!$R$18))</f>
        <v>480</v>
      </c>
      <c r="D226" s="1540" t="n">
        <f aca="false">A227-A226</f>
        <v>28</v>
      </c>
      <c r="E226" s="1540" t="str">
        <f aca="false">IF(MONTH($A226)=12,SUM(D215:D226)," ")</f>
        <v> </v>
      </c>
      <c r="F226" s="1545" t="n">
        <f aca="false">F225</f>
        <v>24</v>
      </c>
      <c r="G226" s="1334" t="n">
        <f aca="false">IF(I226=0,0,I226/($C226*$D226*$F226*H226))</f>
        <v>0</v>
      </c>
      <c r="H226" s="1542" t="n">
        <f aca="false">IF(Avail_LDs_Switch=1,VLOOKUP('Plant Operations'!A226,RAC_AvailFactor_Table,RAC_LDs!$G$258),IF($A226&lt;Startops2,Tariff!$T$11,0))</f>
        <v>0</v>
      </c>
      <c r="I226" s="1543" t="n">
        <f aca="false">IF(OR($A226&lt;Startops1,$A226&gt;=Startops2),0,IF(AND($A226&gt;=DieselOps_2,$A226&lt;Startops2),VLOOKUP($A226,Diesel_Table,Tariff!$Y$41),VLOOKUP($A226,OA_Table,Tariff!$Y$26)))</f>
        <v>0</v>
      </c>
      <c r="J226" s="1544" t="str">
        <f aca="false">IF(MONTH($A226)=12,SUM(I215:I226)," ")</f>
        <v> </v>
      </c>
      <c r="K226" s="1334" t="n">
        <f aca="false">IF(OR($A226&lt;Startops2,$A226&gt;=Endyr),0,VLOOKUP($A226,Capacity_Table,Tariff!$S$18))</f>
        <v>0.91</v>
      </c>
      <c r="L226" s="306" t="n">
        <f aca="false">IF(OR($A226&lt;Startops2,$A226&gt;=Endyr),0,VLOOKUP($A226,Capacity_Table,Tariff!$T$18))</f>
        <v>0.92</v>
      </c>
      <c r="M226" s="397" t="n">
        <f aca="false">IF($A226&lt;Startops2,0,IF($A226&lt;Startops3,VLOOKUP($A226,Convert_Table,Tariff!$Y$54),C226*D226*F226*K226*L226))</f>
        <v>270047.232</v>
      </c>
      <c r="N226" s="1544" t="str">
        <f aca="false">IF(MONTH($A226)=12,SUM(M215:M226)," ")</f>
        <v> </v>
      </c>
      <c r="O226" s="397" t="n">
        <f aca="false">IF($A226&lt;Startops2,0,IF($A226&lt;Startops3,Hr_II,Hr_III))</f>
        <v>7000</v>
      </c>
      <c r="P226" s="397" t="n">
        <f aca="false">M226*O226/1000</f>
        <v>1890330.624</v>
      </c>
      <c r="Q226" s="1545" t="str">
        <f aca="false">IF(MONTH($A226)=12,SUM(P215:P226)," ")</f>
        <v> </v>
      </c>
      <c r="R226" s="397" t="n">
        <f aca="false">IF($A226&gt;Endyr,0,IF($A226&lt;Assm!$A$55,P226,Assm!$F$55*$D226))</f>
        <v>1651242.08219178</v>
      </c>
      <c r="S226" s="1544" t="str">
        <f aca="false">IF(MONTH($A226)=12,SUM(R215:R226)," ")</f>
        <v> </v>
      </c>
      <c r="T226" s="397" t="n">
        <f aca="false">MAX(P226,R226)</f>
        <v>1890330.624</v>
      </c>
      <c r="U226" s="1546" t="str">
        <f aca="false">IF(MONTH($A226)=12,SUM(T215:T226)," ")</f>
        <v> </v>
      </c>
    </row>
    <row r="227" customFormat="false" ht="12.75" hidden="false" customHeight="false" outlineLevel="0" collapsed="false">
      <c r="A227" s="1538" t="n">
        <f aca="false">EDATE(A226,1)</f>
        <v>42795</v>
      </c>
      <c r="C227" s="1539" t="n">
        <f aca="false">IF($A227&gt;Endyr,0,VLOOKUP($A227,Capacity_Table,Tariff!$R$18))</f>
        <v>480</v>
      </c>
      <c r="D227" s="1540" t="n">
        <f aca="false">A228-A227</f>
        <v>31</v>
      </c>
      <c r="E227" s="1540" t="str">
        <f aca="false">IF(MONTH($A227)=12,SUM(D216:D227)," ")</f>
        <v> </v>
      </c>
      <c r="F227" s="1545" t="n">
        <f aca="false">F226</f>
        <v>24</v>
      </c>
      <c r="G227" s="1334" t="n">
        <f aca="false">IF(I227=0,0,I227/($C227*$D227*$F227*H227))</f>
        <v>0</v>
      </c>
      <c r="H227" s="1542" t="n">
        <f aca="false">IF(Avail_LDs_Switch=1,VLOOKUP('Plant Operations'!A227,RAC_AvailFactor_Table,RAC_LDs!$G$258),IF($A227&lt;Startops2,Tariff!$T$11,0))</f>
        <v>0</v>
      </c>
      <c r="I227" s="1543" t="n">
        <f aca="false">IF(OR($A227&lt;Startops1,$A227&gt;=Startops2),0,IF(AND($A227&gt;=DieselOps_2,$A227&lt;Startops2),VLOOKUP($A227,Diesel_Table,Tariff!$Y$41),VLOOKUP($A227,OA_Table,Tariff!$Y$26)))</f>
        <v>0</v>
      </c>
      <c r="J227" s="1544" t="str">
        <f aca="false">IF(MONTH($A227)=12,SUM(I216:I227)," ")</f>
        <v> </v>
      </c>
      <c r="K227" s="1334" t="n">
        <f aca="false">IF(OR($A227&lt;Startops2,$A227&gt;=Endyr),0,VLOOKUP($A227,Capacity_Table,Tariff!$S$18))</f>
        <v>0.91</v>
      </c>
      <c r="L227" s="306" t="n">
        <f aca="false">IF(OR($A227&lt;Startops2,$A227&gt;=Endyr),0,VLOOKUP($A227,Capacity_Table,Tariff!$T$18))</f>
        <v>0.92</v>
      </c>
      <c r="M227" s="397" t="n">
        <f aca="false">IF($A227&lt;Startops2,0,IF($A227&lt;Startops3,VLOOKUP($A227,Convert_Table,Tariff!$Y$54),C227*D227*F227*K227*L227))</f>
        <v>298980.864</v>
      </c>
      <c r="N227" s="1544" t="str">
        <f aca="false">IF(MONTH($A227)=12,SUM(M216:M227)," ")</f>
        <v> </v>
      </c>
      <c r="O227" s="397" t="n">
        <f aca="false">IF($A227&lt;Startops2,0,IF($A227&lt;Startops3,Hr_II,Hr_III))</f>
        <v>7000</v>
      </c>
      <c r="P227" s="397" t="n">
        <f aca="false">M227*O227/1000</f>
        <v>2092866.048</v>
      </c>
      <c r="Q227" s="1545" t="str">
        <f aca="false">IF(MONTH($A227)=12,SUM(P216:P227)," ")</f>
        <v> </v>
      </c>
      <c r="R227" s="397" t="n">
        <f aca="false">IF($A227&gt;Endyr,0,IF($A227&lt;Assm!$A$55,P227,Assm!$F$55*$D227))</f>
        <v>1828160.87671233</v>
      </c>
      <c r="S227" s="1544" t="str">
        <f aca="false">IF(MONTH($A227)=12,SUM(R216:R227)," ")</f>
        <v> </v>
      </c>
      <c r="T227" s="397" t="n">
        <f aca="false">MAX(P227,R227)</f>
        <v>2092866.048</v>
      </c>
      <c r="U227" s="1546" t="str">
        <f aca="false">IF(MONTH($A227)=12,SUM(T216:T227)," ")</f>
        <v> </v>
      </c>
    </row>
    <row r="228" customFormat="false" ht="12.75" hidden="false" customHeight="false" outlineLevel="0" collapsed="false">
      <c r="A228" s="1538" t="n">
        <f aca="false">EDATE(A227,1)</f>
        <v>42826</v>
      </c>
      <c r="C228" s="1539" t="n">
        <f aca="false">IF($A228&gt;Endyr,0,VLOOKUP($A228,Capacity_Table,Tariff!$R$18))</f>
        <v>480</v>
      </c>
      <c r="D228" s="1540" t="n">
        <f aca="false">A229-A228</f>
        <v>30</v>
      </c>
      <c r="E228" s="1540" t="str">
        <f aca="false">IF(MONTH($A228)=12,SUM(D217:D228)," ")</f>
        <v> </v>
      </c>
      <c r="F228" s="1545" t="n">
        <f aca="false">F227</f>
        <v>24</v>
      </c>
      <c r="G228" s="1334" t="n">
        <f aca="false">IF(I228=0,0,I228/($C228*$D228*$F228*H228))</f>
        <v>0</v>
      </c>
      <c r="H228" s="1542" t="n">
        <f aca="false">IF(Avail_LDs_Switch=1,VLOOKUP('Plant Operations'!A228,RAC_AvailFactor_Table,RAC_LDs!$G$258),IF($A228&lt;Startops2,Tariff!$T$11,0))</f>
        <v>0</v>
      </c>
      <c r="I228" s="1543" t="n">
        <f aca="false">IF(OR($A228&lt;Startops1,$A228&gt;=Startops2),0,IF(AND($A228&gt;=DieselOps_2,$A228&lt;Startops2),VLOOKUP($A228,Diesel_Table,Tariff!$Y$41),VLOOKUP($A228,OA_Table,Tariff!$Y$26)))</f>
        <v>0</v>
      </c>
      <c r="J228" s="1544" t="str">
        <f aca="false">IF(MONTH($A228)=12,SUM(I217:I228)," ")</f>
        <v> </v>
      </c>
      <c r="K228" s="1334" t="n">
        <f aca="false">IF(OR($A228&lt;Startops2,$A228&gt;=Endyr),0,VLOOKUP($A228,Capacity_Table,Tariff!$S$18))</f>
        <v>0.91</v>
      </c>
      <c r="L228" s="306" t="n">
        <f aca="false">IF(OR($A228&lt;Startops2,$A228&gt;=Endyr),0,VLOOKUP($A228,Capacity_Table,Tariff!$T$18))</f>
        <v>0.92</v>
      </c>
      <c r="M228" s="397" t="n">
        <f aca="false">IF($A228&lt;Startops2,0,IF($A228&lt;Startops3,VLOOKUP($A228,Convert_Table,Tariff!$Y$54),C228*D228*F228*K228*L228))</f>
        <v>289336.32</v>
      </c>
      <c r="N228" s="1544" t="str">
        <f aca="false">IF(MONTH($A228)=12,SUM(M217:M228)," ")</f>
        <v> </v>
      </c>
      <c r="O228" s="397" t="n">
        <f aca="false">IF($A228&lt;Startops2,0,IF($A228&lt;Startops3,Hr_II,Hr_III))</f>
        <v>7000</v>
      </c>
      <c r="P228" s="397" t="n">
        <f aca="false">M228*O228/1000</f>
        <v>2025354.24</v>
      </c>
      <c r="Q228" s="1545" t="str">
        <f aca="false">IF(MONTH($A228)=12,SUM(P217:P228)," ")</f>
        <v> </v>
      </c>
      <c r="R228" s="397" t="n">
        <f aca="false">IF($A228&gt;Endyr,0,IF($A228&lt;Assm!$A$55,P228,Assm!$F$55*$D228))</f>
        <v>1769187.94520548</v>
      </c>
      <c r="S228" s="1544" t="str">
        <f aca="false">IF(MONTH($A228)=12,SUM(R217:R228)," ")</f>
        <v> </v>
      </c>
      <c r="T228" s="397" t="n">
        <f aca="false">MAX(P228,R228)</f>
        <v>2025354.24</v>
      </c>
      <c r="U228" s="1546" t="str">
        <f aca="false">IF(MONTH($A228)=12,SUM(T217:T228)," ")</f>
        <v> </v>
      </c>
    </row>
    <row r="229" customFormat="false" ht="12.75" hidden="false" customHeight="false" outlineLevel="0" collapsed="false">
      <c r="A229" s="1538" t="n">
        <f aca="false">EDATE(A228,1)</f>
        <v>42856</v>
      </c>
      <c r="C229" s="1539" t="n">
        <f aca="false">IF($A229&gt;Endyr,0,VLOOKUP($A229,Capacity_Table,Tariff!$R$18))</f>
        <v>480</v>
      </c>
      <c r="D229" s="1540" t="n">
        <f aca="false">A230-A229</f>
        <v>31</v>
      </c>
      <c r="E229" s="1540" t="str">
        <f aca="false">IF(MONTH($A229)=12,SUM(D218:D229)," ")</f>
        <v> </v>
      </c>
      <c r="F229" s="1545" t="n">
        <f aca="false">F228</f>
        <v>24</v>
      </c>
      <c r="G229" s="1334" t="n">
        <f aca="false">IF(I229=0,0,I229/($C229*$D229*$F229*H229))</f>
        <v>0</v>
      </c>
      <c r="H229" s="1542" t="n">
        <f aca="false">IF(Avail_LDs_Switch=1,VLOOKUP('Plant Operations'!A229,RAC_AvailFactor_Table,RAC_LDs!$G$258),IF($A229&lt;Startops2,Tariff!$T$11,0))</f>
        <v>0</v>
      </c>
      <c r="I229" s="1543" t="n">
        <f aca="false">IF(OR($A229&lt;Startops1,$A229&gt;=Startops2),0,IF(AND($A229&gt;=DieselOps_2,$A229&lt;Startops2),VLOOKUP($A229,Diesel_Table,Tariff!$Y$41),VLOOKUP($A229,OA_Table,Tariff!$Y$26)))</f>
        <v>0</v>
      </c>
      <c r="J229" s="1544" t="str">
        <f aca="false">IF(MONTH($A229)=12,SUM(I218:I229)," ")</f>
        <v> </v>
      </c>
      <c r="K229" s="1334" t="n">
        <f aca="false">IF(OR($A229&lt;Startops2,$A229&gt;=Endyr),0,VLOOKUP($A229,Capacity_Table,Tariff!$S$18))</f>
        <v>0.91</v>
      </c>
      <c r="L229" s="306" t="n">
        <f aca="false">IF(OR($A229&lt;Startops2,$A229&gt;=Endyr),0,VLOOKUP($A229,Capacity_Table,Tariff!$T$18))</f>
        <v>0.92</v>
      </c>
      <c r="M229" s="397" t="n">
        <f aca="false">IF($A229&lt;Startops2,0,IF($A229&lt;Startops3,VLOOKUP($A229,Convert_Table,Tariff!$Y$54),C229*D229*F229*K229*L229))</f>
        <v>298980.864</v>
      </c>
      <c r="N229" s="1544" t="str">
        <f aca="false">IF(MONTH($A229)=12,SUM(M218:M229)," ")</f>
        <v> </v>
      </c>
      <c r="O229" s="397" t="n">
        <f aca="false">IF($A229&lt;Startops2,0,IF($A229&lt;Startops3,Hr_II,Hr_III))</f>
        <v>7000</v>
      </c>
      <c r="P229" s="397" t="n">
        <f aca="false">M229*O229/1000</f>
        <v>2092866.048</v>
      </c>
      <c r="Q229" s="1545" t="str">
        <f aca="false">IF(MONTH($A229)=12,SUM(P218:P229)," ")</f>
        <v> </v>
      </c>
      <c r="R229" s="397" t="n">
        <f aca="false">IF($A229&gt;Endyr,0,IF($A229&lt;Assm!$A$55,P229,Assm!$F$55*$D229))</f>
        <v>1828160.87671233</v>
      </c>
      <c r="S229" s="1544" t="str">
        <f aca="false">IF(MONTH($A229)=12,SUM(R218:R229)," ")</f>
        <v> </v>
      </c>
      <c r="T229" s="397" t="n">
        <f aca="false">MAX(P229,R229)</f>
        <v>2092866.048</v>
      </c>
      <c r="U229" s="1546" t="str">
        <f aca="false">IF(MONTH($A229)=12,SUM(T218:T229)," ")</f>
        <v> </v>
      </c>
    </row>
    <row r="230" customFormat="false" ht="12.75" hidden="false" customHeight="false" outlineLevel="0" collapsed="false">
      <c r="A230" s="1538" t="n">
        <f aca="false">EDATE(A229,1)</f>
        <v>42887</v>
      </c>
      <c r="C230" s="1539" t="n">
        <f aca="false">IF($A230&gt;Endyr,0,VLOOKUP($A230,Capacity_Table,Tariff!$R$18))</f>
        <v>480</v>
      </c>
      <c r="D230" s="1540" t="n">
        <f aca="false">A231-A230</f>
        <v>30</v>
      </c>
      <c r="E230" s="1540" t="str">
        <f aca="false">IF(MONTH($A230)=12,SUM(D219:D230)," ")</f>
        <v> </v>
      </c>
      <c r="F230" s="1545" t="n">
        <f aca="false">F229</f>
        <v>24</v>
      </c>
      <c r="G230" s="1334" t="n">
        <f aca="false">IF(I230=0,0,I230/($C230*$D230*$F230*H230))</f>
        <v>0</v>
      </c>
      <c r="H230" s="1542" t="n">
        <f aca="false">IF(Avail_LDs_Switch=1,VLOOKUP('Plant Operations'!A230,RAC_AvailFactor_Table,RAC_LDs!$G$258),IF($A230&lt;Startops2,Tariff!$T$11,0))</f>
        <v>0</v>
      </c>
      <c r="I230" s="1543" t="n">
        <f aca="false">IF(OR($A230&lt;Startops1,$A230&gt;=Startops2),0,IF(AND($A230&gt;=DieselOps_2,$A230&lt;Startops2),VLOOKUP($A230,Diesel_Table,Tariff!$Y$41),VLOOKUP($A230,OA_Table,Tariff!$Y$26)))</f>
        <v>0</v>
      </c>
      <c r="J230" s="1544" t="str">
        <f aca="false">IF(MONTH($A230)=12,SUM(I219:I230)," ")</f>
        <v> </v>
      </c>
      <c r="K230" s="1334" t="n">
        <f aca="false">IF(OR($A230&lt;Startops2,$A230&gt;=Endyr),0,VLOOKUP($A230,Capacity_Table,Tariff!$S$18))</f>
        <v>0.91</v>
      </c>
      <c r="L230" s="306" t="n">
        <f aca="false">IF(OR($A230&lt;Startops2,$A230&gt;=Endyr),0,VLOOKUP($A230,Capacity_Table,Tariff!$T$18))</f>
        <v>0.92</v>
      </c>
      <c r="M230" s="397" t="n">
        <f aca="false">IF($A230&lt;Startops2,0,IF($A230&lt;Startops3,VLOOKUP($A230,Convert_Table,Tariff!$Y$54),C230*D230*F230*K230*L230))</f>
        <v>289336.32</v>
      </c>
      <c r="N230" s="1544" t="str">
        <f aca="false">IF(MONTH($A230)=12,SUM(M219:M230)," ")</f>
        <v> </v>
      </c>
      <c r="O230" s="397" t="n">
        <f aca="false">IF($A230&lt;Startops2,0,IF($A230&lt;Startops3,Hr_II,Hr_III))</f>
        <v>7000</v>
      </c>
      <c r="P230" s="397" t="n">
        <f aca="false">M230*O230/1000</f>
        <v>2025354.24</v>
      </c>
      <c r="Q230" s="1545" t="str">
        <f aca="false">IF(MONTH($A230)=12,SUM(P219:P230)," ")</f>
        <v> </v>
      </c>
      <c r="R230" s="397" t="n">
        <f aca="false">IF($A230&gt;Endyr,0,IF($A230&lt;Assm!$A$55,P230,Assm!$F$55*$D230))</f>
        <v>1769187.94520548</v>
      </c>
      <c r="S230" s="1544" t="str">
        <f aca="false">IF(MONTH($A230)=12,SUM(R219:R230)," ")</f>
        <v> </v>
      </c>
      <c r="T230" s="397" t="n">
        <f aca="false">MAX(P230,R230)</f>
        <v>2025354.24</v>
      </c>
      <c r="U230" s="1546" t="str">
        <f aca="false">IF(MONTH($A230)=12,SUM(T219:T230)," ")</f>
        <v> </v>
      </c>
    </row>
    <row r="231" customFormat="false" ht="12.75" hidden="false" customHeight="false" outlineLevel="0" collapsed="false">
      <c r="A231" s="1538" t="n">
        <f aca="false">EDATE(A230,1)</f>
        <v>42917</v>
      </c>
      <c r="C231" s="1539" t="n">
        <f aca="false">IF($A231&gt;Endyr,0,VLOOKUP($A231,Capacity_Table,Tariff!$R$18))</f>
        <v>480</v>
      </c>
      <c r="D231" s="1540" t="n">
        <f aca="false">A232-A231</f>
        <v>31</v>
      </c>
      <c r="E231" s="1540" t="str">
        <f aca="false">IF(MONTH($A231)=12,SUM(D220:D231)," ")</f>
        <v> </v>
      </c>
      <c r="F231" s="1545" t="n">
        <f aca="false">F230</f>
        <v>24</v>
      </c>
      <c r="G231" s="1334" t="n">
        <f aca="false">IF(I231=0,0,I231/($C231*$D231*$F231*H231))</f>
        <v>0</v>
      </c>
      <c r="H231" s="1542" t="n">
        <f aca="false">IF(Avail_LDs_Switch=1,VLOOKUP('Plant Operations'!A231,RAC_AvailFactor_Table,RAC_LDs!$G$258),IF($A231&lt;Startops2,Tariff!$T$11,0))</f>
        <v>0</v>
      </c>
      <c r="I231" s="1543" t="n">
        <f aca="false">IF(OR($A231&lt;Startops1,$A231&gt;=Startops2),0,IF(AND($A231&gt;=DieselOps_2,$A231&lt;Startops2),VLOOKUP($A231,Diesel_Table,Tariff!$Y$41),VLOOKUP($A231,OA_Table,Tariff!$Y$26)))</f>
        <v>0</v>
      </c>
      <c r="J231" s="1544" t="str">
        <f aca="false">IF(MONTH($A231)=12,SUM(I220:I231)," ")</f>
        <v> </v>
      </c>
      <c r="K231" s="1334" t="n">
        <f aca="false">IF(OR($A231&lt;Startops2,$A231&gt;=Endyr),0,VLOOKUP($A231,Capacity_Table,Tariff!$S$18))</f>
        <v>0.91</v>
      </c>
      <c r="L231" s="306" t="n">
        <f aca="false">IF(OR($A231&lt;Startops2,$A231&gt;=Endyr),0,VLOOKUP($A231,Capacity_Table,Tariff!$T$18))</f>
        <v>0.92</v>
      </c>
      <c r="M231" s="397" t="n">
        <f aca="false">IF($A231&lt;Startops2,0,IF($A231&lt;Startops3,VLOOKUP($A231,Convert_Table,Tariff!$Y$54),C231*D231*F231*K231*L231))</f>
        <v>298980.864</v>
      </c>
      <c r="N231" s="1544" t="str">
        <f aca="false">IF(MONTH($A231)=12,SUM(M220:M231)," ")</f>
        <v> </v>
      </c>
      <c r="O231" s="397" t="n">
        <f aca="false">IF($A231&lt;Startops2,0,IF($A231&lt;Startops3,Hr_II,Hr_III))</f>
        <v>7000</v>
      </c>
      <c r="P231" s="397" t="n">
        <f aca="false">M231*O231/1000</f>
        <v>2092866.048</v>
      </c>
      <c r="Q231" s="1545" t="str">
        <f aca="false">IF(MONTH($A231)=12,SUM(P220:P231)," ")</f>
        <v> </v>
      </c>
      <c r="R231" s="397" t="n">
        <f aca="false">IF($A231&gt;Endyr,0,IF($A231&lt;Assm!$A$55,P231,Assm!$F$55*$D231))</f>
        <v>1828160.87671233</v>
      </c>
      <c r="S231" s="1544" t="str">
        <f aca="false">IF(MONTH($A231)=12,SUM(R220:R231)," ")</f>
        <v> </v>
      </c>
      <c r="T231" s="397" t="n">
        <f aca="false">MAX(P231,R231)</f>
        <v>2092866.048</v>
      </c>
      <c r="U231" s="1546" t="str">
        <f aca="false">IF(MONTH($A231)=12,SUM(T220:T231)," ")</f>
        <v> </v>
      </c>
    </row>
    <row r="232" customFormat="false" ht="12.75" hidden="false" customHeight="false" outlineLevel="0" collapsed="false">
      <c r="A232" s="1538" t="n">
        <f aca="false">EDATE(A231,1)</f>
        <v>42948</v>
      </c>
      <c r="C232" s="1539" t="n">
        <f aca="false">IF($A232&gt;Endyr,0,VLOOKUP($A232,Capacity_Table,Tariff!$R$18))</f>
        <v>480</v>
      </c>
      <c r="D232" s="1540" t="n">
        <f aca="false">A233-A232</f>
        <v>31</v>
      </c>
      <c r="E232" s="1540" t="str">
        <f aca="false">IF(MONTH($A232)=12,SUM(D221:D232)," ")</f>
        <v> </v>
      </c>
      <c r="F232" s="1545" t="n">
        <f aca="false">F231</f>
        <v>24</v>
      </c>
      <c r="G232" s="1334" t="n">
        <f aca="false">IF(I232=0,0,I232/($C232*$D232*$F232*H232))</f>
        <v>0</v>
      </c>
      <c r="H232" s="1542" t="n">
        <f aca="false">IF(Avail_LDs_Switch=1,VLOOKUP('Plant Operations'!A232,RAC_AvailFactor_Table,RAC_LDs!$G$258),IF($A232&lt;Startops2,Tariff!$T$11,0))</f>
        <v>0</v>
      </c>
      <c r="I232" s="1543" t="n">
        <f aca="false">IF(OR($A232&lt;Startops1,$A232&gt;=Startops2),0,IF(AND($A232&gt;=DieselOps_2,$A232&lt;Startops2),VLOOKUP($A232,Diesel_Table,Tariff!$Y$41),VLOOKUP($A232,OA_Table,Tariff!$Y$26)))</f>
        <v>0</v>
      </c>
      <c r="J232" s="1544" t="str">
        <f aca="false">IF(MONTH($A232)=12,SUM(I221:I232)," ")</f>
        <v> </v>
      </c>
      <c r="K232" s="1334" t="n">
        <f aca="false">IF(OR($A232&lt;Startops2,$A232&gt;=Endyr),0,VLOOKUP($A232,Capacity_Table,Tariff!$S$18))</f>
        <v>0.91</v>
      </c>
      <c r="L232" s="306" t="n">
        <f aca="false">IF(OR($A232&lt;Startops2,$A232&gt;=Endyr),0,VLOOKUP($A232,Capacity_Table,Tariff!$T$18))</f>
        <v>0.92</v>
      </c>
      <c r="M232" s="397" t="n">
        <f aca="false">IF($A232&lt;Startops2,0,IF($A232&lt;Startops3,VLOOKUP($A232,Convert_Table,Tariff!$Y$54),C232*D232*F232*K232*L232))</f>
        <v>298980.864</v>
      </c>
      <c r="N232" s="1544" t="str">
        <f aca="false">IF(MONTH($A232)=12,SUM(M221:M232)," ")</f>
        <v> </v>
      </c>
      <c r="O232" s="397" t="n">
        <f aca="false">IF($A232&lt;Startops2,0,IF($A232&lt;Startops3,Hr_II,Hr_III))</f>
        <v>7000</v>
      </c>
      <c r="P232" s="397" t="n">
        <f aca="false">M232*O232/1000</f>
        <v>2092866.048</v>
      </c>
      <c r="Q232" s="1545" t="str">
        <f aca="false">IF(MONTH($A232)=12,SUM(P221:P232)," ")</f>
        <v> </v>
      </c>
      <c r="R232" s="397" t="n">
        <f aca="false">IF($A232&gt;Endyr,0,IF($A232&lt;Assm!$A$55,P232,Assm!$F$55*$D232))</f>
        <v>1828160.87671233</v>
      </c>
      <c r="S232" s="1544" t="str">
        <f aca="false">IF(MONTH($A232)=12,SUM(R221:R232)," ")</f>
        <v> </v>
      </c>
      <c r="T232" s="397" t="n">
        <f aca="false">MAX(P232,R232)</f>
        <v>2092866.048</v>
      </c>
      <c r="U232" s="1546" t="str">
        <f aca="false">IF(MONTH($A232)=12,SUM(T221:T232)," ")</f>
        <v> </v>
      </c>
    </row>
    <row r="233" customFormat="false" ht="12.75" hidden="false" customHeight="false" outlineLevel="0" collapsed="false">
      <c r="A233" s="1538" t="n">
        <f aca="false">EDATE(A232,1)</f>
        <v>42979</v>
      </c>
      <c r="C233" s="1539" t="n">
        <f aca="false">IF($A233&gt;Endyr,0,VLOOKUP($A233,Capacity_Table,Tariff!$R$18))</f>
        <v>480</v>
      </c>
      <c r="D233" s="1540" t="n">
        <f aca="false">A234-A233</f>
        <v>30</v>
      </c>
      <c r="E233" s="1540" t="str">
        <f aca="false">IF(MONTH($A233)=12,SUM(D222:D233)," ")</f>
        <v> </v>
      </c>
      <c r="F233" s="1545" t="n">
        <f aca="false">F232</f>
        <v>24</v>
      </c>
      <c r="G233" s="1334" t="n">
        <f aca="false">IF(I233=0,0,I233/($C233*$D233*$F233*H233))</f>
        <v>0</v>
      </c>
      <c r="H233" s="1542" t="n">
        <f aca="false">IF(Avail_LDs_Switch=1,VLOOKUP('Plant Operations'!A233,RAC_AvailFactor_Table,RAC_LDs!$G$258),IF($A233&lt;Startops2,Tariff!$T$11,0))</f>
        <v>0</v>
      </c>
      <c r="I233" s="1543" t="n">
        <f aca="false">IF(OR($A233&lt;Startops1,$A233&gt;=Startops2),0,IF(AND($A233&gt;=DieselOps_2,$A233&lt;Startops2),VLOOKUP($A233,Diesel_Table,Tariff!$Y$41),VLOOKUP($A233,OA_Table,Tariff!$Y$26)))</f>
        <v>0</v>
      </c>
      <c r="J233" s="1544" t="str">
        <f aca="false">IF(MONTH($A233)=12,SUM(I222:I233)," ")</f>
        <v> </v>
      </c>
      <c r="K233" s="1334" t="n">
        <f aca="false">IF(OR($A233&lt;Startops2,$A233&gt;=Endyr),0,VLOOKUP($A233,Capacity_Table,Tariff!$S$18))</f>
        <v>0.91</v>
      </c>
      <c r="L233" s="306" t="n">
        <f aca="false">IF(OR($A233&lt;Startops2,$A233&gt;=Endyr),0,VLOOKUP($A233,Capacity_Table,Tariff!$T$18))</f>
        <v>0.92</v>
      </c>
      <c r="M233" s="397" t="n">
        <f aca="false">IF($A233&lt;Startops2,0,IF($A233&lt;Startops3,VLOOKUP($A233,Convert_Table,Tariff!$Y$54),C233*D233*F233*K233*L233))</f>
        <v>289336.32</v>
      </c>
      <c r="N233" s="1544" t="str">
        <f aca="false">IF(MONTH($A233)=12,SUM(M222:M233)," ")</f>
        <v> </v>
      </c>
      <c r="O233" s="397" t="n">
        <f aca="false">IF($A233&lt;Startops2,0,IF($A233&lt;Startops3,Hr_II,Hr_III))</f>
        <v>7000</v>
      </c>
      <c r="P233" s="397" t="n">
        <f aca="false">M233*O233/1000</f>
        <v>2025354.24</v>
      </c>
      <c r="Q233" s="1545" t="str">
        <f aca="false">IF(MONTH($A233)=12,SUM(P222:P233)," ")</f>
        <v> </v>
      </c>
      <c r="R233" s="397" t="n">
        <f aca="false">IF($A233&gt;Endyr,0,IF($A233&lt;Assm!$A$55,P233,Assm!$F$55*$D233))</f>
        <v>1769187.94520548</v>
      </c>
      <c r="S233" s="1544" t="str">
        <f aca="false">IF(MONTH($A233)=12,SUM(R222:R233)," ")</f>
        <v> </v>
      </c>
      <c r="T233" s="397" t="n">
        <f aca="false">MAX(P233,R233)</f>
        <v>2025354.24</v>
      </c>
      <c r="U233" s="1546" t="str">
        <f aca="false">IF(MONTH($A233)=12,SUM(T222:T233)," ")</f>
        <v> </v>
      </c>
    </row>
    <row r="234" customFormat="false" ht="12.75" hidden="false" customHeight="false" outlineLevel="0" collapsed="false">
      <c r="A234" s="1538" t="n">
        <f aca="false">EDATE(A233,1)</f>
        <v>43009</v>
      </c>
      <c r="C234" s="1539" t="n">
        <f aca="false">IF($A234&gt;Endyr,0,VLOOKUP($A234,Capacity_Table,Tariff!$R$18))</f>
        <v>480</v>
      </c>
      <c r="D234" s="1540" t="n">
        <f aca="false">A235-A234</f>
        <v>31</v>
      </c>
      <c r="E234" s="1540" t="str">
        <f aca="false">IF(MONTH($A234)=12,SUM(D223:D234)," ")</f>
        <v> </v>
      </c>
      <c r="F234" s="1545" t="n">
        <f aca="false">F233</f>
        <v>24</v>
      </c>
      <c r="G234" s="1334" t="n">
        <f aca="false">IF(I234=0,0,I234/($C234*$D234*$F234*H234))</f>
        <v>0</v>
      </c>
      <c r="H234" s="1542" t="n">
        <f aca="false">IF(Avail_LDs_Switch=1,VLOOKUP('Plant Operations'!A234,RAC_AvailFactor_Table,RAC_LDs!$G$258),IF($A234&lt;Startops2,Tariff!$T$11,0))</f>
        <v>0</v>
      </c>
      <c r="I234" s="1543" t="n">
        <f aca="false">IF(OR($A234&lt;Startops1,$A234&gt;=Startops2),0,IF(AND($A234&gt;=DieselOps_2,$A234&lt;Startops2),VLOOKUP($A234,Diesel_Table,Tariff!$Y$41),VLOOKUP($A234,OA_Table,Tariff!$Y$26)))</f>
        <v>0</v>
      </c>
      <c r="J234" s="1544" t="str">
        <f aca="false">IF(MONTH($A234)=12,SUM(I223:I234)," ")</f>
        <v> </v>
      </c>
      <c r="K234" s="1334" t="n">
        <f aca="false">IF(OR($A234&lt;Startops2,$A234&gt;=Endyr),0,VLOOKUP($A234,Capacity_Table,Tariff!$S$18))</f>
        <v>0.91</v>
      </c>
      <c r="L234" s="306" t="n">
        <f aca="false">IF(OR($A234&lt;Startops2,$A234&gt;=Endyr),0,VLOOKUP($A234,Capacity_Table,Tariff!$T$18))</f>
        <v>0.92</v>
      </c>
      <c r="M234" s="397" t="n">
        <f aca="false">IF($A234&lt;Startops2,0,IF($A234&lt;Startops3,VLOOKUP($A234,Convert_Table,Tariff!$Y$54),C234*D234*F234*K234*L234))</f>
        <v>298980.864</v>
      </c>
      <c r="N234" s="1544" t="str">
        <f aca="false">IF(MONTH($A234)=12,SUM(M223:M234)," ")</f>
        <v> </v>
      </c>
      <c r="O234" s="397" t="n">
        <f aca="false">IF($A234&lt;Startops2,0,IF($A234&lt;Startops3,Hr_II,Hr_III))</f>
        <v>7000</v>
      </c>
      <c r="P234" s="397" t="n">
        <f aca="false">M234*O234/1000</f>
        <v>2092866.048</v>
      </c>
      <c r="Q234" s="1545" t="str">
        <f aca="false">IF(MONTH($A234)=12,SUM(P223:P234)," ")</f>
        <v> </v>
      </c>
      <c r="R234" s="397" t="n">
        <f aca="false">IF($A234&gt;Endyr,0,IF($A234&lt;Assm!$A$55,P234,Assm!$F$55*$D234))</f>
        <v>1828160.87671233</v>
      </c>
      <c r="S234" s="1544" t="str">
        <f aca="false">IF(MONTH($A234)=12,SUM(R223:R234)," ")</f>
        <v> </v>
      </c>
      <c r="T234" s="397" t="n">
        <f aca="false">MAX(P234,R234)</f>
        <v>2092866.048</v>
      </c>
      <c r="U234" s="1546" t="str">
        <f aca="false">IF(MONTH($A234)=12,SUM(T223:T234)," ")</f>
        <v> </v>
      </c>
    </row>
    <row r="235" customFormat="false" ht="12.75" hidden="false" customHeight="false" outlineLevel="0" collapsed="false">
      <c r="A235" s="1538" t="n">
        <f aca="false">EDATE(A234,1)</f>
        <v>43040</v>
      </c>
      <c r="C235" s="1539" t="n">
        <f aca="false">IF($A235&gt;Endyr,0,VLOOKUP($A235,Capacity_Table,Tariff!$R$18))</f>
        <v>480</v>
      </c>
      <c r="D235" s="1540" t="n">
        <f aca="false">A236-A235</f>
        <v>30</v>
      </c>
      <c r="E235" s="1540" t="str">
        <f aca="false">IF(MONTH($A235)=12,SUM(D224:D235)," ")</f>
        <v> </v>
      </c>
      <c r="F235" s="1545" t="n">
        <f aca="false">F234</f>
        <v>24</v>
      </c>
      <c r="G235" s="1334" t="n">
        <f aca="false">IF(I235=0,0,I235/($C235*$D235*$F235*H235))</f>
        <v>0</v>
      </c>
      <c r="H235" s="1542" t="n">
        <f aca="false">IF(Avail_LDs_Switch=1,VLOOKUP('Plant Operations'!A235,RAC_AvailFactor_Table,RAC_LDs!$G$258),IF($A235&lt;Startops2,Tariff!$T$11,0))</f>
        <v>0</v>
      </c>
      <c r="I235" s="1543" t="n">
        <f aca="false">IF(OR($A235&lt;Startops1,$A235&gt;=Startops2),0,IF(AND($A235&gt;=DieselOps_2,$A235&lt;Startops2),VLOOKUP($A235,Diesel_Table,Tariff!$Y$41),VLOOKUP($A235,OA_Table,Tariff!$Y$26)))</f>
        <v>0</v>
      </c>
      <c r="J235" s="1544" t="str">
        <f aca="false">IF(MONTH($A235)=12,SUM(I224:I235)," ")</f>
        <v> </v>
      </c>
      <c r="K235" s="1334" t="n">
        <f aca="false">IF(OR($A235&lt;Startops2,$A235&gt;=Endyr),0,VLOOKUP($A235,Capacity_Table,Tariff!$S$18))</f>
        <v>0.91</v>
      </c>
      <c r="L235" s="306" t="n">
        <f aca="false">IF(OR($A235&lt;Startops2,$A235&gt;=Endyr),0,VLOOKUP($A235,Capacity_Table,Tariff!$T$18))</f>
        <v>0.92</v>
      </c>
      <c r="M235" s="397" t="n">
        <f aca="false">IF($A235&lt;Startops2,0,IF($A235&lt;Startops3,VLOOKUP($A235,Convert_Table,Tariff!$Y$54),C235*D235*F235*K235*L235))</f>
        <v>289336.32</v>
      </c>
      <c r="N235" s="1544" t="str">
        <f aca="false">IF(MONTH($A235)=12,SUM(M224:M235)," ")</f>
        <v> </v>
      </c>
      <c r="O235" s="397" t="n">
        <f aca="false">IF($A235&lt;Startops2,0,IF($A235&lt;Startops3,Hr_II,Hr_III))</f>
        <v>7000</v>
      </c>
      <c r="P235" s="397" t="n">
        <f aca="false">M235*O235/1000</f>
        <v>2025354.24</v>
      </c>
      <c r="Q235" s="1545" t="str">
        <f aca="false">IF(MONTH($A235)=12,SUM(P224:P235)," ")</f>
        <v> </v>
      </c>
      <c r="R235" s="397" t="n">
        <f aca="false">IF($A235&gt;Endyr,0,IF($A235&lt;Assm!$A$55,P235,Assm!$F$55*$D235))</f>
        <v>1769187.94520548</v>
      </c>
      <c r="S235" s="1544" t="str">
        <f aca="false">IF(MONTH($A235)=12,SUM(R224:R235)," ")</f>
        <v> </v>
      </c>
      <c r="T235" s="397" t="n">
        <f aca="false">MAX(P235,R235)</f>
        <v>2025354.24</v>
      </c>
      <c r="U235" s="1546" t="str">
        <f aca="false">IF(MONTH($A235)=12,SUM(T224:T235)," ")</f>
        <v> </v>
      </c>
    </row>
    <row r="236" customFormat="false" ht="12.75" hidden="false" customHeight="false" outlineLevel="0" collapsed="false">
      <c r="A236" s="1538" t="n">
        <f aca="false">EDATE(A235,1)</f>
        <v>43070</v>
      </c>
      <c r="C236" s="1539" t="n">
        <f aca="false">IF($A236&gt;Endyr,0,VLOOKUP($A236,Capacity_Table,Tariff!$R$18))</f>
        <v>480</v>
      </c>
      <c r="D236" s="1540" t="n">
        <f aca="false">A237-A236</f>
        <v>31</v>
      </c>
      <c r="E236" s="1540" t="n">
        <f aca="false">IF(MONTH($A236)=12,SUM(D225:D236)," ")</f>
        <v>365</v>
      </c>
      <c r="F236" s="1545" t="n">
        <f aca="false">F235</f>
        <v>24</v>
      </c>
      <c r="G236" s="1334" t="n">
        <f aca="false">IF(I236=0,0,I236/($C236*$D236*$F236*H236))</f>
        <v>0</v>
      </c>
      <c r="H236" s="1542" t="n">
        <f aca="false">IF(Avail_LDs_Switch=1,VLOOKUP('Plant Operations'!A236,RAC_AvailFactor_Table,RAC_LDs!$G$258),IF($A236&lt;Startops2,Tariff!$T$11,0))</f>
        <v>0</v>
      </c>
      <c r="I236" s="1543" t="n">
        <f aca="false">IF(OR($A236&lt;Startops1,$A236&gt;=Startops2),0,IF(AND($A236&gt;=DieselOps_2,$A236&lt;Startops2),VLOOKUP($A236,Diesel_Table,Tariff!$Y$41),VLOOKUP($A236,OA_Table,Tariff!$Y$26)))</f>
        <v>0</v>
      </c>
      <c r="J236" s="1544" t="n">
        <f aca="false">IF(MONTH($A236)=12,SUM(I225:I236)," ")</f>
        <v>0</v>
      </c>
      <c r="K236" s="1334" t="n">
        <f aca="false">IF(OR($A236&lt;Startops2,$A236&gt;=Endyr),0,VLOOKUP($A236,Capacity_Table,Tariff!$S$18))</f>
        <v>0.91</v>
      </c>
      <c r="L236" s="306" t="n">
        <f aca="false">IF(OR($A236&lt;Startops2,$A236&gt;=Endyr),0,VLOOKUP($A236,Capacity_Table,Tariff!$T$18))</f>
        <v>0.92</v>
      </c>
      <c r="M236" s="397" t="n">
        <f aca="false">IF($A236&lt;Startops2,0,IF($A236&lt;Startops3,VLOOKUP($A236,Convert_Table,Tariff!$Y$54),C236*D236*F236*K236*L236))</f>
        <v>298980.864</v>
      </c>
      <c r="N236" s="1544" t="n">
        <f aca="false">IF(MONTH($A236)=12,SUM(M225:M236)," ")</f>
        <v>3520258.56</v>
      </c>
      <c r="O236" s="397" t="n">
        <f aca="false">IF($A236&lt;Startops2,0,IF($A236&lt;Startops3,Hr_II,Hr_III))</f>
        <v>7000</v>
      </c>
      <c r="P236" s="397" t="n">
        <f aca="false">M236*O236/1000</f>
        <v>2092866.048</v>
      </c>
      <c r="Q236" s="1545" t="n">
        <f aca="false">IF(MONTH($A236)=12,SUM(P225:P236)," ")</f>
        <v>24641809.92</v>
      </c>
      <c r="R236" s="397" t="n">
        <f aca="false">IF($A236&gt;Endyr,0,IF($A236&lt;Assm!$A$55,P236,Assm!$F$55*$D236))</f>
        <v>1828160.87671233</v>
      </c>
      <c r="S236" s="1544" t="n">
        <f aca="false">IF(MONTH($A236)=12,SUM(R225:R236)," ")</f>
        <v>21525120</v>
      </c>
      <c r="T236" s="397" t="n">
        <f aca="false">MAX(P236,R236)</f>
        <v>2092866.048</v>
      </c>
      <c r="U236" s="1546" t="n">
        <f aca="false">IF(MONTH($A236)=12,SUM(T225:T236)," ")</f>
        <v>24641809.92</v>
      </c>
    </row>
    <row r="237" customFormat="false" ht="12.75" hidden="false" customHeight="false" outlineLevel="0" collapsed="false">
      <c r="A237" s="1538" t="n">
        <f aca="false">EDATE(A236,1)</f>
        <v>43101</v>
      </c>
      <c r="C237" s="1539" t="n">
        <f aca="false">IF($A237&gt;Endyr,0,VLOOKUP($A237,Capacity_Table,Tariff!$R$18))</f>
        <v>480</v>
      </c>
      <c r="D237" s="1540" t="n">
        <f aca="false">A238-A237</f>
        <v>31</v>
      </c>
      <c r="E237" s="1540" t="str">
        <f aca="false">IF(MONTH($A237)=12,SUM(D226:D237)," ")</f>
        <v> </v>
      </c>
      <c r="F237" s="1545" t="n">
        <f aca="false">F236</f>
        <v>24</v>
      </c>
      <c r="G237" s="1334" t="n">
        <f aca="false">IF(I237=0,0,I237/($C237*$D237*$F237*H237))</f>
        <v>0</v>
      </c>
      <c r="H237" s="1542" t="n">
        <f aca="false">IF(Avail_LDs_Switch=1,VLOOKUP('Plant Operations'!A237,RAC_AvailFactor_Table,RAC_LDs!$G$258),IF($A237&lt;Startops2,Tariff!$T$11,0))</f>
        <v>0</v>
      </c>
      <c r="I237" s="1543" t="n">
        <f aca="false">IF(OR($A237&lt;Startops1,$A237&gt;=Startops2),0,IF(AND($A237&gt;=DieselOps_2,$A237&lt;Startops2),VLOOKUP($A237,Diesel_Table,Tariff!$Y$41),VLOOKUP($A237,OA_Table,Tariff!$Y$26)))</f>
        <v>0</v>
      </c>
      <c r="J237" s="1544" t="str">
        <f aca="false">IF(MONTH($A237)=12,SUM(I226:I237)," ")</f>
        <v> </v>
      </c>
      <c r="K237" s="1334" t="n">
        <f aca="false">IF(OR($A237&lt;Startops2,$A237&gt;=Endyr),0,VLOOKUP($A237,Capacity_Table,Tariff!$S$18))</f>
        <v>0.91</v>
      </c>
      <c r="L237" s="306" t="n">
        <f aca="false">IF(OR($A237&lt;Startops2,$A237&gt;=Endyr),0,VLOOKUP($A237,Capacity_Table,Tariff!$T$18))</f>
        <v>0.92</v>
      </c>
      <c r="M237" s="397" t="n">
        <f aca="false">IF($A237&lt;Startops2,0,IF($A237&lt;Startops3,VLOOKUP($A237,Convert_Table,Tariff!$Y$54),C237*D237*F237*K237*L237))</f>
        <v>298980.864</v>
      </c>
      <c r="N237" s="1544" t="str">
        <f aca="false">IF(MONTH($A237)=12,SUM(M226:M237)," ")</f>
        <v> </v>
      </c>
      <c r="O237" s="397" t="n">
        <f aca="false">IF($A237&lt;Startops2,0,IF($A237&lt;Startops3,Hr_II,Hr_III))</f>
        <v>7000</v>
      </c>
      <c r="P237" s="397" t="n">
        <f aca="false">M237*O237/1000</f>
        <v>2092866.048</v>
      </c>
      <c r="Q237" s="1545" t="str">
        <f aca="false">IF(MONTH($A237)=12,SUM(P226:P237)," ")</f>
        <v> </v>
      </c>
      <c r="R237" s="397" t="n">
        <f aca="false">IF($A237&gt;Endyr,0,IF($A237&lt;Assm!$A$55,P237,Assm!$F$55*$D237))</f>
        <v>1828160.87671233</v>
      </c>
      <c r="S237" s="1544" t="str">
        <f aca="false">IF(MONTH($A237)=12,SUM(R226:R237)," ")</f>
        <v> </v>
      </c>
      <c r="T237" s="397" t="n">
        <f aca="false">MAX(P237,R237)</f>
        <v>2092866.048</v>
      </c>
      <c r="U237" s="1546" t="str">
        <f aca="false">IF(MONTH($A237)=12,SUM(T226:T237)," ")</f>
        <v> </v>
      </c>
    </row>
    <row r="238" customFormat="false" ht="12.75" hidden="false" customHeight="false" outlineLevel="0" collapsed="false">
      <c r="A238" s="1538" t="n">
        <f aca="false">EDATE(A237,1)</f>
        <v>43132</v>
      </c>
      <c r="C238" s="1539" t="n">
        <f aca="false">IF($A238&gt;Endyr,0,VLOOKUP($A238,Capacity_Table,Tariff!$R$18))</f>
        <v>480</v>
      </c>
      <c r="D238" s="1540" t="n">
        <f aca="false">A239-A238</f>
        <v>28</v>
      </c>
      <c r="E238" s="1540" t="str">
        <f aca="false">IF(MONTH($A238)=12,SUM(D227:D238)," ")</f>
        <v> </v>
      </c>
      <c r="F238" s="1545" t="n">
        <f aca="false">F237</f>
        <v>24</v>
      </c>
      <c r="G238" s="1334" t="n">
        <f aca="false">IF(I238=0,0,I238/($C238*$D238*$F238*H238))</f>
        <v>0</v>
      </c>
      <c r="H238" s="1542" t="n">
        <f aca="false">IF(Avail_LDs_Switch=1,VLOOKUP('Plant Operations'!A238,RAC_AvailFactor_Table,RAC_LDs!$G$258),IF($A238&lt;Startops2,Tariff!$T$11,0))</f>
        <v>0</v>
      </c>
      <c r="I238" s="1543" t="n">
        <f aca="false">IF(OR($A238&lt;Startops1,$A238&gt;=Startops2),0,IF(AND($A238&gt;=DieselOps_2,$A238&lt;Startops2),VLOOKUP($A238,Diesel_Table,Tariff!$Y$41),VLOOKUP($A238,OA_Table,Tariff!$Y$26)))</f>
        <v>0</v>
      </c>
      <c r="J238" s="1544" t="str">
        <f aca="false">IF(MONTH($A238)=12,SUM(I227:I238)," ")</f>
        <v> </v>
      </c>
      <c r="K238" s="1334" t="n">
        <f aca="false">IF(OR($A238&lt;Startops2,$A238&gt;=Endyr),0,VLOOKUP($A238,Capacity_Table,Tariff!$S$18))</f>
        <v>0.91</v>
      </c>
      <c r="L238" s="306" t="n">
        <f aca="false">IF(OR($A238&lt;Startops2,$A238&gt;=Endyr),0,VLOOKUP($A238,Capacity_Table,Tariff!$T$18))</f>
        <v>0.92</v>
      </c>
      <c r="M238" s="397" t="n">
        <f aca="false">IF($A238&lt;Startops2,0,IF($A238&lt;Startops3,VLOOKUP($A238,Convert_Table,Tariff!$Y$54),C238*D238*F238*K238*L238))</f>
        <v>270047.232</v>
      </c>
      <c r="N238" s="1544" t="str">
        <f aca="false">IF(MONTH($A238)=12,SUM(M227:M238)," ")</f>
        <v> </v>
      </c>
      <c r="O238" s="397" t="n">
        <f aca="false">IF($A238&lt;Startops2,0,IF($A238&lt;Startops3,Hr_II,Hr_III))</f>
        <v>7000</v>
      </c>
      <c r="P238" s="397" t="n">
        <f aca="false">M238*O238/1000</f>
        <v>1890330.624</v>
      </c>
      <c r="Q238" s="1545" t="str">
        <f aca="false">IF(MONTH($A238)=12,SUM(P227:P238)," ")</f>
        <v> </v>
      </c>
      <c r="R238" s="397" t="n">
        <f aca="false">IF($A238&gt;Endyr,0,IF($A238&lt;Assm!$A$55,P238,Assm!$F$55*$D238))</f>
        <v>1651242.08219178</v>
      </c>
      <c r="S238" s="1544" t="str">
        <f aca="false">IF(MONTH($A238)=12,SUM(R227:R238)," ")</f>
        <v> </v>
      </c>
      <c r="T238" s="397" t="n">
        <f aca="false">MAX(P238,R238)</f>
        <v>1890330.624</v>
      </c>
      <c r="U238" s="1546" t="str">
        <f aca="false">IF(MONTH($A238)=12,SUM(T227:T238)," ")</f>
        <v> </v>
      </c>
    </row>
    <row r="239" customFormat="false" ht="12.75" hidden="false" customHeight="false" outlineLevel="0" collapsed="false">
      <c r="A239" s="1538" t="n">
        <f aca="false">EDATE(A238,1)</f>
        <v>43160</v>
      </c>
      <c r="C239" s="1539" t="n">
        <f aca="false">IF($A239&gt;Endyr,0,VLOOKUP($A239,Capacity_Table,Tariff!$R$18))</f>
        <v>480</v>
      </c>
      <c r="D239" s="1540" t="n">
        <f aca="false">A240-A239</f>
        <v>31</v>
      </c>
      <c r="E239" s="1540" t="str">
        <f aca="false">IF(MONTH($A239)=12,SUM(D228:D239)," ")</f>
        <v> </v>
      </c>
      <c r="F239" s="1545" t="n">
        <f aca="false">F238</f>
        <v>24</v>
      </c>
      <c r="G239" s="1334" t="n">
        <f aca="false">IF(I239=0,0,I239/($C239*$D239*$F239*H239))</f>
        <v>0</v>
      </c>
      <c r="H239" s="1542" t="n">
        <f aca="false">IF(Avail_LDs_Switch=1,VLOOKUP('Plant Operations'!A239,RAC_AvailFactor_Table,RAC_LDs!$G$258),IF($A239&lt;Startops2,Tariff!$T$11,0))</f>
        <v>0</v>
      </c>
      <c r="I239" s="1543" t="n">
        <f aca="false">IF(OR($A239&lt;Startops1,$A239&gt;=Startops2),0,IF(AND($A239&gt;=DieselOps_2,$A239&lt;Startops2),VLOOKUP($A239,Diesel_Table,Tariff!$Y$41),VLOOKUP($A239,OA_Table,Tariff!$Y$26)))</f>
        <v>0</v>
      </c>
      <c r="J239" s="1544" t="str">
        <f aca="false">IF(MONTH($A239)=12,SUM(I228:I239)," ")</f>
        <v> </v>
      </c>
      <c r="K239" s="1334" t="n">
        <f aca="false">IF(OR($A239&lt;Startops2,$A239&gt;=Endyr),0,VLOOKUP($A239,Capacity_Table,Tariff!$S$18))</f>
        <v>0.91</v>
      </c>
      <c r="L239" s="306" t="n">
        <f aca="false">IF(OR($A239&lt;Startops2,$A239&gt;=Endyr),0,VLOOKUP($A239,Capacity_Table,Tariff!$T$18))</f>
        <v>0.92</v>
      </c>
      <c r="M239" s="397" t="n">
        <f aca="false">IF($A239&lt;Startops2,0,IF($A239&lt;Startops3,VLOOKUP($A239,Convert_Table,Tariff!$Y$54),C239*D239*F239*K239*L239))</f>
        <v>298980.864</v>
      </c>
      <c r="N239" s="1544" t="str">
        <f aca="false">IF(MONTH($A239)=12,SUM(M228:M239)," ")</f>
        <v> </v>
      </c>
      <c r="O239" s="397" t="n">
        <f aca="false">IF($A239&lt;Startops2,0,IF($A239&lt;Startops3,Hr_II,Hr_III))</f>
        <v>7000</v>
      </c>
      <c r="P239" s="397" t="n">
        <f aca="false">M239*O239/1000</f>
        <v>2092866.048</v>
      </c>
      <c r="Q239" s="1545" t="str">
        <f aca="false">IF(MONTH($A239)=12,SUM(P228:P239)," ")</f>
        <v> </v>
      </c>
      <c r="R239" s="397" t="n">
        <f aca="false">IF($A239&gt;Endyr,0,IF($A239&lt;Assm!$A$55,P239,Assm!$F$55*$D239))</f>
        <v>1828160.87671233</v>
      </c>
      <c r="S239" s="1544" t="str">
        <f aca="false">IF(MONTH($A239)=12,SUM(R228:R239)," ")</f>
        <v> </v>
      </c>
      <c r="T239" s="397" t="n">
        <f aca="false">MAX(P239,R239)</f>
        <v>2092866.048</v>
      </c>
      <c r="U239" s="1546" t="str">
        <f aca="false">IF(MONTH($A239)=12,SUM(T228:T239)," ")</f>
        <v> </v>
      </c>
    </row>
    <row r="240" customFormat="false" ht="12.75" hidden="false" customHeight="false" outlineLevel="0" collapsed="false">
      <c r="A240" s="1538" t="n">
        <f aca="false">EDATE(A239,1)</f>
        <v>43191</v>
      </c>
      <c r="C240" s="1539" t="n">
        <f aca="false">IF($A240&gt;Endyr,0,VLOOKUP($A240,Capacity_Table,Tariff!$R$18))</f>
        <v>480</v>
      </c>
      <c r="D240" s="1540" t="n">
        <f aca="false">A241-A240</f>
        <v>30</v>
      </c>
      <c r="E240" s="1540" t="str">
        <f aca="false">IF(MONTH($A240)=12,SUM(D229:D240)," ")</f>
        <v> </v>
      </c>
      <c r="F240" s="1545" t="n">
        <f aca="false">F239</f>
        <v>24</v>
      </c>
      <c r="G240" s="1334" t="n">
        <f aca="false">IF(I240=0,0,I240/($C240*$D240*$F240*H240))</f>
        <v>0</v>
      </c>
      <c r="H240" s="1542" t="n">
        <f aca="false">IF(Avail_LDs_Switch=1,VLOOKUP('Plant Operations'!A240,RAC_AvailFactor_Table,RAC_LDs!$G$258),IF($A240&lt;Startops2,Tariff!$T$11,0))</f>
        <v>0</v>
      </c>
      <c r="I240" s="1543" t="n">
        <f aca="false">IF(OR($A240&lt;Startops1,$A240&gt;=Startops2),0,IF(AND($A240&gt;=DieselOps_2,$A240&lt;Startops2),VLOOKUP($A240,Diesel_Table,Tariff!$Y$41),VLOOKUP($A240,OA_Table,Tariff!$Y$26)))</f>
        <v>0</v>
      </c>
      <c r="J240" s="1544" t="str">
        <f aca="false">IF(MONTH($A240)=12,SUM(I229:I240)," ")</f>
        <v> </v>
      </c>
      <c r="K240" s="1334" t="n">
        <f aca="false">IF(OR($A240&lt;Startops2,$A240&gt;=Endyr),0,VLOOKUP($A240,Capacity_Table,Tariff!$S$18))</f>
        <v>0.91</v>
      </c>
      <c r="L240" s="306" t="n">
        <f aca="false">IF(OR($A240&lt;Startops2,$A240&gt;=Endyr),0,VLOOKUP($A240,Capacity_Table,Tariff!$T$18))</f>
        <v>0.92</v>
      </c>
      <c r="M240" s="397" t="n">
        <f aca="false">IF($A240&lt;Startops2,0,IF($A240&lt;Startops3,VLOOKUP($A240,Convert_Table,Tariff!$Y$54),C240*D240*F240*K240*L240))</f>
        <v>289336.32</v>
      </c>
      <c r="N240" s="1544" t="str">
        <f aca="false">IF(MONTH($A240)=12,SUM(M229:M240)," ")</f>
        <v> </v>
      </c>
      <c r="O240" s="397" t="n">
        <f aca="false">IF($A240&lt;Startops2,0,IF($A240&lt;Startops3,Hr_II,Hr_III))</f>
        <v>7000</v>
      </c>
      <c r="P240" s="397" t="n">
        <f aca="false">M240*O240/1000</f>
        <v>2025354.24</v>
      </c>
      <c r="Q240" s="1545" t="str">
        <f aca="false">IF(MONTH($A240)=12,SUM(P229:P240)," ")</f>
        <v> </v>
      </c>
      <c r="R240" s="397" t="n">
        <f aca="false">IF($A240&gt;Endyr,0,IF($A240&lt;Assm!$A$55,P240,Assm!$F$55*$D240))</f>
        <v>1769187.94520548</v>
      </c>
      <c r="S240" s="1544" t="str">
        <f aca="false">IF(MONTH($A240)=12,SUM(R229:R240)," ")</f>
        <v> </v>
      </c>
      <c r="T240" s="397" t="n">
        <f aca="false">MAX(P240,R240)</f>
        <v>2025354.24</v>
      </c>
      <c r="U240" s="1546" t="str">
        <f aca="false">IF(MONTH($A240)=12,SUM(T229:T240)," ")</f>
        <v> </v>
      </c>
    </row>
    <row r="241" customFormat="false" ht="12.75" hidden="false" customHeight="false" outlineLevel="0" collapsed="false">
      <c r="A241" s="1538" t="n">
        <f aca="false">EDATE(A240,1)</f>
        <v>43221</v>
      </c>
      <c r="C241" s="1539" t="n">
        <f aca="false">IF($A241&gt;Endyr,0,VLOOKUP($A241,Capacity_Table,Tariff!$R$18))</f>
        <v>480</v>
      </c>
      <c r="D241" s="1540" t="n">
        <f aca="false">A242-A241</f>
        <v>31</v>
      </c>
      <c r="E241" s="1540" t="str">
        <f aca="false">IF(MONTH($A241)=12,SUM(D230:D241)," ")</f>
        <v> </v>
      </c>
      <c r="F241" s="1545" t="n">
        <f aca="false">F240</f>
        <v>24</v>
      </c>
      <c r="G241" s="1334" t="n">
        <f aca="false">IF(I241=0,0,I241/($C241*$D241*$F241*H241))</f>
        <v>0</v>
      </c>
      <c r="H241" s="1542" t="n">
        <f aca="false">IF(Avail_LDs_Switch=1,VLOOKUP('Plant Operations'!A241,RAC_AvailFactor_Table,RAC_LDs!$G$258),IF($A241&lt;Startops2,Tariff!$T$11,0))</f>
        <v>0</v>
      </c>
      <c r="I241" s="1543" t="n">
        <f aca="false">IF(OR($A241&lt;Startops1,$A241&gt;=Startops2),0,IF(AND($A241&gt;=DieselOps_2,$A241&lt;Startops2),VLOOKUP($A241,Diesel_Table,Tariff!$Y$41),VLOOKUP($A241,OA_Table,Tariff!$Y$26)))</f>
        <v>0</v>
      </c>
      <c r="J241" s="1544" t="str">
        <f aca="false">IF(MONTH($A241)=12,SUM(I230:I241)," ")</f>
        <v> </v>
      </c>
      <c r="K241" s="1334" t="n">
        <f aca="false">IF(OR($A241&lt;Startops2,$A241&gt;=Endyr),0,VLOOKUP($A241,Capacity_Table,Tariff!$S$18))</f>
        <v>0.91</v>
      </c>
      <c r="L241" s="306" t="n">
        <f aca="false">IF(OR($A241&lt;Startops2,$A241&gt;=Endyr),0,VLOOKUP($A241,Capacity_Table,Tariff!$T$18))</f>
        <v>0.92</v>
      </c>
      <c r="M241" s="397" t="n">
        <f aca="false">IF($A241&lt;Startops2,0,IF($A241&lt;Startops3,VLOOKUP($A241,Convert_Table,Tariff!$Y$54),C241*D241*F241*K241*L241))</f>
        <v>298980.864</v>
      </c>
      <c r="N241" s="1544" t="str">
        <f aca="false">IF(MONTH($A241)=12,SUM(M230:M241)," ")</f>
        <v> </v>
      </c>
      <c r="O241" s="397" t="n">
        <f aca="false">IF($A241&lt;Startops2,0,IF($A241&lt;Startops3,Hr_II,Hr_III))</f>
        <v>7000</v>
      </c>
      <c r="P241" s="397" t="n">
        <f aca="false">M241*O241/1000</f>
        <v>2092866.048</v>
      </c>
      <c r="Q241" s="1545" t="str">
        <f aca="false">IF(MONTH($A241)=12,SUM(P230:P241)," ")</f>
        <v> </v>
      </c>
      <c r="R241" s="397" t="n">
        <f aca="false">IF($A241&gt;Endyr,0,IF($A241&lt;Assm!$A$55,P241,Assm!$F$55*$D241))</f>
        <v>1828160.87671233</v>
      </c>
      <c r="S241" s="1544" t="str">
        <f aca="false">IF(MONTH($A241)=12,SUM(R230:R241)," ")</f>
        <v> </v>
      </c>
      <c r="T241" s="397" t="n">
        <f aca="false">MAX(P241,R241)</f>
        <v>2092866.048</v>
      </c>
      <c r="U241" s="1546" t="str">
        <f aca="false">IF(MONTH($A241)=12,SUM(T230:T241)," ")</f>
        <v> </v>
      </c>
    </row>
    <row r="242" customFormat="false" ht="12.75" hidden="false" customHeight="false" outlineLevel="0" collapsed="false">
      <c r="A242" s="1538" t="n">
        <f aca="false">EDATE(A241,1)</f>
        <v>43252</v>
      </c>
      <c r="C242" s="1539" t="n">
        <f aca="false">IF($A242&gt;Endyr,0,VLOOKUP($A242,Capacity_Table,Tariff!$R$18))</f>
        <v>480</v>
      </c>
      <c r="D242" s="1540" t="n">
        <f aca="false">A243-A242</f>
        <v>30</v>
      </c>
      <c r="E242" s="1540" t="str">
        <f aca="false">IF(MONTH($A242)=12,SUM(D231:D242)," ")</f>
        <v> </v>
      </c>
      <c r="F242" s="1545" t="n">
        <f aca="false">F241</f>
        <v>24</v>
      </c>
      <c r="G242" s="1334" t="n">
        <f aca="false">IF(I242=0,0,I242/($C242*$D242*$F242*H242))</f>
        <v>0</v>
      </c>
      <c r="H242" s="1542" t="n">
        <f aca="false">IF(Avail_LDs_Switch=1,VLOOKUP('Plant Operations'!A242,RAC_AvailFactor_Table,RAC_LDs!$G$258),IF($A242&lt;Startops2,Tariff!$T$11,0))</f>
        <v>0</v>
      </c>
      <c r="I242" s="1543" t="n">
        <f aca="false">IF(OR($A242&lt;Startops1,$A242&gt;=Startops2),0,IF(AND($A242&gt;=DieselOps_2,$A242&lt;Startops2),VLOOKUP($A242,Diesel_Table,Tariff!$Y$41),VLOOKUP($A242,OA_Table,Tariff!$Y$26)))</f>
        <v>0</v>
      </c>
      <c r="J242" s="1544" t="str">
        <f aca="false">IF(MONTH($A242)=12,SUM(I231:I242)," ")</f>
        <v> </v>
      </c>
      <c r="K242" s="1334" t="n">
        <f aca="false">IF(OR($A242&lt;Startops2,$A242&gt;=Endyr),0,VLOOKUP($A242,Capacity_Table,Tariff!$S$18))</f>
        <v>0.91</v>
      </c>
      <c r="L242" s="306" t="n">
        <f aca="false">IF(OR($A242&lt;Startops2,$A242&gt;=Endyr),0,VLOOKUP($A242,Capacity_Table,Tariff!$T$18))</f>
        <v>0.92</v>
      </c>
      <c r="M242" s="397" t="n">
        <f aca="false">IF($A242&lt;Startops2,0,IF($A242&lt;Startops3,VLOOKUP($A242,Convert_Table,Tariff!$Y$54),C242*D242*F242*K242*L242))</f>
        <v>289336.32</v>
      </c>
      <c r="N242" s="1544" t="str">
        <f aca="false">IF(MONTH($A242)=12,SUM(M231:M242)," ")</f>
        <v> </v>
      </c>
      <c r="O242" s="397" t="n">
        <f aca="false">IF($A242&lt;Startops2,0,IF($A242&lt;Startops3,Hr_II,Hr_III))</f>
        <v>7000</v>
      </c>
      <c r="P242" s="397" t="n">
        <f aca="false">M242*O242/1000</f>
        <v>2025354.24</v>
      </c>
      <c r="Q242" s="1545" t="str">
        <f aca="false">IF(MONTH($A242)=12,SUM(P231:P242)," ")</f>
        <v> </v>
      </c>
      <c r="R242" s="397" t="n">
        <f aca="false">IF($A242&gt;Endyr,0,IF($A242&lt;Assm!$A$55,P242,Assm!$F$55*$D242))</f>
        <v>1769187.94520548</v>
      </c>
      <c r="S242" s="1544" t="str">
        <f aca="false">IF(MONTH($A242)=12,SUM(R231:R242)," ")</f>
        <v> </v>
      </c>
      <c r="T242" s="397" t="n">
        <f aca="false">MAX(P242,R242)</f>
        <v>2025354.24</v>
      </c>
      <c r="U242" s="1546" t="str">
        <f aca="false">IF(MONTH($A242)=12,SUM(T231:T242)," ")</f>
        <v> </v>
      </c>
    </row>
    <row r="243" customFormat="false" ht="12.75" hidden="false" customHeight="false" outlineLevel="0" collapsed="false">
      <c r="A243" s="1538" t="n">
        <f aca="false">EDATE(A242,1)</f>
        <v>43282</v>
      </c>
      <c r="C243" s="1539" t="n">
        <f aca="false">IF($A243&gt;Endyr,0,VLOOKUP($A243,Capacity_Table,Tariff!$R$18))</f>
        <v>480</v>
      </c>
      <c r="D243" s="1540" t="n">
        <f aca="false">A244-A243</f>
        <v>31</v>
      </c>
      <c r="E243" s="1540" t="str">
        <f aca="false">IF(MONTH($A243)=12,SUM(D232:D243)," ")</f>
        <v> </v>
      </c>
      <c r="F243" s="1545" t="n">
        <f aca="false">F242</f>
        <v>24</v>
      </c>
      <c r="G243" s="1334" t="n">
        <f aca="false">IF(I243=0,0,I243/($C243*$D243*$F243*H243))</f>
        <v>0</v>
      </c>
      <c r="H243" s="1542" t="n">
        <f aca="false">IF(Avail_LDs_Switch=1,VLOOKUP('Plant Operations'!A243,RAC_AvailFactor_Table,RAC_LDs!$G$258),IF($A243&lt;Startops2,Tariff!$T$11,0))</f>
        <v>0</v>
      </c>
      <c r="I243" s="1543" t="n">
        <f aca="false">IF(OR($A243&lt;Startops1,$A243&gt;=Startops2),0,IF(AND($A243&gt;=DieselOps_2,$A243&lt;Startops2),VLOOKUP($A243,Diesel_Table,Tariff!$Y$41),VLOOKUP($A243,OA_Table,Tariff!$Y$26)))</f>
        <v>0</v>
      </c>
      <c r="J243" s="1544" t="str">
        <f aca="false">IF(MONTH($A243)=12,SUM(I232:I243)," ")</f>
        <v> </v>
      </c>
      <c r="K243" s="1334" t="n">
        <f aca="false">IF(OR($A243&lt;Startops2,$A243&gt;=Endyr),0,VLOOKUP($A243,Capacity_Table,Tariff!$S$18))</f>
        <v>0.91</v>
      </c>
      <c r="L243" s="306" t="n">
        <f aca="false">IF(OR($A243&lt;Startops2,$A243&gt;=Endyr),0,VLOOKUP($A243,Capacity_Table,Tariff!$T$18))</f>
        <v>0.92</v>
      </c>
      <c r="M243" s="397" t="n">
        <f aca="false">IF($A243&lt;Startops2,0,IF($A243&lt;Startops3,VLOOKUP($A243,Convert_Table,Tariff!$Y$54),C243*D243*F243*K243*L243))</f>
        <v>298980.864</v>
      </c>
      <c r="N243" s="1544" t="str">
        <f aca="false">IF(MONTH($A243)=12,SUM(M232:M243)," ")</f>
        <v> </v>
      </c>
      <c r="O243" s="397" t="n">
        <f aca="false">IF($A243&lt;Startops2,0,IF($A243&lt;Startops3,Hr_II,Hr_III))</f>
        <v>7000</v>
      </c>
      <c r="P243" s="397" t="n">
        <f aca="false">M243*O243/1000</f>
        <v>2092866.048</v>
      </c>
      <c r="Q243" s="1545" t="str">
        <f aca="false">IF(MONTH($A243)=12,SUM(P232:P243)," ")</f>
        <v> </v>
      </c>
      <c r="R243" s="397" t="n">
        <f aca="false">IF($A243&gt;Endyr,0,IF($A243&lt;Assm!$A$55,P243,Assm!$F$55*$D243))</f>
        <v>1828160.87671233</v>
      </c>
      <c r="S243" s="1544" t="str">
        <f aca="false">IF(MONTH($A243)=12,SUM(R232:R243)," ")</f>
        <v> </v>
      </c>
      <c r="T243" s="397" t="n">
        <f aca="false">MAX(P243,R243)</f>
        <v>2092866.048</v>
      </c>
      <c r="U243" s="1546" t="str">
        <f aca="false">IF(MONTH($A243)=12,SUM(T232:T243)," ")</f>
        <v> </v>
      </c>
    </row>
    <row r="244" customFormat="false" ht="12.75" hidden="false" customHeight="false" outlineLevel="0" collapsed="false">
      <c r="A244" s="1538" t="n">
        <f aca="false">EDATE(A243,1)</f>
        <v>43313</v>
      </c>
      <c r="C244" s="1539" t="n">
        <f aca="false">IF($A244&gt;Endyr,0,VLOOKUP($A244,Capacity_Table,Tariff!$R$18))</f>
        <v>480</v>
      </c>
      <c r="D244" s="1540" t="n">
        <f aca="false">A245-A244</f>
        <v>31</v>
      </c>
      <c r="E244" s="1540" t="str">
        <f aca="false">IF(MONTH($A244)=12,SUM(D233:D244)," ")</f>
        <v> </v>
      </c>
      <c r="F244" s="1545" t="n">
        <f aca="false">F243</f>
        <v>24</v>
      </c>
      <c r="G244" s="1334" t="n">
        <f aca="false">IF(I244=0,0,I244/($C244*$D244*$F244*H244))</f>
        <v>0</v>
      </c>
      <c r="H244" s="1542" t="n">
        <f aca="false">IF(Avail_LDs_Switch=1,VLOOKUP('Plant Operations'!A244,RAC_AvailFactor_Table,RAC_LDs!$G$258),IF($A244&lt;Startops2,Tariff!$T$11,0))</f>
        <v>0</v>
      </c>
      <c r="I244" s="1543" t="n">
        <f aca="false">IF(OR($A244&lt;Startops1,$A244&gt;=Startops2),0,IF(AND($A244&gt;=DieselOps_2,$A244&lt;Startops2),VLOOKUP($A244,Diesel_Table,Tariff!$Y$41),VLOOKUP($A244,OA_Table,Tariff!$Y$26)))</f>
        <v>0</v>
      </c>
      <c r="J244" s="1544" t="str">
        <f aca="false">IF(MONTH($A244)=12,SUM(I233:I244)," ")</f>
        <v> </v>
      </c>
      <c r="K244" s="1334" t="n">
        <f aca="false">IF(OR($A244&lt;Startops2,$A244&gt;=Endyr),0,VLOOKUP($A244,Capacity_Table,Tariff!$S$18))</f>
        <v>0.91</v>
      </c>
      <c r="L244" s="306" t="n">
        <f aca="false">IF(OR($A244&lt;Startops2,$A244&gt;=Endyr),0,VLOOKUP($A244,Capacity_Table,Tariff!$T$18))</f>
        <v>0.92</v>
      </c>
      <c r="M244" s="397" t="n">
        <f aca="false">IF($A244&lt;Startops2,0,IF($A244&lt;Startops3,VLOOKUP($A244,Convert_Table,Tariff!$Y$54),C244*D244*F244*K244*L244))</f>
        <v>298980.864</v>
      </c>
      <c r="N244" s="1544" t="str">
        <f aca="false">IF(MONTH($A244)=12,SUM(M233:M244)," ")</f>
        <v> </v>
      </c>
      <c r="O244" s="397" t="n">
        <f aca="false">IF($A244&lt;Startops2,0,IF($A244&lt;Startops3,Hr_II,Hr_III))</f>
        <v>7000</v>
      </c>
      <c r="P244" s="397" t="n">
        <f aca="false">M244*O244/1000</f>
        <v>2092866.048</v>
      </c>
      <c r="Q244" s="1545" t="str">
        <f aca="false">IF(MONTH($A244)=12,SUM(P233:P244)," ")</f>
        <v> </v>
      </c>
      <c r="R244" s="397" t="n">
        <f aca="false">IF($A244&gt;Endyr,0,IF($A244&lt;Assm!$A$55,P244,Assm!$F$55*$D244))</f>
        <v>1828160.87671233</v>
      </c>
      <c r="S244" s="1544" t="str">
        <f aca="false">IF(MONTH($A244)=12,SUM(R233:R244)," ")</f>
        <v> </v>
      </c>
      <c r="T244" s="397" t="n">
        <f aca="false">MAX(P244,R244)</f>
        <v>2092866.048</v>
      </c>
      <c r="U244" s="1546" t="str">
        <f aca="false">IF(MONTH($A244)=12,SUM(T233:T244)," ")</f>
        <v> </v>
      </c>
    </row>
    <row r="245" customFormat="false" ht="12.75" hidden="false" customHeight="false" outlineLevel="0" collapsed="false">
      <c r="A245" s="1538" t="n">
        <f aca="false">EDATE(A244,1)</f>
        <v>43344</v>
      </c>
      <c r="C245" s="1539" t="n">
        <f aca="false">IF($A245&gt;Endyr,0,VLOOKUP($A245,Capacity_Table,Tariff!$R$18))</f>
        <v>480</v>
      </c>
      <c r="D245" s="1540" t="n">
        <f aca="false">A246-A245</f>
        <v>30</v>
      </c>
      <c r="E245" s="1540" t="str">
        <f aca="false">IF(MONTH($A245)=12,SUM(D234:D245)," ")</f>
        <v> </v>
      </c>
      <c r="F245" s="1545" t="n">
        <f aca="false">F244</f>
        <v>24</v>
      </c>
      <c r="G245" s="1334" t="n">
        <f aca="false">IF(I245=0,0,I245/($C245*$D245*$F245*H245))</f>
        <v>0</v>
      </c>
      <c r="H245" s="1542" t="n">
        <f aca="false">IF(Avail_LDs_Switch=1,VLOOKUP('Plant Operations'!A245,RAC_AvailFactor_Table,RAC_LDs!$G$258),IF($A245&lt;Startops2,Tariff!$T$11,0))</f>
        <v>0</v>
      </c>
      <c r="I245" s="1543" t="n">
        <f aca="false">IF(OR($A245&lt;Startops1,$A245&gt;=Startops2),0,IF(AND($A245&gt;=DieselOps_2,$A245&lt;Startops2),VLOOKUP($A245,Diesel_Table,Tariff!$Y$41),VLOOKUP($A245,OA_Table,Tariff!$Y$26)))</f>
        <v>0</v>
      </c>
      <c r="J245" s="1544" t="str">
        <f aca="false">IF(MONTH($A245)=12,SUM(I234:I245)," ")</f>
        <v> </v>
      </c>
      <c r="K245" s="1334" t="n">
        <f aca="false">IF(OR($A245&lt;Startops2,$A245&gt;=Endyr),0,VLOOKUP($A245,Capacity_Table,Tariff!$S$18))</f>
        <v>0.91</v>
      </c>
      <c r="L245" s="306" t="n">
        <f aca="false">IF(OR($A245&lt;Startops2,$A245&gt;=Endyr),0,VLOOKUP($A245,Capacity_Table,Tariff!$T$18))</f>
        <v>0.92</v>
      </c>
      <c r="M245" s="397" t="n">
        <f aca="false">IF($A245&lt;Startops2,0,IF($A245&lt;Startops3,VLOOKUP($A245,Convert_Table,Tariff!$Y$54),C245*D245*F245*K245*L245))</f>
        <v>289336.32</v>
      </c>
      <c r="N245" s="1544" t="str">
        <f aca="false">IF(MONTH($A245)=12,SUM(M234:M245)," ")</f>
        <v> </v>
      </c>
      <c r="O245" s="397" t="n">
        <f aca="false">IF($A245&lt;Startops2,0,IF($A245&lt;Startops3,Hr_II,Hr_III))</f>
        <v>7000</v>
      </c>
      <c r="P245" s="397" t="n">
        <f aca="false">M245*O245/1000</f>
        <v>2025354.24</v>
      </c>
      <c r="Q245" s="1545" t="str">
        <f aca="false">IF(MONTH($A245)=12,SUM(P234:P245)," ")</f>
        <v> </v>
      </c>
      <c r="R245" s="397" t="n">
        <f aca="false">IF($A245&gt;Endyr,0,IF($A245&lt;Assm!$A$55,P245,Assm!$F$55*$D245))</f>
        <v>1769187.94520548</v>
      </c>
      <c r="S245" s="1544" t="str">
        <f aca="false">IF(MONTH($A245)=12,SUM(R234:R245)," ")</f>
        <v> </v>
      </c>
      <c r="T245" s="397" t="n">
        <f aca="false">MAX(P245,R245)</f>
        <v>2025354.24</v>
      </c>
      <c r="U245" s="1546" t="str">
        <f aca="false">IF(MONTH($A245)=12,SUM(T234:T245)," ")</f>
        <v> </v>
      </c>
    </row>
    <row r="246" customFormat="false" ht="12.75" hidden="false" customHeight="false" outlineLevel="0" collapsed="false">
      <c r="A246" s="1538" t="n">
        <f aca="false">EDATE(A245,1)</f>
        <v>43374</v>
      </c>
      <c r="C246" s="1539" t="n">
        <f aca="false">IF($A246&gt;Endyr,0,VLOOKUP($A246,Capacity_Table,Tariff!$R$18))</f>
        <v>480</v>
      </c>
      <c r="D246" s="1540" t="n">
        <f aca="false">A247-A246</f>
        <v>31</v>
      </c>
      <c r="E246" s="1540" t="str">
        <f aca="false">IF(MONTH($A246)=12,SUM(D235:D246)," ")</f>
        <v> </v>
      </c>
      <c r="F246" s="1545" t="n">
        <f aca="false">F245</f>
        <v>24</v>
      </c>
      <c r="G246" s="1334" t="n">
        <f aca="false">IF(I246=0,0,I246/($C246*$D246*$F246*H246))</f>
        <v>0</v>
      </c>
      <c r="H246" s="1542" t="n">
        <f aca="false">IF(Avail_LDs_Switch=1,VLOOKUP('Plant Operations'!A246,RAC_AvailFactor_Table,RAC_LDs!$G$258),IF($A246&lt;Startops2,Tariff!$T$11,0))</f>
        <v>0</v>
      </c>
      <c r="I246" s="1543" t="n">
        <f aca="false">IF(OR($A246&lt;Startops1,$A246&gt;=Startops2),0,IF(AND($A246&gt;=DieselOps_2,$A246&lt;Startops2),VLOOKUP($A246,Diesel_Table,Tariff!$Y$41),VLOOKUP($A246,OA_Table,Tariff!$Y$26)))</f>
        <v>0</v>
      </c>
      <c r="J246" s="1544" t="str">
        <f aca="false">IF(MONTH($A246)=12,SUM(I235:I246)," ")</f>
        <v> </v>
      </c>
      <c r="K246" s="1334" t="n">
        <f aca="false">IF(OR($A246&lt;Startops2,$A246&gt;=Endyr),0,VLOOKUP($A246,Capacity_Table,Tariff!$S$18))</f>
        <v>0.91</v>
      </c>
      <c r="L246" s="306" t="n">
        <f aca="false">IF(OR($A246&lt;Startops2,$A246&gt;=Endyr),0,VLOOKUP($A246,Capacity_Table,Tariff!$T$18))</f>
        <v>0.92</v>
      </c>
      <c r="M246" s="397" t="n">
        <f aca="false">IF($A246&lt;Startops2,0,IF($A246&lt;Startops3,VLOOKUP($A246,Convert_Table,Tariff!$Y$54),C246*D246*F246*K246*L246))</f>
        <v>298980.864</v>
      </c>
      <c r="N246" s="1544" t="str">
        <f aca="false">IF(MONTH($A246)=12,SUM(M235:M246)," ")</f>
        <v> </v>
      </c>
      <c r="O246" s="397" t="n">
        <f aca="false">IF($A246&lt;Startops2,0,IF($A246&lt;Startops3,Hr_II,Hr_III))</f>
        <v>7000</v>
      </c>
      <c r="P246" s="397" t="n">
        <f aca="false">M246*O246/1000</f>
        <v>2092866.048</v>
      </c>
      <c r="Q246" s="1545" t="str">
        <f aca="false">IF(MONTH($A246)=12,SUM(P235:P246)," ")</f>
        <v> </v>
      </c>
      <c r="R246" s="397" t="n">
        <f aca="false">IF($A246&gt;Endyr,0,IF($A246&lt;Assm!$A$55,P246,Assm!$F$55*$D246))</f>
        <v>1828160.87671233</v>
      </c>
      <c r="S246" s="1544" t="str">
        <f aca="false">IF(MONTH($A246)=12,SUM(R235:R246)," ")</f>
        <v> </v>
      </c>
      <c r="T246" s="397" t="n">
        <f aca="false">MAX(P246,R246)</f>
        <v>2092866.048</v>
      </c>
      <c r="U246" s="1546" t="str">
        <f aca="false">IF(MONTH($A246)=12,SUM(T235:T246)," ")</f>
        <v> </v>
      </c>
    </row>
    <row r="247" customFormat="false" ht="12.75" hidden="false" customHeight="false" outlineLevel="0" collapsed="false">
      <c r="A247" s="1538" t="n">
        <f aca="false">EDATE(A246,1)</f>
        <v>43405</v>
      </c>
      <c r="C247" s="1539" t="n">
        <f aca="false">IF($A247&gt;Endyr,0,VLOOKUP($A247,Capacity_Table,Tariff!$R$18))</f>
        <v>480</v>
      </c>
      <c r="D247" s="1540" t="n">
        <f aca="false">A248-A247</f>
        <v>30</v>
      </c>
      <c r="E247" s="1540" t="str">
        <f aca="false">IF(MONTH($A247)=12,SUM(D236:D247)," ")</f>
        <v> </v>
      </c>
      <c r="F247" s="1545" t="n">
        <f aca="false">F246</f>
        <v>24</v>
      </c>
      <c r="G247" s="1334" t="n">
        <f aca="false">IF(I247=0,0,I247/($C247*$D247*$F247*H247))</f>
        <v>0</v>
      </c>
      <c r="H247" s="1542" t="n">
        <f aca="false">IF(Avail_LDs_Switch=1,VLOOKUP('Plant Operations'!A247,RAC_AvailFactor_Table,RAC_LDs!$G$258),IF($A247&lt;Startops2,Tariff!$T$11,0))</f>
        <v>0</v>
      </c>
      <c r="I247" s="1543" t="n">
        <f aca="false">IF(OR($A247&lt;Startops1,$A247&gt;=Startops2),0,IF(AND($A247&gt;=DieselOps_2,$A247&lt;Startops2),VLOOKUP($A247,Diesel_Table,Tariff!$Y$41),VLOOKUP($A247,OA_Table,Tariff!$Y$26)))</f>
        <v>0</v>
      </c>
      <c r="J247" s="1544" t="str">
        <f aca="false">IF(MONTH($A247)=12,SUM(I236:I247)," ")</f>
        <v> </v>
      </c>
      <c r="K247" s="1334" t="n">
        <f aca="false">IF(OR($A247&lt;Startops2,$A247&gt;=Endyr),0,VLOOKUP($A247,Capacity_Table,Tariff!$S$18))</f>
        <v>0.91</v>
      </c>
      <c r="L247" s="306" t="n">
        <f aca="false">IF(OR($A247&lt;Startops2,$A247&gt;=Endyr),0,VLOOKUP($A247,Capacity_Table,Tariff!$T$18))</f>
        <v>0.92</v>
      </c>
      <c r="M247" s="397" t="n">
        <f aca="false">IF($A247&lt;Startops2,0,IF($A247&lt;Startops3,VLOOKUP($A247,Convert_Table,Tariff!$Y$54),C247*D247*F247*K247*L247))</f>
        <v>289336.32</v>
      </c>
      <c r="N247" s="1544" t="str">
        <f aca="false">IF(MONTH($A247)=12,SUM(M236:M247)," ")</f>
        <v> </v>
      </c>
      <c r="O247" s="397" t="n">
        <f aca="false">IF($A247&lt;Startops2,0,IF($A247&lt;Startops3,Hr_II,Hr_III))</f>
        <v>7000</v>
      </c>
      <c r="P247" s="397" t="n">
        <f aca="false">M247*O247/1000</f>
        <v>2025354.24</v>
      </c>
      <c r="Q247" s="1545" t="str">
        <f aca="false">IF(MONTH($A247)=12,SUM(P236:P247)," ")</f>
        <v> </v>
      </c>
      <c r="R247" s="397" t="n">
        <f aca="false">IF($A247&gt;Endyr,0,IF($A247&lt;Assm!$A$55,P247,Assm!$F$55*$D247))</f>
        <v>1769187.94520548</v>
      </c>
      <c r="S247" s="1544" t="str">
        <f aca="false">IF(MONTH($A247)=12,SUM(R236:R247)," ")</f>
        <v> </v>
      </c>
      <c r="T247" s="397" t="n">
        <f aca="false">MAX(P247,R247)</f>
        <v>2025354.24</v>
      </c>
      <c r="U247" s="1546" t="str">
        <f aca="false">IF(MONTH($A247)=12,SUM(T236:T247)," ")</f>
        <v> </v>
      </c>
    </row>
    <row r="248" customFormat="false" ht="12.75" hidden="false" customHeight="false" outlineLevel="0" collapsed="false">
      <c r="A248" s="1538" t="n">
        <f aca="false">EDATE(A247,1)</f>
        <v>43435</v>
      </c>
      <c r="C248" s="1539" t="n">
        <f aca="false">IF($A248&gt;Endyr,0,VLOOKUP($A248,Capacity_Table,Tariff!$R$18))</f>
        <v>480</v>
      </c>
      <c r="D248" s="1540" t="n">
        <f aca="false">A249-A248</f>
        <v>31</v>
      </c>
      <c r="E248" s="1540" t="n">
        <f aca="false">IF(MONTH($A248)=12,SUM(D237:D248)," ")</f>
        <v>365</v>
      </c>
      <c r="F248" s="1545" t="n">
        <f aca="false">F247</f>
        <v>24</v>
      </c>
      <c r="G248" s="1334" t="n">
        <f aca="false">IF(I248=0,0,I248/($C248*$D248*$F248*H248))</f>
        <v>0</v>
      </c>
      <c r="H248" s="1542" t="n">
        <f aca="false">IF(Avail_LDs_Switch=1,VLOOKUP('Plant Operations'!A248,RAC_AvailFactor_Table,RAC_LDs!$G$258),IF($A248&lt;Startops2,Tariff!$T$11,0))</f>
        <v>0</v>
      </c>
      <c r="I248" s="1543" t="n">
        <f aca="false">IF(OR($A248&lt;Startops1,$A248&gt;=Startops2),0,IF(AND($A248&gt;=DieselOps_2,$A248&lt;Startops2),VLOOKUP($A248,Diesel_Table,Tariff!$Y$41),VLOOKUP($A248,OA_Table,Tariff!$Y$26)))</f>
        <v>0</v>
      </c>
      <c r="J248" s="1544" t="n">
        <f aca="false">IF(MONTH($A248)=12,SUM(I237:I248)," ")</f>
        <v>0</v>
      </c>
      <c r="K248" s="1334" t="n">
        <f aca="false">IF(OR($A248&lt;Startops2,$A248&gt;=Endyr),0,VLOOKUP($A248,Capacity_Table,Tariff!$S$18))</f>
        <v>0.91</v>
      </c>
      <c r="L248" s="306" t="n">
        <f aca="false">IF(OR($A248&lt;Startops2,$A248&gt;=Endyr),0,VLOOKUP($A248,Capacity_Table,Tariff!$T$18))</f>
        <v>0.92</v>
      </c>
      <c r="M248" s="397" t="n">
        <f aca="false">IF($A248&lt;Startops2,0,IF($A248&lt;Startops3,VLOOKUP($A248,Convert_Table,Tariff!$Y$54),C248*D248*F248*K248*L248))</f>
        <v>298980.864</v>
      </c>
      <c r="N248" s="1544" t="n">
        <f aca="false">IF(MONTH($A248)=12,SUM(M237:M248)," ")</f>
        <v>3520258.56</v>
      </c>
      <c r="O248" s="397" t="n">
        <f aca="false">IF($A248&lt;Startops2,0,IF($A248&lt;Startops3,Hr_II,Hr_III))</f>
        <v>7000</v>
      </c>
      <c r="P248" s="397" t="n">
        <f aca="false">M248*O248/1000</f>
        <v>2092866.048</v>
      </c>
      <c r="Q248" s="1545" t="n">
        <f aca="false">IF(MONTH($A248)=12,SUM(P237:P248)," ")</f>
        <v>24641809.92</v>
      </c>
      <c r="R248" s="397" t="n">
        <f aca="false">IF($A248&gt;Endyr,0,IF($A248&lt;Assm!$A$55,P248,Assm!$F$55*$D248))</f>
        <v>1828160.87671233</v>
      </c>
      <c r="S248" s="1544" t="n">
        <f aca="false">IF(MONTH($A248)=12,SUM(R237:R248)," ")</f>
        <v>21525120</v>
      </c>
      <c r="T248" s="397" t="n">
        <f aca="false">MAX(P248,R248)</f>
        <v>2092866.048</v>
      </c>
      <c r="U248" s="1546" t="n">
        <f aca="false">IF(MONTH($A248)=12,SUM(T237:T248)," ")</f>
        <v>24641809.92</v>
      </c>
    </row>
    <row r="249" customFormat="false" ht="12.75" hidden="false" customHeight="false" outlineLevel="0" collapsed="false">
      <c r="A249" s="1538" t="n">
        <f aca="false">EDATE(A248,1)</f>
        <v>43466</v>
      </c>
      <c r="C249" s="1539" t="n">
        <f aca="false">IF($A249&gt;Endyr,0,VLOOKUP($A249,Capacity_Table,Tariff!$R$18))</f>
        <v>480</v>
      </c>
      <c r="D249" s="1540" t="n">
        <f aca="false">A250-A249</f>
        <v>31</v>
      </c>
      <c r="E249" s="1540" t="str">
        <f aca="false">IF(MONTH($A249)=12,SUM(D238:D249)," ")</f>
        <v> </v>
      </c>
      <c r="F249" s="1545" t="n">
        <f aca="false">F248</f>
        <v>24</v>
      </c>
      <c r="G249" s="1334" t="n">
        <f aca="false">IF(I249=0,0,I249/($C249*$D249*$F249*H249))</f>
        <v>0</v>
      </c>
      <c r="H249" s="1542" t="n">
        <f aca="false">IF(Avail_LDs_Switch=1,VLOOKUP('Plant Operations'!A249,RAC_AvailFactor_Table,RAC_LDs!$G$258),IF($A249&lt;Startops2,Tariff!$T$11,0))</f>
        <v>0</v>
      </c>
      <c r="I249" s="1543" t="n">
        <f aca="false">IF(OR($A249&lt;Startops1,$A249&gt;=Startops2),0,IF(AND($A249&gt;=DieselOps_2,$A249&lt;Startops2),VLOOKUP($A249,Diesel_Table,Tariff!$Y$41),VLOOKUP($A249,OA_Table,Tariff!$Y$26)))</f>
        <v>0</v>
      </c>
      <c r="J249" s="1544" t="str">
        <f aca="false">IF(MONTH($A249)=12,SUM(I238:I249)," ")</f>
        <v> </v>
      </c>
      <c r="K249" s="1334" t="n">
        <f aca="false">IF(OR($A249&lt;Startops2,$A249&gt;=Endyr),0,VLOOKUP($A249,Capacity_Table,Tariff!$S$18))</f>
        <v>0.91</v>
      </c>
      <c r="L249" s="306" t="n">
        <f aca="false">IF(OR($A249&lt;Startops2,$A249&gt;=Endyr),0,VLOOKUP($A249,Capacity_Table,Tariff!$T$18))</f>
        <v>0.92</v>
      </c>
      <c r="M249" s="397" t="n">
        <f aca="false">IF($A249&lt;Startops2,0,IF($A249&lt;Startops3,VLOOKUP($A249,Convert_Table,Tariff!$Y$54),C249*D249*F249*K249*L249))</f>
        <v>298980.864</v>
      </c>
      <c r="N249" s="1544" t="str">
        <f aca="false">IF(MONTH($A249)=12,SUM(M238:M249)," ")</f>
        <v> </v>
      </c>
      <c r="O249" s="397" t="n">
        <f aca="false">IF($A249&lt;Startops2,0,IF($A249&lt;Startops3,Hr_II,Hr_III))</f>
        <v>7000</v>
      </c>
      <c r="P249" s="397" t="n">
        <f aca="false">M249*O249/1000</f>
        <v>2092866.048</v>
      </c>
      <c r="Q249" s="1545" t="str">
        <f aca="false">IF(MONTH($A249)=12,SUM(P238:P249)," ")</f>
        <v> </v>
      </c>
      <c r="R249" s="397" t="n">
        <f aca="false">IF($A249&gt;Endyr,0,IF($A249&lt;Assm!$A$55,P249,Assm!$F$55*$D249))</f>
        <v>1828160.87671233</v>
      </c>
      <c r="S249" s="1544" t="str">
        <f aca="false">IF(MONTH($A249)=12,SUM(R238:R249)," ")</f>
        <v> </v>
      </c>
      <c r="T249" s="397" t="n">
        <f aca="false">MAX(P249,R249)</f>
        <v>2092866.048</v>
      </c>
      <c r="U249" s="1546" t="str">
        <f aca="false">IF(MONTH($A249)=12,SUM(T238:T249)," ")</f>
        <v> </v>
      </c>
    </row>
    <row r="250" customFormat="false" ht="12.75" hidden="false" customHeight="false" outlineLevel="0" collapsed="false">
      <c r="A250" s="1538" t="n">
        <f aca="false">EDATE(A249,1)</f>
        <v>43497</v>
      </c>
      <c r="C250" s="1539" t="n">
        <f aca="false">IF($A250&gt;Endyr,0,VLOOKUP($A250,Capacity_Table,Tariff!$R$18))</f>
        <v>480</v>
      </c>
      <c r="D250" s="1540" t="n">
        <f aca="false">A251-A250</f>
        <v>28</v>
      </c>
      <c r="E250" s="1540" t="str">
        <f aca="false">IF(MONTH($A250)=12,SUM(D239:D250)," ")</f>
        <v> </v>
      </c>
      <c r="F250" s="1545" t="n">
        <f aca="false">F249</f>
        <v>24</v>
      </c>
      <c r="G250" s="1334" t="n">
        <f aca="false">IF(I250=0,0,I250/($C250*$D250*$F250*H250))</f>
        <v>0</v>
      </c>
      <c r="H250" s="1542" t="n">
        <f aca="false">IF(Avail_LDs_Switch=1,VLOOKUP('Plant Operations'!A250,RAC_AvailFactor_Table,RAC_LDs!$G$258),IF($A250&lt;Startops2,Tariff!$T$11,0))</f>
        <v>0</v>
      </c>
      <c r="I250" s="1543" t="n">
        <f aca="false">IF(OR($A250&lt;Startops1,$A250&gt;=Startops2),0,IF(AND($A250&gt;=DieselOps_2,$A250&lt;Startops2),VLOOKUP($A250,Diesel_Table,Tariff!$Y$41),VLOOKUP($A250,OA_Table,Tariff!$Y$26)))</f>
        <v>0</v>
      </c>
      <c r="J250" s="1544" t="str">
        <f aca="false">IF(MONTH($A250)=12,SUM(I239:I250)," ")</f>
        <v> </v>
      </c>
      <c r="K250" s="1334" t="n">
        <f aca="false">IF(OR($A250&lt;Startops2,$A250&gt;=Endyr),0,VLOOKUP($A250,Capacity_Table,Tariff!$S$18))</f>
        <v>0.91</v>
      </c>
      <c r="L250" s="306" t="n">
        <f aca="false">IF(OR($A250&lt;Startops2,$A250&gt;=Endyr),0,VLOOKUP($A250,Capacity_Table,Tariff!$T$18))</f>
        <v>0.92</v>
      </c>
      <c r="M250" s="397" t="n">
        <f aca="false">IF($A250&lt;Startops2,0,IF($A250&lt;Startops3,VLOOKUP($A250,Convert_Table,Tariff!$Y$54),C250*D250*F250*K250*L250))</f>
        <v>270047.232</v>
      </c>
      <c r="N250" s="1544" t="str">
        <f aca="false">IF(MONTH($A250)=12,SUM(M239:M250)," ")</f>
        <v> </v>
      </c>
      <c r="O250" s="397" t="n">
        <f aca="false">IF($A250&lt;Startops2,0,IF($A250&lt;Startops3,Hr_II,Hr_III))</f>
        <v>7000</v>
      </c>
      <c r="P250" s="397" t="n">
        <f aca="false">M250*O250/1000</f>
        <v>1890330.624</v>
      </c>
      <c r="Q250" s="1545" t="str">
        <f aca="false">IF(MONTH($A250)=12,SUM(P239:P250)," ")</f>
        <v> </v>
      </c>
      <c r="R250" s="397" t="n">
        <f aca="false">IF($A250&gt;Endyr,0,IF($A250&lt;Assm!$A$55,P250,Assm!$F$55*$D250))</f>
        <v>1651242.08219178</v>
      </c>
      <c r="S250" s="1544" t="str">
        <f aca="false">IF(MONTH($A250)=12,SUM(R239:R250)," ")</f>
        <v> </v>
      </c>
      <c r="T250" s="397" t="n">
        <f aca="false">MAX(P250,R250)</f>
        <v>1890330.624</v>
      </c>
      <c r="U250" s="1546" t="str">
        <f aca="false">IF(MONTH($A250)=12,SUM(T239:T250)," ")</f>
        <v> </v>
      </c>
    </row>
    <row r="251" customFormat="false" ht="12.75" hidden="false" customHeight="false" outlineLevel="0" collapsed="false">
      <c r="A251" s="1538" t="n">
        <f aca="false">EDATE(A250,1)</f>
        <v>43525</v>
      </c>
      <c r="C251" s="1539" t="n">
        <f aca="false">IF($A251&gt;Endyr,0,VLOOKUP($A251,Capacity_Table,Tariff!$R$18))</f>
        <v>480</v>
      </c>
      <c r="D251" s="1540" t="n">
        <f aca="false">A252-A251</f>
        <v>31</v>
      </c>
      <c r="E251" s="1540" t="str">
        <f aca="false">IF(MONTH($A251)=12,SUM(D240:D251)," ")</f>
        <v> </v>
      </c>
      <c r="F251" s="1545" t="n">
        <f aca="false">F250</f>
        <v>24</v>
      </c>
      <c r="G251" s="1334" t="n">
        <f aca="false">IF(I251=0,0,I251/($C251*$D251*$F251*H251))</f>
        <v>0</v>
      </c>
      <c r="H251" s="1542" t="n">
        <f aca="false">IF(Avail_LDs_Switch=1,VLOOKUP('Plant Operations'!A251,RAC_AvailFactor_Table,RAC_LDs!$G$258),IF($A251&lt;Startops2,Tariff!$T$11,0))</f>
        <v>0</v>
      </c>
      <c r="I251" s="1543" t="n">
        <f aca="false">IF(OR($A251&lt;Startops1,$A251&gt;=Startops2),0,IF(AND($A251&gt;=DieselOps_2,$A251&lt;Startops2),VLOOKUP($A251,Diesel_Table,Tariff!$Y$41),VLOOKUP($A251,OA_Table,Tariff!$Y$26)))</f>
        <v>0</v>
      </c>
      <c r="J251" s="1544" t="str">
        <f aca="false">IF(MONTH($A251)=12,SUM(I240:I251)," ")</f>
        <v> </v>
      </c>
      <c r="K251" s="1334" t="n">
        <f aca="false">IF(OR($A251&lt;Startops2,$A251&gt;=Endyr),0,VLOOKUP($A251,Capacity_Table,Tariff!$S$18))</f>
        <v>0.91</v>
      </c>
      <c r="L251" s="306" t="n">
        <f aca="false">IF(OR($A251&lt;Startops2,$A251&gt;=Endyr),0,VLOOKUP($A251,Capacity_Table,Tariff!$T$18))</f>
        <v>0.92</v>
      </c>
      <c r="M251" s="397" t="n">
        <f aca="false">IF($A251&lt;Startops2,0,IF($A251&lt;Startops3,VLOOKUP($A251,Convert_Table,Tariff!$Y$54),C251*D251*F251*K251*L251))</f>
        <v>298980.864</v>
      </c>
      <c r="N251" s="1544" t="str">
        <f aca="false">IF(MONTH($A251)=12,SUM(M240:M251)," ")</f>
        <v> </v>
      </c>
      <c r="O251" s="397" t="n">
        <f aca="false">IF($A251&lt;Startops2,0,IF($A251&lt;Startops3,Hr_II,Hr_III))</f>
        <v>7000</v>
      </c>
      <c r="P251" s="397" t="n">
        <f aca="false">M251*O251/1000</f>
        <v>2092866.048</v>
      </c>
      <c r="Q251" s="1545" t="str">
        <f aca="false">IF(MONTH($A251)=12,SUM(P240:P251)," ")</f>
        <v> </v>
      </c>
      <c r="R251" s="397" t="n">
        <f aca="false">IF($A251&gt;Endyr,0,IF($A251&lt;Assm!$A$55,P251,Assm!$F$55*$D251))</f>
        <v>1828160.87671233</v>
      </c>
      <c r="S251" s="1544" t="str">
        <f aca="false">IF(MONTH($A251)=12,SUM(R240:R251)," ")</f>
        <v> </v>
      </c>
      <c r="T251" s="397" t="n">
        <f aca="false">MAX(P251,R251)</f>
        <v>2092866.048</v>
      </c>
      <c r="U251" s="1546" t="str">
        <f aca="false">IF(MONTH($A251)=12,SUM(T240:T251)," ")</f>
        <v> </v>
      </c>
    </row>
    <row r="252" customFormat="false" ht="12.75" hidden="false" customHeight="false" outlineLevel="0" collapsed="false">
      <c r="A252" s="1538" t="n">
        <f aca="false">EDATE(A251,1)</f>
        <v>43556</v>
      </c>
      <c r="C252" s="1539" t="n">
        <f aca="false">IF($A252&gt;Endyr,0,VLOOKUP($A252,Capacity_Table,Tariff!$R$18))</f>
        <v>480</v>
      </c>
      <c r="D252" s="1540" t="n">
        <f aca="false">A253-A252</f>
        <v>30</v>
      </c>
      <c r="E252" s="1540" t="str">
        <f aca="false">IF(MONTH($A252)=12,SUM(D241:D252)," ")</f>
        <v> </v>
      </c>
      <c r="F252" s="1545" t="n">
        <f aca="false">F251</f>
        <v>24</v>
      </c>
      <c r="G252" s="1334" t="n">
        <f aca="false">IF(I252=0,0,I252/($C252*$D252*$F252*H252))</f>
        <v>0</v>
      </c>
      <c r="H252" s="1542" t="n">
        <f aca="false">IF(Avail_LDs_Switch=1,VLOOKUP('Plant Operations'!A252,RAC_AvailFactor_Table,RAC_LDs!$G$258),IF($A252&lt;Startops2,Tariff!$T$11,0))</f>
        <v>0</v>
      </c>
      <c r="I252" s="1543" t="n">
        <f aca="false">IF(OR($A252&lt;Startops1,$A252&gt;=Startops2),0,IF(AND($A252&gt;=DieselOps_2,$A252&lt;Startops2),VLOOKUP($A252,Diesel_Table,Tariff!$Y$41),VLOOKUP($A252,OA_Table,Tariff!$Y$26)))</f>
        <v>0</v>
      </c>
      <c r="J252" s="1544" t="str">
        <f aca="false">IF(MONTH($A252)=12,SUM(I241:I252)," ")</f>
        <v> </v>
      </c>
      <c r="K252" s="1334" t="n">
        <f aca="false">IF(OR($A252&lt;Startops2,$A252&gt;=Endyr),0,VLOOKUP($A252,Capacity_Table,Tariff!$S$18))</f>
        <v>0.91</v>
      </c>
      <c r="L252" s="306" t="n">
        <f aca="false">IF(OR($A252&lt;Startops2,$A252&gt;=Endyr),0,VLOOKUP($A252,Capacity_Table,Tariff!$T$18))</f>
        <v>0.92</v>
      </c>
      <c r="M252" s="397" t="n">
        <f aca="false">IF($A252&lt;Startops2,0,IF($A252&lt;Startops3,VLOOKUP($A252,Convert_Table,Tariff!$Y$54),C252*D252*F252*K252*L252))</f>
        <v>289336.32</v>
      </c>
      <c r="N252" s="1544" t="str">
        <f aca="false">IF(MONTH($A252)=12,SUM(M241:M252)," ")</f>
        <v> </v>
      </c>
      <c r="O252" s="397" t="n">
        <f aca="false">IF($A252&lt;Startops2,0,IF($A252&lt;Startops3,Hr_II,Hr_III))</f>
        <v>7000</v>
      </c>
      <c r="P252" s="397" t="n">
        <f aca="false">M252*O252/1000</f>
        <v>2025354.24</v>
      </c>
      <c r="Q252" s="1545" t="str">
        <f aca="false">IF(MONTH($A252)=12,SUM(P241:P252)," ")</f>
        <v> </v>
      </c>
      <c r="R252" s="397" t="n">
        <f aca="false">IF($A252&gt;Endyr,0,IF($A252&lt;Assm!$A$55,P252,Assm!$F$55*$D252))</f>
        <v>1769187.94520548</v>
      </c>
      <c r="S252" s="1544" t="str">
        <f aca="false">IF(MONTH($A252)=12,SUM(R241:R252)," ")</f>
        <v> </v>
      </c>
      <c r="T252" s="397" t="n">
        <f aca="false">MAX(P252,R252)</f>
        <v>2025354.24</v>
      </c>
      <c r="U252" s="1546" t="str">
        <f aca="false">IF(MONTH($A252)=12,SUM(T241:T252)," ")</f>
        <v> </v>
      </c>
    </row>
    <row r="253" customFormat="false" ht="12.75" hidden="false" customHeight="false" outlineLevel="0" collapsed="false">
      <c r="A253" s="1538" t="n">
        <f aca="false">EDATE(A252,1)</f>
        <v>43586</v>
      </c>
      <c r="C253" s="1539" t="n">
        <f aca="false">IF($A253&gt;Endyr,0,VLOOKUP($A253,Capacity_Table,Tariff!$R$18))</f>
        <v>0</v>
      </c>
      <c r="D253" s="1540" t="n">
        <f aca="false">A254-A253</f>
        <v>31</v>
      </c>
      <c r="E253" s="1540" t="str">
        <f aca="false">IF(MONTH($A253)=12,SUM(D242:D253)," ")</f>
        <v> </v>
      </c>
      <c r="F253" s="1545" t="n">
        <f aca="false">F252</f>
        <v>24</v>
      </c>
      <c r="G253" s="1334" t="n">
        <f aca="false">IF(I253=0,0,I253/($C253*$D253*$F253*H253))</f>
        <v>0</v>
      </c>
      <c r="H253" s="1542" t="n">
        <f aca="false">IF(Avail_LDs_Switch=1,VLOOKUP('Plant Operations'!A253,RAC_AvailFactor_Table,RAC_LDs!$G$258),IF($A253&lt;Startops2,Tariff!$T$11,0))</f>
        <v>0</v>
      </c>
      <c r="I253" s="1543" t="n">
        <f aca="false">IF(OR($A253&lt;Startops1,$A253&gt;=Startops2),0,IF(AND($A253&gt;=DieselOps_2,$A253&lt;Startops2),VLOOKUP($A253,Diesel_Table,Tariff!$Y$41),VLOOKUP($A253,OA_Table,Tariff!$Y$26)))</f>
        <v>0</v>
      </c>
      <c r="J253" s="1544" t="str">
        <f aca="false">IF(MONTH($A253)=12,SUM(I242:I253)," ")</f>
        <v> </v>
      </c>
      <c r="K253" s="1334" t="n">
        <f aca="false">IF(OR($A253&lt;Startops2,$A253&gt;=Endyr),0,VLOOKUP($A253,Capacity_Table,Tariff!$S$18))</f>
        <v>0</v>
      </c>
      <c r="L253" s="306" t="n">
        <f aca="false">IF(OR($A253&lt;Startops2,$A253&gt;=Endyr),0,VLOOKUP($A253,Capacity_Table,Tariff!$T$18))</f>
        <v>0</v>
      </c>
      <c r="M253" s="397" t="n">
        <f aca="false">IF($A253&lt;Startops2,0,IF($A253&lt;Startops3,VLOOKUP($A253,Convert_Table,Tariff!$Y$54),C253*D253*F253*K253*L253))</f>
        <v>0</v>
      </c>
      <c r="N253" s="1544" t="str">
        <f aca="false">IF(MONTH($A253)=12,SUM(M242:M253)," ")</f>
        <v> </v>
      </c>
      <c r="O253" s="397" t="n">
        <f aca="false">IF($A253&lt;Startops2,0,IF($A253&lt;Startops3,Hr_II,Hr_III))</f>
        <v>7000</v>
      </c>
      <c r="P253" s="397" t="n">
        <f aca="false">M253*O253/1000</f>
        <v>0</v>
      </c>
      <c r="Q253" s="1545" t="str">
        <f aca="false">IF(MONTH($A253)=12,SUM(P242:P253)," ")</f>
        <v> </v>
      </c>
      <c r="R253" s="397" t="n">
        <f aca="false">IF($A253&gt;Endyr,0,IF($A253&lt;Assm!$A$55,P253,Assm!$F$55*$D253))</f>
        <v>0</v>
      </c>
      <c r="S253" s="1544" t="str">
        <f aca="false">IF(MONTH($A253)=12,SUM(R242:R253)," ")</f>
        <v> </v>
      </c>
      <c r="T253" s="397" t="n">
        <f aca="false">MAX(P253,R253)</f>
        <v>0</v>
      </c>
      <c r="U253" s="1546" t="str">
        <f aca="false">IF(MONTH($A253)=12,SUM(T242:T253)," ")</f>
        <v> </v>
      </c>
    </row>
    <row r="254" customFormat="false" ht="12.75" hidden="false" customHeight="false" outlineLevel="0" collapsed="false">
      <c r="A254" s="1538" t="n">
        <f aca="false">EDATE(A253,1)</f>
        <v>43617</v>
      </c>
      <c r="C254" s="1539" t="n">
        <f aca="false">IF($A254&gt;Endyr,0,VLOOKUP($A254,Capacity_Table,Tariff!$R$18))</f>
        <v>0</v>
      </c>
      <c r="D254" s="1540" t="n">
        <f aca="false">A255-A254</f>
        <v>30</v>
      </c>
      <c r="E254" s="1540" t="str">
        <f aca="false">IF(MONTH($A254)=12,SUM(D243:D254)," ")</f>
        <v> </v>
      </c>
      <c r="F254" s="1545" t="n">
        <f aca="false">F253</f>
        <v>24</v>
      </c>
      <c r="G254" s="1334" t="n">
        <f aca="false">IF(I254=0,0,I254/($C254*$D254*$F254*H254))</f>
        <v>0</v>
      </c>
      <c r="H254" s="1542" t="n">
        <f aca="false">IF(Avail_LDs_Switch=1,VLOOKUP('Plant Operations'!A254,RAC_AvailFactor_Table,RAC_LDs!$G$258),IF($A254&lt;Startops2,Tariff!$T$11,0))</f>
        <v>0</v>
      </c>
      <c r="I254" s="1543" t="n">
        <f aca="false">IF(OR($A254&lt;Startops1,$A254&gt;=Startops2),0,IF(AND($A254&gt;=DieselOps_2,$A254&lt;Startops2),VLOOKUP($A254,Diesel_Table,Tariff!$Y$41),VLOOKUP($A254,OA_Table,Tariff!$Y$26)))</f>
        <v>0</v>
      </c>
      <c r="J254" s="1544" t="str">
        <f aca="false">IF(MONTH($A254)=12,SUM(I243:I254)," ")</f>
        <v> </v>
      </c>
      <c r="K254" s="1334" t="n">
        <f aca="false">IF(OR($A254&lt;Startops2,$A254&gt;=Endyr),0,VLOOKUP($A254,Capacity_Table,Tariff!$S$18))</f>
        <v>0</v>
      </c>
      <c r="L254" s="306" t="n">
        <f aca="false">IF(OR($A254&lt;Startops2,$A254&gt;=Endyr),0,VLOOKUP($A254,Capacity_Table,Tariff!$T$18))</f>
        <v>0</v>
      </c>
      <c r="M254" s="397" t="n">
        <f aca="false">IF($A254&lt;Startops2,0,IF($A254&lt;Startops3,VLOOKUP($A254,Convert_Table,Tariff!$Y$54),C254*D254*F254*K254*L254))</f>
        <v>0</v>
      </c>
      <c r="N254" s="1544" t="str">
        <f aca="false">IF(MONTH($A254)=12,SUM(M243:M254)," ")</f>
        <v> </v>
      </c>
      <c r="O254" s="397" t="n">
        <f aca="false">IF($A254&lt;Startops2,0,IF($A254&lt;Startops3,Hr_II,Hr_III))</f>
        <v>7000</v>
      </c>
      <c r="P254" s="397" t="n">
        <f aca="false">M254*O254/1000</f>
        <v>0</v>
      </c>
      <c r="Q254" s="1545" t="str">
        <f aca="false">IF(MONTH($A254)=12,SUM(P243:P254)," ")</f>
        <v> </v>
      </c>
      <c r="R254" s="397" t="n">
        <f aca="false">IF($A254&gt;Endyr,0,IF($A254&lt;Assm!$A$55,P254,Assm!$F$55*$D254))</f>
        <v>0</v>
      </c>
      <c r="S254" s="1544" t="str">
        <f aca="false">IF(MONTH($A254)=12,SUM(R243:R254)," ")</f>
        <v> </v>
      </c>
      <c r="T254" s="397" t="n">
        <f aca="false">MAX(P254,R254)</f>
        <v>0</v>
      </c>
      <c r="U254" s="1546" t="str">
        <f aca="false">IF(MONTH($A254)=12,SUM(T243:T254)," ")</f>
        <v> </v>
      </c>
    </row>
    <row r="255" customFormat="false" ht="12.75" hidden="false" customHeight="false" outlineLevel="0" collapsed="false">
      <c r="A255" s="1538" t="n">
        <f aca="false">EDATE(A254,1)</f>
        <v>43647</v>
      </c>
      <c r="C255" s="1539" t="n">
        <f aca="false">IF($A255&gt;Endyr,0,VLOOKUP($A255,Capacity_Table,Tariff!$R$18))</f>
        <v>0</v>
      </c>
      <c r="D255" s="1540" t="n">
        <f aca="false">A256-A255</f>
        <v>31</v>
      </c>
      <c r="E255" s="1540" t="str">
        <f aca="false">IF(MONTH($A255)=12,SUM(D244:D255)," ")</f>
        <v> </v>
      </c>
      <c r="F255" s="1545" t="n">
        <f aca="false">F254</f>
        <v>24</v>
      </c>
      <c r="G255" s="1334" t="n">
        <f aca="false">IF(I255=0,0,I255/($C255*$D255*$F255*H255))</f>
        <v>0</v>
      </c>
      <c r="H255" s="1542" t="n">
        <f aca="false">IF(Avail_LDs_Switch=1,VLOOKUP('Plant Operations'!A255,RAC_AvailFactor_Table,RAC_LDs!$G$258),IF($A255&lt;Startops2,Tariff!$T$11,0))</f>
        <v>0</v>
      </c>
      <c r="I255" s="1543" t="n">
        <f aca="false">IF(OR($A255&lt;Startops1,$A255&gt;=Startops2),0,IF(AND($A255&gt;=DieselOps_2,$A255&lt;Startops2),VLOOKUP($A255,Diesel_Table,Tariff!$Y$41),VLOOKUP($A255,OA_Table,Tariff!$Y$26)))</f>
        <v>0</v>
      </c>
      <c r="J255" s="1544" t="str">
        <f aca="false">IF(MONTH($A255)=12,SUM(I244:I255)," ")</f>
        <v> </v>
      </c>
      <c r="K255" s="1334" t="n">
        <f aca="false">IF(OR($A255&lt;Startops2,$A255&gt;=Endyr),0,VLOOKUP($A255,Capacity_Table,Tariff!$S$18))</f>
        <v>0</v>
      </c>
      <c r="L255" s="306" t="n">
        <f aca="false">IF(OR($A255&lt;Startops2,$A255&gt;=Endyr),0,VLOOKUP($A255,Capacity_Table,Tariff!$T$18))</f>
        <v>0</v>
      </c>
      <c r="M255" s="397" t="n">
        <f aca="false">IF($A255&lt;Startops2,0,IF($A255&lt;Startops3,VLOOKUP($A255,Convert_Table,Tariff!$Y$54),C255*D255*F255*K255*L255))</f>
        <v>0</v>
      </c>
      <c r="N255" s="1544" t="str">
        <f aca="false">IF(MONTH($A255)=12,SUM(M244:M255)," ")</f>
        <v> </v>
      </c>
      <c r="O255" s="397" t="n">
        <f aca="false">IF($A255&lt;Startops2,0,IF($A255&lt;Startops3,Hr_II,Hr_III))</f>
        <v>7000</v>
      </c>
      <c r="P255" s="397" t="n">
        <f aca="false">M255*O255/1000</f>
        <v>0</v>
      </c>
      <c r="Q255" s="1545" t="str">
        <f aca="false">IF(MONTH($A255)=12,SUM(P244:P255)," ")</f>
        <v> </v>
      </c>
      <c r="R255" s="397" t="n">
        <f aca="false">IF($A255&gt;Endyr,0,IF($A255&lt;Assm!$A$55,P255,Assm!$F$55*$D255))</f>
        <v>0</v>
      </c>
      <c r="S255" s="1544" t="str">
        <f aca="false">IF(MONTH($A255)=12,SUM(R244:R255)," ")</f>
        <v> </v>
      </c>
      <c r="T255" s="397" t="n">
        <f aca="false">MAX(P255,R255)</f>
        <v>0</v>
      </c>
      <c r="U255" s="1546" t="str">
        <f aca="false">IF(MONTH($A255)=12,SUM(T244:T255)," ")</f>
        <v> </v>
      </c>
    </row>
    <row r="256" customFormat="false" ht="12.75" hidden="false" customHeight="false" outlineLevel="0" collapsed="false">
      <c r="A256" s="1538" t="n">
        <f aca="false">EDATE(A255,1)</f>
        <v>43678</v>
      </c>
      <c r="C256" s="1539" t="n">
        <f aca="false">IF($A256&gt;Endyr,0,VLOOKUP($A256,Capacity_Table,Tariff!$R$18))</f>
        <v>0</v>
      </c>
      <c r="D256" s="1540" t="n">
        <f aca="false">A257-A256</f>
        <v>31</v>
      </c>
      <c r="E256" s="1540" t="str">
        <f aca="false">IF(MONTH($A256)=12,SUM(D245:D256)," ")</f>
        <v> </v>
      </c>
      <c r="F256" s="1545" t="n">
        <f aca="false">F255</f>
        <v>24</v>
      </c>
      <c r="G256" s="1334" t="n">
        <f aca="false">IF(I256=0,0,I256/($C256*$D256*$F256*H256))</f>
        <v>0</v>
      </c>
      <c r="H256" s="1542" t="n">
        <f aca="false">IF(Avail_LDs_Switch=1,VLOOKUP('Plant Operations'!A256,RAC_AvailFactor_Table,RAC_LDs!$G$258),IF($A256&lt;Startops2,Tariff!$T$11,0))</f>
        <v>0</v>
      </c>
      <c r="I256" s="1543" t="n">
        <f aca="false">IF(OR($A256&lt;Startops1,$A256&gt;=Startops2),0,IF(AND($A256&gt;=DieselOps_2,$A256&lt;Startops2),VLOOKUP($A256,Diesel_Table,Tariff!$Y$41),VLOOKUP($A256,OA_Table,Tariff!$Y$26)))</f>
        <v>0</v>
      </c>
      <c r="J256" s="1544" t="str">
        <f aca="false">IF(MONTH($A256)=12,SUM(I245:I256)," ")</f>
        <v> </v>
      </c>
      <c r="K256" s="1334" t="n">
        <f aca="false">IF(OR($A256&lt;Startops2,$A256&gt;=Endyr),0,VLOOKUP($A256,Capacity_Table,Tariff!$S$18))</f>
        <v>0</v>
      </c>
      <c r="L256" s="306" t="n">
        <f aca="false">IF(OR($A256&lt;Startops2,$A256&gt;=Endyr),0,VLOOKUP($A256,Capacity_Table,Tariff!$T$18))</f>
        <v>0</v>
      </c>
      <c r="M256" s="397" t="n">
        <f aca="false">IF($A256&lt;Startops2,0,IF($A256&lt;Startops3,VLOOKUP($A256,Convert_Table,Tariff!$Y$54),C256*D256*F256*K256*L256))</f>
        <v>0</v>
      </c>
      <c r="N256" s="1544" t="str">
        <f aca="false">IF(MONTH($A256)=12,SUM(M245:M256)," ")</f>
        <v> </v>
      </c>
      <c r="O256" s="397" t="n">
        <f aca="false">IF($A256&lt;Startops2,0,IF($A256&lt;Startops3,Hr_II,Hr_III))</f>
        <v>7000</v>
      </c>
      <c r="P256" s="397" t="n">
        <f aca="false">M256*O256/1000</f>
        <v>0</v>
      </c>
      <c r="Q256" s="1545" t="str">
        <f aca="false">IF(MONTH($A256)=12,SUM(P245:P256)," ")</f>
        <v> </v>
      </c>
      <c r="R256" s="397" t="n">
        <f aca="false">IF($A256&gt;Endyr,0,IF($A256&lt;Assm!$A$55,P256,Assm!$F$55*$D256))</f>
        <v>0</v>
      </c>
      <c r="S256" s="1544" t="str">
        <f aca="false">IF(MONTH($A256)=12,SUM(R245:R256)," ")</f>
        <v> </v>
      </c>
      <c r="T256" s="397" t="n">
        <f aca="false">MAX(P256,R256)</f>
        <v>0</v>
      </c>
      <c r="U256" s="1546" t="str">
        <f aca="false">IF(MONTH($A256)=12,SUM(T245:T256)," ")</f>
        <v> </v>
      </c>
    </row>
    <row r="257" customFormat="false" ht="12.75" hidden="false" customHeight="false" outlineLevel="0" collapsed="false">
      <c r="A257" s="1538" t="n">
        <f aca="false">EDATE(A256,1)</f>
        <v>43709</v>
      </c>
      <c r="C257" s="1539" t="n">
        <f aca="false">IF($A257&gt;Endyr,0,VLOOKUP($A257,Capacity_Table,Tariff!$R$18))</f>
        <v>0</v>
      </c>
      <c r="D257" s="1540" t="n">
        <f aca="false">A258-A257</f>
        <v>30</v>
      </c>
      <c r="E257" s="1540" t="str">
        <f aca="false">IF(MONTH($A257)=12,SUM(D246:D257)," ")</f>
        <v> </v>
      </c>
      <c r="F257" s="1545" t="n">
        <f aca="false">F256</f>
        <v>24</v>
      </c>
      <c r="G257" s="1334" t="n">
        <f aca="false">IF(I257=0,0,I257/($C257*$D257*$F257*H257))</f>
        <v>0</v>
      </c>
      <c r="H257" s="1542" t="n">
        <f aca="false">IF(Avail_LDs_Switch=1,VLOOKUP('Plant Operations'!A257,RAC_AvailFactor_Table,RAC_LDs!$G$258),IF($A257&lt;Startops2,Tariff!$T$11,0))</f>
        <v>0</v>
      </c>
      <c r="I257" s="1543" t="n">
        <f aca="false">IF(OR($A257&lt;Startops1,$A257&gt;=Startops2),0,IF(AND($A257&gt;=DieselOps_2,$A257&lt;Startops2),VLOOKUP($A257,Diesel_Table,Tariff!$Y$41),VLOOKUP($A257,OA_Table,Tariff!$Y$26)))</f>
        <v>0</v>
      </c>
      <c r="J257" s="1544" t="str">
        <f aca="false">IF(MONTH($A257)=12,SUM(I246:I257)," ")</f>
        <v> </v>
      </c>
      <c r="K257" s="1334" t="n">
        <f aca="false">IF(OR($A257&lt;Startops2,$A257&gt;=Endyr),0,VLOOKUP($A257,Capacity_Table,Tariff!$S$18))</f>
        <v>0</v>
      </c>
      <c r="L257" s="306" t="n">
        <f aca="false">IF(OR($A257&lt;Startops2,$A257&gt;=Endyr),0,VLOOKUP($A257,Capacity_Table,Tariff!$T$18))</f>
        <v>0</v>
      </c>
      <c r="M257" s="397" t="n">
        <f aca="false">IF($A257&lt;Startops2,0,IF($A257&lt;Startops3,VLOOKUP($A257,Convert_Table,Tariff!$Y$54),C257*D257*F257*K257*L257))</f>
        <v>0</v>
      </c>
      <c r="N257" s="1544" t="str">
        <f aca="false">IF(MONTH($A257)=12,SUM(M246:M257)," ")</f>
        <v> </v>
      </c>
      <c r="O257" s="397" t="n">
        <f aca="false">IF($A257&lt;Startops2,0,IF($A257&lt;Startops3,Hr_II,Hr_III))</f>
        <v>7000</v>
      </c>
      <c r="P257" s="397" t="n">
        <f aca="false">M257*O257/1000</f>
        <v>0</v>
      </c>
      <c r="Q257" s="1545" t="str">
        <f aca="false">IF(MONTH($A257)=12,SUM(P246:P257)," ")</f>
        <v> </v>
      </c>
      <c r="R257" s="397" t="n">
        <f aca="false">IF($A257&gt;Endyr,0,IF($A257&lt;Assm!$A$55,P257,Assm!$F$55*$D257))</f>
        <v>0</v>
      </c>
      <c r="S257" s="1544" t="str">
        <f aca="false">IF(MONTH($A257)=12,SUM(R246:R257)," ")</f>
        <v> </v>
      </c>
      <c r="T257" s="397" t="n">
        <f aca="false">MAX(P257,R257)</f>
        <v>0</v>
      </c>
      <c r="U257" s="1546" t="str">
        <f aca="false">IF(MONTH($A257)=12,SUM(T246:T257)," ")</f>
        <v> </v>
      </c>
    </row>
    <row r="258" customFormat="false" ht="12.75" hidden="false" customHeight="false" outlineLevel="0" collapsed="false">
      <c r="A258" s="1538" t="n">
        <f aca="false">EDATE(A257,1)</f>
        <v>43739</v>
      </c>
      <c r="C258" s="1539" t="n">
        <f aca="false">IF($A258&gt;Endyr,0,VLOOKUP($A258,Capacity_Table,Tariff!$R$18))</f>
        <v>0</v>
      </c>
      <c r="D258" s="1540" t="n">
        <f aca="false">A259-A258</f>
        <v>31</v>
      </c>
      <c r="E258" s="1540" t="str">
        <f aca="false">IF(MONTH($A258)=12,SUM(D247:D258)," ")</f>
        <v> </v>
      </c>
      <c r="F258" s="1545" t="n">
        <f aca="false">F257</f>
        <v>24</v>
      </c>
      <c r="G258" s="1334" t="n">
        <f aca="false">IF(I258=0,0,I258/($C258*$D258*$F258*H258))</f>
        <v>0</v>
      </c>
      <c r="H258" s="1542" t="n">
        <f aca="false">IF(Avail_LDs_Switch=1,VLOOKUP('Plant Operations'!A258,RAC_AvailFactor_Table,RAC_LDs!$G$258),IF($A258&lt;Startops2,Tariff!$T$11,0))</f>
        <v>0</v>
      </c>
      <c r="I258" s="1543" t="n">
        <f aca="false">IF(OR($A258&lt;Startops1,$A258&gt;=Startops2),0,IF(AND($A258&gt;=DieselOps_2,$A258&lt;Startops2),VLOOKUP($A258,Diesel_Table,Tariff!$Y$41),VLOOKUP($A258,OA_Table,Tariff!$Y$26)))</f>
        <v>0</v>
      </c>
      <c r="J258" s="1544" t="str">
        <f aca="false">IF(MONTH($A258)=12,SUM(I247:I258)," ")</f>
        <v> </v>
      </c>
      <c r="K258" s="1334" t="n">
        <f aca="false">IF(OR($A258&lt;Startops2,$A258&gt;=Endyr),0,VLOOKUP($A258,Capacity_Table,Tariff!$S$18))</f>
        <v>0</v>
      </c>
      <c r="L258" s="306" t="n">
        <f aca="false">IF(OR($A258&lt;Startops2,$A258&gt;=Endyr),0,VLOOKUP($A258,Capacity_Table,Tariff!$T$18))</f>
        <v>0</v>
      </c>
      <c r="M258" s="397" t="n">
        <f aca="false">IF($A258&lt;Startops2,0,IF($A258&lt;Startops3,VLOOKUP($A258,Convert_Table,Tariff!$Y$54),C258*D258*F258*K258*L258))</f>
        <v>0</v>
      </c>
      <c r="N258" s="1544" t="str">
        <f aca="false">IF(MONTH($A258)=12,SUM(M247:M258)," ")</f>
        <v> </v>
      </c>
      <c r="O258" s="397" t="n">
        <f aca="false">IF($A258&lt;Startops2,0,IF($A258&lt;Startops3,Hr_II,Hr_III))</f>
        <v>7000</v>
      </c>
      <c r="P258" s="397" t="n">
        <f aca="false">M258*O258/1000</f>
        <v>0</v>
      </c>
      <c r="Q258" s="1545" t="str">
        <f aca="false">IF(MONTH($A258)=12,SUM(P247:P258)," ")</f>
        <v> </v>
      </c>
      <c r="R258" s="397" t="n">
        <f aca="false">IF($A258&gt;Endyr,0,IF($A258&lt;Assm!$A$55,P258,Assm!$F$55*$D258))</f>
        <v>0</v>
      </c>
      <c r="S258" s="1544" t="str">
        <f aca="false">IF(MONTH($A258)=12,SUM(R247:R258)," ")</f>
        <v> </v>
      </c>
      <c r="T258" s="397" t="n">
        <f aca="false">MAX(P258,R258)</f>
        <v>0</v>
      </c>
      <c r="U258" s="1546" t="str">
        <f aca="false">IF(MONTH($A258)=12,SUM(T247:T258)," ")</f>
        <v> </v>
      </c>
    </row>
    <row r="259" customFormat="false" ht="12.75" hidden="false" customHeight="false" outlineLevel="0" collapsed="false">
      <c r="A259" s="1538" t="n">
        <f aca="false">EDATE(A258,1)</f>
        <v>43770</v>
      </c>
      <c r="C259" s="1539" t="n">
        <f aca="false">IF($A259&gt;Endyr,0,VLOOKUP($A259,Capacity_Table,Tariff!$R$18))</f>
        <v>0</v>
      </c>
      <c r="D259" s="1540" t="n">
        <f aca="false">A260-A259</f>
        <v>30</v>
      </c>
      <c r="E259" s="1540" t="str">
        <f aca="false">IF(MONTH($A259)=12,SUM(D248:D259)," ")</f>
        <v> </v>
      </c>
      <c r="F259" s="1545" t="n">
        <f aca="false">F258</f>
        <v>24</v>
      </c>
      <c r="G259" s="1334" t="n">
        <f aca="false">IF(I259=0,0,I259/($C259*$D259*$F259*H259))</f>
        <v>0</v>
      </c>
      <c r="H259" s="1542" t="n">
        <f aca="false">IF(Avail_LDs_Switch=1,VLOOKUP('Plant Operations'!A259,RAC_AvailFactor_Table,RAC_LDs!$G$258),IF($A259&lt;Startops2,Tariff!$T$11,0))</f>
        <v>0</v>
      </c>
      <c r="I259" s="1543" t="n">
        <f aca="false">IF(OR($A259&lt;Startops1,$A259&gt;=Startops2),0,IF(AND($A259&gt;=DieselOps_2,$A259&lt;Startops2),VLOOKUP($A259,Diesel_Table,Tariff!$Y$41),VLOOKUP($A259,OA_Table,Tariff!$Y$26)))</f>
        <v>0</v>
      </c>
      <c r="J259" s="1544" t="str">
        <f aca="false">IF(MONTH($A259)=12,SUM(I248:I259)," ")</f>
        <v> </v>
      </c>
      <c r="K259" s="1334" t="n">
        <f aca="false">IF(OR($A259&lt;Startops2,$A259&gt;=Endyr),0,VLOOKUP($A259,Capacity_Table,Tariff!$S$18))</f>
        <v>0</v>
      </c>
      <c r="L259" s="306" t="n">
        <f aca="false">IF(OR($A259&lt;Startops2,$A259&gt;=Endyr),0,VLOOKUP($A259,Capacity_Table,Tariff!$T$18))</f>
        <v>0</v>
      </c>
      <c r="M259" s="397" t="n">
        <f aca="false">IF($A259&lt;Startops2,0,IF($A259&lt;Startops3,VLOOKUP($A259,Convert_Table,Tariff!$Y$54),C259*D259*F259*K259*L259))</f>
        <v>0</v>
      </c>
      <c r="N259" s="1544" t="str">
        <f aca="false">IF(MONTH($A259)=12,SUM(M248:M259)," ")</f>
        <v> </v>
      </c>
      <c r="O259" s="397" t="n">
        <f aca="false">IF($A259&lt;Startops2,0,IF($A259&lt;Startops3,Hr_II,Hr_III))</f>
        <v>7000</v>
      </c>
      <c r="P259" s="397" t="n">
        <f aca="false">M259*O259/1000</f>
        <v>0</v>
      </c>
      <c r="Q259" s="1545" t="str">
        <f aca="false">IF(MONTH($A259)=12,SUM(P248:P259)," ")</f>
        <v> </v>
      </c>
      <c r="R259" s="397" t="n">
        <f aca="false">IF($A259&gt;Endyr,0,IF($A259&lt;Assm!$A$55,P259,Assm!$F$55*$D259))</f>
        <v>0</v>
      </c>
      <c r="S259" s="1544" t="str">
        <f aca="false">IF(MONTH($A259)=12,SUM(R248:R259)," ")</f>
        <v> </v>
      </c>
      <c r="T259" s="397" t="n">
        <f aca="false">MAX(P259,R259)</f>
        <v>0</v>
      </c>
      <c r="U259" s="1546" t="str">
        <f aca="false">IF(MONTH($A259)=12,SUM(T248:T259)," ")</f>
        <v> </v>
      </c>
    </row>
    <row r="260" customFormat="false" ht="12.75" hidden="false" customHeight="false" outlineLevel="0" collapsed="false">
      <c r="A260" s="1538" t="n">
        <f aca="false">EDATE(A259,1)</f>
        <v>43800</v>
      </c>
      <c r="C260" s="1539" t="n">
        <f aca="false">IF($A260&gt;Endyr,0,VLOOKUP($A260,Capacity_Table,Tariff!$R$18))</f>
        <v>0</v>
      </c>
      <c r="D260" s="1540" t="n">
        <f aca="false">A261-A260</f>
        <v>31</v>
      </c>
      <c r="E260" s="1540" t="n">
        <f aca="false">IF(MONTH($A260)=12,SUM(D249:D260)," ")</f>
        <v>365</v>
      </c>
      <c r="F260" s="1545" t="n">
        <f aca="false">F259</f>
        <v>24</v>
      </c>
      <c r="G260" s="1334" t="n">
        <f aca="false">IF(I260=0,0,I260/($C260*$D260*$F260*H260))</f>
        <v>0</v>
      </c>
      <c r="H260" s="1542" t="n">
        <f aca="false">IF(Avail_LDs_Switch=1,VLOOKUP('Plant Operations'!A260,RAC_AvailFactor_Table,RAC_LDs!$G$258),IF($A260&lt;Startops2,Tariff!$T$11,0))</f>
        <v>0</v>
      </c>
      <c r="I260" s="1543" t="n">
        <f aca="false">IF(OR($A260&lt;Startops1,$A260&gt;=Startops2),0,IF(AND($A260&gt;=DieselOps_2,$A260&lt;Startops2),VLOOKUP($A260,Diesel_Table,Tariff!$Y$41),VLOOKUP($A260,OA_Table,Tariff!$Y$26)))</f>
        <v>0</v>
      </c>
      <c r="J260" s="1544" t="n">
        <f aca="false">IF(MONTH($A260)=12,SUM(I249:I260)," ")</f>
        <v>0</v>
      </c>
      <c r="K260" s="1334" t="n">
        <f aca="false">IF(OR($A260&lt;Startops2,$A260&gt;=Endyr),0,VLOOKUP($A260,Capacity_Table,Tariff!$S$18))</f>
        <v>0</v>
      </c>
      <c r="L260" s="306" t="n">
        <f aca="false">IF(OR($A260&lt;Startops2,$A260&gt;=Endyr),0,VLOOKUP($A260,Capacity_Table,Tariff!$T$18))</f>
        <v>0</v>
      </c>
      <c r="M260" s="397" t="n">
        <f aca="false">IF($A260&lt;Startops2,0,IF($A260&lt;Startops3,VLOOKUP($A260,Convert_Table,Tariff!$Y$54),C260*D260*F260*K260*L260))</f>
        <v>0</v>
      </c>
      <c r="N260" s="1544" t="n">
        <f aca="false">IF(MONTH($A260)=12,SUM(M249:M260)," ")</f>
        <v>1157345.28</v>
      </c>
      <c r="O260" s="397" t="n">
        <f aca="false">IF($A260&lt;Startops2,0,IF($A260&lt;Startops3,Hr_II,Hr_III))</f>
        <v>7000</v>
      </c>
      <c r="P260" s="397" t="n">
        <f aca="false">M260*O260/1000</f>
        <v>0</v>
      </c>
      <c r="Q260" s="1545" t="n">
        <f aca="false">IF(MONTH($A260)=12,SUM(P249:P260)," ")</f>
        <v>8101416.96</v>
      </c>
      <c r="R260" s="397" t="n">
        <f aca="false">IF($A260&gt;Endyr,0,IF($A260&lt;Assm!$A$55,P260,Assm!$F$55*$D260))</f>
        <v>0</v>
      </c>
      <c r="S260" s="1544" t="n">
        <f aca="false">IF(MONTH($A260)=12,SUM(R249:R260)," ")</f>
        <v>7076751.78082192</v>
      </c>
      <c r="T260" s="397" t="n">
        <f aca="false">MAX(P260,R260)</f>
        <v>0</v>
      </c>
      <c r="U260" s="1546" t="n">
        <f aca="false">IF(MONTH($A260)=12,SUM(T249:T260)," ")</f>
        <v>8101416.96</v>
      </c>
    </row>
    <row r="261" customFormat="false" ht="12.75" hidden="false" customHeight="false" outlineLevel="0" collapsed="false">
      <c r="A261" s="1538" t="n">
        <f aca="false">EDATE(A260,1)</f>
        <v>43831</v>
      </c>
      <c r="C261" s="1539" t="n">
        <f aca="false">IF($A261&gt;Endyr,0,VLOOKUP($A261,Capacity_Table,Tariff!$R$18))</f>
        <v>0</v>
      </c>
      <c r="D261" s="1540" t="n">
        <f aca="false">A262-A261</f>
        <v>31</v>
      </c>
      <c r="E261" s="1540" t="str">
        <f aca="false">IF(MONTH($A261)=12,SUM(D250:D261)," ")</f>
        <v> </v>
      </c>
      <c r="F261" s="1545" t="n">
        <f aca="false">F260</f>
        <v>24</v>
      </c>
      <c r="G261" s="1334" t="n">
        <f aca="false">IF(I261=0,0,I261/($C261*$D261*$F261*H261))</f>
        <v>0</v>
      </c>
      <c r="H261" s="1542" t="n">
        <f aca="false">IF(Avail_LDs_Switch=1,VLOOKUP('Plant Operations'!A261,RAC_AvailFactor_Table,RAC_LDs!$G$258),IF($A261&lt;Startops2,Tariff!$T$11,0))</f>
        <v>0</v>
      </c>
      <c r="I261" s="1543" t="n">
        <f aca="false">IF(OR($A261&lt;Startops1,$A261&gt;=Startops2),0,IF(AND($A261&gt;=DieselOps_2,$A261&lt;Startops2),VLOOKUP($A261,Diesel_Table,Tariff!$Y$41),VLOOKUP($A261,OA_Table,Tariff!$Y$26)))</f>
        <v>0</v>
      </c>
      <c r="J261" s="1544" t="str">
        <f aca="false">IF(MONTH($A261)=12,SUM(I250:I261)," ")</f>
        <v> </v>
      </c>
      <c r="K261" s="1334" t="n">
        <f aca="false">IF(OR($A261&lt;Startops2,$A261&gt;=Endyr),0,VLOOKUP($A261,Capacity_Table,Tariff!$S$18))</f>
        <v>0</v>
      </c>
      <c r="L261" s="306" t="n">
        <f aca="false">IF(OR($A261&lt;Startops2,$A261&gt;=Endyr),0,VLOOKUP($A261,Capacity_Table,Tariff!$T$18))</f>
        <v>0</v>
      </c>
      <c r="M261" s="397" t="n">
        <f aca="false">IF($A261&lt;Startops2,0,IF($A261&lt;Startops3,VLOOKUP($A261,Convert_Table,Tariff!$Y$54),C261*D261*F261*K261*L261))</f>
        <v>0</v>
      </c>
      <c r="N261" s="1544" t="str">
        <f aca="false">IF(MONTH($A261)=12,SUM(M250:M261)," ")</f>
        <v> </v>
      </c>
      <c r="O261" s="397" t="n">
        <f aca="false">IF($A261&lt;Startops2,0,IF($A261&lt;Startops3,Hr_II,Hr_III))</f>
        <v>7000</v>
      </c>
      <c r="P261" s="397" t="n">
        <f aca="false">M261*O261/1000</f>
        <v>0</v>
      </c>
      <c r="Q261" s="1545" t="str">
        <f aca="false">IF(MONTH($A261)=12,SUM(P250:P261)," ")</f>
        <v> </v>
      </c>
      <c r="R261" s="397" t="n">
        <f aca="false">IF($A261&gt;Endyr,0,IF($A261&lt;Assm!$A$55,P261,Assm!$F$55*$D261))</f>
        <v>0</v>
      </c>
      <c r="S261" s="1544" t="str">
        <f aca="false">IF(MONTH($A261)=12,SUM(R250:R261)," ")</f>
        <v> </v>
      </c>
      <c r="T261" s="397" t="n">
        <f aca="false">MAX(P261,R261)</f>
        <v>0</v>
      </c>
      <c r="U261" s="1546" t="str">
        <f aca="false">IF(MONTH($A261)=12,SUM(T250:T261)," ")</f>
        <v> </v>
      </c>
    </row>
    <row r="262" customFormat="false" ht="12.75" hidden="false" customHeight="false" outlineLevel="0" collapsed="false">
      <c r="A262" s="1538" t="n">
        <f aca="false">EDATE(A261,1)</f>
        <v>43862</v>
      </c>
      <c r="C262" s="1539" t="n">
        <f aca="false">IF($A262&gt;Endyr,0,VLOOKUP($A262,Capacity_Table,Tariff!$R$18))</f>
        <v>0</v>
      </c>
      <c r="D262" s="1540" t="n">
        <f aca="false">A263-A262</f>
        <v>29</v>
      </c>
      <c r="E262" s="1540" t="str">
        <f aca="false">IF(MONTH($A262)=12,SUM(D251:D262)," ")</f>
        <v> </v>
      </c>
      <c r="F262" s="1545" t="n">
        <f aca="false">F261</f>
        <v>24</v>
      </c>
      <c r="G262" s="1334" t="n">
        <f aca="false">IF(I262=0,0,I262/($C262*$D262*$F262*H262))</f>
        <v>0</v>
      </c>
      <c r="H262" s="1542" t="n">
        <f aca="false">IF(Avail_LDs_Switch=1,VLOOKUP('Plant Operations'!A262,RAC_AvailFactor_Table,RAC_LDs!$G$258),IF($A262&lt;Startops2,Tariff!$T$11,0))</f>
        <v>0</v>
      </c>
      <c r="I262" s="1543" t="n">
        <f aca="false">IF(OR($A262&lt;Startops1,$A262&gt;=Startops2),0,IF(AND($A262&gt;=DieselOps_2,$A262&lt;Startops2),VLOOKUP($A262,Diesel_Table,Tariff!$Y$41),VLOOKUP($A262,OA_Table,Tariff!$Y$26)))</f>
        <v>0</v>
      </c>
      <c r="J262" s="1544" t="str">
        <f aca="false">IF(MONTH($A262)=12,SUM(I251:I262)," ")</f>
        <v> </v>
      </c>
      <c r="K262" s="1334" t="n">
        <f aca="false">IF(OR($A262&lt;Startops2,$A262&gt;=Endyr),0,VLOOKUP($A262,Capacity_Table,Tariff!$S$18))</f>
        <v>0</v>
      </c>
      <c r="L262" s="306" t="n">
        <f aca="false">IF(OR($A262&lt;Startops2,$A262&gt;=Endyr),0,VLOOKUP($A262,Capacity_Table,Tariff!$T$18))</f>
        <v>0</v>
      </c>
      <c r="M262" s="397" t="n">
        <f aca="false">IF($A262&lt;Startops2,0,IF($A262&lt;Startops3,VLOOKUP($A262,Convert_Table,Tariff!$Y$54),C262*D262*F262*K262*L262))</f>
        <v>0</v>
      </c>
      <c r="N262" s="1544" t="str">
        <f aca="false">IF(MONTH($A262)=12,SUM(M251:M262)," ")</f>
        <v> </v>
      </c>
      <c r="O262" s="397" t="n">
        <f aca="false">IF($A262&lt;Startops2,0,IF($A262&lt;Startops3,Hr_II,Hr_III))</f>
        <v>7000</v>
      </c>
      <c r="P262" s="397" t="n">
        <f aca="false">M262*O262/1000</f>
        <v>0</v>
      </c>
      <c r="Q262" s="1545" t="str">
        <f aca="false">IF(MONTH($A262)=12,SUM(P251:P262)," ")</f>
        <v> </v>
      </c>
      <c r="R262" s="397" t="n">
        <f aca="false">IF($A262&gt;Endyr,0,IF($A262&lt;Assm!$A$55,P262,Assm!$F$55*$D262))</f>
        <v>0</v>
      </c>
      <c r="S262" s="1544" t="str">
        <f aca="false">IF(MONTH($A262)=12,SUM(R251:R262)," ")</f>
        <v> </v>
      </c>
      <c r="T262" s="397" t="n">
        <f aca="false">MAX(P262,R262)</f>
        <v>0</v>
      </c>
      <c r="U262" s="1546" t="str">
        <f aca="false">IF(MONTH($A262)=12,SUM(T251:T262)," ")</f>
        <v> </v>
      </c>
    </row>
    <row r="263" customFormat="false" ht="12.75" hidden="false" customHeight="false" outlineLevel="0" collapsed="false">
      <c r="A263" s="1538" t="n">
        <f aca="false">EDATE(A262,1)</f>
        <v>43891</v>
      </c>
      <c r="C263" s="1539" t="n">
        <f aca="false">IF($A263&gt;Endyr,0,VLOOKUP($A263,Capacity_Table,Tariff!$R$18))</f>
        <v>0</v>
      </c>
      <c r="D263" s="1540" t="n">
        <f aca="false">A264-A263</f>
        <v>31</v>
      </c>
      <c r="E263" s="1540" t="str">
        <f aca="false">IF(MONTH($A263)=12,SUM(D252:D263)," ")</f>
        <v> </v>
      </c>
      <c r="F263" s="1545" t="n">
        <f aca="false">F262</f>
        <v>24</v>
      </c>
      <c r="G263" s="1334" t="n">
        <f aca="false">IF(I263=0,0,I263/($C263*$D263*$F263*H263))</f>
        <v>0</v>
      </c>
      <c r="H263" s="1542" t="n">
        <f aca="false">IF(Avail_LDs_Switch=1,VLOOKUP('Plant Operations'!A263,RAC_AvailFactor_Table,RAC_LDs!$G$258),IF($A263&lt;Startops2,Tariff!$T$11,0))</f>
        <v>0</v>
      </c>
      <c r="I263" s="1543" t="n">
        <f aca="false">IF(OR($A263&lt;Startops1,$A263&gt;=Startops2),0,IF(AND($A263&gt;=DieselOps_2,$A263&lt;Startops2),VLOOKUP($A263,Diesel_Table,Tariff!$Y$41),VLOOKUP($A263,OA_Table,Tariff!$Y$26)))</f>
        <v>0</v>
      </c>
      <c r="J263" s="1544" t="str">
        <f aca="false">IF(MONTH($A263)=12,SUM(I252:I263)," ")</f>
        <v> </v>
      </c>
      <c r="K263" s="1334" t="n">
        <f aca="false">IF(OR($A263&lt;Startops2,$A263&gt;=Endyr),0,VLOOKUP($A263,Capacity_Table,Tariff!$S$18))</f>
        <v>0</v>
      </c>
      <c r="L263" s="306" t="n">
        <f aca="false">IF(OR($A263&lt;Startops2,$A263&gt;=Endyr),0,VLOOKUP($A263,Capacity_Table,Tariff!$T$18))</f>
        <v>0</v>
      </c>
      <c r="M263" s="397" t="n">
        <f aca="false">IF($A263&lt;Startops2,0,IF($A263&lt;Startops3,VLOOKUP($A263,Convert_Table,Tariff!$Y$54),C263*D263*F263*K263*L263))</f>
        <v>0</v>
      </c>
      <c r="N263" s="1544" t="str">
        <f aca="false">IF(MONTH($A263)=12,SUM(M252:M263)," ")</f>
        <v> </v>
      </c>
      <c r="O263" s="397" t="n">
        <f aca="false">IF($A263&lt;Startops2,0,IF($A263&lt;Startops3,Hr_II,Hr_III))</f>
        <v>7000</v>
      </c>
      <c r="P263" s="397" t="n">
        <f aca="false">M263*O263/1000</f>
        <v>0</v>
      </c>
      <c r="Q263" s="1545" t="str">
        <f aca="false">IF(MONTH($A263)=12,SUM(P252:P263)," ")</f>
        <v> </v>
      </c>
      <c r="R263" s="397" t="n">
        <f aca="false">IF($A263&gt;Endyr,0,IF($A263&lt;Assm!$A$55,P263,Assm!$F$55*$D263))</f>
        <v>0</v>
      </c>
      <c r="S263" s="1544" t="str">
        <f aca="false">IF(MONTH($A263)=12,SUM(R252:R263)," ")</f>
        <v> </v>
      </c>
      <c r="T263" s="397" t="n">
        <f aca="false">MAX(P263,R263)</f>
        <v>0</v>
      </c>
      <c r="U263" s="1546" t="str">
        <f aca="false">IF(MONTH($A263)=12,SUM(T252:T263)," ")</f>
        <v> </v>
      </c>
    </row>
    <row r="264" customFormat="false" ht="12.75" hidden="false" customHeight="false" outlineLevel="0" collapsed="false">
      <c r="A264" s="1538" t="n">
        <f aca="false">EDATE(A263,1)</f>
        <v>43922</v>
      </c>
      <c r="C264" s="1539" t="n">
        <f aca="false">IF($A264&gt;Endyr,0,VLOOKUP($A264,Capacity_Table,Tariff!$R$18))</f>
        <v>0</v>
      </c>
      <c r="D264" s="1540" t="n">
        <f aca="false">A265-A264</f>
        <v>30</v>
      </c>
      <c r="E264" s="1540" t="str">
        <f aca="false">IF(MONTH($A264)=12,SUM(D253:D264)," ")</f>
        <v> </v>
      </c>
      <c r="F264" s="1545" t="n">
        <f aca="false">F263</f>
        <v>24</v>
      </c>
      <c r="G264" s="1334" t="n">
        <f aca="false">IF(I264=0,0,I264/($C264*$D264*$F264*H264))</f>
        <v>0</v>
      </c>
      <c r="H264" s="1542" t="n">
        <f aca="false">IF(Avail_LDs_Switch=1,VLOOKUP('Plant Operations'!A264,RAC_AvailFactor_Table,RAC_LDs!$G$258),IF($A264&lt;Startops2,Tariff!$T$11,0))</f>
        <v>0</v>
      </c>
      <c r="I264" s="1543" t="n">
        <f aca="false">IF(OR($A264&lt;Startops1,$A264&gt;=Startops2),0,IF(AND($A264&gt;=DieselOps_2,$A264&lt;Startops2),VLOOKUP($A264,Diesel_Table,Tariff!$Y$41),VLOOKUP($A264,OA_Table,Tariff!$Y$26)))</f>
        <v>0</v>
      </c>
      <c r="J264" s="1544" t="str">
        <f aca="false">IF(MONTH($A264)=12,SUM(I253:I264)," ")</f>
        <v> </v>
      </c>
      <c r="K264" s="1334" t="n">
        <f aca="false">IF(OR($A264&lt;Startops2,$A264&gt;=Endyr),0,VLOOKUP($A264,Capacity_Table,Tariff!$S$18))</f>
        <v>0</v>
      </c>
      <c r="L264" s="306" t="n">
        <f aca="false">IF(OR($A264&lt;Startops2,$A264&gt;=Endyr),0,VLOOKUP($A264,Capacity_Table,Tariff!$T$18))</f>
        <v>0</v>
      </c>
      <c r="M264" s="397" t="n">
        <f aca="false">IF($A264&lt;Startops2,0,IF($A264&lt;Startops3,VLOOKUP($A264,Convert_Table,Tariff!$Y$54),C264*D264*F264*K264*L264))</f>
        <v>0</v>
      </c>
      <c r="N264" s="1544" t="str">
        <f aca="false">IF(MONTH($A264)=12,SUM(M253:M264)," ")</f>
        <v> </v>
      </c>
      <c r="O264" s="397" t="n">
        <f aca="false">IF($A264&lt;Startops2,0,IF($A264&lt;Startops3,Hr_II,Hr_III))</f>
        <v>7000</v>
      </c>
      <c r="P264" s="397" t="n">
        <f aca="false">M264*O264/1000</f>
        <v>0</v>
      </c>
      <c r="Q264" s="1545" t="str">
        <f aca="false">IF(MONTH($A264)=12,SUM(P253:P264)," ")</f>
        <v> </v>
      </c>
      <c r="R264" s="397" t="n">
        <f aca="false">IF($A264&gt;Endyr,0,IF($A264&lt;Assm!$A$55,P264,Assm!$F$55*$D264))</f>
        <v>0</v>
      </c>
      <c r="S264" s="1544" t="str">
        <f aca="false">IF(MONTH($A264)=12,SUM(R253:R264)," ")</f>
        <v> </v>
      </c>
      <c r="T264" s="397" t="n">
        <f aca="false">MAX(P264,R264)</f>
        <v>0</v>
      </c>
      <c r="U264" s="1546" t="str">
        <f aca="false">IF(MONTH($A264)=12,SUM(T253:T264)," ")</f>
        <v> </v>
      </c>
    </row>
    <row r="265" customFormat="false" ht="12.75" hidden="false" customHeight="false" outlineLevel="0" collapsed="false">
      <c r="A265" s="1538" t="n">
        <f aca="false">EDATE(A264,1)</f>
        <v>43952</v>
      </c>
      <c r="C265" s="1539" t="n">
        <f aca="false">IF($A265&gt;Endyr,0,VLOOKUP($A265,Capacity_Table,Tariff!$R$18))</f>
        <v>0</v>
      </c>
      <c r="D265" s="1540" t="n">
        <f aca="false">A266-A265</f>
        <v>31</v>
      </c>
      <c r="E265" s="1540" t="str">
        <f aca="false">IF(MONTH($A265)=12,SUM(D254:D265)," ")</f>
        <v> </v>
      </c>
      <c r="F265" s="1545" t="n">
        <f aca="false">F264</f>
        <v>24</v>
      </c>
      <c r="G265" s="1334" t="n">
        <f aca="false">IF(I265=0,0,I265/($C265*$D265*$F265*H265))</f>
        <v>0</v>
      </c>
      <c r="H265" s="1542" t="n">
        <f aca="false">IF(Avail_LDs_Switch=1,VLOOKUP('Plant Operations'!A265,RAC_AvailFactor_Table,RAC_LDs!$G$258),IF($A265&lt;Startops2,Tariff!$T$11,0))</f>
        <v>0</v>
      </c>
      <c r="I265" s="1543" t="n">
        <f aca="false">IF(OR($A265&lt;Startops1,$A265&gt;=Startops2),0,IF(AND($A265&gt;=DieselOps_2,$A265&lt;Startops2),VLOOKUP($A265,Diesel_Table,Tariff!$Y$41),VLOOKUP($A265,OA_Table,Tariff!$Y$26)))</f>
        <v>0</v>
      </c>
      <c r="J265" s="1544" t="str">
        <f aca="false">IF(MONTH($A265)=12,SUM(I254:I265)," ")</f>
        <v> </v>
      </c>
      <c r="K265" s="1334" t="n">
        <f aca="false">IF(OR($A265&lt;Startops2,$A265&gt;=Endyr),0,VLOOKUP($A265,Capacity_Table,Tariff!$S$18))</f>
        <v>0</v>
      </c>
      <c r="L265" s="306" t="n">
        <f aca="false">IF(OR($A265&lt;Startops2,$A265&gt;=Endyr),0,VLOOKUP($A265,Capacity_Table,Tariff!$T$18))</f>
        <v>0</v>
      </c>
      <c r="M265" s="397" t="n">
        <f aca="false">IF($A265&lt;Startops2,0,IF($A265&lt;Startops3,VLOOKUP($A265,Convert_Table,Tariff!$Y$54),C265*D265*F265*K265*L265))</f>
        <v>0</v>
      </c>
      <c r="N265" s="1544" t="str">
        <f aca="false">IF(MONTH($A265)=12,SUM(M254:M265)," ")</f>
        <v> </v>
      </c>
      <c r="O265" s="397" t="n">
        <f aca="false">IF($A265&lt;Startops2,0,IF($A265&lt;Startops3,Hr_II,Hr_III))</f>
        <v>7000</v>
      </c>
      <c r="P265" s="397" t="n">
        <f aca="false">M265*O265/1000</f>
        <v>0</v>
      </c>
      <c r="Q265" s="1545" t="str">
        <f aca="false">IF(MONTH($A265)=12,SUM(P254:P265)," ")</f>
        <v> </v>
      </c>
      <c r="R265" s="397" t="n">
        <f aca="false">IF($A265&gt;Endyr,0,IF($A265&lt;Assm!$A$55,P265,Assm!$F$55*$D265))</f>
        <v>0</v>
      </c>
      <c r="S265" s="1544" t="str">
        <f aca="false">IF(MONTH($A265)=12,SUM(R254:R265)," ")</f>
        <v> </v>
      </c>
      <c r="T265" s="397" t="n">
        <f aca="false">MAX(P265,R265)</f>
        <v>0</v>
      </c>
      <c r="U265" s="1546" t="str">
        <f aca="false">IF(MONTH($A265)=12,SUM(T254:T265)," ")</f>
        <v> </v>
      </c>
    </row>
    <row r="266" customFormat="false" ht="12.75" hidden="false" customHeight="false" outlineLevel="0" collapsed="false">
      <c r="A266" s="1538" t="n">
        <f aca="false">EDATE(A265,1)</f>
        <v>43983</v>
      </c>
      <c r="C266" s="1539" t="n">
        <f aca="false">IF($A266&gt;Endyr,0,VLOOKUP($A266,Capacity_Table,Tariff!$R$18))</f>
        <v>0</v>
      </c>
      <c r="D266" s="1540" t="n">
        <f aca="false">A267-A266</f>
        <v>30</v>
      </c>
      <c r="E266" s="1540" t="str">
        <f aca="false">IF(MONTH($A266)=12,SUM(D255:D266)," ")</f>
        <v> </v>
      </c>
      <c r="F266" s="1545" t="n">
        <f aca="false">F265</f>
        <v>24</v>
      </c>
      <c r="G266" s="1334" t="n">
        <f aca="false">IF(I266=0,0,I266/($C266*$D266*$F266*H266))</f>
        <v>0</v>
      </c>
      <c r="H266" s="1542" t="n">
        <f aca="false">IF(Avail_LDs_Switch=1,VLOOKUP('Plant Operations'!A266,RAC_AvailFactor_Table,RAC_LDs!$G$258),IF($A266&lt;Startops2,Tariff!$T$11,0))</f>
        <v>0</v>
      </c>
      <c r="I266" s="1543" t="n">
        <f aca="false">IF(OR($A266&lt;Startops1,$A266&gt;=Startops2),0,IF(AND($A266&gt;=DieselOps_2,$A266&lt;Startops2),VLOOKUP($A266,Diesel_Table,Tariff!$Y$41),VLOOKUP($A266,OA_Table,Tariff!$Y$26)))</f>
        <v>0</v>
      </c>
      <c r="J266" s="1544" t="str">
        <f aca="false">IF(MONTH($A266)=12,SUM(I255:I266)," ")</f>
        <v> </v>
      </c>
      <c r="K266" s="1334" t="n">
        <f aca="false">IF(OR($A266&lt;Startops2,$A266&gt;=Endyr),0,VLOOKUP($A266,Capacity_Table,Tariff!$S$18))</f>
        <v>0</v>
      </c>
      <c r="L266" s="306" t="n">
        <f aca="false">IF(OR($A266&lt;Startops2,$A266&gt;=Endyr),0,VLOOKUP($A266,Capacity_Table,Tariff!$T$18))</f>
        <v>0</v>
      </c>
      <c r="M266" s="397" t="n">
        <f aca="false">IF($A266&lt;Startops2,0,IF($A266&lt;Startops3,VLOOKUP($A266,Convert_Table,Tariff!$Y$54),C266*D266*F266*K266*L266))</f>
        <v>0</v>
      </c>
      <c r="N266" s="1544" t="str">
        <f aca="false">IF(MONTH($A266)=12,SUM(M255:M266)," ")</f>
        <v> </v>
      </c>
      <c r="O266" s="397" t="n">
        <f aca="false">IF($A266&lt;Startops2,0,IF($A266&lt;Startops3,Hr_II,Hr_III))</f>
        <v>7000</v>
      </c>
      <c r="P266" s="397" t="n">
        <f aca="false">M266*O266/1000</f>
        <v>0</v>
      </c>
      <c r="Q266" s="1545" t="str">
        <f aca="false">IF(MONTH($A266)=12,SUM(P255:P266)," ")</f>
        <v> </v>
      </c>
      <c r="R266" s="397" t="n">
        <f aca="false">IF($A266&gt;Endyr,0,IF($A266&lt;Assm!$A$55,P266,Assm!$F$55*$D266))</f>
        <v>0</v>
      </c>
      <c r="S266" s="1544" t="str">
        <f aca="false">IF(MONTH($A266)=12,SUM(R255:R266)," ")</f>
        <v> </v>
      </c>
      <c r="T266" s="397" t="n">
        <f aca="false">MAX(P266,R266)</f>
        <v>0</v>
      </c>
      <c r="U266" s="1546" t="str">
        <f aca="false">IF(MONTH($A266)=12,SUM(T255:T266)," ")</f>
        <v> </v>
      </c>
    </row>
    <row r="267" customFormat="false" ht="13.5" hidden="false" customHeight="false" outlineLevel="0" collapsed="false">
      <c r="A267" s="1547" t="n">
        <f aca="false">EDATE(A266,1)</f>
        <v>44013</v>
      </c>
      <c r="C267" s="744"/>
      <c r="D267" s="388"/>
      <c r="E267" s="388"/>
      <c r="F267" s="1535"/>
      <c r="G267" s="1536"/>
      <c r="H267" s="388"/>
      <c r="I267" s="388"/>
      <c r="J267" s="1548"/>
      <c r="K267" s="1536"/>
      <c r="M267" s="388"/>
      <c r="N267" s="1548"/>
      <c r="O267" s="388"/>
      <c r="P267" s="388"/>
      <c r="Q267" s="1535"/>
      <c r="R267" s="388"/>
      <c r="S267" s="1545"/>
      <c r="T267" s="388"/>
      <c r="U267" s="1546"/>
    </row>
    <row r="268" customFormat="false" ht="13.5" hidden="false" customHeight="false" outlineLevel="0" collapsed="false">
      <c r="A268" s="1549"/>
      <c r="C268" s="1550"/>
      <c r="D268" s="1551"/>
      <c r="E268" s="1551"/>
      <c r="F268" s="1552"/>
      <c r="G268" s="1553"/>
      <c r="H268" s="1551"/>
      <c r="I268" s="1551"/>
      <c r="J268" s="1554" t="n">
        <f aca="false">SUM(J12:J266)</f>
        <v>977500.16</v>
      </c>
      <c r="K268" s="1553"/>
      <c r="L268" s="1551"/>
      <c r="M268" s="1551"/>
      <c r="N268" s="1554" t="n">
        <f aca="false">SUM(N12:N266)</f>
        <v>63212152.208</v>
      </c>
      <c r="O268" s="1553"/>
      <c r="P268" s="1551"/>
      <c r="Q268" s="1554" t="n">
        <f aca="false">SUM(Q12:Q266)</f>
        <v>444643341.256</v>
      </c>
      <c r="R268" s="1553"/>
      <c r="S268" s="1554" t="n">
        <f aca="false">SUM(S12:S266)</f>
        <v>389294343.827397</v>
      </c>
      <c r="T268" s="1553"/>
      <c r="U268" s="1555" t="n">
        <f aca="false">SUM(U12:U266)</f>
        <v>444643341.256</v>
      </c>
    </row>
    <row r="269" customFormat="false" ht="12.75" hidden="false" customHeight="false" outlineLevel="0" collapsed="false">
      <c r="G269" s="388"/>
      <c r="H269" s="388"/>
    </row>
    <row r="270" customFormat="false" ht="12.75" hidden="false" customHeight="false" outlineLevel="0" collapsed="false">
      <c r="A270" s="1556" t="n">
        <v>1</v>
      </c>
      <c r="B270" s="1556" t="n">
        <f aca="false">A270+1</f>
        <v>2</v>
      </c>
      <c r="C270" s="1556" t="n">
        <f aca="false">B270+1</f>
        <v>3</v>
      </c>
      <c r="D270" s="1556" t="n">
        <f aca="false">C270+1</f>
        <v>4</v>
      </c>
      <c r="E270" s="1556" t="n">
        <f aca="false">D270+1</f>
        <v>5</v>
      </c>
      <c r="F270" s="1556" t="n">
        <f aca="false">E270+1</f>
        <v>6</v>
      </c>
      <c r="G270" s="1556" t="n">
        <f aca="false">F270+1</f>
        <v>7</v>
      </c>
      <c r="H270" s="1556" t="n">
        <f aca="false">G270+1</f>
        <v>8</v>
      </c>
      <c r="I270" s="1556" t="n">
        <f aca="false">H270+1</f>
        <v>9</v>
      </c>
      <c r="J270" s="1556" t="n">
        <f aca="false">I270+1</f>
        <v>10</v>
      </c>
      <c r="K270" s="1556" t="n">
        <f aca="false">J270+1</f>
        <v>11</v>
      </c>
      <c r="L270" s="1556" t="n">
        <f aca="false">K270+1</f>
        <v>12</v>
      </c>
      <c r="M270" s="1556" t="n">
        <f aca="false">L270+1</f>
        <v>13</v>
      </c>
      <c r="N270" s="1556" t="n">
        <f aca="false">M270+1</f>
        <v>14</v>
      </c>
      <c r="O270" s="1556" t="n">
        <f aca="false">N270+1</f>
        <v>15</v>
      </c>
      <c r="P270" s="1556" t="n">
        <f aca="false">O270+1</f>
        <v>16</v>
      </c>
      <c r="Q270" s="1556" t="n">
        <f aca="false">P270+1</f>
        <v>17</v>
      </c>
      <c r="R270" s="1556" t="n">
        <f aca="false">Q270+1</f>
        <v>18</v>
      </c>
      <c r="S270" s="1556" t="n">
        <f aca="false">R270+1</f>
        <v>19</v>
      </c>
      <c r="T270" s="1556" t="n">
        <f aca="false">S270+1</f>
        <v>20</v>
      </c>
      <c r="U270" s="1556" t="n">
        <f aca="false">T270+1</f>
        <v>21</v>
      </c>
    </row>
    <row r="271" customFormat="false" ht="12.75" hidden="false" customHeight="false" outlineLevel="0" collapsed="false">
      <c r="G271" s="388"/>
      <c r="H271" s="388"/>
    </row>
    <row r="272" customFormat="false" ht="12.75" hidden="false" customHeight="false" outlineLevel="0" collapsed="false">
      <c r="G272" s="388"/>
      <c r="H272" s="388"/>
    </row>
    <row r="273" customFormat="false" ht="12.75" hidden="false" customHeight="false" outlineLevel="0" collapsed="false">
      <c r="G273" s="388"/>
      <c r="H273" s="388"/>
    </row>
    <row r="274" customFormat="false" ht="12.75" hidden="false" customHeight="false" outlineLevel="0" collapsed="false">
      <c r="G274" s="388"/>
      <c r="H274" s="388"/>
    </row>
    <row r="275" customFormat="false" ht="12.75" hidden="false" customHeight="false" outlineLevel="0" collapsed="false">
      <c r="G275" s="388"/>
      <c r="H275" s="388"/>
    </row>
    <row r="276" customFormat="false" ht="12.75" hidden="false" customHeight="false" outlineLevel="0" collapsed="false">
      <c r="G276" s="388"/>
      <c r="H276" s="388"/>
    </row>
    <row r="277" customFormat="false" ht="12.75" hidden="false" customHeight="false" outlineLevel="0" collapsed="false">
      <c r="G277" s="388"/>
      <c r="H277" s="388"/>
    </row>
    <row r="278" customFormat="false" ht="12.75" hidden="false" customHeight="false" outlineLevel="0" collapsed="false">
      <c r="G278" s="388"/>
      <c r="H278" s="388"/>
    </row>
    <row r="279" customFormat="false" ht="12.75" hidden="false" customHeight="false" outlineLevel="0" collapsed="false">
      <c r="G279" s="388"/>
      <c r="H279" s="388"/>
    </row>
    <row r="280" customFormat="false" ht="12.75" hidden="false" customHeight="false" outlineLevel="0" collapsed="false">
      <c r="G280" s="388"/>
      <c r="H280" s="388"/>
    </row>
    <row r="281" customFormat="false" ht="12.75" hidden="false" customHeight="false" outlineLevel="0" collapsed="false">
      <c r="G281" s="388"/>
      <c r="H281" s="388"/>
    </row>
    <row r="282" customFormat="false" ht="12.75" hidden="false" customHeight="false" outlineLevel="0" collapsed="false">
      <c r="G282" s="388"/>
      <c r="H282" s="388"/>
    </row>
    <row r="283" customFormat="false" ht="12.75" hidden="false" customHeight="false" outlineLevel="0" collapsed="false">
      <c r="G283" s="388"/>
      <c r="H283" s="388"/>
    </row>
    <row r="284" customFormat="false" ht="12.75" hidden="false" customHeight="false" outlineLevel="0" collapsed="false">
      <c r="G284" s="388"/>
      <c r="H284" s="388"/>
    </row>
    <row r="285" customFormat="false" ht="12.75" hidden="false" customHeight="false" outlineLevel="0" collapsed="false">
      <c r="G285" s="388"/>
      <c r="H285" s="388"/>
    </row>
    <row r="286" customFormat="false" ht="12.75" hidden="false" customHeight="false" outlineLevel="0" collapsed="false">
      <c r="G286" s="388"/>
      <c r="H286" s="388"/>
    </row>
    <row r="287" customFormat="false" ht="12.75" hidden="false" customHeight="false" outlineLevel="0" collapsed="false">
      <c r="G287" s="388"/>
      <c r="H287" s="388"/>
    </row>
    <row r="288" customFormat="false" ht="12.75" hidden="false" customHeight="false" outlineLevel="0" collapsed="false">
      <c r="G288" s="388"/>
      <c r="H288" s="388"/>
    </row>
    <row r="289" customFormat="false" ht="12.75" hidden="false" customHeight="false" outlineLevel="0" collapsed="false">
      <c r="G289" s="388"/>
      <c r="H289" s="388"/>
    </row>
    <row r="290" customFormat="false" ht="12.75" hidden="false" customHeight="false" outlineLevel="0" collapsed="false">
      <c r="G290" s="388"/>
      <c r="H290" s="388"/>
    </row>
    <row r="291" customFormat="false" ht="12.75" hidden="false" customHeight="false" outlineLevel="0" collapsed="false">
      <c r="G291" s="388"/>
      <c r="H291" s="388"/>
    </row>
    <row r="292" customFormat="false" ht="12.75" hidden="false" customHeight="false" outlineLevel="0" collapsed="false">
      <c r="G292" s="388"/>
      <c r="H292" s="388"/>
    </row>
    <row r="293" customFormat="false" ht="12.75" hidden="false" customHeight="false" outlineLevel="0" collapsed="false">
      <c r="G293" s="388"/>
      <c r="H293" s="388"/>
    </row>
    <row r="294" customFormat="false" ht="12.75" hidden="false" customHeight="false" outlineLevel="0" collapsed="false">
      <c r="G294" s="388"/>
      <c r="H294" s="388"/>
    </row>
    <row r="295" customFormat="false" ht="12.75" hidden="false" customHeight="false" outlineLevel="0" collapsed="false">
      <c r="G295" s="388"/>
      <c r="H295" s="388"/>
    </row>
    <row r="296" customFormat="false" ht="12.75" hidden="false" customHeight="false" outlineLevel="0" collapsed="false">
      <c r="G296" s="388"/>
      <c r="H296" s="388"/>
    </row>
    <row r="297" customFormat="false" ht="12.75" hidden="false" customHeight="false" outlineLevel="0" collapsed="false">
      <c r="G297" s="388"/>
      <c r="H297" s="388"/>
    </row>
    <row r="298" customFormat="false" ht="12.75" hidden="false" customHeight="false" outlineLevel="0" collapsed="false">
      <c r="G298" s="388"/>
      <c r="H298" s="388"/>
    </row>
    <row r="299" customFormat="false" ht="12.75" hidden="false" customHeight="false" outlineLevel="0" collapsed="false">
      <c r="G299" s="388"/>
      <c r="H299" s="388"/>
    </row>
    <row r="300" customFormat="false" ht="12.75" hidden="false" customHeight="false" outlineLevel="0" collapsed="false">
      <c r="G300" s="388"/>
      <c r="H300" s="388"/>
    </row>
    <row r="301" customFormat="false" ht="12.75" hidden="false" customHeight="false" outlineLevel="0" collapsed="false">
      <c r="G301" s="388"/>
      <c r="H301" s="388"/>
    </row>
    <row r="302" customFormat="false" ht="12.75" hidden="false" customHeight="false" outlineLevel="0" collapsed="false">
      <c r="G302" s="388"/>
      <c r="H302" s="388"/>
    </row>
    <row r="303" customFormat="false" ht="12.75" hidden="false" customHeight="false" outlineLevel="0" collapsed="false">
      <c r="G303" s="388"/>
      <c r="H303" s="388"/>
    </row>
    <row r="304" customFormat="false" ht="12.75" hidden="false" customHeight="false" outlineLevel="0" collapsed="false">
      <c r="G304" s="388"/>
      <c r="H304" s="388"/>
    </row>
    <row r="305" customFormat="false" ht="12.75" hidden="false" customHeight="false" outlineLevel="0" collapsed="false">
      <c r="G305" s="388"/>
      <c r="H305" s="388"/>
    </row>
    <row r="306" customFormat="false" ht="12.75" hidden="false" customHeight="false" outlineLevel="0" collapsed="false">
      <c r="G306" s="388"/>
      <c r="H306" s="388"/>
    </row>
    <row r="307" customFormat="false" ht="12.75" hidden="false" customHeight="false" outlineLevel="0" collapsed="false">
      <c r="G307" s="388"/>
      <c r="H307" s="388"/>
    </row>
    <row r="308" customFormat="false" ht="12.75" hidden="false" customHeight="false" outlineLevel="0" collapsed="false">
      <c r="G308" s="388"/>
      <c r="H308" s="388"/>
    </row>
    <row r="309" customFormat="false" ht="12.75" hidden="false" customHeight="false" outlineLevel="0" collapsed="false">
      <c r="G309" s="388"/>
      <c r="H309" s="388"/>
    </row>
    <row r="310" customFormat="false" ht="12.75" hidden="false" customHeight="false" outlineLevel="0" collapsed="false">
      <c r="G310" s="388"/>
      <c r="H310" s="388"/>
    </row>
  </sheetData>
  <mergeCells count="1">
    <mergeCell ref="C6:U6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Y150"/>
  <sheetViews>
    <sheetView showFormulas="false" showGridLines="true" showRowColHeaders="true" showZeros="true" rightToLeft="false" tabSelected="false" showOutlineSymbols="true" defaultGridColor="true" view="normal" topLeftCell="A3" colorId="64" zoomScale="75" zoomScaleNormal="75" zoomScalePageLayoutView="100" workbookViewId="0">
      <pane xSplit="0" ySplit="1" topLeftCell="BM12" activePane="bottomLeft" state="frozen"/>
      <selection pane="topLeft" activeCell="A3" activeCellId="0" sqref="A3"/>
      <selection pane="bottomLeft" activeCell="C45" activeCellId="0" sqref="C4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56"/>
    <col collapsed="false" customWidth="true" hidden="false" outlineLevel="0" max="2" min="2" style="0" width="14.41"/>
    <col collapsed="false" customWidth="true" hidden="false" outlineLevel="0" max="3" min="3" style="0" width="13.28"/>
    <col collapsed="false" customWidth="true" hidden="false" outlineLevel="0" max="4" min="4" style="0" width="11.56"/>
    <col collapsed="false" customWidth="true" hidden="false" outlineLevel="0" max="5" min="5" style="0" width="10.99"/>
    <col collapsed="false" customWidth="true" hidden="false" outlineLevel="0" max="6" min="6" style="0" width="12.56"/>
    <col collapsed="false" customWidth="true" hidden="false" outlineLevel="0" max="7" min="7" style="0" width="11.28"/>
    <col collapsed="false" customWidth="true" hidden="false" outlineLevel="0" max="8" min="8" style="0" width="18.7"/>
    <col collapsed="false" customWidth="true" hidden="false" outlineLevel="0" max="23" min="9" style="0" width="11.7"/>
    <col collapsed="false" customWidth="true" hidden="false" outlineLevel="0" max="24" min="24" style="0" width="10.71"/>
    <col collapsed="false" customWidth="true" hidden="false" outlineLevel="0" max="25" min="25" style="0" width="5.71"/>
  </cols>
  <sheetData>
    <row r="1" customFormat="false" ht="12.75" hidden="false" customHeight="false" outlineLevel="0" collapsed="false">
      <c r="A1" s="330" t="s">
        <v>461</v>
      </c>
    </row>
    <row r="3" customFormat="false" ht="12.75" hidden="false" customHeight="false" outlineLevel="0" collapsed="false">
      <c r="A3" s="331" t="s">
        <v>462</v>
      </c>
      <c r="B3" s="332" t="n">
        <v>35795</v>
      </c>
      <c r="C3" s="332" t="n">
        <v>36160</v>
      </c>
      <c r="D3" s="332" t="n">
        <v>36525</v>
      </c>
      <c r="E3" s="333" t="n">
        <v>36891</v>
      </c>
      <c r="F3" s="333" t="n">
        <v>37256</v>
      </c>
      <c r="G3" s="333" t="n">
        <v>37621</v>
      </c>
      <c r="H3" s="333" t="n">
        <v>37986</v>
      </c>
      <c r="I3" s="333" t="n">
        <v>38352</v>
      </c>
      <c r="J3" s="333" t="n">
        <v>38717</v>
      </c>
      <c r="K3" s="333" t="n">
        <v>39082</v>
      </c>
      <c r="L3" s="333" t="n">
        <v>39447</v>
      </c>
      <c r="M3" s="333" t="n">
        <v>39813</v>
      </c>
      <c r="N3" s="333" t="n">
        <v>40178</v>
      </c>
      <c r="O3" s="333" t="n">
        <v>40543</v>
      </c>
      <c r="P3" s="333" t="n">
        <v>40908</v>
      </c>
      <c r="Q3" s="333" t="n">
        <v>41274</v>
      </c>
      <c r="R3" s="333" t="n">
        <v>41639</v>
      </c>
      <c r="S3" s="333" t="n">
        <v>42004</v>
      </c>
      <c r="T3" s="333" t="n">
        <v>42369</v>
      </c>
      <c r="U3" s="333" t="n">
        <v>42735</v>
      </c>
      <c r="V3" s="333" t="n">
        <v>43100</v>
      </c>
      <c r="W3" s="333" t="n">
        <v>43465</v>
      </c>
      <c r="X3" s="333" t="n">
        <v>43830</v>
      </c>
      <c r="Y3" s="334"/>
    </row>
    <row r="4" customFormat="false" ht="12.75" hidden="false" customHeight="false" outlineLevel="0" collapsed="false">
      <c r="A4" s="331" t="s">
        <v>463</v>
      </c>
      <c r="B4" s="332" t="n">
        <f aca="false">+IF(B3&lt;$B$50,$B$50,B3)</f>
        <v>36685</v>
      </c>
      <c r="C4" s="332" t="n">
        <f aca="false">+IF(C3&lt;$B$50,$B$50,C3)</f>
        <v>36685</v>
      </c>
      <c r="D4" s="332" t="n">
        <f aca="false">+IF(D3&lt;$B$50,$B$50,D3)</f>
        <v>36685</v>
      </c>
      <c r="E4" s="333" t="n">
        <f aca="false">+IF(E3&lt;$B$50,$B$50,E3)</f>
        <v>36891</v>
      </c>
      <c r="F4" s="333" t="n">
        <f aca="false">+IF(F3&lt;$B$50,$B$50,F3)</f>
        <v>37256</v>
      </c>
      <c r="G4" s="333" t="n">
        <f aca="false">+IF(G3&lt;$B$50,$B$50,G3)</f>
        <v>37621</v>
      </c>
      <c r="H4" s="333" t="n">
        <f aca="false">+IF(H3&lt;$B$50,$B$50,H3)</f>
        <v>37986</v>
      </c>
      <c r="I4" s="333" t="n">
        <f aca="false">+IF(I3&lt;$B$50,$B$50,I3)</f>
        <v>38352</v>
      </c>
      <c r="J4" s="333" t="n">
        <f aca="false">+IF(J3&lt;$B$50,$B$50,J3)</f>
        <v>38717</v>
      </c>
      <c r="K4" s="333" t="n">
        <f aca="false">+IF(K3&lt;$B$50,$B$50,K3)</f>
        <v>39082</v>
      </c>
      <c r="L4" s="333" t="n">
        <f aca="false">+IF(L3&lt;$B$50,$B$50,L3)</f>
        <v>39447</v>
      </c>
      <c r="M4" s="333" t="n">
        <f aca="false">+IF(M3&lt;$B$50,$B$50,M3)</f>
        <v>39813</v>
      </c>
      <c r="N4" s="333" t="n">
        <f aca="false">+IF(N3&lt;$B$50,$B$50,N3)</f>
        <v>40178</v>
      </c>
      <c r="O4" s="333" t="n">
        <f aca="false">+IF(O3&lt;$B$50,$B$50,O3)</f>
        <v>40543</v>
      </c>
      <c r="P4" s="333" t="n">
        <f aca="false">+IF(P3&lt;$B$50,$B$50,P3)</f>
        <v>40908</v>
      </c>
      <c r="Q4" s="333" t="n">
        <f aca="false">+IF(Q3&lt;$B$50,$B$50,Q3)</f>
        <v>41274</v>
      </c>
      <c r="R4" s="333" t="n">
        <f aca="false">+IF(R3&lt;$B$50,$B$50,R3)</f>
        <v>41639</v>
      </c>
      <c r="S4" s="333" t="n">
        <f aca="false">+IF(S3&lt;$B$50,$B$50,S3)</f>
        <v>42004</v>
      </c>
      <c r="T4" s="333" t="n">
        <f aca="false">+IF(T3&lt;$B$50,$B$50,T3)</f>
        <v>42369</v>
      </c>
      <c r="U4" s="333" t="n">
        <f aca="false">+IF(U3&lt;$B$50,$B$50,U3)</f>
        <v>42735</v>
      </c>
      <c r="V4" s="333" t="n">
        <f aca="false">+IF(V3&lt;$B$50,$B$50,V3)</f>
        <v>43100</v>
      </c>
      <c r="W4" s="333" t="n">
        <f aca="false">+IF(W3&lt;$B$50,$B$50,W3)</f>
        <v>43465</v>
      </c>
      <c r="X4" s="333" t="n">
        <f aca="false">+IF(X3&lt;$B$50,$B$50,X3)</f>
        <v>43830</v>
      </c>
      <c r="Y4" s="334"/>
    </row>
    <row r="6" customFormat="false" ht="12.75" hidden="false" customHeight="false" outlineLevel="0" collapsed="false">
      <c r="A6" s="66" t="s">
        <v>464</v>
      </c>
      <c r="B6" s="66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</row>
    <row r="7" customFormat="false" ht="12.75" hidden="false" customHeight="false" outlineLevel="0" collapsed="false">
      <c r="A7" s="336" t="s">
        <v>465</v>
      </c>
      <c r="B7" s="337" t="s">
        <v>466</v>
      </c>
      <c r="C7" s="337" t="s">
        <v>467</v>
      </c>
      <c r="D7" s="337" t="s">
        <v>468</v>
      </c>
      <c r="E7" s="337" t="s">
        <v>469</v>
      </c>
      <c r="F7" s="337" t="s">
        <v>470</v>
      </c>
      <c r="G7" s="337" t="s">
        <v>471</v>
      </c>
      <c r="H7" s="337" t="s">
        <v>472</v>
      </c>
      <c r="I7" s="337" t="s">
        <v>473</v>
      </c>
      <c r="J7" s="337" t="s">
        <v>474</v>
      </c>
      <c r="K7" s="337" t="s">
        <v>475</v>
      </c>
      <c r="L7" s="337" t="s">
        <v>476</v>
      </c>
      <c r="M7" s="337" t="s">
        <v>477</v>
      </c>
      <c r="N7" s="337" t="s">
        <v>478</v>
      </c>
      <c r="O7" s="337" t="s">
        <v>479</v>
      </c>
      <c r="P7" s="337" t="s">
        <v>480</v>
      </c>
      <c r="Q7" s="337" t="s">
        <v>481</v>
      </c>
      <c r="R7" s="337" t="s">
        <v>482</v>
      </c>
      <c r="S7" s="337" t="s">
        <v>483</v>
      </c>
      <c r="T7" s="337" t="s">
        <v>484</v>
      </c>
      <c r="U7" s="337" t="s">
        <v>485</v>
      </c>
      <c r="V7" s="337" t="s">
        <v>486</v>
      </c>
      <c r="W7" s="337" t="s">
        <v>487</v>
      </c>
      <c r="X7" s="337" t="s">
        <v>488</v>
      </c>
      <c r="Y7" s="337"/>
    </row>
    <row r="8" customFormat="false" ht="12.75" hidden="false" customHeight="false" outlineLevel="0" collapsed="false">
      <c r="A8" s="338" t="s">
        <v>489</v>
      </c>
      <c r="B8" s="339" t="n">
        <f aca="false">'Enron Returns'!E13+'Enron Returns'!E15</f>
        <v>0</v>
      </c>
      <c r="C8" s="339" t="n">
        <f aca="false">'Enron Returns'!F13+'Enron Returns'!F15+'Enron Returns'!F50+'Enron Returns'!F65</f>
        <v>-78171.481337821</v>
      </c>
      <c r="D8" s="339" t="n">
        <f aca="false">'Enron Returns'!G13+'Enron Returns'!G15+'Enron Returns'!G50+'Enron Returns'!G65</f>
        <v>-24806.8195538513</v>
      </c>
      <c r="E8" s="339" t="n">
        <f aca="false">'Enron Returns'!H13+'Enron Returns'!H15+'Enron Returns'!H50+'Enron Returns'!H65</f>
        <v>-50737.3821516012</v>
      </c>
      <c r="F8" s="339" t="n">
        <f aca="false">'Enron Returns'!I13+'Enron Returns'!I15+'Enron Returns'!I50+'Enron Returns'!I65</f>
        <v>-8125.06640272044</v>
      </c>
      <c r="G8" s="339" t="n">
        <f aca="false">'Enron Returns'!J13+'Enron Returns'!J15+'Enron Returns'!J50+'Enron Returns'!J65</f>
        <v>0</v>
      </c>
      <c r="H8" s="339" t="n">
        <f aca="false">'Enron Returns'!K13+'Enron Returns'!K15+'Enron Returns'!K50+'Enron Returns'!K65</f>
        <v>0</v>
      </c>
      <c r="I8" s="339" t="n">
        <f aca="false">'Enron Returns'!L13+'Enron Returns'!L15+'Enron Returns'!L50+'Enron Returns'!L65</f>
        <v>0</v>
      </c>
      <c r="J8" s="339" t="n">
        <f aca="false">'Enron Returns'!M13+'Enron Returns'!M15+'Enron Returns'!M50+'Enron Returns'!M65</f>
        <v>0</v>
      </c>
      <c r="K8" s="339" t="n">
        <f aca="false">'Enron Returns'!N13+'Enron Returns'!N15+'Enron Returns'!N50+'Enron Returns'!N65</f>
        <v>0</v>
      </c>
      <c r="L8" s="339" t="n">
        <f aca="false">'Enron Returns'!O13+'Enron Returns'!O15+'Enron Returns'!O50+'Enron Returns'!O65</f>
        <v>0</v>
      </c>
      <c r="M8" s="339" t="n">
        <f aca="false">'Enron Returns'!P13+'Enron Returns'!P15+'Enron Returns'!P50+'Enron Returns'!P65</f>
        <v>0</v>
      </c>
      <c r="N8" s="339" t="n">
        <f aca="false">'Enron Returns'!Q13+'Enron Returns'!Q15+'Enron Returns'!Q50+'Enron Returns'!Q65</f>
        <v>0</v>
      </c>
      <c r="O8" s="339" t="n">
        <f aca="false">'Enron Returns'!R13+'Enron Returns'!R15+'Enron Returns'!R50+'Enron Returns'!R65</f>
        <v>0</v>
      </c>
      <c r="P8" s="339" t="n">
        <f aca="false">'Enron Returns'!S13+'Enron Returns'!S15+'Enron Returns'!S50+'Enron Returns'!S65</f>
        <v>0</v>
      </c>
      <c r="Q8" s="339" t="n">
        <f aca="false">'Enron Returns'!T13+'Enron Returns'!T15+'Enron Returns'!T50+'Enron Returns'!T65</f>
        <v>0</v>
      </c>
      <c r="R8" s="339" t="n">
        <f aca="false">'Enron Returns'!U13+'Enron Returns'!U15+'Enron Returns'!U50+'Enron Returns'!U65</f>
        <v>0</v>
      </c>
      <c r="S8" s="339" t="n">
        <f aca="false">'Enron Returns'!V13+'Enron Returns'!V15+'Enron Returns'!V50+'Enron Returns'!V65</f>
        <v>0</v>
      </c>
      <c r="T8" s="339" t="n">
        <f aca="false">'Enron Returns'!W13+'Enron Returns'!W15+'Enron Returns'!W50+'Enron Returns'!W65</f>
        <v>0</v>
      </c>
      <c r="U8" s="339" t="n">
        <f aca="false">'Enron Returns'!X13+'Enron Returns'!X15+'Enron Returns'!X50+'Enron Returns'!X65</f>
        <v>0</v>
      </c>
      <c r="V8" s="339" t="n">
        <f aca="false">'Enron Returns'!Y13+'Enron Returns'!Y15+'Enron Returns'!Y50+'Enron Returns'!Y65</f>
        <v>0</v>
      </c>
      <c r="W8" s="339" t="n">
        <f aca="false">'Enron Returns'!Z13+'Enron Returns'!Z15+'Enron Returns'!Z50+'Enron Returns'!Z65</f>
        <v>0</v>
      </c>
      <c r="X8" s="339" t="n">
        <f aca="false">'Enron Returns'!AA13+'Enron Returns'!AA15+'Enron Returns'!AA50+'Enron Returns'!AA65</f>
        <v>0</v>
      </c>
      <c r="Y8" s="340"/>
    </row>
    <row r="9" customFormat="false" ht="12.75" hidden="false" customHeight="false" outlineLevel="0" collapsed="false">
      <c r="A9" s="338" t="s">
        <v>490</v>
      </c>
      <c r="B9" s="340" t="n">
        <v>0</v>
      </c>
      <c r="C9" s="339" t="n">
        <f aca="false">[5]Returns!E26+[5]Returns!E52+[5]Returns!E68</f>
        <v>-3318.98504282476</v>
      </c>
      <c r="D9" s="339" t="n">
        <f aca="false">[5]Returns!F26+[5]Returns!F52+[5]Returns!F68</f>
        <v>-24855.3804231572</v>
      </c>
      <c r="E9" s="339" t="n">
        <f aca="false">[5]Returns!G26+[5]Returns!G52+[5]Returns!G68</f>
        <v>-33618.3944872062</v>
      </c>
      <c r="F9" s="339" t="n">
        <f aca="false">[5]Returns!H26+[5]Returns!H52+[5]Returns!H68</f>
        <v>-211.032730763911</v>
      </c>
      <c r="G9" s="339" t="n">
        <f aca="false">[5]Returns!I26+[5]Returns!I52+[5]Returns!I68</f>
        <v>0</v>
      </c>
      <c r="H9" s="339" t="n">
        <f aca="false">[5]Returns!J26+[5]Returns!J52+[5]Returns!J68</f>
        <v>0</v>
      </c>
      <c r="I9" s="339" t="n">
        <f aca="false">[5]Returns!K26+[5]Returns!K52+[5]Returns!K68</f>
        <v>0</v>
      </c>
      <c r="J9" s="339" t="n">
        <f aca="false">[5]Returns!L26+[5]Returns!L52+[5]Returns!L68</f>
        <v>0</v>
      </c>
      <c r="K9" s="339" t="n">
        <f aca="false">[5]Returns!M26+[5]Returns!M52+[5]Returns!M68</f>
        <v>0</v>
      </c>
      <c r="L9" s="339" t="n">
        <f aca="false">[5]Returns!N26+[5]Returns!N52+[5]Returns!N68</f>
        <v>0</v>
      </c>
      <c r="M9" s="339" t="n">
        <f aca="false">[5]Returns!O26+[5]Returns!O52+[5]Returns!O68</f>
        <v>0</v>
      </c>
      <c r="N9" s="339" t="n">
        <f aca="false">[5]Returns!P26+[5]Returns!P52+[5]Returns!P68</f>
        <v>0</v>
      </c>
      <c r="O9" s="339" t="n">
        <f aca="false">[5]Returns!Q26+[5]Returns!Q52+[5]Returns!Q68</f>
        <v>0</v>
      </c>
      <c r="P9" s="339" t="n">
        <f aca="false">[5]Returns!R26+[5]Returns!R52+[5]Returns!R68</f>
        <v>0</v>
      </c>
      <c r="Q9" s="339" t="n">
        <f aca="false">[5]Returns!S26+[5]Returns!S52+[5]Returns!S68</f>
        <v>0</v>
      </c>
      <c r="R9" s="339" t="n">
        <f aca="false">[5]Returns!T26+[5]Returns!T52+[5]Returns!T68</f>
        <v>0</v>
      </c>
      <c r="S9" s="339" t="n">
        <f aca="false">[5]Returns!U26+[5]Returns!U52+[5]Returns!U68</f>
        <v>0</v>
      </c>
      <c r="T9" s="339" t="n">
        <f aca="false">[5]Returns!V26+[5]Returns!V52+[5]Returns!V68</f>
        <v>0</v>
      </c>
      <c r="U9" s="339" t="n">
        <f aca="false">[5]Returns!W26+[5]Returns!W52+[5]Returns!W68</f>
        <v>0</v>
      </c>
      <c r="V9" s="339" t="n">
        <f aca="false">[5]Returns!X26+[5]Returns!X52+[5]Returns!X68</f>
        <v>0</v>
      </c>
      <c r="W9" s="339" t="n">
        <f aca="false">[5]Returns!Y26+[5]Returns!Y52+[5]Returns!Y68</f>
        <v>0</v>
      </c>
      <c r="X9" s="339" t="n">
        <f aca="false">[5]Returns!Z26+[5]Returns!Z52+[5]Returns!Z68</f>
        <v>0</v>
      </c>
      <c r="Y9" s="340"/>
    </row>
    <row r="10" customFormat="false" ht="12.75" hidden="false" customHeight="false" outlineLevel="0" collapsed="false">
      <c r="A10" s="338" t="s">
        <v>491</v>
      </c>
      <c r="B10" s="340" t="n">
        <v>0</v>
      </c>
      <c r="C10" s="339" t="n">
        <f aca="false">([6]Returns!E24)+[6]Returns!E48+[6]Returns!E64</f>
        <v>-3111.700911</v>
      </c>
      <c r="D10" s="339" t="n">
        <f aca="false">([6]Returns!F24)+[6]Returns!F48+[6]Returns!F64</f>
        <v>-22295.7316918723</v>
      </c>
      <c r="E10" s="339" t="n">
        <f aca="false">([6]Returns!G24)+[6]Returns!G48+[6]Returns!G64</f>
        <v>-14359.9226715632</v>
      </c>
      <c r="F10" s="339" t="n">
        <f aca="false">([6]Returns!H24)+[6]Returns!H48+[6]Returns!H64</f>
        <v>-13.5569593767984</v>
      </c>
      <c r="G10" s="339" t="n">
        <f aca="false">([6]Returns!I24)+[6]Returns!I48+[6]Returns!I64</f>
        <v>0</v>
      </c>
      <c r="H10" s="339" t="n">
        <f aca="false">([6]Returns!J24)+[6]Returns!J48+[6]Returns!J64</f>
        <v>0</v>
      </c>
      <c r="I10" s="339" t="n">
        <f aca="false">([6]Returns!K24)+[6]Returns!K48+[6]Returns!K64</f>
        <v>0</v>
      </c>
      <c r="J10" s="339" t="n">
        <f aca="false">([6]Returns!L24)+[6]Returns!L48+[6]Returns!L64</f>
        <v>0</v>
      </c>
      <c r="K10" s="339" t="n">
        <f aca="false">([6]Returns!M24)+[6]Returns!M48+[6]Returns!M64</f>
        <v>0</v>
      </c>
      <c r="L10" s="339" t="n">
        <f aca="false">([6]Returns!N24)+[6]Returns!N48+[6]Returns!N64</f>
        <v>0</v>
      </c>
      <c r="M10" s="339" t="n">
        <f aca="false">([6]Returns!O24)+[6]Returns!O48+[6]Returns!O64</f>
        <v>0</v>
      </c>
      <c r="N10" s="339" t="n">
        <f aca="false">([6]Returns!P24)+[6]Returns!P48+[6]Returns!P64</f>
        <v>0</v>
      </c>
      <c r="O10" s="339" t="n">
        <f aca="false">([6]Returns!Q24)+[6]Returns!Q48+[6]Returns!Q64</f>
        <v>0</v>
      </c>
      <c r="P10" s="339" t="n">
        <f aca="false">([6]Returns!R24)+[6]Returns!R48+[6]Returns!R64</f>
        <v>0</v>
      </c>
      <c r="Q10" s="339" t="n">
        <f aca="false">([6]Returns!S24)+[6]Returns!S48+[6]Returns!S64</f>
        <v>0</v>
      </c>
      <c r="R10" s="339" t="n">
        <f aca="false">([6]Returns!T24)+[6]Returns!T48+[6]Returns!T64</f>
        <v>0</v>
      </c>
      <c r="S10" s="339" t="n">
        <f aca="false">([6]Returns!U24)+[6]Returns!U48+[6]Returns!U64</f>
        <v>0</v>
      </c>
      <c r="T10" s="339" t="n">
        <f aca="false">([6]Returns!V24)+[6]Returns!V48+[6]Returns!V64</f>
        <v>0</v>
      </c>
      <c r="U10" s="339" t="n">
        <f aca="false">([6]Returns!W24)+[6]Returns!W48+[6]Returns!W64</f>
        <v>0</v>
      </c>
      <c r="V10" s="339" t="n">
        <f aca="false">([6]Returns!X24)+[6]Returns!X48+[6]Returns!X64</f>
        <v>0</v>
      </c>
      <c r="W10" s="339" t="n">
        <f aca="false">([6]Returns!Y24)+[6]Returns!Y48+[6]Returns!Y64</f>
        <v>0</v>
      </c>
      <c r="X10" s="339" t="n">
        <f aca="false">([6]Returns!Z24)+[6]Returns!Z48+[6]Returns!Z64</f>
        <v>0</v>
      </c>
      <c r="Y10" s="340"/>
    </row>
    <row r="11" customFormat="false" ht="12.75" hidden="false" customHeight="false" outlineLevel="0" collapsed="false">
      <c r="A11" s="338" t="s">
        <v>492</v>
      </c>
      <c r="B11" s="340" t="n">
        <v>0</v>
      </c>
      <c r="C11" s="340" t="n">
        <f aca="false">[7]Returns!E23</f>
        <v>0</v>
      </c>
      <c r="D11" s="340" t="n">
        <f aca="false">[7]Returns!F23</f>
        <v>0</v>
      </c>
      <c r="E11" s="340" t="n">
        <f aca="false">[7]Returns!G23</f>
        <v>1064.42847</v>
      </c>
      <c r="F11" s="340" t="n">
        <f aca="false">[7]Returns!H23</f>
        <v>0</v>
      </c>
      <c r="G11" s="340" t="n">
        <f aca="false">[7]Returns!I23</f>
        <v>0</v>
      </c>
      <c r="H11" s="340" t="n">
        <f aca="false">[7]Returns!J23</f>
        <v>0</v>
      </c>
      <c r="I11" s="340" t="n">
        <f aca="false">[7]Returns!K23</f>
        <v>0</v>
      </c>
      <c r="J11" s="340" t="n">
        <f aca="false">[7]Returns!L23</f>
        <v>0</v>
      </c>
      <c r="K11" s="340" t="n">
        <f aca="false">[7]Returns!M23</f>
        <v>0</v>
      </c>
      <c r="L11" s="340" t="n">
        <f aca="false">[7]Returns!N23</f>
        <v>0</v>
      </c>
      <c r="M11" s="340" t="n">
        <f aca="false">[7]Returns!O23</f>
        <v>0</v>
      </c>
      <c r="N11" s="340" t="n">
        <f aca="false">[7]Returns!P23</f>
        <v>0</v>
      </c>
      <c r="O11" s="340" t="n">
        <f aca="false">[7]Returns!Q23</f>
        <v>0</v>
      </c>
      <c r="P11" s="340" t="n">
        <f aca="false">[7]Returns!R23</f>
        <v>0</v>
      </c>
      <c r="Q11" s="340" t="n">
        <f aca="false">[7]Returns!S23</f>
        <v>0</v>
      </c>
      <c r="R11" s="340" t="n">
        <f aca="false">[7]Returns!T23</f>
        <v>0</v>
      </c>
      <c r="S11" s="340" t="n">
        <f aca="false">[7]Returns!U23</f>
        <v>0</v>
      </c>
      <c r="T11" s="340" t="n">
        <f aca="false">[7]Returns!V23</f>
        <v>0</v>
      </c>
      <c r="U11" s="340" t="n">
        <f aca="false">[7]Returns!W23</f>
        <v>0</v>
      </c>
      <c r="V11" s="340" t="n">
        <f aca="false">[7]Returns!X23</f>
        <v>0</v>
      </c>
      <c r="W11" s="340" t="n">
        <f aca="false">[7]Returns!Y23</f>
        <v>0</v>
      </c>
      <c r="X11" s="340" t="n">
        <f aca="false">[7]Returns!Z23</f>
        <v>0</v>
      </c>
      <c r="Y11" s="340"/>
    </row>
    <row r="12" customFormat="false" ht="12.75" hidden="false" customHeight="false" outlineLevel="0" collapsed="false">
      <c r="A12" s="341" t="s">
        <v>493</v>
      </c>
      <c r="B12" s="342" t="n">
        <f aca="false">SUM(B8:B11)</f>
        <v>0</v>
      </c>
      <c r="C12" s="342" t="n">
        <f aca="false">SUM(C8:C11)</f>
        <v>-84602.1672916457</v>
      </c>
      <c r="D12" s="342" t="n">
        <f aca="false">SUM(D8:D11)</f>
        <v>-71957.9316688808</v>
      </c>
      <c r="E12" s="343" t="n">
        <f aca="false">SUM(E8:E11)*E64</f>
        <v>-97651.2708403706</v>
      </c>
      <c r="F12" s="343" t="n">
        <f aca="false">SUM(F8:F11)*F64</f>
        <v>-8349.65609286115</v>
      </c>
      <c r="G12" s="343" t="n">
        <f aca="false">SUM(G8:G11)*G64</f>
        <v>0</v>
      </c>
      <c r="H12" s="343" t="n">
        <f aca="false">SUM(H8:H11)*H64</f>
        <v>0</v>
      </c>
      <c r="I12" s="343" t="n">
        <f aca="false">SUM(I8:I11)*I64</f>
        <v>0</v>
      </c>
      <c r="J12" s="343" t="n">
        <f aca="false">SUM(J8:J11)*J64</f>
        <v>0</v>
      </c>
      <c r="K12" s="343" t="n">
        <f aca="false">SUM(K8:K11)*K64</f>
        <v>0</v>
      </c>
      <c r="L12" s="343" t="n">
        <f aca="false">SUM(L8:L11)*L64</f>
        <v>0</v>
      </c>
      <c r="M12" s="343" t="n">
        <f aca="false">SUM(M8:M11)*M64</f>
        <v>0</v>
      </c>
      <c r="N12" s="343" t="n">
        <f aca="false">SUM(N8:N11)*N64</f>
        <v>0</v>
      </c>
      <c r="O12" s="343" t="n">
        <f aca="false">SUM(O8:O11)*O64</f>
        <v>0</v>
      </c>
      <c r="P12" s="343" t="n">
        <f aca="false">SUM(P8:P11)*P64</f>
        <v>0</v>
      </c>
      <c r="Q12" s="343" t="n">
        <f aca="false">SUM(Q8:Q11)*Q64</f>
        <v>0</v>
      </c>
      <c r="R12" s="343" t="n">
        <f aca="false">SUM(R8:R11)*R64</f>
        <v>0</v>
      </c>
      <c r="S12" s="343" t="n">
        <f aca="false">SUM(S8:S11)*S64</f>
        <v>0</v>
      </c>
      <c r="T12" s="343" t="n">
        <f aca="false">SUM(T8:T11)*T64</f>
        <v>0</v>
      </c>
      <c r="U12" s="343" t="n">
        <f aca="false">SUM(U8:U11)*U64</f>
        <v>0</v>
      </c>
      <c r="V12" s="343" t="n">
        <f aca="false">SUM(V8:V11)*V64</f>
        <v>0</v>
      </c>
      <c r="W12" s="343" t="n">
        <f aca="false">SUM(W8:W11)*W64</f>
        <v>0</v>
      </c>
      <c r="X12" s="343" t="n">
        <f aca="false">SUM(X8:X11)*X64</f>
        <v>0</v>
      </c>
      <c r="Y12" s="342"/>
    </row>
    <row r="13" customFormat="false" ht="12.75" hidden="false" customHeight="false" outlineLevel="0" collapsed="false">
      <c r="A13" s="344" t="s">
        <v>494</v>
      </c>
      <c r="B13" s="337" t="s">
        <v>495</v>
      </c>
      <c r="C13" s="337" t="s">
        <v>496</v>
      </c>
      <c r="D13" s="337" t="s">
        <v>497</v>
      </c>
      <c r="E13" s="337" t="s">
        <v>498</v>
      </c>
      <c r="F13" s="337" t="s">
        <v>499</v>
      </c>
      <c r="G13" s="337" t="s">
        <v>500</v>
      </c>
      <c r="H13" s="337" t="s">
        <v>501</v>
      </c>
      <c r="I13" s="337" t="s">
        <v>502</v>
      </c>
      <c r="J13" s="337" t="s">
        <v>503</v>
      </c>
      <c r="K13" s="337" t="s">
        <v>504</v>
      </c>
      <c r="L13" s="337" t="s">
        <v>505</v>
      </c>
      <c r="M13" s="337" t="s">
        <v>506</v>
      </c>
      <c r="N13" s="337" t="s">
        <v>507</v>
      </c>
      <c r="O13" s="337" t="s">
        <v>508</v>
      </c>
      <c r="P13" s="337" t="s">
        <v>509</v>
      </c>
      <c r="Q13" s="337" t="s">
        <v>510</v>
      </c>
      <c r="R13" s="337" t="s">
        <v>511</v>
      </c>
      <c r="S13" s="337" t="s">
        <v>512</v>
      </c>
      <c r="T13" s="337" t="s">
        <v>513</v>
      </c>
      <c r="U13" s="337" t="s">
        <v>514</v>
      </c>
      <c r="V13" s="337" t="s">
        <v>515</v>
      </c>
      <c r="W13" s="337" t="s">
        <v>516</v>
      </c>
      <c r="X13" s="337" t="s">
        <v>517</v>
      </c>
      <c r="Y13" s="345"/>
    </row>
    <row r="14" customFormat="false" ht="12.75" hidden="false" customHeight="false" outlineLevel="0" collapsed="false">
      <c r="A14" s="338" t="s">
        <v>489</v>
      </c>
      <c r="B14" s="346" t="n">
        <f aca="false">SUM('Enron Returns'!E34:E38)</f>
        <v>0</v>
      </c>
      <c r="C14" s="346" t="n">
        <f aca="false">SUM('Enron Returns'!F34:F38)</f>
        <v>3350.67689001433</v>
      </c>
      <c r="D14" s="346" t="n">
        <f aca="false">SUM('Enron Returns'!G34:G38)</f>
        <v>18.3224846385751</v>
      </c>
      <c r="E14" s="346" t="n">
        <f aca="false">SUM('Enron Returns'!H34:H38)</f>
        <v>1437.70320576288</v>
      </c>
      <c r="F14" s="346" t="n">
        <f aca="false">SUM('Enron Returns'!I34:I38)</f>
        <v>1124.45279477437</v>
      </c>
      <c r="G14" s="346" t="n">
        <f aca="false">SUM('Enron Returns'!J34:J38)</f>
        <v>1155.9618391975</v>
      </c>
      <c r="H14" s="346" t="n">
        <f aca="false">SUM('Enron Returns'!K34:K38)</f>
        <v>1186.64858037793</v>
      </c>
      <c r="I14" s="346" t="n">
        <f aca="false">SUM('Enron Returns'!L34:L38)</f>
        <v>1217.30463990455</v>
      </c>
      <c r="J14" s="346" t="n">
        <f aca="false">SUM('Enron Returns'!M34:M38)</f>
        <v>1248.15088842666</v>
      </c>
      <c r="K14" s="346" t="n">
        <f aca="false">SUM('Enron Returns'!N34:N38)</f>
        <v>1279.26209970216</v>
      </c>
      <c r="L14" s="346" t="n">
        <f aca="false">SUM('Enron Returns'!O34:O38)</f>
        <v>1310.4971575391</v>
      </c>
      <c r="M14" s="346" t="n">
        <f aca="false">SUM('Enron Returns'!P34:P38)</f>
        <v>1341.89204157318</v>
      </c>
      <c r="N14" s="346" t="n">
        <f aca="false">SUM('Enron Returns'!Q34:Q38)</f>
        <v>1373.54615208727</v>
      </c>
      <c r="O14" s="346" t="n">
        <f aca="false">SUM('Enron Returns'!R34:R38)</f>
        <v>1405.49945832593</v>
      </c>
      <c r="P14" s="346" t="n">
        <f aca="false">SUM('Enron Returns'!S34:S38)</f>
        <v>1437.81687628399</v>
      </c>
      <c r="Q14" s="346" t="n">
        <f aca="false">SUM('Enron Returns'!T34:T38)</f>
        <v>1470.61798850284</v>
      </c>
      <c r="R14" s="346" t="n">
        <f aca="false">SUM('Enron Returns'!U34:U38)</f>
        <v>1504.09987704687</v>
      </c>
      <c r="S14" s="346" t="n">
        <f aca="false">SUM('Enron Returns'!V34:V38)</f>
        <v>1538.64828742979</v>
      </c>
      <c r="T14" s="346" t="n">
        <f aca="false">SUM('Enron Returns'!W34:W38)</f>
        <v>1574.58759746032</v>
      </c>
      <c r="U14" s="346" t="n">
        <f aca="false">SUM('Enron Returns'!X34:X38)</f>
        <v>1612.07533911991</v>
      </c>
      <c r="V14" s="346" t="n">
        <f aca="false">SUM('Enron Returns'!Y34:Y38)</f>
        <v>1651.2822679055</v>
      </c>
      <c r="W14" s="346" t="n">
        <f aca="false">SUM('Enron Returns'!Z34:Z38)</f>
        <v>1692.20223364615</v>
      </c>
      <c r="X14" s="346" t="n">
        <f aca="false">SUM('Enron Returns'!AA34:AA38)</f>
        <v>578.294131746216</v>
      </c>
      <c r="Y14" s="340"/>
    </row>
    <row r="15" customFormat="false" ht="12.75" hidden="false" customHeight="false" outlineLevel="0" collapsed="false">
      <c r="A15" s="338" t="s">
        <v>490</v>
      </c>
      <c r="B15" s="346" t="n">
        <v>0</v>
      </c>
      <c r="C15" s="346" t="n">
        <f aca="false">[5]Returns!E34+[5]Returns!E35+[5]Returns!E36+[5]Returns!E39+[5]Returns!E40</f>
        <v>843.658123677894</v>
      </c>
      <c r="D15" s="346" t="n">
        <f aca="false">[5]Returns!F34+[5]Returns!F35+[5]Returns!F36+[5]Returns!F39+[5]Returns!F40</f>
        <v>3253.61930411055</v>
      </c>
      <c r="E15" s="346" t="n">
        <f aca="false">[5]Returns!G34+[5]Returns!G35+[5]Returns!G36+[5]Returns!G39+[5]Returns!G40</f>
        <v>57.6925722115606</v>
      </c>
      <c r="F15" s="346" t="n">
        <f aca="false">[5]Returns!H34+[5]Returns!H35+[5]Returns!H36+[5]Returns!H39+[5]Returns!H40</f>
        <v>-110.198176289717</v>
      </c>
      <c r="G15" s="346" t="n">
        <f aca="false">[5]Returns!I34+[5]Returns!I35+[5]Returns!I36+[5]Returns!I39+[5]Returns!I40</f>
        <v>6.35758709363754</v>
      </c>
      <c r="H15" s="346" t="n">
        <f aca="false">[5]Returns!J34+[5]Returns!J35+[5]Returns!J36+[5]Returns!J39+[5]Returns!J40</f>
        <v>6.35758709363754</v>
      </c>
      <c r="I15" s="346" t="n">
        <f aca="false">[5]Returns!K34+[5]Returns!K35+[5]Returns!K36+[5]Returns!K39+[5]Returns!K40</f>
        <v>6.35758709363754</v>
      </c>
      <c r="J15" s="346" t="n">
        <f aca="false">[5]Returns!L34+[5]Returns!L35+[5]Returns!L36+[5]Returns!L39+[5]Returns!L40</f>
        <v>6.35758709363754</v>
      </c>
      <c r="K15" s="346" t="n">
        <f aca="false">[5]Returns!M34+[5]Returns!M35+[5]Returns!M36+[5]Returns!M39+[5]Returns!M40</f>
        <v>6.35758709363754</v>
      </c>
      <c r="L15" s="346" t="n">
        <f aca="false">[5]Returns!N34+[5]Returns!N35+[5]Returns!N36+[5]Returns!N39+[5]Returns!N40</f>
        <v>6.35758709363754</v>
      </c>
      <c r="M15" s="346" t="n">
        <f aca="false">[5]Returns!O34+[5]Returns!O35+[5]Returns!O36+[5]Returns!O39+[5]Returns!O40</f>
        <v>6.35758709363754</v>
      </c>
      <c r="N15" s="346" t="n">
        <f aca="false">[5]Returns!P34+[5]Returns!P35+[5]Returns!P36+[5]Returns!P39+[5]Returns!P40</f>
        <v>6.35758709363754</v>
      </c>
      <c r="O15" s="346" t="n">
        <f aca="false">[5]Returns!Q34+[5]Returns!Q35+[5]Returns!Q36+[5]Returns!Q39+[5]Returns!Q40</f>
        <v>6.35758709363754</v>
      </c>
      <c r="P15" s="346" t="n">
        <f aca="false">[5]Returns!R34+[5]Returns!R35+[5]Returns!R36+[5]Returns!R39+[5]Returns!R40</f>
        <v>6.35758709363754</v>
      </c>
      <c r="Q15" s="346" t="n">
        <f aca="false">[5]Returns!S34+[5]Returns!S35+[5]Returns!S36+[5]Returns!S39+[5]Returns!S40</f>
        <v>6.35758709363754</v>
      </c>
      <c r="R15" s="346" t="n">
        <f aca="false">[5]Returns!T34+[5]Returns!T35+[5]Returns!T36+[5]Returns!T39+[5]Returns!T40</f>
        <v>6.35758709363754</v>
      </c>
      <c r="S15" s="346" t="n">
        <f aca="false">[5]Returns!U34+[5]Returns!U35+[5]Returns!U36+[5]Returns!U39+[5]Returns!U40</f>
        <v>6.35758709363754</v>
      </c>
      <c r="T15" s="346" t="n">
        <f aca="false">[5]Returns!V34+[5]Returns!V35+[5]Returns!V36+[5]Returns!V39+[5]Returns!V40</f>
        <v>6.35758709363754</v>
      </c>
      <c r="U15" s="346" t="n">
        <f aca="false">[5]Returns!W34+[5]Returns!W35+[5]Returns!W36+[5]Returns!W39+[5]Returns!W40</f>
        <v>6.35758709363754</v>
      </c>
      <c r="V15" s="346" t="n">
        <f aca="false">[5]Returns!X34+[5]Returns!X35+[5]Returns!X36+[5]Returns!X39+[5]Returns!X40</f>
        <v>6.35758709363754</v>
      </c>
      <c r="W15" s="346" t="n">
        <f aca="false">[5]Returns!Y34+[5]Returns!Y35+[5]Returns!Y36+[5]Returns!Y39+[5]Returns!Y40</f>
        <v>6.35758709363754</v>
      </c>
      <c r="X15" s="346" t="n">
        <f aca="false">[5]Returns!Z34+[5]Returns!Z35+[5]Returns!Z36+[5]Returns!Z39+[5]Returns!Z40</f>
        <v>2.11919569787918</v>
      </c>
      <c r="Y15" s="340"/>
    </row>
    <row r="16" customFormat="false" ht="12.75" hidden="false" customHeight="false" outlineLevel="0" collapsed="false">
      <c r="A16" s="338" t="s">
        <v>491</v>
      </c>
      <c r="B16" s="340" t="n">
        <v>0</v>
      </c>
      <c r="C16" s="346" t="n">
        <f aca="false">([6]Returns!E31+[6]Returns!E32+[6]Returns!E33+[6]Returns!E34+[6]Returns!E35+[6]Returns!E36)</f>
        <v>935.890289844761</v>
      </c>
      <c r="D16" s="346" t="n">
        <f aca="false">([6]Returns!F31+[6]Returns!F32+[6]Returns!F33+[6]Returns!F34+[6]Returns!F35+[6]Returns!F36)</f>
        <v>3956.35943296387</v>
      </c>
      <c r="E16" s="346" t="n">
        <f aca="false">([6]Returns!G31+[6]Returns!G32+[6]Returns!G33+[6]Returns!G34+[6]Returns!G35+[6]Returns!G36)</f>
        <v>559.579527191373</v>
      </c>
      <c r="F16" s="346" t="n">
        <f aca="false">([6]Returns!H31+[6]Returns!H32+[6]Returns!H33+[6]Returns!H34+[6]Returns!H35+[6]Returns!H36)</f>
        <v>-807.3436417242</v>
      </c>
      <c r="G16" s="346" t="n">
        <f aca="false">([6]Returns!I31+[6]Returns!I32+[6]Returns!I33+[6]Returns!I34+[6]Returns!I35+[6]Returns!I36)</f>
        <v>46.5775177917808</v>
      </c>
      <c r="H16" s="346" t="n">
        <f aca="false">([6]Returns!J31+[6]Returns!J32+[6]Returns!J33+[6]Returns!J34+[6]Returns!J35+[6]Returns!J36)</f>
        <v>46.5775177917808</v>
      </c>
      <c r="I16" s="346" t="n">
        <f aca="false">([6]Returns!K31+[6]Returns!K32+[6]Returns!K33+[6]Returns!K34+[6]Returns!K35+[6]Returns!K36)</f>
        <v>46.5775177917808</v>
      </c>
      <c r="J16" s="346" t="n">
        <f aca="false">([6]Returns!L31+[6]Returns!L32+[6]Returns!L33+[6]Returns!L34+[6]Returns!L35+[6]Returns!L36)</f>
        <v>46.5775177917808</v>
      </c>
      <c r="K16" s="346" t="n">
        <f aca="false">([6]Returns!M31+[6]Returns!M32+[6]Returns!M33+[6]Returns!M34+[6]Returns!M35+[6]Returns!M36)</f>
        <v>46.5775177917808</v>
      </c>
      <c r="L16" s="346" t="n">
        <f aca="false">([6]Returns!N31+[6]Returns!N32+[6]Returns!N33+[6]Returns!N34+[6]Returns!N35+[6]Returns!N36)</f>
        <v>46.5775177917808</v>
      </c>
      <c r="M16" s="346" t="n">
        <f aca="false">([6]Returns!O31+[6]Returns!O32+[6]Returns!O33+[6]Returns!O34+[6]Returns!O35+[6]Returns!O36)</f>
        <v>46.5775177917808</v>
      </c>
      <c r="N16" s="346" t="n">
        <f aca="false">([6]Returns!P31+[6]Returns!P32+[6]Returns!P33+[6]Returns!P34+[6]Returns!P35+[6]Returns!P36)</f>
        <v>46.5775177917808</v>
      </c>
      <c r="O16" s="346" t="n">
        <f aca="false">([6]Returns!Q31+[6]Returns!Q32+[6]Returns!Q33+[6]Returns!Q34+[6]Returns!Q35+[6]Returns!Q36)</f>
        <v>46.5775177917808</v>
      </c>
      <c r="P16" s="346" t="n">
        <f aca="false">([6]Returns!R31+[6]Returns!R32+[6]Returns!R33+[6]Returns!R34+[6]Returns!R35+[6]Returns!R36)</f>
        <v>46.5775177917808</v>
      </c>
      <c r="Q16" s="346" t="n">
        <f aca="false">([6]Returns!S31+[6]Returns!S32+[6]Returns!S33+[6]Returns!S34+[6]Returns!S35+[6]Returns!S36)</f>
        <v>46.5775177917808</v>
      </c>
      <c r="R16" s="346" t="n">
        <f aca="false">([6]Returns!T31+[6]Returns!T32+[6]Returns!T33+[6]Returns!T34+[6]Returns!T35+[6]Returns!T36)</f>
        <v>46.5775177917808</v>
      </c>
      <c r="S16" s="346" t="n">
        <f aca="false">([6]Returns!U31+[6]Returns!U32+[6]Returns!U33+[6]Returns!U34+[6]Returns!U35+[6]Returns!U36)</f>
        <v>46.5775177917808</v>
      </c>
      <c r="T16" s="346" t="n">
        <f aca="false">([6]Returns!V31+[6]Returns!V32+[6]Returns!V33+[6]Returns!V34+[6]Returns!V35+[6]Returns!V36)</f>
        <v>46.5775177917808</v>
      </c>
      <c r="U16" s="346" t="n">
        <f aca="false">([6]Returns!W31+[6]Returns!W32+[6]Returns!W33+[6]Returns!W34+[6]Returns!W35+[6]Returns!W36)</f>
        <v>46.5775177917808</v>
      </c>
      <c r="V16" s="346" t="n">
        <f aca="false">([6]Returns!X31+[6]Returns!X32+[6]Returns!X33+[6]Returns!X34+[6]Returns!X35+[6]Returns!X36)</f>
        <v>46.5775177917808</v>
      </c>
      <c r="W16" s="346" t="n">
        <f aca="false">([6]Returns!Y31+[6]Returns!Y32+[6]Returns!Y33+[6]Returns!Y34+[6]Returns!Y35+[6]Returns!Y36)</f>
        <v>46.5775177917808</v>
      </c>
      <c r="X16" s="346" t="n">
        <f aca="false">([6]Returns!Z31+[6]Returns!Z32+[6]Returns!Z33+[6]Returns!Z34+[6]Returns!Z35+[6]Returns!Z36)</f>
        <v>15.5258392639269</v>
      </c>
      <c r="Y16" s="340"/>
    </row>
    <row r="17" customFormat="false" ht="12.75" hidden="false" customHeight="false" outlineLevel="0" collapsed="false">
      <c r="A17" s="338" t="s">
        <v>492</v>
      </c>
      <c r="B17" s="340" t="n">
        <v>0</v>
      </c>
      <c r="C17" s="340" t="n">
        <f aca="false">B17</f>
        <v>0</v>
      </c>
      <c r="D17" s="340" t="n">
        <f aca="false">C17</f>
        <v>0</v>
      </c>
      <c r="E17" s="340" t="n">
        <f aca="false">D17</f>
        <v>0</v>
      </c>
      <c r="F17" s="340" t="n">
        <f aca="false">E17</f>
        <v>0</v>
      </c>
      <c r="G17" s="340" t="n">
        <f aca="false">F17</f>
        <v>0</v>
      </c>
      <c r="H17" s="340" t="n">
        <f aca="false">G17</f>
        <v>0</v>
      </c>
      <c r="I17" s="340" t="n">
        <f aca="false">H17</f>
        <v>0</v>
      </c>
      <c r="J17" s="340" t="n">
        <f aca="false">I17</f>
        <v>0</v>
      </c>
      <c r="K17" s="340" t="n">
        <f aca="false">J17</f>
        <v>0</v>
      </c>
      <c r="L17" s="340" t="n">
        <f aca="false">K17</f>
        <v>0</v>
      </c>
      <c r="M17" s="340" t="n">
        <f aca="false">L17</f>
        <v>0</v>
      </c>
      <c r="N17" s="340" t="n">
        <f aca="false">M17</f>
        <v>0</v>
      </c>
      <c r="O17" s="340" t="n">
        <f aca="false">N17</f>
        <v>0</v>
      </c>
      <c r="P17" s="340" t="n">
        <f aca="false">O17</f>
        <v>0</v>
      </c>
      <c r="Q17" s="340" t="n">
        <f aca="false">P17</f>
        <v>0</v>
      </c>
      <c r="R17" s="340" t="n">
        <f aca="false">Q17</f>
        <v>0</v>
      </c>
      <c r="S17" s="340" t="n">
        <f aca="false">R17</f>
        <v>0</v>
      </c>
      <c r="T17" s="340" t="n">
        <f aca="false">S17</f>
        <v>0</v>
      </c>
      <c r="U17" s="340" t="n">
        <f aca="false">T17</f>
        <v>0</v>
      </c>
      <c r="V17" s="340" t="n">
        <f aca="false">U17</f>
        <v>0</v>
      </c>
      <c r="W17" s="340" t="n">
        <f aca="false">V17</f>
        <v>0</v>
      </c>
      <c r="X17" s="340" t="n">
        <f aca="false">W17</f>
        <v>0</v>
      </c>
      <c r="Y17" s="340"/>
    </row>
    <row r="18" customFormat="false" ht="12.75" hidden="false" customHeight="false" outlineLevel="0" collapsed="false">
      <c r="A18" s="341" t="s">
        <v>493</v>
      </c>
      <c r="B18" s="342" t="n">
        <f aca="false">SUM(B14:B17)</f>
        <v>0</v>
      </c>
      <c r="C18" s="342" t="n">
        <f aca="false">SUM(C14:C17)</f>
        <v>5130.22530353698</v>
      </c>
      <c r="D18" s="342" t="n">
        <f aca="false">SUM(D14:D17)</f>
        <v>7228.30122171299</v>
      </c>
      <c r="E18" s="343" t="n">
        <f aca="false">SUM(E14:E17)*E64</f>
        <v>2054.97530516581</v>
      </c>
      <c r="F18" s="343" t="n">
        <f aca="false">SUM(F14:F17)*F64</f>
        <v>206.910976760455</v>
      </c>
      <c r="G18" s="343" t="n">
        <f aca="false">SUM(G14:G17)*G64</f>
        <v>1208.89694408291</v>
      </c>
      <c r="H18" s="343" t="n">
        <f aca="false">SUM(H14:H17)*H64</f>
        <v>1239.58368526334</v>
      </c>
      <c r="I18" s="343" t="n">
        <f aca="false">SUM(I14:I17)*I64</f>
        <v>1270.23974478997</v>
      </c>
      <c r="J18" s="343" t="n">
        <f aca="false">SUM(J14:J17)*J64</f>
        <v>1301.08599331208</v>
      </c>
      <c r="K18" s="343" t="n">
        <f aca="false">SUM(K14:K17)*K64</f>
        <v>1332.19720458757</v>
      </c>
      <c r="L18" s="343" t="n">
        <f aca="false">SUM(L14:L17)*L64</f>
        <v>1363.43226242452</v>
      </c>
      <c r="M18" s="343" t="n">
        <f aca="false">SUM(M14:M17)*M64</f>
        <v>1394.8271464586</v>
      </c>
      <c r="N18" s="343" t="n">
        <f aca="false">SUM(N14:N17)*N64</f>
        <v>1426.48125697269</v>
      </c>
      <c r="O18" s="343" t="n">
        <f aca="false">SUM(O14:O17)*O64</f>
        <v>1458.43456321135</v>
      </c>
      <c r="P18" s="343" t="n">
        <f aca="false">SUM(P14:P17)*P64</f>
        <v>1490.75198116941</v>
      </c>
      <c r="Q18" s="343" t="n">
        <f aca="false">SUM(Q14:Q17)*Q64</f>
        <v>1523.55309338826</v>
      </c>
      <c r="R18" s="343" t="n">
        <f aca="false">SUM(R14:R17)*R64</f>
        <v>1557.03498193228</v>
      </c>
      <c r="S18" s="343" t="n">
        <f aca="false">SUM(S14:S17)*S64</f>
        <v>1591.58339231521</v>
      </c>
      <c r="T18" s="343" t="n">
        <f aca="false">SUM(T14:T17)*T64</f>
        <v>1627.52270234574</v>
      </c>
      <c r="U18" s="343" t="n">
        <f aca="false">SUM(U14:U17)*U64</f>
        <v>1665.01044400533</v>
      </c>
      <c r="V18" s="343" t="n">
        <f aca="false">SUM(V14:V17)*V64</f>
        <v>1704.21737279092</v>
      </c>
      <c r="W18" s="343" t="n">
        <f aca="false">SUM(W14:W17)*W64</f>
        <v>1745.13733853156</v>
      </c>
      <c r="X18" s="343" t="n">
        <f aca="false">SUM(X14:X17)*X64</f>
        <v>595.939166708022</v>
      </c>
      <c r="Y18" s="342"/>
    </row>
    <row r="19" customFormat="false" ht="12.75" hidden="false" customHeight="true" outlineLevel="0" collapsed="false">
      <c r="A19" s="347" t="s">
        <v>518</v>
      </c>
      <c r="B19" s="337" t="s">
        <v>519</v>
      </c>
      <c r="C19" s="337" t="s">
        <v>520</v>
      </c>
      <c r="D19" s="337" t="s">
        <v>521</v>
      </c>
      <c r="E19" s="337" t="s">
        <v>522</v>
      </c>
      <c r="F19" s="337" t="s">
        <v>523</v>
      </c>
      <c r="G19" s="337" t="s">
        <v>524</v>
      </c>
      <c r="H19" s="337" t="s">
        <v>525</v>
      </c>
      <c r="I19" s="337" t="s">
        <v>526</v>
      </c>
      <c r="J19" s="337" t="s">
        <v>527</v>
      </c>
      <c r="K19" s="337" t="s">
        <v>528</v>
      </c>
      <c r="L19" s="337" t="s">
        <v>529</v>
      </c>
      <c r="M19" s="337" t="s">
        <v>530</v>
      </c>
      <c r="N19" s="337" t="s">
        <v>531</v>
      </c>
      <c r="O19" s="337" t="s">
        <v>532</v>
      </c>
      <c r="P19" s="337" t="s">
        <v>533</v>
      </c>
      <c r="Q19" s="337" t="s">
        <v>534</v>
      </c>
      <c r="R19" s="337" t="s">
        <v>535</v>
      </c>
      <c r="S19" s="337" t="s">
        <v>536</v>
      </c>
      <c r="T19" s="337" t="s">
        <v>537</v>
      </c>
      <c r="U19" s="337" t="s">
        <v>538</v>
      </c>
      <c r="V19" s="337" t="s">
        <v>539</v>
      </c>
      <c r="W19" s="337" t="s">
        <v>540</v>
      </c>
      <c r="X19" s="337" t="s">
        <v>541</v>
      </c>
      <c r="Y19" s="345"/>
    </row>
    <row r="20" customFormat="false" ht="12.75" hidden="false" customHeight="false" outlineLevel="0" collapsed="false">
      <c r="A20" s="348" t="s">
        <v>489</v>
      </c>
      <c r="B20" s="349" t="n">
        <f aca="false">'Enron Returns'!E16+SUM('Enron Returns'!E19:E22)+'Enron Returns'!E33+'Enron Returns'!E39</f>
        <v>0</v>
      </c>
      <c r="C20" s="349" t="n">
        <f aca="false">SUM('Enron Returns'!F16:F22)+'Enron Returns'!F33+'Enron Returns'!F39+SUM('Enron Returns'!F51:F55)+SUM('Enron Returns'!F66:F74)</f>
        <v>-1525.18159847898</v>
      </c>
      <c r="D20" s="349" t="n">
        <f aca="false">SUM('Enron Returns'!G16:G22)+'Enron Returns'!G33+'Enron Returns'!G39+SUM('Enron Returns'!G51:G55)+SUM('Enron Returns'!G66:G74)</f>
        <v>-787.274751766437</v>
      </c>
      <c r="E20" s="349" t="n">
        <f aca="false">SUM('Enron Returns'!H16:H22)+'Enron Returns'!H33+'Enron Returns'!H39+SUM('Enron Returns'!H51:H55)+SUM('Enron Returns'!H66:H74)</f>
        <v>80828.1490971037</v>
      </c>
      <c r="F20" s="349" t="n">
        <f aca="false">SUM('Enron Returns'!I16:I22)+'Enron Returns'!I33+'Enron Returns'!I39+SUM('Enron Returns'!I51:I55)+SUM('Enron Returns'!I66:I74)</f>
        <v>8089.90575828747</v>
      </c>
      <c r="G20" s="349" t="n">
        <f aca="false">SUM('Enron Returns'!J16:J22)+'Enron Returns'!J33+'Enron Returns'!J39+SUM('Enron Returns'!J51:J55)+SUM('Enron Returns'!J66:J74)</f>
        <v>3410.03089796248</v>
      </c>
      <c r="H20" s="349" t="n">
        <f aca="false">SUM('Enron Returns'!K16:K22)+'Enron Returns'!K33+'Enron Returns'!K39+SUM('Enron Returns'!K51:K55)+SUM('Enron Returns'!K66:K74)</f>
        <v>5870.67891006026</v>
      </c>
      <c r="I20" s="349" t="n">
        <f aca="false">SUM('Enron Returns'!L16:L22)+'Enron Returns'!L33+'Enron Returns'!L39+SUM('Enron Returns'!L51:L55)+SUM('Enron Returns'!L66:L74)</f>
        <v>-1461.01833719833</v>
      </c>
      <c r="J20" s="349" t="n">
        <f aca="false">SUM('Enron Returns'!M16:M22)+'Enron Returns'!M33+'Enron Returns'!M39+SUM('Enron Returns'!M51:M55)+SUM('Enron Returns'!M66:M74)</f>
        <v>9468.47298034292</v>
      </c>
      <c r="K20" s="349" t="n">
        <f aca="false">SUM('Enron Returns'!N16:N22)+'Enron Returns'!N33+'Enron Returns'!N39+SUM('Enron Returns'!N51:N55)+SUM('Enron Returns'!N66:N74)</f>
        <v>10118.923697644</v>
      </c>
      <c r="L20" s="349" t="n">
        <f aca="false">SUM('Enron Returns'!O16:O22)+'Enron Returns'!O33+'Enron Returns'!O39+SUM('Enron Returns'!O51:O55)+SUM('Enron Returns'!O66:O74)</f>
        <v>8771.19143236879</v>
      </c>
      <c r="M20" s="349" t="n">
        <f aca="false">SUM('Enron Returns'!P16:P22)+'Enron Returns'!P33+'Enron Returns'!P39+SUM('Enron Returns'!P51:P55)+SUM('Enron Returns'!P66:P74)</f>
        <v>8133.11506190968</v>
      </c>
      <c r="N20" s="349" t="n">
        <f aca="false">SUM('Enron Returns'!Q16:Q22)+'Enron Returns'!Q33+'Enron Returns'!Q39+SUM('Enron Returns'!Q51:Q55)+SUM('Enron Returns'!Q66:Q74)</f>
        <v>9357.88316423177</v>
      </c>
      <c r="O20" s="349" t="n">
        <f aca="false">SUM('Enron Returns'!R16:R22)+'Enron Returns'!R33+'Enron Returns'!R39+SUM('Enron Returns'!R51:R55)+SUM('Enron Returns'!R66:R74)</f>
        <v>10067.8173209945</v>
      </c>
      <c r="P20" s="349" t="n">
        <f aca="false">SUM('Enron Returns'!S16:S22)+'Enron Returns'!S33+'Enron Returns'!S39+SUM('Enron Returns'!S51:S55)+SUM('Enron Returns'!S66:S74)</f>
        <v>7933.4178229615</v>
      </c>
      <c r="Q20" s="349" t="n">
        <f aca="false">SUM('Enron Returns'!T16:T22)+'Enron Returns'!T33+'Enron Returns'!T39+SUM('Enron Returns'!T51:T55)+SUM('Enron Returns'!T66:T74)</f>
        <v>7346.23475923929</v>
      </c>
      <c r="R20" s="349" t="n">
        <f aca="false">SUM('Enron Returns'!U16:U22)+'Enron Returns'!U33+'Enron Returns'!U39+SUM('Enron Returns'!U51:U55)+SUM('Enron Returns'!U66:U74)</f>
        <v>10419.0844763671</v>
      </c>
      <c r="S20" s="349" t="n">
        <f aca="false">SUM('Enron Returns'!V16:V22)+'Enron Returns'!V33+'Enron Returns'!V39+SUM('Enron Returns'!V51:V55)+SUM('Enron Returns'!V66:V74)</f>
        <v>3345.02808646111</v>
      </c>
      <c r="T20" s="349" t="n">
        <f aca="false">SUM('Enron Returns'!W16:W22)+'Enron Returns'!W33+'Enron Returns'!W39+SUM('Enron Returns'!W51:W55)+SUM('Enron Returns'!W66:W74)</f>
        <v>-2435.50894783451</v>
      </c>
      <c r="U20" s="349" t="n">
        <f aca="false">SUM('Enron Returns'!X16:X22)+'Enron Returns'!X33+'Enron Returns'!X39+SUM('Enron Returns'!X51:X55)+SUM('Enron Returns'!X66:X74)</f>
        <v>1829.63400698708</v>
      </c>
      <c r="V20" s="349" t="n">
        <f aca="false">SUM('Enron Returns'!Y16:Y22)+'Enron Returns'!Y33+'Enron Returns'!Y39+SUM('Enron Returns'!Y51:Y55)+SUM('Enron Returns'!Y66:Y74)</f>
        <v>1039.51489198505</v>
      </c>
      <c r="W20" s="349" t="n">
        <f aca="false">SUM('Enron Returns'!Z16:Z22)+'Enron Returns'!Z33+'Enron Returns'!Z39+SUM('Enron Returns'!Z51:Z55)+SUM('Enron Returns'!Z66:Z74)</f>
        <v>1776.50658640778</v>
      </c>
      <c r="X20" s="349" t="n">
        <f aca="false">SUM('Enron Returns'!AA16:AA22)+'Enron Returns'!AA33+'Enron Returns'!AA39+SUM('Enron Returns'!AA51:AA55)+SUM('Enron Returns'!AA66:AA74)</f>
        <v>2859.59972813999</v>
      </c>
      <c r="Y20" s="340"/>
    </row>
    <row r="21" customFormat="false" ht="12.75" hidden="false" customHeight="false" outlineLevel="0" collapsed="false">
      <c r="A21" s="338" t="s">
        <v>490</v>
      </c>
      <c r="B21" s="340" t="n">
        <v>0</v>
      </c>
      <c r="C21" s="349" t="n">
        <f aca="false">[5]Returns!E27+[5]Returns!E28+[5]Returns!E30+[5]Returns!E31+[5]Returns!E32+[5]Returns!E33+[5]Returns!E37+[5]Returns!E38+[5]Returns!E41+SUM([5]Returns!E53:E57)+SUM([5]Returns!E69:E73)</f>
        <v>-326.093242940685</v>
      </c>
      <c r="D21" s="349" t="n">
        <f aca="false">[5]Returns!F27+[5]Returns!F28+[5]Returns!F30+[5]Returns!F31+[5]Returns!F32+[5]Returns!F33+[5]Returns!F37+[5]Returns!F38+[5]Returns!F41+SUM([5]Returns!F53:F57)+SUM([5]Returns!F69:F73)</f>
        <v>-1286.13755979801</v>
      </c>
      <c r="E21" s="349" t="n">
        <f aca="false">[5]Returns!G27+[5]Returns!G28+[5]Returns!G30+[5]Returns!G31+[5]Returns!G32+[5]Returns!G33+[5]Returns!G37+[5]Returns!G38+[5]Returns!G41+SUM([5]Returns!G53:G57)+SUM([5]Returns!G69:G73)</f>
        <v>36905.7594548631</v>
      </c>
      <c r="F21" s="349" t="n">
        <f aca="false">[5]Returns!H27+[5]Returns!H28+[5]Returns!H30+[5]Returns!H31+[5]Returns!H32+[5]Returns!H33+[5]Returns!H37+[5]Returns!H38+[5]Returns!H41+SUM([5]Returns!H53:H57)+SUM([5]Returns!H69:H73)</f>
        <v>-55.7498504150072</v>
      </c>
      <c r="G21" s="349" t="n">
        <f aca="false">[5]Returns!I27+[5]Returns!I28+[5]Returns!I30+[5]Returns!I31+[5]Returns!I32+[5]Returns!I33+[5]Returns!I37+[5]Returns!I38+[5]Returns!I41+SUM([5]Returns!I53:I57)+SUM([5]Returns!I69:I73)</f>
        <v>-1363.77679948131</v>
      </c>
      <c r="H21" s="349" t="n">
        <f aca="false">[5]Returns!J27+[5]Returns!J28+[5]Returns!J30+[5]Returns!J31+[5]Returns!J32+[5]Returns!J33+[5]Returns!J37+[5]Returns!J38+[5]Returns!J41+SUM([5]Returns!J53:J57)+SUM([5]Returns!J69:J73)</f>
        <v>-1859.55214827482</v>
      </c>
      <c r="I21" s="349" t="n">
        <f aca="false">[5]Returns!K27+[5]Returns!K28+[5]Returns!K30+[5]Returns!K31+[5]Returns!K32+[5]Returns!K33+[5]Returns!K37+[5]Returns!K38+[5]Returns!K41+SUM([5]Returns!K53:K57)+SUM([5]Returns!K69:K73)</f>
        <v>-1181.28513466135</v>
      </c>
      <c r="J21" s="349" t="n">
        <f aca="false">[5]Returns!L27+[5]Returns!L28+[5]Returns!L30+[5]Returns!L31+[5]Returns!L32+[5]Returns!L33+[5]Returns!L37+[5]Returns!L38+[5]Returns!L41+SUM([5]Returns!L53:L57)+SUM([5]Returns!L69:L73)</f>
        <v>-1220.92014165419</v>
      </c>
      <c r="K21" s="349" t="n">
        <f aca="false">[5]Returns!M27+[5]Returns!M28+[5]Returns!M30+[5]Returns!M31+[5]Returns!M32+[5]Returns!M33+[5]Returns!M37+[5]Returns!M38+[5]Returns!M41+SUM([5]Returns!M53:M57)+SUM([5]Returns!M69:M73)</f>
        <v>-1112.44056609763</v>
      </c>
      <c r="L21" s="349" t="n">
        <f aca="false">[5]Returns!N27+[5]Returns!N28+[5]Returns!N30+[5]Returns!N31+[5]Returns!N32+[5]Returns!N33+[5]Returns!N37+[5]Returns!N38+[5]Returns!N41+SUM([5]Returns!N53:N57)+SUM([5]Returns!N69:N73)</f>
        <v>-780.570564393541</v>
      </c>
      <c r="M21" s="349" t="n">
        <f aca="false">[5]Returns!O27+[5]Returns!O28+[5]Returns!O30+[5]Returns!O31+[5]Returns!O32+[5]Returns!O33+[5]Returns!O37+[5]Returns!O38+[5]Returns!O41+SUM([5]Returns!O53:O57)+SUM([5]Returns!O69:O73)</f>
        <v>748.547180839693</v>
      </c>
      <c r="N21" s="349" t="n">
        <f aca="false">[5]Returns!P27+[5]Returns!P28+[5]Returns!P30+[5]Returns!P31+[5]Returns!P32+[5]Returns!P33+[5]Returns!P37+[5]Returns!P38+[5]Returns!P41+SUM([5]Returns!P53:P57)+SUM([5]Returns!P69:P73)</f>
        <v>2273.00927446948</v>
      </c>
      <c r="O21" s="349" t="n">
        <f aca="false">[5]Returns!Q27+[5]Returns!Q28+[5]Returns!Q30+[5]Returns!Q31+[5]Returns!Q32+[5]Returns!Q33+[5]Returns!Q37+[5]Returns!Q38+[5]Returns!Q41+SUM([5]Returns!Q53:Q57)+SUM([5]Returns!Q69:Q73)</f>
        <v>2738.02760098135</v>
      </c>
      <c r="P21" s="349" t="n">
        <f aca="false">[5]Returns!R27+[5]Returns!R28+[5]Returns!R30+[5]Returns!R31+[5]Returns!R32+[5]Returns!R33+[5]Returns!R37+[5]Returns!R38+[5]Returns!R41+SUM([5]Returns!R53:R57)+SUM([5]Returns!R69:R73)</f>
        <v>2742.81195782347</v>
      </c>
      <c r="Q21" s="349" t="n">
        <f aca="false">[5]Returns!S27+[5]Returns!S28+[5]Returns!S30+[5]Returns!S31+[5]Returns!S32+[5]Returns!S33+[5]Returns!S37+[5]Returns!S38+[5]Returns!S41+SUM([5]Returns!S53:S57)+SUM([5]Returns!S69:S73)</f>
        <v>2757.13970620058</v>
      </c>
      <c r="R21" s="349" t="n">
        <f aca="false">[5]Returns!T27+[5]Returns!T28+[5]Returns!T30+[5]Returns!T31+[5]Returns!T32+[5]Returns!T33+[5]Returns!T37+[5]Returns!T38+[5]Returns!T41+SUM([5]Returns!T53:T57)+SUM([5]Returns!T69:T73)</f>
        <v>2744.5977317502</v>
      </c>
      <c r="S21" s="349" t="n">
        <f aca="false">[5]Returns!U27+[5]Returns!U28+[5]Returns!U30+[5]Returns!U31+[5]Returns!U32+[5]Returns!U33+[5]Returns!U37+[5]Returns!U38+[5]Returns!U41+SUM([5]Returns!U53:U57)+SUM([5]Returns!U69:U73)</f>
        <v>3488.20165629425</v>
      </c>
      <c r="T21" s="349" t="n">
        <f aca="false">[5]Returns!V27+[5]Returns!V28+[5]Returns!V30+[5]Returns!V31+[5]Returns!V32+[5]Returns!V33+[5]Returns!V37+[5]Returns!V38+[5]Returns!V41+SUM([5]Returns!V53:V57)+SUM([5]Returns!V69:V73)</f>
        <v>4937.06143585926</v>
      </c>
      <c r="U21" s="349" t="n">
        <f aca="false">[5]Returns!W27+[5]Returns!W28+[5]Returns!W30+[5]Returns!W31+[5]Returns!W32+[5]Returns!W33+[5]Returns!W37+[5]Returns!W38+[5]Returns!W41+SUM([5]Returns!W53:W57)+SUM([5]Returns!W69:W73)</f>
        <v>7702.02325996228</v>
      </c>
      <c r="V21" s="349" t="n">
        <f aca="false">[5]Returns!X27+[5]Returns!X28+[5]Returns!X30+[5]Returns!X31+[5]Returns!X32+[5]Returns!X33+[5]Returns!X37+[5]Returns!X38+[5]Returns!X41+SUM([5]Returns!X53:X57)+SUM([5]Returns!X69:X73)</f>
        <v>7990.6656075042</v>
      </c>
      <c r="W21" s="349" t="n">
        <f aca="false">[5]Returns!Y27+[5]Returns!Y28+[5]Returns!Y30+[5]Returns!Y31+[5]Returns!Y32+[5]Returns!Y33+[5]Returns!Y37+[5]Returns!Y38+[5]Returns!Y41+SUM([5]Returns!Y53:Y57)+SUM([5]Returns!Y69:Y73)</f>
        <v>8113.65269802275</v>
      </c>
      <c r="X21" s="349" t="n">
        <f aca="false">[5]Returns!Z27+[5]Returns!Z28+[5]Returns!Z30+[5]Returns!Z31+[5]Returns!Z32+[5]Returns!Z33+[5]Returns!Z37+[5]Returns!Z38+[5]Returns!Z41+SUM([5]Returns!Z53:Z57)+SUM([5]Returns!Z69:Z73)</f>
        <v>2334.55571768681</v>
      </c>
      <c r="Y21" s="340"/>
    </row>
    <row r="22" customFormat="false" ht="12.75" hidden="false" customHeight="false" outlineLevel="0" collapsed="false">
      <c r="A22" s="338" t="s">
        <v>491</v>
      </c>
      <c r="B22" s="340" t="n">
        <v>0</v>
      </c>
      <c r="C22" s="349" t="n">
        <f aca="false">[6]Returns!E25+[6]Returns!E26+[6]Returns!E28+[6]Returns!E29+[6]Returns!E30+[6]Returns!E37+SUM([6]Returns!E49:E53)+SUM([6]Returns!E65:E69)</f>
        <v>-359.348551068762</v>
      </c>
      <c r="D22" s="349" t="n">
        <f aca="false">[6]Returns!F25+[6]Returns!F26+[6]Returns!F28+[6]Returns!F29+[6]Returns!F30+[6]Returns!F37+SUM([6]Returns!F49:F53)+SUM([6]Returns!F65:F69)</f>
        <v>-1441.49073887438</v>
      </c>
      <c r="E22" s="349" t="n">
        <f aca="false">[6]Returns!G25+[6]Returns!G26+[6]Returns!G28+[6]Returns!G29+[6]Returns!G30+[6]Returns!G37+SUM([6]Returns!G49:G53)+SUM([6]Returns!G65:G69)</f>
        <v>21062.9375356293</v>
      </c>
      <c r="F22" s="349" t="n">
        <f aca="false">[6]Returns!H25+[6]Returns!H26+[6]Returns!H28+[6]Returns!H29+[6]Returns!H30+[6]Returns!H37+SUM([6]Returns!H49:H53)+SUM([6]Returns!H65:H69)</f>
        <v>2012.39267477145</v>
      </c>
      <c r="G22" s="349" t="n">
        <f aca="false">[6]Returns!I25+[6]Returns!I26+[6]Returns!I28+[6]Returns!I29+[6]Returns!I30+[6]Returns!I37+SUM([6]Returns!I49:I53)+SUM([6]Returns!I65:I69)</f>
        <v>1469.95304601867</v>
      </c>
      <c r="H22" s="349" t="n">
        <f aca="false">[6]Returns!J25+[6]Returns!J26+[6]Returns!J28+[6]Returns!J29+[6]Returns!J30+[6]Returns!J37+SUM([6]Returns!J49:J53)+SUM([6]Returns!J65:J69)</f>
        <v>1023.2525917627</v>
      </c>
      <c r="I22" s="349" t="n">
        <f aca="false">[6]Returns!K25+[6]Returns!K26+[6]Returns!K28+[6]Returns!K29+[6]Returns!K30+[6]Returns!K37+SUM([6]Returns!K49:K53)+SUM([6]Returns!K65:K69)</f>
        <v>1504.26252829596</v>
      </c>
      <c r="J22" s="349" t="n">
        <f aca="false">[6]Returns!L25+[6]Returns!L26+[6]Returns!L28+[6]Returns!L29+[6]Returns!L30+[6]Returns!L37+SUM([6]Returns!L49:L53)+SUM([6]Returns!L65:L69)</f>
        <v>292.540704458606</v>
      </c>
      <c r="K22" s="349" t="n">
        <f aca="false">[6]Returns!M25+[6]Returns!M26+[6]Returns!M28+[6]Returns!M29+[6]Returns!M30+[6]Returns!M37+SUM([6]Returns!M49:M53)+SUM([6]Returns!M65:M69)</f>
        <v>1299.11331021771</v>
      </c>
      <c r="L22" s="349" t="n">
        <f aca="false">[6]Returns!N25+[6]Returns!N26+[6]Returns!N28+[6]Returns!N29+[6]Returns!N30+[6]Returns!N37+SUM([6]Returns!N49:N53)+SUM([6]Returns!N65:N69)</f>
        <v>1461.26635186692</v>
      </c>
      <c r="M22" s="349" t="n">
        <f aca="false">[6]Returns!O25+[6]Returns!O26+[6]Returns!O28+[6]Returns!O29+[6]Returns!O30+[6]Returns!O37+SUM([6]Returns!O49:O53)+SUM([6]Returns!O65:O69)</f>
        <v>2561.00050008139</v>
      </c>
      <c r="N22" s="349" t="n">
        <f aca="false">[6]Returns!P25+[6]Returns!P26+[6]Returns!P28+[6]Returns!P29+[6]Returns!P30+[6]Returns!P37+SUM([6]Returns!P49:P53)+SUM([6]Returns!P65:P69)</f>
        <v>3859.10551398426</v>
      </c>
      <c r="O22" s="349" t="n">
        <f aca="false">[6]Returns!Q25+[6]Returns!Q26+[6]Returns!Q28+[6]Returns!Q29+[6]Returns!Q30+[6]Returns!Q37+SUM([6]Returns!Q49:Q53)+SUM([6]Returns!Q65:Q69)</f>
        <v>4181.2822071781</v>
      </c>
      <c r="P22" s="349" t="n">
        <f aca="false">[6]Returns!R25+[6]Returns!R26+[6]Returns!R28+[6]Returns!R29+[6]Returns!R30+[6]Returns!R37+SUM([6]Returns!R49:R53)+SUM([6]Returns!R65:R69)</f>
        <v>3779.31934491238</v>
      </c>
      <c r="Q22" s="349" t="n">
        <f aca="false">[6]Returns!S25+[6]Returns!S26+[6]Returns!S28+[6]Returns!S29+[6]Returns!S30+[6]Returns!S37+SUM([6]Returns!S49:S53)+SUM([6]Returns!S65:S69)</f>
        <v>2547.82671190505</v>
      </c>
      <c r="R22" s="349" t="n">
        <f aca="false">[6]Returns!T25+[6]Returns!T26+[6]Returns!T28+[6]Returns!T29+[6]Returns!T30+[6]Returns!T37+SUM([6]Returns!T49:T53)+SUM([6]Returns!T65:T69)</f>
        <v>2419.12374735587</v>
      </c>
      <c r="S22" s="349" t="n">
        <f aca="false">[6]Returns!U25+[6]Returns!U26+[6]Returns!U28+[6]Returns!U29+[6]Returns!U30+[6]Returns!U37+SUM([6]Returns!U49:U53)+SUM([6]Returns!U65:U69)</f>
        <v>3036.84064868389</v>
      </c>
      <c r="T22" s="349" t="n">
        <f aca="false">[6]Returns!V25+[6]Returns!V26+[6]Returns!V28+[6]Returns!V29+[6]Returns!V30+[6]Returns!V37+SUM([6]Returns!V49:V53)+SUM([6]Returns!V65:V69)</f>
        <v>4080.92391094753</v>
      </c>
      <c r="U22" s="349" t="n">
        <f aca="false">[6]Returns!W25+[6]Returns!W26+[6]Returns!W28+[6]Returns!W29+[6]Returns!W30+[6]Returns!W37+SUM([6]Returns!W49:W53)+SUM([6]Returns!W65:W69)</f>
        <v>6100.67307129664</v>
      </c>
      <c r="V22" s="349" t="n">
        <f aca="false">[6]Returns!X25+[6]Returns!X26+[6]Returns!X28+[6]Returns!X29+[6]Returns!X30+[6]Returns!X37+SUM([6]Returns!X49:X53)+SUM([6]Returns!X65:X69)</f>
        <v>6252.14316586848</v>
      </c>
      <c r="W22" s="349" t="n">
        <f aca="false">[6]Returns!Y25+[6]Returns!Y26+[6]Returns!Y28+[6]Returns!Y29+[6]Returns!Y30+[6]Returns!Y37+SUM([6]Returns!Y49:Y53)+SUM([6]Returns!Y65:Y69)</f>
        <v>6421.02852319534</v>
      </c>
      <c r="X22" s="349" t="n">
        <f aca="false">[6]Returns!Z25+[6]Returns!Z26+[6]Returns!Z28+[6]Returns!Z29+[6]Returns!Z30+[6]Returns!Z37+SUM([6]Returns!Z49:Z53)+SUM([6]Returns!Z65:Z69)</f>
        <v>-132.317544065036</v>
      </c>
      <c r="Y22" s="340"/>
    </row>
    <row r="23" customFormat="false" ht="12.75" hidden="false" customHeight="false" outlineLevel="0" collapsed="false">
      <c r="A23" s="338" t="s">
        <v>492</v>
      </c>
      <c r="B23" s="340" t="n">
        <v>0</v>
      </c>
      <c r="C23" s="340" t="n">
        <f aca="false">[7]Returns!E24</f>
        <v>0</v>
      </c>
      <c r="D23" s="340" t="n">
        <f aca="false">[7]Returns!F24</f>
        <v>0</v>
      </c>
      <c r="E23" s="340" t="n">
        <f aca="false">[7]Returns!G24</f>
        <v>-1064.42847</v>
      </c>
      <c r="F23" s="340" t="n">
        <f aca="false">[7]Returns!H24</f>
        <v>528.103053938204</v>
      </c>
      <c r="G23" s="340" t="n">
        <f aca="false">[7]Returns!I24</f>
        <v>816.491585416114</v>
      </c>
      <c r="H23" s="340" t="n">
        <f aca="false">[7]Returns!J24</f>
        <v>1276.81761673389</v>
      </c>
      <c r="I23" s="340" t="n">
        <f aca="false">[7]Returns!K24</f>
        <v>2412.10752746215</v>
      </c>
      <c r="J23" s="340" t="n">
        <f aca="false">[7]Returns!L24</f>
        <v>3549.34359177779</v>
      </c>
      <c r="K23" s="340" t="n">
        <f aca="false">[7]Returns!M24</f>
        <v>4236.85356583677</v>
      </c>
      <c r="L23" s="340" t="n">
        <f aca="false">[7]Returns!N24</f>
        <v>4609.07583164107</v>
      </c>
      <c r="M23" s="340" t="n">
        <f aca="false">[7]Returns!O24</f>
        <v>4763.55014085012</v>
      </c>
      <c r="N23" s="340" t="n">
        <f aca="false">[7]Returns!P24</f>
        <v>5018.90872499479</v>
      </c>
      <c r="O23" s="340" t="n">
        <f aca="false">[7]Returns!Q24</f>
        <v>5234.39933134557</v>
      </c>
      <c r="P23" s="340" t="n">
        <f aca="false">[7]Returns!R24</f>
        <v>5416.66997604295</v>
      </c>
      <c r="Q23" s="340" t="n">
        <f aca="false">[7]Returns!S24</f>
        <v>5858.61467814325</v>
      </c>
      <c r="R23" s="340" t="n">
        <f aca="false">[7]Returns!T24</f>
        <v>5827.45000935589</v>
      </c>
      <c r="S23" s="340" t="n">
        <f aca="false">[7]Returns!U24</f>
        <v>5950.43486789725</v>
      </c>
      <c r="T23" s="340" t="n">
        <f aca="false">[7]Returns!V24</f>
        <v>6074.74701203984</v>
      </c>
      <c r="U23" s="340" t="n">
        <f aca="false">[7]Returns!W24</f>
        <v>6167.0167774867</v>
      </c>
      <c r="V23" s="340" t="n">
        <f aca="false">[7]Returns!X24</f>
        <v>6415.30626199127</v>
      </c>
      <c r="W23" s="340" t="n">
        <f aca="false">[7]Returns!Y24</f>
        <v>6845.4965601944</v>
      </c>
      <c r="X23" s="340" t="n">
        <f aca="false">[7]Returns!Z24</f>
        <v>2447.31676874687</v>
      </c>
      <c r="Y23" s="340"/>
    </row>
    <row r="24" customFormat="false" ht="12.75" hidden="false" customHeight="false" outlineLevel="0" collapsed="false">
      <c r="A24" s="341" t="s">
        <v>493</v>
      </c>
      <c r="B24" s="342" t="n">
        <f aca="false">SUM(B20:B23)</f>
        <v>0</v>
      </c>
      <c r="C24" s="342" t="n">
        <f aca="false">SUM(C20:C23)</f>
        <v>-2210.62339248843</v>
      </c>
      <c r="D24" s="342" t="n">
        <f aca="false">SUM(D20:D23)</f>
        <v>-3514.90305043883</v>
      </c>
      <c r="E24" s="343" t="n">
        <f aca="false">SUM(E20:E23)*E64</f>
        <v>137732.417617596</v>
      </c>
      <c r="F24" s="343" t="n">
        <f aca="false">SUM(F20:F23)*F64</f>
        <v>10574.6516365821</v>
      </c>
      <c r="G24" s="343" t="n">
        <f aca="false">SUM(G20:G23)*G64</f>
        <v>4332.69872991595</v>
      </c>
      <c r="H24" s="343" t="n">
        <f aca="false">SUM(H20:H23)*H64</f>
        <v>6311.19697028203</v>
      </c>
      <c r="I24" s="343" t="n">
        <f aca="false">SUM(I20:I23)*I64</f>
        <v>1274.06658389843</v>
      </c>
      <c r="J24" s="343" t="n">
        <f aca="false">SUM(J20:J23)*J64</f>
        <v>12089.4371349251</v>
      </c>
      <c r="K24" s="343" t="n">
        <f aca="false">SUM(K20:K23)*K64</f>
        <v>14542.4500076008</v>
      </c>
      <c r="L24" s="343" t="n">
        <f aca="false">SUM(L20:L23)*L64</f>
        <v>14060.9630514832</v>
      </c>
      <c r="M24" s="343" t="n">
        <f aca="false">SUM(M20:M23)*M64</f>
        <v>16206.2128836809</v>
      </c>
      <c r="N24" s="343" t="n">
        <f aca="false">SUM(N20:N23)*N64</f>
        <v>20508.9066776803</v>
      </c>
      <c r="O24" s="343" t="n">
        <f aca="false">SUM(O20:O23)*O64</f>
        <v>22221.5264604995</v>
      </c>
      <c r="P24" s="343" t="n">
        <f aca="false">SUM(P20:P23)*P64</f>
        <v>19872.2191017403</v>
      </c>
      <c r="Q24" s="343" t="n">
        <f aca="false">SUM(Q20:Q23)*Q64</f>
        <v>18509.8158554882</v>
      </c>
      <c r="R24" s="343" t="n">
        <f aca="false">SUM(R20:R23)*R64</f>
        <v>21410.255964829</v>
      </c>
      <c r="S24" s="343" t="n">
        <f aca="false">SUM(S20:S23)*S64</f>
        <v>15820.5052593365</v>
      </c>
      <c r="T24" s="343" t="n">
        <f aca="false">SUM(T20:T23)*T64</f>
        <v>12657.2234110121</v>
      </c>
      <c r="U24" s="343" t="n">
        <f aca="false">SUM(U20:U23)*U64</f>
        <v>21799.3471157327</v>
      </c>
      <c r="V24" s="343" t="n">
        <f aca="false">SUM(V20:V23)*V64</f>
        <v>21697.629927349</v>
      </c>
      <c r="W24" s="343" t="n">
        <f aca="false">SUM(W20:W23)*W64</f>
        <v>23156.6843678203</v>
      </c>
      <c r="X24" s="343" t="n">
        <f aca="false">SUM(X20:X23)*X64</f>
        <v>7509.15467050863</v>
      </c>
      <c r="Y24" s="342"/>
    </row>
    <row r="25" customFormat="false" ht="12.75" hidden="false" customHeight="false" outlineLevel="0" collapsed="false">
      <c r="A25" s="337" t="s">
        <v>542</v>
      </c>
      <c r="B25" s="337" t="s">
        <v>543</v>
      </c>
      <c r="C25" s="337" t="s">
        <v>544</v>
      </c>
      <c r="D25" s="337" t="s">
        <v>545</v>
      </c>
      <c r="E25" s="337" t="s">
        <v>546</v>
      </c>
      <c r="F25" s="337" t="s">
        <v>547</v>
      </c>
      <c r="G25" s="337" t="s">
        <v>548</v>
      </c>
      <c r="H25" s="337" t="s">
        <v>549</v>
      </c>
      <c r="I25" s="337" t="s">
        <v>550</v>
      </c>
      <c r="J25" s="337" t="s">
        <v>551</v>
      </c>
      <c r="K25" s="337" t="s">
        <v>552</v>
      </c>
      <c r="L25" s="337" t="s">
        <v>553</v>
      </c>
      <c r="M25" s="337" t="s">
        <v>554</v>
      </c>
      <c r="N25" s="337" t="s">
        <v>555</v>
      </c>
      <c r="O25" s="337" t="s">
        <v>556</v>
      </c>
      <c r="P25" s="337" t="s">
        <v>557</v>
      </c>
      <c r="Q25" s="337" t="s">
        <v>558</v>
      </c>
      <c r="R25" s="337" t="s">
        <v>559</v>
      </c>
      <c r="S25" s="337" t="s">
        <v>560</v>
      </c>
      <c r="T25" s="337" t="s">
        <v>561</v>
      </c>
      <c r="U25" s="337" t="s">
        <v>562</v>
      </c>
      <c r="V25" s="337" t="s">
        <v>563</v>
      </c>
      <c r="W25" s="337" t="s">
        <v>564</v>
      </c>
      <c r="X25" s="337" t="s">
        <v>565</v>
      </c>
      <c r="Y25" s="345"/>
    </row>
    <row r="26" customFormat="false" ht="12.75" hidden="false" customHeight="false" outlineLevel="0" collapsed="false">
      <c r="A26" s="348" t="s">
        <v>489</v>
      </c>
      <c r="B26" s="342" t="n">
        <v>0</v>
      </c>
      <c r="C26" s="342" t="n">
        <v>0</v>
      </c>
      <c r="D26" s="342" t="n">
        <v>0</v>
      </c>
      <c r="E26" s="342" t="n">
        <v>0</v>
      </c>
      <c r="F26" s="342" t="n">
        <v>0</v>
      </c>
      <c r="G26" s="342" t="n">
        <v>0</v>
      </c>
      <c r="H26" s="342" t="n">
        <v>0</v>
      </c>
      <c r="I26" s="342" t="n">
        <v>0</v>
      </c>
      <c r="J26" s="342" t="n">
        <v>0</v>
      </c>
      <c r="K26" s="342" t="n">
        <v>0</v>
      </c>
      <c r="L26" s="342" t="n">
        <v>0</v>
      </c>
      <c r="M26" s="342" t="n">
        <v>0</v>
      </c>
      <c r="N26" s="342" t="n">
        <v>0</v>
      </c>
      <c r="O26" s="342" t="n">
        <v>0</v>
      </c>
      <c r="P26" s="342" t="n">
        <v>0</v>
      </c>
      <c r="Q26" s="342" t="n">
        <v>0</v>
      </c>
      <c r="R26" s="342" t="n">
        <v>0</v>
      </c>
      <c r="S26" s="342" t="n">
        <v>0</v>
      </c>
      <c r="T26" s="342" t="n">
        <v>0</v>
      </c>
      <c r="U26" s="342" t="n">
        <v>0</v>
      </c>
      <c r="V26" s="342" t="n">
        <v>0</v>
      </c>
      <c r="W26" s="342" t="n">
        <v>0</v>
      </c>
      <c r="X26" s="342" t="n">
        <v>0</v>
      </c>
      <c r="Y26" s="350"/>
    </row>
    <row r="27" customFormat="false" ht="12.75" hidden="false" customHeight="false" outlineLevel="0" collapsed="false">
      <c r="A27" s="338" t="s">
        <v>490</v>
      </c>
      <c r="B27" s="342" t="n">
        <v>0</v>
      </c>
      <c r="C27" s="342" t="n">
        <f aca="false">[5]Returns!E29</f>
        <v>0</v>
      </c>
      <c r="D27" s="342" t="n">
        <f aca="false">[5]Returns!F29</f>
        <v>0</v>
      </c>
      <c r="E27" s="342" t="n">
        <f aca="false">IF(E64=0,E67,[5]Returns!G29)</f>
        <v>0</v>
      </c>
      <c r="F27" s="342" t="n">
        <f aca="false">IF(F64=0,F67,[5]Returns!H29)</f>
        <v>0</v>
      </c>
      <c r="G27" s="342" t="n">
        <f aca="false">IF(G64=0,G67,[5]Returns!I29)</f>
        <v>0</v>
      </c>
      <c r="H27" s="342" t="n">
        <f aca="false">IF(H64=0,H67,[5]Returns!J29)</f>
        <v>0</v>
      </c>
      <c r="I27" s="342" t="n">
        <f aca="false">IF(I64=0,I67,[5]Returns!K29)</f>
        <v>0</v>
      </c>
      <c r="J27" s="342" t="n">
        <f aca="false">IF(J64=0,J67,[5]Returns!L29)</f>
        <v>0</v>
      </c>
      <c r="K27" s="342" t="n">
        <f aca="false">IF(K64=0,K67,[5]Returns!M29)</f>
        <v>0</v>
      </c>
      <c r="L27" s="342" t="n">
        <f aca="false">IF(L64=0,L67,[5]Returns!N29)</f>
        <v>0</v>
      </c>
      <c r="M27" s="342" t="n">
        <f aca="false">IF(M64=0,M67,[5]Returns!O29)</f>
        <v>0</v>
      </c>
      <c r="N27" s="342" t="n">
        <f aca="false">IF(N64=0,N67,[5]Returns!P29)</f>
        <v>0</v>
      </c>
      <c r="O27" s="342" t="n">
        <f aca="false">IF(O64=0,O67,[5]Returns!Q29)</f>
        <v>0</v>
      </c>
      <c r="P27" s="342" t="n">
        <f aca="false">IF(P64=0,P67,[5]Returns!R29)</f>
        <v>0</v>
      </c>
      <c r="Q27" s="342" t="n">
        <f aca="false">IF(Q64=0,Q67,[5]Returns!S29)</f>
        <v>0</v>
      </c>
      <c r="R27" s="342" t="n">
        <f aca="false">IF(R64=0,R67,[5]Returns!T29)</f>
        <v>0</v>
      </c>
      <c r="S27" s="342" t="n">
        <f aca="false">IF(S64=0,S67,[5]Returns!U29)</f>
        <v>0</v>
      </c>
      <c r="T27" s="342" t="n">
        <f aca="false">IF(T64=0,T67,[5]Returns!V29)</f>
        <v>0</v>
      </c>
      <c r="U27" s="342" t="n">
        <f aca="false">IF(U64=0,U67,[5]Returns!W29)</f>
        <v>0</v>
      </c>
      <c r="V27" s="342" t="n">
        <f aca="false">IF(V64=0,V67,[5]Returns!X29)</f>
        <v>0</v>
      </c>
      <c r="W27" s="342" t="n">
        <f aca="false">IF(W64=0,W67,[5]Returns!Y29)</f>
        <v>0</v>
      </c>
      <c r="X27" s="342" t="n">
        <f aca="false">IF(X64=0,X67,[5]Returns!Z29)</f>
        <v>96044.5674795895</v>
      </c>
      <c r="Y27" s="350"/>
    </row>
    <row r="28" customFormat="false" ht="12.75" hidden="false" customHeight="false" outlineLevel="0" collapsed="false">
      <c r="A28" s="338" t="s">
        <v>491</v>
      </c>
      <c r="B28" s="342" t="n">
        <v>0</v>
      </c>
      <c r="C28" s="342" t="n">
        <f aca="false">[6]Returns!E27</f>
        <v>0</v>
      </c>
      <c r="D28" s="342" t="n">
        <f aca="false">[6]Returns!F27</f>
        <v>0</v>
      </c>
      <c r="E28" s="342" t="n">
        <f aca="false">IF(E64=0,E68,[6]Returns!G27)</f>
        <v>0</v>
      </c>
      <c r="F28" s="342" t="n">
        <f aca="false">IF(F64=0,F68,[6]Returns!H27)</f>
        <v>0</v>
      </c>
      <c r="G28" s="342" t="n">
        <f aca="false">IF(G64=0,G68,[6]Returns!I27)</f>
        <v>0</v>
      </c>
      <c r="H28" s="342" t="n">
        <f aca="false">IF(H64=0,H68,[6]Returns!J27)</f>
        <v>0</v>
      </c>
      <c r="I28" s="342" t="n">
        <f aca="false">IF(I64=0,I68,[6]Returns!K27)</f>
        <v>0</v>
      </c>
      <c r="J28" s="342" t="n">
        <f aca="false">IF(J64=0,J68,[6]Returns!L27)</f>
        <v>0</v>
      </c>
      <c r="K28" s="342" t="n">
        <f aca="false">IF(K64=0,K68,[6]Returns!M27)</f>
        <v>0</v>
      </c>
      <c r="L28" s="342" t="n">
        <f aca="false">IF(L64=0,L68,[6]Returns!N27)</f>
        <v>0</v>
      </c>
      <c r="M28" s="342" t="n">
        <f aca="false">IF(M64=0,M68,[6]Returns!O27)</f>
        <v>0</v>
      </c>
      <c r="N28" s="342" t="n">
        <f aca="false">IF(N64=0,N68,[6]Returns!P27)</f>
        <v>0</v>
      </c>
      <c r="O28" s="342" t="n">
        <f aca="false">IF(O64=0,O68,[6]Returns!Q27)</f>
        <v>0</v>
      </c>
      <c r="P28" s="342" t="n">
        <f aca="false">IF(P64=0,P68,[6]Returns!R27)</f>
        <v>0</v>
      </c>
      <c r="Q28" s="342" t="n">
        <f aca="false">IF(Q64=0,Q68,[6]Returns!S27)</f>
        <v>0</v>
      </c>
      <c r="R28" s="342" t="n">
        <f aca="false">IF(R64=0,R68,[6]Returns!T27)</f>
        <v>0</v>
      </c>
      <c r="S28" s="342" t="n">
        <f aca="false">IF(S64=0,S68,[6]Returns!U27)</f>
        <v>0</v>
      </c>
      <c r="T28" s="342" t="n">
        <f aca="false">IF(T64=0,T68,[6]Returns!V27)</f>
        <v>0</v>
      </c>
      <c r="U28" s="342" t="n">
        <f aca="false">IF(U64=0,U68,[6]Returns!W27)</f>
        <v>0</v>
      </c>
      <c r="V28" s="342" t="n">
        <f aca="false">IF(V64=0,V68,[6]Returns!X27)</f>
        <v>0</v>
      </c>
      <c r="W28" s="342" t="n">
        <f aca="false">IF(W64=0,W68,[6]Returns!Y27)</f>
        <v>0</v>
      </c>
      <c r="X28" s="342" t="n">
        <f aca="false">IF(X64=0,X68,[6]Returns!Z27)</f>
        <v>103759.127594058</v>
      </c>
      <c r="Y28" s="350"/>
    </row>
    <row r="29" customFormat="false" ht="12.75" hidden="false" customHeight="false" outlineLevel="0" collapsed="false">
      <c r="A29" s="338" t="s">
        <v>492</v>
      </c>
      <c r="B29" s="342" t="n">
        <v>0</v>
      </c>
      <c r="C29" s="342" t="n">
        <f aca="false">[7]Returns!E25</f>
        <v>0</v>
      </c>
      <c r="D29" s="342" t="n">
        <f aca="false">[7]Returns!F25</f>
        <v>0</v>
      </c>
      <c r="E29" s="342" t="n">
        <f aca="false">IF(E64=0,E69,[7]Returns!G25)</f>
        <v>0</v>
      </c>
      <c r="F29" s="342" t="n">
        <f aca="false">IF(F64=0,F69,[7]Returns!H25)</f>
        <v>0</v>
      </c>
      <c r="G29" s="342" t="n">
        <f aca="false">IF(G64=0,G69,[7]Returns!I25)</f>
        <v>0</v>
      </c>
      <c r="H29" s="342" t="n">
        <f aca="false">IF(H64=0,H69,[7]Returns!J25)</f>
        <v>0</v>
      </c>
      <c r="I29" s="342" t="n">
        <f aca="false">IF(I64=0,I69,[7]Returns!K25)</f>
        <v>0</v>
      </c>
      <c r="J29" s="342" t="n">
        <f aca="false">IF(J64=0,J69,[7]Returns!L25)</f>
        <v>0</v>
      </c>
      <c r="K29" s="342" t="n">
        <f aca="false">IF(K64=0,K69,[7]Returns!M25)</f>
        <v>0</v>
      </c>
      <c r="L29" s="342" t="n">
        <f aca="false">IF(L64=0,L69,[7]Returns!N25)</f>
        <v>0</v>
      </c>
      <c r="M29" s="342" t="n">
        <f aca="false">IF(M64=0,M69,[7]Returns!O25)</f>
        <v>0</v>
      </c>
      <c r="N29" s="342" t="n">
        <f aca="false">IF(N64=0,N69,[7]Returns!P25)</f>
        <v>0</v>
      </c>
      <c r="O29" s="342" t="n">
        <f aca="false">IF(O64=0,O69,[7]Returns!Q25)</f>
        <v>0</v>
      </c>
      <c r="P29" s="342" t="n">
        <f aca="false">IF(P64=0,P69,[7]Returns!R25)</f>
        <v>0</v>
      </c>
      <c r="Q29" s="342" t="n">
        <f aca="false">IF(Q64=0,Q69,[7]Returns!S25)</f>
        <v>0</v>
      </c>
      <c r="R29" s="342" t="n">
        <f aca="false">IF(R64=0,R69,[7]Returns!T25)</f>
        <v>0</v>
      </c>
      <c r="S29" s="342" t="n">
        <f aca="false">IF(S64=0,S69,[7]Returns!U25)</f>
        <v>0</v>
      </c>
      <c r="T29" s="342" t="n">
        <f aca="false">IF(T64=0,T69,[7]Returns!V25)</f>
        <v>0</v>
      </c>
      <c r="U29" s="342" t="n">
        <f aca="false">IF(U64=0,U69,[7]Returns!W25)</f>
        <v>0</v>
      </c>
      <c r="V29" s="342" t="n">
        <f aca="false">IF(V64=0,V69,[7]Returns!X25)</f>
        <v>0</v>
      </c>
      <c r="W29" s="342" t="n">
        <f aca="false">IF(W64=0,W69,[7]Returns!Y25)</f>
        <v>0</v>
      </c>
      <c r="X29" s="342" t="n">
        <f aca="false">IF(X64=0,X69,[7]Returns!Z25)</f>
        <v>69923.3362499105</v>
      </c>
      <c r="Y29" s="350"/>
    </row>
    <row r="30" customFormat="false" ht="12.75" hidden="false" customHeight="false" outlineLevel="0" collapsed="false">
      <c r="A30" s="351" t="s">
        <v>493</v>
      </c>
      <c r="B30" s="352" t="n">
        <f aca="false">SUM(B26:B29)</f>
        <v>0</v>
      </c>
      <c r="C30" s="352" t="n">
        <f aca="false">SUM(C26:C29)</f>
        <v>0</v>
      </c>
      <c r="D30" s="352" t="n">
        <f aca="false">SUM(D26:D29)</f>
        <v>0</v>
      </c>
      <c r="E30" s="353" t="n">
        <f aca="false">SUM(E26:E29)*E64</f>
        <v>0</v>
      </c>
      <c r="F30" s="353" t="n">
        <f aca="false">SUM(F26:F29)*F64</f>
        <v>0</v>
      </c>
      <c r="G30" s="353" t="n">
        <f aca="false">SUM(G26:G29)*G64</f>
        <v>0</v>
      </c>
      <c r="H30" s="353" t="n">
        <f aca="false">SUM(H26:H29)*H64</f>
        <v>0</v>
      </c>
      <c r="I30" s="353" t="n">
        <f aca="false">SUM(I26:I29)*I64</f>
        <v>0</v>
      </c>
      <c r="J30" s="353" t="n">
        <f aca="false">SUM(J26:J29)*J64</f>
        <v>0</v>
      </c>
      <c r="K30" s="353" t="n">
        <f aca="false">SUM(K26:K29)*K64</f>
        <v>0</v>
      </c>
      <c r="L30" s="353" t="n">
        <f aca="false">SUM(L26:L29)*L64</f>
        <v>0</v>
      </c>
      <c r="M30" s="353" t="n">
        <f aca="false">SUM(M26:M29)*M64</f>
        <v>0</v>
      </c>
      <c r="N30" s="353" t="n">
        <f aca="false">SUM(N26:N29)*N64</f>
        <v>0</v>
      </c>
      <c r="O30" s="353" t="n">
        <f aca="false">SUM(O26:O29)*O64</f>
        <v>0</v>
      </c>
      <c r="P30" s="353" t="n">
        <f aca="false">SUM(P26:P29)*P64</f>
        <v>0</v>
      </c>
      <c r="Q30" s="353" t="n">
        <f aca="false">SUM(Q26:Q29)*Q64</f>
        <v>0</v>
      </c>
      <c r="R30" s="353" t="n">
        <f aca="false">SUM(R26:R29)*R64</f>
        <v>0</v>
      </c>
      <c r="S30" s="353" t="n">
        <f aca="false">SUM(S26:S29)*S64</f>
        <v>0</v>
      </c>
      <c r="T30" s="353" t="n">
        <f aca="false">SUM(T26:T29)*T64</f>
        <v>0</v>
      </c>
      <c r="U30" s="353" t="n">
        <f aca="false">SUM(U26:U29)*U64</f>
        <v>0</v>
      </c>
      <c r="V30" s="353" t="n">
        <f aca="false">SUM(V26:V29)*V64</f>
        <v>0</v>
      </c>
      <c r="W30" s="353" t="n">
        <f aca="false">SUM(W26:W29)*W64</f>
        <v>0</v>
      </c>
      <c r="X30" s="353" t="n">
        <f aca="false">SUM(X26:X29)*X64</f>
        <v>269727.031323558</v>
      </c>
      <c r="Y30" s="354"/>
    </row>
    <row r="31" customFormat="false" ht="12.75" hidden="false" customHeight="false" outlineLevel="0" collapsed="false">
      <c r="A31" s="350"/>
      <c r="B31" s="350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0"/>
    </row>
    <row r="32" customFormat="false" ht="13.5" hidden="false" customHeight="false" outlineLevel="0" collapsed="false">
      <c r="A32" s="356" t="s">
        <v>566</v>
      </c>
      <c r="B32" s="357" t="n">
        <f aca="false">SUM(B33:B36)</f>
        <v>0</v>
      </c>
      <c r="C32" s="357" t="n">
        <f aca="false">SUM(C33:C36)-502</f>
        <v>-82184.5653805972</v>
      </c>
      <c r="D32" s="357" t="n">
        <f aca="false">SUM(D33:D36)-3195</f>
        <v>-71439.5334976067</v>
      </c>
      <c r="E32" s="357" t="n">
        <f aca="false">SUM(E33:E36)+2093</f>
        <v>44229.1220823914</v>
      </c>
      <c r="F32" s="357" t="n">
        <f aca="false">SUM(F33:F36)</f>
        <v>2431.90652048143</v>
      </c>
      <c r="G32" s="357" t="n">
        <f aca="false">SUM(G33:G36)</f>
        <v>5541.59567399886</v>
      </c>
      <c r="H32" s="357" t="n">
        <f aca="false">SUM(H33:H36)</f>
        <v>7550.78065554538</v>
      </c>
      <c r="I32" s="357" t="n">
        <f aca="false">SUM(I33:I36)</f>
        <v>2544.3063286884</v>
      </c>
      <c r="J32" s="357" t="n">
        <f aca="false">SUM(J33:J36)</f>
        <v>13390.5231282372</v>
      </c>
      <c r="K32" s="357" t="n">
        <f aca="false">SUM(K33:K36)</f>
        <v>15874.6472121884</v>
      </c>
      <c r="L32" s="357" t="n">
        <f aca="false">SUM(L33:L36)</f>
        <v>15424.3953139077</v>
      </c>
      <c r="M32" s="357" t="n">
        <f aca="false">SUM(M33:M36)</f>
        <v>17601.0400301395</v>
      </c>
      <c r="N32" s="357" t="n">
        <f aca="false">SUM(N33:N36)</f>
        <v>21935.387934653</v>
      </c>
      <c r="O32" s="357" t="n">
        <f aca="false">SUM(O33:O36)</f>
        <v>23679.9610237108</v>
      </c>
      <c r="P32" s="357" t="n">
        <f aca="false">SUM(P33:P36)</f>
        <v>21362.9710829097</v>
      </c>
      <c r="Q32" s="357" t="n">
        <f aca="false">SUM(Q33:Q36)</f>
        <v>20033.3689488764</v>
      </c>
      <c r="R32" s="357" t="n">
        <f aca="false">SUM(R33:R36)</f>
        <v>22967.2909467613</v>
      </c>
      <c r="S32" s="357" t="n">
        <f aca="false">SUM(S33:S36)</f>
        <v>17412.0886516517</v>
      </c>
      <c r="T32" s="357" t="n">
        <f aca="false">SUM(T33:T36)</f>
        <v>14284.7461133579</v>
      </c>
      <c r="U32" s="357" t="n">
        <f aca="false">SUM(U33:U36)</f>
        <v>23464.357559738</v>
      </c>
      <c r="V32" s="357" t="n">
        <f aca="false">SUM(V33:V36)</f>
        <v>23401.8473001399</v>
      </c>
      <c r="W32" s="357" t="n">
        <f aca="false">SUM(W33:W36)</f>
        <v>24901.8217063518</v>
      </c>
      <c r="X32" s="357" t="n">
        <f aca="false">SUM(X33:X36)</f>
        <v>277832.125160775</v>
      </c>
      <c r="Y32" s="350"/>
    </row>
    <row r="33" customFormat="false" ht="13.5" hidden="false" customHeight="false" outlineLevel="0" collapsed="false">
      <c r="A33" s="338" t="s">
        <v>489</v>
      </c>
      <c r="B33" s="340" t="n">
        <f aca="false">B8+B14+B20+B26</f>
        <v>0</v>
      </c>
      <c r="C33" s="340" t="n">
        <f aca="false">C8+C14+C20+C26</f>
        <v>-76345.9860462856</v>
      </c>
      <c r="D33" s="340" t="n">
        <f aca="false">D8+D14+D20+D26</f>
        <v>-25575.7718209792</v>
      </c>
      <c r="E33" s="340" t="n">
        <f aca="false">E8+E14+E20+E26</f>
        <v>31528.4701512654</v>
      </c>
      <c r="F33" s="340" t="n">
        <f aca="false">F8+F14+F20+F26</f>
        <v>1089.2921503414</v>
      </c>
      <c r="G33" s="340" t="n">
        <f aca="false">G8+G14+G20+G26</f>
        <v>4565.99273715998</v>
      </c>
      <c r="H33" s="340" t="n">
        <f aca="false">H8+H14+H20+H26</f>
        <v>7057.32749043818</v>
      </c>
      <c r="I33" s="340" t="n">
        <f aca="false">I8+I14+I20+I26</f>
        <v>-243.713697293777</v>
      </c>
      <c r="J33" s="340" t="n">
        <f aca="false">J8+J14+J20+J26</f>
        <v>10716.6238687696</v>
      </c>
      <c r="K33" s="340" t="n">
        <f aca="false">K8+K14+K20+K26</f>
        <v>11398.1857973461</v>
      </c>
      <c r="L33" s="340" t="n">
        <f aca="false">L8+L14+L20+L26</f>
        <v>10081.6885899079</v>
      </c>
      <c r="M33" s="340" t="n">
        <f aca="false">M8+M14+M20+M26</f>
        <v>9475.00710348286</v>
      </c>
      <c r="N33" s="340" t="n">
        <f aca="false">N8+N14+N20+N26</f>
        <v>10731.429316319</v>
      </c>
      <c r="O33" s="340" t="n">
        <f aca="false">O8+O14+O20+O26</f>
        <v>11473.3167793204</v>
      </c>
      <c r="P33" s="340" t="n">
        <f aca="false">P8+P14+P20+P26</f>
        <v>9371.23469924549</v>
      </c>
      <c r="Q33" s="340" t="n">
        <f aca="false">Q8+Q14+Q20+Q26</f>
        <v>8816.85274774213</v>
      </c>
      <c r="R33" s="340" t="n">
        <f aca="false">R8+R14+R20+R26</f>
        <v>11923.184353414</v>
      </c>
      <c r="S33" s="340" t="n">
        <f aca="false">S8+S14+S20+S26</f>
        <v>4883.6763738909</v>
      </c>
      <c r="T33" s="340" t="n">
        <f aca="false">T8+T14+T20+T26</f>
        <v>-860.921350374191</v>
      </c>
      <c r="U33" s="340" t="n">
        <f aca="false">U8+U14+U20+U26</f>
        <v>3441.709346107</v>
      </c>
      <c r="V33" s="340" t="n">
        <f aca="false">V8+V14+V20+V26</f>
        <v>2690.79715989055</v>
      </c>
      <c r="W33" s="340" t="n">
        <f aca="false">W8+W14+W20+W26</f>
        <v>3468.70882005393</v>
      </c>
      <c r="X33" s="340" t="n">
        <f aca="false">X8+X14+X20+X26</f>
        <v>3437.89385988621</v>
      </c>
      <c r="Y33" s="350"/>
    </row>
    <row r="34" customFormat="false" ht="12.75" hidden="false" customHeight="false" outlineLevel="0" collapsed="false">
      <c r="A34" s="338" t="s">
        <v>490</v>
      </c>
      <c r="B34" s="340" t="n">
        <f aca="false">B9+B15+B21+B27</f>
        <v>0</v>
      </c>
      <c r="C34" s="340" t="n">
        <f aca="false">C9+C15+C21+C27</f>
        <v>-2801.42016208755</v>
      </c>
      <c r="D34" s="340" t="n">
        <f aca="false">D9+D15+D21+D27</f>
        <v>-22887.8986788447</v>
      </c>
      <c r="E34" s="340" t="n">
        <f aca="false">E9+E15+E21+E27</f>
        <v>3345.05753986847</v>
      </c>
      <c r="F34" s="340" t="n">
        <f aca="false">F9+F15+F21+F27</f>
        <v>-376.980757468635</v>
      </c>
      <c r="G34" s="340" t="n">
        <f aca="false">G9+G15+G21+G27</f>
        <v>-1357.41921238768</v>
      </c>
      <c r="H34" s="340" t="n">
        <f aca="false">H9+H15+H21+H27</f>
        <v>-1853.19456118118</v>
      </c>
      <c r="I34" s="340" t="n">
        <f aca="false">I9+I15+I21+I27</f>
        <v>-1174.92754756771</v>
      </c>
      <c r="J34" s="340" t="n">
        <f aca="false">J9+J15+J21+J27</f>
        <v>-1214.56255456055</v>
      </c>
      <c r="K34" s="340" t="n">
        <f aca="false">K9+K15+K21+K27</f>
        <v>-1106.08297900399</v>
      </c>
      <c r="L34" s="340" t="n">
        <f aca="false">L9+L15+L21+L27</f>
        <v>-774.212977299903</v>
      </c>
      <c r="M34" s="340" t="n">
        <f aca="false">M9+M15+M21+M27</f>
        <v>754.904767933331</v>
      </c>
      <c r="N34" s="340" t="n">
        <f aca="false">N9+N15+N21+N27</f>
        <v>2279.36686156312</v>
      </c>
      <c r="O34" s="340" t="n">
        <f aca="false">O9+O15+O21+O27</f>
        <v>2744.38518807498</v>
      </c>
      <c r="P34" s="340" t="n">
        <f aca="false">P9+P15+P21+P27</f>
        <v>2749.16954491711</v>
      </c>
      <c r="Q34" s="340" t="n">
        <f aca="false">Q9+Q15+Q21+Q27</f>
        <v>2763.49729329422</v>
      </c>
      <c r="R34" s="340" t="n">
        <f aca="false">R9+R15+R21+R27</f>
        <v>2750.95531884383</v>
      </c>
      <c r="S34" s="340" t="n">
        <f aca="false">S9+S15+S21+S27</f>
        <v>3494.55924338788</v>
      </c>
      <c r="T34" s="340" t="n">
        <f aca="false">T9+T15+T21+T27</f>
        <v>4943.4190229529</v>
      </c>
      <c r="U34" s="340" t="n">
        <f aca="false">U9+U15+U21+U27</f>
        <v>7708.38084705592</v>
      </c>
      <c r="V34" s="340" t="n">
        <f aca="false">V9+V15+V21+V27</f>
        <v>7997.02319459783</v>
      </c>
      <c r="W34" s="340" t="n">
        <f aca="false">W9+W15+W21+W27</f>
        <v>8120.01028511639</v>
      </c>
      <c r="X34" s="340" t="n">
        <f aca="false">X9+X15+X21+X27</f>
        <v>98381.2423929742</v>
      </c>
      <c r="Y34" s="350"/>
    </row>
    <row r="35" customFormat="false" ht="12.75" hidden="false" customHeight="false" outlineLevel="0" collapsed="false">
      <c r="A35" s="338" t="s">
        <v>491</v>
      </c>
      <c r="B35" s="340" t="n">
        <f aca="false">B10+B16+B22+B28</f>
        <v>0</v>
      </c>
      <c r="C35" s="340" t="n">
        <f aca="false">C10+C16+C22+C28</f>
        <v>-2535.159172224</v>
      </c>
      <c r="D35" s="340" t="n">
        <f aca="false">D10+D16+D22+D28</f>
        <v>-19780.8629977828</v>
      </c>
      <c r="E35" s="340" t="n">
        <f aca="false">E10+E16+E22+E28</f>
        <v>7262.5943912575</v>
      </c>
      <c r="F35" s="340" t="n">
        <f aca="false">F10+F16+F22+F28</f>
        <v>1191.49207367046</v>
      </c>
      <c r="G35" s="340" t="n">
        <f aca="false">G10+G16+G22+G28</f>
        <v>1516.53056381045</v>
      </c>
      <c r="H35" s="340" t="n">
        <f aca="false">H10+H16+H22+H28</f>
        <v>1069.83010955448</v>
      </c>
      <c r="I35" s="340" t="n">
        <f aca="false">I10+I16+I22+I28</f>
        <v>1550.84004608774</v>
      </c>
      <c r="J35" s="340" t="n">
        <f aca="false">J10+J16+J22+J28</f>
        <v>339.118222250387</v>
      </c>
      <c r="K35" s="340" t="n">
        <f aca="false">K10+K16+K22+K28</f>
        <v>1345.69082800949</v>
      </c>
      <c r="L35" s="340" t="n">
        <f aca="false">L10+L16+L22+L28</f>
        <v>1507.8438696587</v>
      </c>
      <c r="M35" s="340" t="n">
        <f aca="false">M10+M16+M22+M28</f>
        <v>2607.57801787317</v>
      </c>
      <c r="N35" s="340" t="n">
        <f aca="false">N10+N16+N22+N28</f>
        <v>3905.68303177604</v>
      </c>
      <c r="O35" s="340" t="n">
        <f aca="false">O10+O16+O22+O28</f>
        <v>4227.85972496988</v>
      </c>
      <c r="P35" s="340" t="n">
        <f aca="false">P10+P16+P22+P28</f>
        <v>3825.89686270416</v>
      </c>
      <c r="Q35" s="340" t="n">
        <f aca="false">Q10+Q16+Q22+Q28</f>
        <v>2594.40422969683</v>
      </c>
      <c r="R35" s="340" t="n">
        <f aca="false">R10+R16+R22+R28</f>
        <v>2465.70126514765</v>
      </c>
      <c r="S35" s="340" t="n">
        <f aca="false">S10+S16+S22+S28</f>
        <v>3083.41816647567</v>
      </c>
      <c r="T35" s="340" t="n">
        <f aca="false">T10+T16+T22+T28</f>
        <v>4127.50142873931</v>
      </c>
      <c r="U35" s="340" t="n">
        <f aca="false">U10+U16+U22+U28</f>
        <v>6147.25058908842</v>
      </c>
      <c r="V35" s="340" t="n">
        <f aca="false">V10+V16+V22+V28</f>
        <v>6298.72068366026</v>
      </c>
      <c r="W35" s="340" t="n">
        <f aca="false">W10+W16+W22+W28</f>
        <v>6467.60604098712</v>
      </c>
      <c r="X35" s="340" t="n">
        <f aca="false">X10+X16+X22+X28</f>
        <v>103642.335889257</v>
      </c>
      <c r="Y35" s="350"/>
    </row>
    <row r="36" customFormat="false" ht="12.75" hidden="false" customHeight="false" outlineLevel="0" collapsed="false">
      <c r="A36" s="338" t="s">
        <v>492</v>
      </c>
      <c r="B36" s="340" t="n">
        <f aca="false">B11+B17+B23+B29</f>
        <v>0</v>
      </c>
      <c r="C36" s="340" t="n">
        <f aca="false">C11+C17+C23+C29</f>
        <v>0</v>
      </c>
      <c r="D36" s="340" t="n">
        <f aca="false">D11+D17+D23+D29</f>
        <v>0</v>
      </c>
      <c r="E36" s="340" t="n">
        <f aca="false">E11+E17+E23+E29</f>
        <v>0</v>
      </c>
      <c r="F36" s="340" t="n">
        <f aca="false">F11+F17+F23+F29</f>
        <v>528.103053938204</v>
      </c>
      <c r="G36" s="340" t="n">
        <f aca="false">G11+G17+G23+G29</f>
        <v>816.491585416114</v>
      </c>
      <c r="H36" s="340" t="n">
        <f aca="false">H11+H17+H23+H29</f>
        <v>1276.81761673389</v>
      </c>
      <c r="I36" s="340" t="n">
        <f aca="false">I11+I17+I23+I29</f>
        <v>2412.10752746215</v>
      </c>
      <c r="J36" s="340" t="n">
        <f aca="false">J11+J17+J23+J29</f>
        <v>3549.34359177779</v>
      </c>
      <c r="K36" s="340" t="n">
        <f aca="false">K11+K17+K23+K29</f>
        <v>4236.85356583677</v>
      </c>
      <c r="L36" s="340" t="n">
        <f aca="false">L11+L17+L23+L29</f>
        <v>4609.07583164107</v>
      </c>
      <c r="M36" s="340" t="n">
        <f aca="false">M11+M17+M23+M29</f>
        <v>4763.55014085012</v>
      </c>
      <c r="N36" s="340" t="n">
        <f aca="false">N11+N17+N23+N29</f>
        <v>5018.90872499479</v>
      </c>
      <c r="O36" s="340" t="n">
        <f aca="false">O11+O17+O23+O29</f>
        <v>5234.39933134557</v>
      </c>
      <c r="P36" s="340" t="n">
        <f aca="false">P11+P17+P23+P29</f>
        <v>5416.66997604295</v>
      </c>
      <c r="Q36" s="340" t="n">
        <f aca="false">Q11+Q17+Q23+Q29</f>
        <v>5858.61467814325</v>
      </c>
      <c r="R36" s="340" t="n">
        <f aca="false">R11+R17+R23+R29</f>
        <v>5827.45000935589</v>
      </c>
      <c r="S36" s="340" t="n">
        <f aca="false">S11+S17+S23+S29</f>
        <v>5950.43486789725</v>
      </c>
      <c r="T36" s="340" t="n">
        <f aca="false">T11+T17+T23+T29</f>
        <v>6074.74701203984</v>
      </c>
      <c r="U36" s="340" t="n">
        <f aca="false">U11+U17+U23+U29</f>
        <v>6167.0167774867</v>
      </c>
      <c r="V36" s="340" t="n">
        <f aca="false">V11+V17+V23+V29</f>
        <v>6415.30626199127</v>
      </c>
      <c r="W36" s="340" t="n">
        <f aca="false">W11+W17+W23+W29</f>
        <v>6845.4965601944</v>
      </c>
      <c r="X36" s="340" t="n">
        <f aca="false">X11+X17+X23+X29</f>
        <v>72370.6530186574</v>
      </c>
      <c r="Y36" s="350"/>
    </row>
    <row r="37" customFormat="false" ht="12.75" hidden="false" customHeight="false" outlineLevel="0" collapsed="false">
      <c r="A37" s="358"/>
      <c r="B37" s="358"/>
      <c r="C37" s="359" t="n">
        <f aca="false">C32-'[1]Enron Summary W-TBS'!H90</f>
        <v>0</v>
      </c>
      <c r="D37" s="359" t="n">
        <f aca="false">D32-'[1]Enron Summary W-TBS'!I90</f>
        <v>0</v>
      </c>
      <c r="E37" s="359" t="n">
        <f aca="false">E32-'[1]Enron Summary W-TBS'!J90</f>
        <v>0</v>
      </c>
      <c r="F37" s="359" t="n">
        <f aca="false">F32-'[1]Enron Summary W-TBS'!K90</f>
        <v>1.36424205265939E-011</v>
      </c>
      <c r="G37" s="359" t="n">
        <f aca="false">G32-'[1]Enron Summary W-TBS'!L90</f>
        <v>0</v>
      </c>
      <c r="H37" s="359" t="n">
        <f aca="false">H32-'[1]Enron Summary W-TBS'!M90</f>
        <v>0</v>
      </c>
      <c r="I37" s="359" t="n">
        <f aca="false">I32-'[1]Enron Summary W-TBS'!N90</f>
        <v>-1.54614099301398E-011</v>
      </c>
      <c r="J37" s="359" t="n">
        <f aca="false">J32-'[1]Enron Summary W-TBS'!O90</f>
        <v>0</v>
      </c>
      <c r="K37" s="359" t="n">
        <f aca="false">K32-'[1]Enron Summary W-TBS'!P90</f>
        <v>0</v>
      </c>
      <c r="L37" s="359" t="n">
        <f aca="false">L32-'[1]Enron Summary W-TBS'!Q90</f>
        <v>0</v>
      </c>
      <c r="M37" s="359" t="n">
        <f aca="false">M32-'[1]Enron Summary W-TBS'!R90</f>
        <v>0</v>
      </c>
      <c r="N37" s="359" t="n">
        <f aca="false">N32-'[1]Enron Summary W-TBS'!S90</f>
        <v>0</v>
      </c>
      <c r="O37" s="359" t="n">
        <f aca="false">O32-'[1]Enron Summary W-TBS'!T90</f>
        <v>0</v>
      </c>
      <c r="P37" s="359" t="n">
        <f aca="false">P32-'[1]Enron Summary W-TBS'!U90</f>
        <v>0</v>
      </c>
      <c r="Q37" s="359" t="n">
        <f aca="false">Q32-'[1]Enron Summary W-TBS'!V90</f>
        <v>0</v>
      </c>
      <c r="R37" s="359" t="n">
        <f aca="false">R32-'[1]Enron Summary W-TBS'!W90</f>
        <v>0</v>
      </c>
      <c r="S37" s="359" t="n">
        <f aca="false">S32-'[1]Enron Summary W-TBS'!X90</f>
        <v>0</v>
      </c>
      <c r="T37" s="359" t="n">
        <f aca="false">T32-'[1]Enron Summary W-TBS'!Y90</f>
        <v>0</v>
      </c>
      <c r="U37" s="359" t="n">
        <f aca="false">U32-'[1]Enron Summary W-TBS'!Z90</f>
        <v>0</v>
      </c>
      <c r="V37" s="359" t="n">
        <f aca="false">V32-'[1]Enron Summary W-TBS'!AA90</f>
        <v>0</v>
      </c>
      <c r="W37" s="359" t="n">
        <f aca="false">W32-'[1]Enron Summary W-TBS'!AB90</f>
        <v>0</v>
      </c>
      <c r="X37" s="359" t="n">
        <f aca="false">X32-'[1]Enron Summary W-TBS'!AC90</f>
        <v>0</v>
      </c>
      <c r="Y37" s="358"/>
    </row>
    <row r="38" customFormat="false" ht="12.75" hidden="false" customHeight="false" outlineLevel="0" collapsed="false">
      <c r="A38" s="360" t="s">
        <v>567</v>
      </c>
      <c r="B38" s="358"/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8"/>
    </row>
    <row r="39" customFormat="false" ht="12.75" hidden="false" customHeight="false" outlineLevel="0" collapsed="false">
      <c r="A39" s="361" t="s">
        <v>489</v>
      </c>
      <c r="B39" s="361"/>
      <c r="C39" s="362" t="n">
        <f aca="false">'[1]Enron Summary W-TBS'!H89</f>
        <v>-76842.7860462856</v>
      </c>
      <c r="D39" s="362" t="n">
        <f aca="false">'[1]Enron Summary W-TBS'!I89</f>
        <v>-27451.9718209792</v>
      </c>
      <c r="E39" s="362" t="n">
        <f aca="false">'[1]Enron Summary W-TBS'!J89</f>
        <v>32320.4701512654</v>
      </c>
      <c r="F39" s="362" t="n">
        <f aca="false">'[1]Enron Summary W-TBS'!K89</f>
        <v>1089.29215034139</v>
      </c>
      <c r="G39" s="362" t="n">
        <f aca="false">'[1]Enron Summary W-TBS'!L89</f>
        <v>4565.99273715997</v>
      </c>
      <c r="H39" s="362" t="n">
        <f aca="false">'[1]Enron Summary W-TBS'!M89</f>
        <v>7057.32749043818</v>
      </c>
      <c r="I39" s="362" t="n">
        <f aca="false">'[1]Enron Summary W-TBS'!N89</f>
        <v>-243.713697293762</v>
      </c>
      <c r="J39" s="362" t="n">
        <f aca="false">'[1]Enron Summary W-TBS'!O89</f>
        <v>10716.6238687696</v>
      </c>
      <c r="K39" s="362" t="n">
        <f aca="false">'[1]Enron Summary W-TBS'!P89</f>
        <v>11398.1857973462</v>
      </c>
      <c r="L39" s="362" t="n">
        <f aca="false">'[1]Enron Summary W-TBS'!Q89</f>
        <v>10081.6885899079</v>
      </c>
      <c r="M39" s="362" t="n">
        <f aca="false">'[1]Enron Summary W-TBS'!R89</f>
        <v>9475.00710348284</v>
      </c>
      <c r="N39" s="362" t="n">
        <f aca="false">'[1]Enron Summary W-TBS'!S89</f>
        <v>10731.429316319</v>
      </c>
      <c r="O39" s="362" t="n">
        <f aca="false">'[1]Enron Summary W-TBS'!T89</f>
        <v>11473.3167793204</v>
      </c>
      <c r="P39" s="362" t="n">
        <f aca="false">'[1]Enron Summary W-TBS'!U89</f>
        <v>9371.23469924549</v>
      </c>
      <c r="Q39" s="362" t="n">
        <f aca="false">'[1]Enron Summary W-TBS'!V89</f>
        <v>8816.85274774215</v>
      </c>
      <c r="R39" s="362" t="n">
        <f aca="false">'[1]Enron Summary W-TBS'!W89</f>
        <v>11923.1843534139</v>
      </c>
      <c r="S39" s="362" t="n">
        <f aca="false">'[1]Enron Summary W-TBS'!X89</f>
        <v>4883.67637389089</v>
      </c>
      <c r="T39" s="362" t="n">
        <f aca="false">'[1]Enron Summary W-TBS'!Y89</f>
        <v>-860.921350374165</v>
      </c>
      <c r="U39" s="362" t="n">
        <f aca="false">'[1]Enron Summary W-TBS'!Z89</f>
        <v>3441.70934610698</v>
      </c>
      <c r="V39" s="362" t="n">
        <f aca="false">'[1]Enron Summary W-TBS'!AA89</f>
        <v>2690.79715989054</v>
      </c>
      <c r="W39" s="362" t="n">
        <f aca="false">'[1]Enron Summary W-TBS'!AB89</f>
        <v>3468.70882005393</v>
      </c>
      <c r="X39" s="362" t="n">
        <f aca="false">'[1]Enron Summary W-TBS'!AC89</f>
        <v>3437.8938598862</v>
      </c>
      <c r="Y39" s="361"/>
    </row>
    <row r="40" customFormat="false" ht="12.75" hidden="false" customHeight="false" outlineLevel="0" collapsed="false">
      <c r="A40" s="363" t="s">
        <v>568</v>
      </c>
      <c r="B40" s="364" t="n">
        <f aca="false">B33-B39</f>
        <v>0</v>
      </c>
      <c r="C40" s="364" t="n">
        <f aca="false">C33-C39</f>
        <v>496.800000000003</v>
      </c>
      <c r="D40" s="364" t="n">
        <f aca="false">D33-D39</f>
        <v>1876.2</v>
      </c>
      <c r="E40" s="364" t="n">
        <f aca="false">E33-E39</f>
        <v>-791.999999999993</v>
      </c>
      <c r="F40" s="364" t="n">
        <f aca="false">F33-F39</f>
        <v>1.40971678774804E-011</v>
      </c>
      <c r="G40" s="364" t="n">
        <f aca="false">G33-G39</f>
        <v>0</v>
      </c>
      <c r="H40" s="364" t="n">
        <f aca="false">H33-H39</f>
        <v>0</v>
      </c>
      <c r="I40" s="364" t="n">
        <f aca="false">I33-I39</f>
        <v>-1.51203494169749E-011</v>
      </c>
      <c r="J40" s="364" t="n">
        <f aca="false">J33-J39</f>
        <v>0</v>
      </c>
      <c r="K40" s="364" t="n">
        <f aca="false">K33-K39</f>
        <v>0</v>
      </c>
      <c r="L40" s="364" t="n">
        <f aca="false">L33-L39</f>
        <v>0</v>
      </c>
      <c r="M40" s="364" t="n">
        <f aca="false">M33-M39</f>
        <v>0</v>
      </c>
      <c r="N40" s="364" t="n">
        <f aca="false">N33-N39</f>
        <v>0</v>
      </c>
      <c r="O40" s="364" t="n">
        <f aca="false">O33-O39</f>
        <v>0</v>
      </c>
      <c r="P40" s="364" t="n">
        <f aca="false">P33-P39</f>
        <v>0</v>
      </c>
      <c r="Q40" s="364" t="n">
        <f aca="false">Q33-Q39</f>
        <v>0</v>
      </c>
      <c r="R40" s="364" t="n">
        <f aca="false">R33-R39</f>
        <v>0</v>
      </c>
      <c r="S40" s="364" t="n">
        <f aca="false">S33-S39</f>
        <v>0</v>
      </c>
      <c r="T40" s="364" t="n">
        <f aca="false">T33-T39</f>
        <v>-2.60342858382501E-011</v>
      </c>
      <c r="U40" s="364" t="n">
        <f aca="false">U33-U39</f>
        <v>1.40971678774804E-011</v>
      </c>
      <c r="V40" s="364" t="n">
        <f aca="false">V33-V39</f>
        <v>1.45519152283669E-011</v>
      </c>
      <c r="W40" s="364" t="n">
        <f aca="false">W33-W39</f>
        <v>0</v>
      </c>
      <c r="X40" s="364" t="n">
        <f aca="false">X33-X39</f>
        <v>0</v>
      </c>
      <c r="Y40" s="365"/>
    </row>
    <row r="41" customFormat="false" ht="12.75" hidden="false" customHeight="false" outlineLevel="0" collapsed="false">
      <c r="A41" s="358" t="s">
        <v>490</v>
      </c>
      <c r="B41" s="358"/>
      <c r="C41" s="359" t="n">
        <f aca="false">'[1]Enron Summary W-TBS'!H88</f>
        <v>-2806.62016208755</v>
      </c>
      <c r="D41" s="359" t="n">
        <f aca="false">'[1]Enron Summary W-TBS'!I88</f>
        <v>-23365.6986788447</v>
      </c>
      <c r="E41" s="359" t="n">
        <f aca="false">'[1]Enron Summary W-TBS'!J88</f>
        <v>3805.05753986848</v>
      </c>
      <c r="F41" s="359" t="n">
        <f aca="false">'[1]Enron Summary W-TBS'!K88</f>
        <v>-376.980757468635</v>
      </c>
      <c r="G41" s="359" t="n">
        <f aca="false">'[1]Enron Summary W-TBS'!L88</f>
        <v>-1357.41921238768</v>
      </c>
      <c r="H41" s="359" t="n">
        <f aca="false">'[1]Enron Summary W-TBS'!M88</f>
        <v>-1853.19456118118</v>
      </c>
      <c r="I41" s="359" t="n">
        <f aca="false">'[1]Enron Summary W-TBS'!N88</f>
        <v>-1174.92754756771</v>
      </c>
      <c r="J41" s="359" t="n">
        <f aca="false">'[1]Enron Summary W-TBS'!O88</f>
        <v>-1214.56255456055</v>
      </c>
      <c r="K41" s="359" t="n">
        <f aca="false">'[1]Enron Summary W-TBS'!P88</f>
        <v>-1106.08297900399</v>
      </c>
      <c r="L41" s="359" t="n">
        <f aca="false">'[1]Enron Summary W-TBS'!Q88</f>
        <v>-774.212977299903</v>
      </c>
      <c r="M41" s="359" t="n">
        <f aca="false">'[1]Enron Summary W-TBS'!R88</f>
        <v>754.904767933331</v>
      </c>
      <c r="N41" s="359" t="n">
        <f aca="false">'[1]Enron Summary W-TBS'!S88</f>
        <v>2279.36686156312</v>
      </c>
      <c r="O41" s="359" t="n">
        <f aca="false">'[1]Enron Summary W-TBS'!T88</f>
        <v>2744.38518807498</v>
      </c>
      <c r="P41" s="359" t="n">
        <f aca="false">'[1]Enron Summary W-TBS'!U88</f>
        <v>2749.16954491711</v>
      </c>
      <c r="Q41" s="359" t="n">
        <f aca="false">'[1]Enron Summary W-TBS'!V88</f>
        <v>2763.49729329422</v>
      </c>
      <c r="R41" s="359" t="n">
        <f aca="false">'[1]Enron Summary W-TBS'!W88</f>
        <v>2750.95531884383</v>
      </c>
      <c r="S41" s="359" t="n">
        <f aca="false">'[1]Enron Summary W-TBS'!X88</f>
        <v>3494.55924338788</v>
      </c>
      <c r="T41" s="359" t="n">
        <f aca="false">'[1]Enron Summary W-TBS'!Y88</f>
        <v>4943.4190229529</v>
      </c>
      <c r="U41" s="359" t="n">
        <f aca="false">'[1]Enron Summary W-TBS'!Z88</f>
        <v>7708.38084705592</v>
      </c>
      <c r="V41" s="359" t="n">
        <f aca="false">'[1]Enron Summary W-TBS'!AA88</f>
        <v>7997.02319459783</v>
      </c>
      <c r="W41" s="359" t="n">
        <f aca="false">'[1]Enron Summary W-TBS'!AB88</f>
        <v>8120.01028511639</v>
      </c>
      <c r="X41" s="359" t="n">
        <f aca="false">'[1]Enron Summary W-TBS'!AC88</f>
        <v>98381.2423929742</v>
      </c>
      <c r="Y41" s="358"/>
    </row>
    <row r="42" customFormat="false" ht="12.75" hidden="false" customHeight="false" outlineLevel="0" collapsed="false">
      <c r="A42" s="366" t="s">
        <v>568</v>
      </c>
      <c r="B42" s="359" t="n">
        <f aca="false">B35-B41</f>
        <v>0</v>
      </c>
      <c r="C42" s="359" t="n">
        <f aca="false">C34-C41</f>
        <v>5.19999999999982</v>
      </c>
      <c r="D42" s="359" t="n">
        <f aca="false">D34-D41</f>
        <v>477.800000000003</v>
      </c>
      <c r="E42" s="359" t="n">
        <f aca="false">E34-E41</f>
        <v>-460.000000000007</v>
      </c>
      <c r="F42" s="359" t="n">
        <f aca="false">F34-F41</f>
        <v>0</v>
      </c>
      <c r="G42" s="359" t="n">
        <f aca="false">G34-G41</f>
        <v>0</v>
      </c>
      <c r="H42" s="359" t="n">
        <f aca="false">H34-H41</f>
        <v>0</v>
      </c>
      <c r="I42" s="359" t="n">
        <f aca="false">I34-I41</f>
        <v>0</v>
      </c>
      <c r="J42" s="359" t="n">
        <f aca="false">J34-J41</f>
        <v>0</v>
      </c>
      <c r="K42" s="359" t="n">
        <f aca="false">K34-K41</f>
        <v>0</v>
      </c>
      <c r="L42" s="359" t="n">
        <f aca="false">L34-L41</f>
        <v>0</v>
      </c>
      <c r="M42" s="359" t="n">
        <f aca="false">M34-M41</f>
        <v>0</v>
      </c>
      <c r="N42" s="359" t="n">
        <f aca="false">N34-N41</f>
        <v>0</v>
      </c>
      <c r="O42" s="359" t="n">
        <f aca="false">O34-O41</f>
        <v>0</v>
      </c>
      <c r="P42" s="359" t="n">
        <f aca="false">P34-P41</f>
        <v>0</v>
      </c>
      <c r="Q42" s="359" t="n">
        <f aca="false">Q34-Q41</f>
        <v>0</v>
      </c>
      <c r="R42" s="359" t="n">
        <f aca="false">R34-R41</f>
        <v>0</v>
      </c>
      <c r="S42" s="359" t="n">
        <f aca="false">S34-S41</f>
        <v>0</v>
      </c>
      <c r="T42" s="359" t="n">
        <f aca="false">T34-T41</f>
        <v>0</v>
      </c>
      <c r="U42" s="359" t="n">
        <f aca="false">U34-U41</f>
        <v>0</v>
      </c>
      <c r="V42" s="359" t="n">
        <f aca="false">V34-V41</f>
        <v>0</v>
      </c>
      <c r="W42" s="359" t="n">
        <f aca="false">W34-W41</f>
        <v>0</v>
      </c>
      <c r="X42" s="359" t="n">
        <f aca="false">X34-X41</f>
        <v>0</v>
      </c>
      <c r="Y42" s="358"/>
    </row>
    <row r="43" customFormat="false" ht="12.75" hidden="false" customHeight="false" outlineLevel="0" collapsed="false">
      <c r="A43" s="361" t="s">
        <v>491</v>
      </c>
      <c r="B43" s="361"/>
      <c r="C43" s="362" t="n">
        <f aca="false">'[1]Enron Summary W-TBS'!H87</f>
        <v>-2535.159172224</v>
      </c>
      <c r="D43" s="362" t="n">
        <f aca="false">'[1]Enron Summary W-TBS'!I87</f>
        <v>-20621.8629977828</v>
      </c>
      <c r="E43" s="362" t="n">
        <f aca="false">'[1]Enron Summary W-TBS'!J87</f>
        <v>8103.5943912575</v>
      </c>
      <c r="F43" s="362" t="n">
        <f aca="false">'[1]Enron Summary W-TBS'!K87</f>
        <v>1191.49207367046</v>
      </c>
      <c r="G43" s="362" t="n">
        <f aca="false">'[1]Enron Summary W-TBS'!L87</f>
        <v>1516.53056381045</v>
      </c>
      <c r="H43" s="362" t="n">
        <f aca="false">'[1]Enron Summary W-TBS'!M87</f>
        <v>1069.83010955448</v>
      </c>
      <c r="I43" s="362" t="n">
        <f aca="false">'[1]Enron Summary W-TBS'!N87</f>
        <v>1550.84004608774</v>
      </c>
      <c r="J43" s="362" t="n">
        <f aca="false">'[1]Enron Summary W-TBS'!O87</f>
        <v>339.118222250387</v>
      </c>
      <c r="K43" s="362" t="n">
        <f aca="false">'[1]Enron Summary W-TBS'!P87</f>
        <v>1345.69082800949</v>
      </c>
      <c r="L43" s="362" t="n">
        <f aca="false">'[1]Enron Summary W-TBS'!Q87</f>
        <v>1507.8438696587</v>
      </c>
      <c r="M43" s="362" t="n">
        <f aca="false">'[1]Enron Summary W-TBS'!R87</f>
        <v>2607.57801787317</v>
      </c>
      <c r="N43" s="362" t="n">
        <f aca="false">'[1]Enron Summary W-TBS'!S87</f>
        <v>3905.68303177604</v>
      </c>
      <c r="O43" s="362" t="n">
        <f aca="false">'[1]Enron Summary W-TBS'!T87</f>
        <v>4227.85972496988</v>
      </c>
      <c r="P43" s="362" t="n">
        <f aca="false">'[1]Enron Summary W-TBS'!U87</f>
        <v>3825.89686270416</v>
      </c>
      <c r="Q43" s="362" t="n">
        <f aca="false">'[1]Enron Summary W-TBS'!V87</f>
        <v>2594.40422969683</v>
      </c>
      <c r="R43" s="362" t="n">
        <f aca="false">'[1]Enron Summary W-TBS'!W87</f>
        <v>2465.70126514765</v>
      </c>
      <c r="S43" s="362" t="n">
        <f aca="false">'[1]Enron Summary W-TBS'!X87</f>
        <v>3083.41816647567</v>
      </c>
      <c r="T43" s="362" t="n">
        <f aca="false">'[1]Enron Summary W-TBS'!Y87</f>
        <v>4127.50142873931</v>
      </c>
      <c r="U43" s="362" t="n">
        <f aca="false">'[1]Enron Summary W-TBS'!Z87</f>
        <v>6147.25058908842</v>
      </c>
      <c r="V43" s="362" t="n">
        <f aca="false">'[1]Enron Summary W-TBS'!AA87</f>
        <v>6298.72068366026</v>
      </c>
      <c r="W43" s="362" t="n">
        <f aca="false">'[1]Enron Summary W-TBS'!AB87</f>
        <v>6467.60604098709</v>
      </c>
      <c r="X43" s="362" t="n">
        <f aca="false">'[1]Enron Summary W-TBS'!AC87</f>
        <v>103642.335889257</v>
      </c>
      <c r="Y43" s="361"/>
    </row>
    <row r="44" customFormat="false" ht="12.75" hidden="false" customHeight="false" outlineLevel="0" collapsed="false">
      <c r="A44" s="363" t="s">
        <v>568</v>
      </c>
      <c r="B44" s="364" t="n">
        <f aca="false">B37-B43</f>
        <v>0</v>
      </c>
      <c r="C44" s="364" t="n">
        <f aca="false">C35-C43</f>
        <v>0</v>
      </c>
      <c r="D44" s="364" t="n">
        <f aca="false">D35-D43</f>
        <v>840.999999999996</v>
      </c>
      <c r="E44" s="364" t="n">
        <f aca="false">E35-E43</f>
        <v>-840.999999999996</v>
      </c>
      <c r="F44" s="364" t="n">
        <f aca="false">F35-F43</f>
        <v>0</v>
      </c>
      <c r="G44" s="364" t="n">
        <f aca="false">G35-G43</f>
        <v>0</v>
      </c>
      <c r="H44" s="364" t="n">
        <f aca="false">H35-H43</f>
        <v>0</v>
      </c>
      <c r="I44" s="364" t="n">
        <f aca="false">I35-I43</f>
        <v>0</v>
      </c>
      <c r="J44" s="364" t="n">
        <f aca="false">J35-J43</f>
        <v>0</v>
      </c>
      <c r="K44" s="364" t="n">
        <f aca="false">K35-K43</f>
        <v>0</v>
      </c>
      <c r="L44" s="364" t="n">
        <f aca="false">L35-L43</f>
        <v>0</v>
      </c>
      <c r="M44" s="364" t="n">
        <f aca="false">M35-M43</f>
        <v>0</v>
      </c>
      <c r="N44" s="364" t="n">
        <f aca="false">N35-N43</f>
        <v>0</v>
      </c>
      <c r="O44" s="364" t="n">
        <f aca="false">O35-O43</f>
        <v>0</v>
      </c>
      <c r="P44" s="364" t="n">
        <f aca="false">P35-P43</f>
        <v>0</v>
      </c>
      <c r="Q44" s="364" t="n">
        <f aca="false">Q35-Q43</f>
        <v>0</v>
      </c>
      <c r="R44" s="364" t="n">
        <f aca="false">R35-R43</f>
        <v>0</v>
      </c>
      <c r="S44" s="364" t="n">
        <f aca="false">S35-S43</f>
        <v>0</v>
      </c>
      <c r="T44" s="364" t="n">
        <f aca="false">T35-T43</f>
        <v>0</v>
      </c>
      <c r="U44" s="364" t="n">
        <f aca="false">U35-U43</f>
        <v>0</v>
      </c>
      <c r="V44" s="364" t="n">
        <f aca="false">V35-V43</f>
        <v>0</v>
      </c>
      <c r="W44" s="364" t="n">
        <f aca="false">W35-W43</f>
        <v>2.63753463514149E-011</v>
      </c>
      <c r="X44" s="364" t="n">
        <f aca="false">X35-X43</f>
        <v>0</v>
      </c>
      <c r="Y44" s="365"/>
    </row>
    <row r="45" customFormat="false" ht="12.75" hidden="false" customHeight="false" outlineLevel="0" collapsed="false">
      <c r="A45" s="358" t="s">
        <v>569</v>
      </c>
      <c r="B45" s="358"/>
      <c r="C45" s="359" t="n">
        <f aca="false">'[1]Enron Summary W-TBS'!H86</f>
        <v>0</v>
      </c>
      <c r="D45" s="359" t="n">
        <f aca="false">'[1]Enron Summary W-TBS'!I86</f>
        <v>0</v>
      </c>
      <c r="E45" s="359" t="n">
        <f aca="false">'[1]Enron Summary W-TBS'!J86</f>
        <v>0</v>
      </c>
      <c r="F45" s="359" t="n">
        <f aca="false">'[1]Enron Summary W-TBS'!K86</f>
        <v>528.103053938204</v>
      </c>
      <c r="G45" s="359" t="n">
        <f aca="false">'[1]Enron Summary W-TBS'!L86</f>
        <v>816.491585416114</v>
      </c>
      <c r="H45" s="359" t="n">
        <f aca="false">'[1]Enron Summary W-TBS'!M86</f>
        <v>1276.81761673389</v>
      </c>
      <c r="I45" s="359" t="n">
        <f aca="false">'[1]Enron Summary W-TBS'!N86</f>
        <v>2412.10752746215</v>
      </c>
      <c r="J45" s="359" t="n">
        <f aca="false">'[1]Enron Summary W-TBS'!O86</f>
        <v>3549.34359177779</v>
      </c>
      <c r="K45" s="359" t="n">
        <f aca="false">'[1]Enron Summary W-TBS'!P86</f>
        <v>4236.85356583677</v>
      </c>
      <c r="L45" s="359" t="n">
        <f aca="false">'[1]Enron Summary W-TBS'!Q86</f>
        <v>4609.07583164107</v>
      </c>
      <c r="M45" s="359" t="n">
        <f aca="false">'[1]Enron Summary W-TBS'!R86</f>
        <v>4763.55014085012</v>
      </c>
      <c r="N45" s="359" t="n">
        <f aca="false">'[1]Enron Summary W-TBS'!S86</f>
        <v>5018.90872499479</v>
      </c>
      <c r="O45" s="359" t="n">
        <f aca="false">'[1]Enron Summary W-TBS'!T86</f>
        <v>5234.39933134557</v>
      </c>
      <c r="P45" s="359" t="n">
        <f aca="false">'[1]Enron Summary W-TBS'!U86</f>
        <v>5416.66997604295</v>
      </c>
      <c r="Q45" s="359" t="n">
        <f aca="false">'[1]Enron Summary W-TBS'!V86</f>
        <v>5858.61467814325</v>
      </c>
      <c r="R45" s="359" t="n">
        <f aca="false">'[1]Enron Summary W-TBS'!W86</f>
        <v>5827.45000935589</v>
      </c>
      <c r="S45" s="359" t="n">
        <f aca="false">'[1]Enron Summary W-TBS'!X86</f>
        <v>5950.43486789725</v>
      </c>
      <c r="T45" s="359" t="n">
        <f aca="false">'[1]Enron Summary W-TBS'!Y86</f>
        <v>6074.74701203984</v>
      </c>
      <c r="U45" s="359" t="n">
        <f aca="false">'[1]Enron Summary W-TBS'!Z86</f>
        <v>6167.0167774867</v>
      </c>
      <c r="V45" s="359" t="n">
        <f aca="false">'[1]Enron Summary W-TBS'!AA86</f>
        <v>6415.30626199127</v>
      </c>
      <c r="W45" s="359" t="n">
        <f aca="false">'[1]Enron Summary W-TBS'!AB86</f>
        <v>6845.4965601944</v>
      </c>
      <c r="X45" s="359" t="n">
        <f aca="false">'[1]Enron Summary W-TBS'!AC86</f>
        <v>72370.6530186574</v>
      </c>
      <c r="Y45" s="358"/>
    </row>
    <row r="46" customFormat="false" ht="12.75" hidden="false" customHeight="false" outlineLevel="0" collapsed="false">
      <c r="A46" s="366" t="s">
        <v>568</v>
      </c>
      <c r="B46" s="359" t="n">
        <f aca="false">B39-B45</f>
        <v>0</v>
      </c>
      <c r="C46" s="359" t="n">
        <f aca="false">C36-C45</f>
        <v>0</v>
      </c>
      <c r="D46" s="359" t="n">
        <f aca="false">D36-D45</f>
        <v>0</v>
      </c>
      <c r="E46" s="359" t="n">
        <f aca="false">E36-E45</f>
        <v>0</v>
      </c>
      <c r="F46" s="359" t="n">
        <f aca="false">F36-F45</f>
        <v>0</v>
      </c>
      <c r="G46" s="359" t="n">
        <f aca="false">G36-G45</f>
        <v>0</v>
      </c>
      <c r="H46" s="359" t="n">
        <f aca="false">H36-H45</f>
        <v>0</v>
      </c>
      <c r="I46" s="359" t="n">
        <f aca="false">I36-I45</f>
        <v>0</v>
      </c>
      <c r="J46" s="359" t="n">
        <f aca="false">J36-J45</f>
        <v>0</v>
      </c>
      <c r="K46" s="359" t="n">
        <f aca="false">K36-K45</f>
        <v>0</v>
      </c>
      <c r="L46" s="359" t="n">
        <f aca="false">L36-L45</f>
        <v>0</v>
      </c>
      <c r="M46" s="359" t="n">
        <f aca="false">M36-M45</f>
        <v>0</v>
      </c>
      <c r="N46" s="359" t="n">
        <f aca="false">N36-N45</f>
        <v>0</v>
      </c>
      <c r="O46" s="359" t="n">
        <f aca="false">O36-O45</f>
        <v>0</v>
      </c>
      <c r="P46" s="359" t="n">
        <f aca="false">P36-P45</f>
        <v>0</v>
      </c>
      <c r="Q46" s="359" t="n">
        <f aca="false">Q36-Q45</f>
        <v>0</v>
      </c>
      <c r="R46" s="359" t="n">
        <f aca="false">R36-R45</f>
        <v>0</v>
      </c>
      <c r="S46" s="359" t="n">
        <f aca="false">S36-S45</f>
        <v>0</v>
      </c>
      <c r="T46" s="359" t="n">
        <f aca="false">T36-T45</f>
        <v>0</v>
      </c>
      <c r="U46" s="359" t="n">
        <f aca="false">U36-U45</f>
        <v>0</v>
      </c>
      <c r="V46" s="359" t="n">
        <f aca="false">V36-V45</f>
        <v>0</v>
      </c>
      <c r="W46" s="359" t="n">
        <f aca="false">W36-W45</f>
        <v>0</v>
      </c>
      <c r="X46" s="359" t="n">
        <f aca="false">X36-X45</f>
        <v>0</v>
      </c>
      <c r="Y46" s="358"/>
    </row>
    <row r="47" customFormat="false" ht="12.75" hidden="false" customHeight="false" outlineLevel="0" collapsed="false">
      <c r="A47" s="367" t="s">
        <v>66</v>
      </c>
      <c r="B47" s="367"/>
      <c r="C47" s="368" t="n">
        <f aca="false">'[1]Enron Summary W-TBS'!H90</f>
        <v>-82184.5653805972</v>
      </c>
      <c r="D47" s="368" t="n">
        <f aca="false">'[1]Enron Summary W-TBS'!I90</f>
        <v>-71439.5334976067</v>
      </c>
      <c r="E47" s="368" t="n">
        <f aca="false">'[1]Enron Summary W-TBS'!J90</f>
        <v>44229.1220823914</v>
      </c>
      <c r="F47" s="368" t="n">
        <f aca="false">'[1]Enron Summary W-TBS'!K90</f>
        <v>2431.90652048141</v>
      </c>
      <c r="G47" s="368" t="n">
        <f aca="false">'[1]Enron Summary W-TBS'!L90</f>
        <v>5541.59567399886</v>
      </c>
      <c r="H47" s="368" t="n">
        <f aca="false">'[1]Enron Summary W-TBS'!M90</f>
        <v>7550.78065554537</v>
      </c>
      <c r="I47" s="368" t="n">
        <f aca="false">'[1]Enron Summary W-TBS'!N90</f>
        <v>2544.30632868842</v>
      </c>
      <c r="J47" s="368" t="n">
        <f aca="false">'[1]Enron Summary W-TBS'!O90</f>
        <v>13390.5231282372</v>
      </c>
      <c r="K47" s="368" t="n">
        <f aca="false">'[1]Enron Summary W-TBS'!P90</f>
        <v>15874.6472121884</v>
      </c>
      <c r="L47" s="368" t="n">
        <f aca="false">'[1]Enron Summary W-TBS'!Q90</f>
        <v>15424.3953139078</v>
      </c>
      <c r="M47" s="368" t="n">
        <f aca="false">'[1]Enron Summary W-TBS'!R90</f>
        <v>17601.0400301395</v>
      </c>
      <c r="N47" s="368" t="n">
        <f aca="false">'[1]Enron Summary W-TBS'!S90</f>
        <v>21935.387934653</v>
      </c>
      <c r="O47" s="368" t="n">
        <f aca="false">'[1]Enron Summary W-TBS'!T90</f>
        <v>23679.9610237108</v>
      </c>
      <c r="P47" s="368" t="n">
        <f aca="false">'[1]Enron Summary W-TBS'!U90</f>
        <v>21362.9710829097</v>
      </c>
      <c r="Q47" s="368" t="n">
        <f aca="false">'[1]Enron Summary W-TBS'!V90</f>
        <v>20033.3689488764</v>
      </c>
      <c r="R47" s="368" t="n">
        <f aca="false">'[1]Enron Summary W-TBS'!W90</f>
        <v>22967.2909467613</v>
      </c>
      <c r="S47" s="368" t="n">
        <f aca="false">'[1]Enron Summary W-TBS'!X90</f>
        <v>17412.0886516517</v>
      </c>
      <c r="T47" s="368" t="n">
        <f aca="false">'[1]Enron Summary W-TBS'!Y90</f>
        <v>14284.7461133579</v>
      </c>
      <c r="U47" s="368" t="n">
        <f aca="false">'[1]Enron Summary W-TBS'!Z90</f>
        <v>23464.357559738</v>
      </c>
      <c r="V47" s="368" t="n">
        <f aca="false">'[1]Enron Summary W-TBS'!AA90</f>
        <v>23401.8473001399</v>
      </c>
      <c r="W47" s="368" t="n">
        <f aca="false">'[1]Enron Summary W-TBS'!AB90</f>
        <v>24901.8217063518</v>
      </c>
      <c r="X47" s="368" t="n">
        <f aca="false">'[1]Enron Summary W-TBS'!AC90</f>
        <v>277832.125160775</v>
      </c>
      <c r="Y47" s="367"/>
    </row>
    <row r="48" customFormat="false" ht="12.75" hidden="false" customHeight="false" outlineLevel="0" collapsed="false">
      <c r="A48" s="369" t="s">
        <v>568</v>
      </c>
      <c r="B48" s="370" t="n">
        <f aca="false">B41-B47</f>
        <v>0</v>
      </c>
      <c r="C48" s="370" t="n">
        <f aca="false">C47-C32</f>
        <v>0</v>
      </c>
      <c r="D48" s="370" t="n">
        <f aca="false">D47-D32</f>
        <v>0</v>
      </c>
      <c r="E48" s="370" t="n">
        <f aca="false">E47-E32</f>
        <v>0</v>
      </c>
      <c r="F48" s="370" t="n">
        <f aca="false">F47-F32</f>
        <v>-1.36424205265939E-011</v>
      </c>
      <c r="G48" s="370" t="n">
        <f aca="false">G47-G32</f>
        <v>0</v>
      </c>
      <c r="H48" s="370" t="n">
        <f aca="false">H47-H32</f>
        <v>0</v>
      </c>
      <c r="I48" s="370" t="n">
        <f aca="false">I47-I32</f>
        <v>1.54614099301398E-011</v>
      </c>
      <c r="J48" s="370" t="n">
        <f aca="false">J47-J32</f>
        <v>0</v>
      </c>
      <c r="K48" s="370" t="n">
        <f aca="false">K47-K32</f>
        <v>0</v>
      </c>
      <c r="L48" s="370" t="n">
        <f aca="false">L47-L32</f>
        <v>0</v>
      </c>
      <c r="M48" s="370" t="n">
        <f aca="false">M47-M32</f>
        <v>0</v>
      </c>
      <c r="N48" s="370" t="n">
        <f aca="false">N47-N32</f>
        <v>0</v>
      </c>
      <c r="O48" s="370" t="n">
        <f aca="false">O47-O32</f>
        <v>0</v>
      </c>
      <c r="P48" s="370" t="n">
        <f aca="false">P47-P32</f>
        <v>0</v>
      </c>
      <c r="Q48" s="370" t="n">
        <f aca="false">Q47-Q32</f>
        <v>0</v>
      </c>
      <c r="R48" s="370" t="n">
        <f aca="false">R47-R32</f>
        <v>0</v>
      </c>
      <c r="S48" s="370" t="n">
        <f aca="false">S47-S32</f>
        <v>0</v>
      </c>
      <c r="T48" s="370" t="n">
        <f aca="false">T47-T32</f>
        <v>0</v>
      </c>
      <c r="U48" s="370" t="n">
        <f aca="false">U47-U32</f>
        <v>0</v>
      </c>
      <c r="V48" s="370" t="n">
        <f aca="false">V47-V32</f>
        <v>0</v>
      </c>
      <c r="W48" s="370" t="n">
        <f aca="false">W47-W32</f>
        <v>0</v>
      </c>
      <c r="X48" s="370" t="n">
        <f aca="false">X47-X32</f>
        <v>0</v>
      </c>
      <c r="Y48" s="371"/>
    </row>
    <row r="49" customFormat="false" ht="13.5" hidden="false" customHeight="false" outlineLevel="0" collapsed="false">
      <c r="A49" s="372" t="s">
        <v>47</v>
      </c>
      <c r="B49" s="373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</row>
    <row r="50" customFormat="false" ht="12.75" hidden="false" customHeight="false" outlineLevel="0" collapsed="false">
      <c r="A50" s="0" t="s">
        <v>570</v>
      </c>
      <c r="B50" s="374" t="n">
        <v>36685</v>
      </c>
      <c r="F50" s="375"/>
      <c r="H50" s="0" t="s">
        <v>571</v>
      </c>
      <c r="J50" s="376" t="n">
        <f aca="false">+VLOOKUP($B$125,$B$127:$E$129,3)</f>
        <v>36892</v>
      </c>
      <c r="K50" s="376" t="n">
        <v>36892</v>
      </c>
      <c r="N50" s="377"/>
    </row>
    <row r="51" customFormat="false" ht="12.75" hidden="false" customHeight="false" outlineLevel="0" collapsed="false">
      <c r="A51" s="0" t="s">
        <v>572</v>
      </c>
      <c r="B51" s="378" t="n">
        <v>0.19</v>
      </c>
      <c r="F51" s="375"/>
      <c r="H51" s="0" t="s">
        <v>573</v>
      </c>
      <c r="J51" s="376" t="n">
        <f aca="false">+VLOOKUP($B$125,$B$127:$E$129,4)</f>
        <v>36951</v>
      </c>
      <c r="K51" s="376" t="n">
        <v>36951</v>
      </c>
      <c r="N51" s="350"/>
    </row>
    <row r="52" customFormat="false" ht="12.75" hidden="false" customHeight="false" outlineLevel="0" collapsed="false">
      <c r="A52" s="0" t="s">
        <v>310</v>
      </c>
      <c r="B52" s="379" t="n">
        <f aca="false">D52+SUM(B32:D32)</f>
        <v>-61711.884586115</v>
      </c>
      <c r="C52" s="380" t="s">
        <v>574</v>
      </c>
      <c r="D52" s="381" t="n">
        <f aca="false">NPV(B51,E32:X32)</f>
        <v>91912.2142920888</v>
      </c>
      <c r="F52" s="375"/>
      <c r="H52" s="0" t="s">
        <v>575</v>
      </c>
      <c r="J52" s="376" t="n">
        <f aca="false">+VLOOKUP(B125,B126:F129,5)</f>
        <v>37104</v>
      </c>
      <c r="K52" s="376" t="n">
        <v>37104</v>
      </c>
    </row>
    <row r="53" customFormat="false" ht="12.75" hidden="false" customHeight="false" outlineLevel="0" collapsed="false">
      <c r="A53" s="0" t="s">
        <v>309</v>
      </c>
      <c r="B53" s="382" t="n">
        <f aca="false">XIRR(C32:X32,C4:X4)</f>
        <v>0.123460005322536</v>
      </c>
      <c r="F53" s="379"/>
      <c r="H53" s="0" t="s">
        <v>576</v>
      </c>
      <c r="J53" s="376" t="n">
        <v>37377</v>
      </c>
      <c r="K53" s="376" t="n">
        <v>37377</v>
      </c>
    </row>
    <row r="54" customFormat="false" ht="12.75" hidden="false" customHeight="false" outlineLevel="0" collapsed="false">
      <c r="B54" s="383" t="n">
        <f aca="false">NPV(B51,C32:X32)</f>
        <v>-54605.5730587024</v>
      </c>
      <c r="F54" s="379"/>
    </row>
    <row r="55" customFormat="false" ht="12.75" hidden="false" customHeight="false" outlineLevel="0" collapsed="false">
      <c r="B55" s="0" t="s">
        <v>577</v>
      </c>
      <c r="C55" s="0" t="s">
        <v>578</v>
      </c>
      <c r="D55" s="0" t="s">
        <v>579</v>
      </c>
      <c r="E55" s="0" t="s">
        <v>580</v>
      </c>
      <c r="F55" s="0" t="s">
        <v>581</v>
      </c>
      <c r="G55" s="0" t="s">
        <v>582</v>
      </c>
      <c r="H55" s="0" t="s">
        <v>583</v>
      </c>
      <c r="I55" s="0" t="s">
        <v>584</v>
      </c>
      <c r="J55" s="0" t="s">
        <v>585</v>
      </c>
      <c r="K55" s="0" t="s">
        <v>586</v>
      </c>
      <c r="L55" s="0" t="s">
        <v>587</v>
      </c>
      <c r="M55" s="0" t="s">
        <v>588</v>
      </c>
      <c r="N55" s="0" t="s">
        <v>589</v>
      </c>
      <c r="O55" s="0" t="s">
        <v>590</v>
      </c>
      <c r="P55" s="0" t="s">
        <v>591</v>
      </c>
      <c r="Q55" s="0" t="s">
        <v>592</v>
      </c>
      <c r="R55" s="0" t="s">
        <v>593</v>
      </c>
      <c r="S55" s="0" t="s">
        <v>594</v>
      </c>
      <c r="T55" s="0" t="s">
        <v>595</v>
      </c>
      <c r="U55" s="0" t="s">
        <v>596</v>
      </c>
      <c r="V55" s="0" t="s">
        <v>597</v>
      </c>
      <c r="W55" s="0" t="s">
        <v>598</v>
      </c>
      <c r="X55" s="0" t="s">
        <v>599</v>
      </c>
    </row>
    <row r="56" customFormat="false" ht="13.5" hidden="false" customHeight="false" outlineLevel="0" collapsed="false">
      <c r="A56" s="356" t="s">
        <v>600</v>
      </c>
      <c r="B56" s="384" t="n">
        <f aca="false">BS_IS!F36</f>
        <v>0</v>
      </c>
      <c r="C56" s="384" t="n">
        <f aca="false">BS_IS!G36+[5]BS_IS!G35+[6]BS_IS!G35</f>
        <v>0</v>
      </c>
      <c r="D56" s="384" t="n">
        <f aca="false">BS_IS!H36+[5]BS_IS!H35+[6]BS_IS!H35</f>
        <v>0</v>
      </c>
      <c r="E56" s="385" t="n">
        <f aca="false">BS_IS!I36+[5]BS_IS!I35+[6]BS_IS!I35</f>
        <v>0</v>
      </c>
      <c r="F56" s="385" t="n">
        <f aca="false">BS_IS!J36+[5]BS_IS!J35+[6]BS_IS!J35</f>
        <v>0</v>
      </c>
      <c r="G56" s="385" t="n">
        <f aca="false">BS_IS!K36+[5]BS_IS!K35+[6]BS_IS!K35</f>
        <v>0</v>
      </c>
      <c r="H56" s="385" t="n">
        <f aca="false">BS_IS!L36+[5]BS_IS!L35+[6]BS_IS!L35</f>
        <v>0</v>
      </c>
      <c r="I56" s="385" t="n">
        <f aca="false">BS_IS!M36+[5]BS_IS!M35+[6]BS_IS!M35</f>
        <v>0</v>
      </c>
      <c r="J56" s="385" t="n">
        <f aca="false">BS_IS!N36+[5]BS_IS!N35+[6]BS_IS!N35</f>
        <v>0</v>
      </c>
      <c r="K56" s="385" t="n">
        <f aca="false">BS_IS!O36+[5]BS_IS!O35+[6]BS_IS!O35</f>
        <v>0</v>
      </c>
      <c r="L56" s="385" t="n">
        <f aca="false">BS_IS!P36+[5]BS_IS!P35+[6]BS_IS!P35</f>
        <v>0</v>
      </c>
      <c r="M56" s="385" t="n">
        <f aca="false">BS_IS!Q36+[5]BS_IS!Q35+[6]BS_IS!Q35</f>
        <v>0</v>
      </c>
      <c r="N56" s="385" t="n">
        <f aca="false">BS_IS!R36+[5]BS_IS!R35+[6]BS_IS!R35</f>
        <v>0</v>
      </c>
      <c r="O56" s="385" t="n">
        <f aca="false">BS_IS!S36+[5]BS_IS!S35+[6]BS_IS!S35</f>
        <v>0</v>
      </c>
      <c r="P56" s="385" t="n">
        <f aca="false">BS_IS!T36+[5]BS_IS!T35+[6]BS_IS!T35</f>
        <v>0</v>
      </c>
      <c r="Q56" s="385" t="n">
        <f aca="false">BS_IS!U36+[5]BS_IS!U35+[6]BS_IS!U35</f>
        <v>0</v>
      </c>
      <c r="R56" s="385" t="n">
        <f aca="false">BS_IS!V36+[5]BS_IS!V35+[6]BS_IS!V35</f>
        <v>0</v>
      </c>
      <c r="S56" s="385" t="n">
        <f aca="false">BS_IS!W36+[5]BS_IS!W35+[6]BS_IS!W35</f>
        <v>0</v>
      </c>
      <c r="T56" s="385" t="n">
        <f aca="false">BS_IS!X36+[5]BS_IS!X35+[6]BS_IS!X35</f>
        <v>0</v>
      </c>
      <c r="U56" s="385" t="n">
        <f aca="false">BS_IS!Y36+[5]BS_IS!Y35+[6]BS_IS!Y35</f>
        <v>0</v>
      </c>
      <c r="V56" s="385" t="n">
        <f aca="false">BS_IS!Z36+[5]BS_IS!Z35+[6]BS_IS!Z35</f>
        <v>0</v>
      </c>
      <c r="W56" s="385" t="n">
        <f aca="false">BS_IS!AA36+[5]BS_IS!AA35+[6]BS_IS!AA35</f>
        <v>2.91038304567337E-011</v>
      </c>
      <c r="X56" s="385" t="n">
        <f aca="false">BS_IS!AB36+[5]BS_IS!AB35+[6]BS_IS!AB35</f>
        <v>2.5465851649642E-011</v>
      </c>
      <c r="Y56" s="350"/>
    </row>
    <row r="57" customFormat="false" ht="13.5" hidden="false" customHeight="false" outlineLevel="0" collapsed="false">
      <c r="A57" s="386" t="n">
        <f aca="false">MAX(B56:X56)</f>
        <v>2.91038304567337E-011</v>
      </c>
    </row>
    <row r="58" customFormat="false" ht="12.75" hidden="false" customHeight="false" outlineLevel="0" collapsed="false">
      <c r="A58" s="387"/>
    </row>
    <row r="59" customFormat="false" ht="12.75" hidden="false" customHeight="false" outlineLevel="0" collapsed="false">
      <c r="A59" s="62" t="s">
        <v>601</v>
      </c>
      <c r="B59" s="388"/>
      <c r="C59" s="389" t="n">
        <f aca="false">+C3</f>
        <v>36160</v>
      </c>
      <c r="D59" s="389" t="n">
        <f aca="false">+D3</f>
        <v>36525</v>
      </c>
      <c r="E59" s="389" t="n">
        <f aca="false">+E3</f>
        <v>36891</v>
      </c>
      <c r="F59" s="389" t="n">
        <f aca="false">+F3</f>
        <v>37256</v>
      </c>
      <c r="G59" s="389" t="n">
        <f aca="false">+G3</f>
        <v>37621</v>
      </c>
      <c r="H59" s="389" t="n">
        <f aca="false">+H3</f>
        <v>37986</v>
      </c>
      <c r="I59" s="389" t="n">
        <f aca="false">+I3</f>
        <v>38352</v>
      </c>
      <c r="J59" s="389" t="n">
        <f aca="false">+J3</f>
        <v>38717</v>
      </c>
      <c r="K59" s="389" t="n">
        <f aca="false">+K3</f>
        <v>39082</v>
      </c>
      <c r="L59" s="389" t="n">
        <f aca="false">+L3</f>
        <v>39447</v>
      </c>
      <c r="M59" s="389" t="n">
        <f aca="false">+M3</f>
        <v>39813</v>
      </c>
      <c r="N59" s="389" t="n">
        <f aca="false">+N3</f>
        <v>40178</v>
      </c>
      <c r="O59" s="389" t="n">
        <f aca="false">+O3</f>
        <v>40543</v>
      </c>
      <c r="P59" s="389" t="n">
        <f aca="false">+P3</f>
        <v>40908</v>
      </c>
      <c r="Q59" s="389" t="n">
        <f aca="false">+Q3</f>
        <v>41274</v>
      </c>
      <c r="R59" s="389" t="n">
        <f aca="false">+R3</f>
        <v>41639</v>
      </c>
      <c r="S59" s="389" t="n">
        <f aca="false">+S3</f>
        <v>42004</v>
      </c>
      <c r="T59" s="389" t="n">
        <f aca="false">+T3</f>
        <v>42369</v>
      </c>
      <c r="U59" s="389" t="n">
        <f aca="false">+U3</f>
        <v>42735</v>
      </c>
      <c r="V59" s="389" t="n">
        <f aca="false">+V3</f>
        <v>43100</v>
      </c>
      <c r="W59" s="389" t="n">
        <f aca="false">+W3</f>
        <v>43465</v>
      </c>
      <c r="X59" s="389" t="n">
        <f aca="false">+X3</f>
        <v>43830</v>
      </c>
      <c r="Y59" s="388"/>
    </row>
    <row r="60" customFormat="false" ht="33" hidden="false" customHeight="true" outlineLevel="0" collapsed="false">
      <c r="A60" s="390" t="s">
        <v>602</v>
      </c>
      <c r="B60" s="391"/>
      <c r="C60" s="391"/>
      <c r="D60" s="392"/>
      <c r="E60" s="392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2"/>
      <c r="V60" s="392"/>
      <c r="W60" s="392"/>
      <c r="X60" s="392"/>
      <c r="Y60" s="391"/>
    </row>
    <row r="61" customFormat="false" ht="12.75" hidden="false" customHeight="false" outlineLevel="0" collapsed="false">
      <c r="A61" s="393" t="s">
        <v>603</v>
      </c>
      <c r="B61" s="388"/>
      <c r="C61" s="394" t="n">
        <f aca="false">CF!D69</f>
        <v>0</v>
      </c>
      <c r="D61" s="395" t="n">
        <f aca="false">CF!E69+[5]CF!E69+[6]CF!E67+[7]Cashflow!E38</f>
        <v>-1978.50807527969</v>
      </c>
      <c r="E61" s="395" t="n">
        <f aca="false">CF!F69+[5]CF!F69+[6]CF!F67+[7]Cashflow!F38</f>
        <v>1876.88559989933</v>
      </c>
      <c r="F61" s="395" t="n">
        <f aca="false">CF!G69+[5]CF!G69+[6]CF!G67+[7]Cashflow!G38</f>
        <v>22465.7487355571</v>
      </c>
      <c r="G61" s="395" t="n">
        <f aca="false">CF!H69+[5]CF!H69+[6]CF!H67+[7]Cashflow!H38</f>
        <v>6333.98329335933</v>
      </c>
      <c r="H61" s="395" t="n">
        <f aca="false">CF!I69+[5]CF!I69+[6]CF!I67+[7]Cashflow!I38</f>
        <v>7799.3648582472</v>
      </c>
      <c r="I61" s="395" t="n">
        <f aca="false">CF!J69+[5]CF!J69+[6]CF!J67+[7]Cashflow!J38</f>
        <v>656.057316709602</v>
      </c>
      <c r="J61" s="395" t="n">
        <f aca="false">CF!K69+[5]CF!K69+[6]CF!K67+[7]Cashflow!K38</f>
        <v>12483.210964774</v>
      </c>
      <c r="K61" s="395" t="n">
        <f aca="false">CF!L69+[5]CF!L69+[6]CF!L67+[7]Cashflow!L38</f>
        <v>17723.5460506979</v>
      </c>
      <c r="L61" s="395" t="n">
        <f aca="false">CF!M69+[5]CF!M69+[6]CF!M67+[7]Cashflow!M38</f>
        <v>18303.7216292781</v>
      </c>
      <c r="M61" s="395" t="n">
        <f aca="false">CF!N69+[5]CF!N69+[6]CF!N67+[7]Cashflow!N38</f>
        <v>25705.905823708</v>
      </c>
      <c r="N61" s="395" t="n">
        <f aca="false">CF!O69+[5]CF!O69+[6]CF!O67+[7]Cashflow!O38</f>
        <v>35904.5472916208</v>
      </c>
      <c r="O61" s="395" t="n">
        <f aca="false">CF!P69+[5]CF!P69+[6]CF!P67+[7]Cashflow!P38</f>
        <v>38912.0719474321</v>
      </c>
      <c r="P61" s="395" t="n">
        <f aca="false">CF!Q69+[5]CF!Q69+[6]CF!Q67+[7]Cashflow!Q38</f>
        <v>34397.5695240321</v>
      </c>
      <c r="Q61" s="395" t="n">
        <f aca="false">CF!R69+[5]CF!R69+[6]CF!R67+[7]Cashflow!R38</f>
        <v>32310.9586269638</v>
      </c>
      <c r="R61" s="395" t="n">
        <f aca="false">CF!S69+[5]CF!S69+[6]CF!S67+[7]Cashflow!S38</f>
        <v>37844.5356635203</v>
      </c>
      <c r="S61" s="395" t="n">
        <f aca="false">CF!T69+[5]CF!T69+[6]CF!T67+[7]Cashflow!T38</f>
        <v>33033.5388090461</v>
      </c>
      <c r="T61" s="395" t="n">
        <f aca="false">CF!U69+[5]CF!U69+[6]CF!U67+[7]Cashflow!U38</f>
        <v>31620.0916928963</v>
      </c>
      <c r="U61" s="395" t="n">
        <f aca="false">CF!V69+[5]CF!V69+[6]CF!V67+[7]Cashflow!V38</f>
        <v>51862.2035576666</v>
      </c>
      <c r="V61" s="395" t="n">
        <f aca="false">CF!W69+[5]CF!W69+[6]CF!W67+[7]Cashflow!W38</f>
        <v>51942.457560641</v>
      </c>
      <c r="W61" s="395" t="n">
        <f aca="false">CF!X69+[5]CF!X69+[6]CF!X67+[7]Cashflow!X38</f>
        <v>55479.4166391947</v>
      </c>
      <c r="X61" s="395" t="n">
        <f aca="false">CF!Y69+[5]CF!Y69+[6]CF!Y67+[7]Cashflow!Y38</f>
        <v>23966.836513508</v>
      </c>
      <c r="Y61" s="388"/>
    </row>
    <row r="62" customFormat="false" ht="12.75" hidden="false" customHeight="false" outlineLevel="0" collapsed="false">
      <c r="A62" s="388" t="s">
        <v>604</v>
      </c>
      <c r="B62" s="396" t="n">
        <v>0</v>
      </c>
      <c r="C62" s="396"/>
      <c r="D62" s="397" t="n">
        <f aca="false">+IF(D61&gt;$B$62,1,0)</f>
        <v>0</v>
      </c>
      <c r="E62" s="397" t="n">
        <f aca="false">IF(E61&gt;$B$62,1,0)</f>
        <v>1</v>
      </c>
      <c r="F62" s="397" t="n">
        <f aca="false">IF(E62=0,0,IF(F61&gt;$B$62,1,0))</f>
        <v>1</v>
      </c>
      <c r="G62" s="397" t="n">
        <f aca="false">IF(F62=0,0,IF(G61&gt;$B$62,1,0))</f>
        <v>1</v>
      </c>
      <c r="H62" s="397" t="n">
        <f aca="false">IF(G62=0,0,IF(H61&gt;$B$62,1,0))</f>
        <v>1</v>
      </c>
      <c r="I62" s="397" t="n">
        <f aca="false">IF(H62=0,0,IF(I61&gt;$B$62,1,0))</f>
        <v>1</v>
      </c>
      <c r="J62" s="397" t="n">
        <f aca="false">IF(I62=0,0,IF(J61&gt;$B$62,1,0))</f>
        <v>1</v>
      </c>
      <c r="K62" s="397" t="n">
        <f aca="false">IF(J62=0,0,IF(K61&gt;$B$62,1,0))</f>
        <v>1</v>
      </c>
      <c r="L62" s="397" t="n">
        <f aca="false">IF(K62=0,0,IF(L61&gt;$B$62,1,0))</f>
        <v>1</v>
      </c>
      <c r="M62" s="397" t="n">
        <f aca="false">IF(L62=0,0,IF(M61&gt;$B$62,1,0))</f>
        <v>1</v>
      </c>
      <c r="N62" s="397" t="n">
        <f aca="false">IF(M62=0,0,IF(N61&gt;$B$62,1,0))</f>
        <v>1</v>
      </c>
      <c r="O62" s="397" t="n">
        <f aca="false">IF(N62=0,0,IF(O61&gt;$B$62,1,0))</f>
        <v>1</v>
      </c>
      <c r="P62" s="397" t="n">
        <f aca="false">IF(O62=0,0,IF(P61&gt;$B$62,1,0))</f>
        <v>1</v>
      </c>
      <c r="Q62" s="397" t="n">
        <f aca="false">IF(P62=0,0,IF(Q61&gt;$B$62,1,0))</f>
        <v>1</v>
      </c>
      <c r="R62" s="397" t="n">
        <f aca="false">IF(Q62=0,0,IF(R61&gt;$B$62,1,0))</f>
        <v>1</v>
      </c>
      <c r="S62" s="397" t="n">
        <f aca="false">IF(R62=0,0,IF(S61&gt;$B$62,1,0))</f>
        <v>1</v>
      </c>
      <c r="T62" s="397" t="n">
        <f aca="false">IF(S62=0,0,IF(T61&gt;$B$62,1,0))</f>
        <v>1</v>
      </c>
      <c r="U62" s="397" t="n">
        <f aca="false">IF(T62=0,0,IF(U61&gt;$B$62,1,0))</f>
        <v>1</v>
      </c>
      <c r="V62" s="397" t="n">
        <f aca="false">IF(U62=0,0,IF(V61&gt;$B$62,1,0))</f>
        <v>1</v>
      </c>
      <c r="W62" s="397" t="n">
        <f aca="false">IF(V62=0,0,IF(W61&gt;$B$62,1,0))</f>
        <v>1</v>
      </c>
      <c r="X62" s="397" t="n">
        <f aca="false">IF(W62=0,0,IF(X61&gt;$B$62,1,0))</f>
        <v>1</v>
      </c>
      <c r="Y62" s="388"/>
    </row>
    <row r="63" customFormat="false" ht="12.75" hidden="false" customHeight="false" outlineLevel="0" collapsed="false">
      <c r="A63" s="398"/>
      <c r="B63" s="399" t="s">
        <v>605</v>
      </c>
      <c r="C63" s="399" t="s">
        <v>606</v>
      </c>
      <c r="D63" s="399" t="s">
        <v>607</v>
      </c>
      <c r="E63" s="399" t="s">
        <v>608</v>
      </c>
      <c r="F63" s="399" t="s">
        <v>609</v>
      </c>
      <c r="G63" s="399" t="s">
        <v>610</v>
      </c>
      <c r="H63" s="399" t="s">
        <v>611</v>
      </c>
      <c r="I63" s="399" t="s">
        <v>612</v>
      </c>
      <c r="J63" s="399" t="s">
        <v>613</v>
      </c>
      <c r="K63" s="399" t="s">
        <v>614</v>
      </c>
      <c r="L63" s="399" t="s">
        <v>615</v>
      </c>
      <c r="M63" s="399" t="s">
        <v>616</v>
      </c>
      <c r="N63" s="399" t="s">
        <v>617</v>
      </c>
      <c r="O63" s="399" t="s">
        <v>618</v>
      </c>
      <c r="P63" s="399" t="s">
        <v>619</v>
      </c>
      <c r="Q63" s="399" t="s">
        <v>620</v>
      </c>
      <c r="R63" s="399" t="s">
        <v>621</v>
      </c>
      <c r="S63" s="399" t="s">
        <v>622</v>
      </c>
      <c r="T63" s="399" t="s">
        <v>623</v>
      </c>
      <c r="U63" s="399" t="s">
        <v>624</v>
      </c>
      <c r="V63" s="399" t="s">
        <v>625</v>
      </c>
      <c r="W63" s="399" t="s">
        <v>626</v>
      </c>
      <c r="X63" s="399" t="s">
        <v>627</v>
      </c>
      <c r="Y63" s="398"/>
    </row>
    <row r="64" customFormat="false" ht="12.75" hidden="false" customHeight="false" outlineLevel="0" collapsed="false">
      <c r="A64" s="350" t="s">
        <v>628</v>
      </c>
      <c r="B64" s="350" t="n">
        <v>1</v>
      </c>
      <c r="C64" s="350" t="n">
        <v>1</v>
      </c>
      <c r="D64" s="350" t="n">
        <v>1</v>
      </c>
      <c r="E64" s="400" t="n">
        <f aca="false">E62</f>
        <v>1</v>
      </c>
      <c r="F64" s="400" t="n">
        <f aca="false">IF(E64=0,0,F62)</f>
        <v>1</v>
      </c>
      <c r="G64" s="400" t="n">
        <f aca="false">IF(F64=0,0,G62)</f>
        <v>1</v>
      </c>
      <c r="H64" s="400" t="n">
        <f aca="false">IF(G64=0,0,H62)</f>
        <v>1</v>
      </c>
      <c r="I64" s="400" t="n">
        <f aca="false">IF(H64=0,0,I62)</f>
        <v>1</v>
      </c>
      <c r="J64" s="400" t="n">
        <f aca="false">IF(I64=0,0,J62)</f>
        <v>1</v>
      </c>
      <c r="K64" s="400" t="n">
        <f aca="false">IF(J64=0,0,K62)</f>
        <v>1</v>
      </c>
      <c r="L64" s="400" t="n">
        <f aca="false">IF(K64=0,0,L62)</f>
        <v>1</v>
      </c>
      <c r="M64" s="400" t="n">
        <f aca="false">IF(L64=0,0,M62)</f>
        <v>1</v>
      </c>
      <c r="N64" s="400" t="n">
        <f aca="false">IF(M64=0,0,N62)</f>
        <v>1</v>
      </c>
      <c r="O64" s="400" t="n">
        <f aca="false">IF(N64=0,0,O62)</f>
        <v>1</v>
      </c>
      <c r="P64" s="400" t="n">
        <f aca="false">IF(O64=0,0,P62)</f>
        <v>1</v>
      </c>
      <c r="Q64" s="400" t="n">
        <f aca="false">IF(P64=0,0,Q62)</f>
        <v>1</v>
      </c>
      <c r="R64" s="400" t="n">
        <f aca="false">IF(Q64=0,0,R62)</f>
        <v>1</v>
      </c>
      <c r="S64" s="400" t="n">
        <f aca="false">IF(R64=0,0,S62)</f>
        <v>1</v>
      </c>
      <c r="T64" s="400" t="n">
        <f aca="false">IF(S64=0,0,T62)</f>
        <v>1</v>
      </c>
      <c r="U64" s="400" t="n">
        <f aca="false">IF(T64=0,0,U62)</f>
        <v>1</v>
      </c>
      <c r="V64" s="400" t="n">
        <f aca="false">IF(U64=0,0,V62)</f>
        <v>1</v>
      </c>
      <c r="W64" s="400" t="n">
        <f aca="false">IF(V64=0,0,W62)</f>
        <v>1</v>
      </c>
      <c r="X64" s="400" t="n">
        <f aca="false">IF(W64=0,0,X62)</f>
        <v>1</v>
      </c>
    </row>
    <row r="65" customFormat="false" ht="12.75" hidden="false" customHeight="false" outlineLevel="0" collapsed="false">
      <c r="A65" s="401" t="s">
        <v>629</v>
      </c>
      <c r="B65" s="401"/>
      <c r="C65" s="401"/>
      <c r="D65" s="401"/>
      <c r="E65" s="402"/>
      <c r="F65" s="402"/>
      <c r="G65" s="402"/>
      <c r="H65" s="402"/>
      <c r="I65" s="402"/>
      <c r="J65" s="402"/>
      <c r="K65" s="402"/>
      <c r="L65" s="402"/>
      <c r="M65" s="402"/>
      <c r="N65" s="402"/>
      <c r="O65" s="402"/>
      <c r="P65" s="402"/>
      <c r="Q65" s="402"/>
      <c r="R65" s="402"/>
      <c r="S65" s="402"/>
      <c r="T65" s="402"/>
      <c r="U65" s="403"/>
      <c r="V65" s="403"/>
      <c r="W65" s="403"/>
      <c r="X65" s="403"/>
      <c r="Y65" s="401"/>
    </row>
    <row r="66" customFormat="false" ht="12.75" hidden="false" customHeight="false" outlineLevel="0" collapsed="false">
      <c r="A66" s="388" t="s">
        <v>489</v>
      </c>
      <c r="B66" s="404" t="n">
        <v>0</v>
      </c>
      <c r="C66" s="404"/>
      <c r="D66" s="388"/>
      <c r="E66" s="397" t="n">
        <f aca="false">IF(E64=1,0,IF(((BS_IS!J15*RAROC!$B$66)-(BS_IS!J23+BS_IS!J24))&lt;0,0,(BS_IS!J15*RAROC!$B$66)-(BS_IS!J23+BS_IS!J24)))</f>
        <v>0</v>
      </c>
      <c r="F66" s="397" t="n">
        <f aca="false">IF(E64=0,0,IF(F64=1,0,IF(((BS_IS!K15*RAROC!$B$66)-(BS_IS!K23+BS_IS!K24))&lt;0,0,(BS_IS!K15*RAROC!$B$66)-(BS_IS!K23+BS_IS!K24))))</f>
        <v>0</v>
      </c>
      <c r="G66" s="397" t="n">
        <f aca="false">IF(F64=0,0,IF(G64=1,0,IF(((BS_IS!L15*RAROC!$B$66)-(BS_IS!L23+BS_IS!L24))&lt;0,0,(BS_IS!L15*RAROC!$B$66)-(BS_IS!L23+BS_IS!L24))))</f>
        <v>0</v>
      </c>
      <c r="H66" s="397" t="n">
        <f aca="false">IF(G64=0,0,IF(H64=1,0,IF(((BS_IS!M15*RAROC!$B$66)-(BS_IS!M23+BS_IS!M24))&lt;0,0,(BS_IS!M15*RAROC!$B$66)-(BS_IS!M23+BS_IS!M24))))</f>
        <v>0</v>
      </c>
      <c r="I66" s="397" t="n">
        <f aca="false">IF(H64=0,0,IF(I64=1,0,IF(((BS_IS!N15*RAROC!$B$66)-(BS_IS!N23+BS_IS!N24))&lt;0,0,(BS_IS!N15*RAROC!$B$66)-(BS_IS!N23+BS_IS!N24))))</f>
        <v>0</v>
      </c>
      <c r="J66" s="397" t="n">
        <f aca="false">IF(I64=0,0,IF(J64=1,0,IF(((BS_IS!O15*RAROC!$B$66)-(BS_IS!O23+BS_IS!O24))&lt;0,0,(BS_IS!O15*RAROC!$B$66)-(BS_IS!O23+BS_IS!O24))))</f>
        <v>0</v>
      </c>
      <c r="K66" s="397" t="n">
        <f aca="false">IF(J64=0,0,IF(K64=1,0,IF(((BS_IS!P15*RAROC!$B$66)-(BS_IS!P23+BS_IS!P24))&lt;0,0,(BS_IS!P15*RAROC!$B$66)-(BS_IS!P23+BS_IS!P24))))</f>
        <v>0</v>
      </c>
      <c r="L66" s="397" t="n">
        <f aca="false">IF(K64=0,0,IF(L64=1,0,IF(((BS_IS!Q15*RAROC!$B$66)-(BS_IS!Q23+BS_IS!Q24))&lt;0,0,(BS_IS!Q15*RAROC!$B$66)-(BS_IS!Q23+BS_IS!Q24))))</f>
        <v>0</v>
      </c>
      <c r="M66" s="397" t="n">
        <f aca="false">IF(L64=0,0,IF(M64=1,0,IF(((BS_IS!R15*RAROC!$B$66)-(BS_IS!R23+BS_IS!R24))&lt;0,0,(BS_IS!R15*RAROC!$B$66)-(BS_IS!R23+BS_IS!R24))))</f>
        <v>0</v>
      </c>
      <c r="N66" s="397" t="n">
        <f aca="false">IF(M64=0,0,IF(N64=1,0,IF(((BS_IS!S15*RAROC!$B$66)-(BS_IS!S23+BS_IS!S24))&lt;0,0,(BS_IS!S15*RAROC!$B$66)-(BS_IS!S23+BS_IS!S24))))</f>
        <v>0</v>
      </c>
      <c r="O66" s="397" t="n">
        <f aca="false">IF(N64=0,0,IF(O64=1,0,IF(((BS_IS!T15*RAROC!$B$66)-(BS_IS!T23+BS_IS!T24))&lt;0,0,(BS_IS!T15*RAROC!$B$66)-(BS_IS!T23+BS_IS!T24))))</f>
        <v>0</v>
      </c>
      <c r="P66" s="397" t="n">
        <f aca="false">IF(O64=0,0,IF(P64=1,0,IF(((BS_IS!U15*RAROC!$B$66)-(BS_IS!U23+BS_IS!U24))&lt;0,0,(BS_IS!U15*RAROC!$B$66)-(BS_IS!U23+BS_IS!U24))))</f>
        <v>0</v>
      </c>
      <c r="Q66" s="397" t="n">
        <f aca="false">IF(P64=0,0,IF(Q64=1,0,IF(((BS_IS!V15*RAROC!$B$66)-(BS_IS!V23+BS_IS!V24))&lt;0,0,(BS_IS!V15*RAROC!$B$66)-(BS_IS!V23+BS_IS!V24))))</f>
        <v>0</v>
      </c>
      <c r="R66" s="397" t="n">
        <f aca="false">IF(Q64=0,0,IF(R64=1,0,IF(((BS_IS!W15*RAROC!$B$66)-(BS_IS!W23+BS_IS!W24))&lt;0,0,(BS_IS!W15*RAROC!$B$66)-(BS_IS!W23+BS_IS!W24))))</f>
        <v>0</v>
      </c>
      <c r="S66" s="397" t="n">
        <f aca="false">IF(R64=0,0,IF(S64=1,0,IF(((BS_IS!X15*RAROC!$B$66)-(BS_IS!X23+BS_IS!X24))&lt;0,0,(BS_IS!X15*RAROC!$B$66)-(BS_IS!X23+BS_IS!X24))))</f>
        <v>0</v>
      </c>
      <c r="T66" s="397" t="n">
        <f aca="false">IF(S64=0,0,IF(T64=1,0,IF(((BS_IS!Y15*RAROC!$B$66)-(BS_IS!Y23+BS_IS!Y24))&lt;0,0,(BS_IS!Y15*RAROC!$B$66)-(BS_IS!Y23+BS_IS!Y24))))</f>
        <v>0</v>
      </c>
      <c r="U66" s="397" t="n">
        <f aca="false">IF(T64=0,0,IF(U64=1,0,IF(((BS_IS!Z15*RAROC!$B$66)-(BS_IS!Z23+BS_IS!Z24))&lt;0,0,(BS_IS!Z15*RAROC!$B$66)-(BS_IS!Z23+BS_IS!Z24))))</f>
        <v>0</v>
      </c>
      <c r="V66" s="397" t="n">
        <f aca="false">IF(U64=0,0,IF(V64=1,0,IF(((BS_IS!AA15*RAROC!$B$66)-(BS_IS!AA23+BS_IS!AA24))&lt;0,0,(BS_IS!AA15*RAROC!$B$66)-(BS_IS!AA23+BS_IS!AA24))))</f>
        <v>0</v>
      </c>
      <c r="W66" s="397" t="n">
        <f aca="false">IF(V64=0,0,IF(W64=1,0,IF(((BS_IS!AB15*RAROC!$B$66)-(BS_IS!AB23+BS_IS!AB24))&lt;0,0,(BS_IS!AB15*RAROC!$B$66)-(BS_IS!AB23+BS_IS!AB24))))</f>
        <v>0</v>
      </c>
      <c r="X66" s="397" t="n">
        <f aca="false">IF(W64=0,0,IF(X64=1,0,IF(((BS_IS!AC15*RAROC!$B$66)-(BS_IS!AC23+BS_IS!AC24))&lt;0,0,(BS_IS!AC15*RAROC!$B$66)-(BS_IS!AC23+BS_IS!AC24))))</f>
        <v>0</v>
      </c>
      <c r="Y66" s="388"/>
    </row>
    <row r="67" customFormat="false" ht="12.75" hidden="false" customHeight="false" outlineLevel="0" collapsed="false">
      <c r="A67" s="388" t="s">
        <v>630</v>
      </c>
      <c r="B67" s="404" t="n">
        <v>0.5</v>
      </c>
      <c r="C67" s="404"/>
      <c r="D67" s="388"/>
      <c r="E67" s="397" t="n">
        <f aca="false">IF(E64=1,0,IF((([5]BS_IS!I15*$B$67)-([5]BS_IS!I22))&lt;0,0,([5]BS_IS!I15*$B$67)-([5]BS_IS!I22)))</f>
        <v>0</v>
      </c>
      <c r="F67" s="397" t="n">
        <f aca="false">IF(E64=0,0,IF(F64=1,0,IF((([5]BS_IS!J15*$B$67)-([5]BS_IS!J22))&lt;0,0,([5]BS_IS!J15*$B$67)-([5]BS_IS!J22))))</f>
        <v>0</v>
      </c>
      <c r="G67" s="397" t="n">
        <f aca="false">IF(F64=0,0,IF(G64=1,0,IF((([5]BS_IS!K15*$B$67)-([5]BS_IS!K22))&lt;0,0,([5]BS_IS!K15*$B$67)-([5]BS_IS!K22))))</f>
        <v>0</v>
      </c>
      <c r="H67" s="397" t="n">
        <f aca="false">IF(G64=0,0,IF(H64=1,0,IF((([5]BS_IS!L15*$B$67)-([5]BS_IS!L22))&lt;0,0,([5]BS_IS!L15*$B$67)-([5]BS_IS!L22))))</f>
        <v>0</v>
      </c>
      <c r="I67" s="397" t="n">
        <f aca="false">IF(H64=0,0,IF(I64=1,0,IF((([5]BS_IS!M15*$B$67)-([5]BS_IS!M22))&lt;0,0,([5]BS_IS!M15*$B$67)-([5]BS_IS!M22))))</f>
        <v>0</v>
      </c>
      <c r="J67" s="397" t="n">
        <f aca="false">IF(I64=0,0,IF(J64=1,0,IF((([5]BS_IS!N15*$B$67)-([5]BS_IS!N22))&lt;0,0,([5]BS_IS!N15*$B$67)-([5]BS_IS!N22))))</f>
        <v>0</v>
      </c>
      <c r="K67" s="397" t="n">
        <f aca="false">IF(J64=0,0,IF(K64=1,0,IF((([5]BS_IS!O15*$B$67)-([5]BS_IS!O22))&lt;0,0,([5]BS_IS!O15*$B$67)-([5]BS_IS!O22))))</f>
        <v>0</v>
      </c>
      <c r="L67" s="397" t="n">
        <f aca="false">IF(K64=0,0,IF(L64=1,0,IF((([5]BS_IS!P15*$B$67)-([5]BS_IS!P22))&lt;0,0,([5]BS_IS!P15*$B$67)-([5]BS_IS!P22))))</f>
        <v>0</v>
      </c>
      <c r="M67" s="397" t="n">
        <f aca="false">IF(L64=0,0,IF(M64=1,0,IF((([5]BS_IS!Q15*$B$67)-([5]BS_IS!Q22))&lt;0,0,([5]BS_IS!Q15*$B$67)-([5]BS_IS!Q22))))</f>
        <v>0</v>
      </c>
      <c r="N67" s="397" t="n">
        <f aca="false">IF(M64=0,0,IF(N64=1,0,IF((([5]BS_IS!R15*$B$67)-([5]BS_IS!R22))&lt;0,0,([5]BS_IS!R15*$B$67)-([5]BS_IS!R22))))</f>
        <v>0</v>
      </c>
      <c r="O67" s="397" t="n">
        <f aca="false">IF(N64=0,0,IF(O64=1,0,IF((([5]BS_IS!S15*$B$67)-([5]BS_IS!S22))&lt;0,0,([5]BS_IS!S15*$B$67)-([5]BS_IS!S22))))</f>
        <v>0</v>
      </c>
      <c r="P67" s="397" t="n">
        <f aca="false">IF(O64=0,0,IF(P64=1,0,IF((([5]BS_IS!T15*$B$67)-([5]BS_IS!T22))&lt;0,0,([5]BS_IS!T15*$B$67)-([5]BS_IS!T22))))</f>
        <v>0</v>
      </c>
      <c r="Q67" s="397" t="n">
        <f aca="false">IF(P64=0,0,IF(Q64=1,0,IF((([5]BS_IS!U15*$B$67)-([5]BS_IS!U22))&lt;0,0,([5]BS_IS!U15*$B$67)-([5]BS_IS!U22))))</f>
        <v>0</v>
      </c>
      <c r="R67" s="397" t="n">
        <f aca="false">IF(Q64=0,0,IF(R64=1,0,IF((([5]BS_IS!V15*$B$67)-([5]BS_IS!V22))&lt;0,0,([5]BS_IS!V15*$B$67)-([5]BS_IS!V22))))</f>
        <v>0</v>
      </c>
      <c r="S67" s="397" t="n">
        <f aca="false">IF(R64=0,0,IF(S64=1,0,IF((([5]BS_IS!W15*$B$67)-([5]BS_IS!W22))&lt;0,0,([5]BS_IS!W15*$B$67)-([5]BS_IS!W22))))</f>
        <v>0</v>
      </c>
      <c r="T67" s="397" t="n">
        <f aca="false">IF(S64=0,0,IF(T64=1,0,IF((([5]BS_IS!X15*$B$67)-([5]BS_IS!X22))&lt;0,0,([5]BS_IS!X15*$B$67)-([5]BS_IS!X22))))</f>
        <v>0</v>
      </c>
      <c r="U67" s="397" t="n">
        <f aca="false">IF(T64=0,0,IF(U64=1,0,IF((([5]BS_IS!Y15*$B$67)-([5]BS_IS!Y22))&lt;0,0,([5]BS_IS!Y15*$B$67)-([5]BS_IS!Y22))))</f>
        <v>0</v>
      </c>
      <c r="V67" s="397" t="n">
        <f aca="false">IF(U64=0,0,IF(V64=1,0,IF((([5]BS_IS!Z15*$B$67)-([5]BS_IS!Z22))&lt;0,0,([5]BS_IS!Z15*$B$67)-([5]BS_IS!Z22))))</f>
        <v>0</v>
      </c>
      <c r="W67" s="397" t="n">
        <f aca="false">IF(V64=0,0,IF(W64=1,0,IF((([5]BS_IS!AA15*$B$67)-([5]BS_IS!AA22))&lt;0,0,([5]BS_IS!AA15*$B$67)-([5]BS_IS!AA22))))</f>
        <v>0</v>
      </c>
      <c r="X67" s="397" t="n">
        <f aca="false">IF(W64=0,0,IF(X64=1,0,IF((([5]BS_IS!AB15*$B$67)-([5]BS_IS!AB22))&lt;0,0,([5]BS_IS!AB15*$B$67)-([5]BS_IS!AB22))))</f>
        <v>0</v>
      </c>
      <c r="Y67" s="388"/>
    </row>
    <row r="68" customFormat="false" ht="12.75" hidden="false" customHeight="false" outlineLevel="0" collapsed="false">
      <c r="A68" s="388" t="s">
        <v>491</v>
      </c>
      <c r="B68" s="404" t="n">
        <v>0.5</v>
      </c>
      <c r="C68" s="404"/>
      <c r="D68" s="388"/>
      <c r="E68" s="397" t="n">
        <f aca="false">IF(E64=1,0,IF((([5]BS_IS!I20*$B$67)-([5]BS_IS!I27))&lt;0,0,([5]BS_IS!I20*$B$67)-([5]BS_IS!I27)))</f>
        <v>0</v>
      </c>
      <c r="F68" s="397" t="n">
        <f aca="false">IF(E64=0,0,IF(F64=1,0,IF((([5]BS_IS!J20*$B$67)-([5]BS_IS!J27))&lt;0,0,([5]BS_IS!J20*$B$67)-([5]BS_IS!J27))))</f>
        <v>0</v>
      </c>
      <c r="G68" s="397" t="n">
        <f aca="false">IF(F64=0,0,IF(G64=1,0,IF((([5]BS_IS!K20*$B$67)-([5]BS_IS!K27))&lt;0,0,([5]BS_IS!K20*$B$67)-([5]BS_IS!K27))))</f>
        <v>0</v>
      </c>
      <c r="H68" s="397" t="n">
        <f aca="false">IF(G64=0,0,IF(H64=1,0,IF((([5]BS_IS!L20*$B$67)-([5]BS_IS!L27))&lt;0,0,([5]BS_IS!L20*$B$67)-([5]BS_IS!L27))))</f>
        <v>0</v>
      </c>
      <c r="I68" s="397" t="n">
        <f aca="false">IF(H64=0,0,IF(I64=1,0,IF((([5]BS_IS!M20*$B$67)-([5]BS_IS!M27))&lt;0,0,([5]BS_IS!M20*$B$67)-([5]BS_IS!M27))))</f>
        <v>0</v>
      </c>
      <c r="J68" s="397" t="n">
        <f aca="false">IF(I64=0,0,IF(J64=1,0,IF((([5]BS_IS!N20*$B$67)-([5]BS_IS!N27))&lt;0,0,([5]BS_IS!N20*$B$67)-([5]BS_IS!N27))))</f>
        <v>0</v>
      </c>
      <c r="K68" s="397" t="n">
        <f aca="false">IF(J64=0,0,IF(K64=1,0,IF((([5]BS_IS!O20*$B$67)-([5]BS_IS!O27))&lt;0,0,([5]BS_IS!O20*$B$67)-([5]BS_IS!O27))))</f>
        <v>0</v>
      </c>
      <c r="L68" s="397" t="n">
        <f aca="false">IF(K64=0,0,IF(L64=1,0,IF((([5]BS_IS!P20*$B$67)-([5]BS_IS!P27))&lt;0,0,([5]BS_IS!P20*$B$67)-([5]BS_IS!P27))))</f>
        <v>0</v>
      </c>
      <c r="M68" s="397" t="n">
        <f aca="false">IF(L64=0,0,IF(M64=1,0,IF((([5]BS_IS!Q20*$B$67)-([5]BS_IS!Q27))&lt;0,0,([5]BS_IS!Q20*$B$67)-([5]BS_IS!Q27))))</f>
        <v>0</v>
      </c>
      <c r="N68" s="397" t="n">
        <f aca="false">IF(M64=0,0,IF(N64=1,0,IF((([5]BS_IS!R20*$B$67)-([5]BS_IS!R27))&lt;0,0,([5]BS_IS!R20*$B$67)-([5]BS_IS!R27))))</f>
        <v>0</v>
      </c>
      <c r="O68" s="397" t="n">
        <f aca="false">IF(N64=0,0,IF(O64=1,0,IF((([5]BS_IS!S20*$B$67)-([5]BS_IS!S27))&lt;0,0,([5]BS_IS!S20*$B$67)-([5]BS_IS!S27))))</f>
        <v>0</v>
      </c>
      <c r="P68" s="397" t="n">
        <f aca="false">IF(O64=0,0,IF(P64=1,0,IF((([5]BS_IS!T20*$B$67)-([5]BS_IS!T27))&lt;0,0,([5]BS_IS!T20*$B$67)-([5]BS_IS!T27))))</f>
        <v>0</v>
      </c>
      <c r="Q68" s="397" t="n">
        <f aca="false">IF(P64=0,0,IF(Q64=1,0,IF((([5]BS_IS!U20*$B$67)-([5]BS_IS!U27))&lt;0,0,([5]BS_IS!U20*$B$67)-([5]BS_IS!U27))))</f>
        <v>0</v>
      </c>
      <c r="R68" s="397" t="n">
        <f aca="false">IF(Q64=0,0,IF(R64=1,0,IF((([5]BS_IS!V20*$B$67)-([5]BS_IS!V27))&lt;0,0,([5]BS_IS!V20*$B$67)-([5]BS_IS!V27))))</f>
        <v>0</v>
      </c>
      <c r="S68" s="397" t="n">
        <f aca="false">IF(R64=0,0,IF(S64=1,0,IF((([5]BS_IS!W20*$B$67)-([5]BS_IS!W27))&lt;0,0,([5]BS_IS!W20*$B$67)-([5]BS_IS!W27))))</f>
        <v>0</v>
      </c>
      <c r="T68" s="397" t="n">
        <f aca="false">IF(S64=0,0,IF(T64=1,0,IF((([5]BS_IS!X20*$B$67)-([5]BS_IS!X27))&lt;0,0,([5]BS_IS!X20*$B$67)-([5]BS_IS!X27))))</f>
        <v>0</v>
      </c>
      <c r="U68" s="397" t="n">
        <f aca="false">IF(T64=0,0,IF(U64=1,0,IF((([5]BS_IS!Y20*$B$67)-([5]BS_IS!Y27))&lt;0,0,([5]BS_IS!Y20*$B$67)-([5]BS_IS!Y27))))</f>
        <v>0</v>
      </c>
      <c r="V68" s="397" t="n">
        <f aca="false">IF(U64=0,0,IF(V64=1,0,IF((([5]BS_IS!Z20*$B$67)-([5]BS_IS!Z27))&lt;0,0,([5]BS_IS!Z20*$B$67)-([5]BS_IS!Z27))))</f>
        <v>0</v>
      </c>
      <c r="W68" s="397" t="n">
        <f aca="false">IF(V64=0,0,IF(W64=1,0,IF((([5]BS_IS!AA20*$B$67)-([5]BS_IS!AA27))&lt;0,0,([5]BS_IS!AA20*$B$67)-([5]BS_IS!AA27))))</f>
        <v>0</v>
      </c>
      <c r="X68" s="397" t="n">
        <f aca="false">IF(W64=0,0,IF(X64=1,0,IF((([5]BS_IS!AB20*$B$67)-([5]BS_IS!AB27))&lt;0,0,([5]BS_IS!AB20*$B$67)-([5]BS_IS!AB27))))</f>
        <v>0</v>
      </c>
      <c r="Y68" s="388"/>
    </row>
    <row r="69" customFormat="false" ht="12.75" hidden="false" customHeight="false" outlineLevel="0" collapsed="false">
      <c r="A69" s="405" t="s">
        <v>492</v>
      </c>
      <c r="B69" s="406" t="n">
        <v>0</v>
      </c>
      <c r="C69" s="406"/>
      <c r="D69" s="405"/>
      <c r="E69" s="407" t="n">
        <f aca="false">IF(E64=1,0,[7]Returns!G25*$B$69)</f>
        <v>0</v>
      </c>
      <c r="F69" s="407" t="n">
        <f aca="false">IF(E64=0,0,IF(F64=1,0,[7]Returns!H25*$B$69))</f>
        <v>0</v>
      </c>
      <c r="G69" s="407" t="n">
        <f aca="false">IF(F64=0,0,IF(G64=1,0,[7]Returns!I25*$B$69))</f>
        <v>0</v>
      </c>
      <c r="H69" s="407" t="n">
        <f aca="false">IF(G64=0,0,IF(H64=1,0,[7]Returns!J25*$B$69))</f>
        <v>0</v>
      </c>
      <c r="I69" s="407" t="n">
        <f aca="false">IF(H64=0,0,IF(I64=1,0,[7]Returns!K25*$B$69))</f>
        <v>0</v>
      </c>
      <c r="J69" s="407" t="n">
        <f aca="false">IF(I64=0,0,IF(J64=1,0,[7]Returns!L25*$B$69))</f>
        <v>0</v>
      </c>
      <c r="K69" s="407" t="n">
        <f aca="false">IF(J64=0,0,IF(K64=1,0,[7]Returns!M25*$B$69))</f>
        <v>0</v>
      </c>
      <c r="L69" s="407" t="n">
        <f aca="false">IF(K64=0,0,IF(L64=1,0,[7]Returns!N25*$B$69))</f>
        <v>0</v>
      </c>
      <c r="M69" s="407" t="n">
        <f aca="false">IF(L64=0,0,IF(M64=1,0,[7]Returns!O25*$B$69))</f>
        <v>0</v>
      </c>
      <c r="N69" s="407" t="n">
        <f aca="false">IF(M64=0,0,IF(N64=1,0,[7]Returns!P25*$B$69))</f>
        <v>0</v>
      </c>
      <c r="O69" s="407" t="n">
        <f aca="false">IF(N64=0,0,IF(O64=1,0,[7]Returns!Q25*$B$69))</f>
        <v>0</v>
      </c>
      <c r="P69" s="407" t="n">
        <f aca="false">IF(O64=0,0,IF(P64=1,0,[7]Returns!R25*$B$69))</f>
        <v>0</v>
      </c>
      <c r="Q69" s="407" t="n">
        <f aca="false">IF(P64=0,0,IF(Q64=1,0,[7]Returns!S25*$B$69))</f>
        <v>0</v>
      </c>
      <c r="R69" s="407" t="n">
        <f aca="false">IF(Q64=0,0,IF(R64=1,0,[7]Returns!T25*$B$69))</f>
        <v>0</v>
      </c>
      <c r="S69" s="407" t="n">
        <f aca="false">IF(R64=0,0,IF(S64=1,0,[7]Returns!U25*$B$69))</f>
        <v>0</v>
      </c>
      <c r="T69" s="407" t="n">
        <f aca="false">IF(S64=0,0,IF(T64=1,0,[7]Returns!V25*$B$69))</f>
        <v>0</v>
      </c>
      <c r="U69" s="407" t="n">
        <f aca="false">IF(T64=0,0,IF(U64=1,0,[7]Returns!W25*$B$69))</f>
        <v>0</v>
      </c>
      <c r="V69" s="407" t="n">
        <f aca="false">IF(U64=0,0,IF(V64=1,0,[7]Returns!X25*$B$69))</f>
        <v>0</v>
      </c>
      <c r="W69" s="407" t="n">
        <f aca="false">IF(V64=0,0,IF(W64=1,0,[7]Returns!Y25*$B$69))</f>
        <v>0</v>
      </c>
      <c r="X69" s="407" t="n">
        <f aca="false">IF(W64=0,0,IF(X64=1,0,[7]Returns!Z25*$B$69))</f>
        <v>0</v>
      </c>
      <c r="Y69" s="405"/>
    </row>
    <row r="70" customFormat="false" ht="12.75" hidden="false" customHeight="false" outlineLevel="0" collapsed="false">
      <c r="A70" s="388"/>
      <c r="B70" s="404"/>
      <c r="C70" s="404"/>
      <c r="D70" s="388"/>
      <c r="E70" s="397"/>
      <c r="F70" s="397"/>
      <c r="G70" s="397"/>
      <c r="H70" s="397"/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7"/>
      <c r="T70" s="397"/>
      <c r="U70" s="397"/>
      <c r="V70" s="397"/>
      <c r="W70" s="397"/>
      <c r="X70" s="397"/>
      <c r="Y70" s="388"/>
    </row>
    <row r="71" customFormat="false" ht="12.75" hidden="false" customHeight="false" outlineLevel="0" collapsed="false">
      <c r="A71" s="388"/>
      <c r="B71" s="388"/>
      <c r="C71" s="388"/>
      <c r="D71" s="388"/>
      <c r="E71" s="388"/>
      <c r="F71" s="388"/>
      <c r="G71" s="388"/>
      <c r="H71" s="388"/>
      <c r="I71" s="388"/>
      <c r="J71" s="388"/>
      <c r="K71" s="388"/>
      <c r="L71" s="388"/>
      <c r="M71" s="388"/>
      <c r="N71" s="388"/>
      <c r="O71" s="388"/>
      <c r="P71" s="388"/>
      <c r="Q71" s="388"/>
      <c r="R71" s="388"/>
      <c r="S71" s="388"/>
      <c r="T71" s="388"/>
      <c r="U71" s="388"/>
      <c r="V71" s="388"/>
      <c r="W71" s="388"/>
      <c r="X71" s="388"/>
      <c r="Y71" s="388"/>
    </row>
    <row r="72" customFormat="false" ht="38.25" hidden="false" customHeight="false" outlineLevel="0" collapsed="false">
      <c r="A72" s="408" t="s">
        <v>631</v>
      </c>
      <c r="B72" s="404"/>
      <c r="C72" s="394" t="n">
        <f aca="false">CF!D73</f>
        <v>0</v>
      </c>
      <c r="D72" s="409" t="n">
        <f aca="false">CF!E73+[5]CF!E73+[6]CF!E71+[7]Cashflow!E38</f>
        <v>-1978.50807527969</v>
      </c>
      <c r="E72" s="395" t="n">
        <f aca="false">CF!F73+[5]CF!F73+[6]CF!F71+[7]Cashflow!F38</f>
        <v>1876.88559989933</v>
      </c>
      <c r="F72" s="395" t="n">
        <f aca="false">CF!G73+[5]CF!G73+[6]CF!G71+[7]Cashflow!G38</f>
        <v>22465.7487355571</v>
      </c>
      <c r="G72" s="395" t="n">
        <f aca="false">CF!H73+[5]CF!H73+[6]CF!H71+[7]Cashflow!H38</f>
        <v>3032.06515436658</v>
      </c>
      <c r="H72" s="395" t="n">
        <f aca="false">CF!I73+[5]CF!I73+[6]CF!I71+[7]Cashflow!I38</f>
        <v>4054.24675704815</v>
      </c>
      <c r="I72" s="409" t="n">
        <f aca="false">CF!J73+[5]CF!J73+[6]CF!J71+[7]Cashflow!J38</f>
        <v>-3591.74926162289</v>
      </c>
      <c r="J72" s="395" t="n">
        <f aca="false">CF!K73+[5]CF!K73+[6]CF!K71+[7]Cashflow!K38</f>
        <v>7665.24254846484</v>
      </c>
      <c r="K72" s="395" t="n">
        <f aca="false">CF!L73+[5]CF!L73+[6]CF!L71+[7]Cashflow!L38</f>
        <v>12258.8858237096</v>
      </c>
      <c r="L72" s="395" t="n">
        <f aca="false">CF!M73+[5]CF!M73+[6]CF!M71+[7]Cashflow!M38</f>
        <v>12105.5673833223</v>
      </c>
      <c r="M72" s="395" t="n">
        <f aca="false">CF!N73+[5]CF!N73+[6]CF!N71+[7]Cashflow!N38</f>
        <v>18675.8043240888</v>
      </c>
      <c r="N72" s="395" t="n">
        <f aca="false">CF!O73+[5]CF!O73+[6]CF!O71+[7]Cashflow!O38</f>
        <v>27930.8304182153</v>
      </c>
      <c r="O72" s="395" t="n">
        <f aca="false">CF!P73+[5]CF!P73+[6]CF!P71+[7]Cashflow!P38</f>
        <v>29868.0829266936</v>
      </c>
      <c r="P72" s="395" t="n">
        <f aca="false">CF!Q73+[5]CF!Q73+[6]CF!Q71+[7]Cashflow!Q38</f>
        <v>24139.6510769851</v>
      </c>
      <c r="Q72" s="395" t="n">
        <f aca="false">CF!R73+[5]CF!R73+[6]CF!R71+[7]Cashflow!R38</f>
        <v>20676.1710763619</v>
      </c>
      <c r="R72" s="395" t="n">
        <f aca="false">CF!S73+[5]CF!S73+[6]CF!S71+[7]Cashflow!S38</f>
        <v>37844.5356635203</v>
      </c>
      <c r="S72" s="395" t="n">
        <f aca="false">CF!T73+[5]CF!T73+[6]CF!T71+[7]Cashflow!T38</f>
        <v>33033.5388090461</v>
      </c>
      <c r="T72" s="395" t="n">
        <f aca="false">CF!U73+[5]CF!U73+[6]CF!U71+[7]Cashflow!U38</f>
        <v>31620.0916928963</v>
      </c>
      <c r="U72" s="395" t="n">
        <f aca="false">CF!V73+[5]CF!V73+[6]CF!V71+[7]Cashflow!V38</f>
        <v>51862.2035576666</v>
      </c>
      <c r="V72" s="395" t="n">
        <f aca="false">CF!W73+[5]CF!W73+[6]CF!W71+[7]Cashflow!W38</f>
        <v>51942.457560641</v>
      </c>
      <c r="W72" s="395" t="n">
        <f aca="false">CF!X73+[5]CF!X73+[6]CF!X71+[7]Cashflow!X38</f>
        <v>55479.4166391947</v>
      </c>
      <c r="X72" s="395" t="n">
        <f aca="false">CF!Y73+[5]CF!Y73+[6]CF!Y71+[7]Cashflow!Y38</f>
        <v>23966.836513508</v>
      </c>
      <c r="Y72" s="388"/>
    </row>
    <row r="73" customFormat="false" ht="12.75" hidden="true" customHeight="false" outlineLevel="0" collapsed="false">
      <c r="A73" s="410"/>
      <c r="B73" s="395" t="s">
        <v>632</v>
      </c>
      <c r="C73" s="395" t="s">
        <v>633</v>
      </c>
      <c r="D73" s="395" t="s">
        <v>634</v>
      </c>
      <c r="E73" s="395" t="s">
        <v>635</v>
      </c>
      <c r="F73" s="395" t="s">
        <v>636</v>
      </c>
      <c r="G73" s="395" t="s">
        <v>637</v>
      </c>
      <c r="H73" s="395" t="s">
        <v>638</v>
      </c>
      <c r="I73" s="395" t="s">
        <v>639</v>
      </c>
      <c r="J73" s="395" t="s">
        <v>640</v>
      </c>
      <c r="K73" s="395" t="s">
        <v>641</v>
      </c>
      <c r="L73" s="395" t="s">
        <v>642</v>
      </c>
      <c r="M73" s="395" t="s">
        <v>643</v>
      </c>
      <c r="N73" s="395" t="s">
        <v>644</v>
      </c>
      <c r="O73" s="395" t="s">
        <v>645</v>
      </c>
      <c r="P73" s="395" t="s">
        <v>646</v>
      </c>
      <c r="Q73" s="395" t="s">
        <v>647</v>
      </c>
      <c r="R73" s="395" t="s">
        <v>648</v>
      </c>
      <c r="S73" s="395" t="s">
        <v>649</v>
      </c>
      <c r="T73" s="395" t="s">
        <v>650</v>
      </c>
      <c r="U73" s="395" t="s">
        <v>651</v>
      </c>
      <c r="V73" s="395" t="s">
        <v>652</v>
      </c>
      <c r="W73" s="395" t="s">
        <v>653</v>
      </c>
      <c r="X73" s="395" t="s">
        <v>654</v>
      </c>
      <c r="Y73" s="335"/>
    </row>
    <row r="74" customFormat="false" ht="12.75" hidden="false" customHeight="false" outlineLevel="0" collapsed="false">
      <c r="A74" s="388"/>
      <c r="B74" s="411" t="n">
        <f aca="false">IF(B72&lt;0,0,1)</f>
        <v>1</v>
      </c>
      <c r="C74" s="411" t="n">
        <f aca="false">IF(C72&lt;0,0,1)</f>
        <v>1</v>
      </c>
      <c r="D74" s="411" t="n">
        <f aca="false">IF(D72&lt;0,0,1)</f>
        <v>0</v>
      </c>
      <c r="E74" s="412" t="n">
        <f aca="false">IF(E72&lt;0,0,1)</f>
        <v>1</v>
      </c>
      <c r="F74" s="412" t="n">
        <f aca="false">IF(F72&lt;0,0,1)</f>
        <v>1</v>
      </c>
      <c r="G74" s="412" t="n">
        <f aca="false">IF(G72&lt;0,0,1)</f>
        <v>1</v>
      </c>
      <c r="H74" s="412" t="n">
        <f aca="false">IF(H72&lt;0,0,1)</f>
        <v>1</v>
      </c>
      <c r="I74" s="412" t="n">
        <f aca="false">IF(I72&lt;0,0,1)</f>
        <v>0</v>
      </c>
      <c r="J74" s="412" t="n">
        <f aca="false">IF(J72&lt;0,0,1)</f>
        <v>1</v>
      </c>
      <c r="K74" s="412" t="n">
        <f aca="false">IF(K72&lt;0,0,1)</f>
        <v>1</v>
      </c>
      <c r="L74" s="412" t="n">
        <f aca="false">IF(L72&lt;0,0,1)</f>
        <v>1</v>
      </c>
      <c r="M74" s="412" t="n">
        <f aca="false">IF(M72&lt;0,0,1)</f>
        <v>1</v>
      </c>
      <c r="N74" s="412" t="n">
        <f aca="false">IF(N72&lt;0,0,1)</f>
        <v>1</v>
      </c>
      <c r="O74" s="412" t="n">
        <f aca="false">IF(O72&lt;0,0,1)</f>
        <v>1</v>
      </c>
      <c r="P74" s="412" t="n">
        <f aca="false">IF(P72&lt;0,0,1)</f>
        <v>1</v>
      </c>
      <c r="Q74" s="412" t="n">
        <f aca="false">IF(Q72&lt;0,0,1)</f>
        <v>1</v>
      </c>
      <c r="R74" s="412" t="n">
        <f aca="false">IF(R72&lt;0,0,1)</f>
        <v>1</v>
      </c>
      <c r="S74" s="412" t="n">
        <f aca="false">IF(S72&lt;0,0,1)</f>
        <v>1</v>
      </c>
      <c r="T74" s="412" t="n">
        <f aca="false">IF(T72&lt;0,0,1)</f>
        <v>1</v>
      </c>
      <c r="U74" s="412" t="n">
        <f aca="false">IF(U72&lt;0,0,1)</f>
        <v>1</v>
      </c>
      <c r="V74" s="412" t="n">
        <f aca="false">IF(V72&lt;0,0,1)</f>
        <v>1</v>
      </c>
      <c r="W74" s="412" t="n">
        <f aca="false">IF(W72&lt;0,0,1)</f>
        <v>1</v>
      </c>
      <c r="X74" s="412" t="n">
        <f aca="false">IF(X72&lt;0,0,1)</f>
        <v>1</v>
      </c>
      <c r="Y74" s="388"/>
    </row>
    <row r="76" customFormat="false" ht="13.5" hidden="false" customHeight="false" outlineLevel="0" collapsed="false">
      <c r="A76" s="372" t="s">
        <v>655</v>
      </c>
      <c r="B76" s="373"/>
      <c r="C76" s="413" t="n">
        <f aca="false">+C59</f>
        <v>36160</v>
      </c>
      <c r="D76" s="413" t="n">
        <f aca="false">+D59</f>
        <v>36525</v>
      </c>
      <c r="E76" s="413" t="n">
        <f aca="false">+E59</f>
        <v>36891</v>
      </c>
      <c r="F76" s="413" t="n">
        <f aca="false">+F59</f>
        <v>37256</v>
      </c>
      <c r="G76" s="413" t="n">
        <f aca="false">+G59</f>
        <v>37621</v>
      </c>
      <c r="H76" s="413" t="n">
        <f aca="false">+H59</f>
        <v>37986</v>
      </c>
      <c r="I76" s="413" t="n">
        <f aca="false">+I59</f>
        <v>38352</v>
      </c>
      <c r="J76" s="413" t="n">
        <f aca="false">+J59</f>
        <v>38717</v>
      </c>
      <c r="K76" s="413" t="n">
        <f aca="false">+K59</f>
        <v>39082</v>
      </c>
      <c r="L76" s="413" t="n">
        <f aca="false">+L59</f>
        <v>39447</v>
      </c>
      <c r="M76" s="413" t="n">
        <f aca="false">+M59</f>
        <v>39813</v>
      </c>
      <c r="N76" s="413" t="n">
        <f aca="false">+N59</f>
        <v>40178</v>
      </c>
      <c r="O76" s="413" t="n">
        <f aca="false">+O59</f>
        <v>40543</v>
      </c>
      <c r="P76" s="413" t="n">
        <f aca="false">+P59</f>
        <v>40908</v>
      </c>
      <c r="Q76" s="413" t="n">
        <f aca="false">+Q59</f>
        <v>41274</v>
      </c>
      <c r="R76" s="413" t="n">
        <f aca="false">+R59</f>
        <v>41639</v>
      </c>
      <c r="S76" s="413" t="n">
        <f aca="false">+S59</f>
        <v>42004</v>
      </c>
      <c r="T76" s="413" t="n">
        <f aca="false">+T59</f>
        <v>42369</v>
      </c>
      <c r="U76" s="413" t="n">
        <f aca="false">+U59</f>
        <v>42735</v>
      </c>
      <c r="V76" s="413" t="n">
        <f aca="false">+V59</f>
        <v>43100</v>
      </c>
      <c r="W76" s="413" t="n">
        <f aca="false">+W59</f>
        <v>43465</v>
      </c>
      <c r="X76" s="413" t="n">
        <f aca="false">+X59</f>
        <v>43830</v>
      </c>
      <c r="Y76" s="373"/>
    </row>
    <row r="77" customFormat="false" ht="12.75" hidden="false" customHeight="false" outlineLevel="0" collapsed="false">
      <c r="A77" s="414" t="s">
        <v>656</v>
      </c>
      <c r="B77" s="415" t="s">
        <v>657</v>
      </c>
      <c r="C77" s="415"/>
    </row>
    <row r="78" customFormat="false" ht="12.75" hidden="false" customHeight="false" outlineLevel="0" collapsed="false">
      <c r="A78" s="0" t="s">
        <v>658</v>
      </c>
      <c r="D78" s="416" t="n">
        <v>1</v>
      </c>
    </row>
    <row r="79" customFormat="false" ht="12.75" hidden="false" customHeight="false" outlineLevel="0" collapsed="false">
      <c r="A79" s="0" t="s">
        <v>659</v>
      </c>
      <c r="D79" s="377" t="n">
        <v>1</v>
      </c>
    </row>
    <row r="80" customFormat="false" ht="12.75" hidden="false" customHeight="false" outlineLevel="0" collapsed="false">
      <c r="A80" s="0" t="s">
        <v>660</v>
      </c>
      <c r="D80" s="417" t="n">
        <f aca="false">10%/3</f>
        <v>0.0333333333333333</v>
      </c>
    </row>
    <row r="81" customFormat="false" ht="12.75" hidden="false" customHeight="false" outlineLevel="0" collapsed="false">
      <c r="D81" s="335"/>
    </row>
    <row r="82" customFormat="false" ht="12.75" hidden="false" customHeight="false" outlineLevel="0" collapsed="false">
      <c r="A82" s="414" t="s">
        <v>661</v>
      </c>
      <c r="B82" s="415" t="s">
        <v>662</v>
      </c>
      <c r="C82" s="415"/>
    </row>
    <row r="83" customFormat="false" ht="12.75" hidden="false" customHeight="false" outlineLevel="0" collapsed="false">
      <c r="A83" s="1" t="s">
        <v>658</v>
      </c>
      <c r="C83" s="377" t="n">
        <v>1</v>
      </c>
      <c r="D83" s="377" t="n">
        <v>1</v>
      </c>
      <c r="E83" s="416" t="n">
        <v>1</v>
      </c>
      <c r="F83" s="416" t="n">
        <v>1</v>
      </c>
      <c r="G83" s="416" t="n">
        <v>1</v>
      </c>
      <c r="H83" s="416" t="n">
        <v>1</v>
      </c>
      <c r="I83" s="416" t="n">
        <v>1.2</v>
      </c>
      <c r="J83" s="416" t="n">
        <v>1</v>
      </c>
      <c r="K83" s="416" t="n">
        <v>1</v>
      </c>
      <c r="L83" s="416" t="n">
        <v>1</v>
      </c>
      <c r="M83" s="416" t="n">
        <v>1</v>
      </c>
      <c r="N83" s="416" t="n">
        <v>1</v>
      </c>
      <c r="O83" s="416" t="n">
        <v>1</v>
      </c>
      <c r="P83" s="416" t="n">
        <v>1</v>
      </c>
      <c r="Q83" s="416" t="n">
        <v>1</v>
      </c>
      <c r="R83" s="416" t="n">
        <v>1</v>
      </c>
      <c r="S83" s="416" t="n">
        <v>1</v>
      </c>
      <c r="T83" s="416" t="n">
        <v>1</v>
      </c>
      <c r="U83" s="416" t="n">
        <v>1</v>
      </c>
      <c r="V83" s="416" t="n">
        <v>1</v>
      </c>
      <c r="W83" s="416" t="n">
        <v>1</v>
      </c>
      <c r="X83" s="416" t="n">
        <v>1</v>
      </c>
    </row>
    <row r="84" customFormat="false" ht="12.75" hidden="false" customHeight="false" outlineLevel="0" collapsed="false">
      <c r="A84" s="0" t="s">
        <v>663</v>
      </c>
      <c r="B84" s="415"/>
      <c r="C84" s="418"/>
      <c r="D84" s="418"/>
      <c r="E84" s="418" t="n">
        <v>1</v>
      </c>
      <c r="F84" s="418" t="n">
        <v>1</v>
      </c>
      <c r="G84" s="418" t="n">
        <v>1</v>
      </c>
      <c r="H84" s="418" t="n">
        <v>1</v>
      </c>
      <c r="I84" s="418" t="n">
        <v>1</v>
      </c>
      <c r="J84" s="418" t="n">
        <v>1</v>
      </c>
      <c r="K84" s="418" t="n">
        <v>1</v>
      </c>
      <c r="L84" s="418" t="n">
        <v>1</v>
      </c>
      <c r="M84" s="418" t="n">
        <v>1</v>
      </c>
      <c r="N84" s="418" t="n">
        <v>1</v>
      </c>
      <c r="O84" s="418" t="n">
        <v>1</v>
      </c>
      <c r="P84" s="418" t="n">
        <v>1</v>
      </c>
      <c r="Q84" s="418" t="n">
        <v>1</v>
      </c>
      <c r="R84" s="418" t="n">
        <v>1</v>
      </c>
      <c r="S84" s="418" t="n">
        <v>1</v>
      </c>
      <c r="T84" s="418" t="n">
        <v>1</v>
      </c>
      <c r="U84" s="418" t="n">
        <v>1</v>
      </c>
      <c r="V84" s="418" t="n">
        <v>1</v>
      </c>
      <c r="W84" s="418" t="n">
        <v>1</v>
      </c>
      <c r="X84" s="418" t="n">
        <v>1</v>
      </c>
    </row>
    <row r="85" customFormat="false" ht="12.75" hidden="false" customHeight="false" outlineLevel="0" collapsed="false">
      <c r="A85" s="0" t="s">
        <v>664</v>
      </c>
      <c r="B85" s="350"/>
      <c r="C85" s="418"/>
      <c r="D85" s="418"/>
      <c r="E85" s="418" t="n">
        <f aca="false">+$B$86</f>
        <v>0.06</v>
      </c>
      <c r="F85" s="418" t="n">
        <f aca="false">+$B$86</f>
        <v>0.06</v>
      </c>
      <c r="G85" s="418" t="n">
        <f aca="false">+$B$86</f>
        <v>0.06</v>
      </c>
      <c r="H85" s="418" t="n">
        <f aca="false">+$B$86</f>
        <v>0.06</v>
      </c>
      <c r="I85" s="418" t="n">
        <f aca="false">+$B$86</f>
        <v>0.06</v>
      </c>
      <c r="J85" s="418" t="n">
        <f aca="false">+$B$86</f>
        <v>0.06</v>
      </c>
      <c r="K85" s="418" t="n">
        <f aca="false">+$B$86</f>
        <v>0.06</v>
      </c>
      <c r="L85" s="418" t="n">
        <f aca="false">+$B$86</f>
        <v>0.06</v>
      </c>
      <c r="M85" s="418" t="n">
        <f aca="false">+$B$86</f>
        <v>0.06</v>
      </c>
      <c r="N85" s="418" t="n">
        <f aca="false">+$B$86</f>
        <v>0.06</v>
      </c>
      <c r="O85" s="418" t="n">
        <f aca="false">+$B$86</f>
        <v>0.06</v>
      </c>
      <c r="P85" s="418" t="n">
        <f aca="false">+$B$86</f>
        <v>0.06</v>
      </c>
      <c r="Q85" s="418" t="n">
        <f aca="false">+$B$86</f>
        <v>0.06</v>
      </c>
      <c r="R85" s="418" t="n">
        <f aca="false">+$B$86</f>
        <v>0.06</v>
      </c>
      <c r="S85" s="418" t="n">
        <f aca="false">+$B$86</f>
        <v>0.06</v>
      </c>
      <c r="T85" s="418" t="n">
        <f aca="false">+$B$86</f>
        <v>0.06</v>
      </c>
      <c r="U85" s="418" t="n">
        <f aca="false">+$B$86</f>
        <v>0.06</v>
      </c>
      <c r="V85" s="418" t="n">
        <f aca="false">+$B$86</f>
        <v>0.06</v>
      </c>
      <c r="W85" s="418" t="n">
        <f aca="false">+$B$86</f>
        <v>0.06</v>
      </c>
      <c r="X85" s="418" t="n">
        <f aca="false">+$B$86</f>
        <v>0.06</v>
      </c>
    </row>
    <row r="86" customFormat="false" ht="12.75" hidden="false" customHeight="false" outlineLevel="0" collapsed="false">
      <c r="A86" s="0" t="s">
        <v>665</v>
      </c>
      <c r="B86" s="419" t="n">
        <v>0.06</v>
      </c>
      <c r="C86" s="419"/>
    </row>
    <row r="87" customFormat="false" ht="12.75" hidden="false" customHeight="false" outlineLevel="0" collapsed="false">
      <c r="B87" s="419"/>
      <c r="C87" s="350"/>
    </row>
    <row r="88" customFormat="false" ht="12.75" hidden="false" customHeight="false" outlineLevel="0" collapsed="false">
      <c r="B88" s="350"/>
      <c r="C88" s="350"/>
    </row>
    <row r="89" customFormat="false" ht="13.5" hidden="false" customHeight="false" outlineLevel="0" collapsed="false">
      <c r="A89" s="372" t="s">
        <v>666</v>
      </c>
      <c r="B89" s="373"/>
      <c r="C89" s="373"/>
      <c r="D89" s="373"/>
      <c r="E89" s="373"/>
      <c r="F89" s="373"/>
      <c r="G89" s="373"/>
      <c r="H89" s="373"/>
      <c r="I89" s="373"/>
      <c r="J89" s="373"/>
      <c r="K89" s="373"/>
      <c r="L89" s="373"/>
      <c r="M89" s="373"/>
      <c r="N89" s="373"/>
      <c r="O89" s="373"/>
      <c r="P89" s="373"/>
      <c r="Q89" s="373"/>
      <c r="R89" s="373"/>
      <c r="S89" s="373"/>
      <c r="T89" s="373"/>
      <c r="U89" s="373"/>
      <c r="V89" s="373"/>
      <c r="W89" s="373"/>
      <c r="X89" s="373"/>
      <c r="Y89" s="373"/>
    </row>
    <row r="90" customFormat="false" ht="12.75" hidden="false" customHeight="false" outlineLevel="0" collapsed="false">
      <c r="A90" s="414" t="s">
        <v>667</v>
      </c>
      <c r="B90" s="0" t="s">
        <v>668</v>
      </c>
      <c r="C90" s="0" t="s">
        <v>669</v>
      </c>
      <c r="D90" s="0" t="s">
        <v>670</v>
      </c>
      <c r="E90" s="0" t="s">
        <v>671</v>
      </c>
      <c r="H90" s="62"/>
      <c r="I90" s="388"/>
      <c r="J90" s="388"/>
      <c r="K90" s="388"/>
      <c r="L90" s="388"/>
      <c r="M90" s="388"/>
      <c r="N90" s="388"/>
    </row>
    <row r="91" customFormat="false" ht="12.75" hidden="false" customHeight="false" outlineLevel="0" collapsed="false">
      <c r="A91" s="414"/>
      <c r="B91" s="415" t="s">
        <v>672</v>
      </c>
      <c r="C91" s="415" t="s">
        <v>672</v>
      </c>
      <c r="D91" s="415" t="s">
        <v>672</v>
      </c>
      <c r="E91" s="415" t="s">
        <v>672</v>
      </c>
      <c r="H91" s="62"/>
      <c r="I91" s="388"/>
      <c r="J91" s="388"/>
      <c r="K91" s="388"/>
      <c r="L91" s="388"/>
      <c r="M91" s="388"/>
      <c r="N91" s="388"/>
    </row>
    <row r="92" customFormat="false" ht="12.75" hidden="false" customHeight="false" outlineLevel="0" collapsed="false">
      <c r="A92" s="0" t="s">
        <v>658</v>
      </c>
      <c r="B92" s="420" t="n">
        <v>0.0704</v>
      </c>
      <c r="C92" s="420" t="n">
        <v>0.0748</v>
      </c>
      <c r="D92" s="420" t="n">
        <v>0.0927</v>
      </c>
      <c r="E92" s="421" t="n">
        <v>0.1101</v>
      </c>
      <c r="F92" s="422"/>
      <c r="G92" s="415"/>
      <c r="H92" s="423"/>
      <c r="I92" s="423"/>
      <c r="J92" s="423"/>
      <c r="K92" s="423"/>
      <c r="L92" s="423"/>
      <c r="M92" s="423"/>
      <c r="N92" s="423"/>
    </row>
    <row r="93" customFormat="false" ht="12.75" hidden="false" customHeight="false" outlineLevel="0" collapsed="false">
      <c r="A93" s="0" t="s">
        <v>673</v>
      </c>
      <c r="B93" s="424" t="n">
        <v>0.0704</v>
      </c>
      <c r="C93" s="424" t="n">
        <v>0.0748</v>
      </c>
      <c r="D93" s="425" t="n">
        <v>0.0927</v>
      </c>
      <c r="E93" s="424" t="n">
        <v>0.1101</v>
      </c>
      <c r="F93" s="424"/>
      <c r="H93" s="423"/>
      <c r="J93" s="423"/>
      <c r="K93" s="423"/>
      <c r="L93" s="423"/>
      <c r="M93" s="423"/>
      <c r="N93" s="423"/>
    </row>
    <row r="94" customFormat="false" ht="12.75" hidden="false" customHeight="false" outlineLevel="0" collapsed="false">
      <c r="A94" s="0" t="s">
        <v>674</v>
      </c>
      <c r="B94" s="425" t="n">
        <f aca="false">B93*(1-$B$96)</f>
        <v>0.06336</v>
      </c>
      <c r="C94" s="425" t="n">
        <f aca="false">C93*(1-$B$96)</f>
        <v>0.06732</v>
      </c>
      <c r="D94" s="425" t="n">
        <f aca="false">D93*(1-$B$96)</f>
        <v>0.08343</v>
      </c>
      <c r="E94" s="425" t="n">
        <f aca="false">E93*(1-$B$96)</f>
        <v>0.09909</v>
      </c>
    </row>
    <row r="95" customFormat="false" ht="12.75" hidden="false" customHeight="false" outlineLevel="0" collapsed="false">
      <c r="A95" s="0" t="s">
        <v>675</v>
      </c>
      <c r="B95" s="425" t="n">
        <f aca="false">B93*(1+$B$96)</f>
        <v>0.07744</v>
      </c>
      <c r="C95" s="425" t="n">
        <f aca="false">C93*(1+$B$96)</f>
        <v>0.08228</v>
      </c>
      <c r="D95" s="425" t="n">
        <f aca="false">D93*(1+$B$96)</f>
        <v>0.10197</v>
      </c>
      <c r="E95" s="425" t="n">
        <f aca="false">E93*(1+$B$96)</f>
        <v>0.12111</v>
      </c>
      <c r="F95" s="423"/>
      <c r="H95" s="423"/>
      <c r="I95" s="423"/>
      <c r="J95" s="423"/>
      <c r="K95" s="423"/>
      <c r="L95" s="423"/>
    </row>
    <row r="96" customFormat="false" ht="12.75" hidden="false" customHeight="false" outlineLevel="0" collapsed="false">
      <c r="A96" s="0" t="s">
        <v>660</v>
      </c>
      <c r="B96" s="377" t="n">
        <v>0.1</v>
      </c>
      <c r="C96" s="425"/>
      <c r="D96" s="425"/>
      <c r="E96" s="425"/>
      <c r="F96" s="425"/>
      <c r="G96" s="424"/>
      <c r="I96" s="423"/>
      <c r="K96" s="423"/>
      <c r="L96" s="423"/>
      <c r="M96" s="423"/>
      <c r="N96" s="423"/>
      <c r="O96" s="423"/>
    </row>
    <row r="98" customFormat="false" ht="12.75" hidden="false" customHeight="false" outlineLevel="0" collapsed="false">
      <c r="A98" s="414" t="s">
        <v>676</v>
      </c>
    </row>
    <row r="99" customFormat="false" ht="12.75" hidden="false" customHeight="false" outlineLevel="0" collapsed="false">
      <c r="A99" s="0" t="s">
        <v>658</v>
      </c>
      <c r="B99" s="0" t="n">
        <v>0</v>
      </c>
    </row>
    <row r="101" customFormat="false" ht="13.5" hidden="false" customHeight="false" outlineLevel="0" collapsed="false">
      <c r="A101" s="372" t="s">
        <v>677</v>
      </c>
      <c r="B101" s="372"/>
      <c r="C101" s="372"/>
      <c r="D101" s="372"/>
      <c r="E101" s="372"/>
      <c r="F101" s="372"/>
      <c r="G101" s="372"/>
      <c r="H101" s="372"/>
      <c r="I101" s="372"/>
      <c r="J101" s="372"/>
      <c r="K101" s="372"/>
      <c r="L101" s="372"/>
      <c r="M101" s="372"/>
      <c r="N101" s="372"/>
      <c r="O101" s="372"/>
      <c r="P101" s="372"/>
      <c r="Q101" s="372"/>
      <c r="R101" s="372"/>
      <c r="S101" s="372"/>
      <c r="T101" s="372"/>
      <c r="U101" s="372"/>
      <c r="V101" s="372"/>
      <c r="W101" s="372"/>
      <c r="X101" s="372"/>
      <c r="Y101" s="372"/>
    </row>
    <row r="102" customFormat="false" ht="12.75" hidden="false" customHeight="false" outlineLevel="0" collapsed="false">
      <c r="B102" s="415" t="s">
        <v>678</v>
      </c>
    </row>
    <row r="103" customFormat="false" ht="12.75" hidden="false" customHeight="false" outlineLevel="0" collapsed="false">
      <c r="A103" s="388" t="s">
        <v>658</v>
      </c>
      <c r="B103" s="426" t="n">
        <v>1</v>
      </c>
      <c r="C103" s="388"/>
      <c r="D103" s="388"/>
      <c r="E103" s="388"/>
      <c r="F103" s="388"/>
      <c r="G103" s="388"/>
      <c r="H103" s="388"/>
      <c r="I103" s="388"/>
      <c r="J103" s="388"/>
      <c r="K103" s="388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</row>
    <row r="104" customFormat="false" ht="12.75" hidden="false" customHeight="false" outlineLevel="0" collapsed="false">
      <c r="A104" s="388"/>
      <c r="B104" s="427"/>
      <c r="C104" s="428"/>
      <c r="D104" s="428"/>
      <c r="F104" s="428"/>
      <c r="G104" s="428"/>
      <c r="H104" s="428"/>
      <c r="I104" s="423"/>
      <c r="J104" s="423"/>
      <c r="K104" s="423"/>
      <c r="L104" s="423"/>
      <c r="M104" s="423"/>
    </row>
    <row r="105" customFormat="false" ht="12.75" hidden="false" customHeight="false" outlineLevel="0" collapsed="false">
      <c r="A105" s="388" t="s">
        <v>679</v>
      </c>
      <c r="B105" s="427" t="n">
        <v>1</v>
      </c>
      <c r="C105" s="427" t="n">
        <v>2</v>
      </c>
      <c r="D105" s="427" t="n">
        <v>3</v>
      </c>
      <c r="F105" s="428"/>
      <c r="G105" s="428"/>
      <c r="H105" s="428"/>
      <c r="I105" s="423"/>
      <c r="J105" s="423"/>
      <c r="K105" s="423"/>
      <c r="L105" s="423"/>
      <c r="M105" s="423"/>
    </row>
    <row r="106" customFormat="false" ht="12.75" hidden="false" customHeight="false" outlineLevel="0" collapsed="false">
      <c r="A106" s="388" t="s">
        <v>680</v>
      </c>
      <c r="B106" s="428" t="n">
        <v>0.6</v>
      </c>
      <c r="C106" s="428" t="n">
        <v>0.3</v>
      </c>
      <c r="D106" s="428" t="n">
        <v>0.1</v>
      </c>
      <c r="F106" s="428"/>
      <c r="G106" s="428"/>
      <c r="H106" s="428"/>
      <c r="I106" s="423"/>
      <c r="J106" s="423"/>
      <c r="K106" s="423"/>
      <c r="L106" s="423"/>
      <c r="M106" s="423"/>
    </row>
    <row r="107" customFormat="false" ht="12.75" hidden="false" customHeight="false" outlineLevel="0" collapsed="false">
      <c r="A107" s="429" t="n">
        <f aca="false">YEAR(J52)</f>
        <v>2001</v>
      </c>
      <c r="B107" s="430" t="n">
        <v>0.04</v>
      </c>
      <c r="C107" s="430" t="n">
        <v>0.04</v>
      </c>
      <c r="D107" s="430" t="n">
        <v>0.04</v>
      </c>
      <c r="F107" s="428"/>
      <c r="G107" s="428"/>
      <c r="H107" s="428"/>
      <c r="I107" s="423"/>
      <c r="J107" s="423"/>
      <c r="K107" s="423"/>
      <c r="L107" s="423"/>
      <c r="M107" s="423"/>
    </row>
    <row r="108" customFormat="false" ht="12.75" hidden="false" customHeight="false" outlineLevel="0" collapsed="false">
      <c r="A108" s="388" t="n">
        <f aca="false">A107+1</f>
        <v>2002</v>
      </c>
      <c r="B108" s="428" t="n">
        <v>0.04</v>
      </c>
      <c r="C108" s="428" t="n">
        <v>0.04</v>
      </c>
      <c r="D108" s="428" t="n">
        <v>0.04</v>
      </c>
      <c r="F108" s="428"/>
      <c r="G108" s="428"/>
      <c r="H108" s="428"/>
      <c r="I108" s="423"/>
      <c r="J108" s="423"/>
      <c r="K108" s="423"/>
      <c r="L108" s="423"/>
      <c r="M108" s="423"/>
    </row>
    <row r="109" customFormat="false" ht="12.75" hidden="false" customHeight="false" outlineLevel="0" collapsed="false">
      <c r="A109" s="388" t="n">
        <f aca="false">A108+1</f>
        <v>2003</v>
      </c>
      <c r="B109" s="431" t="n">
        <v>0.04</v>
      </c>
      <c r="C109" s="428" t="n">
        <v>0.04</v>
      </c>
      <c r="D109" s="428" t="n">
        <v>0.04</v>
      </c>
      <c r="F109" s="428"/>
      <c r="G109" s="428"/>
      <c r="H109" s="428"/>
      <c r="I109" s="423"/>
      <c r="J109" s="423"/>
      <c r="K109" s="423"/>
      <c r="L109" s="423"/>
      <c r="M109" s="423"/>
    </row>
    <row r="110" customFormat="false" ht="12.75" hidden="false" customHeight="false" outlineLevel="0" collapsed="false">
      <c r="A110" s="388" t="n">
        <f aca="false">A109+1</f>
        <v>2004</v>
      </c>
      <c r="B110" s="428" t="n">
        <v>0</v>
      </c>
      <c r="C110" s="428" t="n">
        <v>0.04</v>
      </c>
      <c r="D110" s="428" t="n">
        <v>0.04</v>
      </c>
      <c r="F110" s="428"/>
      <c r="G110" s="428"/>
      <c r="H110" s="428" t="s">
        <v>49</v>
      </c>
      <c r="I110" s="423"/>
      <c r="J110" s="423"/>
      <c r="K110" s="423"/>
      <c r="L110" s="423"/>
      <c r="M110" s="423"/>
    </row>
    <row r="111" customFormat="false" ht="12.75" hidden="false" customHeight="false" outlineLevel="0" collapsed="false">
      <c r="A111" s="388" t="n">
        <f aca="false">A110+1</f>
        <v>2005</v>
      </c>
      <c r="B111" s="428" t="n">
        <v>0</v>
      </c>
      <c r="C111" s="431" t="n">
        <v>0.04</v>
      </c>
      <c r="D111" s="428" t="n">
        <v>0.04</v>
      </c>
      <c r="F111" s="428"/>
      <c r="G111" s="428"/>
      <c r="H111" s="428"/>
      <c r="I111" s="423"/>
      <c r="J111" s="423"/>
      <c r="K111" s="423"/>
      <c r="L111" s="423"/>
      <c r="M111" s="423"/>
    </row>
    <row r="112" customFormat="false" ht="12.75" hidden="false" customHeight="false" outlineLevel="0" collapsed="false">
      <c r="A112" s="388" t="n">
        <f aca="false">A111+1</f>
        <v>2006</v>
      </c>
      <c r="B112" s="428" t="n">
        <v>0</v>
      </c>
      <c r="C112" s="428" t="n">
        <v>0</v>
      </c>
      <c r="D112" s="428" t="n">
        <v>0.04</v>
      </c>
      <c r="F112" s="428"/>
      <c r="G112" s="428"/>
      <c r="H112" s="428"/>
      <c r="I112" s="423"/>
      <c r="J112" s="423"/>
      <c r="K112" s="423"/>
      <c r="L112" s="423"/>
      <c r="M112" s="423"/>
    </row>
    <row r="113" customFormat="false" ht="12.75" hidden="false" customHeight="false" outlineLevel="0" collapsed="false">
      <c r="A113" s="405" t="n">
        <f aca="false">A112+1</f>
        <v>2007</v>
      </c>
      <c r="B113" s="431" t="n">
        <v>0</v>
      </c>
      <c r="C113" s="431" t="n">
        <v>0</v>
      </c>
      <c r="D113" s="431" t="n">
        <v>0.04</v>
      </c>
      <c r="F113" s="428"/>
      <c r="G113" s="428"/>
      <c r="H113" s="428"/>
      <c r="I113" s="423"/>
      <c r="J113" s="423"/>
      <c r="K113" s="423"/>
      <c r="L113" s="423"/>
      <c r="M113" s="423"/>
    </row>
    <row r="114" customFormat="false" ht="12.75" hidden="false" customHeight="false" outlineLevel="0" collapsed="false">
      <c r="A114" s="388"/>
      <c r="B114" s="427"/>
      <c r="C114" s="428"/>
      <c r="D114" s="428"/>
      <c r="F114" s="428"/>
      <c r="G114" s="428"/>
      <c r="H114" s="428"/>
      <c r="I114" s="423"/>
      <c r="J114" s="423"/>
      <c r="K114" s="423"/>
      <c r="L114" s="423"/>
      <c r="M114" s="423"/>
    </row>
    <row r="115" customFormat="false" ht="12.75" hidden="false" customHeight="false" outlineLevel="0" collapsed="false">
      <c r="G115" s="423"/>
      <c r="I115" s="423"/>
      <c r="J115" s="423"/>
      <c r="K115" s="423"/>
      <c r="L115" s="423"/>
      <c r="M115" s="423"/>
    </row>
    <row r="116" customFormat="false" ht="13.5" hidden="false" customHeight="false" outlineLevel="0" collapsed="false">
      <c r="A116" s="372" t="s">
        <v>681</v>
      </c>
      <c r="B116" s="373"/>
      <c r="C116" s="373"/>
      <c r="D116" s="373"/>
      <c r="E116" s="373"/>
      <c r="F116" s="373"/>
      <c r="G116" s="373"/>
      <c r="H116" s="373"/>
      <c r="I116" s="373"/>
      <c r="J116" s="373"/>
      <c r="K116" s="373"/>
      <c r="L116" s="373"/>
      <c r="M116" s="373"/>
      <c r="N116" s="373"/>
      <c r="O116" s="373"/>
      <c r="P116" s="373"/>
      <c r="Q116" s="373"/>
      <c r="R116" s="373"/>
      <c r="S116" s="373"/>
      <c r="T116" s="373"/>
      <c r="U116" s="373"/>
      <c r="V116" s="373"/>
      <c r="W116" s="373"/>
      <c r="X116" s="373"/>
      <c r="Y116" s="373"/>
    </row>
    <row r="117" customFormat="false" ht="12.75" hidden="false" customHeight="false" outlineLevel="0" collapsed="false">
      <c r="A117" s="414" t="s">
        <v>682</v>
      </c>
      <c r="B117" s="415" t="s">
        <v>672</v>
      </c>
    </row>
    <row r="118" customFormat="false" ht="12.75" hidden="false" customHeight="false" outlineLevel="0" collapsed="false">
      <c r="A118" s="414"/>
      <c r="B118" s="0" t="s">
        <v>489</v>
      </c>
      <c r="C118" s="0" t="s">
        <v>490</v>
      </c>
      <c r="D118" s="0" t="s">
        <v>491</v>
      </c>
    </row>
    <row r="119" customFormat="false" ht="12.75" hidden="false" customHeight="false" outlineLevel="0" collapsed="false">
      <c r="A119" s="0" t="s">
        <v>683</v>
      </c>
      <c r="B119" s="432" t="n">
        <v>1615</v>
      </c>
      <c r="C119" s="432" t="n">
        <v>10499</v>
      </c>
      <c r="D119" s="432" t="n">
        <v>7914</v>
      </c>
    </row>
    <row r="120" customFormat="false" ht="12.75" hidden="false" customHeight="false" outlineLevel="0" collapsed="false">
      <c r="A120" s="0" t="s">
        <v>673</v>
      </c>
      <c r="B120" s="395" t="n">
        <v>1615</v>
      </c>
      <c r="C120" s="395" t="n">
        <v>10499</v>
      </c>
      <c r="D120" s="395" t="n">
        <v>7914</v>
      </c>
    </row>
    <row r="121" customFormat="false" ht="12.75" hidden="false" customHeight="false" outlineLevel="0" collapsed="false">
      <c r="A121" s="0" t="s">
        <v>674</v>
      </c>
      <c r="B121" s="395" t="n">
        <f aca="false">B119-304</f>
        <v>1311</v>
      </c>
      <c r="C121" s="395" t="n">
        <v>7491</v>
      </c>
      <c r="D121" s="395" t="n">
        <v>2687</v>
      </c>
    </row>
    <row r="122" customFormat="false" ht="12.75" hidden="false" customHeight="false" outlineLevel="0" collapsed="false">
      <c r="A122" s="0" t="s">
        <v>675</v>
      </c>
      <c r="B122" s="395" t="n">
        <v>24757</v>
      </c>
      <c r="C122" s="395" t="n">
        <v>28129</v>
      </c>
      <c r="D122" s="395" t="n">
        <v>13671</v>
      </c>
    </row>
    <row r="124" customFormat="false" ht="12.75" hidden="false" customHeight="false" outlineLevel="0" collapsed="false">
      <c r="A124" s="414" t="s">
        <v>684</v>
      </c>
      <c r="B124" s="415" t="s">
        <v>678</v>
      </c>
      <c r="D124" s="16" t="s">
        <v>685</v>
      </c>
    </row>
    <row r="125" customFormat="false" ht="12.75" hidden="false" customHeight="false" outlineLevel="0" collapsed="false">
      <c r="A125" s="0" t="s">
        <v>658</v>
      </c>
      <c r="B125" s="433" t="n">
        <v>1</v>
      </c>
    </row>
    <row r="126" customFormat="false" ht="12.75" hidden="false" customHeight="false" outlineLevel="0" collapsed="false">
      <c r="A126" s="405"/>
      <c r="B126" s="434" t="s">
        <v>686</v>
      </c>
      <c r="C126" s="354" t="s">
        <v>680</v>
      </c>
      <c r="D126" s="354" t="s">
        <v>687</v>
      </c>
      <c r="E126" s="434" t="s">
        <v>52</v>
      </c>
      <c r="F126" s="434" t="s">
        <v>53</v>
      </c>
    </row>
    <row r="127" customFormat="false" ht="12.75" hidden="false" customHeight="false" outlineLevel="0" collapsed="false">
      <c r="A127" s="0" t="s">
        <v>688</v>
      </c>
      <c r="B127" s="435" t="n">
        <v>1</v>
      </c>
      <c r="C127" s="436" t="n">
        <v>0.5</v>
      </c>
      <c r="D127" s="437" t="n">
        <v>36892</v>
      </c>
      <c r="E127" s="437" t="n">
        <v>36951</v>
      </c>
      <c r="F127" s="437" t="n">
        <v>37104</v>
      </c>
    </row>
    <row r="128" customFormat="false" ht="12.75" hidden="false" customHeight="false" outlineLevel="0" collapsed="false">
      <c r="A128" s="376" t="s">
        <v>689</v>
      </c>
      <c r="B128" s="435" t="n">
        <v>2</v>
      </c>
      <c r="C128" s="436" t="n">
        <v>0.33</v>
      </c>
      <c r="D128" s="437" t="n">
        <v>36951</v>
      </c>
      <c r="E128" s="437" t="n">
        <v>37043</v>
      </c>
      <c r="F128" s="437" t="n">
        <v>37196</v>
      </c>
    </row>
    <row r="129" customFormat="false" ht="12.75" hidden="false" customHeight="false" outlineLevel="0" collapsed="false">
      <c r="A129" s="438" t="s">
        <v>690</v>
      </c>
      <c r="B129" s="434" t="n">
        <v>3</v>
      </c>
      <c r="C129" s="439" t="n">
        <v>0.17</v>
      </c>
      <c r="D129" s="440" t="n">
        <v>37043</v>
      </c>
      <c r="E129" s="440" t="n">
        <v>37135</v>
      </c>
      <c r="F129" s="440" t="n">
        <v>37288</v>
      </c>
    </row>
    <row r="130" customFormat="false" ht="12.75" hidden="false" customHeight="false" outlineLevel="0" collapsed="false">
      <c r="A130" s="441" t="s">
        <v>691</v>
      </c>
      <c r="B130" s="427"/>
      <c r="C130" s="442"/>
      <c r="D130" s="443"/>
    </row>
    <row r="131" customFormat="false" ht="12.75" hidden="false" customHeight="false" outlineLevel="0" collapsed="false">
      <c r="A131" s="376"/>
      <c r="B131" s="427"/>
      <c r="C131" s="442"/>
      <c r="D131" s="443"/>
    </row>
    <row r="132" customFormat="false" ht="12.75" hidden="false" customHeight="false" outlineLevel="0" collapsed="false">
      <c r="A132" s="376"/>
      <c r="B132" s="388"/>
      <c r="C132" s="444"/>
      <c r="D132" s="445"/>
      <c r="E132" s="380"/>
      <c r="F132" s="380"/>
      <c r="G132" s="380"/>
      <c r="H132" s="380"/>
      <c r="I132" s="380"/>
      <c r="J132" s="380"/>
      <c r="K132" s="380"/>
      <c r="L132" s="380"/>
      <c r="M132" s="380"/>
      <c r="N132" s="380"/>
      <c r="O132" s="380"/>
      <c r="P132" s="380"/>
      <c r="Q132" s="380"/>
      <c r="R132" s="380"/>
      <c r="S132" s="380"/>
      <c r="T132" s="380"/>
      <c r="U132" s="380"/>
      <c r="V132" s="380"/>
      <c r="W132" s="380"/>
    </row>
    <row r="133" customFormat="false" ht="13.5" hidden="false" customHeight="false" outlineLevel="0" collapsed="false">
      <c r="A133" s="446" t="s">
        <v>692</v>
      </c>
      <c r="B133" s="373"/>
      <c r="C133" s="447"/>
      <c r="D133" s="448"/>
      <c r="E133" s="448"/>
      <c r="F133" s="448"/>
      <c r="G133" s="448"/>
      <c r="H133" s="448"/>
      <c r="I133" s="448"/>
      <c r="J133" s="448"/>
      <c r="K133" s="448"/>
      <c r="L133" s="448"/>
      <c r="M133" s="448"/>
      <c r="N133" s="448"/>
      <c r="O133" s="448"/>
      <c r="P133" s="448"/>
      <c r="Q133" s="448"/>
      <c r="R133" s="448"/>
      <c r="S133" s="448"/>
      <c r="T133" s="448"/>
      <c r="U133" s="448"/>
      <c r="V133" s="448"/>
      <c r="W133" s="448"/>
      <c r="X133" s="373"/>
      <c r="Y133" s="373"/>
    </row>
    <row r="134" customFormat="false" ht="12.75" hidden="false" customHeight="false" outlineLevel="0" collapsed="false">
      <c r="A134" s="414" t="s">
        <v>693</v>
      </c>
      <c r="B134" s="415" t="s">
        <v>694</v>
      </c>
      <c r="C134" s="444"/>
      <c r="D134" s="445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0"/>
      <c r="U134" s="380"/>
      <c r="V134" s="380"/>
      <c r="W134" s="380"/>
    </row>
    <row r="135" customFormat="false" ht="12.75" hidden="false" customHeight="false" outlineLevel="0" collapsed="false">
      <c r="A135" s="376" t="s">
        <v>658</v>
      </c>
      <c r="B135" s="426" t="n">
        <v>1</v>
      </c>
      <c r="C135" s="444"/>
      <c r="D135" s="445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</row>
    <row r="136" customFormat="false" ht="12.75" hidden="false" customHeight="false" outlineLevel="0" collapsed="false">
      <c r="A136" s="376" t="s">
        <v>659</v>
      </c>
      <c r="B136" s="388" t="n">
        <v>1</v>
      </c>
      <c r="C136" s="444"/>
      <c r="D136" s="445"/>
      <c r="E136" s="380"/>
      <c r="F136" s="380"/>
      <c r="G136" s="380"/>
      <c r="H136" s="380"/>
      <c r="I136" s="380"/>
      <c r="J136" s="380"/>
      <c r="K136" s="380"/>
      <c r="L136" s="380"/>
      <c r="M136" s="380"/>
      <c r="N136" s="380"/>
      <c r="O136" s="380"/>
      <c r="P136" s="380"/>
      <c r="Q136" s="380"/>
      <c r="R136" s="380"/>
      <c r="S136" s="380"/>
      <c r="T136" s="380"/>
      <c r="U136" s="380"/>
      <c r="V136" s="380"/>
      <c r="W136" s="380"/>
    </row>
    <row r="137" customFormat="false" ht="12.75" hidden="false" customHeight="false" outlineLevel="0" collapsed="false">
      <c r="A137" s="376" t="s">
        <v>660</v>
      </c>
      <c r="B137" s="404" t="n">
        <f aca="false">0.56*0.08</f>
        <v>0.0448</v>
      </c>
      <c r="C137" s="444"/>
      <c r="D137" s="445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  <c r="O137" s="380"/>
      <c r="P137" s="380"/>
      <c r="Q137" s="380"/>
      <c r="R137" s="380"/>
      <c r="S137" s="380"/>
      <c r="T137" s="380"/>
      <c r="U137" s="380"/>
      <c r="V137" s="380"/>
      <c r="W137" s="380"/>
    </row>
    <row r="138" customFormat="false" ht="12.75" hidden="false" customHeight="false" outlineLevel="0" collapsed="false">
      <c r="A138" s="376"/>
      <c r="C138" s="442"/>
      <c r="D138" s="442"/>
      <c r="F138" s="449"/>
    </row>
    <row r="139" customFormat="false" ht="12.75" hidden="false" customHeight="false" outlineLevel="0" collapsed="false">
      <c r="A139" s="376"/>
      <c r="B139" s="427"/>
      <c r="C139" s="442"/>
      <c r="D139" s="443"/>
    </row>
    <row r="140" customFormat="false" ht="13.5" hidden="false" customHeight="false" outlineLevel="0" collapsed="false">
      <c r="A140" s="372" t="s">
        <v>695</v>
      </c>
      <c r="B140" s="372"/>
      <c r="C140" s="372"/>
      <c r="D140" s="372"/>
      <c r="E140" s="372"/>
      <c r="F140" s="372"/>
      <c r="G140" s="372"/>
      <c r="H140" s="372"/>
      <c r="I140" s="372"/>
      <c r="J140" s="372"/>
      <c r="K140" s="372"/>
      <c r="L140" s="372"/>
      <c r="M140" s="372"/>
      <c r="N140" s="372"/>
      <c r="O140" s="372"/>
      <c r="P140" s="372"/>
      <c r="Q140" s="372"/>
      <c r="R140" s="372"/>
      <c r="S140" s="372"/>
      <c r="T140" s="372"/>
      <c r="U140" s="372"/>
      <c r="V140" s="372"/>
      <c r="W140" s="372"/>
      <c r="X140" s="372"/>
      <c r="Y140" s="372"/>
    </row>
    <row r="141" customFormat="false" ht="12.75" hidden="false" customHeight="false" outlineLevel="0" collapsed="false">
      <c r="B141" s="415" t="s">
        <v>694</v>
      </c>
    </row>
    <row r="142" customFormat="false" ht="12.75" hidden="false" customHeight="false" outlineLevel="0" collapsed="false">
      <c r="A142" s="0" t="s">
        <v>658</v>
      </c>
      <c r="B142" s="433" t="n">
        <v>1</v>
      </c>
    </row>
    <row r="143" customFormat="false" ht="12.75" hidden="false" customHeight="false" outlineLevel="0" collapsed="false">
      <c r="A143" s="0" t="s">
        <v>659</v>
      </c>
      <c r="B143" s="0" t="n">
        <v>1</v>
      </c>
    </row>
    <row r="144" customFormat="false" ht="12.75" hidden="false" customHeight="false" outlineLevel="0" collapsed="false">
      <c r="A144" s="0" t="s">
        <v>660</v>
      </c>
      <c r="B144" s="377" t="n">
        <v>0.02</v>
      </c>
    </row>
    <row r="147" customFormat="false" ht="13.5" hidden="false" customHeight="false" outlineLevel="0" collapsed="false">
      <c r="A147" s="372" t="s">
        <v>696</v>
      </c>
      <c r="B147" s="372"/>
      <c r="C147" s="372"/>
      <c r="D147" s="372"/>
      <c r="E147" s="372"/>
      <c r="F147" s="372"/>
      <c r="G147" s="372"/>
      <c r="H147" s="372"/>
      <c r="I147" s="372"/>
      <c r="J147" s="372"/>
      <c r="K147" s="372"/>
      <c r="L147" s="372"/>
      <c r="M147" s="372"/>
      <c r="N147" s="372"/>
      <c r="O147" s="372"/>
      <c r="P147" s="372"/>
      <c r="Q147" s="372"/>
      <c r="R147" s="372"/>
      <c r="S147" s="372"/>
      <c r="T147" s="372"/>
      <c r="U147" s="372"/>
      <c r="V147" s="372"/>
      <c r="W147" s="372"/>
      <c r="X147" s="372"/>
      <c r="Y147" s="372"/>
    </row>
    <row r="148" customFormat="false" ht="12.75" hidden="false" customHeight="false" outlineLevel="0" collapsed="false">
      <c r="B148" s="415" t="s">
        <v>697</v>
      </c>
    </row>
    <row r="149" customFormat="false" ht="12.75" hidden="false" customHeight="false" outlineLevel="0" collapsed="false">
      <c r="A149" s="0" t="s">
        <v>698</v>
      </c>
      <c r="B149" s="433" t="n">
        <v>1</v>
      </c>
    </row>
    <row r="150" customFormat="false" ht="12.75" hidden="false" customHeight="false" outlineLevel="0" collapsed="false">
      <c r="A150" s="0" t="s">
        <v>680</v>
      </c>
      <c r="B150" s="377" t="n">
        <v>0.5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M270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C14" activeCellId="0" sqref="C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.7"/>
    <col collapsed="false" customWidth="true" hidden="false" outlineLevel="0" max="8" min="3" style="0" width="10.71"/>
    <col collapsed="false" customWidth="true" hidden="false" outlineLevel="0" max="9" min="9" style="0" width="11.85"/>
    <col collapsed="false" customWidth="true" hidden="false" outlineLevel="0" max="12" min="10" style="0" width="10.71"/>
    <col collapsed="false" customWidth="true" hidden="false" outlineLevel="0" max="13" min="13" style="0" width="11.7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1522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1522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</row>
    <row r="3" customFormat="false" ht="15" hidden="false" customHeight="false" outlineLevel="0" collapsed="false">
      <c r="A3" s="19" t="str">
        <f aca="false">TOC!B4</f>
        <v>ENRON INTERNATIONAL</v>
      </c>
      <c r="B3" s="19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</row>
    <row r="4" customFormat="false" ht="15" hidden="false" customHeight="false" outlineLevel="0" collapsed="false">
      <c r="A4" s="21" t="s">
        <v>1809</v>
      </c>
      <c r="B4" s="1557"/>
      <c r="C4" s="172"/>
      <c r="D4" s="172"/>
      <c r="E4" s="172"/>
      <c r="F4" s="172"/>
      <c r="G4" s="388"/>
      <c r="H4" s="388"/>
      <c r="I4" s="388"/>
      <c r="J4" s="388"/>
      <c r="K4" s="388"/>
      <c r="L4" s="388"/>
      <c r="M4" s="388"/>
    </row>
    <row r="5" customFormat="false" ht="12.75" hidden="false" customHeight="false" outlineLevel="0" collapsed="false">
      <c r="A5" s="1523"/>
      <c r="B5" s="1523"/>
      <c r="C5" s="388"/>
      <c r="D5" s="388"/>
      <c r="E5" s="388"/>
      <c r="F5" s="388"/>
      <c r="G5" s="388"/>
      <c r="H5" s="388"/>
      <c r="I5" s="388"/>
      <c r="J5" s="388"/>
      <c r="K5" s="1523"/>
      <c r="L5" s="388"/>
      <c r="M5" s="388"/>
    </row>
    <row r="6" customFormat="false" ht="12.75" hidden="false" customHeight="false" outlineLevel="0" collapsed="false">
      <c r="C6" s="1558" t="s">
        <v>1810</v>
      </c>
      <c r="D6" s="1558"/>
      <c r="E6" s="1558"/>
      <c r="F6" s="1558"/>
      <c r="G6" s="1558"/>
      <c r="H6" s="1558"/>
      <c r="I6" s="1558"/>
      <c r="J6" s="1558"/>
      <c r="K6" s="1558"/>
      <c r="L6" s="1558"/>
      <c r="M6" s="1558"/>
    </row>
    <row r="7" customFormat="false" ht="13.5" hidden="false" customHeight="false" outlineLevel="0" collapsed="false"/>
    <row r="8" customFormat="false" ht="12.75" hidden="false" customHeight="false" outlineLevel="0" collapsed="false">
      <c r="A8" s="1525"/>
      <c r="C8" s="1526" t="s">
        <v>1796</v>
      </c>
      <c r="D8" s="1527" t="s">
        <v>1811</v>
      </c>
      <c r="E8" s="1527" t="s">
        <v>1812</v>
      </c>
      <c r="F8" s="1529" t="s">
        <v>1813</v>
      </c>
      <c r="G8" s="1527" t="s">
        <v>1814</v>
      </c>
      <c r="H8" s="1528" t="s">
        <v>1815</v>
      </c>
      <c r="I8" s="1527" t="s">
        <v>1816</v>
      </c>
      <c r="J8" s="1527" t="s">
        <v>1796</v>
      </c>
      <c r="K8" s="1527" t="s">
        <v>1817</v>
      </c>
      <c r="L8" s="1527" t="s">
        <v>1796</v>
      </c>
      <c r="M8" s="1530"/>
    </row>
    <row r="9" customFormat="false" ht="12.75" hidden="false" customHeight="false" outlineLevel="0" collapsed="false">
      <c r="A9" s="614"/>
      <c r="C9" s="1531" t="s">
        <v>1795</v>
      </c>
      <c r="D9" s="427" t="s">
        <v>1818</v>
      </c>
      <c r="E9" s="427" t="s">
        <v>1819</v>
      </c>
      <c r="F9" s="1559" t="s">
        <v>782</v>
      </c>
      <c r="G9" s="427" t="s">
        <v>782</v>
      </c>
      <c r="H9" s="1532" t="s">
        <v>782</v>
      </c>
      <c r="I9" s="427" t="s">
        <v>782</v>
      </c>
      <c r="J9" s="427" t="s">
        <v>1820</v>
      </c>
      <c r="K9" s="79" t="s">
        <v>1621</v>
      </c>
      <c r="L9" s="427" t="s">
        <v>1820</v>
      </c>
      <c r="M9" s="1533" t="s">
        <v>1797</v>
      </c>
    </row>
    <row r="10" customFormat="false" ht="12.75" hidden="false" customHeight="false" outlineLevel="0" collapsed="false">
      <c r="A10" s="1534" t="s">
        <v>1802</v>
      </c>
      <c r="C10" s="472" t="s">
        <v>69</v>
      </c>
      <c r="D10" s="303" t="s">
        <v>257</v>
      </c>
      <c r="E10" s="1560" t="n">
        <v>0.92</v>
      </c>
      <c r="F10" s="473" t="s">
        <v>1821</v>
      </c>
      <c r="G10" s="303" t="s">
        <v>1821</v>
      </c>
      <c r="H10" s="474" t="s">
        <v>1821</v>
      </c>
      <c r="I10" s="303" t="s">
        <v>1821</v>
      </c>
      <c r="J10" s="303" t="s">
        <v>1821</v>
      </c>
      <c r="K10" s="303" t="s">
        <v>1822</v>
      </c>
      <c r="L10" s="303" t="s">
        <v>1823</v>
      </c>
      <c r="M10" s="475" t="s">
        <v>1820</v>
      </c>
    </row>
    <row r="11" customFormat="false" ht="12.75" hidden="false" customHeight="false" outlineLevel="0" collapsed="false">
      <c r="A11" s="614"/>
      <c r="C11" s="744"/>
      <c r="D11" s="388"/>
      <c r="E11" s="388"/>
      <c r="F11" s="1536"/>
      <c r="G11" s="388"/>
      <c r="H11" s="1535"/>
      <c r="I11" s="388"/>
      <c r="J11" s="388"/>
      <c r="K11" s="388"/>
      <c r="L11" s="388"/>
      <c r="M11" s="1537"/>
    </row>
    <row r="12" customFormat="false" ht="12.75" hidden="false" customHeight="false" outlineLevel="0" collapsed="false">
      <c r="A12" s="1538" t="n">
        <f aca="false">Startops1</f>
        <v>36251</v>
      </c>
      <c r="C12" s="1561" t="n">
        <f aca="false">MAX('Plant Operations'!H12,'Plant Operations'!L12)</f>
        <v>0.92</v>
      </c>
      <c r="D12" s="529" t="n">
        <v>0.92</v>
      </c>
      <c r="E12" s="306" t="n">
        <f aca="false">IF(D12&gt;E$10,0,E$10-D12)</f>
        <v>0</v>
      </c>
      <c r="F12" s="1562" t="n">
        <f aca="false">IF(Assm!$F$29=0,'Annex 10-Plant'!G12,'Annex 12-Plant'!T12)</f>
        <v>1480.15898064861</v>
      </c>
      <c r="G12" s="1563" t="n">
        <f aca="false">IF($A12&lt;Startops2,0,IF(Assm!$F$29=0,VLOOKUP($A12,Annex10_Gas_Table,'Annex 10-Gas'!$G$270),VLOOKUP($A12,Annex12_Gas_Table,'Annex 12-Gas'!$J$270)))</f>
        <v>0</v>
      </c>
      <c r="H12" s="1564" t="n">
        <f aca="false">IF($A12&lt;Startops2,0,IF(Assm!$F$29=0,VLOOKUP($A12,Annex10_Gas_Table,'Annex 10-Gas'!$P$270),VLOOKUP($A12,Annex12_Gas_Table,'Annex 12-Gas'!$V$270)))</f>
        <v>0</v>
      </c>
      <c r="I12" s="1563" t="n">
        <f aca="false">SUM(F12:H12)</f>
        <v>1480.15898064861</v>
      </c>
      <c r="J12" s="1563" t="n">
        <f aca="false">E12*I12</f>
        <v>0</v>
      </c>
      <c r="K12" s="1565" t="n">
        <f aca="false">IF(Assm!$L$74=1,VLOOKUP($A12,Curves_Table,Escalation!$D$291),Exch)</f>
        <v>1.065</v>
      </c>
      <c r="L12" s="1566" t="n">
        <f aca="false">J12/K12</f>
        <v>0</v>
      </c>
      <c r="M12" s="1567" t="str">
        <f aca="false">IF(MONTH($A12)=12,SUM(L1:L12)," ")</f>
        <v> </v>
      </c>
    </row>
    <row r="13" customFormat="false" ht="12.75" hidden="false" customHeight="false" outlineLevel="0" collapsed="false">
      <c r="A13" s="1538" t="n">
        <f aca="false">EDATE(A12,1)</f>
        <v>36281</v>
      </c>
      <c r="C13" s="1561" t="n">
        <f aca="false">MAX('Plant Operations'!H13,'Plant Operations'!L13)</f>
        <v>0.92</v>
      </c>
      <c r="D13" s="306" t="n">
        <f aca="false">IF($A13&gt;Endyr,0,AVERAGE(C1:C12))</f>
        <v>0.92</v>
      </c>
      <c r="E13" s="306" t="n">
        <f aca="false">IF(D13&gt;E$10,0,E$10-D13)</f>
        <v>0</v>
      </c>
      <c r="F13" s="1562" t="n">
        <f aca="false">IF(Assm!$F$29=0,'Annex 10-Plant'!G13,'Annex 12-Plant'!T13)</f>
        <v>1558.36984898262</v>
      </c>
      <c r="G13" s="1563" t="n">
        <f aca="false">IF($A13&lt;Startops2,0,IF(Assm!$F$29=0,VLOOKUP($A13,Annex10_Gas_Table,'Annex 10-Gas'!$G$270),VLOOKUP($A13,Annex12_Gas_Table,'Annex 12-Gas'!$J$270)))</f>
        <v>0</v>
      </c>
      <c r="H13" s="1564" t="n">
        <f aca="false">IF($A13&lt;Startops2,0,IF(Assm!$F$29=0,VLOOKUP($A13,Annex10_Gas_Table,'Annex 10-Gas'!$P$270),VLOOKUP($A13,Annex12_Gas_Table,'Annex 12-Gas'!$V$270)))</f>
        <v>0</v>
      </c>
      <c r="I13" s="1563" t="n">
        <f aca="false">SUM(F13:H13)</f>
        <v>1558.36984898262</v>
      </c>
      <c r="J13" s="1563" t="n">
        <f aca="false">E13*I13</f>
        <v>0</v>
      </c>
      <c r="K13" s="1565" t="n">
        <f aca="false">IF(Assm!$L$74=1,VLOOKUP($A13,Curves_Table,Escalation!$D$291),Exch)</f>
        <v>1.065</v>
      </c>
      <c r="L13" s="1566" t="n">
        <f aca="false">J13/K13</f>
        <v>0</v>
      </c>
      <c r="M13" s="1567" t="str">
        <f aca="false">IF(MONTH($A13)=12,SUM(L2:L13)," ")</f>
        <v> </v>
      </c>
    </row>
    <row r="14" customFormat="false" ht="12.75" hidden="false" customHeight="false" outlineLevel="0" collapsed="false">
      <c r="A14" s="1538" t="n">
        <f aca="false">EDATE(A13,1)</f>
        <v>36312</v>
      </c>
      <c r="C14" s="1561" t="n">
        <f aca="false">MAX('Plant Operations'!H14,'Plant Operations'!L14)</f>
        <v>0.92</v>
      </c>
      <c r="D14" s="306" t="n">
        <f aca="false">IF($A14&gt;Endyr,0,AVERAGE(C2:C13))</f>
        <v>0.92</v>
      </c>
      <c r="E14" s="306" t="n">
        <f aca="false">IF(D14&gt;E$10,0,E$10-D14)</f>
        <v>0</v>
      </c>
      <c r="F14" s="1562" t="n">
        <f aca="false">IF(Assm!$F$29=0,'Annex 10-Plant'!G14,'Annex 12-Plant'!T14)</f>
        <v>1558.36984898262</v>
      </c>
      <c r="G14" s="1563" t="n">
        <f aca="false">IF($A14&lt;Startops2,0,IF(Assm!$F$29=0,VLOOKUP($A14,Annex10_Gas_Table,'Annex 10-Gas'!$G$270),VLOOKUP($A14,Annex12_Gas_Table,'Annex 12-Gas'!$J$270)))</f>
        <v>0</v>
      </c>
      <c r="H14" s="1564" t="n">
        <f aca="false">IF($A14&lt;Startops2,0,IF(Assm!$F$29=0,VLOOKUP($A14,Annex10_Gas_Table,'Annex 10-Gas'!$P$270),VLOOKUP($A14,Annex12_Gas_Table,'Annex 12-Gas'!$V$270)))</f>
        <v>0</v>
      </c>
      <c r="I14" s="1563" t="n">
        <f aca="false">SUM(F14:H14)</f>
        <v>1558.36984898262</v>
      </c>
      <c r="J14" s="1563" t="n">
        <f aca="false">E14*I14</f>
        <v>0</v>
      </c>
      <c r="K14" s="1565" t="n">
        <f aca="false">IF(Assm!$L$74=1,VLOOKUP($A14,Curves_Table,Escalation!$D$291),Exch)</f>
        <v>1.065</v>
      </c>
      <c r="L14" s="1566" t="n">
        <f aca="false">J14/K14</f>
        <v>0</v>
      </c>
      <c r="M14" s="1567" t="str">
        <f aca="false">IF(MONTH($A14)=12,SUM(L3:L14)," ")</f>
        <v> </v>
      </c>
    </row>
    <row r="15" customFormat="false" ht="12.75" hidden="false" customHeight="false" outlineLevel="0" collapsed="false">
      <c r="A15" s="1538" t="n">
        <f aca="false">EDATE(A14,1)</f>
        <v>36342</v>
      </c>
      <c r="C15" s="1561" t="n">
        <f aca="false">MAX('Plant Operations'!H15,'Plant Operations'!L15)</f>
        <v>0.92</v>
      </c>
      <c r="D15" s="306" t="n">
        <f aca="false">IF($A15&gt;Endyr,0,AVERAGE(C3:C14))</f>
        <v>0.92</v>
      </c>
      <c r="E15" s="306" t="n">
        <f aca="false">IF(D15&gt;E$10,0,E$10-D15)</f>
        <v>0</v>
      </c>
      <c r="F15" s="1562" t="n">
        <f aca="false">IF(Assm!$F$29=0,'Annex 10-Plant'!G15,'Annex 12-Plant'!T15)</f>
        <v>1558.36984898262</v>
      </c>
      <c r="G15" s="1563" t="n">
        <f aca="false">IF($A15&lt;Startops2,0,IF(Assm!$F$29=0,VLOOKUP($A15,Annex10_Gas_Table,'Annex 10-Gas'!$G$270),VLOOKUP($A15,Annex12_Gas_Table,'Annex 12-Gas'!$J$270)))</f>
        <v>0</v>
      </c>
      <c r="H15" s="1564" t="n">
        <f aca="false">IF($A15&lt;Startops2,0,IF(Assm!$F$29=0,VLOOKUP($A15,Annex10_Gas_Table,'Annex 10-Gas'!$P$270),VLOOKUP($A15,Annex12_Gas_Table,'Annex 12-Gas'!$V$270)))</f>
        <v>0</v>
      </c>
      <c r="I15" s="1563" t="n">
        <f aca="false">SUM(F15:H15)</f>
        <v>1558.36984898262</v>
      </c>
      <c r="J15" s="1563" t="n">
        <f aca="false">E15*I15</f>
        <v>0</v>
      </c>
      <c r="K15" s="1565" t="n">
        <f aca="false">IF(Assm!$L$74=1,VLOOKUP($A15,Curves_Table,Escalation!$D$291),Exch)</f>
        <v>1.065</v>
      </c>
      <c r="L15" s="1566" t="n">
        <f aca="false">J15/K15</f>
        <v>0</v>
      </c>
      <c r="M15" s="1567" t="str">
        <f aca="false">IF(MONTH($A15)=12,SUM(L4:L15)," ")</f>
        <v> </v>
      </c>
    </row>
    <row r="16" customFormat="false" ht="12.75" hidden="false" customHeight="false" outlineLevel="0" collapsed="false">
      <c r="A16" s="1538" t="n">
        <f aca="false">EDATE(A15,1)</f>
        <v>36373</v>
      </c>
      <c r="C16" s="1561" t="n">
        <f aca="false">MAX('Plant Operations'!H16,'Plant Operations'!L16)</f>
        <v>0.92</v>
      </c>
      <c r="D16" s="306" t="n">
        <f aca="false">IF($A16&gt;Endyr,0,AVERAGE(C4:C15))</f>
        <v>0.92</v>
      </c>
      <c r="E16" s="306" t="n">
        <f aca="false">IF(D16&gt;E$10,0,E$10-D16)</f>
        <v>0</v>
      </c>
      <c r="F16" s="1562" t="n">
        <f aca="false">IF(Assm!$F$29=0,'Annex 10-Plant'!G16,'Annex 12-Plant'!T16)</f>
        <v>1558.36984898262</v>
      </c>
      <c r="G16" s="1563" t="n">
        <f aca="false">IF($A16&lt;Startops2,0,IF(Assm!$F$29=0,VLOOKUP($A16,Annex10_Gas_Table,'Annex 10-Gas'!$G$270),VLOOKUP($A16,Annex12_Gas_Table,'Annex 12-Gas'!$J$270)))</f>
        <v>0</v>
      </c>
      <c r="H16" s="1564" t="n">
        <f aca="false">IF($A16&lt;Startops2,0,IF(Assm!$F$29=0,VLOOKUP($A16,Annex10_Gas_Table,'Annex 10-Gas'!$P$270),VLOOKUP($A16,Annex12_Gas_Table,'Annex 12-Gas'!$V$270)))</f>
        <v>0</v>
      </c>
      <c r="I16" s="1563" t="n">
        <f aca="false">SUM(F16:H16)</f>
        <v>1558.36984898262</v>
      </c>
      <c r="J16" s="1563" t="n">
        <f aca="false">E16*I16</f>
        <v>0</v>
      </c>
      <c r="K16" s="1565" t="n">
        <f aca="false">IF(Assm!$L$74=1,VLOOKUP($A16,Curves_Table,Escalation!$D$291),Exch)</f>
        <v>1.065</v>
      </c>
      <c r="L16" s="1566" t="n">
        <f aca="false">J16/K16</f>
        <v>0</v>
      </c>
      <c r="M16" s="1567" t="str">
        <f aca="false">IF(MONTH($A16)=12,SUM(L5:L16)," ")</f>
        <v> </v>
      </c>
    </row>
    <row r="17" customFormat="false" ht="12.75" hidden="false" customHeight="false" outlineLevel="0" collapsed="false">
      <c r="A17" s="1538" t="n">
        <f aca="false">EDATE(A16,1)</f>
        <v>36404</v>
      </c>
      <c r="C17" s="1561" t="n">
        <f aca="false">MAX('Plant Operations'!H17,'Plant Operations'!L17)</f>
        <v>0.92</v>
      </c>
      <c r="D17" s="306" t="n">
        <f aca="false">IF($A17&gt;Endyr,0,AVERAGE(C5:C16))</f>
        <v>0.92</v>
      </c>
      <c r="E17" s="306" t="n">
        <f aca="false">IF(D17&gt;E$10,0,E$10-D17)</f>
        <v>0</v>
      </c>
      <c r="F17" s="1562" t="n">
        <f aca="false">IF(Assm!$F$29=0,'Annex 10-Plant'!G17,'Annex 12-Plant'!T17)</f>
        <v>2200.04073349607</v>
      </c>
      <c r="G17" s="1563" t="n">
        <f aca="false">IF($A17&lt;Startops2,0,IF(Assm!$F$29=0,VLOOKUP($A17,Annex10_Gas_Table,'Annex 10-Gas'!$G$270),VLOOKUP($A17,Annex12_Gas_Table,'Annex 12-Gas'!$J$270)))</f>
        <v>0</v>
      </c>
      <c r="H17" s="1564" t="n">
        <f aca="false">IF($A17&lt;Startops2,0,IF(Assm!$F$29=0,VLOOKUP($A17,Annex10_Gas_Table,'Annex 10-Gas'!$P$270),VLOOKUP($A17,Annex12_Gas_Table,'Annex 12-Gas'!$V$270)))</f>
        <v>0</v>
      </c>
      <c r="I17" s="1563" t="n">
        <f aca="false">SUM(F17:H17)</f>
        <v>2200.04073349607</v>
      </c>
      <c r="J17" s="1563" t="n">
        <f aca="false">E17*I17</f>
        <v>0</v>
      </c>
      <c r="K17" s="1565" t="n">
        <f aca="false">IF(Assm!$L$74=1,VLOOKUP($A17,Curves_Table,Escalation!$D$291),Exch)</f>
        <v>1.065</v>
      </c>
      <c r="L17" s="1566" t="n">
        <f aca="false">J17/K17</f>
        <v>0</v>
      </c>
      <c r="M17" s="1567" t="str">
        <f aca="false">IF(MONTH($A17)=12,SUM(L6:L17)," ")</f>
        <v> </v>
      </c>
    </row>
    <row r="18" customFormat="false" ht="12.75" hidden="false" customHeight="false" outlineLevel="0" collapsed="false">
      <c r="A18" s="1538" t="n">
        <f aca="false">EDATE(A17,1)</f>
        <v>36434</v>
      </c>
      <c r="C18" s="1561" t="n">
        <f aca="false">MAX('Plant Operations'!H18,'Plant Operations'!L18)</f>
        <v>0.92</v>
      </c>
      <c r="D18" s="306" t="n">
        <f aca="false">IF($A18&gt;Endyr,0,AVERAGE(C6:C17))</f>
        <v>0.92</v>
      </c>
      <c r="E18" s="306" t="n">
        <f aca="false">IF(D18&gt;E$10,0,E$10-D18)</f>
        <v>0</v>
      </c>
      <c r="F18" s="1562" t="n">
        <f aca="false">IF(Assm!$F$29=0,'Annex 10-Plant'!G18,'Annex 12-Plant'!T18)</f>
        <v>2208.49828670169</v>
      </c>
      <c r="G18" s="1563" t="n">
        <f aca="false">IF($A18&lt;Startops2,0,IF(Assm!$F$29=0,VLOOKUP($A18,Annex10_Gas_Table,'Annex 10-Gas'!$G$270),VLOOKUP($A18,Annex12_Gas_Table,'Annex 12-Gas'!$J$270)))</f>
        <v>0</v>
      </c>
      <c r="H18" s="1564" t="n">
        <f aca="false">IF($A18&lt;Startops2,0,IF(Assm!$F$29=0,VLOOKUP($A18,Annex10_Gas_Table,'Annex 10-Gas'!$P$270),VLOOKUP($A18,Annex12_Gas_Table,'Annex 12-Gas'!$V$270)))</f>
        <v>0</v>
      </c>
      <c r="I18" s="1563" t="n">
        <f aca="false">SUM(F18:H18)</f>
        <v>2208.49828670169</v>
      </c>
      <c r="J18" s="1563" t="n">
        <f aca="false">E18*I18</f>
        <v>0</v>
      </c>
      <c r="K18" s="1565" t="n">
        <f aca="false">IF(Assm!$L$74=1,VLOOKUP($A18,Curves_Table,Escalation!$D$291),Exch)</f>
        <v>1.065</v>
      </c>
      <c r="L18" s="1566" t="n">
        <f aca="false">J18/K18</f>
        <v>0</v>
      </c>
      <c r="M18" s="1567" t="str">
        <f aca="false">IF(MONTH($A18)=12,SUM(L7:L18)," ")</f>
        <v> </v>
      </c>
    </row>
    <row r="19" customFormat="false" ht="12.75" hidden="false" customHeight="false" outlineLevel="0" collapsed="false">
      <c r="A19" s="1538" t="n">
        <f aca="false">EDATE(A18,1)</f>
        <v>36465</v>
      </c>
      <c r="C19" s="1561" t="n">
        <f aca="false">MAX('Plant Operations'!H19,'Plant Operations'!L19)</f>
        <v>0.92</v>
      </c>
      <c r="D19" s="306" t="n">
        <f aca="false">IF($A19&gt;Endyr,0,AVERAGE(C7:C18))</f>
        <v>0.92</v>
      </c>
      <c r="E19" s="306" t="n">
        <f aca="false">IF(D19&gt;E$10,0,E$10-D19)</f>
        <v>0</v>
      </c>
      <c r="F19" s="1562" t="n">
        <f aca="false">IF(Assm!$F$29=0,'Annex 10-Plant'!G19,'Annex 12-Plant'!T19)</f>
        <v>2189.3768620629</v>
      </c>
      <c r="G19" s="1563" t="n">
        <f aca="false">IF($A19&lt;Startops2,0,IF(Assm!$F$29=0,VLOOKUP($A19,Annex10_Gas_Table,'Annex 10-Gas'!$G$270),VLOOKUP($A19,Annex12_Gas_Table,'Annex 12-Gas'!$J$270)))</f>
        <v>0</v>
      </c>
      <c r="H19" s="1564" t="n">
        <f aca="false">IF($A19&lt;Startops2,0,IF(Assm!$F$29=0,VLOOKUP($A19,Annex10_Gas_Table,'Annex 10-Gas'!$P$270),VLOOKUP($A19,Annex12_Gas_Table,'Annex 12-Gas'!$V$270)))</f>
        <v>0</v>
      </c>
      <c r="I19" s="1563" t="n">
        <f aca="false">SUM(F19:H19)</f>
        <v>2189.3768620629</v>
      </c>
      <c r="J19" s="1563" t="n">
        <f aca="false">E19*I19</f>
        <v>0</v>
      </c>
      <c r="K19" s="1565" t="n">
        <f aca="false">IF(Assm!$L$74=1,VLOOKUP($A19,Curves_Table,Escalation!$D$291),Exch)</f>
        <v>1.065</v>
      </c>
      <c r="L19" s="1566" t="n">
        <f aca="false">J19/K19</f>
        <v>0</v>
      </c>
      <c r="M19" s="1567" t="str">
        <f aca="false">IF(MONTH($A19)=12,SUM(L8:L19)," ")</f>
        <v> </v>
      </c>
    </row>
    <row r="20" customFormat="false" ht="12.75" hidden="false" customHeight="false" outlineLevel="0" collapsed="false">
      <c r="A20" s="1538" t="n">
        <f aca="false">EDATE(A19,1)</f>
        <v>36495</v>
      </c>
      <c r="C20" s="1561" t="n">
        <f aca="false">MAX('Plant Operations'!H20,'Plant Operations'!L20)</f>
        <v>0.92</v>
      </c>
      <c r="D20" s="306" t="n">
        <f aca="false">IF($A20&gt;Endyr,0,AVERAGE(C8:C19))</f>
        <v>0.92</v>
      </c>
      <c r="E20" s="306" t="n">
        <f aca="false">IF(D20&gt;E$10,0,E$10-D20)</f>
        <v>0</v>
      </c>
      <c r="F20" s="1562" t="n">
        <f aca="false">IF(Assm!$F$29=0,'Annex 10-Plant'!G20,'Annex 12-Plant'!T20)</f>
        <v>2098.18237532402</v>
      </c>
      <c r="G20" s="1563" t="n">
        <f aca="false">IF($A20&lt;Startops2,0,IF(Assm!$F$29=0,VLOOKUP($A20,Annex10_Gas_Table,'Annex 10-Gas'!$G$270),VLOOKUP($A20,Annex12_Gas_Table,'Annex 12-Gas'!$J$270)))</f>
        <v>0</v>
      </c>
      <c r="H20" s="1564" t="n">
        <f aca="false">IF($A20&lt;Startops2,0,IF(Assm!$F$29=0,VLOOKUP($A20,Annex10_Gas_Table,'Annex 10-Gas'!$P$270),VLOOKUP($A20,Annex12_Gas_Table,'Annex 12-Gas'!$V$270)))</f>
        <v>0</v>
      </c>
      <c r="I20" s="1563" t="n">
        <f aca="false">SUM(F20:H20)</f>
        <v>2098.18237532402</v>
      </c>
      <c r="J20" s="1563" t="n">
        <f aca="false">E20*I20</f>
        <v>0</v>
      </c>
      <c r="K20" s="1565" t="n">
        <f aca="false">IF(Assm!$L$74=1,VLOOKUP($A20,Curves_Table,Escalation!$D$291),Exch)</f>
        <v>1.065</v>
      </c>
      <c r="L20" s="1566" t="n">
        <f aca="false">J20/K20</f>
        <v>0</v>
      </c>
      <c r="M20" s="1567" t="n">
        <f aca="false">IF(MONTH($A20)=12,SUM(L9:L20)," ")</f>
        <v>0</v>
      </c>
    </row>
    <row r="21" customFormat="false" ht="12.75" hidden="false" customHeight="false" outlineLevel="0" collapsed="false">
      <c r="A21" s="1538" t="n">
        <f aca="false">EDATE(A20,1)</f>
        <v>36526</v>
      </c>
      <c r="C21" s="1561" t="n">
        <f aca="false">MAX('Plant Operations'!H21,'Plant Operations'!L21)</f>
        <v>0.92</v>
      </c>
      <c r="D21" s="306" t="n">
        <f aca="false">IF($A21&gt;Endyr,0,AVERAGE(C9:C20))</f>
        <v>0.92</v>
      </c>
      <c r="E21" s="306" t="n">
        <f aca="false">IF(D21&gt;E$10,0,E$10-D21)</f>
        <v>0</v>
      </c>
      <c r="F21" s="1562" t="n">
        <f aca="false">IF(Assm!$F$29=0,'Annex 10-Plant'!G21,'Annex 12-Plant'!T21)</f>
        <v>2095.05723490703</v>
      </c>
      <c r="G21" s="1563" t="n">
        <f aca="false">IF($A21&lt;Startops2,0,IF(Assm!$F$29=0,VLOOKUP($A21,Annex10_Gas_Table,'Annex 10-Gas'!$G$270),VLOOKUP($A21,Annex12_Gas_Table,'Annex 12-Gas'!$J$270)))</f>
        <v>0</v>
      </c>
      <c r="H21" s="1564" t="n">
        <f aca="false">IF($A21&lt;Startops2,0,IF(Assm!$F$29=0,VLOOKUP($A21,Annex10_Gas_Table,'Annex 10-Gas'!$P$270),VLOOKUP($A21,Annex12_Gas_Table,'Annex 12-Gas'!$V$270)))</f>
        <v>0</v>
      </c>
      <c r="I21" s="1563" t="n">
        <f aca="false">SUM(F21:H21)</f>
        <v>2095.05723490703</v>
      </c>
      <c r="J21" s="1563" t="n">
        <f aca="false">E21*I21</f>
        <v>0</v>
      </c>
      <c r="K21" s="1565" t="n">
        <f aca="false">IF(Assm!$L$74=1,VLOOKUP($A21,Curves_Table,Escalation!$D$291),Exch)</f>
        <v>1.065</v>
      </c>
      <c r="L21" s="1566" t="n">
        <f aca="false">J21/K21</f>
        <v>0</v>
      </c>
      <c r="M21" s="1567" t="str">
        <f aca="false">IF(MONTH($A21)=12,SUM(L10:L21)," ")</f>
        <v> </v>
      </c>
    </row>
    <row r="22" customFormat="false" ht="12.75" hidden="false" customHeight="false" outlineLevel="0" collapsed="false">
      <c r="A22" s="1538" t="n">
        <f aca="false">EDATE(A21,1)</f>
        <v>36557</v>
      </c>
      <c r="C22" s="1561" t="n">
        <f aca="false">MAX('Plant Operations'!H22,'Plant Operations'!L22)</f>
        <v>0.92</v>
      </c>
      <c r="D22" s="306" t="n">
        <f aca="false">IF($A22&gt;Endyr,0,AVERAGE(C10:C21))</f>
        <v>0.92</v>
      </c>
      <c r="E22" s="306" t="n">
        <f aca="false">IF(D22&gt;E$10,0,E$10-D22)</f>
        <v>0</v>
      </c>
      <c r="F22" s="1562" t="n">
        <f aca="false">IF(Assm!$F$29=0,'Annex 10-Plant'!G22,'Annex 12-Plant'!T22)</f>
        <v>2091.93947626853</v>
      </c>
      <c r="G22" s="1563" t="n">
        <f aca="false">IF($A22&lt;Startops2,0,IF(Assm!$F$29=0,VLOOKUP($A22,Annex10_Gas_Table,'Annex 10-Gas'!$G$270),VLOOKUP($A22,Annex12_Gas_Table,'Annex 12-Gas'!$J$270)))</f>
        <v>0</v>
      </c>
      <c r="H22" s="1564" t="n">
        <f aca="false">IF($A22&lt;Startops2,0,IF(Assm!$F$29=0,VLOOKUP($A22,Annex10_Gas_Table,'Annex 10-Gas'!$P$270),VLOOKUP($A22,Annex12_Gas_Table,'Annex 12-Gas'!$V$270)))</f>
        <v>0</v>
      </c>
      <c r="I22" s="1563" t="n">
        <f aca="false">SUM(F22:H22)</f>
        <v>2091.93947626853</v>
      </c>
      <c r="J22" s="1563" t="n">
        <f aca="false">E22*I22</f>
        <v>0</v>
      </c>
      <c r="K22" s="1565" t="n">
        <f aca="false">IF(Assm!$L$74=1,VLOOKUP($A22,Curves_Table,Escalation!$D$291),Exch)</f>
        <v>1.065</v>
      </c>
      <c r="L22" s="1566" t="n">
        <f aca="false">J22/K22</f>
        <v>0</v>
      </c>
      <c r="M22" s="1567" t="str">
        <f aca="false">IF(MONTH($A22)=12,SUM(L11:L22)," ")</f>
        <v> </v>
      </c>
    </row>
    <row r="23" customFormat="false" ht="12.75" hidden="false" customHeight="false" outlineLevel="0" collapsed="false">
      <c r="A23" s="1538" t="n">
        <f aca="false">EDATE(A22,1)</f>
        <v>36586</v>
      </c>
      <c r="C23" s="1561" t="n">
        <f aca="false">MAX('Plant Operations'!H23,'Plant Operations'!L23)</f>
        <v>0.92</v>
      </c>
      <c r="D23" s="306" t="n">
        <f aca="false">IF($A23&gt;Endyr,0,AVERAGE(C11:C22))</f>
        <v>0.92</v>
      </c>
      <c r="E23" s="306" t="n">
        <f aca="false">IF(D23&gt;E$10,0,E$10-D23)</f>
        <v>0</v>
      </c>
      <c r="F23" s="1562" t="n">
        <f aca="false">IF(Assm!$F$29=0,'Annex 10-Plant'!G23,'Annex 12-Plant'!T23)</f>
        <v>2088.82908197231</v>
      </c>
      <c r="G23" s="1563" t="n">
        <f aca="false">IF($A23&lt;Startops2,0,IF(Assm!$F$29=0,VLOOKUP($A23,Annex10_Gas_Table,'Annex 10-Gas'!$G$270),VLOOKUP($A23,Annex12_Gas_Table,'Annex 12-Gas'!$J$270)))</f>
        <v>0</v>
      </c>
      <c r="H23" s="1564" t="n">
        <f aca="false">IF($A23&lt;Startops2,0,IF(Assm!$F$29=0,VLOOKUP($A23,Annex10_Gas_Table,'Annex 10-Gas'!$P$270),VLOOKUP($A23,Annex12_Gas_Table,'Annex 12-Gas'!$V$270)))</f>
        <v>0</v>
      </c>
      <c r="I23" s="1563" t="n">
        <f aca="false">SUM(F23:H23)</f>
        <v>2088.82908197231</v>
      </c>
      <c r="J23" s="1563" t="n">
        <f aca="false">E23*I23</f>
        <v>0</v>
      </c>
      <c r="K23" s="1565" t="n">
        <f aca="false">IF(Assm!$L$74=1,VLOOKUP($A23,Curves_Table,Escalation!$D$291),Exch)</f>
        <v>1.065</v>
      </c>
      <c r="L23" s="1566" t="n">
        <f aca="false">J23/K23</f>
        <v>0</v>
      </c>
      <c r="M23" s="1567" t="str">
        <f aca="false">IF(MONTH($A23)=12,SUM(L12:L23)," ")</f>
        <v> </v>
      </c>
    </row>
    <row r="24" customFormat="false" ht="12.75" hidden="false" customHeight="false" outlineLevel="0" collapsed="false">
      <c r="A24" s="1538" t="n">
        <f aca="false">EDATE(A23,1)</f>
        <v>36617</v>
      </c>
      <c r="C24" s="1561" t="n">
        <f aca="false">MAX('Plant Operations'!H24,'Plant Operations'!L24)</f>
        <v>0.92</v>
      </c>
      <c r="D24" s="306" t="n">
        <f aca="false">IF($A24&gt;Endyr,0,AVERAGE(C12:C23))</f>
        <v>0.92</v>
      </c>
      <c r="E24" s="306" t="n">
        <f aca="false">IF(D24&gt;E$10,0,E$10-D24)</f>
        <v>0</v>
      </c>
      <c r="F24" s="1562" t="n">
        <f aca="false">IF(Assm!$F$29=0,'Annex 10-Plant'!G24,'Annex 12-Plant'!T24)</f>
        <v>2085.72603462333</v>
      </c>
      <c r="G24" s="1563" t="n">
        <f aca="false">IF($A24&lt;Startops2,0,IF(Assm!$F$29=0,VLOOKUP($A24,Annex10_Gas_Table,'Annex 10-Gas'!$G$270),VLOOKUP($A24,Annex12_Gas_Table,'Annex 12-Gas'!$J$270)))</f>
        <v>0</v>
      </c>
      <c r="H24" s="1564" t="n">
        <f aca="false">IF($A24&lt;Startops2,0,IF(Assm!$F$29=0,VLOOKUP($A24,Annex10_Gas_Table,'Annex 10-Gas'!$P$270),VLOOKUP($A24,Annex12_Gas_Table,'Annex 12-Gas'!$V$270)))</f>
        <v>0</v>
      </c>
      <c r="I24" s="1563" t="n">
        <f aca="false">SUM(F24:H24)</f>
        <v>2085.72603462333</v>
      </c>
      <c r="J24" s="1563" t="n">
        <f aca="false">E24*I24</f>
        <v>0</v>
      </c>
      <c r="K24" s="1565" t="n">
        <f aca="false">IF(Assm!$L$74=1,VLOOKUP($A24,Curves_Table,Escalation!$D$291),Exch)</f>
        <v>1.065</v>
      </c>
      <c r="L24" s="1566" t="n">
        <f aca="false">J24/K24</f>
        <v>0</v>
      </c>
      <c r="M24" s="1567" t="str">
        <f aca="false">IF(MONTH($A24)=12,SUM(L13:L24)," ")</f>
        <v> </v>
      </c>
    </row>
    <row r="25" customFormat="false" ht="12.75" hidden="false" customHeight="false" outlineLevel="0" collapsed="false">
      <c r="A25" s="1538" t="n">
        <f aca="false">EDATE(A24,1)</f>
        <v>36647</v>
      </c>
      <c r="C25" s="1561" t="n">
        <f aca="false">MAX('Plant Operations'!H25,'Plant Operations'!L25)</f>
        <v>0.92</v>
      </c>
      <c r="D25" s="306" t="n">
        <f aca="false">IF($A25&gt;Endyr,0,AVERAGE(C13:C24))</f>
        <v>0.92</v>
      </c>
      <c r="E25" s="306" t="n">
        <f aca="false">IF(D25&gt;E$10,0,E$10-D25)</f>
        <v>0</v>
      </c>
      <c r="F25" s="1562" t="n">
        <f aca="false">IF(Assm!$F$29=0,'Annex 10-Plant'!G25,'Annex 12-Plant'!T25)</f>
        <v>2227.55222844123</v>
      </c>
      <c r="G25" s="1563" t="n">
        <f aca="false">IF($A25&lt;Startops2,0,IF(Assm!$F$29=0,VLOOKUP($A25,Annex10_Gas_Table,'Annex 10-Gas'!$G$270),VLOOKUP($A25,Annex12_Gas_Table,'Annex 12-Gas'!$J$270)))</f>
        <v>0</v>
      </c>
      <c r="H25" s="1564" t="n">
        <f aca="false">IF($A25&lt;Startops2,0,IF(Assm!$F$29=0,VLOOKUP($A25,Annex10_Gas_Table,'Annex 10-Gas'!$P$270),VLOOKUP($A25,Annex12_Gas_Table,'Annex 12-Gas'!$V$270)))</f>
        <v>0</v>
      </c>
      <c r="I25" s="1563" t="n">
        <f aca="false">SUM(F25:H25)</f>
        <v>2227.55222844123</v>
      </c>
      <c r="J25" s="1563" t="n">
        <f aca="false">E25*I25</f>
        <v>0</v>
      </c>
      <c r="K25" s="1565" t="n">
        <f aca="false">IF(Assm!$L$74=1,VLOOKUP($A25,Curves_Table,Escalation!$D$291),Exch)</f>
        <v>1.065</v>
      </c>
      <c r="L25" s="1566" t="n">
        <f aca="false">J25/K25</f>
        <v>0</v>
      </c>
      <c r="M25" s="1567" t="str">
        <f aca="false">IF(MONTH($A25)=12,SUM(L14:L25)," ")</f>
        <v> </v>
      </c>
    </row>
    <row r="26" customFormat="false" ht="12.75" hidden="false" customHeight="false" outlineLevel="0" collapsed="false">
      <c r="A26" s="1538" t="n">
        <f aca="false">EDATE(A25,1)</f>
        <v>36678</v>
      </c>
      <c r="C26" s="1561" t="n">
        <f aca="false">MAX('Plant Operations'!H26,'Plant Operations'!L26)</f>
        <v>0.92</v>
      </c>
      <c r="D26" s="306" t="n">
        <f aca="false">IF($A26&gt;Endyr,0,AVERAGE(C14:C25))</f>
        <v>0.92</v>
      </c>
      <c r="E26" s="306" t="n">
        <f aca="false">IF(D26&gt;E$10,0,E$10-D26)</f>
        <v>0</v>
      </c>
      <c r="F26" s="1562" t="n">
        <f aca="false">IF(Assm!$F$29=0,'Annex 10-Plant'!G26,'Annex 12-Plant'!T26)</f>
        <v>2224.39051114732</v>
      </c>
      <c r="G26" s="1563" t="n">
        <f aca="false">IF($A26&lt;Startops2,0,IF(Assm!$F$29=0,VLOOKUP($A26,Annex10_Gas_Table,'Annex 10-Gas'!$G$270),VLOOKUP($A26,Annex12_Gas_Table,'Annex 12-Gas'!$J$270)))</f>
        <v>0</v>
      </c>
      <c r="H26" s="1564" t="n">
        <f aca="false">IF($A26&lt;Startops2,0,IF(Assm!$F$29=0,VLOOKUP($A26,Annex10_Gas_Table,'Annex 10-Gas'!$P$270),VLOOKUP($A26,Annex12_Gas_Table,'Annex 12-Gas'!$V$270)))</f>
        <v>0</v>
      </c>
      <c r="I26" s="1563" t="n">
        <f aca="false">SUM(F26:H26)</f>
        <v>2224.39051114732</v>
      </c>
      <c r="J26" s="1563" t="n">
        <f aca="false">E26*I26</f>
        <v>0</v>
      </c>
      <c r="K26" s="1565" t="n">
        <f aca="false">IF(Assm!$L$74=1,VLOOKUP($A26,Curves_Table,Escalation!$D$291),Exch)</f>
        <v>1.065</v>
      </c>
      <c r="L26" s="1566" t="n">
        <f aca="false">J26/K26</f>
        <v>0</v>
      </c>
      <c r="M26" s="1567" t="str">
        <f aca="false">IF(MONTH($A26)=12,SUM(L15:L26)," ")</f>
        <v> </v>
      </c>
    </row>
    <row r="27" customFormat="false" ht="12.75" hidden="false" customHeight="false" outlineLevel="0" collapsed="false">
      <c r="A27" s="1538" t="n">
        <f aca="false">EDATE(A26,1)</f>
        <v>36708</v>
      </c>
      <c r="C27" s="1561" t="n">
        <f aca="false">MAX('Plant Operations'!H27,'Plant Operations'!L27)</f>
        <v>0.92</v>
      </c>
      <c r="D27" s="306" t="n">
        <f aca="false">IF($A27&gt;Endyr,0,AVERAGE(C15:C26))</f>
        <v>0.92</v>
      </c>
      <c r="E27" s="306" t="n">
        <f aca="false">IF(D27&gt;E$10,0,E$10-D27)</f>
        <v>0</v>
      </c>
      <c r="F27" s="1562" t="n">
        <f aca="false">IF(Assm!$F$29=0,'Annex 10-Plant'!G27,'Annex 12-Plant'!T27)</f>
        <v>2221.23626202881</v>
      </c>
      <c r="G27" s="1563" t="n">
        <f aca="false">IF($A27&lt;Startops2,0,IF(Assm!$F$29=0,VLOOKUP($A27,Annex10_Gas_Table,'Annex 10-Gas'!$G$270),VLOOKUP($A27,Annex12_Gas_Table,'Annex 12-Gas'!$J$270)))</f>
        <v>0</v>
      </c>
      <c r="H27" s="1564" t="n">
        <f aca="false">IF($A27&lt;Startops2,0,IF(Assm!$F$29=0,VLOOKUP($A27,Annex10_Gas_Table,'Annex 10-Gas'!$P$270),VLOOKUP($A27,Annex12_Gas_Table,'Annex 12-Gas'!$V$270)))</f>
        <v>0</v>
      </c>
      <c r="I27" s="1563" t="n">
        <f aca="false">SUM(F27:H27)</f>
        <v>2221.23626202881</v>
      </c>
      <c r="J27" s="1563" t="n">
        <f aca="false">E27*I27</f>
        <v>0</v>
      </c>
      <c r="K27" s="1565" t="n">
        <f aca="false">IF(Assm!$L$74=1,VLOOKUP($A27,Curves_Table,Escalation!$D$291),Exch)</f>
        <v>1.065</v>
      </c>
      <c r="L27" s="1566" t="n">
        <f aca="false">J27/K27</f>
        <v>0</v>
      </c>
      <c r="M27" s="1567" t="str">
        <f aca="false">IF(MONTH($A27)=12,SUM(L16:L27)," ")</f>
        <v> </v>
      </c>
    </row>
    <row r="28" customFormat="false" ht="12.75" hidden="false" customHeight="false" outlineLevel="0" collapsed="false">
      <c r="A28" s="1538" t="n">
        <f aca="false">EDATE(A27,1)</f>
        <v>36739</v>
      </c>
      <c r="C28" s="1561" t="n">
        <f aca="false">MAX('Plant Operations'!H28,'Plant Operations'!L28)</f>
        <v>0.92</v>
      </c>
      <c r="D28" s="306" t="n">
        <f aca="false">IF($A28&gt;Endyr,0,AVERAGE(C16:C27))</f>
        <v>0.92</v>
      </c>
      <c r="E28" s="306" t="n">
        <f aca="false">IF(D28&gt;E$10,0,E$10-D28)</f>
        <v>0</v>
      </c>
      <c r="F28" s="1562" t="n">
        <f aca="false">IF(Assm!$F$29=0,'Annex 10-Plant'!G28,'Annex 12-Plant'!T28)</f>
        <v>2218.08946344539</v>
      </c>
      <c r="G28" s="1563" t="n">
        <f aca="false">IF($A28&lt;Startops2,0,IF(Assm!$F$29=0,VLOOKUP($A28,Annex10_Gas_Table,'Annex 10-Gas'!$G$270),VLOOKUP($A28,Annex12_Gas_Table,'Annex 12-Gas'!$J$270)))</f>
        <v>0</v>
      </c>
      <c r="H28" s="1564" t="n">
        <f aca="false">IF($A28&lt;Startops2,0,IF(Assm!$F$29=0,VLOOKUP($A28,Annex10_Gas_Table,'Annex 10-Gas'!$P$270),VLOOKUP($A28,Annex12_Gas_Table,'Annex 12-Gas'!$V$270)))</f>
        <v>0</v>
      </c>
      <c r="I28" s="1563" t="n">
        <f aca="false">SUM(F28:H28)</f>
        <v>2218.08946344539</v>
      </c>
      <c r="J28" s="1563" t="n">
        <f aca="false">E28*I28</f>
        <v>0</v>
      </c>
      <c r="K28" s="1565" t="n">
        <f aca="false">IF(Assm!$L$74=1,VLOOKUP($A28,Curves_Table,Escalation!$D$291),Exch)</f>
        <v>1.065</v>
      </c>
      <c r="L28" s="1566" t="n">
        <f aca="false">J28/K28</f>
        <v>0</v>
      </c>
      <c r="M28" s="1567" t="str">
        <f aca="false">IF(MONTH($A28)=12,SUM(L17:L28)," ")</f>
        <v> </v>
      </c>
    </row>
    <row r="29" customFormat="false" ht="12.75" hidden="false" customHeight="false" outlineLevel="0" collapsed="false">
      <c r="A29" s="1538" t="n">
        <f aca="false">EDATE(A28,1)</f>
        <v>36770</v>
      </c>
      <c r="C29" s="1561" t="n">
        <f aca="false">MAX('Plant Operations'!H29,'Plant Operations'!L29)</f>
        <v>0.92</v>
      </c>
      <c r="D29" s="306" t="n">
        <f aca="false">IF($A29&gt;Endyr,0,AVERAGE(C17:C28))</f>
        <v>0.92</v>
      </c>
      <c r="E29" s="306" t="n">
        <f aca="false">IF(D29&gt;E$10,0,E$10-D29)</f>
        <v>0</v>
      </c>
      <c r="F29" s="1562" t="n">
        <f aca="false">IF(Assm!$F$29=0,'Annex 10-Plant'!G29,'Annex 12-Plant'!T29)</f>
        <v>2214.95009779842</v>
      </c>
      <c r="G29" s="1563" t="n">
        <f aca="false">IF($A29&lt;Startops2,0,IF(Assm!$F$29=0,VLOOKUP($A29,Annex10_Gas_Table,'Annex 10-Gas'!$G$270),VLOOKUP($A29,Annex12_Gas_Table,'Annex 12-Gas'!$J$270)))</f>
        <v>0</v>
      </c>
      <c r="H29" s="1564" t="n">
        <f aca="false">IF($A29&lt;Startops2,0,IF(Assm!$F$29=0,VLOOKUP($A29,Annex10_Gas_Table,'Annex 10-Gas'!$P$270),VLOOKUP($A29,Annex12_Gas_Table,'Annex 12-Gas'!$V$270)))</f>
        <v>0</v>
      </c>
      <c r="I29" s="1563" t="n">
        <f aca="false">SUM(F29:H29)</f>
        <v>2214.95009779842</v>
      </c>
      <c r="J29" s="1563" t="n">
        <f aca="false">E29*I29</f>
        <v>0</v>
      </c>
      <c r="K29" s="1565" t="n">
        <f aca="false">IF(Assm!$L$74=1,VLOOKUP($A29,Curves_Table,Escalation!$D$291),Exch)</f>
        <v>1.065</v>
      </c>
      <c r="L29" s="1566" t="n">
        <f aca="false">J29/K29</f>
        <v>0</v>
      </c>
      <c r="M29" s="1567" t="str">
        <f aca="false">IF(MONTH($A29)=12,SUM(L18:L29)," ")</f>
        <v> </v>
      </c>
    </row>
    <row r="30" customFormat="false" ht="12.75" hidden="false" customHeight="false" outlineLevel="0" collapsed="false">
      <c r="A30" s="1538" t="n">
        <f aca="false">EDATE(A29,1)</f>
        <v>36800</v>
      </c>
      <c r="C30" s="1561" t="n">
        <f aca="false">MAX('Plant Operations'!H30,'Plant Operations'!L30)</f>
        <v>0.92</v>
      </c>
      <c r="D30" s="306" t="n">
        <f aca="false">IF($A30&gt;Endyr,0,AVERAGE(C18:C29))</f>
        <v>0.92</v>
      </c>
      <c r="E30" s="306" t="n">
        <f aca="false">IF(D30&gt;E$10,0,E$10-D30)</f>
        <v>0</v>
      </c>
      <c r="F30" s="1562" t="n">
        <f aca="false">IF(Assm!$F$29=0,'Annex 10-Plant'!G30,'Annex 12-Plant'!T30)</f>
        <v>2211.81814753084</v>
      </c>
      <c r="G30" s="1563" t="n">
        <f aca="false">IF($A30&lt;Startops2,0,IF(Assm!$F$29=0,VLOOKUP($A30,Annex10_Gas_Table,'Annex 10-Gas'!$G$270),VLOOKUP($A30,Annex12_Gas_Table,'Annex 12-Gas'!$J$270)))</f>
        <v>0</v>
      </c>
      <c r="H30" s="1564" t="n">
        <f aca="false">IF($A30&lt;Startops2,0,IF(Assm!$F$29=0,VLOOKUP($A30,Annex10_Gas_Table,'Annex 10-Gas'!$P$270),VLOOKUP($A30,Annex12_Gas_Table,'Annex 12-Gas'!$V$270)))</f>
        <v>0</v>
      </c>
      <c r="I30" s="1563" t="n">
        <f aca="false">SUM(F30:H30)</f>
        <v>2211.81814753084</v>
      </c>
      <c r="J30" s="1563" t="n">
        <f aca="false">E30*I30</f>
        <v>0</v>
      </c>
      <c r="K30" s="1565" t="n">
        <f aca="false">IF(Assm!$L$74=1,VLOOKUP($A30,Curves_Table,Escalation!$D$291),Exch)</f>
        <v>1.065</v>
      </c>
      <c r="L30" s="1566" t="n">
        <f aca="false">J30/K30</f>
        <v>0</v>
      </c>
      <c r="M30" s="1567" t="str">
        <f aca="false">IF(MONTH($A30)=12,SUM(L19:L30)," ")</f>
        <v> </v>
      </c>
    </row>
    <row r="31" customFormat="false" ht="12.75" hidden="false" customHeight="false" outlineLevel="0" collapsed="false">
      <c r="A31" s="1538" t="n">
        <f aca="false">EDATE(A30,1)</f>
        <v>36831</v>
      </c>
      <c r="C31" s="1561" t="n">
        <f aca="false">MAX('Plant Operations'!H31,'Plant Operations'!L31)</f>
        <v>0.92</v>
      </c>
      <c r="D31" s="306" t="n">
        <f aca="false">IF($A31&gt;Endyr,0,AVERAGE(C19:C30))</f>
        <v>0.92</v>
      </c>
      <c r="E31" s="306" t="n">
        <f aca="false">IF(D31&gt;E$10,0,E$10-D31)</f>
        <v>0</v>
      </c>
      <c r="F31" s="1562" t="n">
        <f aca="false">IF(Assm!$F$29=0,'Annex 10-Plant'!G31,'Annex 12-Plant'!T31)</f>
        <v>2208.69359512706</v>
      </c>
      <c r="G31" s="1563" t="n">
        <f aca="false">IF($A31&lt;Startops2,0,IF(Assm!$F$29=0,VLOOKUP($A31,Annex10_Gas_Table,'Annex 10-Gas'!$G$270),VLOOKUP($A31,Annex12_Gas_Table,'Annex 12-Gas'!$J$270)))</f>
        <v>0</v>
      </c>
      <c r="H31" s="1564" t="n">
        <f aca="false">IF($A31&lt;Startops2,0,IF(Assm!$F$29=0,VLOOKUP($A31,Annex10_Gas_Table,'Annex 10-Gas'!$P$270),VLOOKUP($A31,Annex12_Gas_Table,'Annex 12-Gas'!$V$270)))</f>
        <v>0</v>
      </c>
      <c r="I31" s="1563" t="n">
        <f aca="false">SUM(F31:H31)</f>
        <v>2208.69359512706</v>
      </c>
      <c r="J31" s="1563" t="n">
        <f aca="false">E31*I31</f>
        <v>0</v>
      </c>
      <c r="K31" s="1565" t="n">
        <f aca="false">IF(Assm!$L$74=1,VLOOKUP($A31,Curves_Table,Escalation!$D$291),Exch)</f>
        <v>1.065</v>
      </c>
      <c r="L31" s="1566" t="n">
        <f aca="false">J31/K31</f>
        <v>0</v>
      </c>
      <c r="M31" s="1567" t="str">
        <f aca="false">IF(MONTH($A31)=12,SUM(L20:L31)," ")</f>
        <v> </v>
      </c>
    </row>
    <row r="32" customFormat="false" ht="12.75" hidden="false" customHeight="false" outlineLevel="0" collapsed="false">
      <c r="A32" s="1538" t="n">
        <f aca="false">EDATE(A31,1)</f>
        <v>36861</v>
      </c>
      <c r="C32" s="1561" t="n">
        <f aca="false">MAX('Plant Operations'!H32,'Plant Operations'!L32)</f>
        <v>0.92</v>
      </c>
      <c r="D32" s="306" t="n">
        <f aca="false">IF($A32&gt;Endyr,0,AVERAGE(C20:C31))</f>
        <v>0.92</v>
      </c>
      <c r="E32" s="306" t="n">
        <f aca="false">IF(D32&gt;E$10,0,E$10-D32)</f>
        <v>0</v>
      </c>
      <c r="F32" s="1562" t="n">
        <f aca="false">IF(Assm!$F$29=0,'Annex 10-Plant'!G32,'Annex 12-Plant'!T32)</f>
        <v>2247.13835257019</v>
      </c>
      <c r="G32" s="1563" t="n">
        <f aca="false">IF($A32&lt;Startops2,0,IF(Assm!$F$29=0,VLOOKUP($A32,Annex10_Gas_Table,'Annex 10-Gas'!$G$270),VLOOKUP($A32,Annex12_Gas_Table,'Annex 12-Gas'!$J$270)))</f>
        <v>0</v>
      </c>
      <c r="H32" s="1564" t="n">
        <f aca="false">IF($A32&lt;Startops2,0,IF(Assm!$F$29=0,VLOOKUP($A32,Annex10_Gas_Table,'Annex 10-Gas'!$P$270),VLOOKUP($A32,Annex12_Gas_Table,'Annex 12-Gas'!$V$270)))</f>
        <v>0</v>
      </c>
      <c r="I32" s="1563" t="n">
        <f aca="false">SUM(F32:H32)</f>
        <v>2247.13835257019</v>
      </c>
      <c r="J32" s="1563" t="n">
        <f aca="false">E32*I32</f>
        <v>0</v>
      </c>
      <c r="K32" s="1565" t="n">
        <f aca="false">IF(Assm!$L$74=1,VLOOKUP($A32,Curves_Table,Escalation!$D$291),Exch)</f>
        <v>1.065</v>
      </c>
      <c r="L32" s="1566" t="n">
        <f aca="false">J32/K32</f>
        <v>0</v>
      </c>
      <c r="M32" s="1567" t="n">
        <f aca="false">IF(MONTH($A32)=12,SUM(L21:L32)," ")</f>
        <v>0</v>
      </c>
    </row>
    <row r="33" customFormat="false" ht="12.75" hidden="false" customHeight="false" outlineLevel="0" collapsed="false">
      <c r="A33" s="1538" t="n">
        <f aca="false">EDATE(A32,1)</f>
        <v>36892</v>
      </c>
      <c r="C33" s="1561" t="n">
        <f aca="false">MAX('Plant Operations'!H33,'Plant Operations'!L33)</f>
        <v>0.92</v>
      </c>
      <c r="D33" s="306" t="n">
        <f aca="false">IF($A33&gt;Endyr,0,AVERAGE(C21:C32))</f>
        <v>0.92</v>
      </c>
      <c r="E33" s="306" t="n">
        <f aca="false">IF(D33&gt;E$10,0,E$10-D33)</f>
        <v>0</v>
      </c>
      <c r="F33" s="1562" t="n">
        <f aca="false">IF(Assm!$F$29=0,'Annex 10-Plant'!G33,'Annex 12-Plant'!T33)</f>
        <v>2258.39683369343</v>
      </c>
      <c r="G33" s="1563" t="n">
        <f aca="false">IF($A33&lt;Startops2,0,IF(Assm!$F$29=0,VLOOKUP($A33,Annex10_Gas_Table,'Annex 10-Gas'!$G$270),VLOOKUP($A33,Annex12_Gas_Table,'Annex 12-Gas'!$J$270)))</f>
        <v>0</v>
      </c>
      <c r="H33" s="1564" t="n">
        <f aca="false">IF($A33&lt;Startops2,0,IF(Assm!$F$29=0,VLOOKUP($A33,Annex10_Gas_Table,'Annex 10-Gas'!$P$270),VLOOKUP($A33,Annex12_Gas_Table,'Annex 12-Gas'!$V$270)))</f>
        <v>0</v>
      </c>
      <c r="I33" s="1563" t="n">
        <f aca="false">SUM(F33:H33)</f>
        <v>2258.39683369343</v>
      </c>
      <c r="J33" s="1563" t="n">
        <f aca="false">E33*I33</f>
        <v>0</v>
      </c>
      <c r="K33" s="1565" t="n">
        <f aca="false">IF(Assm!$L$74=1,VLOOKUP($A33,Curves_Table,Escalation!$D$291),Exch)</f>
        <v>1.065</v>
      </c>
      <c r="L33" s="1566" t="n">
        <f aca="false">J33/K33</f>
        <v>0</v>
      </c>
      <c r="M33" s="1567" t="str">
        <f aca="false">IF(MONTH($A33)=12,SUM(L22:L33)," ")</f>
        <v> </v>
      </c>
    </row>
    <row r="34" customFormat="false" ht="12.75" hidden="false" customHeight="false" outlineLevel="0" collapsed="false">
      <c r="A34" s="1538" t="n">
        <f aca="false">EDATE(A33,1)</f>
        <v>36923</v>
      </c>
      <c r="C34" s="1561" t="n">
        <f aca="false">MAX('Plant Operations'!H34,'Plant Operations'!L34)</f>
        <v>0.92</v>
      </c>
      <c r="D34" s="306" t="n">
        <f aca="false">IF($A34&gt;Endyr,0,AVERAGE(C22:C33))</f>
        <v>0.92</v>
      </c>
      <c r="E34" s="306" t="n">
        <f aca="false">IF(D34&gt;E$10,0,E$10-D34)</f>
        <v>0</v>
      </c>
      <c r="F34" s="1562" t="n">
        <f aca="false">IF(Assm!$F$29=0,'Annex 10-Plant'!G34,'Annex 12-Plant'!T34)</f>
        <v>2269.74864439443</v>
      </c>
      <c r="G34" s="1563" t="n">
        <f aca="false">IF($A34&lt;Startops2,0,IF(Assm!$F$29=0,VLOOKUP($A34,Annex10_Gas_Table,'Annex 10-Gas'!$G$270),VLOOKUP($A34,Annex12_Gas_Table,'Annex 12-Gas'!$J$270)))</f>
        <v>0</v>
      </c>
      <c r="H34" s="1564" t="n">
        <f aca="false">IF($A34&lt;Startops2,0,IF(Assm!$F$29=0,VLOOKUP($A34,Annex10_Gas_Table,'Annex 10-Gas'!$P$270),VLOOKUP($A34,Annex12_Gas_Table,'Annex 12-Gas'!$V$270)))</f>
        <v>0</v>
      </c>
      <c r="I34" s="1563" t="n">
        <f aca="false">SUM(F34:H34)</f>
        <v>2269.74864439443</v>
      </c>
      <c r="J34" s="1563" t="n">
        <f aca="false">E34*I34</f>
        <v>0</v>
      </c>
      <c r="K34" s="1565" t="n">
        <f aca="false">IF(Assm!$L$74=1,VLOOKUP($A34,Curves_Table,Escalation!$D$291),Exch)</f>
        <v>1.065</v>
      </c>
      <c r="L34" s="1566" t="n">
        <f aca="false">J34/K34</f>
        <v>0</v>
      </c>
      <c r="M34" s="1567" t="str">
        <f aca="false">IF(MONTH($A34)=12,SUM(L23:L34)," ")</f>
        <v> </v>
      </c>
    </row>
    <row r="35" customFormat="false" ht="12.75" hidden="false" customHeight="false" outlineLevel="0" collapsed="false">
      <c r="A35" s="1538" t="n">
        <f aca="false">EDATE(A34,1)</f>
        <v>36951</v>
      </c>
      <c r="C35" s="1561" t="n">
        <f aca="false">MAX('Plant Operations'!H35,'Plant Operations'!L35)</f>
        <v>0.92</v>
      </c>
      <c r="D35" s="306" t="n">
        <f aca="false">IF($A35&gt;Endyr,0,AVERAGE(C23:C34))</f>
        <v>0.92</v>
      </c>
      <c r="E35" s="306" t="n">
        <f aca="false">IF(D35&gt;E$10,0,E$10-D35)</f>
        <v>0</v>
      </c>
      <c r="F35" s="1562" t="n">
        <f aca="false">IF(Assm!$F$29=0,'Annex 10-Plant'!G35,'Annex 12-Plant'!T35)</f>
        <v>2753.62231894795</v>
      </c>
      <c r="G35" s="1563" t="n">
        <f aca="false">IF($A35&lt;Startops2,0,IF(Assm!$F$29=0,VLOOKUP($A35,Annex10_Gas_Table,'Annex 10-Gas'!$G$270),VLOOKUP($A35,Annex12_Gas_Table,'Annex 12-Gas'!$J$270)))</f>
        <v>3221.21679036614</v>
      </c>
      <c r="H35" s="1564" t="n">
        <f aca="false">IF($A35&lt;Startops2,0,IF(Assm!$F$29=0,VLOOKUP($A35,Annex10_Gas_Table,'Annex 10-Gas'!$P$270),VLOOKUP($A35,Annex12_Gas_Table,'Annex 12-Gas'!$V$270)))</f>
        <v>2472.73370695413</v>
      </c>
      <c r="I35" s="1563" t="n">
        <f aca="false">SUM(F35:H35)</f>
        <v>8447.57281626822</v>
      </c>
      <c r="J35" s="1563" t="n">
        <f aca="false">E35*I35</f>
        <v>0</v>
      </c>
      <c r="K35" s="1565" t="n">
        <f aca="false">IF(Assm!$L$74=1,VLOOKUP($A35,Curves_Table,Escalation!$D$291),Exch)</f>
        <v>1.065</v>
      </c>
      <c r="L35" s="1566" t="n">
        <f aca="false">J35/K35</f>
        <v>0</v>
      </c>
      <c r="M35" s="1567" t="str">
        <f aca="false">IF(MONTH($A35)=12,SUM(L24:L35)," ")</f>
        <v> </v>
      </c>
    </row>
    <row r="36" customFormat="false" ht="12.75" hidden="false" customHeight="false" outlineLevel="0" collapsed="false">
      <c r="A36" s="1538" t="n">
        <f aca="false">EDATE(A35,1)</f>
        <v>36982</v>
      </c>
      <c r="C36" s="1561" t="n">
        <f aca="false">MAX('Plant Operations'!H36,'Plant Operations'!L36)</f>
        <v>1</v>
      </c>
      <c r="D36" s="306" t="n">
        <f aca="false">IF($A36&gt;Endyr,0,AVERAGE(C24:C35))</f>
        <v>0.92</v>
      </c>
      <c r="E36" s="306" t="n">
        <f aca="false">IF(D36&gt;E$10,0,E$10-D36)</f>
        <v>0</v>
      </c>
      <c r="F36" s="1562" t="n">
        <f aca="false">IF(Assm!$F$29=0,'Annex 10-Plant'!G36,'Annex 12-Plant'!T36)</f>
        <v>4400.95928271337</v>
      </c>
      <c r="G36" s="1563" t="n">
        <f aca="false">IF($A36&lt;Startops2,0,IF(Assm!$F$29=0,VLOOKUP($A36,Annex10_Gas_Table,'Annex 10-Gas'!$G$270),VLOOKUP($A36,Annex12_Gas_Table,'Annex 12-Gas'!$J$270)))</f>
        <v>5148.58878580974</v>
      </c>
      <c r="H36" s="1564" t="n">
        <f aca="false">IF($A36&lt;Startops2,0,IF(Assm!$F$29=0,VLOOKUP($A36,Annex10_Gas_Table,'Annex 10-Gas'!$P$270),VLOOKUP($A36,Annex12_Gas_Table,'Annex 12-Gas'!$V$270)))</f>
        <v>3952.26085744782</v>
      </c>
      <c r="I36" s="1563" t="n">
        <f aca="false">SUM(F36:H36)</f>
        <v>13501.8089259709</v>
      </c>
      <c r="J36" s="1563" t="n">
        <f aca="false">E36*I36</f>
        <v>0</v>
      </c>
      <c r="K36" s="1565" t="n">
        <f aca="false">IF(Assm!$L$74=1,VLOOKUP($A36,Curves_Table,Escalation!$D$291),Exch)</f>
        <v>1.065</v>
      </c>
      <c r="L36" s="1566" t="n">
        <f aca="false">J36/K36</f>
        <v>0</v>
      </c>
      <c r="M36" s="1567" t="str">
        <f aca="false">IF(MONTH($A36)=12,SUM(L25:L36)," ")</f>
        <v> </v>
      </c>
    </row>
    <row r="37" customFormat="false" ht="12.75" hidden="false" customHeight="false" outlineLevel="0" collapsed="false">
      <c r="A37" s="1538" t="n">
        <f aca="false">EDATE(A36,1)</f>
        <v>37012</v>
      </c>
      <c r="C37" s="1561" t="n">
        <f aca="false">MAX('Plant Operations'!H37,'Plant Operations'!L37)</f>
        <v>1</v>
      </c>
      <c r="D37" s="306" t="n">
        <f aca="false">IF($A37&gt;Endyr,0,AVERAGE(C25:C36))</f>
        <v>0.926666666666667</v>
      </c>
      <c r="E37" s="306" t="n">
        <f aca="false">IF(D37&gt;E$10,0,E$10-D37)</f>
        <v>0</v>
      </c>
      <c r="F37" s="1562" t="n">
        <f aca="false">IF(Assm!$F$29=0,'Annex 10-Plant'!G37,'Annex 12-Plant'!T37)</f>
        <v>4585.6496479191</v>
      </c>
      <c r="G37" s="1563" t="n">
        <f aca="false">IF($A37&lt;Startops2,0,IF(Assm!$F$29=0,VLOOKUP($A37,Annex10_Gas_Table,'Annex 10-Gas'!$G$270),VLOOKUP($A37,Annex12_Gas_Table,'Annex 12-Gas'!$J$270)))</f>
        <v>5362.83507229179</v>
      </c>
      <c r="H37" s="1564" t="n">
        <f aca="false">IF($A37&lt;Startops2,0,IF(Assm!$F$29=0,VLOOKUP($A37,Annex10_Gas_Table,'Annex 10-Gas'!$P$270),VLOOKUP($A37,Annex12_Gas_Table,'Annex 12-Gas'!$V$270)))</f>
        <v>4086.94754195639</v>
      </c>
      <c r="I37" s="1563" t="n">
        <f aca="false">SUM(F37:H37)</f>
        <v>14035.4322621673</v>
      </c>
      <c r="J37" s="1563" t="n">
        <f aca="false">E37*I37</f>
        <v>0</v>
      </c>
      <c r="K37" s="1565" t="n">
        <f aca="false">IF(Assm!$L$74=1,VLOOKUP($A37,Curves_Table,Escalation!$D$291),Exch)</f>
        <v>1.065</v>
      </c>
      <c r="L37" s="1566" t="n">
        <f aca="false">J37/K37</f>
        <v>0</v>
      </c>
      <c r="M37" s="1567" t="str">
        <f aca="false">IF(MONTH($A37)=12,SUM(L26:L37)," ")</f>
        <v> </v>
      </c>
    </row>
    <row r="38" customFormat="false" ht="12.75" hidden="false" customHeight="false" outlineLevel="0" collapsed="false">
      <c r="A38" s="1538" t="n">
        <f aca="false">EDATE(A37,1)</f>
        <v>37043</v>
      </c>
      <c r="C38" s="1561" t="n">
        <f aca="false">MAX('Plant Operations'!H38,'Plant Operations'!L38)</f>
        <v>1</v>
      </c>
      <c r="D38" s="306" t="n">
        <f aca="false">IF($A38&gt;Endyr,0,AVERAGE(C26:C37))</f>
        <v>0.933333333333334</v>
      </c>
      <c r="E38" s="306" t="n">
        <f aca="false">IF(D38&gt;E$10,0,E$10-D38)</f>
        <v>0</v>
      </c>
      <c r="F38" s="1562" t="n">
        <f aca="false">IF(Assm!$F$29=0,'Annex 10-Plant'!G38,'Annex 12-Plant'!T38)</f>
        <v>4623.38368762878</v>
      </c>
      <c r="G38" s="1563" t="n">
        <f aca="false">IF($A38&lt;Startops2,0,IF(Assm!$F$29=0,VLOOKUP($A38,Annex10_Gas_Table,'Annex 10-Gas'!$G$270),VLOOKUP($A38,Annex12_Gas_Table,'Annex 12-Gas'!$J$270)))</f>
        <v>5407.29143611166</v>
      </c>
      <c r="H38" s="1564" t="n">
        <f aca="false">IF($A38&lt;Startops2,0,IF(Assm!$F$29=0,VLOOKUP($A38,Annex10_Gas_Table,'Annex 10-Gas'!$P$270),VLOOKUP($A38,Annex12_Gas_Table,'Annex 12-Gas'!$V$270)))</f>
        <v>4120.82716428091</v>
      </c>
      <c r="I38" s="1563" t="n">
        <f aca="false">SUM(F38:H38)</f>
        <v>14151.5022880213</v>
      </c>
      <c r="J38" s="1563" t="n">
        <f aca="false">E38*I38</f>
        <v>0</v>
      </c>
      <c r="K38" s="1565" t="n">
        <f aca="false">IF(Assm!$L$74=1,VLOOKUP($A38,Curves_Table,Escalation!$D$291),Exch)</f>
        <v>1.065</v>
      </c>
      <c r="L38" s="1566" t="n">
        <f aca="false">J38/K38</f>
        <v>0</v>
      </c>
      <c r="M38" s="1567" t="str">
        <f aca="false">IF(MONTH($A38)=12,SUM(L27:L38)," ")</f>
        <v> </v>
      </c>
    </row>
    <row r="39" customFormat="false" ht="12.75" hidden="false" customHeight="false" outlineLevel="0" collapsed="false">
      <c r="A39" s="1538" t="n">
        <f aca="false">EDATE(A38,1)</f>
        <v>37073</v>
      </c>
      <c r="C39" s="1561" t="n">
        <f aca="false">MAX('Plant Operations'!H39,'Plant Operations'!L39)</f>
        <v>1</v>
      </c>
      <c r="D39" s="306" t="n">
        <f aca="false">IF($A39&gt;Endyr,0,AVERAGE(C27:C38))</f>
        <v>0.94</v>
      </c>
      <c r="E39" s="306" t="n">
        <f aca="false">IF(D39&gt;E$10,0,E$10-D39)</f>
        <v>0</v>
      </c>
      <c r="F39" s="1562" t="n">
        <f aca="false">IF(Assm!$F$29=0,'Annex 10-Plant'!G39,'Annex 12-Plant'!T39)</f>
        <v>4661.43053169941</v>
      </c>
      <c r="G39" s="1563" t="n">
        <f aca="false">IF($A39&lt;Startops2,0,IF(Assm!$F$29=0,VLOOKUP($A39,Annex10_Gas_Table,'Annex 10-Gas'!$G$270),VLOOKUP($A39,Annex12_Gas_Table,'Annex 12-Gas'!$J$270)))</f>
        <v>5452.11633043032</v>
      </c>
      <c r="H39" s="1564" t="n">
        <f aca="false">IF($A39&lt;Startops2,0,IF(Assm!$F$29=0,VLOOKUP($A39,Annex10_Gas_Table,'Annex 10-Gas'!$P$270),VLOOKUP($A39,Annex12_Gas_Table,'Annex 12-Gas'!$V$270)))</f>
        <v>4154.98763895234</v>
      </c>
      <c r="I39" s="1563" t="n">
        <f aca="false">SUM(F39:H39)</f>
        <v>14268.5345010821</v>
      </c>
      <c r="J39" s="1563" t="n">
        <f aca="false">E39*I39</f>
        <v>0</v>
      </c>
      <c r="K39" s="1565" t="n">
        <f aca="false">IF(Assm!$L$74=1,VLOOKUP($A39,Curves_Table,Escalation!$D$291),Exch)</f>
        <v>1.065</v>
      </c>
      <c r="L39" s="1566" t="n">
        <f aca="false">J39/K39</f>
        <v>0</v>
      </c>
      <c r="M39" s="1567" t="str">
        <f aca="false">IF(MONTH($A39)=12,SUM(L28:L39)," ")</f>
        <v> </v>
      </c>
    </row>
    <row r="40" customFormat="false" ht="12.75" hidden="false" customHeight="false" outlineLevel="0" collapsed="false">
      <c r="A40" s="1538" t="n">
        <f aca="false">EDATE(A39,1)</f>
        <v>37104</v>
      </c>
      <c r="C40" s="1561" t="n">
        <f aca="false">MAX('Plant Operations'!H40,'Plant Operations'!L40)</f>
        <v>0.92</v>
      </c>
      <c r="D40" s="306" t="n">
        <f aca="false">IF($A40&gt;Endyr,0,AVERAGE(C28:C39))</f>
        <v>0.946666666666667</v>
      </c>
      <c r="E40" s="306" t="n">
        <f aca="false">IF(D40&gt;E$10,0,E$10-D40)</f>
        <v>0</v>
      </c>
      <c r="F40" s="1562" t="n">
        <f aca="false">IF(Assm!$F$29=0,'Annex 10-Plant'!G40,'Annex 12-Plant'!T40)</f>
        <v>7996.26735455343</v>
      </c>
      <c r="G40" s="1563" t="n">
        <f aca="false">IF($A40&lt;Startops2,0,IF(Assm!$F$29=0,VLOOKUP($A40,Annex10_Gas_Table,'Annex 10-Gas'!$G$270),VLOOKUP($A40,Annex12_Gas_Table,'Annex 12-Gas'!$J$270)))</f>
        <v>11097.3047465759</v>
      </c>
      <c r="H40" s="1564" t="n">
        <f aca="false">IF($A40&lt;Startops2,0,IF(Assm!$F$29=0,VLOOKUP($A40,Annex10_Gas_Table,'Annex 10-Gas'!$P$270),VLOOKUP($A40,Annex12_Gas_Table,'Annex 12-Gas'!$V$270)))</f>
        <v>8457.11302790025</v>
      </c>
      <c r="I40" s="1563" t="n">
        <f aca="false">SUM(F40:H40)</f>
        <v>27550.6851290296</v>
      </c>
      <c r="J40" s="1563" t="n">
        <f aca="false">E40*I40</f>
        <v>0</v>
      </c>
      <c r="K40" s="1565" t="n">
        <f aca="false">IF(Assm!$L$74=1,VLOOKUP($A40,Curves_Table,Escalation!$D$291),Exch)</f>
        <v>1.065</v>
      </c>
      <c r="L40" s="1566" t="n">
        <f aca="false">J40/K40</f>
        <v>0</v>
      </c>
      <c r="M40" s="1567" t="str">
        <f aca="false">IF(MONTH($A40)=12,SUM(L29:L40)," ")</f>
        <v> </v>
      </c>
    </row>
    <row r="41" customFormat="false" ht="12.75" hidden="false" customHeight="false" outlineLevel="0" collapsed="false">
      <c r="A41" s="1538" t="n">
        <f aca="false">EDATE(A40,1)</f>
        <v>37135</v>
      </c>
      <c r="C41" s="1561" t="n">
        <f aca="false">MAX('Plant Operations'!H41,'Plant Operations'!L41)</f>
        <v>0.92</v>
      </c>
      <c r="D41" s="306" t="n">
        <f aca="false">IF($A41&gt;Endyr,0,AVERAGE(C29:C40))</f>
        <v>0.946666666666667</v>
      </c>
      <c r="E41" s="306" t="n">
        <f aca="false">IF(D41&gt;E$10,0,E$10-D41)</f>
        <v>0</v>
      </c>
      <c r="F41" s="1562" t="n">
        <f aca="false">IF(Assm!$F$29=0,'Annex 10-Plant'!G41,'Annex 12-Plant'!T41)</f>
        <v>8759.67339373226</v>
      </c>
      <c r="G41" s="1563" t="n">
        <f aca="false">IF($A41&lt;Startops2,0,IF(Assm!$F$29=0,VLOOKUP($A41,Annex10_Gas_Table,'Annex 10-Gas'!$G$270),VLOOKUP($A41,Annex12_Gas_Table,'Annex 12-Gas'!$J$270)))</f>
        <v>7136.29595869134</v>
      </c>
      <c r="H41" s="1564" t="n">
        <f aca="false">IF($A41&lt;Startops2,0,IF(Assm!$F$29=0,VLOOKUP($A41,Annex10_Gas_Table,'Annex 10-Gas'!$P$270),VLOOKUP($A41,Annex12_Gas_Table,'Annex 12-Gas'!$V$270)))</f>
        <v>5788.81216349839</v>
      </c>
      <c r="I41" s="1563" t="n">
        <f aca="false">SUM(F41:H41)</f>
        <v>21684.781515922</v>
      </c>
      <c r="J41" s="1563" t="n">
        <f aca="false">E41*I41</f>
        <v>0</v>
      </c>
      <c r="K41" s="1565" t="n">
        <f aca="false">IF(Assm!$L$74=1,VLOOKUP($A41,Curves_Table,Escalation!$D$291),Exch)</f>
        <v>1.065</v>
      </c>
      <c r="L41" s="1566" t="n">
        <f aca="false">J41/K41</f>
        <v>0</v>
      </c>
      <c r="M41" s="1567" t="str">
        <f aca="false">IF(MONTH($A41)=12,SUM(L30:L41)," ")</f>
        <v> </v>
      </c>
    </row>
    <row r="42" customFormat="false" ht="12.75" hidden="false" customHeight="false" outlineLevel="0" collapsed="false">
      <c r="A42" s="1538" t="n">
        <f aca="false">EDATE(A41,1)</f>
        <v>37165</v>
      </c>
      <c r="C42" s="1561" t="n">
        <f aca="false">MAX('Plant Operations'!H42,'Plant Operations'!L42)</f>
        <v>0.92</v>
      </c>
      <c r="D42" s="306" t="n">
        <f aca="false">IF($A42&gt;Endyr,0,AVERAGE(C30:C41))</f>
        <v>0.946666666666667</v>
      </c>
      <c r="E42" s="306" t="n">
        <f aca="false">IF(D42&gt;E$10,0,E$10-D42)</f>
        <v>0</v>
      </c>
      <c r="F42" s="1562" t="n">
        <f aca="false">IF(Assm!$F$29=0,'Annex 10-Plant'!G42,'Annex 12-Plant'!T42)</f>
        <v>8829.93789701887</v>
      </c>
      <c r="G42" s="1563" t="n">
        <f aca="false">IF($A42&lt;Startops2,0,IF(Assm!$F$29=0,VLOOKUP($A42,Annex10_Gas_Table,'Annex 10-Gas'!$G$270),VLOOKUP($A42,Annex12_Gas_Table,'Annex 12-Gas'!$J$270)))</f>
        <v>7195.45380434373</v>
      </c>
      <c r="H42" s="1564" t="n">
        <f aca="false">IF($A42&lt;Startops2,0,IF(Assm!$F$29=0,VLOOKUP($A42,Annex10_Gas_Table,'Annex 10-Gas'!$P$270),VLOOKUP($A42,Annex12_Gas_Table,'Annex 12-Gas'!$V$270)))</f>
        <v>5836.79975516516</v>
      </c>
      <c r="I42" s="1563" t="n">
        <f aca="false">SUM(F42:H42)</f>
        <v>21862.1914565278</v>
      </c>
      <c r="J42" s="1563" t="n">
        <f aca="false">E42*I42</f>
        <v>0</v>
      </c>
      <c r="K42" s="1565" t="n">
        <f aca="false">IF(Assm!$L$74=1,VLOOKUP($A42,Curves_Table,Escalation!$D$291),Exch)</f>
        <v>1.065</v>
      </c>
      <c r="L42" s="1566" t="n">
        <f aca="false">J42/K42</f>
        <v>0</v>
      </c>
      <c r="M42" s="1567" t="str">
        <f aca="false">IF(MONTH($A42)=12,SUM(L31:L42)," ")</f>
        <v> </v>
      </c>
    </row>
    <row r="43" customFormat="false" ht="12.75" hidden="false" customHeight="false" outlineLevel="0" collapsed="false">
      <c r="A43" s="1538" t="n">
        <f aca="false">EDATE(A42,1)</f>
        <v>37196</v>
      </c>
      <c r="C43" s="1561" t="n">
        <f aca="false">MAX('Plant Operations'!H43,'Plant Operations'!L43)</f>
        <v>0.92</v>
      </c>
      <c r="D43" s="306" t="n">
        <f aca="false">IF($A43&gt;Endyr,0,AVERAGE(C31:C42))</f>
        <v>0.946666666666667</v>
      </c>
      <c r="E43" s="306" t="n">
        <f aca="false">IF(D43&gt;E$10,0,E$10-D43)</f>
        <v>0</v>
      </c>
      <c r="F43" s="1562" t="n">
        <f aca="false">IF(Assm!$F$29=0,'Annex 10-Plant'!G43,'Annex 12-Plant'!T43)</f>
        <v>8900.78487287449</v>
      </c>
      <c r="G43" s="1563" t="n">
        <f aca="false">IF($A43&lt;Startops2,0,IF(Assm!$F$29=0,VLOOKUP($A43,Annex10_Gas_Table,'Annex 10-Gas'!$G$270),VLOOKUP($A43,Annex12_Gas_Table,'Annex 12-Gas'!$J$270)))</f>
        <v>7255.10205156052</v>
      </c>
      <c r="H43" s="1564" t="n">
        <f aca="false">IF($A43&lt;Startops2,0,IF(Assm!$F$29=0,VLOOKUP($A43,Annex10_Gas_Table,'Annex 10-Gas'!$P$270),VLOOKUP($A43,Annex12_Gas_Table,'Annex 12-Gas'!$V$270)))</f>
        <v>5885.18515019624</v>
      </c>
      <c r="I43" s="1563" t="n">
        <f aca="false">SUM(F43:H43)</f>
        <v>22041.0720746313</v>
      </c>
      <c r="J43" s="1563" t="n">
        <f aca="false">E43*I43</f>
        <v>0</v>
      </c>
      <c r="K43" s="1565" t="n">
        <f aca="false">IF(Assm!$L$74=1,VLOOKUP($A43,Curves_Table,Escalation!$D$291),Exch)</f>
        <v>1.065</v>
      </c>
      <c r="L43" s="1566" t="n">
        <f aca="false">J43/K43</f>
        <v>0</v>
      </c>
      <c r="M43" s="1567" t="str">
        <f aca="false">IF(MONTH($A43)=12,SUM(L32:L43)," ")</f>
        <v> </v>
      </c>
    </row>
    <row r="44" customFormat="false" ht="12.75" hidden="false" customHeight="false" outlineLevel="0" collapsed="false">
      <c r="A44" s="1538" t="n">
        <f aca="false">EDATE(A43,1)</f>
        <v>37226</v>
      </c>
      <c r="C44" s="1561" t="n">
        <f aca="false">MAX('Plant Operations'!H44,'Plant Operations'!L44)</f>
        <v>0.92</v>
      </c>
      <c r="D44" s="306" t="n">
        <f aca="false">IF($A44&gt;Endyr,0,AVERAGE(C32:C43))</f>
        <v>0.946666666666667</v>
      </c>
      <c r="E44" s="306" t="n">
        <f aca="false">IF(D44&gt;E$10,0,E$10-D44)</f>
        <v>0</v>
      </c>
      <c r="F44" s="1562" t="n">
        <f aca="false">IF(Assm!$F$29=0,'Annex 10-Plant'!G44,'Annex 12-Plant'!T44)</f>
        <v>8972.21914982957</v>
      </c>
      <c r="G44" s="1563" t="n">
        <f aca="false">IF($A44&lt;Startops2,0,IF(Assm!$F$29=0,VLOOKUP($A44,Annex10_Gas_Table,'Annex 10-Gas'!$G$270),VLOOKUP($A44,Annex12_Gas_Table,'Annex 12-Gas'!$J$270)))</f>
        <v>7315.24476562997</v>
      </c>
      <c r="H44" s="1564" t="n">
        <f aca="false">IF($A44&lt;Startops2,0,IF(Assm!$F$29=0,VLOOKUP($A44,Annex10_Gas_Table,'Annex 10-Gas'!$P$270),VLOOKUP($A44,Annex12_Gas_Table,'Annex 12-Gas'!$V$270)))</f>
        <v>5933.97164626735</v>
      </c>
      <c r="I44" s="1563" t="n">
        <f aca="false">SUM(F44:H44)</f>
        <v>22221.4355617269</v>
      </c>
      <c r="J44" s="1563" t="n">
        <f aca="false">E44*I44</f>
        <v>0</v>
      </c>
      <c r="K44" s="1565" t="n">
        <f aca="false">IF(Assm!$L$74=1,VLOOKUP($A44,Curves_Table,Escalation!$D$291),Exch)</f>
        <v>1.065</v>
      </c>
      <c r="L44" s="1566" t="n">
        <f aca="false">J44/K44</f>
        <v>0</v>
      </c>
      <c r="M44" s="1567" t="n">
        <f aca="false">IF(MONTH($A44)=12,SUM(L33:L44)," ")</f>
        <v>0</v>
      </c>
    </row>
    <row r="45" customFormat="false" ht="12.75" hidden="false" customHeight="false" outlineLevel="0" collapsed="false">
      <c r="A45" s="1538" t="n">
        <f aca="false">EDATE(A44,1)</f>
        <v>37257</v>
      </c>
      <c r="C45" s="1561" t="n">
        <f aca="false">MAX('Plant Operations'!H45,'Plant Operations'!L45)</f>
        <v>0.92</v>
      </c>
      <c r="D45" s="306" t="n">
        <f aca="false">IF($A45&gt;Endyr,0,AVERAGE(C33:C44))</f>
        <v>0.946666666666667</v>
      </c>
      <c r="E45" s="306" t="n">
        <f aca="false">IF(D45&gt;E$10,0,E$10-D45)</f>
        <v>0</v>
      </c>
      <c r="F45" s="1562" t="n">
        <f aca="false">IF(Assm!$F$29=0,'Annex 10-Plant'!G45,'Annex 12-Plant'!T45)</f>
        <v>9019.17821039644</v>
      </c>
      <c r="G45" s="1563" t="n">
        <f aca="false">IF($A45&lt;Startops2,0,IF(Assm!$F$29=0,VLOOKUP($A45,Annex10_Gas_Table,'Annex 10-Gas'!$G$270),VLOOKUP($A45,Annex12_Gas_Table,'Annex 12-Gas'!$J$270)))</f>
        <v>7354.78104251312</v>
      </c>
      <c r="H45" s="1564" t="n">
        <f aca="false">IF($A45&lt;Startops2,0,IF(Assm!$F$29=0,VLOOKUP($A45,Annex10_Gas_Table,'Annex 10-Gas'!$P$270),VLOOKUP($A45,Annex12_Gas_Table,'Annex 12-Gas'!$V$270)))</f>
        <v>5966.04263685482</v>
      </c>
      <c r="I45" s="1563" t="n">
        <f aca="false">SUM(F45:H45)</f>
        <v>22340.0018897644</v>
      </c>
      <c r="J45" s="1563" t="n">
        <f aca="false">E45*I45</f>
        <v>0</v>
      </c>
      <c r="K45" s="1565" t="n">
        <f aca="false">IF(Assm!$L$74=1,VLOOKUP($A45,Curves_Table,Escalation!$D$291),Exch)</f>
        <v>1.065</v>
      </c>
      <c r="L45" s="1566" t="n">
        <f aca="false">J45/K45</f>
        <v>0</v>
      </c>
      <c r="M45" s="1567" t="str">
        <f aca="false">IF(MONTH($A45)=12,SUM(L34:L45)," ")</f>
        <v> </v>
      </c>
    </row>
    <row r="46" customFormat="false" ht="12.75" hidden="false" customHeight="false" outlineLevel="0" collapsed="false">
      <c r="A46" s="1538" t="n">
        <f aca="false">EDATE(A45,1)</f>
        <v>37288</v>
      </c>
      <c r="C46" s="1561" t="n">
        <f aca="false">MAX('Plant Operations'!H46,'Plant Operations'!L46)</f>
        <v>0.92</v>
      </c>
      <c r="D46" s="306" t="n">
        <f aca="false">IF($A46&gt;Endyr,0,AVERAGE(C34:C45))</f>
        <v>0.946666666666667</v>
      </c>
      <c r="E46" s="306" t="n">
        <f aca="false">IF(D46&gt;E$10,0,E$10-D46)</f>
        <v>0</v>
      </c>
      <c r="F46" s="1562" t="n">
        <f aca="false">IF(Assm!$F$29=0,'Annex 10-Plant'!G46,'Annex 12-Plant'!T46)</f>
        <v>9066.3910678601</v>
      </c>
      <c r="G46" s="1563" t="n">
        <f aca="false">IF($A46&lt;Startops2,0,IF(Assm!$F$29=0,VLOOKUP($A46,Annex10_Gas_Table,'Annex 10-Gas'!$G$270),VLOOKUP($A46,Annex12_Gas_Table,'Annex 12-Gas'!$J$270)))</f>
        <v>7394.53099880685</v>
      </c>
      <c r="H46" s="1564" t="n">
        <f aca="false">IF($A46&lt;Startops2,0,IF(Assm!$F$29=0,VLOOKUP($A46,Annex10_Gas_Table,'Annex 10-Gas'!$P$270),VLOOKUP($A46,Annex12_Gas_Table,'Annex 12-Gas'!$V$270)))</f>
        <v>5998.28695965528</v>
      </c>
      <c r="I46" s="1563" t="n">
        <f aca="false">SUM(F46:H46)</f>
        <v>22459.2090263222</v>
      </c>
      <c r="J46" s="1563" t="n">
        <f aca="false">E46*I46</f>
        <v>0</v>
      </c>
      <c r="K46" s="1565" t="n">
        <f aca="false">IF(Assm!$L$74=1,VLOOKUP($A46,Curves_Table,Escalation!$D$291),Exch)</f>
        <v>1.065</v>
      </c>
      <c r="L46" s="1566" t="n">
        <f aca="false">J46/K46</f>
        <v>0</v>
      </c>
      <c r="M46" s="1567" t="str">
        <f aca="false">IF(MONTH($A46)=12,SUM(L35:L46)," ")</f>
        <v> </v>
      </c>
    </row>
    <row r="47" customFormat="false" ht="12.75" hidden="false" customHeight="false" outlineLevel="0" collapsed="false">
      <c r="A47" s="1538" t="n">
        <f aca="false">EDATE(A46,1)</f>
        <v>37316</v>
      </c>
      <c r="C47" s="1561" t="n">
        <f aca="false">MAX('Plant Operations'!H47,'Plant Operations'!L47)</f>
        <v>0.92</v>
      </c>
      <c r="D47" s="306" t="n">
        <f aca="false">IF($A47&gt;Endyr,0,AVERAGE(C35:C46))</f>
        <v>0.946666666666667</v>
      </c>
      <c r="E47" s="306" t="n">
        <f aca="false">IF(D47&gt;E$10,0,E$10-D47)</f>
        <v>0</v>
      </c>
      <c r="F47" s="1562" t="n">
        <f aca="false">IF(Assm!$F$29=0,'Annex 10-Plant'!G47,'Annex 12-Plant'!T47)</f>
        <v>9113.85909390183</v>
      </c>
      <c r="G47" s="1563" t="n">
        <f aca="false">IF($A47&lt;Startops2,0,IF(Assm!$F$29=0,VLOOKUP($A47,Annex10_Gas_Table,'Annex 10-Gas'!$G$270),VLOOKUP($A47,Annex12_Gas_Table,'Annex 12-Gas'!$J$270)))</f>
        <v>7434.49578937181</v>
      </c>
      <c r="H47" s="1564" t="n">
        <f aca="false">IF($A47&lt;Startops2,0,IF(Assm!$F$29=0,VLOOKUP($A47,Annex10_Gas_Table,'Annex 10-Gas'!$P$270),VLOOKUP($A47,Annex12_Gas_Table,'Annex 12-Gas'!$V$270)))</f>
        <v>6030.70555146724</v>
      </c>
      <c r="I47" s="1563" t="n">
        <f aca="false">SUM(F47:H47)</f>
        <v>22579.0604347409</v>
      </c>
      <c r="J47" s="1563" t="n">
        <f aca="false">E47*I47</f>
        <v>0</v>
      </c>
      <c r="K47" s="1565" t="n">
        <f aca="false">IF(Assm!$L$74=1,VLOOKUP($A47,Curves_Table,Escalation!$D$291),Exch)</f>
        <v>1.065</v>
      </c>
      <c r="L47" s="1566" t="n">
        <f aca="false">J47/K47</f>
        <v>0</v>
      </c>
      <c r="M47" s="1567" t="str">
        <f aca="false">IF(MONTH($A47)=12,SUM(L36:L47)," ")</f>
        <v> </v>
      </c>
    </row>
    <row r="48" customFormat="false" ht="12.75" hidden="false" customHeight="false" outlineLevel="0" collapsed="false">
      <c r="A48" s="1538" t="n">
        <f aca="false">EDATE(A47,1)</f>
        <v>37347</v>
      </c>
      <c r="C48" s="1561" t="n">
        <f aca="false">MAX('Plant Operations'!H48,'Plant Operations'!L48)</f>
        <v>0.92</v>
      </c>
      <c r="D48" s="306" t="n">
        <f aca="false">IF($A48&gt;Endyr,0,AVERAGE(C36:C47))</f>
        <v>0.946666666666667</v>
      </c>
      <c r="E48" s="306" t="n">
        <f aca="false">IF(D48&gt;E$10,0,E$10-D48)</f>
        <v>0</v>
      </c>
      <c r="F48" s="1562" t="n">
        <f aca="false">IF(Assm!$F$29=0,'Annex 10-Plant'!G48,'Annex 12-Plant'!T48)</f>
        <v>9161.58366761638</v>
      </c>
      <c r="G48" s="1563" t="n">
        <f aca="false">IF($A48&lt;Startops2,0,IF(Assm!$F$29=0,VLOOKUP($A48,Annex10_Gas_Table,'Annex 10-Gas'!$G$270),VLOOKUP($A48,Annex12_Gas_Table,'Annex 12-Gas'!$J$270)))</f>
        <v>7474.67657531026</v>
      </c>
      <c r="H48" s="1564" t="n">
        <f aca="false">IF($A48&lt;Startops2,0,IF(Assm!$F$29=0,VLOOKUP($A48,Annex10_Gas_Table,'Annex 10-Gas'!$P$270),VLOOKUP($A48,Annex12_Gas_Table,'Annex 12-Gas'!$V$270)))</f>
        <v>6063.29935415225</v>
      </c>
      <c r="I48" s="1563" t="n">
        <f aca="false">SUM(F48:H48)</f>
        <v>22699.5595970789</v>
      </c>
      <c r="J48" s="1563" t="n">
        <f aca="false">E48*I48</f>
        <v>0</v>
      </c>
      <c r="K48" s="1565" t="n">
        <f aca="false">IF(Assm!$L$74=1,VLOOKUP($A48,Curves_Table,Escalation!$D$291),Exch)</f>
        <v>1.065</v>
      </c>
      <c r="L48" s="1566" t="n">
        <f aca="false">J48/K48</f>
        <v>0</v>
      </c>
      <c r="M48" s="1567" t="str">
        <f aca="false">IF(MONTH($A48)=12,SUM(L37:L48)," ")</f>
        <v> </v>
      </c>
    </row>
    <row r="49" customFormat="false" ht="12.75" hidden="false" customHeight="false" outlineLevel="0" collapsed="false">
      <c r="A49" s="1538" t="n">
        <f aca="false">EDATE(A48,1)</f>
        <v>37377</v>
      </c>
      <c r="C49" s="1561" t="n">
        <f aca="false">MAX('Plant Operations'!H49,'Plant Operations'!L49)</f>
        <v>0.92</v>
      </c>
      <c r="D49" s="306" t="n">
        <f aca="false">IF($A49&gt;Endyr,0,AVERAGE(C37:C48))</f>
        <v>0.94</v>
      </c>
      <c r="E49" s="306" t="n">
        <f aca="false">IF(D49&gt;E$10,0,E$10-D49)</f>
        <v>0</v>
      </c>
      <c r="F49" s="1562" t="n">
        <f aca="false">IF(Assm!$F$29=0,'Annex 10-Plant'!G49,'Annex 12-Plant'!T49)</f>
        <v>9487.83500699014</v>
      </c>
      <c r="G49" s="1563" t="n">
        <f aca="false">IF($A49&lt;Startops2,0,IF(Assm!$F$29=0,VLOOKUP($A49,Annex10_Gas_Table,'Annex 10-Gas'!$G$270),VLOOKUP($A49,Annex12_Gas_Table,'Annex 12-Gas'!$J$270)))</f>
        <v>7747.34581107619</v>
      </c>
      <c r="H49" s="1564" t="n">
        <f aca="false">IF($A49&lt;Startops2,0,IF(Assm!$F$29=0,VLOOKUP($A49,Annex10_Gas_Table,'Annex 10-Gas'!$P$270),VLOOKUP($A49,Annex12_Gas_Table,'Annex 12-Gas'!$V$270)))</f>
        <v>6222.85411217842</v>
      </c>
      <c r="I49" s="1563" t="n">
        <f aca="false">SUM(F49:H49)</f>
        <v>23458.0349302448</v>
      </c>
      <c r="J49" s="1563" t="n">
        <f aca="false">E49*I49</f>
        <v>0</v>
      </c>
      <c r="K49" s="1565" t="n">
        <f aca="false">IF(Assm!$L$74=1,VLOOKUP($A49,Curves_Table,Escalation!$D$291),Exch)</f>
        <v>1.065</v>
      </c>
      <c r="L49" s="1566" t="n">
        <f aca="false">J49/K49</f>
        <v>0</v>
      </c>
      <c r="M49" s="1567" t="str">
        <f aca="false">IF(MONTH($A49)=12,SUM(L38:L49)," ")</f>
        <v> </v>
      </c>
    </row>
    <row r="50" customFormat="false" ht="12.75" hidden="false" customHeight="false" outlineLevel="0" collapsed="false">
      <c r="A50" s="1538" t="n">
        <f aca="false">EDATE(A49,1)</f>
        <v>37408</v>
      </c>
      <c r="C50" s="1561" t="n">
        <f aca="false">MAX('Plant Operations'!H50,'Plant Operations'!L50)</f>
        <v>0.92</v>
      </c>
      <c r="D50" s="306" t="n">
        <f aca="false">IF($A50&gt;Endyr,0,AVERAGE(C38:C49))</f>
        <v>0.933333333333334</v>
      </c>
      <c r="E50" s="306" t="n">
        <f aca="false">IF(D50&gt;E$10,0,E$10-D50)</f>
        <v>0</v>
      </c>
      <c r="F50" s="1562" t="n">
        <f aca="false">IF(Assm!$F$29=0,'Annex 10-Plant'!G50,'Annex 12-Plant'!T50)</f>
        <v>9537.82414669434</v>
      </c>
      <c r="G50" s="1563" t="n">
        <f aca="false">IF($A50&lt;Startops2,0,IF(Assm!$F$29=0,VLOOKUP($A50,Annex10_Gas_Table,'Annex 10-Gas'!$G$270),VLOOKUP($A50,Annex12_Gas_Table,'Annex 12-Gas'!$J$270)))</f>
        <v>7789.21743928682</v>
      </c>
      <c r="H50" s="1564" t="n">
        <f aca="false">IF($A50&lt;Startops2,0,IF(Assm!$F$29=0,VLOOKUP($A50,Annex10_Gas_Table,'Annex 10-Gas'!$P$270),VLOOKUP($A50,Annex12_Gas_Table,'Annex 12-Gas'!$V$270)))</f>
        <v>6256.48640898665</v>
      </c>
      <c r="I50" s="1563" t="n">
        <f aca="false">SUM(F50:H50)</f>
        <v>23583.5279949678</v>
      </c>
      <c r="J50" s="1563" t="n">
        <f aca="false">E50*I50</f>
        <v>0</v>
      </c>
      <c r="K50" s="1565" t="n">
        <f aca="false">IF(Assm!$L$74=1,VLOOKUP($A50,Curves_Table,Escalation!$D$291),Exch)</f>
        <v>1.065</v>
      </c>
      <c r="L50" s="1566" t="n">
        <f aca="false">J50/K50</f>
        <v>0</v>
      </c>
      <c r="M50" s="1567" t="str">
        <f aca="false">IF(MONTH($A50)=12,SUM(L39:L50)," ")</f>
        <v> </v>
      </c>
    </row>
    <row r="51" customFormat="false" ht="12.75" hidden="false" customHeight="false" outlineLevel="0" collapsed="false">
      <c r="A51" s="1538" t="n">
        <f aca="false">EDATE(A50,1)</f>
        <v>37438</v>
      </c>
      <c r="C51" s="1561" t="n">
        <f aca="false">MAX('Plant Operations'!H51,'Plant Operations'!L51)</f>
        <v>0.92</v>
      </c>
      <c r="D51" s="306" t="n">
        <f aca="false">IF($A51&gt;Endyr,0,AVERAGE(C39:C50))</f>
        <v>0.926666666666667</v>
      </c>
      <c r="E51" s="306" t="n">
        <f aca="false">IF(D51&gt;E$10,0,E$10-D51)</f>
        <v>0</v>
      </c>
      <c r="F51" s="1562" t="n">
        <f aca="false">IF(Assm!$F$29=0,'Annex 10-Plant'!G51,'Annex 12-Plant'!T51)</f>
        <v>9588.08345978738</v>
      </c>
      <c r="G51" s="1563" t="n">
        <f aca="false">IF($A51&lt;Startops2,0,IF(Assm!$F$29=0,VLOOKUP($A51,Annex10_Gas_Table,'Annex 10-Gas'!$G$270),VLOOKUP($A51,Annex12_Gas_Table,'Annex 12-Gas'!$J$270)))</f>
        <v>7831.31536864519</v>
      </c>
      <c r="H51" s="1564" t="n">
        <f aca="false">IF($A51&lt;Startops2,0,IF(Assm!$F$29=0,VLOOKUP($A51,Annex10_Gas_Table,'Annex 10-Gas'!$P$270),VLOOKUP($A51,Annex12_Gas_Table,'Annex 12-Gas'!$V$270)))</f>
        <v>6290.30047630857</v>
      </c>
      <c r="I51" s="1563" t="n">
        <f aca="false">SUM(F51:H51)</f>
        <v>23709.6993047411</v>
      </c>
      <c r="J51" s="1563" t="n">
        <f aca="false">E51*I51</f>
        <v>0</v>
      </c>
      <c r="K51" s="1565" t="n">
        <f aca="false">IF(Assm!$L$74=1,VLOOKUP($A51,Curves_Table,Escalation!$D$291),Exch)</f>
        <v>1.065</v>
      </c>
      <c r="L51" s="1566" t="n">
        <f aca="false">J51/K51</f>
        <v>0</v>
      </c>
      <c r="M51" s="1567" t="str">
        <f aca="false">IF(MONTH($A51)=12,SUM(L40:L51)," ")</f>
        <v> </v>
      </c>
    </row>
    <row r="52" customFormat="false" ht="12.75" hidden="false" customHeight="false" outlineLevel="0" collapsed="false">
      <c r="A52" s="1538" t="n">
        <f aca="false">EDATE(A51,1)</f>
        <v>37469</v>
      </c>
      <c r="C52" s="1561" t="n">
        <f aca="false">MAX('Plant Operations'!H52,'Plant Operations'!L52)</f>
        <v>0.92</v>
      </c>
      <c r="D52" s="306" t="n">
        <f aca="false">IF($A52&gt;Endyr,0,AVERAGE(C40:C51))</f>
        <v>0.92</v>
      </c>
      <c r="E52" s="306" t="n">
        <f aca="false">IF(D52&gt;E$10,0,E$10-D52)</f>
        <v>0</v>
      </c>
      <c r="F52" s="1562" t="n">
        <f aca="false">IF(Assm!$F$29=0,'Annex 10-Plant'!G52,'Annex 12-Plant'!T52)</f>
        <v>9638.61440645961</v>
      </c>
      <c r="G52" s="1563" t="n">
        <f aca="false">IF($A52&lt;Startops2,0,IF(Assm!$F$29=0,VLOOKUP($A52,Annex10_Gas_Table,'Annex 10-Gas'!$G$270),VLOOKUP($A52,Annex12_Gas_Table,'Annex 12-Gas'!$J$270)))</f>
        <v>7873.64082222792</v>
      </c>
      <c r="H52" s="1564" t="n">
        <f aca="false">IF($A52&lt;Startops2,0,IF(Assm!$F$29=0,VLOOKUP($A52,Annex10_Gas_Table,'Annex 10-Gas'!$P$270),VLOOKUP($A52,Annex12_Gas_Table,'Annex 12-Gas'!$V$270)))</f>
        <v>6324.29729654868</v>
      </c>
      <c r="I52" s="1563" t="n">
        <f aca="false">SUM(F52:H52)</f>
        <v>23836.5525252362</v>
      </c>
      <c r="J52" s="1563" t="n">
        <f aca="false">E52*I52</f>
        <v>0</v>
      </c>
      <c r="K52" s="1565" t="n">
        <f aca="false">IF(Assm!$L$74=1,VLOOKUP($A52,Curves_Table,Escalation!$D$291),Exch)</f>
        <v>1.065</v>
      </c>
      <c r="L52" s="1566" t="n">
        <f aca="false">J52/K52</f>
        <v>0</v>
      </c>
      <c r="M52" s="1567" t="str">
        <f aca="false">IF(MONTH($A52)=12,SUM(L41:L52)," ")</f>
        <v> </v>
      </c>
    </row>
    <row r="53" customFormat="false" ht="12.75" hidden="false" customHeight="false" outlineLevel="0" collapsed="false">
      <c r="A53" s="1538" t="n">
        <f aca="false">EDATE(A52,1)</f>
        <v>37500</v>
      </c>
      <c r="C53" s="1561" t="n">
        <f aca="false">MAX('Plant Operations'!H53,'Plant Operations'!L53)</f>
        <v>0.92</v>
      </c>
      <c r="D53" s="306" t="n">
        <f aca="false">IF($A53&gt;Endyr,0,AVERAGE(C41:C52))</f>
        <v>0.92</v>
      </c>
      <c r="E53" s="306" t="n">
        <f aca="false">IF(D53&gt;E$10,0,E$10-D53)</f>
        <v>0</v>
      </c>
      <c r="F53" s="1562" t="n">
        <f aca="false">IF(Assm!$F$29=0,'Annex 10-Plant'!G53,'Annex 12-Plant'!T53)</f>
        <v>9689.41845479322</v>
      </c>
      <c r="G53" s="1563" t="n">
        <f aca="false">IF($A53&lt;Startops2,0,IF(Assm!$F$29=0,VLOOKUP($A53,Annex10_Gas_Table,'Annex 10-Gas'!$G$270),VLOOKUP($A53,Annex12_Gas_Table,'Annex 12-Gas'!$J$270)))</f>
        <v>7916.19502972193</v>
      </c>
      <c r="H53" s="1564" t="n">
        <f aca="false">IF($A53&lt;Startops2,0,IF(Assm!$F$29=0,VLOOKUP($A53,Annex10_Gas_Table,'Annex 10-Gas'!$P$270),VLOOKUP($A53,Annex12_Gas_Table,'Annex 12-Gas'!$V$270)))</f>
        <v>6358.47785742102</v>
      </c>
      <c r="I53" s="1563" t="n">
        <f aca="false">SUM(F53:H53)</f>
        <v>23964.0913419362</v>
      </c>
      <c r="J53" s="1563" t="n">
        <f aca="false">E53*I53</f>
        <v>0</v>
      </c>
      <c r="K53" s="1565" t="n">
        <f aca="false">IF(Assm!$L$74=1,VLOOKUP($A53,Curves_Table,Escalation!$D$291),Exch)</f>
        <v>1.065</v>
      </c>
      <c r="L53" s="1566" t="n">
        <f aca="false">J53/K53</f>
        <v>0</v>
      </c>
      <c r="M53" s="1567" t="str">
        <f aca="false">IF(MONTH($A53)=12,SUM(L42:L53)," ")</f>
        <v> </v>
      </c>
    </row>
    <row r="54" customFormat="false" ht="12.75" hidden="false" customHeight="false" outlineLevel="0" collapsed="false">
      <c r="A54" s="1538" t="n">
        <f aca="false">EDATE(A53,1)</f>
        <v>37530</v>
      </c>
      <c r="C54" s="1561" t="n">
        <f aca="false">MAX('Plant Operations'!H54,'Plant Operations'!L54)</f>
        <v>0.92</v>
      </c>
      <c r="D54" s="306" t="n">
        <f aca="false">IF($A54&gt;Endyr,0,AVERAGE(C42:C53))</f>
        <v>0.92</v>
      </c>
      <c r="E54" s="306" t="n">
        <f aca="false">IF(D54&gt;E$10,0,E$10-D54)</f>
        <v>0</v>
      </c>
      <c r="F54" s="1562" t="n">
        <f aca="false">IF(Assm!$F$29=0,'Annex 10-Plant'!G54,'Annex 12-Plant'!T54)</f>
        <v>9740.49708080481</v>
      </c>
      <c r="G54" s="1563" t="n">
        <f aca="false">IF($A54&lt;Startops2,0,IF(Assm!$F$29=0,VLOOKUP($A54,Annex10_Gas_Table,'Annex 10-Gas'!$G$270),VLOOKUP($A54,Annex12_Gas_Table,'Annex 12-Gas'!$J$270)))</f>
        <v>7958.97922746013</v>
      </c>
      <c r="H54" s="1564" t="n">
        <f aca="false">IF($A54&lt;Startops2,0,IF(Assm!$F$29=0,VLOOKUP($A54,Annex10_Gas_Table,'Annex 10-Gas'!$P$270),VLOOKUP($A54,Annex12_Gas_Table,'Annex 12-Gas'!$V$270)))</f>
        <v>6392.84315197788</v>
      </c>
      <c r="I54" s="1563" t="n">
        <f aca="false">SUM(F54:H54)</f>
        <v>24092.3194602428</v>
      </c>
      <c r="J54" s="1563" t="n">
        <f aca="false">E54*I54</f>
        <v>0</v>
      </c>
      <c r="K54" s="1565" t="n">
        <f aca="false">IF(Assm!$L$74=1,VLOOKUP($A54,Curves_Table,Escalation!$D$291),Exch)</f>
        <v>1.065</v>
      </c>
      <c r="L54" s="1566" t="n">
        <f aca="false">J54/K54</f>
        <v>0</v>
      </c>
      <c r="M54" s="1567" t="str">
        <f aca="false">IF(MONTH($A54)=12,SUM(L43:L54)," ")</f>
        <v> </v>
      </c>
    </row>
    <row r="55" customFormat="false" ht="12.75" hidden="false" customHeight="false" outlineLevel="0" collapsed="false">
      <c r="A55" s="1538" t="n">
        <f aca="false">EDATE(A54,1)</f>
        <v>37561</v>
      </c>
      <c r="C55" s="1561" t="n">
        <f aca="false">MAX('Plant Operations'!H55,'Plant Operations'!L55)</f>
        <v>0.92</v>
      </c>
      <c r="D55" s="306" t="n">
        <f aca="false">IF($A55&gt;Endyr,0,AVERAGE(C43:C54))</f>
        <v>0.92</v>
      </c>
      <c r="E55" s="306" t="n">
        <f aca="false">IF(D55&gt;E$10,0,E$10-D55)</f>
        <v>0</v>
      </c>
      <c r="F55" s="1562" t="n">
        <f aca="false">IF(Assm!$F$29=0,'Annex 10-Plant'!G55,'Annex 12-Plant'!T55)</f>
        <v>9791.85176848837</v>
      </c>
      <c r="G55" s="1563" t="n">
        <f aca="false">IF($A55&lt;Startops2,0,IF(Assm!$F$29=0,VLOOKUP($A55,Annex10_Gas_Table,'Annex 10-Gas'!$G$270),VLOOKUP($A55,Annex12_Gas_Table,'Annex 12-Gas'!$J$270)))</f>
        <v>8001.9946584574</v>
      </c>
      <c r="H55" s="1564" t="n">
        <f aca="false">IF($A55&lt;Startops2,0,IF(Assm!$F$29=0,VLOOKUP($A55,Annex10_Gas_Table,'Annex 10-Gas'!$P$270),VLOOKUP($A55,Annex12_Gas_Table,'Annex 12-Gas'!$V$270)))</f>
        <v>6427.39417863862</v>
      </c>
      <c r="I55" s="1563" t="n">
        <f aca="false">SUM(F55:H55)</f>
        <v>24221.2406055844</v>
      </c>
      <c r="J55" s="1563" t="n">
        <f aca="false">E55*I55</f>
        <v>0</v>
      </c>
      <c r="K55" s="1565" t="n">
        <f aca="false">IF(Assm!$L$74=1,VLOOKUP($A55,Curves_Table,Escalation!$D$291),Exch)</f>
        <v>1.065</v>
      </c>
      <c r="L55" s="1566" t="n">
        <f aca="false">J55/K55</f>
        <v>0</v>
      </c>
      <c r="M55" s="1567" t="str">
        <f aca="false">IF(MONTH($A55)=12,SUM(L44:L55)," ")</f>
        <v> </v>
      </c>
    </row>
    <row r="56" customFormat="false" ht="12.75" hidden="false" customHeight="false" outlineLevel="0" collapsed="false">
      <c r="A56" s="1538" t="n">
        <f aca="false">EDATE(A55,1)</f>
        <v>37591</v>
      </c>
      <c r="C56" s="1561" t="n">
        <f aca="false">MAX('Plant Operations'!H56,'Plant Operations'!L56)</f>
        <v>0.92</v>
      </c>
      <c r="D56" s="306" t="n">
        <f aca="false">IF($A56&gt;Endyr,0,AVERAGE(C44:C55))</f>
        <v>0.92</v>
      </c>
      <c r="E56" s="306" t="n">
        <f aca="false">IF(D56&gt;E$10,0,E$10-D56)</f>
        <v>0</v>
      </c>
      <c r="F56" s="1562" t="n">
        <f aca="false">IF(Assm!$F$29=0,'Annex 10-Plant'!G56,'Annex 12-Plant'!T56)</f>
        <v>9843.48400985831</v>
      </c>
      <c r="G56" s="1563" t="n">
        <f aca="false">IF($A56&lt;Startops2,0,IF(Assm!$F$29=0,VLOOKUP($A56,Annex10_Gas_Table,'Annex 10-Gas'!$G$270),VLOOKUP($A56,Annex12_Gas_Table,'Annex 12-Gas'!$J$270)))</f>
        <v>8045.24257244664</v>
      </c>
      <c r="H56" s="1564" t="n">
        <f aca="false">IF($A56&lt;Startops2,0,IF(Assm!$F$29=0,VLOOKUP($A56,Annex10_Gas_Table,'Annex 10-Gas'!$P$270),VLOOKUP($A56,Annex12_Gas_Table,'Annex 12-Gas'!$V$270)))</f>
        <v>6462.13194121872</v>
      </c>
      <c r="I56" s="1563" t="n">
        <f aca="false">SUM(F56:H56)</f>
        <v>24350.8585235237</v>
      </c>
      <c r="J56" s="1563" t="n">
        <f aca="false">E56*I56</f>
        <v>0</v>
      </c>
      <c r="K56" s="1565" t="n">
        <f aca="false">IF(Assm!$L$74=1,VLOOKUP($A56,Curves_Table,Escalation!$D$291),Exch)</f>
        <v>1.065</v>
      </c>
      <c r="L56" s="1566" t="n">
        <f aca="false">J56/K56</f>
        <v>0</v>
      </c>
      <c r="M56" s="1567" t="n">
        <f aca="false">IF(MONTH($A56)=12,SUM(L45:L56)," ")</f>
        <v>0</v>
      </c>
    </row>
    <row r="57" customFormat="false" ht="12.75" hidden="false" customHeight="false" outlineLevel="0" collapsed="false">
      <c r="A57" s="1538" t="n">
        <f aca="false">EDATE(A56,1)</f>
        <v>37622</v>
      </c>
      <c r="C57" s="1561" t="n">
        <f aca="false">MAX('Plant Operations'!H57,'Plant Operations'!L57)</f>
        <v>0.92</v>
      </c>
      <c r="D57" s="306" t="n">
        <f aca="false">IF($A57&gt;Endyr,0,AVERAGE(C45:C56))</f>
        <v>0.92</v>
      </c>
      <c r="E57" s="306" t="n">
        <f aca="false">IF(D57&gt;E$10,0,E$10-D57)</f>
        <v>0</v>
      </c>
      <c r="F57" s="1562" t="n">
        <f aca="false">IF(Assm!$F$29=0,'Annex 10-Plant'!G57,'Annex 12-Plant'!T57)</f>
        <v>9870.9296726135</v>
      </c>
      <c r="G57" s="1563" t="n">
        <f aca="false">IF($A57&lt;Startops2,0,IF(Assm!$F$29=0,VLOOKUP($A57,Annex10_Gas_Table,'Annex 10-Gas'!$G$270),VLOOKUP($A57,Annex12_Gas_Table,'Annex 12-Gas'!$J$270)))</f>
        <v>8068.23145750607</v>
      </c>
      <c r="H57" s="1564" t="n">
        <f aca="false">IF($A57&lt;Startops2,0,IF(Assm!$F$29=0,VLOOKUP($A57,Annex10_Gas_Table,'Annex 10-Gas'!$P$270),VLOOKUP($A57,Annex12_Gas_Table,'Annex 12-Gas'!$V$270)))</f>
        <v>6480.59716549229</v>
      </c>
      <c r="I57" s="1563" t="n">
        <f aca="false">SUM(F57:H57)</f>
        <v>24419.7582956119</v>
      </c>
      <c r="J57" s="1563" t="n">
        <f aca="false">E57*I57</f>
        <v>0</v>
      </c>
      <c r="K57" s="1565" t="n">
        <f aca="false">IF(Assm!$L$74=1,VLOOKUP($A57,Curves_Table,Escalation!$D$291),Exch)</f>
        <v>1.065</v>
      </c>
      <c r="L57" s="1566" t="n">
        <f aca="false">J57/K57</f>
        <v>0</v>
      </c>
      <c r="M57" s="1567" t="str">
        <f aca="false">IF(MONTH($A57)=12,SUM(L46:L57)," ")</f>
        <v> </v>
      </c>
    </row>
    <row r="58" customFormat="false" ht="12.75" hidden="false" customHeight="false" outlineLevel="0" collapsed="false">
      <c r="A58" s="1538" t="n">
        <f aca="false">EDATE(A57,1)</f>
        <v>37653</v>
      </c>
      <c r="C58" s="1561" t="n">
        <f aca="false">MAX('Plant Operations'!H58,'Plant Operations'!L58)</f>
        <v>0.92</v>
      </c>
      <c r="D58" s="306" t="n">
        <f aca="false">IF($A58&gt;Endyr,0,AVERAGE(C46:C57))</f>
        <v>0.92</v>
      </c>
      <c r="E58" s="306" t="n">
        <f aca="false">IF(D58&gt;E$10,0,E$10-D58)</f>
        <v>0</v>
      </c>
      <c r="F58" s="1562" t="n">
        <f aca="false">IF(Assm!$F$29=0,'Annex 10-Plant'!G58,'Annex 12-Plant'!T58)</f>
        <v>9898.45376000049</v>
      </c>
      <c r="G58" s="1563" t="n">
        <f aca="false">IF($A58&lt;Startops2,0,IF(Assm!$F$29=0,VLOOKUP($A58,Annex10_Gas_Table,'Annex 10-Gas'!$G$270),VLOOKUP($A58,Annex12_Gas_Table,'Annex 12-Gas'!$J$270)))</f>
        <v>8091.28603217418</v>
      </c>
      <c r="H58" s="1564" t="n">
        <f aca="false">IF($A58&lt;Startops2,0,IF(Assm!$F$29=0,VLOOKUP($A58,Annex10_Gas_Table,'Annex 10-Gas'!$P$270),VLOOKUP($A58,Annex12_Gas_Table,'Annex 12-Gas'!$V$270)))</f>
        <v>6499.11515323628</v>
      </c>
      <c r="I58" s="1563" t="n">
        <f aca="false">SUM(F58:H58)</f>
        <v>24488.8549454109</v>
      </c>
      <c r="J58" s="1563" t="n">
        <f aca="false">E58*I58</f>
        <v>0</v>
      </c>
      <c r="K58" s="1565" t="n">
        <f aca="false">IF(Assm!$L$74=1,VLOOKUP($A58,Curves_Table,Escalation!$D$291),Exch)</f>
        <v>1.065</v>
      </c>
      <c r="L58" s="1566" t="n">
        <f aca="false">J58/K58</f>
        <v>0</v>
      </c>
      <c r="M58" s="1567" t="str">
        <f aca="false">IF(MONTH($A58)=12,SUM(L47:L58)," ")</f>
        <v> </v>
      </c>
    </row>
    <row r="59" customFormat="false" ht="12.75" hidden="false" customHeight="false" outlineLevel="0" collapsed="false">
      <c r="A59" s="1538" t="n">
        <f aca="false">EDATE(A58,1)</f>
        <v>37681</v>
      </c>
      <c r="C59" s="1561" t="n">
        <f aca="false">MAX('Plant Operations'!H59,'Plant Operations'!L59)</f>
        <v>0.92</v>
      </c>
      <c r="D59" s="306" t="n">
        <f aca="false">IF($A59&gt;Endyr,0,AVERAGE(C47:C58))</f>
        <v>0.92</v>
      </c>
      <c r="E59" s="306" t="n">
        <f aca="false">IF(D59&gt;E$10,0,E$10-D59)</f>
        <v>0</v>
      </c>
      <c r="F59" s="1562" t="n">
        <f aca="false">IF(Assm!$F$29=0,'Annex 10-Plant'!G59,'Annex 12-Plant'!T59)</f>
        <v>9926.0564961138</v>
      </c>
      <c r="G59" s="1563" t="n">
        <f aca="false">IF($A59&lt;Startops2,0,IF(Assm!$F$29=0,VLOOKUP($A59,Annex10_Gas_Table,'Annex 10-Gas'!$G$270),VLOOKUP($A59,Annex12_Gas_Table,'Annex 12-Gas'!$J$270)))</f>
        <v>8114.40648415578</v>
      </c>
      <c r="H59" s="1564" t="n">
        <f aca="false">IF($A59&lt;Startops2,0,IF(Assm!$F$29=0,VLOOKUP($A59,Annex10_Gas_Table,'Annex 10-Gas'!$P$270),VLOOKUP($A59,Annex12_Gas_Table,'Annex 12-Gas'!$V$270)))</f>
        <v>6517.6860552197</v>
      </c>
      <c r="I59" s="1563" t="n">
        <f aca="false">SUM(F59:H59)</f>
        <v>24558.1490354893</v>
      </c>
      <c r="J59" s="1563" t="n">
        <f aca="false">E59*I59</f>
        <v>0</v>
      </c>
      <c r="K59" s="1565" t="n">
        <f aca="false">IF(Assm!$L$74=1,VLOOKUP($A59,Curves_Table,Escalation!$D$291),Exch)</f>
        <v>1.065</v>
      </c>
      <c r="L59" s="1566" t="n">
        <f aca="false">J59/K59</f>
        <v>0</v>
      </c>
      <c r="M59" s="1567" t="str">
        <f aca="false">IF(MONTH($A59)=12,SUM(L48:L59)," ")</f>
        <v> </v>
      </c>
    </row>
    <row r="60" customFormat="false" ht="12.75" hidden="false" customHeight="false" outlineLevel="0" collapsed="false">
      <c r="A60" s="1538" t="n">
        <f aca="false">EDATE(A59,1)</f>
        <v>37712</v>
      </c>
      <c r="C60" s="1561" t="n">
        <f aca="false">MAX('Plant Operations'!H60,'Plant Operations'!L60)</f>
        <v>0.92</v>
      </c>
      <c r="D60" s="306" t="n">
        <f aca="false">IF($A60&gt;Endyr,0,AVERAGE(C48:C59))</f>
        <v>0.92</v>
      </c>
      <c r="E60" s="306" t="n">
        <f aca="false">IF(D60&gt;E$10,0,E$10-D60)</f>
        <v>0</v>
      </c>
      <c r="F60" s="1562" t="n">
        <f aca="false">IF(Assm!$F$29=0,'Annex 10-Plant'!G60,'Annex 12-Plant'!T60)</f>
        <v>9953.7381056883</v>
      </c>
      <c r="G60" s="1563" t="n">
        <f aca="false">IF($A60&lt;Startops2,0,IF(Assm!$F$29=0,VLOOKUP($A60,Annex10_Gas_Table,'Annex 10-Gas'!$G$270),VLOOKUP($A60,Annex12_Gas_Table,'Annex 12-Gas'!$J$270)))</f>
        <v>8137.59300169207</v>
      </c>
      <c r="H60" s="1564" t="n">
        <f aca="false">IF($A60&lt;Startops2,0,IF(Assm!$F$29=0,VLOOKUP($A60,Annex10_Gas_Table,'Annex 10-Gas'!$P$270),VLOOKUP($A60,Annex12_Gas_Table,'Annex 12-Gas'!$V$270)))</f>
        <v>6536.31002264239</v>
      </c>
      <c r="I60" s="1563" t="n">
        <f aca="false">SUM(F60:H60)</f>
        <v>24627.6411300228</v>
      </c>
      <c r="J60" s="1563" t="n">
        <f aca="false">E60*I60</f>
        <v>0</v>
      </c>
      <c r="K60" s="1565" t="n">
        <f aca="false">IF(Assm!$L$74=1,VLOOKUP($A60,Curves_Table,Escalation!$D$291),Exch)</f>
        <v>1.065</v>
      </c>
      <c r="L60" s="1566" t="n">
        <f aca="false">J60/K60</f>
        <v>0</v>
      </c>
      <c r="M60" s="1567" t="str">
        <f aca="false">IF(MONTH($A60)=12,SUM(L49:L60)," ")</f>
        <v> </v>
      </c>
    </row>
    <row r="61" customFormat="false" ht="12.75" hidden="false" customHeight="false" outlineLevel="0" collapsed="false">
      <c r="A61" s="1538" t="n">
        <f aca="false">EDATE(A60,1)</f>
        <v>37742</v>
      </c>
      <c r="C61" s="1561" t="n">
        <f aca="false">MAX('Plant Operations'!H61,'Plant Operations'!L61)</f>
        <v>0.92</v>
      </c>
      <c r="D61" s="306" t="n">
        <f aca="false">IF($A61&gt;Endyr,0,AVERAGE(C49:C60))</f>
        <v>0.92</v>
      </c>
      <c r="E61" s="306" t="n">
        <f aca="false">IF(D61&gt;E$10,0,E$10-D61)</f>
        <v>0</v>
      </c>
      <c r="F61" s="1562" t="n">
        <f aca="false">IF(Assm!$F$29=0,'Annex 10-Plant'!G61,'Annex 12-Plant'!T61)</f>
        <v>11018.9141209863</v>
      </c>
      <c r="G61" s="1563" t="n">
        <f aca="false">IF($A61&lt;Startops2,0,IF(Assm!$F$29=0,VLOOKUP($A61,Annex10_Gas_Table,'Annex 10-Gas'!$G$270),VLOOKUP($A61,Annex12_Gas_Table,'Annex 12-Gas'!$J$270)))</f>
        <v>8415.69923422648</v>
      </c>
      <c r="H61" s="1564" t="n">
        <f aca="false">IF($A61&lt;Startops2,0,IF(Assm!$F$29=0,VLOOKUP($A61,Annex10_Gas_Table,'Annex 10-Gas'!$P$270),VLOOKUP($A61,Annex12_Gas_Table,'Annex 12-Gas'!$V$270)))</f>
        <v>6736.7561241218</v>
      </c>
      <c r="I61" s="1563" t="n">
        <f aca="false">SUM(F61:H61)</f>
        <v>26171.3694793345</v>
      </c>
      <c r="J61" s="1563" t="n">
        <f aca="false">E61*I61</f>
        <v>0</v>
      </c>
      <c r="K61" s="1565" t="n">
        <f aca="false">IF(Assm!$L$74=1,VLOOKUP($A61,Curves_Table,Escalation!$D$291),Exch)</f>
        <v>1.065</v>
      </c>
      <c r="L61" s="1566" t="n">
        <f aca="false">J61/K61</f>
        <v>0</v>
      </c>
      <c r="M61" s="1567" t="str">
        <f aca="false">IF(MONTH($A61)=12,SUM(L50:L61)," ")</f>
        <v> </v>
      </c>
    </row>
    <row r="62" customFormat="false" ht="12.75" hidden="false" customHeight="false" outlineLevel="0" collapsed="false">
      <c r="A62" s="1538" t="n">
        <f aca="false">EDATE(A61,1)</f>
        <v>37773</v>
      </c>
      <c r="C62" s="1561" t="n">
        <f aca="false">MAX('Plant Operations'!H62,'Plant Operations'!L62)</f>
        <v>0.92</v>
      </c>
      <c r="D62" s="306" t="n">
        <f aca="false">IF($A62&gt;Endyr,0,AVERAGE(C50:C61))</f>
        <v>0.92</v>
      </c>
      <c r="E62" s="306" t="n">
        <f aca="false">IF(D62&gt;E$10,0,E$10-D62)</f>
        <v>0</v>
      </c>
      <c r="F62" s="1562" t="n">
        <f aca="false">IF(Assm!$F$29=0,'Annex 10-Plant'!G62,'Annex 12-Plant'!T62)</f>
        <v>11049.8248876275</v>
      </c>
      <c r="G62" s="1563" t="n">
        <f aca="false">IF($A62&lt;Startops2,0,IF(Assm!$F$29=0,VLOOKUP($A62,Annex10_Gas_Table,'Annex 10-Gas'!$G$270),VLOOKUP($A62,Annex12_Gas_Table,'Annex 12-Gas'!$J$270)))</f>
        <v>8439.74668098128</v>
      </c>
      <c r="H62" s="1564" t="n">
        <f aca="false">IF($A62&lt;Startops2,0,IF(Assm!$F$29=0,VLOOKUP($A62,Annex10_Gas_Table,'Annex 10-Gas'!$P$270),VLOOKUP($A62,Annex12_Gas_Table,'Annex 12-Gas'!$V$270)))</f>
        <v>6756.00607349452</v>
      </c>
      <c r="I62" s="1563" t="n">
        <f aca="false">SUM(F62:H62)</f>
        <v>26245.5776421033</v>
      </c>
      <c r="J62" s="1563" t="n">
        <f aca="false">E62*I62</f>
        <v>0</v>
      </c>
      <c r="K62" s="1565" t="n">
        <f aca="false">IF(Assm!$L$74=1,VLOOKUP($A62,Curves_Table,Escalation!$D$291),Exch)</f>
        <v>1.065</v>
      </c>
      <c r="L62" s="1566" t="n">
        <f aca="false">J62/K62</f>
        <v>0</v>
      </c>
      <c r="M62" s="1567" t="str">
        <f aca="false">IF(MONTH($A62)=12,SUM(L51:L62)," ")</f>
        <v> </v>
      </c>
    </row>
    <row r="63" customFormat="false" ht="12.75" hidden="false" customHeight="false" outlineLevel="0" collapsed="false">
      <c r="A63" s="1538" t="n">
        <f aca="false">EDATE(A62,1)</f>
        <v>37803</v>
      </c>
      <c r="C63" s="1561" t="n">
        <f aca="false">MAX('Plant Operations'!H63,'Plant Operations'!L63)</f>
        <v>0.92</v>
      </c>
      <c r="D63" s="306" t="n">
        <f aca="false">IF($A63&gt;Endyr,0,AVERAGE(C51:C62))</f>
        <v>0.92</v>
      </c>
      <c r="E63" s="306" t="n">
        <f aca="false">IF(D63&gt;E$10,0,E$10-D63)</f>
        <v>0</v>
      </c>
      <c r="F63" s="1562" t="n">
        <f aca="false">IF(Assm!$F$29=0,'Annex 10-Plant'!G63,'Annex 12-Plant'!T63)</f>
        <v>11080.8239802645</v>
      </c>
      <c r="G63" s="1563" t="n">
        <f aca="false">IF($A63&lt;Startops2,0,IF(Assm!$F$29=0,VLOOKUP($A63,Annex10_Gas_Table,'Annex 10-Gas'!$G$270),VLOOKUP($A63,Annex12_Gas_Table,'Annex 12-Gas'!$J$270)))</f>
        <v>8463.86284213274</v>
      </c>
      <c r="H63" s="1564" t="n">
        <f aca="false">IF($A63&lt;Startops2,0,IF(Assm!$F$29=0,VLOOKUP($A63,Annex10_Gas_Table,'Annex 10-Gas'!$P$270),VLOOKUP($A63,Annex12_Gas_Table,'Annex 12-Gas'!$V$270)))</f>
        <v>6775.31102865104</v>
      </c>
      <c r="I63" s="1563" t="n">
        <f aca="false">SUM(F63:H63)</f>
        <v>26319.9978510483</v>
      </c>
      <c r="J63" s="1563" t="n">
        <f aca="false">E63*I63</f>
        <v>0</v>
      </c>
      <c r="K63" s="1565" t="n">
        <f aca="false">IF(Assm!$L$74=1,VLOOKUP($A63,Curves_Table,Escalation!$D$291),Exch)</f>
        <v>1.065</v>
      </c>
      <c r="L63" s="1566" t="n">
        <f aca="false">J63/K63</f>
        <v>0</v>
      </c>
      <c r="M63" s="1567" t="str">
        <f aca="false">IF(MONTH($A63)=12,SUM(L52:L63)," ")</f>
        <v> </v>
      </c>
    </row>
    <row r="64" customFormat="false" ht="12.75" hidden="false" customHeight="false" outlineLevel="0" collapsed="false">
      <c r="A64" s="1538" t="n">
        <f aca="false">EDATE(A63,1)</f>
        <v>37834</v>
      </c>
      <c r="C64" s="1561" t="n">
        <f aca="false">MAX('Plant Operations'!H64,'Plant Operations'!L64)</f>
        <v>0.92</v>
      </c>
      <c r="D64" s="306" t="n">
        <f aca="false">IF($A64&gt;Endyr,0,AVERAGE(C52:C63))</f>
        <v>0.92</v>
      </c>
      <c r="E64" s="306" t="n">
        <f aca="false">IF(D64&gt;E$10,0,E$10-D64)</f>
        <v>0</v>
      </c>
      <c r="F64" s="1562" t="n">
        <f aca="false">IF(Assm!$F$29=0,'Annex 10-Plant'!G64,'Annex 12-Plant'!T64)</f>
        <v>11111.9116512845</v>
      </c>
      <c r="G64" s="1563" t="n">
        <f aca="false">IF($A64&lt;Startops2,0,IF(Assm!$F$29=0,VLOOKUP($A64,Annex10_Gas_Table,'Annex 10-Gas'!$G$270),VLOOKUP($A64,Annex12_Gas_Table,'Annex 12-Gas'!$J$270)))</f>
        <v>8488.04791402889</v>
      </c>
      <c r="H64" s="1564" t="n">
        <f aca="false">IF($A64&lt;Startops2,0,IF(Assm!$F$29=0,VLOOKUP($A64,Annex10_Gas_Table,'Annex 10-Gas'!$P$270),VLOOKUP($A64,Annex12_Gas_Table,'Annex 12-Gas'!$V$270)))</f>
        <v>6794.67114676767</v>
      </c>
      <c r="I64" s="1563" t="n">
        <f aca="false">SUM(F64:H64)</f>
        <v>26394.6307120811</v>
      </c>
      <c r="J64" s="1563" t="n">
        <f aca="false">E64*I64</f>
        <v>0</v>
      </c>
      <c r="K64" s="1565" t="n">
        <f aca="false">IF(Assm!$L$74=1,VLOOKUP($A64,Curves_Table,Escalation!$D$291),Exch)</f>
        <v>1.065</v>
      </c>
      <c r="L64" s="1566" t="n">
        <f aca="false">J64/K64</f>
        <v>0</v>
      </c>
      <c r="M64" s="1567" t="str">
        <f aca="false">IF(MONTH($A64)=12,SUM(L53:L64)," ")</f>
        <v> </v>
      </c>
    </row>
    <row r="65" customFormat="false" ht="12.75" hidden="false" customHeight="false" outlineLevel="0" collapsed="false">
      <c r="A65" s="1538" t="n">
        <f aca="false">EDATE(A64,1)</f>
        <v>37865</v>
      </c>
      <c r="C65" s="1561" t="n">
        <f aca="false">MAX('Plant Operations'!H65,'Plant Operations'!L65)</f>
        <v>0.92</v>
      </c>
      <c r="D65" s="306" t="n">
        <f aca="false">IF($A65&gt;Endyr,0,AVERAGE(C53:C64))</f>
        <v>0.92</v>
      </c>
      <c r="E65" s="306" t="n">
        <f aca="false">IF(D65&gt;E$10,0,E$10-D65)</f>
        <v>0</v>
      </c>
      <c r="F65" s="1562" t="n">
        <f aca="false">IF(Assm!$F$29=0,'Annex 10-Plant'!G65,'Annex 12-Plant'!T65)</f>
        <v>11143.0881537958</v>
      </c>
      <c r="G65" s="1563" t="n">
        <f aca="false">IF($A65&lt;Startops2,0,IF(Assm!$F$29=0,VLOOKUP($A65,Annex10_Gas_Table,'Annex 10-Gas'!$G$270),VLOOKUP($A65,Annex12_Gas_Table,'Annex 12-Gas'!$J$270)))</f>
        <v>8512.30209357878</v>
      </c>
      <c r="H65" s="1564" t="n">
        <f aca="false">IF($A65&lt;Startops2,0,IF(Assm!$F$29=0,VLOOKUP($A65,Annex10_Gas_Table,'Annex 10-Gas'!$P$270),VLOOKUP($A65,Annex12_Gas_Table,'Annex 12-Gas'!$V$270)))</f>
        <v>6814.08658546987</v>
      </c>
      <c r="I65" s="1563" t="n">
        <f aca="false">SUM(F65:H65)</f>
        <v>26469.4768328445</v>
      </c>
      <c r="J65" s="1563" t="n">
        <f aca="false">E65*I65</f>
        <v>0</v>
      </c>
      <c r="K65" s="1565" t="n">
        <f aca="false">IF(Assm!$L$74=1,VLOOKUP($A65,Curves_Table,Escalation!$D$291),Exch)</f>
        <v>1.065</v>
      </c>
      <c r="L65" s="1566" t="n">
        <f aca="false">J65/K65</f>
        <v>0</v>
      </c>
      <c r="M65" s="1567" t="str">
        <f aca="false">IF(MONTH($A65)=12,SUM(L54:L65)," ")</f>
        <v> </v>
      </c>
    </row>
    <row r="66" customFormat="false" ht="12.75" hidden="false" customHeight="false" outlineLevel="0" collapsed="false">
      <c r="A66" s="1538" t="n">
        <f aca="false">EDATE(A65,1)</f>
        <v>37895</v>
      </c>
      <c r="C66" s="1561" t="n">
        <f aca="false">MAX('Plant Operations'!H66,'Plant Operations'!L66)</f>
        <v>0.92</v>
      </c>
      <c r="D66" s="306" t="n">
        <f aca="false">IF($A66&gt;Endyr,0,AVERAGE(C54:C65))</f>
        <v>0.92</v>
      </c>
      <c r="E66" s="306" t="n">
        <f aca="false">IF(D66&gt;E$10,0,E$10-D66)</f>
        <v>0</v>
      </c>
      <c r="F66" s="1562" t="n">
        <f aca="false">IF(Assm!$F$29=0,'Annex 10-Plant'!G66,'Annex 12-Plant'!T66)</f>
        <v>11174.3537416301</v>
      </c>
      <c r="G66" s="1563" t="n">
        <f aca="false">IF($A66&lt;Startops2,0,IF(Assm!$F$29=0,VLOOKUP($A66,Annex10_Gas_Table,'Annex 10-Gas'!$G$270),VLOOKUP($A66,Annex12_Gas_Table,'Annex 12-Gas'!$J$270)))</f>
        <v>8536.62557825413</v>
      </c>
      <c r="H66" s="1564" t="n">
        <f aca="false">IF($A66&lt;Startops2,0,IF(Assm!$F$29=0,VLOOKUP($A66,Annex10_Gas_Table,'Annex 10-Gas'!$P$270),VLOOKUP($A66,Annex12_Gas_Table,'Annex 12-Gas'!$V$270)))</f>
        <v>6833.55750283348</v>
      </c>
      <c r="I66" s="1563" t="n">
        <f aca="false">SUM(F66:H66)</f>
        <v>26544.5368227177</v>
      </c>
      <c r="J66" s="1563" t="n">
        <f aca="false">E66*I66</f>
        <v>0</v>
      </c>
      <c r="K66" s="1565" t="n">
        <f aca="false">IF(Assm!$L$74=1,VLOOKUP($A66,Curves_Table,Escalation!$D$291),Exch)</f>
        <v>1.065</v>
      </c>
      <c r="L66" s="1566" t="n">
        <f aca="false">J66/K66</f>
        <v>0</v>
      </c>
      <c r="M66" s="1567" t="str">
        <f aca="false">IF(MONTH($A66)=12,SUM(L55:L66)," ")</f>
        <v> </v>
      </c>
    </row>
    <row r="67" customFormat="false" ht="12.75" hidden="false" customHeight="false" outlineLevel="0" collapsed="false">
      <c r="A67" s="1538" t="n">
        <f aca="false">EDATE(A66,1)</f>
        <v>37926</v>
      </c>
      <c r="C67" s="1561" t="n">
        <f aca="false">MAX('Plant Operations'!H67,'Plant Operations'!L67)</f>
        <v>0.92</v>
      </c>
      <c r="D67" s="306" t="n">
        <f aca="false">IF($A67&gt;Endyr,0,AVERAGE(C55:C66))</f>
        <v>0.92</v>
      </c>
      <c r="E67" s="306" t="n">
        <f aca="false">IF(D67&gt;E$10,0,E$10-D67)</f>
        <v>0</v>
      </c>
      <c r="F67" s="1562" t="n">
        <f aca="false">IF(Assm!$F$29=0,'Annex 10-Plant'!G67,'Annex 12-Plant'!T67)</f>
        <v>11205.7086693442</v>
      </c>
      <c r="G67" s="1563" t="n">
        <f aca="false">IF($A67&lt;Startops2,0,IF(Assm!$F$29=0,VLOOKUP($A67,Annex10_Gas_Table,'Annex 10-Gas'!$G$270),VLOOKUP($A67,Annex12_Gas_Table,'Annex 12-Gas'!$J$270)))</f>
        <v>8561.01856609094</v>
      </c>
      <c r="H67" s="1564" t="n">
        <f aca="false">IF($A67&lt;Startops2,0,IF(Assm!$F$29=0,VLOOKUP($A67,Annex10_Gas_Table,'Annex 10-Gas'!$P$270),VLOOKUP($A67,Annex12_Gas_Table,'Annex 12-Gas'!$V$270)))</f>
        <v>6853.08405738607</v>
      </c>
      <c r="I67" s="1563" t="n">
        <f aca="false">SUM(F67:H67)</f>
        <v>26619.8112928212</v>
      </c>
      <c r="J67" s="1563" t="n">
        <f aca="false">E67*I67</f>
        <v>0</v>
      </c>
      <c r="K67" s="1565" t="n">
        <f aca="false">IF(Assm!$L$74=1,VLOOKUP($A67,Curves_Table,Escalation!$D$291),Exch)</f>
        <v>1.065</v>
      </c>
      <c r="L67" s="1566" t="n">
        <f aca="false">J67/K67</f>
        <v>0</v>
      </c>
      <c r="M67" s="1567" t="str">
        <f aca="false">IF(MONTH($A67)=12,SUM(L56:L67)," ")</f>
        <v> </v>
      </c>
    </row>
    <row r="68" customFormat="false" ht="12.75" hidden="false" customHeight="false" outlineLevel="0" collapsed="false">
      <c r="A68" s="1538" t="n">
        <f aca="false">EDATE(A67,1)</f>
        <v>37956</v>
      </c>
      <c r="C68" s="1561" t="n">
        <f aca="false">MAX('Plant Operations'!H68,'Plant Operations'!L68)</f>
        <v>0.92</v>
      </c>
      <c r="D68" s="306" t="n">
        <f aca="false">IF($A68&gt;Endyr,0,AVERAGE(C56:C67))</f>
        <v>0.92</v>
      </c>
      <c r="E68" s="306" t="n">
        <f aca="false">IF(D68&gt;E$10,0,E$10-D68)</f>
        <v>0</v>
      </c>
      <c r="F68" s="1562" t="n">
        <f aca="false">IF(Assm!$F$29=0,'Annex 10-Plant'!G68,'Annex 12-Plant'!T68)</f>
        <v>11237.1531922226</v>
      </c>
      <c r="G68" s="1563" t="n">
        <f aca="false">IF($A68&lt;Startops2,0,IF(Assm!$F$29=0,VLOOKUP($A68,Annex10_Gas_Table,'Annex 10-Gas'!$G$270),VLOOKUP($A68,Annex12_Gas_Table,'Annex 12-Gas'!$J$270)))</f>
        <v>8585.48125569107</v>
      </c>
      <c r="H68" s="1564" t="n">
        <f aca="false">IF($A68&lt;Startops2,0,IF(Assm!$F$29=0,VLOOKUP($A68,Annex10_Gas_Table,'Annex 10-Gas'!$P$270),VLOOKUP($A68,Annex12_Gas_Table,'Annex 12-Gas'!$V$270)))</f>
        <v>6872.66640810815</v>
      </c>
      <c r="I68" s="1563" t="n">
        <f aca="false">SUM(F68:H68)</f>
        <v>26695.3008560218</v>
      </c>
      <c r="J68" s="1563" t="n">
        <f aca="false">E68*I68</f>
        <v>0</v>
      </c>
      <c r="K68" s="1565" t="n">
        <f aca="false">IF(Assm!$L$74=1,VLOOKUP($A68,Curves_Table,Escalation!$D$291),Exch)</f>
        <v>1.065</v>
      </c>
      <c r="L68" s="1566" t="n">
        <f aca="false">J68/K68</f>
        <v>0</v>
      </c>
      <c r="M68" s="1567" t="n">
        <f aca="false">IF(MONTH($A68)=12,SUM(L57:L68)," ")</f>
        <v>0</v>
      </c>
    </row>
    <row r="69" customFormat="false" ht="12.75" hidden="false" customHeight="false" outlineLevel="0" collapsed="false">
      <c r="A69" s="1538" t="n">
        <f aca="false">EDATE(A68,1)</f>
        <v>37987</v>
      </c>
      <c r="C69" s="1561" t="n">
        <f aca="false">MAX('Plant Operations'!H69,'Plant Operations'!L69)</f>
        <v>0.92</v>
      </c>
      <c r="D69" s="306" t="n">
        <f aca="false">IF($A69&gt;Endyr,0,AVERAGE(C57:C68))</f>
        <v>0.92</v>
      </c>
      <c r="E69" s="306" t="n">
        <f aca="false">IF(D69&gt;E$10,0,E$10-D69)</f>
        <v>0</v>
      </c>
      <c r="F69" s="1562" t="n">
        <f aca="false">IF(Assm!$F$29=0,'Annex 10-Plant'!G69,'Annex 12-Plant'!T69)</f>
        <v>11265.672769314</v>
      </c>
      <c r="G69" s="1563" t="n">
        <f aca="false">IF($A69&lt;Startops2,0,IF(Assm!$F$29=0,VLOOKUP($A69,Annex10_Gas_Table,'Annex 10-Gas'!$G$270),VLOOKUP($A69,Annex12_Gas_Table,'Annex 12-Gas'!$J$270)))</f>
        <v>8607.66844436661</v>
      </c>
      <c r="H69" s="1564" t="n">
        <f aca="false">IF($A69&lt;Startops2,0,IF(Assm!$F$29=0,VLOOKUP($A69,Annex10_Gas_Table,'Annex 10-Gas'!$P$270),VLOOKUP($A69,Annex12_Gas_Table,'Annex 12-Gas'!$V$270)))</f>
        <v>6890.42722334488</v>
      </c>
      <c r="I69" s="1563" t="n">
        <f aca="false">SUM(F69:H69)</f>
        <v>26763.7684370255</v>
      </c>
      <c r="J69" s="1563" t="n">
        <f aca="false">E69*I69</f>
        <v>0</v>
      </c>
      <c r="K69" s="1565" t="n">
        <f aca="false">IF(Assm!$L$74=1,VLOOKUP($A69,Curves_Table,Escalation!$D$291),Exch)</f>
        <v>1.065</v>
      </c>
      <c r="L69" s="1566" t="n">
        <f aca="false">J69/K69</f>
        <v>0</v>
      </c>
      <c r="M69" s="1567" t="str">
        <f aca="false">IF(MONTH($A69)=12,SUM(L58:L69)," ")</f>
        <v> </v>
      </c>
    </row>
    <row r="70" customFormat="false" ht="12.75" hidden="false" customHeight="false" outlineLevel="0" collapsed="false">
      <c r="A70" s="1538" t="n">
        <f aca="false">EDATE(A69,1)</f>
        <v>38018</v>
      </c>
      <c r="C70" s="1561" t="n">
        <f aca="false">MAX('Plant Operations'!H70,'Plant Operations'!L70)</f>
        <v>0.92</v>
      </c>
      <c r="D70" s="306" t="n">
        <f aca="false">IF($A70&gt;Endyr,0,AVERAGE(C58:C69))</f>
        <v>0.92</v>
      </c>
      <c r="E70" s="306" t="n">
        <f aca="false">IF(D70&gt;E$10,0,E$10-D70)</f>
        <v>0</v>
      </c>
      <c r="F70" s="1562" t="n">
        <f aca="false">IF(Assm!$F$29=0,'Annex 10-Plant'!G70,'Annex 12-Plant'!T70)</f>
        <v>11294.2660486498</v>
      </c>
      <c r="G70" s="1563" t="n">
        <f aca="false">IF($A70&lt;Startops2,0,IF(Assm!$F$29=0,VLOOKUP($A70,Annex10_Gas_Table,'Annex 10-Gas'!$G$270),VLOOKUP($A70,Annex12_Gas_Table,'Annex 12-Gas'!$J$270)))</f>
        <v>8629.91297069472</v>
      </c>
      <c r="H70" s="1564" t="n">
        <f aca="false">IF($A70&lt;Startops2,0,IF(Assm!$F$29=0,VLOOKUP($A70,Annex10_Gas_Table,'Annex 10-Gas'!$P$270),VLOOKUP($A70,Annex12_Gas_Table,'Annex 12-Gas'!$V$270)))</f>
        <v>6908.23393729678</v>
      </c>
      <c r="I70" s="1563" t="n">
        <f aca="false">SUM(F70:H70)</f>
        <v>26832.4129566413</v>
      </c>
      <c r="J70" s="1563" t="n">
        <f aca="false">E70*I70</f>
        <v>0</v>
      </c>
      <c r="K70" s="1565" t="n">
        <f aca="false">IF(Assm!$L$74=1,VLOOKUP($A70,Curves_Table,Escalation!$D$291),Exch)</f>
        <v>1.065</v>
      </c>
      <c r="L70" s="1566" t="n">
        <f aca="false">J70/K70</f>
        <v>0</v>
      </c>
      <c r="M70" s="1567" t="str">
        <f aca="false">IF(MONTH($A70)=12,SUM(L59:L70)," ")</f>
        <v> </v>
      </c>
    </row>
    <row r="71" customFormat="false" ht="12.75" hidden="false" customHeight="false" outlineLevel="0" collapsed="false">
      <c r="A71" s="1538" t="n">
        <f aca="false">EDATE(A70,1)</f>
        <v>38047</v>
      </c>
      <c r="C71" s="1561" t="n">
        <f aca="false">MAX('Plant Operations'!H71,'Plant Operations'!L71)</f>
        <v>0.92</v>
      </c>
      <c r="D71" s="306" t="n">
        <f aca="false">IF($A71&gt;Endyr,0,AVERAGE(C59:C70))</f>
        <v>0.92</v>
      </c>
      <c r="E71" s="306" t="n">
        <f aca="false">IF(D71&gt;E$10,0,E$10-D71)</f>
        <v>0</v>
      </c>
      <c r="F71" s="1562" t="n">
        <f aca="false">IF(Assm!$F$29=0,'Annex 10-Plant'!G71,'Annex 12-Plant'!T71)</f>
        <v>11322.9332206964</v>
      </c>
      <c r="G71" s="1563" t="n">
        <f aca="false">IF($A71&lt;Startops2,0,IF(Assm!$F$29=0,VLOOKUP($A71,Annex10_Gas_Table,'Annex 10-Gas'!$G$270),VLOOKUP($A71,Annex12_Gas_Table,'Annex 12-Gas'!$J$270)))</f>
        <v>8652.21498285128</v>
      </c>
      <c r="H71" s="1564" t="n">
        <f aca="false">IF($A71&lt;Startops2,0,IF(Assm!$F$29=0,VLOOKUP($A71,Annex10_Gas_Table,'Annex 10-Gas'!$P$270),VLOOKUP($A71,Annex12_Gas_Table,'Annex 12-Gas'!$V$270)))</f>
        <v>6926.08666857844</v>
      </c>
      <c r="I71" s="1563" t="n">
        <f aca="false">SUM(F71:H71)</f>
        <v>26901.2348721261</v>
      </c>
      <c r="J71" s="1563" t="n">
        <f aca="false">E71*I71</f>
        <v>0</v>
      </c>
      <c r="K71" s="1565" t="n">
        <f aca="false">IF(Assm!$L$74=1,VLOOKUP($A71,Curves_Table,Escalation!$D$291),Exch)</f>
        <v>1.065</v>
      </c>
      <c r="L71" s="1566" t="n">
        <f aca="false">J71/K71</f>
        <v>0</v>
      </c>
      <c r="M71" s="1567" t="str">
        <f aca="false">IF(MONTH($A71)=12,SUM(L60:L71)," ")</f>
        <v> </v>
      </c>
    </row>
    <row r="72" customFormat="false" ht="12.75" hidden="false" customHeight="false" outlineLevel="0" collapsed="false">
      <c r="A72" s="1538" t="n">
        <f aca="false">EDATE(A71,1)</f>
        <v>38078</v>
      </c>
      <c r="C72" s="1561" t="n">
        <f aca="false">MAX('Plant Operations'!H72,'Plant Operations'!L72)</f>
        <v>0.92</v>
      </c>
      <c r="D72" s="306" t="n">
        <f aca="false">IF($A72&gt;Endyr,0,AVERAGE(C60:C71))</f>
        <v>0.92</v>
      </c>
      <c r="E72" s="306" t="n">
        <f aca="false">IF(D72&gt;E$10,0,E$10-D72)</f>
        <v>0</v>
      </c>
      <c r="F72" s="1562" t="n">
        <f aca="false">IF(Assm!$F$29=0,'Annex 10-Plant'!G72,'Annex 12-Plant'!T72)</f>
        <v>11351.6744764124</v>
      </c>
      <c r="G72" s="1563" t="n">
        <f aca="false">IF($A72&lt;Startops2,0,IF(Assm!$F$29=0,VLOOKUP($A72,Annex10_Gas_Table,'Annex 10-Gas'!$G$270),VLOOKUP($A72,Annex12_Gas_Table,'Annex 12-Gas'!$J$270)))</f>
        <v>8674.57462939511</v>
      </c>
      <c r="H72" s="1564" t="n">
        <f aca="false">IF($A72&lt;Startops2,0,IF(Assm!$F$29=0,VLOOKUP($A72,Annex10_Gas_Table,'Annex 10-Gas'!$P$270),VLOOKUP($A72,Annex12_Gas_Table,'Annex 12-Gas'!$V$270)))</f>
        <v>6943.985536111</v>
      </c>
      <c r="I72" s="1563" t="n">
        <f aca="false">SUM(F72:H72)</f>
        <v>26970.2346419185</v>
      </c>
      <c r="J72" s="1563" t="n">
        <f aca="false">E72*I72</f>
        <v>0</v>
      </c>
      <c r="K72" s="1565" t="n">
        <f aca="false">IF(Assm!$L$74=1,VLOOKUP($A72,Curves_Table,Escalation!$D$291),Exch)</f>
        <v>1.065</v>
      </c>
      <c r="L72" s="1566" t="n">
        <f aca="false">J72/K72</f>
        <v>0</v>
      </c>
      <c r="M72" s="1567" t="str">
        <f aca="false">IF(MONTH($A72)=12,SUM(L61:L72)," ")</f>
        <v> </v>
      </c>
    </row>
    <row r="73" customFormat="false" ht="12.75" hidden="false" customHeight="false" outlineLevel="0" collapsed="false">
      <c r="A73" s="1538" t="n">
        <f aca="false">EDATE(A72,1)</f>
        <v>38108</v>
      </c>
      <c r="C73" s="1561" t="n">
        <f aca="false">MAX('Plant Operations'!H73,'Plant Operations'!L73)</f>
        <v>0.92</v>
      </c>
      <c r="D73" s="306" t="n">
        <f aca="false">IF($A73&gt;Endyr,0,AVERAGE(C61:C72))</f>
        <v>0.92</v>
      </c>
      <c r="E73" s="306" t="n">
        <f aca="false">IF(D73&gt;E$10,0,E$10-D73)</f>
        <v>0</v>
      </c>
      <c r="F73" s="1562" t="n">
        <f aca="false">IF(Assm!$F$29=0,'Annex 10-Plant'!G73,'Annex 12-Plant'!T73)</f>
        <v>11753.5986249175</v>
      </c>
      <c r="G73" s="1563" t="n">
        <f aca="false">IF($A73&lt;Startops2,0,IF(Assm!$F$29=0,VLOOKUP($A73,Annex10_Gas_Table,'Annex 10-Gas'!$G$270),VLOOKUP($A73,Annex12_Gas_Table,'Annex 12-Gas'!$J$270)))</f>
        <v>8955.81431063617</v>
      </c>
      <c r="H73" s="1564" t="n">
        <f aca="false">IF($A73&lt;Startops2,0,IF(Assm!$F$29=0,VLOOKUP($A73,Annex10_Gas_Table,'Annex 10-Gas'!$P$270),VLOOKUP($A73,Annex12_Gas_Table,'Annex 12-Gas'!$V$270)))</f>
        <v>7134.93290259243</v>
      </c>
      <c r="I73" s="1563" t="n">
        <f aca="false">SUM(F73:H73)</f>
        <v>27844.3458381461</v>
      </c>
      <c r="J73" s="1563" t="n">
        <f aca="false">E73*I73</f>
        <v>0</v>
      </c>
      <c r="K73" s="1565" t="n">
        <f aca="false">IF(Assm!$L$74=1,VLOOKUP($A73,Curves_Table,Escalation!$D$291),Exch)</f>
        <v>1.065</v>
      </c>
      <c r="L73" s="1566" t="n">
        <f aca="false">J73/K73</f>
        <v>0</v>
      </c>
      <c r="M73" s="1567" t="str">
        <f aca="false">IF(MONTH($A73)=12,SUM(L62:L73)," ")</f>
        <v> </v>
      </c>
    </row>
    <row r="74" customFormat="false" ht="12.75" hidden="false" customHeight="false" outlineLevel="0" collapsed="false">
      <c r="A74" s="1538" t="n">
        <f aca="false">EDATE(A73,1)</f>
        <v>38139</v>
      </c>
      <c r="C74" s="1561" t="n">
        <f aca="false">MAX('Plant Operations'!H74,'Plant Operations'!L74)</f>
        <v>0.92</v>
      </c>
      <c r="D74" s="306" t="n">
        <f aca="false">IF($A74&gt;Endyr,0,AVERAGE(C62:C73))</f>
        <v>0.92</v>
      </c>
      <c r="E74" s="306" t="n">
        <f aca="false">IF(D74&gt;E$10,0,E$10-D74)</f>
        <v>0</v>
      </c>
      <c r="F74" s="1562" t="n">
        <f aca="false">IF(Assm!$F$29=0,'Annex 10-Plant'!G74,'Annex 12-Plant'!T74)</f>
        <v>11783.6432751347</v>
      </c>
      <c r="G74" s="1563" t="n">
        <f aca="false">IF($A74&lt;Startops2,0,IF(Assm!$F$29=0,VLOOKUP($A74,Annex10_Gas_Table,'Annex 10-Gas'!$G$270),VLOOKUP($A74,Annex12_Gas_Table,'Annex 12-Gas'!$J$270)))</f>
        <v>8978.9585393562</v>
      </c>
      <c r="H74" s="1564" t="n">
        <f aca="false">IF($A74&lt;Startops2,0,IF(Assm!$F$29=0,VLOOKUP($A74,Annex10_Gas_Table,'Annex 10-Gas'!$P$270),VLOOKUP($A74,Annex12_Gas_Table,'Annex 12-Gas'!$V$270)))</f>
        <v>7153.37148486668</v>
      </c>
      <c r="I74" s="1563" t="n">
        <f aca="false">SUM(F74:H74)</f>
        <v>27915.9732993576</v>
      </c>
      <c r="J74" s="1563" t="n">
        <f aca="false">E74*I74</f>
        <v>0</v>
      </c>
      <c r="K74" s="1565" t="n">
        <f aca="false">IF(Assm!$L$74=1,VLOOKUP($A74,Curves_Table,Escalation!$D$291),Exch)</f>
        <v>1.065</v>
      </c>
      <c r="L74" s="1566" t="n">
        <f aca="false">J74/K74</f>
        <v>0</v>
      </c>
      <c r="M74" s="1567" t="str">
        <f aca="false">IF(MONTH($A74)=12,SUM(L63:L74)," ")</f>
        <v> </v>
      </c>
    </row>
    <row r="75" customFormat="false" ht="12.75" hidden="false" customHeight="false" outlineLevel="0" collapsed="false">
      <c r="A75" s="1538" t="n">
        <f aca="false">EDATE(A74,1)</f>
        <v>38169</v>
      </c>
      <c r="C75" s="1561" t="n">
        <f aca="false">MAX('Plant Operations'!H75,'Plant Operations'!L75)</f>
        <v>0.92</v>
      </c>
      <c r="D75" s="306" t="n">
        <f aca="false">IF($A75&gt;Endyr,0,AVERAGE(C63:C74))</f>
        <v>0.92</v>
      </c>
      <c r="E75" s="306" t="n">
        <f aca="false">IF(D75&gt;E$10,0,E$10-D75)</f>
        <v>0</v>
      </c>
      <c r="F75" s="1562" t="n">
        <f aca="false">IF(Assm!$F$29=0,'Annex 10-Plant'!G75,'Annex 12-Plant'!T75)</f>
        <v>11813.7655687947</v>
      </c>
      <c r="G75" s="1563" t="n">
        <f aca="false">IF($A75&lt;Startops2,0,IF(Assm!$F$29=0,VLOOKUP($A75,Annex10_Gas_Table,'Annex 10-Gas'!$G$270),VLOOKUP($A75,Annex12_Gas_Table,'Annex 12-Gas'!$J$270)))</f>
        <v>9002.16257897722</v>
      </c>
      <c r="H75" s="1564" t="n">
        <f aca="false">IF($A75&lt;Startops2,0,IF(Assm!$F$29=0,VLOOKUP($A75,Annex10_Gas_Table,'Annex 10-Gas'!$P$270),VLOOKUP($A75,Annex12_Gas_Table,'Annex 12-Gas'!$V$270)))</f>
        <v>7171.8577173881</v>
      </c>
      <c r="I75" s="1563" t="n">
        <f aca="false">SUM(F75:H75)</f>
        <v>27987.78586516</v>
      </c>
      <c r="J75" s="1563" t="n">
        <f aca="false">E75*I75</f>
        <v>0</v>
      </c>
      <c r="K75" s="1565" t="n">
        <f aca="false">IF(Assm!$L$74=1,VLOOKUP($A75,Curves_Table,Escalation!$D$291),Exch)</f>
        <v>1.065</v>
      </c>
      <c r="L75" s="1566" t="n">
        <f aca="false">J75/K75</f>
        <v>0</v>
      </c>
      <c r="M75" s="1567" t="str">
        <f aca="false">IF(MONTH($A75)=12,SUM(L64:L75)," ")</f>
        <v> </v>
      </c>
    </row>
    <row r="76" customFormat="false" ht="12.75" hidden="false" customHeight="false" outlineLevel="0" collapsed="false">
      <c r="A76" s="1538" t="n">
        <f aca="false">EDATE(A75,1)</f>
        <v>38200</v>
      </c>
      <c r="C76" s="1561" t="n">
        <f aca="false">MAX('Plant Operations'!H76,'Plant Operations'!L76)</f>
        <v>0.92</v>
      </c>
      <c r="D76" s="306" t="n">
        <f aca="false">IF($A76&gt;Endyr,0,AVERAGE(C64:C75))</f>
        <v>0.92</v>
      </c>
      <c r="E76" s="306" t="n">
        <f aca="false">IF(D76&gt;E$10,0,E$10-D76)</f>
        <v>0</v>
      </c>
      <c r="F76" s="1562" t="n">
        <f aca="false">IF(Assm!$F$29=0,'Annex 10-Plant'!G76,'Annex 12-Plant'!T76)</f>
        <v>11843.965706549</v>
      </c>
      <c r="G76" s="1563" t="n">
        <f aca="false">IF($A76&lt;Startops2,0,IF(Assm!$F$29=0,VLOOKUP($A76,Annex10_Gas_Table,'Annex 10-Gas'!$G$270),VLOOKUP($A76,Annex12_Gas_Table,'Annex 12-Gas'!$J$270)))</f>
        <v>9025.42658406666</v>
      </c>
      <c r="H76" s="1564" t="n">
        <f aca="false">IF($A76&lt;Startops2,0,IF(Assm!$F$29=0,VLOOKUP($A76,Annex10_Gas_Table,'Annex 10-Gas'!$P$270),VLOOKUP($A76,Annex12_Gas_Table,'Annex 12-Gas'!$V$270)))</f>
        <v>7190.39172329772</v>
      </c>
      <c r="I76" s="1563" t="n">
        <f aca="false">SUM(F76:H76)</f>
        <v>28059.7840139134</v>
      </c>
      <c r="J76" s="1563" t="n">
        <f aca="false">E76*I76</f>
        <v>0</v>
      </c>
      <c r="K76" s="1565" t="n">
        <f aca="false">IF(Assm!$L$74=1,VLOOKUP($A76,Curves_Table,Escalation!$D$291),Exch)</f>
        <v>1.065</v>
      </c>
      <c r="L76" s="1566" t="n">
        <f aca="false">J76/K76</f>
        <v>0</v>
      </c>
      <c r="M76" s="1567" t="str">
        <f aca="false">IF(MONTH($A76)=12,SUM(L65:L76)," ")</f>
        <v> </v>
      </c>
    </row>
    <row r="77" customFormat="false" ht="12.75" hidden="false" customHeight="false" outlineLevel="0" collapsed="false">
      <c r="A77" s="1538" t="n">
        <f aca="false">EDATE(A76,1)</f>
        <v>38231</v>
      </c>
      <c r="C77" s="1561" t="n">
        <f aca="false">MAX('Plant Operations'!H77,'Plant Operations'!L77)</f>
        <v>0.92</v>
      </c>
      <c r="D77" s="306" t="n">
        <f aca="false">IF($A77&gt;Endyr,0,AVERAGE(C65:C76))</f>
        <v>0.92</v>
      </c>
      <c r="E77" s="306" t="n">
        <f aca="false">IF(D77&gt;E$10,0,E$10-D77)</f>
        <v>0</v>
      </c>
      <c r="F77" s="1562" t="n">
        <f aca="false">IF(Assm!$F$29=0,'Annex 10-Plant'!G77,'Annex 12-Plant'!T77)</f>
        <v>11874.2438895677</v>
      </c>
      <c r="G77" s="1563" t="n">
        <f aca="false">IF($A77&lt;Startops2,0,IF(Assm!$F$29=0,VLOOKUP($A77,Annex10_Gas_Table,'Annex 10-Gas'!$G$270),VLOOKUP($A77,Annex12_Gas_Table,'Annex 12-Gas'!$J$270)))</f>
        <v>9048.75070959139</v>
      </c>
      <c r="H77" s="1564" t="n">
        <f aca="false">IF($A77&lt;Startops2,0,IF(Assm!$F$29=0,VLOOKUP($A77,Annex10_Gas_Table,'Annex 10-Gas'!$P$270),VLOOKUP($A77,Annex12_Gas_Table,'Annex 12-Gas'!$V$270)))</f>
        <v>7208.97362605478</v>
      </c>
      <c r="I77" s="1563" t="n">
        <f aca="false">SUM(F77:H77)</f>
        <v>28131.9682252139</v>
      </c>
      <c r="J77" s="1563" t="n">
        <f aca="false">E77*I77</f>
        <v>0</v>
      </c>
      <c r="K77" s="1565" t="n">
        <f aca="false">IF(Assm!$L$74=1,VLOOKUP($A77,Curves_Table,Escalation!$D$291),Exch)</f>
        <v>1.065</v>
      </c>
      <c r="L77" s="1566" t="n">
        <f aca="false">J77/K77</f>
        <v>0</v>
      </c>
      <c r="M77" s="1567" t="str">
        <f aca="false">IF(MONTH($A77)=12,SUM(L66:L77)," ")</f>
        <v> </v>
      </c>
    </row>
    <row r="78" customFormat="false" ht="12.75" hidden="false" customHeight="false" outlineLevel="0" collapsed="false">
      <c r="A78" s="1538" t="n">
        <f aca="false">EDATE(A77,1)</f>
        <v>38261</v>
      </c>
      <c r="C78" s="1561" t="n">
        <f aca="false">MAX('Plant Operations'!H78,'Plant Operations'!L78)</f>
        <v>0.92</v>
      </c>
      <c r="D78" s="306" t="n">
        <f aca="false">IF($A78&gt;Endyr,0,AVERAGE(C66:C77))</f>
        <v>0.92</v>
      </c>
      <c r="E78" s="306" t="n">
        <f aca="false">IF(D78&gt;E$10,0,E$10-D78)</f>
        <v>0</v>
      </c>
      <c r="F78" s="1562" t="n">
        <f aca="false">IF(Assm!$F$29=0,'Annex 10-Plant'!G78,'Annex 12-Plant'!T78)</f>
        <v>11904.6003195407</v>
      </c>
      <c r="G78" s="1563" t="n">
        <f aca="false">IF($A78&lt;Startops2,0,IF(Assm!$F$29=0,VLOOKUP($A78,Annex10_Gas_Table,'Annex 10-Gas'!$G$270),VLOOKUP($A78,Annex12_Gas_Table,'Annex 12-Gas'!$J$270)))</f>
        <v>9072.13511091876</v>
      </c>
      <c r="H78" s="1564" t="n">
        <f aca="false">IF($A78&lt;Startops2,0,IF(Assm!$F$29=0,VLOOKUP($A78,Annex10_Gas_Table,'Annex 10-Gas'!$P$270),VLOOKUP($A78,Annex12_Gas_Table,'Annex 12-Gas'!$V$270)))</f>
        <v>7227.60354943762</v>
      </c>
      <c r="I78" s="1563" t="n">
        <f aca="false">SUM(F78:H78)</f>
        <v>28204.3389798971</v>
      </c>
      <c r="J78" s="1563" t="n">
        <f aca="false">E78*I78</f>
        <v>0</v>
      </c>
      <c r="K78" s="1565" t="n">
        <f aca="false">IF(Assm!$L$74=1,VLOOKUP($A78,Curves_Table,Escalation!$D$291),Exch)</f>
        <v>1.065</v>
      </c>
      <c r="L78" s="1566" t="n">
        <f aca="false">J78/K78</f>
        <v>0</v>
      </c>
      <c r="M78" s="1567" t="str">
        <f aca="false">IF(MONTH($A78)=12,SUM(L67:L78)," ")</f>
        <v> </v>
      </c>
    </row>
    <row r="79" customFormat="false" ht="12.75" hidden="false" customHeight="false" outlineLevel="0" collapsed="false">
      <c r="A79" s="1538" t="n">
        <f aca="false">EDATE(A78,1)</f>
        <v>38292</v>
      </c>
      <c r="C79" s="1561" t="n">
        <f aca="false">MAX('Plant Operations'!H79,'Plant Operations'!L79)</f>
        <v>0.92</v>
      </c>
      <c r="D79" s="306" t="n">
        <f aca="false">IF($A79&gt;Endyr,0,AVERAGE(C67:C78))</f>
        <v>0.92</v>
      </c>
      <c r="E79" s="306" t="n">
        <f aca="false">IF(D79&gt;E$10,0,E$10-D79)</f>
        <v>0</v>
      </c>
      <c r="F79" s="1562" t="n">
        <f aca="false">IF(Assm!$F$29=0,'Annex 10-Plant'!G79,'Annex 12-Plant'!T79)</f>
        <v>11935.0351986792</v>
      </c>
      <c r="G79" s="1563" t="n">
        <f aca="false">IF($A79&lt;Startops2,0,IF(Assm!$F$29=0,VLOOKUP($A79,Annex10_Gas_Table,'Annex 10-Gas'!$G$270),VLOOKUP($A79,Annex12_Gas_Table,'Annex 12-Gas'!$J$270)))</f>
        <v>9095.57994381762</v>
      </c>
      <c r="H79" s="1564" t="n">
        <f aca="false">IF($A79&lt;Startops2,0,IF(Assm!$F$29=0,VLOOKUP($A79,Annex10_Gas_Table,'Annex 10-Gas'!$P$270),VLOOKUP($A79,Annex12_Gas_Table,'Annex 12-Gas'!$V$270)))</f>
        <v>7246.28161754442</v>
      </c>
      <c r="I79" s="1563" t="n">
        <f aca="false">SUM(F79:H79)</f>
        <v>28276.8967600412</v>
      </c>
      <c r="J79" s="1563" t="n">
        <f aca="false">E79*I79</f>
        <v>0</v>
      </c>
      <c r="K79" s="1565" t="n">
        <f aca="false">IF(Assm!$L$74=1,VLOOKUP($A79,Curves_Table,Escalation!$D$291),Exch)</f>
        <v>1.065</v>
      </c>
      <c r="L79" s="1566" t="n">
        <f aca="false">J79/K79</f>
        <v>0</v>
      </c>
      <c r="M79" s="1567" t="str">
        <f aca="false">IF(MONTH($A79)=12,SUM(L68:L79)," ")</f>
        <v> </v>
      </c>
    </row>
    <row r="80" customFormat="false" ht="12.75" hidden="false" customHeight="false" outlineLevel="0" collapsed="false">
      <c r="A80" s="1538" t="n">
        <f aca="false">EDATE(A79,1)</f>
        <v>38322</v>
      </c>
      <c r="C80" s="1561" t="n">
        <f aca="false">MAX('Plant Operations'!H80,'Plant Operations'!L80)</f>
        <v>0.92</v>
      </c>
      <c r="D80" s="306" t="n">
        <f aca="false">IF($A80&gt;Endyr,0,AVERAGE(C68:C79))</f>
        <v>0.92</v>
      </c>
      <c r="E80" s="306" t="n">
        <f aca="false">IF(D80&gt;E$10,0,E$10-D80)</f>
        <v>0</v>
      </c>
      <c r="F80" s="1562" t="n">
        <f aca="false">IF(Assm!$F$29=0,'Annex 10-Plant'!G80,'Annex 12-Plant'!T80)</f>
        <v>11965.5487297167</v>
      </c>
      <c r="G80" s="1563" t="n">
        <f aca="false">IF($A80&lt;Startops2,0,IF(Assm!$F$29=0,VLOOKUP($A80,Annex10_Gas_Table,'Annex 10-Gas'!$G$270),VLOOKUP($A80,Annex12_Gas_Table,'Annex 12-Gas'!$J$270)))</f>
        <v>9119.08536445939</v>
      </c>
      <c r="H80" s="1564" t="n">
        <f aca="false">IF($A80&lt;Startops2,0,IF(Assm!$F$29=0,VLOOKUP($A80,Annex10_Gas_Table,'Annex 10-Gas'!$P$270),VLOOKUP($A80,Annex12_Gas_Table,'Annex 12-Gas'!$V$270)))</f>
        <v>7265.00795479406</v>
      </c>
      <c r="I80" s="1563" t="n">
        <f aca="false">SUM(F80:H80)</f>
        <v>28349.6420489702</v>
      </c>
      <c r="J80" s="1563" t="n">
        <f aca="false">E80*I80</f>
        <v>0</v>
      </c>
      <c r="K80" s="1565" t="n">
        <f aca="false">IF(Assm!$L$74=1,VLOOKUP($A80,Curves_Table,Escalation!$D$291),Exch)</f>
        <v>1.065</v>
      </c>
      <c r="L80" s="1566" t="n">
        <f aca="false">J80/K80</f>
        <v>0</v>
      </c>
      <c r="M80" s="1567" t="n">
        <f aca="false">IF(MONTH($A80)=12,SUM(L69:L80)," ")</f>
        <v>0</v>
      </c>
    </row>
    <row r="81" customFormat="false" ht="12.75" hidden="false" customHeight="false" outlineLevel="0" collapsed="false">
      <c r="A81" s="1538" t="n">
        <f aca="false">EDATE(A80,1)</f>
        <v>38353</v>
      </c>
      <c r="C81" s="1561" t="n">
        <f aca="false">MAX('Plant Operations'!H81,'Plant Operations'!L81)</f>
        <v>0.92</v>
      </c>
      <c r="D81" s="306" t="n">
        <f aca="false">IF($A81&gt;Endyr,0,AVERAGE(C69:C80))</f>
        <v>0.92</v>
      </c>
      <c r="E81" s="306" t="n">
        <f aca="false">IF(D81&gt;E$10,0,E$10-D81)</f>
        <v>0</v>
      </c>
      <c r="F81" s="1562" t="n">
        <f aca="false">IF(Assm!$F$29=0,'Annex 10-Plant'!G81,'Annex 12-Plant'!T81)</f>
        <v>11993.254221953</v>
      </c>
      <c r="G81" s="1563" t="n">
        <f aca="false">IF($A81&lt;Startops2,0,IF(Assm!$F$29=0,VLOOKUP($A81,Annex10_Gas_Table,'Annex 10-Gas'!$G$270),VLOOKUP($A81,Annex12_Gas_Table,'Annex 12-Gas'!$J$270)))</f>
        <v>9140.42767480355</v>
      </c>
      <c r="H81" s="1564" t="n">
        <f aca="false">IF($A81&lt;Startops2,0,IF(Assm!$F$29=0,VLOOKUP($A81,Annex10_Gas_Table,'Annex 10-Gas'!$P$270),VLOOKUP($A81,Annex12_Gas_Table,'Annex 12-Gas'!$V$270)))</f>
        <v>7282.0109817674</v>
      </c>
      <c r="I81" s="1563" t="n">
        <f aca="false">SUM(F81:H81)</f>
        <v>28415.6928785239</v>
      </c>
      <c r="J81" s="1563" t="n">
        <f aca="false">E81*I81</f>
        <v>0</v>
      </c>
      <c r="K81" s="1565" t="n">
        <f aca="false">IF(Assm!$L$74=1,VLOOKUP($A81,Curves_Table,Escalation!$D$291),Exch)</f>
        <v>1.065</v>
      </c>
      <c r="L81" s="1566" t="n">
        <f aca="false">J81/K81</f>
        <v>0</v>
      </c>
      <c r="M81" s="1567" t="str">
        <f aca="false">IF(MONTH($A81)=12,SUM(L70:L81)," ")</f>
        <v> </v>
      </c>
    </row>
    <row r="82" customFormat="false" ht="12.75" hidden="false" customHeight="false" outlineLevel="0" collapsed="false">
      <c r="A82" s="1538" t="n">
        <f aca="false">EDATE(A81,1)</f>
        <v>38384</v>
      </c>
      <c r="C82" s="1561" t="n">
        <f aca="false">MAX('Plant Operations'!H82,'Plant Operations'!L82)</f>
        <v>0.92</v>
      </c>
      <c r="D82" s="306" t="n">
        <f aca="false">IF($A82&gt;Endyr,0,AVERAGE(C70:C81))</f>
        <v>0.92</v>
      </c>
      <c r="E82" s="306" t="n">
        <f aca="false">IF(D82&gt;E$10,0,E$10-D82)</f>
        <v>0</v>
      </c>
      <c r="F82" s="1562" t="n">
        <f aca="false">IF(Assm!$F$29=0,'Annex 10-Plant'!G82,'Annex 12-Plant'!T82)</f>
        <v>12021.0245561322</v>
      </c>
      <c r="G82" s="1563" t="n">
        <f aca="false">IF($A82&lt;Startops2,0,IF(Assm!$F$29=0,VLOOKUP($A82,Annex10_Gas_Table,'Annex 10-Gas'!$G$270),VLOOKUP($A82,Annex12_Gas_Table,'Annex 12-Gas'!$J$270)))</f>
        <v>9161.81993469776</v>
      </c>
      <c r="H82" s="1564" t="n">
        <f aca="false">IF($A82&lt;Startops2,0,IF(Assm!$F$29=0,VLOOKUP($A82,Annex10_Gas_Table,'Annex 10-Gas'!$P$270),VLOOKUP($A82,Annex12_Gas_Table,'Annex 12-Gas'!$V$270)))</f>
        <v>7299.05380263057</v>
      </c>
      <c r="I82" s="1563" t="n">
        <f aca="false">SUM(F82:H82)</f>
        <v>28481.8982934606</v>
      </c>
      <c r="J82" s="1563" t="n">
        <f aca="false">E82*I82</f>
        <v>0</v>
      </c>
      <c r="K82" s="1565" t="n">
        <f aca="false">IF(Assm!$L$74=1,VLOOKUP($A82,Curves_Table,Escalation!$D$291),Exch)</f>
        <v>1.065</v>
      </c>
      <c r="L82" s="1566" t="n">
        <f aca="false">J82/K82</f>
        <v>0</v>
      </c>
      <c r="M82" s="1567" t="str">
        <f aca="false">IF(MONTH($A82)=12,SUM(L71:L82)," ")</f>
        <v> </v>
      </c>
    </row>
    <row r="83" customFormat="false" ht="12.75" hidden="false" customHeight="false" outlineLevel="0" collapsed="false">
      <c r="A83" s="1538" t="n">
        <f aca="false">EDATE(A82,1)</f>
        <v>38412</v>
      </c>
      <c r="C83" s="1561" t="n">
        <f aca="false">MAX('Plant Operations'!H83,'Plant Operations'!L83)</f>
        <v>0.92</v>
      </c>
      <c r="D83" s="306" t="n">
        <f aca="false">IF($A83&gt;Endyr,0,AVERAGE(C71:C82))</f>
        <v>0.92</v>
      </c>
      <c r="E83" s="306" t="n">
        <f aca="false">IF(D83&gt;E$10,0,E$10-D83)</f>
        <v>0</v>
      </c>
      <c r="F83" s="1562" t="n">
        <f aca="false">IF(Assm!$F$29=0,'Annex 10-Plant'!G83,'Annex 12-Plant'!T83)</f>
        <v>12048.8598840106</v>
      </c>
      <c r="G83" s="1563" t="n">
        <f aca="false">IF($A83&lt;Startops2,0,IF(Assm!$F$29=0,VLOOKUP($A83,Annex10_Gas_Table,'Annex 10-Gas'!$G$270),VLOOKUP($A83,Annex12_Gas_Table,'Annex 12-Gas'!$J$270)))</f>
        <v>9183.26226104397</v>
      </c>
      <c r="H83" s="1564" t="n">
        <f aca="false">IF($A83&lt;Startops2,0,IF(Assm!$F$29=0,VLOOKUP($A83,Annex10_Gas_Table,'Annex 10-Gas'!$P$270),VLOOKUP($A83,Annex12_Gas_Table,'Annex 12-Gas'!$V$270)))</f>
        <v>7316.13651051722</v>
      </c>
      <c r="I83" s="1563" t="n">
        <f aca="false">SUM(F83:H83)</f>
        <v>28548.2586555718</v>
      </c>
      <c r="J83" s="1563" t="n">
        <f aca="false">E83*I83</f>
        <v>0</v>
      </c>
      <c r="K83" s="1565" t="n">
        <f aca="false">IF(Assm!$L$74=1,VLOOKUP($A83,Curves_Table,Escalation!$D$291),Exch)</f>
        <v>1.065</v>
      </c>
      <c r="L83" s="1566" t="n">
        <f aca="false">J83/K83</f>
        <v>0</v>
      </c>
      <c r="M83" s="1567" t="str">
        <f aca="false">IF(MONTH($A83)=12,SUM(L72:L83)," ")</f>
        <v> </v>
      </c>
    </row>
    <row r="84" customFormat="false" ht="12.75" hidden="false" customHeight="false" outlineLevel="0" collapsed="false">
      <c r="A84" s="1538" t="n">
        <f aca="false">EDATE(A83,1)</f>
        <v>38443</v>
      </c>
      <c r="C84" s="1561" t="n">
        <f aca="false">MAX('Plant Operations'!H84,'Plant Operations'!L84)</f>
        <v>0.92</v>
      </c>
      <c r="D84" s="306" t="n">
        <f aca="false">IF($A84&gt;Endyr,0,AVERAGE(C72:C83))</f>
        <v>0.92</v>
      </c>
      <c r="E84" s="306" t="n">
        <f aca="false">IF(D84&gt;E$10,0,E$10-D84)</f>
        <v>0</v>
      </c>
      <c r="F84" s="1562" t="n">
        <f aca="false">IF(Assm!$F$29=0,'Annex 10-Plant'!G84,'Annex 12-Plant'!T84)</f>
        <v>12076.7603576994</v>
      </c>
      <c r="G84" s="1563" t="n">
        <f aca="false">IF($A84&lt;Startops2,0,IF(Assm!$F$29=0,VLOOKUP($A84,Annex10_Gas_Table,'Annex 10-Gas'!$G$270),VLOOKUP($A84,Annex12_Gas_Table,'Annex 12-Gas'!$J$270)))</f>
        <v>9204.75477101771</v>
      </c>
      <c r="H84" s="1564" t="n">
        <f aca="false">IF($A84&lt;Startops2,0,IF(Assm!$F$29=0,VLOOKUP($A84,Annex10_Gas_Table,'Annex 10-Gas'!$P$270),VLOOKUP($A84,Annex12_Gas_Table,'Annex 12-Gas'!$V$270)))</f>
        <v>7333.25919877895</v>
      </c>
      <c r="I84" s="1563" t="n">
        <f aca="false">SUM(F84:H84)</f>
        <v>28614.774327496</v>
      </c>
      <c r="J84" s="1563" t="n">
        <f aca="false">E84*I84</f>
        <v>0</v>
      </c>
      <c r="K84" s="1565" t="n">
        <f aca="false">IF(Assm!$L$74=1,VLOOKUP($A84,Curves_Table,Escalation!$D$291),Exch)</f>
        <v>1.065</v>
      </c>
      <c r="L84" s="1566" t="n">
        <f aca="false">J84/K84</f>
        <v>0</v>
      </c>
      <c r="M84" s="1567" t="str">
        <f aca="false">IF(MONTH($A84)=12,SUM(L73:L84)," ")</f>
        <v> </v>
      </c>
    </row>
    <row r="85" customFormat="false" ht="12.75" hidden="false" customHeight="false" outlineLevel="0" collapsed="false">
      <c r="A85" s="1538" t="n">
        <f aca="false">EDATE(A84,1)</f>
        <v>38473</v>
      </c>
      <c r="C85" s="1561" t="n">
        <f aca="false">MAX('Plant Operations'!H85,'Plant Operations'!L85)</f>
        <v>0.92</v>
      </c>
      <c r="D85" s="306" t="n">
        <f aca="false">IF($A85&gt;Endyr,0,AVERAGE(C73:C84))</f>
        <v>0.92</v>
      </c>
      <c r="E85" s="306" t="n">
        <f aca="false">IF(D85&gt;E$10,0,E$10-D85)</f>
        <v>0</v>
      </c>
      <c r="F85" s="1562" t="n">
        <f aca="false">IF(Assm!$F$29=0,'Annex 10-Plant'!G85,'Annex 12-Plant'!T85)</f>
        <v>12352.6625412135</v>
      </c>
      <c r="G85" s="1563" t="n">
        <f aca="false">IF($A85&lt;Startops2,0,IF(Assm!$F$29=0,VLOOKUP($A85,Annex10_Gas_Table,'Annex 10-Gas'!$G$270),VLOOKUP($A85,Annex12_Gas_Table,'Annex 12-Gas'!$J$270)))</f>
        <v>9475.06522699595</v>
      </c>
      <c r="H85" s="1564" t="n">
        <f aca="false">IF($A85&lt;Startops2,0,IF(Assm!$F$29=0,VLOOKUP($A85,Annex10_Gas_Table,'Annex 10-Gas'!$P$270),VLOOKUP($A85,Annex12_Gas_Table,'Annex 12-Gas'!$V$270)))</f>
        <v>7467.67550576807</v>
      </c>
      <c r="I85" s="1563" t="n">
        <f aca="false">SUM(F85:H85)</f>
        <v>29295.4032739775</v>
      </c>
      <c r="J85" s="1563" t="n">
        <f aca="false">E85*I85</f>
        <v>0</v>
      </c>
      <c r="K85" s="1565" t="n">
        <f aca="false">IF(Assm!$L$74=1,VLOOKUP($A85,Curves_Table,Escalation!$D$291),Exch)</f>
        <v>1.065</v>
      </c>
      <c r="L85" s="1566" t="n">
        <f aca="false">J85/K85</f>
        <v>0</v>
      </c>
      <c r="M85" s="1567" t="str">
        <f aca="false">IF(MONTH($A85)=12,SUM(L74:L85)," ")</f>
        <v> </v>
      </c>
    </row>
    <row r="86" customFormat="false" ht="12.75" hidden="false" customHeight="false" outlineLevel="0" collapsed="false">
      <c r="A86" s="1538" t="n">
        <f aca="false">EDATE(A85,1)</f>
        <v>38504</v>
      </c>
      <c r="C86" s="1561" t="n">
        <f aca="false">MAX('Plant Operations'!H86,'Plant Operations'!L86)</f>
        <v>0.92</v>
      </c>
      <c r="D86" s="306" t="n">
        <f aca="false">IF($A86&gt;Endyr,0,AVERAGE(C74:C85))</f>
        <v>0.92</v>
      </c>
      <c r="E86" s="306" t="n">
        <f aca="false">IF(D86&gt;E$10,0,E$10-D86)</f>
        <v>0</v>
      </c>
      <c r="F86" s="1562" t="n">
        <f aca="false">IF(Assm!$F$29=0,'Annex 10-Plant'!G86,'Annex 12-Plant'!T86)</f>
        <v>12381.2746896225</v>
      </c>
      <c r="G86" s="1563" t="n">
        <f aca="false">IF($A86&lt;Startops2,0,IF(Assm!$F$29=0,VLOOKUP($A86,Annex10_Gas_Table,'Annex 10-Gas'!$G$270),VLOOKUP($A86,Annex12_Gas_Table,'Annex 12-Gas'!$J$270)))</f>
        <v>9497.24067272584</v>
      </c>
      <c r="H86" s="1564" t="n">
        <f aca="false">IF($A86&lt;Startops2,0,IF(Assm!$F$29=0,VLOOKUP($A86,Annex10_Gas_Table,'Annex 10-Gas'!$P$270),VLOOKUP($A86,Annex12_Gas_Table,'Annex 12-Gas'!$V$270)))</f>
        <v>7485.15285594342</v>
      </c>
      <c r="I86" s="1563" t="n">
        <f aca="false">SUM(F86:H86)</f>
        <v>29363.6682182917</v>
      </c>
      <c r="J86" s="1563" t="n">
        <f aca="false">E86*I86</f>
        <v>0</v>
      </c>
      <c r="K86" s="1565" t="n">
        <f aca="false">IF(Assm!$L$74=1,VLOOKUP($A86,Curves_Table,Escalation!$D$291),Exch)</f>
        <v>1.065</v>
      </c>
      <c r="L86" s="1566" t="n">
        <f aca="false">J86/K86</f>
        <v>0</v>
      </c>
      <c r="M86" s="1567" t="str">
        <f aca="false">IF(MONTH($A86)=12,SUM(L75:L86)," ")</f>
        <v> </v>
      </c>
    </row>
    <row r="87" customFormat="false" ht="12.75" hidden="false" customHeight="false" outlineLevel="0" collapsed="false">
      <c r="A87" s="1538" t="n">
        <f aca="false">EDATE(A86,1)</f>
        <v>38534</v>
      </c>
      <c r="C87" s="1561" t="n">
        <f aca="false">MAX('Plant Operations'!H87,'Plant Operations'!L87)</f>
        <v>0.92</v>
      </c>
      <c r="D87" s="306" t="n">
        <f aca="false">IF($A87&gt;Endyr,0,AVERAGE(C75:C86))</f>
        <v>0.92</v>
      </c>
      <c r="E87" s="306" t="n">
        <f aca="false">IF(D87&gt;E$10,0,E$10-D87)</f>
        <v>0</v>
      </c>
      <c r="F87" s="1562" t="n">
        <f aca="false">IF(Assm!$F$29=0,'Annex 10-Plant'!G87,'Annex 12-Plant'!T87)</f>
        <v>12409.9538019129</v>
      </c>
      <c r="G87" s="1563" t="n">
        <f aca="false">IF($A87&lt;Startops2,0,IF(Assm!$F$29=0,VLOOKUP($A87,Annex10_Gas_Table,'Annex 10-Gas'!$G$270),VLOOKUP($A87,Annex12_Gas_Table,'Annex 12-Gas'!$J$270)))</f>
        <v>9519.46801787609</v>
      </c>
      <c r="H87" s="1564" t="n">
        <f aca="false">IF($A87&lt;Startops2,0,IF(Assm!$F$29=0,VLOOKUP($A87,Annex10_Gas_Table,'Annex 10-Gas'!$P$270),VLOOKUP($A87,Annex12_Gas_Table,'Annex 12-Gas'!$V$270)))</f>
        <v>7502.67111011479</v>
      </c>
      <c r="I87" s="1563" t="n">
        <f aca="false">SUM(F87:H87)</f>
        <v>29432.0929299038</v>
      </c>
      <c r="J87" s="1563" t="n">
        <f aca="false">E87*I87</f>
        <v>0</v>
      </c>
      <c r="K87" s="1565" t="n">
        <f aca="false">IF(Assm!$L$74=1,VLOOKUP($A87,Curves_Table,Escalation!$D$291),Exch)</f>
        <v>1.065</v>
      </c>
      <c r="L87" s="1566" t="n">
        <f aca="false">J87/K87</f>
        <v>0</v>
      </c>
      <c r="M87" s="1567" t="str">
        <f aca="false">IF(MONTH($A87)=12,SUM(L76:L87)," ")</f>
        <v> </v>
      </c>
    </row>
    <row r="88" customFormat="false" ht="12.75" hidden="false" customHeight="false" outlineLevel="0" collapsed="false">
      <c r="A88" s="1538" t="n">
        <f aca="false">EDATE(A87,1)</f>
        <v>38565</v>
      </c>
      <c r="C88" s="1561" t="n">
        <f aca="false">MAX('Plant Operations'!H88,'Plant Operations'!L88)</f>
        <v>0.92</v>
      </c>
      <c r="D88" s="306" t="n">
        <f aca="false">IF($A88&gt;Endyr,0,AVERAGE(C76:C87))</f>
        <v>0.92</v>
      </c>
      <c r="E88" s="306" t="n">
        <f aca="false">IF(D88&gt;E$10,0,E$10-D88)</f>
        <v>0</v>
      </c>
      <c r="F88" s="1562" t="n">
        <f aca="false">IF(Assm!$F$29=0,'Annex 10-Plant'!G88,'Annex 12-Plant'!T88)</f>
        <v>12438.700034807</v>
      </c>
      <c r="G88" s="1563" t="n">
        <f aca="false">IF($A88&lt;Startops2,0,IF(Assm!$F$29=0,VLOOKUP($A88,Annex10_Gas_Table,'Annex 10-Gas'!$G$270),VLOOKUP($A88,Annex12_Gas_Table,'Annex 12-Gas'!$J$270)))</f>
        <v>9541.74738391215</v>
      </c>
      <c r="H88" s="1564" t="n">
        <f aca="false">IF($A88&lt;Startops2,0,IF(Assm!$F$29=0,VLOOKUP($A88,Annex10_Gas_Table,'Annex 10-Gas'!$P$270),VLOOKUP($A88,Annex12_Gas_Table,'Annex 12-Gas'!$V$270)))</f>
        <v>7520.2303640139</v>
      </c>
      <c r="I88" s="1563" t="n">
        <f aca="false">SUM(F88:H88)</f>
        <v>29500.6777827331</v>
      </c>
      <c r="J88" s="1563" t="n">
        <f aca="false">E88*I88</f>
        <v>0</v>
      </c>
      <c r="K88" s="1565" t="n">
        <f aca="false">IF(Assm!$L$74=1,VLOOKUP($A88,Curves_Table,Escalation!$D$291),Exch)</f>
        <v>1.065</v>
      </c>
      <c r="L88" s="1566" t="n">
        <f aca="false">J88/K88</f>
        <v>0</v>
      </c>
      <c r="M88" s="1567" t="str">
        <f aca="false">IF(MONTH($A88)=12,SUM(L77:L88)," ")</f>
        <v> </v>
      </c>
    </row>
    <row r="89" customFormat="false" ht="12.75" hidden="false" customHeight="false" outlineLevel="0" collapsed="false">
      <c r="A89" s="1538" t="n">
        <f aca="false">EDATE(A88,1)</f>
        <v>38596</v>
      </c>
      <c r="C89" s="1561" t="n">
        <f aca="false">MAX('Plant Operations'!H89,'Plant Operations'!L89)</f>
        <v>0.92</v>
      </c>
      <c r="D89" s="306" t="n">
        <f aca="false">IF($A89&gt;Endyr,0,AVERAGE(C77:C88))</f>
        <v>0.92</v>
      </c>
      <c r="E89" s="306" t="n">
        <f aca="false">IF(D89&gt;E$10,0,E$10-D89)</f>
        <v>0</v>
      </c>
      <c r="F89" s="1562" t="n">
        <f aca="false">IF(Assm!$F$29=0,'Annex 10-Plant'!G89,'Annex 12-Plant'!T89)</f>
        <v>12467.513545394</v>
      </c>
      <c r="G89" s="1563" t="n">
        <f aca="false">IF($A89&lt;Startops2,0,IF(Assm!$F$29=0,VLOOKUP($A89,Annex10_Gas_Table,'Annex 10-Gas'!$G$270),VLOOKUP($A89,Annex12_Gas_Table,'Annex 12-Gas'!$J$270)))</f>
        <v>9564.0788925837</v>
      </c>
      <c r="H89" s="1564" t="n">
        <f aca="false">IF($A89&lt;Startops2,0,IF(Assm!$F$29=0,VLOOKUP($A89,Annex10_Gas_Table,'Annex 10-Gas'!$P$270),VLOOKUP($A89,Annex12_Gas_Table,'Annex 12-Gas'!$V$270)))</f>
        <v>7537.83071359654</v>
      </c>
      <c r="I89" s="1563" t="n">
        <f aca="false">SUM(F89:H89)</f>
        <v>29569.4231515742</v>
      </c>
      <c r="J89" s="1563" t="n">
        <f aca="false">E89*I89</f>
        <v>0</v>
      </c>
      <c r="K89" s="1565" t="n">
        <f aca="false">IF(Assm!$L$74=1,VLOOKUP($A89,Curves_Table,Escalation!$D$291),Exch)</f>
        <v>1.065</v>
      </c>
      <c r="L89" s="1566" t="n">
        <f aca="false">J89/K89</f>
        <v>0</v>
      </c>
      <c r="M89" s="1567" t="str">
        <f aca="false">IF(MONTH($A89)=12,SUM(L78:L89)," ")</f>
        <v> </v>
      </c>
    </row>
    <row r="90" customFormat="false" ht="12.75" hidden="false" customHeight="false" outlineLevel="0" collapsed="false">
      <c r="A90" s="1538" t="n">
        <f aca="false">EDATE(A89,1)</f>
        <v>38626</v>
      </c>
      <c r="C90" s="1561" t="n">
        <f aca="false">MAX('Plant Operations'!H90,'Plant Operations'!L90)</f>
        <v>0.92</v>
      </c>
      <c r="D90" s="306" t="n">
        <f aca="false">IF($A90&gt;Endyr,0,AVERAGE(C78:C89))</f>
        <v>0.92</v>
      </c>
      <c r="E90" s="306" t="n">
        <f aca="false">IF(D90&gt;E$10,0,E$10-D90)</f>
        <v>0</v>
      </c>
      <c r="F90" s="1562" t="n">
        <f aca="false">IF(Assm!$F$29=0,'Annex 10-Plant'!G90,'Annex 12-Plant'!T90)</f>
        <v>12496.3944911304</v>
      </c>
      <c r="G90" s="1563" t="n">
        <f aca="false">IF($A90&lt;Startops2,0,IF(Assm!$F$29=0,VLOOKUP($A90,Annex10_Gas_Table,'Annex 10-Gas'!$G$270),VLOOKUP($A90,Annex12_Gas_Table,'Annex 12-Gas'!$J$270)))</f>
        <v>9586.46266592539</v>
      </c>
      <c r="H90" s="1564" t="n">
        <f aca="false">IF($A90&lt;Startops2,0,IF(Assm!$F$29=0,VLOOKUP($A90,Annex10_Gas_Table,'Annex 10-Gas'!$P$270),VLOOKUP($A90,Annex12_Gas_Table,'Annex 12-Gas'!$V$270)))</f>
        <v>7555.47225504304</v>
      </c>
      <c r="I90" s="1563" t="n">
        <f aca="false">SUM(F90:H90)</f>
        <v>29638.3294120988</v>
      </c>
      <c r="J90" s="1563" t="n">
        <f aca="false">E90*I90</f>
        <v>0</v>
      </c>
      <c r="K90" s="1565" t="n">
        <f aca="false">IF(Assm!$L$74=1,VLOOKUP($A90,Curves_Table,Escalation!$D$291),Exch)</f>
        <v>1.065</v>
      </c>
      <c r="L90" s="1566" t="n">
        <f aca="false">J90/K90</f>
        <v>0</v>
      </c>
      <c r="M90" s="1567" t="str">
        <f aca="false">IF(MONTH($A90)=12,SUM(L79:L90)," ")</f>
        <v> </v>
      </c>
    </row>
    <row r="91" customFormat="false" ht="12.75" hidden="false" customHeight="false" outlineLevel="0" collapsed="false">
      <c r="A91" s="1538" t="n">
        <f aca="false">EDATE(A90,1)</f>
        <v>38657</v>
      </c>
      <c r="C91" s="1561" t="n">
        <f aca="false">MAX('Plant Operations'!H91,'Plant Operations'!L91)</f>
        <v>0.92</v>
      </c>
      <c r="D91" s="306" t="n">
        <f aca="false">IF($A91&gt;Endyr,0,AVERAGE(C79:C90))</f>
        <v>0.92</v>
      </c>
      <c r="E91" s="306" t="n">
        <f aca="false">IF(D91&gt;E$10,0,E$10-D91)</f>
        <v>0</v>
      </c>
      <c r="F91" s="1562" t="n">
        <f aca="false">IF(Assm!$F$29=0,'Annex 10-Plant'!G91,'Annex 12-Plant'!T91)</f>
        <v>12525.3430298416</v>
      </c>
      <c r="G91" s="1563" t="n">
        <f aca="false">IF($A91&lt;Startops2,0,IF(Assm!$F$29=0,VLOOKUP($A91,Annex10_Gas_Table,'Annex 10-Gas'!$G$270),VLOOKUP($A91,Annex12_Gas_Table,'Annex 12-Gas'!$J$270)))</f>
        <v>9608.89882625747</v>
      </c>
      <c r="H91" s="1564" t="n">
        <f aca="false">IF($A91&lt;Startops2,0,IF(Assm!$F$29=0,VLOOKUP($A91,Annex10_Gas_Table,'Annex 10-Gas'!$P$270),VLOOKUP($A91,Annex12_Gas_Table,'Annex 12-Gas'!$V$270)))</f>
        <v>7573.15508475887</v>
      </c>
      <c r="I91" s="1563" t="n">
        <f aca="false">SUM(F91:H91)</f>
        <v>29707.3969408579</v>
      </c>
      <c r="J91" s="1563" t="n">
        <f aca="false">E91*I91</f>
        <v>0</v>
      </c>
      <c r="K91" s="1565" t="n">
        <f aca="false">IF(Assm!$L$74=1,VLOOKUP($A91,Curves_Table,Escalation!$D$291),Exch)</f>
        <v>1.065</v>
      </c>
      <c r="L91" s="1566" t="n">
        <f aca="false">J91/K91</f>
        <v>0</v>
      </c>
      <c r="M91" s="1567" t="str">
        <f aca="false">IF(MONTH($A91)=12,SUM(L80:L91)," ")</f>
        <v> </v>
      </c>
    </row>
    <row r="92" customFormat="false" ht="12.75" hidden="false" customHeight="false" outlineLevel="0" collapsed="false">
      <c r="A92" s="1538" t="n">
        <f aca="false">EDATE(A91,1)</f>
        <v>38687</v>
      </c>
      <c r="C92" s="1561" t="n">
        <f aca="false">MAX('Plant Operations'!H92,'Plant Operations'!L92)</f>
        <v>0.92</v>
      </c>
      <c r="D92" s="306" t="n">
        <f aca="false">IF($A92&gt;Endyr,0,AVERAGE(C80:C91))</f>
        <v>0.92</v>
      </c>
      <c r="E92" s="306" t="n">
        <f aca="false">IF(D92&gt;E$10,0,E$10-D92)</f>
        <v>0</v>
      </c>
      <c r="F92" s="1562" t="n">
        <f aca="false">IF(Assm!$F$29=0,'Annex 10-Plant'!G92,'Annex 12-Plant'!T92)</f>
        <v>12554.3593197222</v>
      </c>
      <c r="G92" s="1563" t="n">
        <f aca="false">IF($A92&lt;Startops2,0,IF(Assm!$F$29=0,VLOOKUP($A92,Annex10_Gas_Table,'Annex 10-Gas'!$G$270),VLOOKUP($A92,Annex12_Gas_Table,'Annex 12-Gas'!$J$270)))</f>
        <v>9631.38749618647</v>
      </c>
      <c r="H92" s="1564" t="n">
        <f aca="false">IF($A92&lt;Startops2,0,IF(Assm!$F$29=0,VLOOKUP($A92,Annex10_Gas_Table,'Annex 10-Gas'!$P$270),VLOOKUP($A92,Annex12_Gas_Table,'Annex 12-Gas'!$V$270)))</f>
        <v>7590.87929937511</v>
      </c>
      <c r="I92" s="1563" t="n">
        <f aca="false">SUM(F92:H92)</f>
        <v>29776.6261152838</v>
      </c>
      <c r="J92" s="1563" t="n">
        <f aca="false">E92*I92</f>
        <v>0</v>
      </c>
      <c r="K92" s="1565" t="n">
        <f aca="false">IF(Assm!$L$74=1,VLOOKUP($A92,Curves_Table,Escalation!$D$291),Exch)</f>
        <v>1.065</v>
      </c>
      <c r="L92" s="1566" t="n">
        <f aca="false">J92/K92</f>
        <v>0</v>
      </c>
      <c r="M92" s="1567" t="n">
        <f aca="false">IF(MONTH($A92)=12,SUM(L81:L92)," ")</f>
        <v>0</v>
      </c>
    </row>
    <row r="93" customFormat="false" ht="12.75" hidden="false" customHeight="false" outlineLevel="0" collapsed="false">
      <c r="A93" s="1538" t="n">
        <f aca="false">EDATE(A92,1)</f>
        <v>38718</v>
      </c>
      <c r="C93" s="1561" t="n">
        <f aca="false">MAX('Plant Operations'!H93,'Plant Operations'!L93)</f>
        <v>0.92</v>
      </c>
      <c r="D93" s="306" t="n">
        <f aca="false">IF($A93&gt;Endyr,0,AVERAGE(C81:C92))</f>
        <v>0.92</v>
      </c>
      <c r="E93" s="306" t="n">
        <f aca="false">IF(D93&gt;E$10,0,E$10-D93)</f>
        <v>0</v>
      </c>
      <c r="F93" s="1562" t="n">
        <f aca="false">IF(Assm!$F$29=0,'Annex 10-Plant'!G93,'Annex 12-Plant'!T93)</f>
        <v>12582.9901013419</v>
      </c>
      <c r="G93" s="1563" t="n">
        <f aca="false">IF($A93&lt;Startops2,0,IF(Assm!$F$29=0,VLOOKUP($A93,Annex10_Gas_Table,'Annex 10-Gas'!$G$270),VLOOKUP($A93,Annex12_Gas_Table,'Annex 12-Gas'!$J$270)))</f>
        <v>9653.57738332588</v>
      </c>
      <c r="H93" s="1564" t="n">
        <f aca="false">IF($A93&lt;Startops2,0,IF(Assm!$F$29=0,VLOOKUP($A93,Annex10_Gas_Table,'Annex 10-Gas'!$P$270),VLOOKUP($A93,Annex12_Gas_Table,'Annex 12-Gas'!$V$270)))</f>
        <v>7608.3680313993</v>
      </c>
      <c r="I93" s="1563" t="n">
        <f aca="false">SUM(F93:H93)</f>
        <v>29844.9355160671</v>
      </c>
      <c r="J93" s="1563" t="n">
        <f aca="false">E93*I93</f>
        <v>0</v>
      </c>
      <c r="K93" s="1565" t="n">
        <f aca="false">IF(Assm!$L$74=1,VLOOKUP($A93,Curves_Table,Escalation!$D$291),Exch)</f>
        <v>1.065</v>
      </c>
      <c r="L93" s="1566" t="n">
        <f aca="false">J93/K93</f>
        <v>0</v>
      </c>
      <c r="M93" s="1567" t="str">
        <f aca="false">IF(MONTH($A93)=12,SUM(L82:L93)," ")</f>
        <v> </v>
      </c>
    </row>
    <row r="94" customFormat="false" ht="12.75" hidden="false" customHeight="false" outlineLevel="0" collapsed="false">
      <c r="A94" s="1538" t="n">
        <f aca="false">EDATE(A93,1)</f>
        <v>38749</v>
      </c>
      <c r="C94" s="1561" t="n">
        <f aca="false">MAX('Plant Operations'!H94,'Plant Operations'!L94)</f>
        <v>0.92</v>
      </c>
      <c r="D94" s="306" t="n">
        <f aca="false">IF($A94&gt;Endyr,0,AVERAGE(C82:C93))</f>
        <v>0.92</v>
      </c>
      <c r="E94" s="306" t="n">
        <f aca="false">IF(D94&gt;E$10,0,E$10-D94)</f>
        <v>0</v>
      </c>
      <c r="F94" s="1562" t="n">
        <f aca="false">IF(Assm!$F$29=0,'Annex 10-Plant'!G94,'Annex 12-Plant'!T94)</f>
        <v>12611.6868458162</v>
      </c>
      <c r="G94" s="1563" t="n">
        <f aca="false">IF($A94&lt;Startops2,0,IF(Assm!$F$29=0,VLOOKUP($A94,Annex10_Gas_Table,'Annex 10-Gas'!$G$270),VLOOKUP($A94,Annex12_Gas_Table,'Annex 12-Gas'!$J$270)))</f>
        <v>9675.8183940538</v>
      </c>
      <c r="H94" s="1564" t="n">
        <f aca="false">IF($A94&lt;Startops2,0,IF(Assm!$F$29=0,VLOOKUP($A94,Annex10_Gas_Table,'Annex 10-Gas'!$P$270),VLOOKUP($A94,Annex12_Gas_Table,'Annex 12-Gas'!$V$270)))</f>
        <v>7625.89705595559</v>
      </c>
      <c r="I94" s="1563" t="n">
        <f aca="false">SUM(F94:H94)</f>
        <v>29913.4022958256</v>
      </c>
      <c r="J94" s="1563" t="n">
        <f aca="false">E94*I94</f>
        <v>0</v>
      </c>
      <c r="K94" s="1565" t="n">
        <f aca="false">IF(Assm!$L$74=1,VLOOKUP($A94,Curves_Table,Escalation!$D$291),Exch)</f>
        <v>1.065</v>
      </c>
      <c r="L94" s="1566" t="n">
        <f aca="false">J94/K94</f>
        <v>0</v>
      </c>
      <c r="M94" s="1567" t="str">
        <f aca="false">IF(MONTH($A94)=12,SUM(L83:L94)," ")</f>
        <v> </v>
      </c>
    </row>
    <row r="95" customFormat="false" ht="12.75" hidden="false" customHeight="false" outlineLevel="0" collapsed="false">
      <c r="A95" s="1538" t="n">
        <f aca="false">EDATE(A94,1)</f>
        <v>38777</v>
      </c>
      <c r="C95" s="1561" t="n">
        <f aca="false">MAX('Plant Operations'!H95,'Plant Operations'!L95)</f>
        <v>0.92</v>
      </c>
      <c r="D95" s="306" t="n">
        <f aca="false">IF($A95&gt;Endyr,0,AVERAGE(C83:C94))</f>
        <v>0.92</v>
      </c>
      <c r="E95" s="306" t="n">
        <f aca="false">IF(D95&gt;E$10,0,E$10-D95)</f>
        <v>0</v>
      </c>
      <c r="F95" s="1562" t="n">
        <f aca="false">IF(Assm!$F$29=0,'Annex 10-Plant'!G95,'Annex 12-Plant'!T95)</f>
        <v>12640.4497051178</v>
      </c>
      <c r="G95" s="1563" t="n">
        <f aca="false">IF($A95&lt;Startops2,0,IF(Assm!$F$29=0,VLOOKUP($A95,Annex10_Gas_Table,'Annex 10-Gas'!$G$270),VLOOKUP($A95,Annex12_Gas_Table,'Annex 12-Gas'!$J$270)))</f>
        <v>9698.11064615459</v>
      </c>
      <c r="H95" s="1564" t="n">
        <f aca="false">IF($A95&lt;Startops2,0,IF(Assm!$F$29=0,VLOOKUP($A95,Annex10_Gas_Table,'Annex 10-Gas'!$P$270),VLOOKUP($A95,Annex12_Gas_Table,'Annex 12-Gas'!$V$270)))</f>
        <v>7643.4664658745</v>
      </c>
      <c r="I95" s="1563" t="n">
        <f aca="false">SUM(F95:H95)</f>
        <v>29982.0268171469</v>
      </c>
      <c r="J95" s="1563" t="n">
        <f aca="false">E95*I95</f>
        <v>0</v>
      </c>
      <c r="K95" s="1565" t="n">
        <f aca="false">IF(Assm!$L$74=1,VLOOKUP($A95,Curves_Table,Escalation!$D$291),Exch)</f>
        <v>1.065</v>
      </c>
      <c r="L95" s="1566" t="n">
        <f aca="false">J95/K95</f>
        <v>0</v>
      </c>
      <c r="M95" s="1567" t="str">
        <f aca="false">IF(MONTH($A95)=12,SUM(L84:L95)," ")</f>
        <v> </v>
      </c>
    </row>
    <row r="96" customFormat="false" ht="12.75" hidden="false" customHeight="false" outlineLevel="0" collapsed="false">
      <c r="A96" s="1538" t="n">
        <f aca="false">EDATE(A95,1)</f>
        <v>38808</v>
      </c>
      <c r="C96" s="1561" t="n">
        <f aca="false">MAX('Plant Operations'!H96,'Plant Operations'!L96)</f>
        <v>0.92</v>
      </c>
      <c r="D96" s="306" t="n">
        <f aca="false">IF($A96&gt;Endyr,0,AVERAGE(C84:C95))</f>
        <v>0.92</v>
      </c>
      <c r="E96" s="306" t="n">
        <f aca="false">IF(D96&gt;E$10,0,E$10-D96)</f>
        <v>0</v>
      </c>
      <c r="F96" s="1562" t="n">
        <f aca="false">IF(Assm!$F$29=0,'Annex 10-Plant'!G96,'Annex 12-Plant'!T96)</f>
        <v>12669.2788315696</v>
      </c>
      <c r="G96" s="1563" t="n">
        <f aca="false">IF($A96&lt;Startops2,0,IF(Assm!$F$29=0,VLOOKUP($A96,Annex10_Gas_Table,'Annex 10-Gas'!$G$270),VLOOKUP($A96,Annex12_Gas_Table,'Annex 12-Gas'!$J$270)))</f>
        <v>9720.45425768396</v>
      </c>
      <c r="H96" s="1564" t="n">
        <f aca="false">IF($A96&lt;Startops2,0,IF(Assm!$F$29=0,VLOOKUP($A96,Annex10_Gas_Table,'Annex 10-Gas'!$P$270),VLOOKUP($A96,Annex12_Gas_Table,'Annex 12-Gas'!$V$270)))</f>
        <v>7661.07635420043</v>
      </c>
      <c r="I96" s="1563" t="n">
        <f aca="false">SUM(F96:H96)</f>
        <v>30050.809443454</v>
      </c>
      <c r="J96" s="1563" t="n">
        <f aca="false">E96*I96</f>
        <v>0</v>
      </c>
      <c r="K96" s="1565" t="n">
        <f aca="false">IF(Assm!$L$74=1,VLOOKUP($A96,Curves_Table,Escalation!$D$291),Exch)</f>
        <v>1.065</v>
      </c>
      <c r="L96" s="1566" t="n">
        <f aca="false">J96/K96</f>
        <v>0</v>
      </c>
      <c r="M96" s="1567" t="str">
        <f aca="false">IF(MONTH($A96)=12,SUM(L85:L96)," ")</f>
        <v> </v>
      </c>
    </row>
    <row r="97" customFormat="false" ht="12.75" hidden="false" customHeight="false" outlineLevel="0" collapsed="false">
      <c r="A97" s="1538" t="n">
        <f aca="false">EDATE(A96,1)</f>
        <v>38838</v>
      </c>
      <c r="C97" s="1561" t="n">
        <f aca="false">MAX('Plant Operations'!H97,'Plant Operations'!L97)</f>
        <v>0.92</v>
      </c>
      <c r="D97" s="306" t="n">
        <f aca="false">IF($A97&gt;Endyr,0,AVERAGE(C85:C96))</f>
        <v>0.92</v>
      </c>
      <c r="E97" s="306" t="n">
        <f aca="false">IF(D97&gt;E$10,0,E$10-D97)</f>
        <v>0</v>
      </c>
      <c r="F97" s="1562" t="n">
        <f aca="false">IF(Assm!$F$29=0,'Annex 10-Plant'!G97,'Annex 12-Plant'!T97)</f>
        <v>12791.0848400059</v>
      </c>
      <c r="G97" s="1563" t="n">
        <f aca="false">IF($A97&lt;Startops2,0,IF(Assm!$F$29=0,VLOOKUP($A97,Annex10_Gas_Table,'Annex 10-Gas'!$G$270),VLOOKUP($A97,Annex12_Gas_Table,'Annex 12-Gas'!$J$270)))</f>
        <v>10027.5422470294</v>
      </c>
      <c r="H97" s="1564" t="n">
        <f aca="false">IF($A97&lt;Startops2,0,IF(Assm!$F$29=0,VLOOKUP($A97,Annex10_Gas_Table,'Annex 10-Gas'!$P$270),VLOOKUP($A97,Annex12_Gas_Table,'Annex 12-Gas'!$V$270)))</f>
        <v>7883.19323624639</v>
      </c>
      <c r="I97" s="1563" t="n">
        <f aca="false">SUM(F97:H97)</f>
        <v>30701.8203232817</v>
      </c>
      <c r="J97" s="1563" t="n">
        <f aca="false">E97*I97</f>
        <v>0</v>
      </c>
      <c r="K97" s="1565" t="n">
        <f aca="false">IF(Assm!$L$74=1,VLOOKUP($A97,Curves_Table,Escalation!$D$291),Exch)</f>
        <v>1.065</v>
      </c>
      <c r="L97" s="1566" t="n">
        <f aca="false">J97/K97</f>
        <v>0</v>
      </c>
      <c r="M97" s="1567" t="str">
        <f aca="false">IF(MONTH($A97)=12,SUM(L86:L97)," ")</f>
        <v> </v>
      </c>
    </row>
    <row r="98" customFormat="false" ht="12.75" hidden="false" customHeight="false" outlineLevel="0" collapsed="false">
      <c r="A98" s="1538" t="n">
        <f aca="false">EDATE(A97,1)</f>
        <v>38869</v>
      </c>
      <c r="C98" s="1561" t="n">
        <f aca="false">MAX('Plant Operations'!H98,'Plant Operations'!L98)</f>
        <v>0.92</v>
      </c>
      <c r="D98" s="306" t="n">
        <f aca="false">IF($A98&gt;Endyr,0,AVERAGE(C86:C97))</f>
        <v>0.92</v>
      </c>
      <c r="E98" s="306" t="n">
        <f aca="false">IF(D98&gt;E$10,0,E$10-D98)</f>
        <v>0</v>
      </c>
      <c r="F98" s="1562" t="n">
        <f aca="false">IF(Assm!$F$29=0,'Annex 10-Plant'!G98,'Annex 12-Plant'!T98)</f>
        <v>12820.2676527637</v>
      </c>
      <c r="G98" s="1563" t="n">
        <f aca="false">IF($A98&lt;Startops2,0,IF(Assm!$F$29=0,VLOOKUP($A98,Annex10_Gas_Table,'Annex 10-Gas'!$G$270),VLOOKUP($A98,Annex12_Gas_Table,'Annex 12-Gas'!$J$270)))</f>
        <v>10050.6448405898</v>
      </c>
      <c r="H98" s="1564" t="n">
        <f aca="false">IF($A98&lt;Startops2,0,IF(Assm!$F$29=0,VLOOKUP($A98,Annex10_Gas_Table,'Annex 10-Gas'!$P$270),VLOOKUP($A98,Annex12_Gas_Table,'Annex 12-Gas'!$V$270)))</f>
        <v>7901.35543440108</v>
      </c>
      <c r="I98" s="1563" t="n">
        <f aca="false">SUM(F98:H98)</f>
        <v>30772.2679277546</v>
      </c>
      <c r="J98" s="1563" t="n">
        <f aca="false">E98*I98</f>
        <v>0</v>
      </c>
      <c r="K98" s="1565" t="n">
        <f aca="false">IF(Assm!$L$74=1,VLOOKUP($A98,Curves_Table,Escalation!$D$291),Exch)</f>
        <v>1.065</v>
      </c>
      <c r="L98" s="1566" t="n">
        <f aca="false">J98/K98</f>
        <v>0</v>
      </c>
      <c r="M98" s="1567" t="str">
        <f aca="false">IF(MONTH($A98)=12,SUM(L87:L98)," ")</f>
        <v> </v>
      </c>
    </row>
    <row r="99" customFormat="false" ht="12.75" hidden="false" customHeight="false" outlineLevel="0" collapsed="false">
      <c r="A99" s="1538" t="n">
        <f aca="false">EDATE(A98,1)</f>
        <v>38899</v>
      </c>
      <c r="C99" s="1561" t="n">
        <f aca="false">MAX('Plant Operations'!H99,'Plant Operations'!L99)</f>
        <v>0.92</v>
      </c>
      <c r="D99" s="306" t="n">
        <f aca="false">IF($A99&gt;Endyr,0,AVERAGE(C87:C98))</f>
        <v>0.92</v>
      </c>
      <c r="E99" s="306" t="n">
        <f aca="false">IF(D99&gt;E$10,0,E$10-D99)</f>
        <v>0</v>
      </c>
      <c r="F99" s="1562" t="n">
        <f aca="false">IF(Assm!$F$29=0,'Annex 10-Plant'!G99,'Annex 12-Plant'!T99)</f>
        <v>12849.5177002083</v>
      </c>
      <c r="G99" s="1563" t="n">
        <f aca="false">IF($A99&lt;Startops2,0,IF(Assm!$F$29=0,VLOOKUP($A99,Annex10_Gas_Table,'Annex 10-Gas'!$G$270),VLOOKUP($A99,Annex12_Gas_Table,'Annex 12-Gas'!$J$270)))</f>
        <v>10073.8006605357</v>
      </c>
      <c r="H99" s="1564" t="n">
        <f aca="false">IF($A99&lt;Startops2,0,IF(Assm!$F$29=0,VLOOKUP($A99,Annex10_Gas_Table,'Annex 10-Gas'!$P$270),VLOOKUP($A99,Annex12_Gas_Table,'Annex 12-Gas'!$V$270)))</f>
        <v>7919.55947669583</v>
      </c>
      <c r="I99" s="1563" t="n">
        <f aca="false">SUM(F99:H99)</f>
        <v>30842.8778374398</v>
      </c>
      <c r="J99" s="1563" t="n">
        <f aca="false">E99*I99</f>
        <v>0</v>
      </c>
      <c r="K99" s="1565" t="n">
        <f aca="false">IF(Assm!$L$74=1,VLOOKUP($A99,Curves_Table,Escalation!$D$291),Exch)</f>
        <v>1.065</v>
      </c>
      <c r="L99" s="1566" t="n">
        <f aca="false">J99/K99</f>
        <v>0</v>
      </c>
      <c r="M99" s="1567" t="str">
        <f aca="false">IF(MONTH($A99)=12,SUM(L88:L99)," ")</f>
        <v> </v>
      </c>
    </row>
    <row r="100" customFormat="false" ht="12.75" hidden="false" customHeight="false" outlineLevel="0" collapsed="false">
      <c r="A100" s="1538" t="n">
        <f aca="false">EDATE(A99,1)</f>
        <v>38930</v>
      </c>
      <c r="C100" s="1561" t="n">
        <f aca="false">MAX('Plant Operations'!H100,'Plant Operations'!L100)</f>
        <v>0.92</v>
      </c>
      <c r="D100" s="306" t="n">
        <f aca="false">IF($A100&gt;Endyr,0,AVERAGE(C88:C99))</f>
        <v>0.92</v>
      </c>
      <c r="E100" s="306" t="n">
        <f aca="false">IF(D100&gt;E$10,0,E$10-D100)</f>
        <v>0</v>
      </c>
      <c r="F100" s="1562" t="n">
        <f aca="false">IF(Assm!$F$29=0,'Annex 10-Plant'!G100,'Annex 12-Plant'!T100)</f>
        <v>12878.8351372425</v>
      </c>
      <c r="G100" s="1563" t="n">
        <f aca="false">IF($A100&lt;Startops2,0,IF(Assm!$F$29=0,VLOOKUP($A100,Annex10_Gas_Table,'Annex 10-Gas'!$G$270),VLOOKUP($A100,Annex12_Gas_Table,'Annex 12-Gas'!$J$270)))</f>
        <v>10097.0098294961</v>
      </c>
      <c r="H100" s="1564" t="n">
        <f aca="false">IF($A100&lt;Startops2,0,IF(Assm!$F$29=0,VLOOKUP($A100,Annex10_Gas_Table,'Annex 10-Gas'!$P$270),VLOOKUP($A100,Annex12_Gas_Table,'Annex 12-Gas'!$V$270)))</f>
        <v>7937.80545953592</v>
      </c>
      <c r="I100" s="1563" t="n">
        <f aca="false">SUM(F100:H100)</f>
        <v>30913.6504262745</v>
      </c>
      <c r="J100" s="1563" t="n">
        <f aca="false">E100*I100</f>
        <v>0</v>
      </c>
      <c r="K100" s="1565" t="n">
        <f aca="false">IF(Assm!$L$74=1,VLOOKUP($A100,Curves_Table,Escalation!$D$291),Exch)</f>
        <v>1.065</v>
      </c>
      <c r="L100" s="1566" t="n">
        <f aca="false">J100/K100</f>
        <v>0</v>
      </c>
      <c r="M100" s="1567" t="str">
        <f aca="false">IF(MONTH($A100)=12,SUM(L89:L100)," ")</f>
        <v> </v>
      </c>
    </row>
    <row r="101" customFormat="false" ht="12.75" hidden="false" customHeight="false" outlineLevel="0" collapsed="false">
      <c r="A101" s="1538" t="n">
        <f aca="false">EDATE(A100,1)</f>
        <v>38961</v>
      </c>
      <c r="C101" s="1561" t="n">
        <f aca="false">MAX('Plant Operations'!H101,'Plant Operations'!L101)</f>
        <v>0.92</v>
      </c>
      <c r="D101" s="306" t="n">
        <f aca="false">IF($A101&gt;Endyr,0,AVERAGE(C89:C100))</f>
        <v>0.92</v>
      </c>
      <c r="E101" s="306" t="n">
        <f aca="false">IF(D101&gt;E$10,0,E$10-D101)</f>
        <v>0</v>
      </c>
      <c r="F101" s="1562" t="n">
        <f aca="false">IF(Assm!$F$29=0,'Annex 10-Plant'!G101,'Annex 12-Plant'!T101)</f>
        <v>12908.2201191263</v>
      </c>
      <c r="G101" s="1563" t="n">
        <f aca="false">IF($A101&lt;Startops2,0,IF(Assm!$F$29=0,VLOOKUP($A101,Annex10_Gas_Table,'Annex 10-Gas'!$G$270),VLOOKUP($A101,Annex12_Gas_Table,'Annex 12-Gas'!$J$270)))</f>
        <v>10120.2724703825</v>
      </c>
      <c r="H101" s="1564" t="n">
        <f aca="false">IF($A101&lt;Startops2,0,IF(Assm!$F$29=0,VLOOKUP($A101,Annex10_Gas_Table,'Annex 10-Gas'!$P$270),VLOOKUP($A101,Annex12_Gas_Table,'Annex 12-Gas'!$V$270)))</f>
        <v>7956.09347954875</v>
      </c>
      <c r="I101" s="1563" t="n">
        <f aca="false">SUM(F101:H101)</f>
        <v>30984.5860690576</v>
      </c>
      <c r="J101" s="1563" t="n">
        <f aca="false">E101*I101</f>
        <v>0</v>
      </c>
      <c r="K101" s="1565" t="n">
        <f aca="false">IF(Assm!$L$74=1,VLOOKUP($A101,Curves_Table,Escalation!$D$291),Exch)</f>
        <v>1.065</v>
      </c>
      <c r="L101" s="1566" t="n">
        <f aca="false">J101/K101</f>
        <v>0</v>
      </c>
      <c r="M101" s="1567" t="str">
        <f aca="false">IF(MONTH($A101)=12,SUM(L90:L101)," ")</f>
        <v> </v>
      </c>
    </row>
    <row r="102" customFormat="false" ht="12.75" hidden="false" customHeight="false" outlineLevel="0" collapsed="false">
      <c r="A102" s="1538" t="n">
        <f aca="false">EDATE(A101,1)</f>
        <v>38991</v>
      </c>
      <c r="C102" s="1561" t="n">
        <f aca="false">MAX('Plant Operations'!H102,'Plant Operations'!L102)</f>
        <v>0.92</v>
      </c>
      <c r="D102" s="306" t="n">
        <f aca="false">IF($A102&gt;Endyr,0,AVERAGE(C90:C101))</f>
        <v>0.92</v>
      </c>
      <c r="E102" s="306" t="n">
        <f aca="false">IF(D102&gt;E$10,0,E$10-D102)</f>
        <v>0</v>
      </c>
      <c r="F102" s="1562" t="n">
        <f aca="false">IF(Assm!$F$29=0,'Annex 10-Plant'!G102,'Annex 12-Plant'!T102)</f>
        <v>12937.6728014771</v>
      </c>
      <c r="G102" s="1563" t="n">
        <f aca="false">IF($A102&lt;Startops2,0,IF(Assm!$F$29=0,VLOOKUP($A102,Annex10_Gas_Table,'Annex 10-Gas'!$G$270),VLOOKUP($A102,Annex12_Gas_Table,'Annex 12-Gas'!$J$270)))</f>
        <v>10143.5887063897</v>
      </c>
      <c r="H102" s="1564" t="n">
        <f aca="false">IF($A102&lt;Startops2,0,IF(Assm!$F$29=0,VLOOKUP($A102,Annex10_Gas_Table,'Annex 10-Gas'!$P$270),VLOOKUP($A102,Annex12_Gas_Table,'Annex 12-Gas'!$V$270)))</f>
        <v>7974.42363358436</v>
      </c>
      <c r="I102" s="1563" t="n">
        <f aca="false">SUM(F102:H102)</f>
        <v>31055.6851414512</v>
      </c>
      <c r="J102" s="1563" t="n">
        <f aca="false">E102*I102</f>
        <v>0</v>
      </c>
      <c r="K102" s="1565" t="n">
        <f aca="false">IF(Assm!$L$74=1,VLOOKUP($A102,Curves_Table,Escalation!$D$291),Exch)</f>
        <v>1.065</v>
      </c>
      <c r="L102" s="1566" t="n">
        <f aca="false">J102/K102</f>
        <v>0</v>
      </c>
      <c r="M102" s="1567" t="str">
        <f aca="false">IF(MONTH($A102)=12,SUM(L91:L102)," ")</f>
        <v> </v>
      </c>
    </row>
    <row r="103" customFormat="false" ht="12.75" hidden="false" customHeight="false" outlineLevel="0" collapsed="false">
      <c r="A103" s="1538" t="n">
        <f aca="false">EDATE(A102,1)</f>
        <v>39022</v>
      </c>
      <c r="C103" s="1561" t="n">
        <f aca="false">MAX('Plant Operations'!H103,'Plant Operations'!L103)</f>
        <v>0.92</v>
      </c>
      <c r="D103" s="306" t="n">
        <f aca="false">IF($A103&gt;Endyr,0,AVERAGE(C91:C102))</f>
        <v>0.92</v>
      </c>
      <c r="E103" s="306" t="n">
        <f aca="false">IF(D103&gt;E$10,0,E$10-D103)</f>
        <v>0</v>
      </c>
      <c r="F103" s="1562" t="n">
        <f aca="false">IF(Assm!$F$29=0,'Annex 10-Plant'!G103,'Annex 12-Plant'!T103)</f>
        <v>12967.193340271</v>
      </c>
      <c r="G103" s="1563" t="n">
        <f aca="false">IF($A103&lt;Startops2,0,IF(Assm!$F$29=0,VLOOKUP($A103,Annex10_Gas_Table,'Annex 10-Gas'!$G$270),VLOOKUP($A103,Annex12_Gas_Table,'Annex 12-Gas'!$J$270)))</f>
        <v>10166.9586609962</v>
      </c>
      <c r="H103" s="1564" t="n">
        <f aca="false">IF($A103&lt;Startops2,0,IF(Assm!$F$29=0,VLOOKUP($A103,Annex10_Gas_Table,'Annex 10-Gas'!$P$270),VLOOKUP($A103,Annex12_Gas_Table,'Annex 12-Gas'!$V$270)))</f>
        <v>7992.7960187159</v>
      </c>
      <c r="I103" s="1563" t="n">
        <f aca="false">SUM(F103:H103)</f>
        <v>31126.9480199831</v>
      </c>
      <c r="J103" s="1563" t="n">
        <f aca="false">E103*I103</f>
        <v>0</v>
      </c>
      <c r="K103" s="1565" t="n">
        <f aca="false">IF(Assm!$L$74=1,VLOOKUP($A103,Curves_Table,Escalation!$D$291),Exch)</f>
        <v>1.065</v>
      </c>
      <c r="L103" s="1566" t="n">
        <f aca="false">J103/K103</f>
        <v>0</v>
      </c>
      <c r="M103" s="1567" t="str">
        <f aca="false">IF(MONTH($A103)=12,SUM(L92:L103)," ")</f>
        <v> </v>
      </c>
    </row>
    <row r="104" customFormat="false" ht="12.75" hidden="false" customHeight="false" outlineLevel="0" collapsed="false">
      <c r="A104" s="1538" t="n">
        <f aca="false">EDATE(A103,1)</f>
        <v>39052</v>
      </c>
      <c r="C104" s="1561" t="n">
        <f aca="false">MAX('Plant Operations'!H104,'Plant Operations'!L104)</f>
        <v>0.92</v>
      </c>
      <c r="D104" s="306" t="n">
        <f aca="false">IF($A104&gt;Endyr,0,AVERAGE(C92:C103))</f>
        <v>0.92</v>
      </c>
      <c r="E104" s="306" t="n">
        <f aca="false">IF(D104&gt;E$10,0,E$10-D104)</f>
        <v>0</v>
      </c>
      <c r="F104" s="1562" t="n">
        <f aca="false">IF(Assm!$F$29=0,'Annex 10-Plant'!G104,'Annex 12-Plant'!T104)</f>
        <v>12996.7818918433</v>
      </c>
      <c r="G104" s="1563" t="n">
        <f aca="false">IF($A104&lt;Startops2,0,IF(Assm!$F$29=0,VLOOKUP($A104,Annex10_Gas_Table,'Annex 10-Gas'!$G$270),VLOOKUP($A104,Annex12_Gas_Table,'Annex 12-Gas'!$J$270)))</f>
        <v>10190.382457965</v>
      </c>
      <c r="H104" s="1564" t="n">
        <f aca="false">IF($A104&lt;Startops2,0,IF(Assm!$F$29=0,VLOOKUP($A104,Annex10_Gas_Table,'Annex 10-Gas'!$P$270),VLOOKUP($A104,Annex12_Gas_Table,'Annex 12-Gas'!$V$270)))</f>
        <v>8011.21073224017</v>
      </c>
      <c r="I104" s="1563" t="n">
        <f aca="false">SUM(F104:H104)</f>
        <v>31198.3750820484</v>
      </c>
      <c r="J104" s="1563" t="n">
        <f aca="false">E104*I104</f>
        <v>0</v>
      </c>
      <c r="K104" s="1565" t="n">
        <f aca="false">IF(Assm!$L$74=1,VLOOKUP($A104,Curves_Table,Escalation!$D$291),Exch)</f>
        <v>1.065</v>
      </c>
      <c r="L104" s="1566" t="n">
        <f aca="false">J104/K104</f>
        <v>0</v>
      </c>
      <c r="M104" s="1567" t="n">
        <f aca="false">IF(MONTH($A104)=12,SUM(L93:L104)," ")</f>
        <v>0</v>
      </c>
    </row>
    <row r="105" customFormat="false" ht="12.75" hidden="false" customHeight="false" outlineLevel="0" collapsed="false">
      <c r="A105" s="1538" t="n">
        <f aca="false">EDATE(A104,1)</f>
        <v>39083</v>
      </c>
      <c r="C105" s="1561" t="n">
        <f aca="false">MAX('Plant Operations'!H105,'Plant Operations'!L105)</f>
        <v>0.92</v>
      </c>
      <c r="D105" s="306" t="n">
        <f aca="false">IF($A105&gt;Endyr,0,AVERAGE(C93:C104))</f>
        <v>0.92</v>
      </c>
      <c r="E105" s="306" t="n">
        <f aca="false">IF(D105&gt;E$10,0,E$10-D105)</f>
        <v>0</v>
      </c>
      <c r="F105" s="1562" t="n">
        <f aca="false">IF(Assm!$F$29=0,'Annex 10-Plant'!G105,'Annex 12-Plant'!T105)</f>
        <v>13025.5729539097</v>
      </c>
      <c r="G105" s="1563" t="n">
        <f aca="false">IF($A105&lt;Startops2,0,IF(Assm!$F$29=0,VLOOKUP($A105,Annex10_Gas_Table,'Annex 10-Gas'!$G$270),VLOOKUP($A105,Annex12_Gas_Table,'Annex 12-Gas'!$J$270)))</f>
        <v>10213.1749218242</v>
      </c>
      <c r="H105" s="1564" t="n">
        <f aca="false">IF($A105&lt;Startops2,0,IF(Assm!$F$29=0,VLOOKUP($A105,Annex10_Gas_Table,'Annex 10-Gas'!$P$270),VLOOKUP($A105,Annex12_Gas_Table,'Annex 12-Gas'!$V$270)))</f>
        <v>8029.12912066537</v>
      </c>
      <c r="I105" s="1563" t="n">
        <f aca="false">SUM(F105:H105)</f>
        <v>31267.8769963993</v>
      </c>
      <c r="J105" s="1563" t="n">
        <f aca="false">E105*I105</f>
        <v>0</v>
      </c>
      <c r="K105" s="1565" t="n">
        <f aca="false">IF(Assm!$L$74=1,VLOOKUP($A105,Curves_Table,Escalation!$D$291),Exch)</f>
        <v>1.065</v>
      </c>
      <c r="L105" s="1566" t="n">
        <f aca="false">J105/K105</f>
        <v>0</v>
      </c>
      <c r="M105" s="1567" t="str">
        <f aca="false">IF(MONTH($A105)=12,SUM(L94:L105)," ")</f>
        <v> </v>
      </c>
    </row>
    <row r="106" customFormat="false" ht="12.75" hidden="false" customHeight="false" outlineLevel="0" collapsed="false">
      <c r="A106" s="1538" t="n">
        <f aca="false">EDATE(A105,1)</f>
        <v>39114</v>
      </c>
      <c r="C106" s="1561" t="n">
        <f aca="false">MAX('Plant Operations'!H106,'Plant Operations'!L106)</f>
        <v>0.92</v>
      </c>
      <c r="D106" s="306" t="n">
        <f aca="false">IF($A106&gt;Endyr,0,AVERAGE(C94:C105))</f>
        <v>0.92</v>
      </c>
      <c r="E106" s="306" t="n">
        <f aca="false">IF(D106&gt;E$10,0,E$10-D106)</f>
        <v>0</v>
      </c>
      <c r="F106" s="1562" t="n">
        <f aca="false">IF(Assm!$F$29=0,'Annex 10-Plant'!G106,'Annex 12-Plant'!T106)</f>
        <v>13054.4284119145</v>
      </c>
      <c r="G106" s="1563" t="n">
        <f aca="false">IF($A106&lt;Startops2,0,IF(Assm!$F$29=0,VLOOKUP($A106,Annex10_Gas_Table,'Annex 10-Gas'!$G$270),VLOOKUP($A106,Annex12_Gas_Table,'Annex 12-Gas'!$J$270)))</f>
        <v>10236.0183647719</v>
      </c>
      <c r="H106" s="1564" t="n">
        <f aca="false">IF($A106&lt;Startops2,0,IF(Assm!$F$29=0,VLOOKUP($A106,Annex10_Gas_Table,'Annex 10-Gas'!$P$270),VLOOKUP($A106,Annex12_Gas_Table,'Annex 12-Gas'!$V$270)))</f>
        <v>8047.0875865089</v>
      </c>
      <c r="I106" s="1563" t="n">
        <f aca="false">SUM(F106:H106)</f>
        <v>31337.5343631953</v>
      </c>
      <c r="J106" s="1563" t="n">
        <f aca="false">E106*I106</f>
        <v>0</v>
      </c>
      <c r="K106" s="1565" t="n">
        <f aca="false">IF(Assm!$L$74=1,VLOOKUP($A106,Curves_Table,Escalation!$D$291),Exch)</f>
        <v>1.065</v>
      </c>
      <c r="L106" s="1566" t="n">
        <f aca="false">J106/K106</f>
        <v>0</v>
      </c>
      <c r="M106" s="1567" t="str">
        <f aca="false">IF(MONTH($A106)=12,SUM(L95:L106)," ")</f>
        <v> </v>
      </c>
    </row>
    <row r="107" customFormat="false" ht="12.75" hidden="false" customHeight="false" outlineLevel="0" collapsed="false">
      <c r="A107" s="1538" t="n">
        <f aca="false">EDATE(A106,1)</f>
        <v>39142</v>
      </c>
      <c r="C107" s="1561" t="n">
        <f aca="false">MAX('Plant Operations'!H107,'Plant Operations'!L107)</f>
        <v>0.92</v>
      </c>
      <c r="D107" s="306" t="n">
        <f aca="false">IF($A107&gt;Endyr,0,AVERAGE(C95:C106))</f>
        <v>0.92</v>
      </c>
      <c r="E107" s="306" t="n">
        <f aca="false">IF(D107&gt;E$10,0,E$10-D107)</f>
        <v>0</v>
      </c>
      <c r="F107" s="1562" t="n">
        <f aca="false">IF(Assm!$F$29=0,'Annex 10-Plant'!G107,'Annex 12-Plant'!T107)</f>
        <v>13083.3484098899</v>
      </c>
      <c r="G107" s="1563" t="n">
        <f aca="false">IF($A107&lt;Startops2,0,IF(Assm!$F$29=0,VLOOKUP($A107,Annex10_Gas_Table,'Annex 10-Gas'!$G$270),VLOOKUP($A107,Annex12_Gas_Table,'Annex 12-Gas'!$J$270)))</f>
        <v>10258.9129008312</v>
      </c>
      <c r="H107" s="1564" t="n">
        <f aca="false">IF($A107&lt;Startops2,0,IF(Assm!$F$29=0,VLOOKUP($A107,Annex10_Gas_Table,'Annex 10-Gas'!$P$270),VLOOKUP($A107,Annex12_Gas_Table,'Annex 12-Gas'!$V$270)))</f>
        <v>8065.08621941046</v>
      </c>
      <c r="I107" s="1563" t="n">
        <f aca="false">SUM(F107:H107)</f>
        <v>31407.3475301315</v>
      </c>
      <c r="J107" s="1563" t="n">
        <f aca="false">E107*I107</f>
        <v>0</v>
      </c>
      <c r="K107" s="1565" t="n">
        <f aca="false">IF(Assm!$L$74=1,VLOOKUP($A107,Curves_Table,Escalation!$D$291),Exch)</f>
        <v>1.065</v>
      </c>
      <c r="L107" s="1566" t="n">
        <f aca="false">J107/K107</f>
        <v>0</v>
      </c>
      <c r="M107" s="1567" t="str">
        <f aca="false">IF(MONTH($A107)=12,SUM(L96:L107)," ")</f>
        <v> </v>
      </c>
    </row>
    <row r="108" customFormat="false" ht="12.75" hidden="false" customHeight="false" outlineLevel="0" collapsed="false">
      <c r="A108" s="1538" t="n">
        <f aca="false">EDATE(A107,1)</f>
        <v>39173</v>
      </c>
      <c r="C108" s="1561" t="n">
        <f aca="false">MAX('Plant Operations'!H108,'Plant Operations'!L108)</f>
        <v>0.92</v>
      </c>
      <c r="D108" s="306" t="n">
        <f aca="false">IF($A108&gt;Endyr,0,AVERAGE(C96:C107))</f>
        <v>0.92</v>
      </c>
      <c r="E108" s="306" t="n">
        <f aca="false">IF(D108&gt;E$10,0,E$10-D108)</f>
        <v>0</v>
      </c>
      <c r="F108" s="1562" t="n">
        <f aca="false">IF(Assm!$F$29=0,'Annex 10-Plant'!G108,'Annex 12-Plant'!T108)</f>
        <v>13112.3330921901</v>
      </c>
      <c r="G108" s="1563" t="n">
        <f aca="false">IF($A108&lt;Startops2,0,IF(Assm!$F$29=0,VLOOKUP($A108,Annex10_Gas_Table,'Annex 10-Gas'!$G$270),VLOOKUP($A108,Annex12_Gas_Table,'Annex 12-Gas'!$J$270)))</f>
        <v>10281.8586442801</v>
      </c>
      <c r="H108" s="1564" t="n">
        <f aca="false">IF($A108&lt;Startops2,0,IF(Assm!$F$29=0,VLOOKUP($A108,Annex10_Gas_Table,'Annex 10-Gas'!$P$270),VLOOKUP($A108,Annex12_Gas_Table,'Annex 12-Gas'!$V$270)))</f>
        <v>8083.1251092103</v>
      </c>
      <c r="I108" s="1563" t="n">
        <f aca="false">SUM(F108:H108)</f>
        <v>31477.3168456805</v>
      </c>
      <c r="J108" s="1563" t="n">
        <f aca="false">E108*I108</f>
        <v>0</v>
      </c>
      <c r="K108" s="1565" t="n">
        <f aca="false">IF(Assm!$L$74=1,VLOOKUP($A108,Curves_Table,Escalation!$D$291),Exch)</f>
        <v>1.065</v>
      </c>
      <c r="L108" s="1566" t="n">
        <f aca="false">J108/K108</f>
        <v>0</v>
      </c>
      <c r="M108" s="1567" t="str">
        <f aca="false">IF(MONTH($A108)=12,SUM(L97:L108)," ")</f>
        <v> </v>
      </c>
    </row>
    <row r="109" customFormat="false" ht="12.75" hidden="false" customHeight="false" outlineLevel="0" collapsed="false">
      <c r="A109" s="1538" t="n">
        <f aca="false">EDATE(A108,1)</f>
        <v>39203</v>
      </c>
      <c r="C109" s="1561" t="n">
        <f aca="false">MAX('Plant Operations'!H109,'Plant Operations'!L109)</f>
        <v>0.92</v>
      </c>
      <c r="D109" s="306" t="n">
        <f aca="false">IF($A109&gt;Endyr,0,AVERAGE(C97:C108))</f>
        <v>0.92</v>
      </c>
      <c r="E109" s="306" t="n">
        <f aca="false">IF(D109&gt;E$10,0,E$10-D109)</f>
        <v>0</v>
      </c>
      <c r="F109" s="1562" t="n">
        <f aca="false">IF(Assm!$F$29=0,'Annex 10-Plant'!G109,'Annex 12-Plant'!T109)</f>
        <v>12244.580802452</v>
      </c>
      <c r="G109" s="1563" t="n">
        <f aca="false">IF($A109&lt;Startops2,0,IF(Assm!$F$29=0,VLOOKUP($A109,Annex10_Gas_Table,'Annex 10-Gas'!$G$270),VLOOKUP($A109,Annex12_Gas_Table,'Annex 12-Gas'!$J$270)))</f>
        <v>10592.3385244567</v>
      </c>
      <c r="H109" s="1564" t="n">
        <f aca="false">IF($A109&lt;Startops2,0,IF(Assm!$F$29=0,VLOOKUP($A109,Annex10_Gas_Table,'Annex 10-Gas'!$P$270),VLOOKUP($A109,Annex12_Gas_Table,'Annex 12-Gas'!$V$270)))</f>
        <v>8291.61658227579</v>
      </c>
      <c r="I109" s="1563" t="n">
        <f aca="false">SUM(F109:H109)</f>
        <v>31128.5359091844</v>
      </c>
      <c r="J109" s="1563" t="n">
        <f aca="false">E109*I109</f>
        <v>0</v>
      </c>
      <c r="K109" s="1565" t="n">
        <f aca="false">IF(Assm!$L$74=1,VLOOKUP($A109,Curves_Table,Escalation!$D$291),Exch)</f>
        <v>1.065</v>
      </c>
      <c r="L109" s="1566" t="n">
        <f aca="false">J109/K109</f>
        <v>0</v>
      </c>
      <c r="M109" s="1567" t="str">
        <f aca="false">IF(MONTH($A109)=12,SUM(L98:L109)," ")</f>
        <v> </v>
      </c>
    </row>
    <row r="110" customFormat="false" ht="12.75" hidden="false" customHeight="false" outlineLevel="0" collapsed="false">
      <c r="A110" s="1538" t="n">
        <f aca="false">EDATE(A109,1)</f>
        <v>39234</v>
      </c>
      <c r="C110" s="1561" t="n">
        <f aca="false">MAX('Plant Operations'!H110,'Plant Operations'!L110)</f>
        <v>0.92</v>
      </c>
      <c r="D110" s="306" t="n">
        <f aca="false">IF($A110&gt;Endyr,0,AVERAGE(C98:C109))</f>
        <v>0.92</v>
      </c>
      <c r="E110" s="306" t="n">
        <f aca="false">IF(D110&gt;E$10,0,E$10-D110)</f>
        <v>0</v>
      </c>
      <c r="F110" s="1562" t="n">
        <f aca="false">IF(Assm!$F$29=0,'Annex 10-Plant'!G110,'Annex 12-Plant'!T110)</f>
        <v>12271.7383665733</v>
      </c>
      <c r="G110" s="1563" t="n">
        <f aca="false">IF($A110&lt;Startops2,0,IF(Assm!$F$29=0,VLOOKUP($A110,Annex10_Gas_Table,'Annex 10-Gas'!$G$270),VLOOKUP($A110,Annex12_Gas_Table,'Annex 12-Gas'!$J$270)))</f>
        <v>10616.0300290689</v>
      </c>
      <c r="H110" s="1564" t="n">
        <f aca="false">IF($A110&lt;Startops2,0,IF(Assm!$F$29=0,VLOOKUP($A110,Annex10_Gas_Table,'Annex 10-Gas'!$P$270),VLOOKUP($A110,Annex12_Gas_Table,'Annex 12-Gas'!$V$270)))</f>
        <v>8310.1621444336</v>
      </c>
      <c r="I110" s="1563" t="n">
        <f aca="false">SUM(F110:H110)</f>
        <v>31197.9305400758</v>
      </c>
      <c r="J110" s="1563" t="n">
        <f aca="false">E110*I110</f>
        <v>0</v>
      </c>
      <c r="K110" s="1565" t="n">
        <f aca="false">IF(Assm!$L$74=1,VLOOKUP($A110,Curves_Table,Escalation!$D$291),Exch)</f>
        <v>1.065</v>
      </c>
      <c r="L110" s="1566" t="n">
        <f aca="false">J110/K110</f>
        <v>0</v>
      </c>
      <c r="M110" s="1567" t="str">
        <f aca="false">IF(MONTH($A110)=12,SUM(L99:L110)," ")</f>
        <v> </v>
      </c>
    </row>
    <row r="111" customFormat="false" ht="12.75" hidden="false" customHeight="false" outlineLevel="0" collapsed="false">
      <c r="A111" s="1538" t="n">
        <f aca="false">EDATE(A110,1)</f>
        <v>39264</v>
      </c>
      <c r="C111" s="1561" t="n">
        <f aca="false">MAX('Plant Operations'!H111,'Plant Operations'!L111)</f>
        <v>0.92</v>
      </c>
      <c r="D111" s="306" t="n">
        <f aca="false">IF($A111&gt;Endyr,0,AVERAGE(C99:C110))</f>
        <v>0.92</v>
      </c>
      <c r="E111" s="306" t="n">
        <f aca="false">IF(D111&gt;E$10,0,E$10-D111)</f>
        <v>0</v>
      </c>
      <c r="F111" s="1562" t="n">
        <f aca="false">IF(Assm!$F$29=0,'Annex 10-Plant'!G111,'Annex 12-Plant'!T111)</f>
        <v>12298.9566730467</v>
      </c>
      <c r="G111" s="1563" t="n">
        <f aca="false">IF($A111&lt;Startops2,0,IF(Assm!$F$29=0,VLOOKUP($A111,Annex10_Gas_Table,'Annex 10-Gas'!$G$270),VLOOKUP($A111,Annex12_Gas_Table,'Annex 12-Gas'!$J$270)))</f>
        <v>10639.7745236219</v>
      </c>
      <c r="H111" s="1564" t="n">
        <f aca="false">IF($A111&lt;Startops2,0,IF(Assm!$F$29=0,VLOOKUP($A111,Annex10_Gas_Table,'Annex 10-Gas'!$P$270),VLOOKUP($A111,Annex12_Gas_Table,'Annex 12-Gas'!$V$270)))</f>
        <v>8328.74918678678</v>
      </c>
      <c r="I111" s="1563" t="n">
        <f aca="false">SUM(F111:H111)</f>
        <v>31267.4803834554</v>
      </c>
      <c r="J111" s="1563" t="n">
        <f aca="false">E111*I111</f>
        <v>0</v>
      </c>
      <c r="K111" s="1565" t="n">
        <f aca="false">IF(Assm!$L$74=1,VLOOKUP($A111,Curves_Table,Escalation!$D$291),Exch)</f>
        <v>1.065</v>
      </c>
      <c r="L111" s="1566" t="n">
        <f aca="false">J111/K111</f>
        <v>0</v>
      </c>
      <c r="M111" s="1567" t="str">
        <f aca="false">IF(MONTH($A111)=12,SUM(L100:L111)," ")</f>
        <v> </v>
      </c>
    </row>
    <row r="112" customFormat="false" ht="12.75" hidden="false" customHeight="false" outlineLevel="0" collapsed="false">
      <c r="A112" s="1538" t="n">
        <f aca="false">EDATE(A111,1)</f>
        <v>39295</v>
      </c>
      <c r="C112" s="1561" t="n">
        <f aca="false">MAX('Plant Operations'!H112,'Plant Operations'!L112)</f>
        <v>0.92</v>
      </c>
      <c r="D112" s="306" t="n">
        <f aca="false">IF($A112&gt;Endyr,0,AVERAGE(C100:C111))</f>
        <v>0.92</v>
      </c>
      <c r="E112" s="306" t="n">
        <f aca="false">IF(D112&gt;E$10,0,E$10-D112)</f>
        <v>0</v>
      </c>
      <c r="F112" s="1562" t="n">
        <f aca="false">IF(Assm!$F$29=0,'Annex 10-Plant'!G112,'Annex 12-Plant'!T112)</f>
        <v>12326.2358577324</v>
      </c>
      <c r="G112" s="1563" t="n">
        <f aca="false">IF($A112&lt;Startops2,0,IF(Assm!$F$29=0,VLOOKUP($A112,Annex10_Gas_Table,'Annex 10-Gas'!$G$270),VLOOKUP($A112,Annex12_Gas_Table,'Annex 12-Gas'!$J$270)))</f>
        <v>10663.5721266363</v>
      </c>
      <c r="H112" s="1564" t="n">
        <f aca="false">IF($A112&lt;Startops2,0,IF(Assm!$F$29=0,VLOOKUP($A112,Annex10_Gas_Table,'Annex 10-Gas'!$P$270),VLOOKUP($A112,Annex12_Gas_Table,'Annex 12-Gas'!$V$270)))</f>
        <v>8347.3778021126</v>
      </c>
      <c r="I112" s="1563" t="n">
        <f aca="false">SUM(F112:H112)</f>
        <v>31337.1857864813</v>
      </c>
      <c r="J112" s="1563" t="n">
        <f aca="false">E112*I112</f>
        <v>0</v>
      </c>
      <c r="K112" s="1565" t="n">
        <f aca="false">IF(Assm!$L$74=1,VLOOKUP($A112,Curves_Table,Escalation!$D$291),Exch)</f>
        <v>1.065</v>
      </c>
      <c r="L112" s="1566" t="n">
        <f aca="false">J112/K112</f>
        <v>0</v>
      </c>
      <c r="M112" s="1567" t="str">
        <f aca="false">IF(MONTH($A112)=12,SUM(L101:L112)," ")</f>
        <v> </v>
      </c>
    </row>
    <row r="113" customFormat="false" ht="12.75" hidden="false" customHeight="false" outlineLevel="0" collapsed="false">
      <c r="A113" s="1538" t="n">
        <f aca="false">EDATE(A112,1)</f>
        <v>39326</v>
      </c>
      <c r="C113" s="1561" t="n">
        <f aca="false">MAX('Plant Operations'!H113,'Plant Operations'!L113)</f>
        <v>0.92</v>
      </c>
      <c r="D113" s="306" t="n">
        <f aca="false">IF($A113&gt;Endyr,0,AVERAGE(C101:C112))</f>
        <v>0.92</v>
      </c>
      <c r="E113" s="306" t="n">
        <f aca="false">IF(D113&gt;E$10,0,E$10-D113)</f>
        <v>0</v>
      </c>
      <c r="F113" s="1562" t="n">
        <f aca="false">IF(Assm!$F$29=0,'Annex 10-Plant'!G113,'Annex 12-Plant'!T113)</f>
        <v>12353.5760567945</v>
      </c>
      <c r="G113" s="1563" t="n">
        <f aca="false">IF($A113&lt;Startops2,0,IF(Assm!$F$29=0,VLOOKUP($A113,Annex10_Gas_Table,'Annex 10-Gas'!$G$270),VLOOKUP($A113,Annex12_Gas_Table,'Annex 12-Gas'!$J$270)))</f>
        <v>10687.422956898</v>
      </c>
      <c r="H113" s="1564" t="n">
        <f aca="false">IF($A113&lt;Startops2,0,IF(Assm!$F$29=0,VLOOKUP($A113,Annex10_Gas_Table,'Annex 10-Gas'!$P$270),VLOOKUP($A113,Annex12_Gas_Table,'Annex 12-Gas'!$V$270)))</f>
        <v>8366.04808339583</v>
      </c>
      <c r="I113" s="1563" t="n">
        <f aca="false">SUM(F113:H113)</f>
        <v>31407.0470970883</v>
      </c>
      <c r="J113" s="1563" t="n">
        <f aca="false">E113*I113</f>
        <v>0</v>
      </c>
      <c r="K113" s="1565" t="n">
        <f aca="false">IF(Assm!$L$74=1,VLOOKUP($A113,Curves_Table,Escalation!$D$291),Exch)</f>
        <v>1.065</v>
      </c>
      <c r="L113" s="1566" t="n">
        <f aca="false">J113/K113</f>
        <v>0</v>
      </c>
      <c r="M113" s="1567" t="str">
        <f aca="false">IF(MONTH($A113)=12,SUM(L102:L113)," ")</f>
        <v> </v>
      </c>
    </row>
    <row r="114" customFormat="false" ht="12.75" hidden="false" customHeight="false" outlineLevel="0" collapsed="false">
      <c r="A114" s="1538" t="n">
        <f aca="false">EDATE(A113,1)</f>
        <v>39356</v>
      </c>
      <c r="C114" s="1561" t="n">
        <f aca="false">MAX('Plant Operations'!H114,'Plant Operations'!L114)</f>
        <v>0.92</v>
      </c>
      <c r="D114" s="306" t="n">
        <f aca="false">IF($A114&gt;Endyr,0,AVERAGE(C102:C113))</f>
        <v>0.92</v>
      </c>
      <c r="E114" s="306" t="n">
        <f aca="false">IF(D114&gt;E$10,0,E$10-D114)</f>
        <v>0</v>
      </c>
      <c r="F114" s="1562" t="n">
        <f aca="false">IF(Assm!$F$29=0,'Annex 10-Plant'!G114,'Annex 12-Plant'!T114)</f>
        <v>12380.9774067016</v>
      </c>
      <c r="G114" s="1563" t="n">
        <f aca="false">IF($A114&lt;Startops2,0,IF(Assm!$F$29=0,VLOOKUP($A114,Annex10_Gas_Table,'Annex 10-Gas'!$G$270),VLOOKUP($A114,Annex12_Gas_Table,'Annex 12-Gas'!$J$270)))</f>
        <v>10711.3271334584</v>
      </c>
      <c r="H114" s="1564" t="n">
        <f aca="false">IF($A114&lt;Startops2,0,IF(Assm!$F$29=0,VLOOKUP($A114,Annex10_Gas_Table,'Annex 10-Gas'!$P$270),VLOOKUP($A114,Annex12_Gas_Table,'Annex 12-Gas'!$V$270)))</f>
        <v>8384.76012382924</v>
      </c>
      <c r="I114" s="1563" t="n">
        <f aca="false">SUM(F114:H114)</f>
        <v>31477.0646639893</v>
      </c>
      <c r="J114" s="1563" t="n">
        <f aca="false">E114*I114</f>
        <v>0</v>
      </c>
      <c r="K114" s="1565" t="n">
        <f aca="false">IF(Assm!$L$74=1,VLOOKUP($A114,Curves_Table,Escalation!$D$291),Exch)</f>
        <v>1.065</v>
      </c>
      <c r="L114" s="1566" t="n">
        <f aca="false">J114/K114</f>
        <v>0</v>
      </c>
      <c r="M114" s="1567" t="str">
        <f aca="false">IF(MONTH($A114)=12,SUM(L103:L114)," ")</f>
        <v> </v>
      </c>
    </row>
    <row r="115" customFormat="false" ht="12.75" hidden="false" customHeight="false" outlineLevel="0" collapsed="false">
      <c r="A115" s="1538" t="n">
        <f aca="false">EDATE(A114,1)</f>
        <v>39387</v>
      </c>
      <c r="C115" s="1561" t="n">
        <f aca="false">MAX('Plant Operations'!H115,'Plant Operations'!L115)</f>
        <v>0.92</v>
      </c>
      <c r="D115" s="306" t="n">
        <f aca="false">IF($A115&gt;Endyr,0,AVERAGE(C103:C114))</f>
        <v>0.92</v>
      </c>
      <c r="E115" s="306" t="n">
        <f aca="false">IF(D115&gt;E$10,0,E$10-D115)</f>
        <v>0</v>
      </c>
      <c r="F115" s="1562" t="n">
        <f aca="false">IF(Assm!$F$29=0,'Annex 10-Plant'!G115,'Annex 12-Plant'!T115)</f>
        <v>12408.4400442278</v>
      </c>
      <c r="G115" s="1563" t="n">
        <f aca="false">IF($A115&lt;Startops2,0,IF(Assm!$F$29=0,VLOOKUP($A115,Annex10_Gas_Table,'Annex 10-Gas'!$G$270),VLOOKUP($A115,Annex12_Gas_Table,'Annex 12-Gas'!$J$270)))</f>
        <v>10735.2847756353</v>
      </c>
      <c r="H115" s="1564" t="n">
        <f aca="false">IF($A115&lt;Startops2,0,IF(Assm!$F$29=0,VLOOKUP($A115,Annex10_Gas_Table,'Annex 10-Gas'!$P$270),VLOOKUP($A115,Annex12_Gas_Table,'Annex 12-Gas'!$V$270)))</f>
        <v>8403.51401681402</v>
      </c>
      <c r="I115" s="1563" t="n">
        <f aca="false">SUM(F115:H115)</f>
        <v>31547.2388366772</v>
      </c>
      <c r="J115" s="1563" t="n">
        <f aca="false">E115*I115</f>
        <v>0</v>
      </c>
      <c r="K115" s="1565" t="n">
        <f aca="false">IF(Assm!$L$74=1,VLOOKUP($A115,Curves_Table,Escalation!$D$291),Exch)</f>
        <v>1.065</v>
      </c>
      <c r="L115" s="1566" t="n">
        <f aca="false">J115/K115</f>
        <v>0</v>
      </c>
      <c r="M115" s="1567" t="str">
        <f aca="false">IF(MONTH($A115)=12,SUM(L104:L115)," ")</f>
        <v> </v>
      </c>
    </row>
    <row r="116" customFormat="false" ht="12.75" hidden="false" customHeight="false" outlineLevel="0" collapsed="false">
      <c r="A116" s="1538" t="n">
        <f aca="false">EDATE(A115,1)</f>
        <v>39417</v>
      </c>
      <c r="C116" s="1561" t="n">
        <f aca="false">MAX('Plant Operations'!H116,'Plant Operations'!L116)</f>
        <v>0.92</v>
      </c>
      <c r="D116" s="306" t="n">
        <f aca="false">IF($A116&gt;Endyr,0,AVERAGE(C104:C115))</f>
        <v>0.92</v>
      </c>
      <c r="E116" s="306" t="n">
        <f aca="false">IF(D116&gt;E$10,0,E$10-D116)</f>
        <v>0</v>
      </c>
      <c r="F116" s="1562" t="n">
        <f aca="false">IF(Assm!$F$29=0,'Annex 10-Plant'!G116,'Annex 12-Plant'!T116)</f>
        <v>12435.9641064528</v>
      </c>
      <c r="G116" s="1563" t="n">
        <f aca="false">IF($A116&lt;Startops2,0,IF(Assm!$F$29=0,VLOOKUP($A116,Annex10_Gas_Table,'Annex 10-Gas'!$G$270),VLOOKUP($A116,Annex12_Gas_Table,'Annex 12-Gas'!$J$270)))</f>
        <v>10759.2960030134</v>
      </c>
      <c r="H116" s="1564" t="n">
        <f aca="false">IF($A116&lt;Startops2,0,IF(Assm!$F$29=0,VLOOKUP($A116,Annex10_Gas_Table,'Annex 10-Gas'!$P$270),VLOOKUP($A116,Annex12_Gas_Table,'Annex 12-Gas'!$V$270)))</f>
        <v>8422.30985596028</v>
      </c>
      <c r="I116" s="1563" t="n">
        <f aca="false">SUM(F116:H116)</f>
        <v>31617.5699654264</v>
      </c>
      <c r="J116" s="1563" t="n">
        <f aca="false">E116*I116</f>
        <v>0</v>
      </c>
      <c r="K116" s="1565" t="n">
        <f aca="false">IF(Assm!$L$74=1,VLOOKUP($A116,Curves_Table,Escalation!$D$291),Exch)</f>
        <v>1.065</v>
      </c>
      <c r="L116" s="1566" t="n">
        <f aca="false">J116/K116</f>
        <v>0</v>
      </c>
      <c r="M116" s="1567" t="n">
        <f aca="false">IF(MONTH($A116)=12,SUM(L105:L116)," ")</f>
        <v>0</v>
      </c>
    </row>
    <row r="117" customFormat="false" ht="12.75" hidden="false" customHeight="false" outlineLevel="0" collapsed="false">
      <c r="A117" s="1538" t="n">
        <f aca="false">EDATE(A116,1)</f>
        <v>39448</v>
      </c>
      <c r="C117" s="1561" t="n">
        <f aca="false">MAX('Plant Operations'!H117,'Plant Operations'!L117)</f>
        <v>0.92</v>
      </c>
      <c r="D117" s="306" t="n">
        <f aca="false">IF($A117&gt;Endyr,0,AVERAGE(C105:C116))</f>
        <v>0.92</v>
      </c>
      <c r="E117" s="306" t="n">
        <f aca="false">IF(D117&gt;E$10,0,E$10-D117)</f>
        <v>0</v>
      </c>
      <c r="F117" s="1562" t="n">
        <f aca="false">IF(Assm!$F$29=0,'Annex 10-Plant'!G117,'Annex 12-Plant'!T117)</f>
        <v>12462.0464967622</v>
      </c>
      <c r="G117" s="1563" t="n">
        <f aca="false">IF($A117&lt;Startops2,0,IF(Assm!$F$29=0,VLOOKUP($A117,Annex10_Gas_Table,'Annex 10-Gas'!$G$270),VLOOKUP($A117,Annex12_Gas_Table,'Annex 12-Gas'!$J$270)))</f>
        <v>10782.049555856</v>
      </c>
      <c r="H117" s="1564" t="n">
        <f aca="false">IF($A117&lt;Startops2,0,IF(Assm!$F$29=0,VLOOKUP($A117,Annex10_Gas_Table,'Annex 10-Gas'!$P$270),VLOOKUP($A117,Annex12_Gas_Table,'Annex 12-Gas'!$V$270)))</f>
        <v>8440.12119531847</v>
      </c>
      <c r="I117" s="1563" t="n">
        <f aca="false">SUM(F117:H117)</f>
        <v>31684.2172479367</v>
      </c>
      <c r="J117" s="1563" t="n">
        <f aca="false">E117*I117</f>
        <v>0</v>
      </c>
      <c r="K117" s="1565" t="n">
        <f aca="false">IF(Assm!$L$74=1,VLOOKUP($A117,Curves_Table,Escalation!$D$291),Exch)</f>
        <v>1.065</v>
      </c>
      <c r="L117" s="1566" t="n">
        <f aca="false">J117/K117</f>
        <v>0</v>
      </c>
      <c r="M117" s="1567" t="str">
        <f aca="false">IF(MONTH($A117)=12,SUM(L106:L117)," ")</f>
        <v> </v>
      </c>
    </row>
    <row r="118" customFormat="false" ht="12.75" hidden="false" customHeight="false" outlineLevel="0" collapsed="false">
      <c r="A118" s="1538" t="n">
        <f aca="false">EDATE(A117,1)</f>
        <v>39479</v>
      </c>
      <c r="C118" s="1561" t="n">
        <f aca="false">MAX('Plant Operations'!H118,'Plant Operations'!L118)</f>
        <v>0.92</v>
      </c>
      <c r="D118" s="306" t="n">
        <f aca="false">IF($A118&gt;Endyr,0,AVERAGE(C106:C117))</f>
        <v>0.92</v>
      </c>
      <c r="E118" s="306" t="n">
        <f aca="false">IF(D118&gt;E$10,0,E$10-D118)</f>
        <v>0</v>
      </c>
      <c r="F118" s="1562" t="n">
        <f aca="false">IF(Assm!$F$29=0,'Annex 10-Plant'!G118,'Annex 12-Plant'!T118)</f>
        <v>12488.1840456104</v>
      </c>
      <c r="G118" s="1563" t="n">
        <f aca="false">IF($A118&lt;Startops2,0,IF(Assm!$F$29=0,VLOOKUP($A118,Annex10_Gas_Table,'Annex 10-Gas'!$G$270),VLOOKUP($A118,Annex12_Gas_Table,'Annex 12-Gas'!$J$270)))</f>
        <v>10804.8512274759</v>
      </c>
      <c r="H118" s="1564" t="n">
        <f aca="false">IF($A118&lt;Startops2,0,IF(Assm!$F$29=0,VLOOKUP($A118,Annex10_Gas_Table,'Annex 10-Gas'!$P$270),VLOOKUP($A118,Annex12_Gas_Table,'Annex 12-Gas'!$V$270)))</f>
        <v>8457.97020175555</v>
      </c>
      <c r="I118" s="1563" t="n">
        <f aca="false">SUM(F118:H118)</f>
        <v>31751.0054748418</v>
      </c>
      <c r="J118" s="1563" t="n">
        <f aca="false">E118*I118</f>
        <v>0</v>
      </c>
      <c r="K118" s="1565" t="n">
        <f aca="false">IF(Assm!$L$74=1,VLOOKUP($A118,Curves_Table,Escalation!$D$291),Exch)</f>
        <v>1.065</v>
      </c>
      <c r="L118" s="1566" t="n">
        <f aca="false">J118/K118</f>
        <v>0</v>
      </c>
      <c r="M118" s="1567" t="str">
        <f aca="false">IF(MONTH($A118)=12,SUM(L107:L118)," ")</f>
        <v> </v>
      </c>
    </row>
    <row r="119" customFormat="false" ht="12.75" hidden="false" customHeight="false" outlineLevel="0" collapsed="false">
      <c r="A119" s="1538" t="n">
        <f aca="false">EDATE(A118,1)</f>
        <v>39508</v>
      </c>
      <c r="C119" s="1561" t="n">
        <f aca="false">MAX('Plant Operations'!H119,'Plant Operations'!L119)</f>
        <v>0.92</v>
      </c>
      <c r="D119" s="306" t="n">
        <f aca="false">IF($A119&gt;Endyr,0,AVERAGE(C107:C118))</f>
        <v>0.92</v>
      </c>
      <c r="E119" s="306" t="n">
        <f aca="false">IF(D119&gt;E$10,0,E$10-D119)</f>
        <v>0</v>
      </c>
      <c r="F119" s="1562" t="n">
        <f aca="false">IF(Assm!$F$29=0,'Annex 10-Plant'!G119,'Annex 12-Plant'!T119)</f>
        <v>12514.3768696456</v>
      </c>
      <c r="G119" s="1563" t="n">
        <f aca="false">IF($A119&lt;Startops2,0,IF(Assm!$F$29=0,VLOOKUP($A119,Annex10_Gas_Table,'Annex 10-Gas'!$G$270),VLOOKUP($A119,Annex12_Gas_Table,'Annex 12-Gas'!$J$270)))</f>
        <v>10827.7011196336</v>
      </c>
      <c r="H119" s="1564" t="n">
        <f aca="false">IF($A119&lt;Startops2,0,IF(Assm!$F$29=0,VLOOKUP($A119,Annex10_Gas_Table,'Annex 10-Gas'!$P$270),VLOOKUP($A119,Annex12_Gas_Table,'Annex 12-Gas'!$V$270)))</f>
        <v>8475.85695492912</v>
      </c>
      <c r="I119" s="1563" t="n">
        <f aca="false">SUM(F119:H119)</f>
        <v>31817.9349442083</v>
      </c>
      <c r="J119" s="1563" t="n">
        <f aca="false">E119*I119</f>
        <v>0</v>
      </c>
      <c r="K119" s="1565" t="n">
        <f aca="false">IF(Assm!$L$74=1,VLOOKUP($A119,Curves_Table,Escalation!$D$291),Exch)</f>
        <v>1.065</v>
      </c>
      <c r="L119" s="1566" t="n">
        <f aca="false">J119/K119</f>
        <v>0</v>
      </c>
      <c r="M119" s="1567" t="str">
        <f aca="false">IF(MONTH($A119)=12,SUM(L108:L119)," ")</f>
        <v> </v>
      </c>
    </row>
    <row r="120" customFormat="false" ht="12.75" hidden="false" customHeight="false" outlineLevel="0" collapsed="false">
      <c r="A120" s="1538" t="n">
        <f aca="false">EDATE(A119,1)</f>
        <v>39539</v>
      </c>
      <c r="C120" s="1561" t="n">
        <f aca="false">MAX('Plant Operations'!H120,'Plant Operations'!L120)</f>
        <v>0.92</v>
      </c>
      <c r="D120" s="306" t="n">
        <f aca="false">IF($A120&gt;Endyr,0,AVERAGE(C108:C119))</f>
        <v>0.92</v>
      </c>
      <c r="E120" s="306" t="n">
        <f aca="false">IF(D120&gt;E$10,0,E$10-D120)</f>
        <v>0</v>
      </c>
      <c r="F120" s="1562" t="n">
        <f aca="false">IF(Assm!$F$29=0,'Annex 10-Plant'!G120,'Annex 12-Plant'!T120)</f>
        <v>12540.6250857628</v>
      </c>
      <c r="G120" s="1563" t="n">
        <f aca="false">IF($A120&lt;Startops2,0,IF(Assm!$F$29=0,VLOOKUP($A120,Annex10_Gas_Table,'Annex 10-Gas'!$G$270),VLOOKUP($A120,Annex12_Gas_Table,'Annex 12-Gas'!$J$270)))</f>
        <v>10850.599334305</v>
      </c>
      <c r="H120" s="1564" t="n">
        <f aca="false">IF($A120&lt;Startops2,0,IF(Assm!$F$29=0,VLOOKUP($A120,Annex10_Gas_Table,'Annex 10-Gas'!$P$270),VLOOKUP($A120,Annex12_Gas_Table,'Annex 12-Gas'!$V$270)))</f>
        <v>8493.78153466528</v>
      </c>
      <c r="I120" s="1563" t="n">
        <f aca="false">SUM(F120:H120)</f>
        <v>31885.005954733</v>
      </c>
      <c r="J120" s="1563" t="n">
        <f aca="false">E120*I120</f>
        <v>0</v>
      </c>
      <c r="K120" s="1565" t="n">
        <f aca="false">IF(Assm!$L$74=1,VLOOKUP($A120,Curves_Table,Escalation!$D$291),Exch)</f>
        <v>1.065</v>
      </c>
      <c r="L120" s="1566" t="n">
        <f aca="false">J120/K120</f>
        <v>0</v>
      </c>
      <c r="M120" s="1567" t="str">
        <f aca="false">IF(MONTH($A120)=12,SUM(L109:L120)," ")</f>
        <v> </v>
      </c>
    </row>
    <row r="121" customFormat="false" ht="12.75" hidden="false" customHeight="false" outlineLevel="0" collapsed="false">
      <c r="A121" s="1538" t="n">
        <f aca="false">EDATE(A120,1)</f>
        <v>39569</v>
      </c>
      <c r="C121" s="1561" t="n">
        <f aca="false">MAX('Plant Operations'!H121,'Plant Operations'!L121)</f>
        <v>0.92</v>
      </c>
      <c r="D121" s="306" t="n">
        <f aca="false">IF($A121&gt;Endyr,0,AVERAGE(C109:C120))</f>
        <v>0.92</v>
      </c>
      <c r="E121" s="306" t="n">
        <f aca="false">IF(D121&gt;E$10,0,E$10-D121)</f>
        <v>0</v>
      </c>
      <c r="F121" s="1562" t="n">
        <f aca="false">IF(Assm!$F$29=0,'Annex 10-Plant'!G121,'Annex 12-Plant'!T121)</f>
        <v>11800.551737459</v>
      </c>
      <c r="G121" s="1563" t="n">
        <f aca="false">IF($A121&lt;Startops2,0,IF(Assm!$F$29=0,VLOOKUP($A121,Annex10_Gas_Table,'Annex 10-Gas'!$G$270),VLOOKUP($A121,Annex12_Gas_Table,'Annex 12-Gas'!$J$270)))</f>
        <v>11151.2144944387</v>
      </c>
      <c r="H121" s="1564" t="n">
        <f aca="false">IF($A121&lt;Startops2,0,IF(Assm!$F$29=0,VLOOKUP($A121,Annex10_Gas_Table,'Annex 10-Gas'!$P$270),VLOOKUP($A121,Annex12_Gas_Table,'Annex 12-Gas'!$V$270)))</f>
        <v>8648.82819369515</v>
      </c>
      <c r="I121" s="1563" t="n">
        <f aca="false">SUM(F121:H121)</f>
        <v>31600.5944255929</v>
      </c>
      <c r="J121" s="1563" t="n">
        <f aca="false">E121*I121</f>
        <v>0</v>
      </c>
      <c r="K121" s="1565" t="n">
        <f aca="false">IF(Assm!$L$74=1,VLOOKUP($A121,Curves_Table,Escalation!$D$291),Exch)</f>
        <v>1.065</v>
      </c>
      <c r="L121" s="1566" t="n">
        <f aca="false">J121/K121</f>
        <v>0</v>
      </c>
      <c r="M121" s="1567" t="str">
        <f aca="false">IF(MONTH($A121)=12,SUM(L110:L121)," ")</f>
        <v> </v>
      </c>
    </row>
    <row r="122" customFormat="false" ht="12.75" hidden="false" customHeight="false" outlineLevel="0" collapsed="false">
      <c r="A122" s="1538" t="n">
        <f aca="false">EDATE(A121,1)</f>
        <v>39600</v>
      </c>
      <c r="C122" s="1561" t="n">
        <f aca="false">MAX('Plant Operations'!H122,'Plant Operations'!L122)</f>
        <v>0.92</v>
      </c>
      <c r="D122" s="306" t="n">
        <f aca="false">IF($A122&gt;Endyr,0,AVERAGE(C110:C121))</f>
        <v>0.92</v>
      </c>
      <c r="E122" s="306" t="n">
        <f aca="false">IF(D122&gt;E$10,0,E$10-D122)</f>
        <v>0</v>
      </c>
      <c r="F122" s="1562" t="n">
        <f aca="false">IF(Assm!$F$29=0,'Annex 10-Plant'!G122,'Annex 12-Plant'!T122)</f>
        <v>11825.0961602158</v>
      </c>
      <c r="G122" s="1563" t="n">
        <f aca="false">IF($A122&lt;Startops2,0,IF(Assm!$F$29=0,VLOOKUP($A122,Annex10_Gas_Table,'Annex 10-Gas'!$G$270),VLOOKUP($A122,Annex12_Gas_Table,'Annex 12-Gas'!$J$270)))</f>
        <v>11174.7968689908</v>
      </c>
      <c r="H122" s="1564" t="n">
        <f aca="false">IF($A122&lt;Startops2,0,IF(Assm!$F$29=0,VLOOKUP($A122,Annex10_Gas_Table,'Annex 10-Gas'!$P$270),VLOOKUP($A122,Annex12_Gas_Table,'Annex 12-Gas'!$V$270)))</f>
        <v>8667.11856968976</v>
      </c>
      <c r="I122" s="1563" t="n">
        <f aca="false">SUM(F122:H122)</f>
        <v>31667.0115988963</v>
      </c>
      <c r="J122" s="1563" t="n">
        <f aca="false">E122*I122</f>
        <v>0</v>
      </c>
      <c r="K122" s="1565" t="n">
        <f aca="false">IF(Assm!$L$74=1,VLOOKUP($A122,Curves_Table,Escalation!$D$291),Exch)</f>
        <v>1.065</v>
      </c>
      <c r="L122" s="1566" t="n">
        <f aca="false">J122/K122</f>
        <v>0</v>
      </c>
      <c r="M122" s="1567" t="str">
        <f aca="false">IF(MONTH($A122)=12,SUM(L111:L122)," ")</f>
        <v> </v>
      </c>
    </row>
    <row r="123" customFormat="false" ht="12.75" hidden="false" customHeight="false" outlineLevel="0" collapsed="false">
      <c r="A123" s="1538" t="n">
        <f aca="false">EDATE(A122,1)</f>
        <v>39630</v>
      </c>
      <c r="C123" s="1561" t="n">
        <f aca="false">MAX('Plant Operations'!H123,'Plant Operations'!L123)</f>
        <v>0.92</v>
      </c>
      <c r="D123" s="306" t="n">
        <f aca="false">IF($A123&gt;Endyr,0,AVERAGE(C111:C122))</f>
        <v>0.92</v>
      </c>
      <c r="E123" s="306" t="n">
        <f aca="false">IF(D123&gt;E$10,0,E$10-D123)</f>
        <v>0</v>
      </c>
      <c r="F123" s="1562" t="n">
        <f aca="false">IF(Assm!$F$29=0,'Annex 10-Plant'!G123,'Annex 12-Plant'!T123)</f>
        <v>11849.6924890471</v>
      </c>
      <c r="G123" s="1563" t="n">
        <f aca="false">IF($A123&lt;Startops2,0,IF(Assm!$F$29=0,VLOOKUP($A123,Annex10_Gas_Table,'Annex 10-Gas'!$G$270),VLOOKUP($A123,Annex12_Gas_Table,'Annex 12-Gas'!$J$270)))</f>
        <v>11198.4291150962</v>
      </c>
      <c r="H123" s="1564" t="n">
        <f aca="false">IF($A123&lt;Startops2,0,IF(Assm!$F$29=0,VLOOKUP($A123,Annex10_Gas_Table,'Annex 10-Gas'!$P$270),VLOOKUP($A123,Annex12_Gas_Table,'Annex 12-Gas'!$V$270)))</f>
        <v>8685.44762582074</v>
      </c>
      <c r="I123" s="1563" t="n">
        <f aca="false">SUM(F123:H123)</f>
        <v>31733.5692299641</v>
      </c>
      <c r="J123" s="1563" t="n">
        <f aca="false">E123*I123</f>
        <v>0</v>
      </c>
      <c r="K123" s="1565" t="n">
        <f aca="false">IF(Assm!$L$74=1,VLOOKUP($A123,Curves_Table,Escalation!$D$291),Exch)</f>
        <v>1.065</v>
      </c>
      <c r="L123" s="1566" t="n">
        <f aca="false">J123/K123</f>
        <v>0</v>
      </c>
      <c r="M123" s="1567" t="str">
        <f aca="false">IF(MONTH($A123)=12,SUM(L112:L123)," ")</f>
        <v> </v>
      </c>
    </row>
    <row r="124" customFormat="false" ht="12.75" hidden="false" customHeight="false" outlineLevel="0" collapsed="false">
      <c r="A124" s="1538" t="n">
        <f aca="false">EDATE(A123,1)</f>
        <v>39661</v>
      </c>
      <c r="C124" s="1561" t="n">
        <f aca="false">MAX('Plant Operations'!H124,'Plant Operations'!L124)</f>
        <v>0.92</v>
      </c>
      <c r="D124" s="306" t="n">
        <f aca="false">IF($A124&gt;Endyr,0,AVERAGE(C112:C123))</f>
        <v>0.92</v>
      </c>
      <c r="E124" s="306" t="n">
        <f aca="false">IF(D124&gt;E$10,0,E$10-D124)</f>
        <v>0</v>
      </c>
      <c r="F124" s="1562" t="n">
        <f aca="false">IF(Assm!$F$29=0,'Annex 10-Plant'!G124,'Annex 12-Plant'!T124)</f>
        <v>11874.3408337229</v>
      </c>
      <c r="G124" s="1563" t="n">
        <f aca="false">IF($A124&lt;Startops2,0,IF(Assm!$F$29=0,VLOOKUP($A124,Annex10_Gas_Table,'Annex 10-Gas'!$G$270),VLOOKUP($A124,Annex12_Gas_Table,'Annex 12-Gas'!$J$270)))</f>
        <v>11222.1113382225</v>
      </c>
      <c r="H124" s="1564" t="n">
        <f aca="false">IF($A124&lt;Startops2,0,IF(Assm!$F$29=0,VLOOKUP($A124,Annex10_Gas_Table,'Annex 10-Gas'!$P$270),VLOOKUP($A124,Annex12_Gas_Table,'Annex 12-Gas'!$V$270)))</f>
        <v>8703.81544388812</v>
      </c>
      <c r="I124" s="1563" t="n">
        <f aca="false">SUM(F124:H124)</f>
        <v>31800.2676158335</v>
      </c>
      <c r="J124" s="1563" t="n">
        <f aca="false">E124*I124</f>
        <v>0</v>
      </c>
      <c r="K124" s="1565" t="n">
        <f aca="false">IF(Assm!$L$74=1,VLOOKUP($A124,Curves_Table,Escalation!$D$291),Exch)</f>
        <v>1.065</v>
      </c>
      <c r="L124" s="1566" t="n">
        <f aca="false">J124/K124</f>
        <v>0</v>
      </c>
      <c r="M124" s="1567" t="str">
        <f aca="false">IF(MONTH($A124)=12,SUM(L113:L124)," ")</f>
        <v> </v>
      </c>
    </row>
    <row r="125" customFormat="false" ht="12.75" hidden="false" customHeight="false" outlineLevel="0" collapsed="false">
      <c r="A125" s="1538" t="n">
        <f aca="false">EDATE(A124,1)</f>
        <v>39692</v>
      </c>
      <c r="C125" s="1561" t="n">
        <f aca="false">MAX('Plant Operations'!H125,'Plant Operations'!L125)</f>
        <v>0.92</v>
      </c>
      <c r="D125" s="306" t="n">
        <f aca="false">IF($A125&gt;Endyr,0,AVERAGE(C113:C124))</f>
        <v>0.92</v>
      </c>
      <c r="E125" s="306" t="n">
        <f aca="false">IF(D125&gt;E$10,0,E$10-D125)</f>
        <v>0</v>
      </c>
      <c r="F125" s="1562" t="n">
        <f aca="false">IF(Assm!$F$29=0,'Annex 10-Plant'!G125,'Annex 12-Plant'!T125)</f>
        <v>11899.0413042453</v>
      </c>
      <c r="G125" s="1563" t="n">
        <f aca="false">IF($A125&lt;Startops2,0,IF(Assm!$F$29=0,VLOOKUP($A125,Annex10_Gas_Table,'Annex 10-Gas'!$G$270),VLOOKUP($A125,Annex12_Gas_Table,'Annex 12-Gas'!$J$270)))</f>
        <v>11245.8436440601</v>
      </c>
      <c r="H125" s="1564" t="n">
        <f aca="false">IF($A125&lt;Startops2,0,IF(Assm!$F$29=0,VLOOKUP($A125,Annex10_Gas_Table,'Annex 10-Gas'!$P$270),VLOOKUP($A125,Annex12_Gas_Table,'Annex 12-Gas'!$V$270)))</f>
        <v>8722.22210586487</v>
      </c>
      <c r="I125" s="1563" t="n">
        <f aca="false">SUM(F125:H125)</f>
        <v>31867.1070541703</v>
      </c>
      <c r="J125" s="1563" t="n">
        <f aca="false">E125*I125</f>
        <v>0</v>
      </c>
      <c r="K125" s="1565" t="n">
        <f aca="false">IF(Assm!$L$74=1,VLOOKUP($A125,Curves_Table,Escalation!$D$291),Exch)</f>
        <v>1.065</v>
      </c>
      <c r="L125" s="1566" t="n">
        <f aca="false">J125/K125</f>
        <v>0</v>
      </c>
      <c r="M125" s="1567" t="str">
        <f aca="false">IF(MONTH($A125)=12,SUM(L114:L125)," ")</f>
        <v> </v>
      </c>
    </row>
    <row r="126" customFormat="false" ht="12.75" hidden="false" customHeight="false" outlineLevel="0" collapsed="false">
      <c r="A126" s="1538" t="n">
        <f aca="false">EDATE(A125,1)</f>
        <v>39722</v>
      </c>
      <c r="C126" s="1561" t="n">
        <f aca="false">MAX('Plant Operations'!H126,'Plant Operations'!L126)</f>
        <v>0.92</v>
      </c>
      <c r="D126" s="306" t="n">
        <f aca="false">IF($A126&gt;Endyr,0,AVERAGE(C114:C125))</f>
        <v>0.92</v>
      </c>
      <c r="E126" s="306" t="n">
        <f aca="false">IF(D126&gt;E$10,0,E$10-D126)</f>
        <v>0</v>
      </c>
      <c r="F126" s="1562" t="n">
        <f aca="false">IF(Assm!$F$29=0,'Annex 10-Plant'!G126,'Annex 12-Plant'!T126)</f>
        <v>11923.7940108491</v>
      </c>
      <c r="G126" s="1563" t="n">
        <f aca="false">IF($A126&lt;Startops2,0,IF(Assm!$F$29=0,VLOOKUP($A126,Annex10_Gas_Table,'Annex 10-Gas'!$G$270),VLOOKUP($A126,Annex12_Gas_Table,'Annex 12-Gas'!$J$270)))</f>
        <v>11269.6261385229</v>
      </c>
      <c r="H126" s="1564" t="n">
        <f aca="false">IF($A126&lt;Startops2,0,IF(Assm!$F$29=0,VLOOKUP($A126,Annex10_Gas_Table,'Annex 10-Gas'!$P$270),VLOOKUP($A126,Annex12_Gas_Table,'Annex 12-Gas'!$V$270)))</f>
        <v>8740.66769389737</v>
      </c>
      <c r="I126" s="1563" t="n">
        <f aca="false">SUM(F126:H126)</f>
        <v>31934.0878432693</v>
      </c>
      <c r="J126" s="1563" t="n">
        <f aca="false">E126*I126</f>
        <v>0</v>
      </c>
      <c r="K126" s="1565" t="n">
        <f aca="false">IF(Assm!$L$74=1,VLOOKUP($A126,Curves_Table,Escalation!$D$291),Exch)</f>
        <v>1.065</v>
      </c>
      <c r="L126" s="1566" t="n">
        <f aca="false">J126/K126</f>
        <v>0</v>
      </c>
      <c r="M126" s="1567" t="str">
        <f aca="false">IF(MONTH($A126)=12,SUM(L115:L126)," ")</f>
        <v> </v>
      </c>
    </row>
    <row r="127" customFormat="false" ht="12.75" hidden="false" customHeight="false" outlineLevel="0" collapsed="false">
      <c r="A127" s="1538" t="n">
        <f aca="false">EDATE(A126,1)</f>
        <v>39753</v>
      </c>
      <c r="C127" s="1561" t="n">
        <f aca="false">MAX('Plant Operations'!H127,'Plant Operations'!L127)</f>
        <v>0.92</v>
      </c>
      <c r="D127" s="306" t="n">
        <f aca="false">IF($A127&gt;Endyr,0,AVERAGE(C115:C126))</f>
        <v>0.92</v>
      </c>
      <c r="E127" s="306" t="n">
        <f aca="false">IF(D127&gt;E$10,0,E$10-D127)</f>
        <v>0</v>
      </c>
      <c r="F127" s="1562" t="n">
        <f aca="false">IF(Assm!$F$29=0,'Annex 10-Plant'!G127,'Annex 12-Plant'!T127)</f>
        <v>11948.599064002</v>
      </c>
      <c r="G127" s="1563" t="n">
        <f aca="false">IF($A127&lt;Startops2,0,IF(Assm!$F$29=0,VLOOKUP($A127,Annex10_Gas_Table,'Annex 10-Gas'!$G$270),VLOOKUP($A127,Annex12_Gas_Table,'Annex 12-Gas'!$J$270)))</f>
        <v>11293.4589277489</v>
      </c>
      <c r="H127" s="1564" t="n">
        <f aca="false">IF($A127&lt;Startops2,0,IF(Assm!$F$29=0,VLOOKUP($A127,Annex10_Gas_Table,'Annex 10-Gas'!$P$270),VLOOKUP($A127,Annex12_Gas_Table,'Annex 12-Gas'!$V$270)))</f>
        <v>8759.15229030569</v>
      </c>
      <c r="I127" s="1563" t="n">
        <f aca="false">SUM(F127:H127)</f>
        <v>32001.2102820566</v>
      </c>
      <c r="J127" s="1563" t="n">
        <f aca="false">E127*I127</f>
        <v>0</v>
      </c>
      <c r="K127" s="1565" t="n">
        <f aca="false">IF(Assm!$L$74=1,VLOOKUP($A127,Curves_Table,Escalation!$D$291),Exch)</f>
        <v>1.065</v>
      </c>
      <c r="L127" s="1566" t="n">
        <f aca="false">J127/K127</f>
        <v>0</v>
      </c>
      <c r="M127" s="1567" t="str">
        <f aca="false">IF(MONTH($A127)=12,SUM(L116:L127)," ")</f>
        <v> </v>
      </c>
    </row>
    <row r="128" customFormat="false" ht="12.75" hidden="false" customHeight="false" outlineLevel="0" collapsed="false">
      <c r="A128" s="1538" t="n">
        <f aca="false">EDATE(A127,1)</f>
        <v>39783</v>
      </c>
      <c r="C128" s="1561" t="n">
        <f aca="false">MAX('Plant Operations'!H128,'Plant Operations'!L128)</f>
        <v>0.92</v>
      </c>
      <c r="D128" s="306" t="n">
        <f aca="false">IF($A128&gt;Endyr,0,AVERAGE(C116:C127))</f>
        <v>0.92</v>
      </c>
      <c r="E128" s="306" t="n">
        <f aca="false">IF(D128&gt;E$10,0,E$10-D128)</f>
        <v>0</v>
      </c>
      <c r="F128" s="1562" t="n">
        <f aca="false">IF(Assm!$F$29=0,'Annex 10-Plant'!G128,'Annex 12-Plant'!T128)</f>
        <v>11973.4565744057</v>
      </c>
      <c r="G128" s="1563" t="n">
        <f aca="false">IF($A128&lt;Startops2,0,IF(Assm!$F$29=0,VLOOKUP($A128,Annex10_Gas_Table,'Annex 10-Gas'!$G$270),VLOOKUP($A128,Annex12_Gas_Table,'Annex 12-Gas'!$J$270)))</f>
        <v>11317.3421181005</v>
      </c>
      <c r="H128" s="1564" t="n">
        <f aca="false">IF($A128&lt;Startops2,0,IF(Assm!$F$29=0,VLOOKUP($A128,Annex10_Gas_Table,'Annex 10-Gas'!$P$270),VLOOKUP($A128,Annex12_Gas_Table,'Annex 12-Gas'!$V$270)))</f>
        <v>8777.67597758398</v>
      </c>
      <c r="I128" s="1563" t="n">
        <f aca="false">SUM(F128:H128)</f>
        <v>32068.4746700902</v>
      </c>
      <c r="J128" s="1563" t="n">
        <f aca="false">E128*I128</f>
        <v>0</v>
      </c>
      <c r="K128" s="1565" t="n">
        <f aca="false">IF(Assm!$L$74=1,VLOOKUP($A128,Curves_Table,Escalation!$D$291),Exch)</f>
        <v>1.065</v>
      </c>
      <c r="L128" s="1566" t="n">
        <f aca="false">J128/K128</f>
        <v>0</v>
      </c>
      <c r="M128" s="1567" t="n">
        <f aca="false">IF(MONTH($A128)=12,SUM(L117:L128)," ")</f>
        <v>0</v>
      </c>
    </row>
    <row r="129" customFormat="false" ht="12.75" hidden="false" customHeight="false" outlineLevel="0" collapsed="false">
      <c r="A129" s="1538" t="n">
        <f aca="false">EDATE(A128,1)</f>
        <v>39814</v>
      </c>
      <c r="C129" s="1561" t="n">
        <f aca="false">MAX('Plant Operations'!H129,'Plant Operations'!L129)</f>
        <v>0.92</v>
      </c>
      <c r="D129" s="306" t="n">
        <f aca="false">IF($A129&gt;Endyr,0,AVERAGE(C117:C128))</f>
        <v>0.92</v>
      </c>
      <c r="E129" s="306" t="n">
        <f aca="false">IF(D129&gt;E$10,0,E$10-D129)</f>
        <v>0</v>
      </c>
      <c r="F129" s="1562" t="n">
        <f aca="false">IF(Assm!$F$29=0,'Annex 10-Plant'!G129,'Annex 12-Plant'!T129)</f>
        <v>11997.7194591626</v>
      </c>
      <c r="G129" s="1563" t="n">
        <f aca="false">IF($A129&lt;Startops2,0,IF(Assm!$F$29=0,VLOOKUP($A129,Annex10_Gas_Table,'Annex 10-Gas'!$G$270),VLOOKUP($A129,Annex12_Gas_Table,'Annex 12-Gas'!$J$270)))</f>
        <v>11340.6539898736</v>
      </c>
      <c r="H129" s="1564" t="n">
        <f aca="false">IF($A129&lt;Startops2,0,IF(Assm!$F$29=0,VLOOKUP($A129,Annex10_Gas_Table,'Annex 10-Gas'!$P$270),VLOOKUP($A129,Annex12_Gas_Table,'Annex 12-Gas'!$V$270)))</f>
        <v>8795.75655292753</v>
      </c>
      <c r="I129" s="1563" t="n">
        <f aca="false">SUM(F129:H129)</f>
        <v>32134.1300019637</v>
      </c>
      <c r="J129" s="1563" t="n">
        <f aca="false">E129*I129</f>
        <v>0</v>
      </c>
      <c r="K129" s="1565" t="n">
        <f aca="false">IF(Assm!$L$74=1,VLOOKUP($A129,Curves_Table,Escalation!$D$291),Exch)</f>
        <v>1.065</v>
      </c>
      <c r="L129" s="1566" t="n">
        <f aca="false">J129/K129</f>
        <v>0</v>
      </c>
      <c r="M129" s="1567" t="str">
        <f aca="false">IF(MONTH($A129)=12,SUM(L118:L129)," ")</f>
        <v> </v>
      </c>
    </row>
    <row r="130" customFormat="false" ht="12.75" hidden="false" customHeight="false" outlineLevel="0" collapsed="false">
      <c r="A130" s="1538" t="n">
        <f aca="false">EDATE(A129,1)</f>
        <v>39845</v>
      </c>
      <c r="C130" s="1561" t="n">
        <f aca="false">MAX('Plant Operations'!H130,'Plant Operations'!L130)</f>
        <v>0.92</v>
      </c>
      <c r="D130" s="306" t="n">
        <f aca="false">IF($A130&gt;Endyr,0,AVERAGE(C118:C129))</f>
        <v>0.92</v>
      </c>
      <c r="E130" s="306" t="n">
        <f aca="false">IF(D130&gt;E$10,0,E$10-D130)</f>
        <v>0</v>
      </c>
      <c r="F130" s="1562" t="n">
        <f aca="false">IF(Assm!$F$29=0,'Annex 10-Plant'!G130,'Annex 12-Plant'!T130)</f>
        <v>12022.0323214895</v>
      </c>
      <c r="G130" s="1563" t="n">
        <f aca="false">IF($A130&lt;Startops2,0,IF(Assm!$F$29=0,VLOOKUP($A130,Annex10_Gas_Table,'Annex 10-Gas'!$G$270),VLOOKUP($A130,Annex12_Gas_Table,'Annex 12-Gas'!$J$270)))</f>
        <v>11364.0138802857</v>
      </c>
      <c r="H130" s="1564" t="n">
        <f aca="false">IF($A130&lt;Startops2,0,IF(Assm!$F$29=0,VLOOKUP($A130,Annex10_Gas_Table,'Annex 10-Gas'!$P$270),VLOOKUP($A130,Annex12_Gas_Table,'Annex 12-Gas'!$V$270)))</f>
        <v>8813.87437129596</v>
      </c>
      <c r="I130" s="1563" t="n">
        <f aca="false">SUM(F130:H130)</f>
        <v>32199.9205730711</v>
      </c>
      <c r="J130" s="1563" t="n">
        <f aca="false">E130*I130</f>
        <v>0</v>
      </c>
      <c r="K130" s="1565" t="n">
        <f aca="false">IF(Assm!$L$74=1,VLOOKUP($A130,Curves_Table,Escalation!$D$291),Exch)</f>
        <v>1.065</v>
      </c>
      <c r="L130" s="1566" t="n">
        <f aca="false">J130/K130</f>
        <v>0</v>
      </c>
      <c r="M130" s="1567" t="str">
        <f aca="false">IF(MONTH($A130)=12,SUM(L119:L130)," ")</f>
        <v> </v>
      </c>
    </row>
    <row r="131" customFormat="false" ht="12.75" hidden="false" customHeight="false" outlineLevel="0" collapsed="false">
      <c r="A131" s="1538" t="n">
        <f aca="false">EDATE(A130,1)</f>
        <v>39873</v>
      </c>
      <c r="C131" s="1561" t="n">
        <f aca="false">MAX('Plant Operations'!H131,'Plant Operations'!L131)</f>
        <v>0.92</v>
      </c>
      <c r="D131" s="306" t="n">
        <f aca="false">IF($A131&gt;Endyr,0,AVERAGE(C119:C130))</f>
        <v>0.92</v>
      </c>
      <c r="E131" s="306" t="n">
        <f aca="false">IF(D131&gt;E$10,0,E$10-D131)</f>
        <v>0</v>
      </c>
      <c r="F131" s="1562" t="n">
        <f aca="false">IF(Assm!$F$29=0,'Annex 10-Plant'!G131,'Annex 12-Plant'!T131)</f>
        <v>12046.3952643321</v>
      </c>
      <c r="G131" s="1563" t="n">
        <f aca="false">IF($A131&lt;Startops2,0,IF(Assm!$F$29=0,VLOOKUP($A131,Annex10_Gas_Table,'Annex 10-Gas'!$G$270),VLOOKUP($A131,Annex12_Gas_Table,'Annex 12-Gas'!$J$270)))</f>
        <v>11387.4218882473</v>
      </c>
      <c r="H131" s="1564" t="n">
        <f aca="false">IF($A131&lt;Startops2,0,IF(Assm!$F$29=0,VLOOKUP($A131,Annex10_Gas_Table,'Annex 10-Gas'!$P$270),VLOOKUP($A131,Annex12_Gas_Table,'Annex 12-Gas'!$V$270)))</f>
        <v>8832.02950940379</v>
      </c>
      <c r="I131" s="1563" t="n">
        <f aca="false">SUM(F131:H131)</f>
        <v>32265.8466619832</v>
      </c>
      <c r="J131" s="1563" t="n">
        <f aca="false">E131*I131</f>
        <v>0</v>
      </c>
      <c r="K131" s="1565" t="n">
        <f aca="false">IF(Assm!$L$74=1,VLOOKUP($A131,Curves_Table,Escalation!$D$291),Exch)</f>
        <v>1.065</v>
      </c>
      <c r="L131" s="1566" t="n">
        <f aca="false">J131/K131</f>
        <v>0</v>
      </c>
      <c r="M131" s="1567" t="str">
        <f aca="false">IF(MONTH($A131)=12,SUM(L120:L131)," ")</f>
        <v> </v>
      </c>
    </row>
    <row r="132" customFormat="false" ht="12.75" hidden="false" customHeight="false" outlineLevel="0" collapsed="false">
      <c r="A132" s="1538" t="n">
        <f aca="false">EDATE(A131,1)</f>
        <v>39904</v>
      </c>
      <c r="C132" s="1561" t="n">
        <f aca="false">MAX('Plant Operations'!H132,'Plant Operations'!L132)</f>
        <v>0.92</v>
      </c>
      <c r="D132" s="306" t="n">
        <f aca="false">IF($A132&gt;Endyr,0,AVERAGE(C120:C131))</f>
        <v>0.92</v>
      </c>
      <c r="E132" s="306" t="n">
        <f aca="false">IF(D132&gt;E$10,0,E$10-D132)</f>
        <v>0</v>
      </c>
      <c r="F132" s="1562" t="n">
        <f aca="false">IF(Assm!$F$29=0,'Annex 10-Plant'!G132,'Annex 12-Plant'!T132)</f>
        <v>12070.808390848</v>
      </c>
      <c r="G132" s="1563" t="n">
        <f aca="false">IF($A132&lt;Startops2,0,IF(Assm!$F$29=0,VLOOKUP($A132,Annex10_Gas_Table,'Annex 10-Gas'!$G$270),VLOOKUP($A132,Annex12_Gas_Table,'Annex 12-Gas'!$J$270)))</f>
        <v>11410.8781128727</v>
      </c>
      <c r="H132" s="1564" t="n">
        <f aca="false">IF($A132&lt;Startops2,0,IF(Assm!$F$29=0,VLOOKUP($A132,Annex10_Gas_Table,'Annex 10-Gas'!$P$270),VLOOKUP($A132,Annex12_Gas_Table,'Annex 12-Gas'!$V$270)))</f>
        <v>8850.22204412358</v>
      </c>
      <c r="I132" s="1563" t="n">
        <f aca="false">SUM(F132:H132)</f>
        <v>32331.9085478443</v>
      </c>
      <c r="J132" s="1563" t="n">
        <f aca="false">E132*I132</f>
        <v>0</v>
      </c>
      <c r="K132" s="1565" t="n">
        <f aca="false">IF(Assm!$L$74=1,VLOOKUP($A132,Curves_Table,Escalation!$D$291),Exch)</f>
        <v>1.065</v>
      </c>
      <c r="L132" s="1566" t="n">
        <f aca="false">J132/K132</f>
        <v>0</v>
      </c>
      <c r="M132" s="1567" t="str">
        <f aca="false">IF(MONTH($A132)=12,SUM(L121:L132)," ")</f>
        <v> </v>
      </c>
    </row>
    <row r="133" customFormat="false" ht="12.75" hidden="false" customHeight="false" outlineLevel="0" collapsed="false">
      <c r="A133" s="1538" t="n">
        <f aca="false">EDATE(A132,1)</f>
        <v>39934</v>
      </c>
      <c r="C133" s="1561" t="n">
        <f aca="false">MAX('Plant Operations'!H133,'Plant Operations'!L133)</f>
        <v>0.92</v>
      </c>
      <c r="D133" s="306" t="n">
        <f aca="false">IF($A133&gt;Endyr,0,AVERAGE(C121:C132))</f>
        <v>0.92</v>
      </c>
      <c r="E133" s="306" t="n">
        <f aca="false">IF(D133&gt;E$10,0,E$10-D133)</f>
        <v>0</v>
      </c>
      <c r="F133" s="1562" t="n">
        <f aca="false">IF(Assm!$F$29=0,'Annex 10-Plant'!G133,'Annex 12-Plant'!T133)</f>
        <v>12135.9820994667</v>
      </c>
      <c r="G133" s="1563" t="n">
        <f aca="false">IF($A133&lt;Startops2,0,IF(Assm!$F$29=0,VLOOKUP($A133,Annex10_Gas_Table,'Annex 10-Gas'!$G$270),VLOOKUP($A133,Annex12_Gas_Table,'Annex 12-Gas'!$J$270)))</f>
        <v>11745.7612329361</v>
      </c>
      <c r="H133" s="1564" t="n">
        <f aca="false">IF($A133&lt;Startops2,0,IF(Assm!$F$29=0,VLOOKUP($A133,Annex10_Gas_Table,'Annex 10-Gas'!$P$270),VLOOKUP($A133,Annex12_Gas_Table,'Annex 12-Gas'!$V$270)))</f>
        <v>9084.19913820126</v>
      </c>
      <c r="I133" s="1563" t="n">
        <f aca="false">SUM(F133:H133)</f>
        <v>32965.942470604</v>
      </c>
      <c r="J133" s="1563" t="n">
        <f aca="false">E133*I133</f>
        <v>0</v>
      </c>
      <c r="K133" s="1565" t="n">
        <f aca="false">IF(Assm!$L$74=1,VLOOKUP($A133,Curves_Table,Escalation!$D$291),Exch)</f>
        <v>1.065</v>
      </c>
      <c r="L133" s="1566" t="n">
        <f aca="false">J133/K133</f>
        <v>0</v>
      </c>
      <c r="M133" s="1567" t="str">
        <f aca="false">IF(MONTH($A133)=12,SUM(L122:L133)," ")</f>
        <v> </v>
      </c>
    </row>
    <row r="134" customFormat="false" ht="12.75" hidden="false" customHeight="false" outlineLevel="0" collapsed="false">
      <c r="A134" s="1538" t="n">
        <f aca="false">EDATE(A133,1)</f>
        <v>39965</v>
      </c>
      <c r="C134" s="1561" t="n">
        <f aca="false">MAX('Plant Operations'!H134,'Plant Operations'!L134)</f>
        <v>0.92</v>
      </c>
      <c r="D134" s="306" t="n">
        <f aca="false">IF($A134&gt;Endyr,0,AVERAGE(C122:C133))</f>
        <v>0.92</v>
      </c>
      <c r="E134" s="306" t="n">
        <f aca="false">IF(D134&gt;E$10,0,E$10-D134)</f>
        <v>0</v>
      </c>
      <c r="F134" s="1562" t="n">
        <f aca="false">IF(Assm!$F$29=0,'Annex 10-Plant'!G134,'Annex 12-Plant'!T134)</f>
        <v>12160.3345693484</v>
      </c>
      <c r="G134" s="1563" t="n">
        <f aca="false">IF($A134&lt;Startops2,0,IF(Assm!$F$29=0,VLOOKUP($A134,Annex10_Gas_Table,'Annex 10-Gas'!$G$270),VLOOKUP($A134,Annex12_Gas_Table,'Annex 12-Gas'!$J$270)))</f>
        <v>11769.9555779406</v>
      </c>
      <c r="H134" s="1564" t="n">
        <f aca="false">IF($A134&lt;Startops2,0,IF(Assm!$F$29=0,VLOOKUP($A134,Annex10_Gas_Table,'Annex 10-Gas'!$P$270),VLOOKUP($A134,Annex12_Gas_Table,'Annex 12-Gas'!$V$270)))</f>
        <v>9102.9111010686</v>
      </c>
      <c r="I134" s="1563" t="n">
        <f aca="false">SUM(F134:H134)</f>
        <v>33033.2012483576</v>
      </c>
      <c r="J134" s="1563" t="n">
        <f aca="false">E134*I134</f>
        <v>0</v>
      </c>
      <c r="K134" s="1565" t="n">
        <f aca="false">IF(Assm!$L$74=1,VLOOKUP($A134,Curves_Table,Escalation!$D$291),Exch)</f>
        <v>1.065</v>
      </c>
      <c r="L134" s="1566" t="n">
        <f aca="false">J134/K134</f>
        <v>0</v>
      </c>
      <c r="M134" s="1567" t="str">
        <f aca="false">IF(MONTH($A134)=12,SUM(L123:L134)," ")</f>
        <v> </v>
      </c>
    </row>
    <row r="135" customFormat="false" ht="12.75" hidden="false" customHeight="false" outlineLevel="0" collapsed="false">
      <c r="A135" s="1538" t="n">
        <f aca="false">EDATE(A134,1)</f>
        <v>39995</v>
      </c>
      <c r="C135" s="1561" t="n">
        <f aca="false">MAX('Plant Operations'!H135,'Plant Operations'!L135)</f>
        <v>0.92</v>
      </c>
      <c r="D135" s="306" t="n">
        <f aca="false">IF($A135&gt;Endyr,0,AVERAGE(C123:C134))</f>
        <v>0.92</v>
      </c>
      <c r="E135" s="306" t="n">
        <f aca="false">IF(D135&gt;E$10,0,E$10-D135)</f>
        <v>0</v>
      </c>
      <c r="F135" s="1562" t="n">
        <f aca="false">IF(Assm!$F$29=0,'Annex 10-Plant'!G135,'Annex 12-Plant'!T135)</f>
        <v>12184.7372013308</v>
      </c>
      <c r="G135" s="1563" t="n">
        <f aca="false">IF($A135&lt;Startops2,0,IF(Assm!$F$29=0,VLOOKUP($A135,Annex10_Gas_Table,'Annex 10-Gas'!$G$270),VLOOKUP($A135,Annex12_Gas_Table,'Annex 12-Gas'!$J$270)))</f>
        <v>11794.1997593345</v>
      </c>
      <c r="H135" s="1564" t="n">
        <f aca="false">IF($A135&lt;Startops2,0,IF(Assm!$F$29=0,VLOOKUP($A135,Annex10_Gas_Table,'Annex 10-Gas'!$P$270),VLOOKUP($A135,Annex12_Gas_Table,'Annex 12-Gas'!$V$270)))</f>
        <v>9121.66160751573</v>
      </c>
      <c r="I135" s="1563" t="n">
        <f aca="false">SUM(F135:H135)</f>
        <v>33100.598568181</v>
      </c>
      <c r="J135" s="1563" t="n">
        <f aca="false">E135*I135</f>
        <v>0</v>
      </c>
      <c r="K135" s="1565" t="n">
        <f aca="false">IF(Assm!$L$74=1,VLOOKUP($A135,Curves_Table,Escalation!$D$291),Exch)</f>
        <v>1.065</v>
      </c>
      <c r="L135" s="1566" t="n">
        <f aca="false">J135/K135</f>
        <v>0</v>
      </c>
      <c r="M135" s="1567" t="str">
        <f aca="false">IF(MONTH($A135)=12,SUM(L124:L135)," ")</f>
        <v> </v>
      </c>
    </row>
    <row r="136" customFormat="false" ht="12.75" hidden="false" customHeight="false" outlineLevel="0" collapsed="false">
      <c r="A136" s="1538" t="n">
        <f aca="false">EDATE(A135,1)</f>
        <v>40026</v>
      </c>
      <c r="C136" s="1561" t="n">
        <f aca="false">MAX('Plant Operations'!H136,'Plant Operations'!L136)</f>
        <v>0.92</v>
      </c>
      <c r="D136" s="306" t="n">
        <f aca="false">IF($A136&gt;Endyr,0,AVERAGE(C124:C135))</f>
        <v>0.92</v>
      </c>
      <c r="E136" s="306" t="n">
        <f aca="false">IF(D136&gt;E$10,0,E$10-D136)</f>
        <v>0</v>
      </c>
      <c r="F136" s="1562" t="n">
        <f aca="false">IF(Assm!$F$29=0,'Annex 10-Plant'!G136,'Annex 12-Plant'!T136)</f>
        <v>12209.1900987397</v>
      </c>
      <c r="G136" s="1563" t="n">
        <f aca="false">IF($A136&lt;Startops2,0,IF(Assm!$F$29=0,VLOOKUP($A136,Annex10_Gas_Table,'Annex 10-Gas'!$G$270),VLOOKUP($A136,Annex12_Gas_Table,'Annex 12-Gas'!$J$270)))</f>
        <v>11818.4938797725</v>
      </c>
      <c r="H136" s="1564" t="n">
        <f aca="false">IF($A136&lt;Startops2,0,IF(Assm!$F$29=0,VLOOKUP($A136,Annex10_Gas_Table,'Annex 10-Gas'!$P$270),VLOOKUP($A136,Annex12_Gas_Table,'Annex 12-Gas'!$V$270)))</f>
        <v>9140.45073693612</v>
      </c>
      <c r="I136" s="1563" t="n">
        <f aca="false">SUM(F136:H136)</f>
        <v>33168.1347154483</v>
      </c>
      <c r="J136" s="1563" t="n">
        <f aca="false">E136*I136</f>
        <v>0</v>
      </c>
      <c r="K136" s="1565" t="n">
        <f aca="false">IF(Assm!$L$74=1,VLOOKUP($A136,Curves_Table,Escalation!$D$291),Exch)</f>
        <v>1.065</v>
      </c>
      <c r="L136" s="1566" t="n">
        <f aca="false">J136/K136</f>
        <v>0</v>
      </c>
      <c r="M136" s="1567" t="str">
        <f aca="false">IF(MONTH($A136)=12,SUM(L125:L136)," ")</f>
        <v> </v>
      </c>
    </row>
    <row r="137" customFormat="false" ht="12.75" hidden="false" customHeight="false" outlineLevel="0" collapsed="false">
      <c r="A137" s="1538" t="n">
        <f aca="false">EDATE(A136,1)</f>
        <v>40057</v>
      </c>
      <c r="C137" s="1561" t="n">
        <f aca="false">MAX('Plant Operations'!H137,'Plant Operations'!L137)</f>
        <v>0.92</v>
      </c>
      <c r="D137" s="306" t="n">
        <f aca="false">IF($A137&gt;Endyr,0,AVERAGE(C125:C136))</f>
        <v>0.92</v>
      </c>
      <c r="E137" s="306" t="n">
        <f aca="false">IF(D137&gt;E$10,0,E$10-D137)</f>
        <v>0</v>
      </c>
      <c r="F137" s="1562" t="n">
        <f aca="false">IF(Assm!$F$29=0,'Annex 10-Plant'!G137,'Annex 12-Plant'!T137)</f>
        <v>12233.6933651135</v>
      </c>
      <c r="G137" s="1563" t="n">
        <f aca="false">IF($A137&lt;Startops2,0,IF(Assm!$F$29=0,VLOOKUP($A137,Annex10_Gas_Table,'Annex 10-Gas'!$G$270),VLOOKUP($A137,Annex12_Gas_Table,'Annex 12-Gas'!$J$270)))</f>
        <v>11842.838042121</v>
      </c>
      <c r="H137" s="1564" t="n">
        <f aca="false">IF($A137&lt;Startops2,0,IF(Assm!$F$29=0,VLOOKUP($A137,Annex10_Gas_Table,'Annex 10-Gas'!$P$270),VLOOKUP($A137,Annex12_Gas_Table,'Annex 12-Gas'!$V$270)))</f>
        <v>9159.27856888677</v>
      </c>
      <c r="I137" s="1563" t="n">
        <f aca="false">SUM(F137:H137)</f>
        <v>33235.8099761212</v>
      </c>
      <c r="J137" s="1563" t="n">
        <f aca="false">E137*I137</f>
        <v>0</v>
      </c>
      <c r="K137" s="1565" t="n">
        <f aca="false">IF(Assm!$L$74=1,VLOOKUP($A137,Curves_Table,Escalation!$D$291),Exch)</f>
        <v>1.065</v>
      </c>
      <c r="L137" s="1566" t="n">
        <f aca="false">J137/K137</f>
        <v>0</v>
      </c>
      <c r="M137" s="1567" t="str">
        <f aca="false">IF(MONTH($A137)=12,SUM(L126:L137)," ")</f>
        <v> </v>
      </c>
    </row>
    <row r="138" customFormat="false" ht="12.75" hidden="false" customHeight="false" outlineLevel="0" collapsed="false">
      <c r="A138" s="1538" t="n">
        <f aca="false">EDATE(A137,1)</f>
        <v>40087</v>
      </c>
      <c r="C138" s="1561" t="n">
        <f aca="false">MAX('Plant Operations'!H138,'Plant Operations'!L138)</f>
        <v>0.92</v>
      </c>
      <c r="D138" s="306" t="n">
        <f aca="false">IF($A138&gt;Endyr,0,AVERAGE(C126:C137))</f>
        <v>0.92</v>
      </c>
      <c r="E138" s="306" t="n">
        <f aca="false">IF(D138&gt;E$10,0,E$10-D138)</f>
        <v>0</v>
      </c>
      <c r="F138" s="1562" t="n">
        <f aca="false">IF(Assm!$F$29=0,'Annex 10-Plant'!G138,'Annex 12-Plant'!T138)</f>
        <v>12258.2471042042</v>
      </c>
      <c r="G138" s="1563" t="n">
        <f aca="false">IF($A138&lt;Startops2,0,IF(Assm!$F$29=0,VLOOKUP($A138,Annex10_Gas_Table,'Annex 10-Gas'!$G$270),VLOOKUP($A138,Annex12_Gas_Table,'Annex 12-Gas'!$J$270)))</f>
        <v>11867.232349458</v>
      </c>
      <c r="H138" s="1564" t="n">
        <f aca="false">IF($A138&lt;Startops2,0,IF(Assm!$F$29=0,VLOOKUP($A138,Annex10_Gas_Table,'Annex 10-Gas'!$P$270),VLOOKUP($A138,Annex12_Gas_Table,'Annex 12-Gas'!$V$270)))</f>
        <v>9178.14518308855</v>
      </c>
      <c r="I138" s="1563" t="n">
        <f aca="false">SUM(F138:H138)</f>
        <v>33303.6246367507</v>
      </c>
      <c r="J138" s="1563" t="n">
        <f aca="false">E138*I138</f>
        <v>0</v>
      </c>
      <c r="K138" s="1565" t="n">
        <f aca="false">IF(Assm!$L$74=1,VLOOKUP($A138,Curves_Table,Escalation!$D$291),Exch)</f>
        <v>1.065</v>
      </c>
      <c r="L138" s="1566" t="n">
        <f aca="false">J138/K138</f>
        <v>0</v>
      </c>
      <c r="M138" s="1567" t="str">
        <f aca="false">IF(MONTH($A138)=12,SUM(L127:L138)," ")</f>
        <v> </v>
      </c>
    </row>
    <row r="139" customFormat="false" ht="12.75" hidden="false" customHeight="false" outlineLevel="0" collapsed="false">
      <c r="A139" s="1538" t="n">
        <f aca="false">EDATE(A138,1)</f>
        <v>40118</v>
      </c>
      <c r="C139" s="1561" t="n">
        <f aca="false">MAX('Plant Operations'!H139,'Plant Operations'!L139)</f>
        <v>0.92</v>
      </c>
      <c r="D139" s="306" t="n">
        <f aca="false">IF($A139&gt;Endyr,0,AVERAGE(C127:C138))</f>
        <v>0.92</v>
      </c>
      <c r="E139" s="306" t="n">
        <f aca="false">IF(D139&gt;E$10,0,E$10-D139)</f>
        <v>0</v>
      </c>
      <c r="F139" s="1562" t="n">
        <f aca="false">IF(Assm!$F$29=0,'Annex 10-Plant'!G139,'Annex 12-Plant'!T139)</f>
        <v>12282.8514199771</v>
      </c>
      <c r="G139" s="1563" t="n">
        <f aca="false">IF($A139&lt;Startops2,0,IF(Assm!$F$29=0,VLOOKUP($A139,Annex10_Gas_Table,'Annex 10-Gas'!$G$270),VLOOKUP($A139,Annex12_Gas_Table,'Annex 12-Gas'!$J$270)))</f>
        <v>11891.6769050741</v>
      </c>
      <c r="H139" s="1564" t="n">
        <f aca="false">IF($A139&lt;Startops2,0,IF(Assm!$F$29=0,VLOOKUP($A139,Annex10_Gas_Table,'Annex 10-Gas'!$P$270),VLOOKUP($A139,Annex12_Gas_Table,'Annex 12-Gas'!$V$270)))</f>
        <v>9197.05065942656</v>
      </c>
      <c r="I139" s="1563" t="n">
        <f aca="false">SUM(F139:H139)</f>
        <v>33371.5789844778</v>
      </c>
      <c r="J139" s="1563" t="n">
        <f aca="false">E139*I139</f>
        <v>0</v>
      </c>
      <c r="K139" s="1565" t="n">
        <f aca="false">IF(Assm!$L$74=1,VLOOKUP($A139,Curves_Table,Escalation!$D$291),Exch)</f>
        <v>1.065</v>
      </c>
      <c r="L139" s="1566" t="n">
        <f aca="false">J139/K139</f>
        <v>0</v>
      </c>
      <c r="M139" s="1567" t="str">
        <f aca="false">IF(MONTH($A139)=12,SUM(L128:L139)," ")</f>
        <v> </v>
      </c>
    </row>
    <row r="140" customFormat="false" ht="12.75" hidden="false" customHeight="false" outlineLevel="0" collapsed="false">
      <c r="A140" s="1538" t="n">
        <f aca="false">EDATE(A139,1)</f>
        <v>40148</v>
      </c>
      <c r="C140" s="1561" t="n">
        <f aca="false">MAX('Plant Operations'!H140,'Plant Operations'!L140)</f>
        <v>0.92</v>
      </c>
      <c r="D140" s="306" t="n">
        <f aca="false">IF($A140&gt;Endyr,0,AVERAGE(C128:C139))</f>
        <v>0.92</v>
      </c>
      <c r="E140" s="306" t="n">
        <f aca="false">IF(D140&gt;E$10,0,E$10-D140)</f>
        <v>0</v>
      </c>
      <c r="F140" s="1562" t="n">
        <f aca="false">IF(Assm!$F$29=0,'Annex 10-Plant'!G140,'Annex 12-Plant'!T140)</f>
        <v>12307.5064166122</v>
      </c>
      <c r="G140" s="1563" t="n">
        <f aca="false">IF($A140&lt;Startops2,0,IF(Assm!$F$29=0,VLOOKUP($A140,Annex10_Gas_Table,'Annex 10-Gas'!$G$270),VLOOKUP($A140,Annex12_Gas_Table,'Annex 12-Gas'!$J$270)))</f>
        <v>11916.1718124724</v>
      </c>
      <c r="H140" s="1564" t="n">
        <f aca="false">IF($A140&lt;Startops2,0,IF(Assm!$F$29=0,VLOOKUP($A140,Annex10_Gas_Table,'Annex 10-Gas'!$P$270),VLOOKUP($A140,Annex12_Gas_Table,'Annex 12-Gas'!$V$270)))</f>
        <v>9215.99507795042</v>
      </c>
      <c r="I140" s="1563" t="n">
        <f aca="false">SUM(F140:H140)</f>
        <v>33439.6733070349</v>
      </c>
      <c r="J140" s="1563" t="n">
        <f aca="false">E140*I140</f>
        <v>0</v>
      </c>
      <c r="K140" s="1565" t="n">
        <f aca="false">IF(Assm!$L$74=1,VLOOKUP($A140,Curves_Table,Escalation!$D$291),Exch)</f>
        <v>1.065</v>
      </c>
      <c r="L140" s="1566" t="n">
        <f aca="false">J140/K140</f>
        <v>0</v>
      </c>
      <c r="M140" s="1567" t="n">
        <f aca="false">IF(MONTH($A140)=12,SUM(L129:L140)," ")</f>
        <v>0</v>
      </c>
    </row>
    <row r="141" customFormat="false" ht="12.75" hidden="false" customHeight="false" outlineLevel="0" collapsed="false">
      <c r="A141" s="1538" t="n">
        <f aca="false">EDATE(A140,1)</f>
        <v>40179</v>
      </c>
      <c r="C141" s="1561" t="n">
        <f aca="false">MAX('Plant Operations'!H141,'Plant Operations'!L141)</f>
        <v>0.92</v>
      </c>
      <c r="D141" s="306" t="n">
        <f aca="false">IF($A141&gt;Endyr,0,AVERAGE(C129:C140))</f>
        <v>0.92</v>
      </c>
      <c r="E141" s="306" t="n">
        <f aca="false">IF(D141&gt;E$10,0,E$10-D141)</f>
        <v>0</v>
      </c>
      <c r="F141" s="1562" t="n">
        <f aca="false">IF(Assm!$F$29=0,'Annex 10-Plant'!G141,'Annex 12-Plant'!T141)</f>
        <v>12330.866271969</v>
      </c>
      <c r="G141" s="1563" t="n">
        <f aca="false">IF($A141&lt;Startops2,0,IF(Assm!$F$29=0,VLOOKUP($A141,Annex10_Gas_Table,'Annex 10-Gas'!$G$270),VLOOKUP($A141,Annex12_Gas_Table,'Annex 12-Gas'!$J$270)))</f>
        <v>11939.379988173</v>
      </c>
      <c r="H141" s="1564" t="n">
        <f aca="false">IF($A141&lt;Startops2,0,IF(Assm!$F$29=0,VLOOKUP($A141,Annex10_Gas_Table,'Annex 10-Gas'!$P$270),VLOOKUP($A141,Annex12_Gas_Table,'Annex 12-Gas'!$V$270)))</f>
        <v>9233.94433517759</v>
      </c>
      <c r="I141" s="1563" t="n">
        <f aca="false">SUM(F141:H141)</f>
        <v>33504.1905953196</v>
      </c>
      <c r="J141" s="1563" t="n">
        <f aca="false">E141*I141</f>
        <v>0</v>
      </c>
      <c r="K141" s="1565" t="n">
        <f aca="false">IF(Assm!$L$74=1,VLOOKUP($A141,Curves_Table,Escalation!$D$291),Exch)</f>
        <v>1.065</v>
      </c>
      <c r="L141" s="1566" t="n">
        <f aca="false">J141/K141</f>
        <v>0</v>
      </c>
      <c r="M141" s="1567" t="str">
        <f aca="false">IF(MONTH($A141)=12,SUM(L130:L141)," ")</f>
        <v> </v>
      </c>
    </row>
    <row r="142" customFormat="false" ht="12.75" hidden="false" customHeight="false" outlineLevel="0" collapsed="false">
      <c r="A142" s="1538" t="n">
        <f aca="false">EDATE(A141,1)</f>
        <v>40210</v>
      </c>
      <c r="C142" s="1561" t="n">
        <f aca="false">MAX('Plant Operations'!H142,'Plant Operations'!L142)</f>
        <v>0.92</v>
      </c>
      <c r="D142" s="306" t="n">
        <f aca="false">IF($A142&gt;Endyr,0,AVERAGE(C130:C141))</f>
        <v>0.92</v>
      </c>
      <c r="E142" s="306" t="n">
        <f aca="false">IF(D142&gt;E$10,0,E$10-D142)</f>
        <v>0</v>
      </c>
      <c r="F142" s="1562" t="n">
        <f aca="false">IF(Assm!$F$29=0,'Annex 10-Plant'!G142,'Annex 12-Plant'!T142)</f>
        <v>12354.2716234496</v>
      </c>
      <c r="G142" s="1563" t="n">
        <f aca="false">IF($A142&lt;Startops2,0,IF(Assm!$F$29=0,VLOOKUP($A142,Annex10_Gas_Table,'Annex 10-Gas'!$G$270),VLOOKUP($A142,Annex12_Gas_Table,'Annex 12-Gas'!$J$270)))</f>
        <v>11962.633364583</v>
      </c>
      <c r="H142" s="1564" t="n">
        <f aca="false">IF($A142&lt;Startops2,0,IF(Assm!$F$29=0,VLOOKUP($A142,Annex10_Gas_Table,'Annex 10-Gas'!$P$270),VLOOKUP($A142,Annex12_Gas_Table,'Annex 12-Gas'!$V$270)))</f>
        <v>9251.92855073886</v>
      </c>
      <c r="I142" s="1563" t="n">
        <f aca="false">SUM(F142:H142)</f>
        <v>33568.8335387715</v>
      </c>
      <c r="J142" s="1563" t="n">
        <f aca="false">E142*I142</f>
        <v>0</v>
      </c>
      <c r="K142" s="1565" t="n">
        <f aca="false">IF(Assm!$L$74=1,VLOOKUP($A142,Curves_Table,Escalation!$D$291),Exch)</f>
        <v>1.065</v>
      </c>
      <c r="L142" s="1566" t="n">
        <f aca="false">J142/K142</f>
        <v>0</v>
      </c>
      <c r="M142" s="1567" t="str">
        <f aca="false">IF(MONTH($A142)=12,SUM(L131:L142)," ")</f>
        <v> </v>
      </c>
    </row>
    <row r="143" customFormat="false" ht="12.75" hidden="false" customHeight="false" outlineLevel="0" collapsed="false">
      <c r="A143" s="1538" t="n">
        <f aca="false">EDATE(A142,1)</f>
        <v>40238</v>
      </c>
      <c r="C143" s="1561" t="n">
        <f aca="false">MAX('Plant Operations'!H143,'Plant Operations'!L143)</f>
        <v>0.92</v>
      </c>
      <c r="D143" s="306" t="n">
        <f aca="false">IF($A143&gt;Endyr,0,AVERAGE(C131:C142))</f>
        <v>0.92</v>
      </c>
      <c r="E143" s="306" t="n">
        <f aca="false">IF(D143&gt;E$10,0,E$10-D143)</f>
        <v>0</v>
      </c>
      <c r="F143" s="1562" t="n">
        <f aca="false">IF(Assm!$F$29=0,'Annex 10-Plant'!G143,'Annex 12-Plant'!T143)</f>
        <v>12377.7225596631</v>
      </c>
      <c r="G143" s="1563" t="n">
        <f aca="false">IF($A143&lt;Startops2,0,IF(Assm!$F$29=0,VLOOKUP($A143,Annex10_Gas_Table,'Annex 10-Gas'!$G$270),VLOOKUP($A143,Annex12_Gas_Table,'Annex 12-Gas'!$J$270)))</f>
        <v>11985.9320297363</v>
      </c>
      <c r="H143" s="1564" t="n">
        <f aca="false">IF($A143&lt;Startops2,0,IF(Assm!$F$29=0,VLOOKUP($A143,Annex10_Gas_Table,'Annex 10-Gas'!$P$270),VLOOKUP($A143,Annex12_Gas_Table,'Annex 12-Gas'!$V$270)))</f>
        <v>9269.94779271979</v>
      </c>
      <c r="I143" s="1563" t="n">
        <f aca="false">SUM(F143:H143)</f>
        <v>33633.6023821192</v>
      </c>
      <c r="J143" s="1563" t="n">
        <f aca="false">E143*I143</f>
        <v>0</v>
      </c>
      <c r="K143" s="1565" t="n">
        <f aca="false">IF(Assm!$L$74=1,VLOOKUP($A143,Curves_Table,Escalation!$D$291),Exch)</f>
        <v>1.065</v>
      </c>
      <c r="L143" s="1566" t="n">
        <f aca="false">J143/K143</f>
        <v>0</v>
      </c>
      <c r="M143" s="1567" t="str">
        <f aca="false">IF(MONTH($A143)=12,SUM(L132:L143)," ")</f>
        <v> </v>
      </c>
    </row>
    <row r="144" customFormat="false" ht="12.75" hidden="false" customHeight="false" outlineLevel="0" collapsed="false">
      <c r="A144" s="1538" t="n">
        <f aca="false">EDATE(A143,1)</f>
        <v>40269</v>
      </c>
      <c r="C144" s="1561" t="n">
        <f aca="false">MAX('Plant Operations'!H144,'Plant Operations'!L144)</f>
        <v>0.92</v>
      </c>
      <c r="D144" s="306" t="n">
        <f aca="false">IF($A144&gt;Endyr,0,AVERAGE(C132:C143))</f>
        <v>0.92</v>
      </c>
      <c r="E144" s="306" t="n">
        <f aca="false">IF(D144&gt;E$10,0,E$10-D144)</f>
        <v>0</v>
      </c>
      <c r="F144" s="1562" t="n">
        <f aca="false">IF(Assm!$F$29=0,'Annex 10-Plant'!G144,'Annex 12-Plant'!T144)</f>
        <v>12401.2191693913</v>
      </c>
      <c r="G144" s="1563" t="n">
        <f aca="false">IF($A144&lt;Startops2,0,IF(Assm!$F$29=0,VLOOKUP($A144,Annex10_Gas_Table,'Annex 10-Gas'!$G$270),VLOOKUP($A144,Annex12_Gas_Table,'Annex 12-Gas'!$J$270)))</f>
        <v>12009.276071838</v>
      </c>
      <c r="H144" s="1564" t="n">
        <f aca="false">IF($A144&lt;Startops2,0,IF(Assm!$F$29=0,VLOOKUP($A144,Annex10_Gas_Table,'Annex 10-Gas'!$P$270),VLOOKUP($A144,Annex12_Gas_Table,'Annex 12-Gas'!$V$270)))</f>
        <v>9288.00212933853</v>
      </c>
      <c r="I144" s="1563" t="n">
        <f aca="false">SUM(F144:H144)</f>
        <v>33698.4973705678</v>
      </c>
      <c r="J144" s="1563" t="n">
        <f aca="false">E144*I144</f>
        <v>0</v>
      </c>
      <c r="K144" s="1565" t="n">
        <f aca="false">IF(Assm!$L$74=1,VLOOKUP($A144,Curves_Table,Escalation!$D$291),Exch)</f>
        <v>1.065</v>
      </c>
      <c r="L144" s="1566" t="n">
        <f aca="false">J144/K144</f>
        <v>0</v>
      </c>
      <c r="M144" s="1567" t="str">
        <f aca="false">IF(MONTH($A144)=12,SUM(L133:L144)," ")</f>
        <v> </v>
      </c>
    </row>
    <row r="145" customFormat="false" ht="12.75" hidden="false" customHeight="false" outlineLevel="0" collapsed="false">
      <c r="A145" s="1538" t="n">
        <f aca="false">EDATE(A144,1)</f>
        <v>40299</v>
      </c>
      <c r="C145" s="1561" t="n">
        <f aca="false">MAX('Plant Operations'!H145,'Plant Operations'!L145)</f>
        <v>0.92</v>
      </c>
      <c r="D145" s="306" t="n">
        <f aca="false">IF($A145&gt;Endyr,0,AVERAGE(C133:C144))</f>
        <v>0.92</v>
      </c>
      <c r="E145" s="306" t="n">
        <f aca="false">IF(D145&gt;E$10,0,E$10-D145)</f>
        <v>0</v>
      </c>
      <c r="F145" s="1562" t="n">
        <f aca="false">IF(Assm!$F$29=0,'Annex 10-Plant'!G145,'Annex 12-Plant'!T145)</f>
        <v>12760.9921177706</v>
      </c>
      <c r="G145" s="1563" t="n">
        <f aca="false">IF($A145&lt;Startops2,0,IF(Assm!$F$29=0,VLOOKUP($A145,Annex10_Gas_Table,'Annex 10-Gas'!$G$270),VLOOKUP($A145,Annex12_Gas_Table,'Annex 12-Gas'!$J$270)))</f>
        <v>12348.9281892316</v>
      </c>
      <c r="H145" s="1564" t="n">
        <f aca="false">IF($A145&lt;Startops2,0,IF(Assm!$F$29=0,VLOOKUP($A145,Annex10_Gas_Table,'Annex 10-Gas'!$P$270),VLOOKUP($A145,Annex12_Gas_Table,'Annex 12-Gas'!$V$270)))</f>
        <v>9510.55168296024</v>
      </c>
      <c r="I145" s="1563" t="n">
        <f aca="false">SUM(F145:H145)</f>
        <v>34620.4719899624</v>
      </c>
      <c r="J145" s="1563" t="n">
        <f aca="false">E145*I145</f>
        <v>0</v>
      </c>
      <c r="K145" s="1565" t="n">
        <f aca="false">IF(Assm!$L$74=1,VLOOKUP($A145,Curves_Table,Escalation!$D$291),Exch)</f>
        <v>1.065</v>
      </c>
      <c r="L145" s="1566" t="n">
        <f aca="false">J145/K145</f>
        <v>0</v>
      </c>
      <c r="M145" s="1567" t="str">
        <f aca="false">IF(MONTH($A145)=12,SUM(L134:L145)," ")</f>
        <v> </v>
      </c>
    </row>
    <row r="146" customFormat="false" ht="12.75" hidden="false" customHeight="false" outlineLevel="0" collapsed="false">
      <c r="A146" s="1538" t="n">
        <f aca="false">EDATE(A145,1)</f>
        <v>40330</v>
      </c>
      <c r="C146" s="1561" t="n">
        <f aca="false">MAX('Plant Operations'!H146,'Plant Operations'!L146)</f>
        <v>0.92</v>
      </c>
      <c r="D146" s="306" t="n">
        <f aca="false">IF($A146&gt;Endyr,0,AVERAGE(C134:C145))</f>
        <v>0.92</v>
      </c>
      <c r="E146" s="306" t="n">
        <f aca="false">IF(D146&gt;E$10,0,E$10-D146)</f>
        <v>0</v>
      </c>
      <c r="F146" s="1562" t="n">
        <f aca="false">IF(Assm!$F$29=0,'Annex 10-Plant'!G146,'Annex 12-Plant'!T146)</f>
        <v>12785.2316010534</v>
      </c>
      <c r="G146" s="1563" t="n">
        <f aca="false">IF($A146&lt;Startops2,0,IF(Assm!$F$29=0,VLOOKUP($A146,Annex10_Gas_Table,'Annex 10-Gas'!$G$270),VLOOKUP($A146,Annex12_Gas_Table,'Annex 12-Gas'!$J$270)))</f>
        <v>12372.9792099486</v>
      </c>
      <c r="H146" s="1564" t="n">
        <f aca="false">IF($A146&lt;Startops2,0,IF(Assm!$F$29=0,VLOOKUP($A146,Annex10_Gas_Table,'Annex 10-Gas'!$P$270),VLOOKUP($A146,Annex12_Gas_Table,'Annex 12-Gas'!$V$270)))</f>
        <v>9529.07462455101</v>
      </c>
      <c r="I146" s="1563" t="n">
        <f aca="false">SUM(F146:H146)</f>
        <v>34687.285435553</v>
      </c>
      <c r="J146" s="1563" t="n">
        <f aca="false">E146*I146</f>
        <v>0</v>
      </c>
      <c r="K146" s="1565" t="n">
        <f aca="false">IF(Assm!$L$74=1,VLOOKUP($A146,Curves_Table,Escalation!$D$291),Exch)</f>
        <v>1.065</v>
      </c>
      <c r="L146" s="1566" t="n">
        <f aca="false">J146/K146</f>
        <v>0</v>
      </c>
      <c r="M146" s="1567" t="str">
        <f aca="false">IF(MONTH($A146)=12,SUM(L135:L146)," ")</f>
        <v> </v>
      </c>
    </row>
    <row r="147" customFormat="false" ht="12.75" hidden="false" customHeight="false" outlineLevel="0" collapsed="false">
      <c r="A147" s="1538" t="n">
        <f aca="false">EDATE(A146,1)</f>
        <v>40360</v>
      </c>
      <c r="C147" s="1561" t="n">
        <f aca="false">MAX('Plant Operations'!H147,'Plant Operations'!L147)</f>
        <v>0.92</v>
      </c>
      <c r="D147" s="306" t="n">
        <f aca="false">IF($A147&gt;Endyr,0,AVERAGE(C135:C146))</f>
        <v>0.92</v>
      </c>
      <c r="E147" s="306" t="n">
        <f aca="false">IF(D147&gt;E$10,0,E$10-D147)</f>
        <v>0</v>
      </c>
      <c r="F147" s="1562" t="n">
        <f aca="false">IF(Assm!$F$29=0,'Annex 10-Plant'!G147,'Annex 12-Plant'!T147)</f>
        <v>12809.518293641</v>
      </c>
      <c r="G147" s="1563" t="n">
        <f aca="false">IF($A147&lt;Startops2,0,IF(Assm!$F$29=0,VLOOKUP($A147,Annex10_Gas_Table,'Annex 10-Gas'!$G$270),VLOOKUP($A147,Annex12_Gas_Table,'Annex 12-Gas'!$J$270)))</f>
        <v>12397.077072917</v>
      </c>
      <c r="H147" s="1564" t="n">
        <f aca="false">IF($A147&lt;Startops2,0,IF(Assm!$F$29=0,VLOOKUP($A147,Annex10_Gas_Table,'Annex 10-Gas'!$P$270),VLOOKUP($A147,Annex12_Gas_Table,'Annex 12-Gas'!$V$270)))</f>
        <v>9547.63364179508</v>
      </c>
      <c r="I147" s="1563" t="n">
        <f aca="false">SUM(F147:H147)</f>
        <v>34754.2290083531</v>
      </c>
      <c r="J147" s="1563" t="n">
        <f aca="false">E147*I147</f>
        <v>0</v>
      </c>
      <c r="K147" s="1565" t="n">
        <f aca="false">IF(Assm!$L$74=1,VLOOKUP($A147,Curves_Table,Escalation!$D$291),Exch)</f>
        <v>1.065</v>
      </c>
      <c r="L147" s="1566" t="n">
        <f aca="false">J147/K147</f>
        <v>0</v>
      </c>
      <c r="M147" s="1567" t="str">
        <f aca="false">IF(MONTH($A147)=12,SUM(L136:L147)," ")</f>
        <v> </v>
      </c>
    </row>
    <row r="148" customFormat="false" ht="12.75" hidden="false" customHeight="false" outlineLevel="0" collapsed="false">
      <c r="A148" s="1538" t="n">
        <f aca="false">EDATE(A147,1)</f>
        <v>40391</v>
      </c>
      <c r="C148" s="1561" t="n">
        <f aca="false">MAX('Plant Operations'!H148,'Plant Operations'!L148)</f>
        <v>0.92</v>
      </c>
      <c r="D148" s="306" t="n">
        <f aca="false">IF($A148&gt;Endyr,0,AVERAGE(C136:C147))</f>
        <v>0.92</v>
      </c>
      <c r="E148" s="306" t="n">
        <f aca="false">IF(D148&gt;E$10,0,E$10-D148)</f>
        <v>0</v>
      </c>
      <c r="F148" s="1562" t="n">
        <f aca="false">IF(Assm!$F$29=0,'Annex 10-Plant'!G148,'Annex 12-Plant'!T148)</f>
        <v>12833.8522874791</v>
      </c>
      <c r="G148" s="1563" t="n">
        <f aca="false">IF($A148&lt;Startops2,0,IF(Assm!$F$29=0,VLOOKUP($A148,Annex10_Gas_Table,'Annex 10-Gas'!$G$270),VLOOKUP($A148,Annex12_Gas_Table,'Annex 12-Gas'!$J$270)))</f>
        <v>12421.2218693676</v>
      </c>
      <c r="H148" s="1564" t="n">
        <f aca="false">IF($A148&lt;Startops2,0,IF(Assm!$F$29=0,VLOOKUP($A148,Annex10_Gas_Table,'Annex 10-Gas'!$P$270),VLOOKUP($A148,Annex12_Gas_Table,'Annex 12-Gas'!$V$270)))</f>
        <v>9566.22880495412</v>
      </c>
      <c r="I148" s="1563" t="n">
        <f aca="false">SUM(F148:H148)</f>
        <v>34821.3029618009</v>
      </c>
      <c r="J148" s="1563" t="n">
        <f aca="false">E148*I148</f>
        <v>0</v>
      </c>
      <c r="K148" s="1565" t="n">
        <f aca="false">IF(Assm!$L$74=1,VLOOKUP($A148,Curves_Table,Escalation!$D$291),Exch)</f>
        <v>1.065</v>
      </c>
      <c r="L148" s="1566" t="n">
        <f aca="false">J148/K148</f>
        <v>0</v>
      </c>
      <c r="M148" s="1567" t="str">
        <f aca="false">IF(MONTH($A148)=12,SUM(L137:L148)," ")</f>
        <v> </v>
      </c>
    </row>
    <row r="149" customFormat="false" ht="12.75" hidden="false" customHeight="false" outlineLevel="0" collapsed="false">
      <c r="A149" s="1538" t="n">
        <f aca="false">EDATE(A148,1)</f>
        <v>40422</v>
      </c>
      <c r="C149" s="1561" t="n">
        <f aca="false">MAX('Plant Operations'!H149,'Plant Operations'!L149)</f>
        <v>0.92</v>
      </c>
      <c r="D149" s="306" t="n">
        <f aca="false">IF($A149&gt;Endyr,0,AVERAGE(C137:C148))</f>
        <v>0.92</v>
      </c>
      <c r="E149" s="306" t="n">
        <f aca="false">IF(D149&gt;E$10,0,E$10-D149)</f>
        <v>0</v>
      </c>
      <c r="F149" s="1562" t="n">
        <f aca="false">IF(Assm!$F$29=0,'Annex 10-Plant'!G149,'Annex 12-Plant'!T149)</f>
        <v>12858.2336746927</v>
      </c>
      <c r="G149" s="1563" t="n">
        <f aca="false">IF($A149&lt;Startops2,0,IF(Assm!$F$29=0,VLOOKUP($A149,Annex10_Gas_Table,'Annex 10-Gas'!$G$270),VLOOKUP($A149,Annex12_Gas_Table,'Annex 12-Gas'!$J$270)))</f>
        <v>12445.413690709</v>
      </c>
      <c r="H149" s="1564" t="n">
        <f aca="false">IF($A149&lt;Startops2,0,IF(Assm!$F$29=0,VLOOKUP($A149,Annex10_Gas_Table,'Annex 10-Gas'!$P$270),VLOOKUP($A149,Annex12_Gas_Table,'Annex 12-Gas'!$V$270)))</f>
        <v>9584.86018442663</v>
      </c>
      <c r="I149" s="1563" t="n">
        <f aca="false">SUM(F149:H149)</f>
        <v>34888.5075498284</v>
      </c>
      <c r="J149" s="1563" t="n">
        <f aca="false">E149*I149</f>
        <v>0</v>
      </c>
      <c r="K149" s="1565" t="n">
        <f aca="false">IF(Assm!$L$74=1,VLOOKUP($A149,Curves_Table,Escalation!$D$291),Exch)</f>
        <v>1.065</v>
      </c>
      <c r="L149" s="1566" t="n">
        <f aca="false">J149/K149</f>
        <v>0</v>
      </c>
      <c r="M149" s="1567" t="str">
        <f aca="false">IF(MONTH($A149)=12,SUM(L138:L149)," ")</f>
        <v> </v>
      </c>
    </row>
    <row r="150" customFormat="false" ht="12.75" hidden="false" customHeight="false" outlineLevel="0" collapsed="false">
      <c r="A150" s="1538" t="n">
        <f aca="false">EDATE(A149,1)</f>
        <v>40452</v>
      </c>
      <c r="C150" s="1561" t="n">
        <f aca="false">MAX('Plant Operations'!H150,'Plant Operations'!L150)</f>
        <v>0.92</v>
      </c>
      <c r="D150" s="306" t="n">
        <f aca="false">IF($A150&gt;Endyr,0,AVERAGE(C138:C149))</f>
        <v>0.92</v>
      </c>
      <c r="E150" s="306" t="n">
        <f aca="false">IF(D150&gt;E$10,0,E$10-D150)</f>
        <v>0</v>
      </c>
      <c r="F150" s="1562" t="n">
        <f aca="false">IF(Assm!$F$29=0,'Annex 10-Plant'!G150,'Annex 12-Plant'!T150)</f>
        <v>12882.662547586</v>
      </c>
      <c r="G150" s="1563" t="n">
        <f aca="false">IF($A150&lt;Startops2,0,IF(Assm!$F$29=0,VLOOKUP($A150,Annex10_Gas_Table,'Annex 10-Gas'!$G$270),VLOOKUP($A150,Annex12_Gas_Table,'Annex 12-Gas'!$J$270)))</f>
        <v>12469.6526285279</v>
      </c>
      <c r="H150" s="1564" t="n">
        <f aca="false">IF($A150&lt;Startops2,0,IF(Assm!$F$29=0,VLOOKUP($A150,Annex10_Gas_Table,'Annex 10-Gas'!$P$270),VLOOKUP($A150,Annex12_Gas_Table,'Annex 12-Gas'!$V$270)))</f>
        <v>9603.52785074823</v>
      </c>
      <c r="I150" s="1563" t="n">
        <f aca="false">SUM(F150:H150)</f>
        <v>34955.8430268621</v>
      </c>
      <c r="J150" s="1563" t="n">
        <f aca="false">E150*I150</f>
        <v>0</v>
      </c>
      <c r="K150" s="1565" t="n">
        <f aca="false">IF(Assm!$L$74=1,VLOOKUP($A150,Curves_Table,Escalation!$D$291),Exch)</f>
        <v>1.065</v>
      </c>
      <c r="L150" s="1566" t="n">
        <f aca="false">J150/K150</f>
        <v>0</v>
      </c>
      <c r="M150" s="1567" t="str">
        <f aca="false">IF(MONTH($A150)=12,SUM(L139:L150)," ")</f>
        <v> </v>
      </c>
    </row>
    <row r="151" customFormat="false" ht="12.75" hidden="false" customHeight="false" outlineLevel="0" collapsed="false">
      <c r="A151" s="1538" t="n">
        <f aca="false">EDATE(A150,1)</f>
        <v>40483</v>
      </c>
      <c r="C151" s="1561" t="n">
        <f aca="false">MAX('Plant Operations'!H151,'Plant Operations'!L151)</f>
        <v>0.92</v>
      </c>
      <c r="D151" s="306" t="n">
        <f aca="false">IF($A151&gt;Endyr,0,AVERAGE(C139:C150))</f>
        <v>0.92</v>
      </c>
      <c r="E151" s="306" t="n">
        <f aca="false">IF(D151&gt;E$10,0,E$10-D151)</f>
        <v>0</v>
      </c>
      <c r="F151" s="1562" t="n">
        <f aca="false">IF(Assm!$F$29=0,'Annex 10-Plant'!G151,'Annex 12-Plant'!T151)</f>
        <v>12907.1389986431</v>
      </c>
      <c r="G151" s="1563" t="n">
        <f aca="false">IF($A151&lt;Startops2,0,IF(Assm!$F$29=0,VLOOKUP($A151,Annex10_Gas_Table,'Annex 10-Gas'!$G$270),VLOOKUP($A151,Annex12_Gas_Table,'Annex 12-Gas'!$J$270)))</f>
        <v>12493.9387745891</v>
      </c>
      <c r="H151" s="1564" t="n">
        <f aca="false">IF($A151&lt;Startops2,0,IF(Assm!$F$29=0,VLOOKUP($A151,Annex10_Gas_Table,'Annex 10-Gas'!$P$270),VLOOKUP($A151,Annex12_Gas_Table,'Annex 12-Gas'!$V$270)))</f>
        <v>9622.23187459193</v>
      </c>
      <c r="I151" s="1563" t="n">
        <f aca="false">SUM(F151:H151)</f>
        <v>35023.3096478242</v>
      </c>
      <c r="J151" s="1563" t="n">
        <f aca="false">E151*I151</f>
        <v>0</v>
      </c>
      <c r="K151" s="1565" t="n">
        <f aca="false">IF(Assm!$L$74=1,VLOOKUP($A151,Curves_Table,Escalation!$D$291),Exch)</f>
        <v>1.065</v>
      </c>
      <c r="L151" s="1566" t="n">
        <f aca="false">J151/K151</f>
        <v>0</v>
      </c>
      <c r="M151" s="1567" t="str">
        <f aca="false">IF(MONTH($A151)=12,SUM(L140:L151)," ")</f>
        <v> </v>
      </c>
    </row>
    <row r="152" customFormat="false" ht="12.75" hidden="false" customHeight="false" outlineLevel="0" collapsed="false">
      <c r="A152" s="1538" t="n">
        <f aca="false">EDATE(A151,1)</f>
        <v>40513</v>
      </c>
      <c r="C152" s="1561" t="n">
        <f aca="false">MAX('Plant Operations'!H152,'Plant Operations'!L152)</f>
        <v>0.92</v>
      </c>
      <c r="D152" s="306" t="n">
        <f aca="false">IF($A152&gt;Endyr,0,AVERAGE(C140:C151))</f>
        <v>0.92</v>
      </c>
      <c r="E152" s="306" t="n">
        <f aca="false">IF(D152&gt;E$10,0,E$10-D152)</f>
        <v>0</v>
      </c>
      <c r="F152" s="1562" t="n">
        <f aca="false">IF(Assm!$F$29=0,'Annex 10-Plant'!G152,'Annex 12-Plant'!T152)</f>
        <v>12931.6631205282</v>
      </c>
      <c r="G152" s="1563" t="n">
        <f aca="false">IF($A152&lt;Startops2,0,IF(Assm!$F$29=0,VLOOKUP($A152,Annex10_Gas_Table,'Annex 10-Gas'!$G$270),VLOOKUP($A152,Annex12_Gas_Table,'Annex 12-Gas'!$J$270)))</f>
        <v>12518.2722208365</v>
      </c>
      <c r="H152" s="1564" t="n">
        <f aca="false">IF($A152&lt;Startops2,0,IF(Assm!$F$29=0,VLOOKUP($A152,Annex10_Gas_Table,'Annex 10-Gas'!$P$270),VLOOKUP($A152,Annex12_Gas_Table,'Annex 12-Gas'!$V$270)))</f>
        <v>9640.97232676835</v>
      </c>
      <c r="I152" s="1563" t="n">
        <f aca="false">SUM(F152:H152)</f>
        <v>35090.9076681331</v>
      </c>
      <c r="J152" s="1563" t="n">
        <f aca="false">E152*I152</f>
        <v>0</v>
      </c>
      <c r="K152" s="1565" t="n">
        <f aca="false">IF(Assm!$L$74=1,VLOOKUP($A152,Curves_Table,Escalation!$D$291),Exch)</f>
        <v>1.065</v>
      </c>
      <c r="L152" s="1566" t="n">
        <f aca="false">J152/K152</f>
        <v>0</v>
      </c>
      <c r="M152" s="1567" t="n">
        <f aca="false">IF(MONTH($A152)=12,SUM(L141:L152)," ")</f>
        <v>0</v>
      </c>
    </row>
    <row r="153" customFormat="false" ht="12.75" hidden="false" customHeight="false" outlineLevel="0" collapsed="false">
      <c r="A153" s="1538" t="n">
        <f aca="false">EDATE(A152,1)</f>
        <v>40544</v>
      </c>
      <c r="C153" s="1561" t="n">
        <f aca="false">MAX('Plant Operations'!H153,'Plant Operations'!L153)</f>
        <v>0.92</v>
      </c>
      <c r="D153" s="306" t="n">
        <f aca="false">IF($A153&gt;Endyr,0,AVERAGE(C141:C152))</f>
        <v>0.92</v>
      </c>
      <c r="E153" s="306" t="n">
        <f aca="false">IF(D153&gt;E$10,0,E$10-D153)</f>
        <v>0</v>
      </c>
      <c r="F153" s="1562" t="n">
        <f aca="false">IF(Assm!$F$29=0,'Annex 10-Plant'!G153,'Annex 12-Plant'!T153)</f>
        <v>12953.5516033481</v>
      </c>
      <c r="G153" s="1563" t="n">
        <f aca="false">IF($A153&lt;Startops2,0,IF(Assm!$F$29=0,VLOOKUP($A153,Annex10_Gas_Table,'Annex 10-Gas'!$G$270),VLOOKUP($A153,Annex12_Gas_Table,'Annex 12-Gas'!$J$270)))</f>
        <v>12539.9905201758</v>
      </c>
      <c r="H153" s="1564" t="n">
        <f aca="false">IF($A153&lt;Startops2,0,IF(Assm!$F$29=0,VLOOKUP($A153,Annex10_Gas_Table,'Annex 10-Gas'!$P$270),VLOOKUP($A153,Annex12_Gas_Table,'Annex 12-Gas'!$V$270)))</f>
        <v>9657.69871833589</v>
      </c>
      <c r="I153" s="1563" t="n">
        <f aca="false">SUM(F153:H153)</f>
        <v>35151.2408418598</v>
      </c>
      <c r="J153" s="1563" t="n">
        <f aca="false">E153*I153</f>
        <v>0</v>
      </c>
      <c r="K153" s="1565" t="n">
        <f aca="false">IF(Assm!$L$74=1,VLOOKUP($A153,Curves_Table,Escalation!$D$291),Exch)</f>
        <v>1.065</v>
      </c>
      <c r="L153" s="1566" t="n">
        <f aca="false">J153/K153</f>
        <v>0</v>
      </c>
      <c r="M153" s="1567" t="str">
        <f aca="false">IF(MONTH($A153)=12,SUM(L142:L153)," ")</f>
        <v> </v>
      </c>
    </row>
    <row r="154" customFormat="false" ht="12.75" hidden="false" customHeight="false" outlineLevel="0" collapsed="false">
      <c r="A154" s="1538" t="n">
        <f aca="false">EDATE(A153,1)</f>
        <v>40575</v>
      </c>
      <c r="C154" s="1561" t="n">
        <f aca="false">MAX('Plant Operations'!H154,'Plant Operations'!L154)</f>
        <v>0.92</v>
      </c>
      <c r="D154" s="306" t="n">
        <f aca="false">IF($A154&gt;Endyr,0,AVERAGE(C142:C153))</f>
        <v>0.92</v>
      </c>
      <c r="E154" s="306" t="n">
        <f aca="false">IF(D154&gt;E$10,0,E$10-D154)</f>
        <v>0</v>
      </c>
      <c r="F154" s="1562" t="n">
        <f aca="false">IF(Assm!$F$29=0,'Annex 10-Plant'!G154,'Annex 12-Plant'!T154)</f>
        <v>12975.4780611068</v>
      </c>
      <c r="G154" s="1563" t="n">
        <f aca="false">IF($A154&lt;Startops2,0,IF(Assm!$F$29=0,VLOOKUP($A154,Annex10_Gas_Table,'Annex 10-Gas'!$G$270),VLOOKUP($A154,Annex12_Gas_Table,'Annex 12-Gas'!$J$270)))</f>
        <v>12561.7464991979</v>
      </c>
      <c r="H154" s="1564" t="n">
        <f aca="false">IF($A154&lt;Startops2,0,IF(Assm!$F$29=0,VLOOKUP($A154,Annex10_Gas_Table,'Annex 10-Gas'!$P$270),VLOOKUP($A154,Annex12_Gas_Table,'Annex 12-Gas'!$V$270)))</f>
        <v>9674.4541289863</v>
      </c>
      <c r="I154" s="1563" t="n">
        <f aca="false">SUM(F154:H154)</f>
        <v>35211.678689291</v>
      </c>
      <c r="J154" s="1563" t="n">
        <f aca="false">E154*I154</f>
        <v>0</v>
      </c>
      <c r="K154" s="1565" t="n">
        <f aca="false">IF(Assm!$L$74=1,VLOOKUP($A154,Curves_Table,Escalation!$D$291),Exch)</f>
        <v>1.065</v>
      </c>
      <c r="L154" s="1566" t="n">
        <f aca="false">J154/K154</f>
        <v>0</v>
      </c>
      <c r="M154" s="1567" t="str">
        <f aca="false">IF(MONTH($A154)=12,SUM(L143:L154)," ")</f>
        <v> </v>
      </c>
    </row>
    <row r="155" customFormat="false" ht="12.75" hidden="false" customHeight="false" outlineLevel="0" collapsed="false">
      <c r="A155" s="1538" t="n">
        <f aca="false">EDATE(A154,1)</f>
        <v>40603</v>
      </c>
      <c r="C155" s="1561" t="n">
        <f aca="false">MAX('Plant Operations'!H155,'Plant Operations'!L155)</f>
        <v>0.92</v>
      </c>
      <c r="D155" s="306" t="n">
        <f aca="false">IF($A155&gt;Endyr,0,AVERAGE(C143:C154))</f>
        <v>0.92</v>
      </c>
      <c r="E155" s="306" t="n">
        <f aca="false">IF(D155&gt;E$10,0,E$10-D155)</f>
        <v>0</v>
      </c>
      <c r="F155" s="1562" t="n">
        <f aca="false">IF(Assm!$F$29=0,'Annex 10-Plant'!G155,'Annex 12-Plant'!T155)</f>
        <v>12997.4425596881</v>
      </c>
      <c r="G155" s="1563" t="n">
        <f aca="false">IF($A155&lt;Startops2,0,IF(Assm!$F$29=0,VLOOKUP($A155,Annex10_Gas_Table,'Annex 10-Gas'!$G$270),VLOOKUP($A155,Annex12_Gas_Table,'Annex 12-Gas'!$J$270)))</f>
        <v>12583.5402232743</v>
      </c>
      <c r="H155" s="1564" t="n">
        <f aca="false">IF($A155&lt;Startops2,0,IF(Assm!$F$29=0,VLOOKUP($A155,Annex10_Gas_Table,'Annex 10-Gas'!$P$270),VLOOKUP($A155,Annex12_Gas_Table,'Annex 12-Gas'!$V$270)))</f>
        <v>9691.2386090656</v>
      </c>
      <c r="I155" s="1563" t="n">
        <f aca="false">SUM(F155:H155)</f>
        <v>35272.221392028</v>
      </c>
      <c r="J155" s="1563" t="n">
        <f aca="false">E155*I155</f>
        <v>0</v>
      </c>
      <c r="K155" s="1565" t="n">
        <f aca="false">IF(Assm!$L$74=1,VLOOKUP($A155,Curves_Table,Escalation!$D$291),Exch)</f>
        <v>1.065</v>
      </c>
      <c r="L155" s="1566" t="n">
        <f aca="false">J155/K155</f>
        <v>0</v>
      </c>
      <c r="M155" s="1567" t="str">
        <f aca="false">IF(MONTH($A155)=12,SUM(L144:L155)," ")</f>
        <v> </v>
      </c>
    </row>
    <row r="156" customFormat="false" ht="12.75" hidden="false" customHeight="false" outlineLevel="0" collapsed="false">
      <c r="A156" s="1538" t="n">
        <f aca="false">EDATE(A155,1)</f>
        <v>40634</v>
      </c>
      <c r="C156" s="1561" t="n">
        <f aca="false">MAX('Plant Operations'!H156,'Plant Operations'!L156)</f>
        <v>0.92</v>
      </c>
      <c r="D156" s="306" t="n">
        <f aca="false">IF($A156&gt;Endyr,0,AVERAGE(C144:C155))</f>
        <v>0.92</v>
      </c>
      <c r="E156" s="306" t="n">
        <f aca="false">IF(D156&gt;E$10,0,E$10-D156)</f>
        <v>0</v>
      </c>
      <c r="F156" s="1562" t="n">
        <f aca="false">IF(Assm!$F$29=0,'Annex 10-Plant'!G156,'Annex 12-Plant'!T156)</f>
        <v>13019.4451650902</v>
      </c>
      <c r="G156" s="1563" t="n">
        <f aca="false">IF($A156&lt;Startops2,0,IF(Assm!$F$29=0,VLOOKUP($A156,Annex10_Gas_Table,'Annex 10-Gas'!$G$270),VLOOKUP($A156,Annex12_Gas_Table,'Annex 12-Gas'!$J$270)))</f>
        <v>12605.37175789</v>
      </c>
      <c r="H156" s="1564" t="n">
        <f aca="false">IF($A156&lt;Startops2,0,IF(Assm!$F$29=0,VLOOKUP($A156,Annex10_Gas_Table,'Annex 10-Gas'!$P$270),VLOOKUP($A156,Annex12_Gas_Table,'Annex 12-Gas'!$V$270)))</f>
        <v>9708.05220900714</v>
      </c>
      <c r="I156" s="1563" t="n">
        <f aca="false">SUM(F156:H156)</f>
        <v>35332.8691319873</v>
      </c>
      <c r="J156" s="1563" t="n">
        <f aca="false">E156*I156</f>
        <v>0</v>
      </c>
      <c r="K156" s="1565" t="n">
        <f aca="false">IF(Assm!$L$74=1,VLOOKUP($A156,Curves_Table,Escalation!$D$291),Exch)</f>
        <v>1.065</v>
      </c>
      <c r="L156" s="1566" t="n">
        <f aca="false">J156/K156</f>
        <v>0</v>
      </c>
      <c r="M156" s="1567" t="str">
        <f aca="false">IF(MONTH($A156)=12,SUM(L145:L156)," ")</f>
        <v> </v>
      </c>
    </row>
    <row r="157" customFormat="false" ht="12.75" hidden="false" customHeight="false" outlineLevel="0" collapsed="false">
      <c r="A157" s="1538" t="n">
        <f aca="false">EDATE(A156,1)</f>
        <v>40664</v>
      </c>
      <c r="C157" s="1561" t="n">
        <f aca="false">MAX('Plant Operations'!H157,'Plant Operations'!L157)</f>
        <v>0.92</v>
      </c>
      <c r="D157" s="306" t="n">
        <f aca="false">IF($A157&gt;Endyr,0,AVERAGE(C145:C156))</f>
        <v>0.92</v>
      </c>
      <c r="E157" s="306" t="n">
        <f aca="false">IF(D157&gt;E$10,0,E$10-D157)</f>
        <v>0</v>
      </c>
      <c r="F157" s="1562" t="n">
        <f aca="false">IF(Assm!$F$29=0,'Annex 10-Plant'!G157,'Annex 12-Plant'!T157)</f>
        <v>12611.7834796306</v>
      </c>
      <c r="G157" s="1563" t="n">
        <f aca="false">IF($A157&lt;Startops2,0,IF(Assm!$F$29=0,VLOOKUP($A157,Annex10_Gas_Table,'Annex 10-Gas'!$G$270),VLOOKUP($A157,Annex12_Gas_Table,'Annex 12-Gas'!$J$270)))</f>
        <v>12924.2620159788</v>
      </c>
      <c r="H157" s="1564" t="n">
        <f aca="false">IF($A157&lt;Startops2,0,IF(Assm!$F$29=0,VLOOKUP($A157,Annex10_Gas_Table,'Annex 10-Gas'!$P$270),VLOOKUP($A157,Annex12_Gas_Table,'Annex 12-Gas'!$V$270)))</f>
        <v>9844.59741549016</v>
      </c>
      <c r="I157" s="1563" t="n">
        <f aca="false">SUM(F157:H157)</f>
        <v>35380.6429110996</v>
      </c>
      <c r="J157" s="1563" t="n">
        <f aca="false">E157*I157</f>
        <v>0</v>
      </c>
      <c r="K157" s="1565" t="n">
        <f aca="false">IF(Assm!$L$74=1,VLOOKUP($A157,Curves_Table,Escalation!$D$291),Exch)</f>
        <v>1.065</v>
      </c>
      <c r="L157" s="1566" t="n">
        <f aca="false">J157/K157</f>
        <v>0</v>
      </c>
      <c r="M157" s="1567" t="str">
        <f aca="false">IF(MONTH($A157)=12,SUM(L146:L157)," ")</f>
        <v> </v>
      </c>
    </row>
    <row r="158" customFormat="false" ht="12.75" hidden="false" customHeight="false" outlineLevel="0" collapsed="false">
      <c r="A158" s="1538" t="n">
        <f aca="false">EDATE(A157,1)</f>
        <v>40695</v>
      </c>
      <c r="C158" s="1561" t="n">
        <f aca="false">MAX('Plant Operations'!H158,'Plant Operations'!L158)</f>
        <v>0.92</v>
      </c>
      <c r="D158" s="306" t="n">
        <f aca="false">IF($A158&gt;Endyr,0,AVERAGE(C146:C157))</f>
        <v>0.92</v>
      </c>
      <c r="E158" s="306" t="n">
        <f aca="false">IF(D158&gt;E$10,0,E$10-D158)</f>
        <v>0</v>
      </c>
      <c r="F158" s="1562" t="n">
        <f aca="false">IF(Assm!$F$29=0,'Annex 10-Plant'!G158,'Annex 12-Plant'!T158)</f>
        <v>12633.1515076826</v>
      </c>
      <c r="G158" s="1563" t="n">
        <f aca="false">IF($A158&lt;Startops2,0,IF(Assm!$F$29=0,VLOOKUP($A158,Annex10_Gas_Table,'Annex 10-Gas'!$G$270),VLOOKUP($A158,Annex12_Gas_Table,'Annex 12-Gas'!$J$270)))</f>
        <v>12946.684678328</v>
      </c>
      <c r="H158" s="1564" t="n">
        <f aca="false">IF($A158&lt;Startops2,0,IF(Assm!$F$29=0,VLOOKUP($A158,Annex10_Gas_Table,'Annex 10-Gas'!$P$270),VLOOKUP($A158,Annex12_Gas_Table,'Annex 12-Gas'!$V$270)))</f>
        <v>9861.67708189882</v>
      </c>
      <c r="I158" s="1563" t="n">
        <f aca="false">SUM(F158:H158)</f>
        <v>35441.5132679094</v>
      </c>
      <c r="J158" s="1563" t="n">
        <f aca="false">E158*I158</f>
        <v>0</v>
      </c>
      <c r="K158" s="1565" t="n">
        <f aca="false">IF(Assm!$L$74=1,VLOOKUP($A158,Curves_Table,Escalation!$D$291),Exch)</f>
        <v>1.065</v>
      </c>
      <c r="L158" s="1566" t="n">
        <f aca="false">J158/K158</f>
        <v>0</v>
      </c>
      <c r="M158" s="1567" t="str">
        <f aca="false">IF(MONTH($A158)=12,SUM(L147:L158)," ")</f>
        <v> </v>
      </c>
    </row>
    <row r="159" customFormat="false" ht="12.75" hidden="false" customHeight="false" outlineLevel="0" collapsed="false">
      <c r="A159" s="1538" t="n">
        <f aca="false">EDATE(A158,1)</f>
        <v>40725</v>
      </c>
      <c r="C159" s="1561" t="n">
        <f aca="false">MAX('Plant Operations'!H159,'Plant Operations'!L159)</f>
        <v>0.92</v>
      </c>
      <c r="D159" s="306" t="n">
        <f aca="false">IF($A159&gt;Endyr,0,AVERAGE(C147:C158))</f>
        <v>0.92</v>
      </c>
      <c r="E159" s="306" t="n">
        <f aca="false">IF(D159&gt;E$10,0,E$10-D159)</f>
        <v>0</v>
      </c>
      <c r="F159" s="1562" t="n">
        <f aca="false">IF(Assm!$F$29=0,'Annex 10-Plant'!G159,'Annex 12-Plant'!T159)</f>
        <v>12654.5566077219</v>
      </c>
      <c r="G159" s="1563" t="n">
        <f aca="false">IF($A159&lt;Startops2,0,IF(Assm!$F$29=0,VLOOKUP($A159,Annex10_Gas_Table,'Annex 10-Gas'!$G$270),VLOOKUP($A159,Annex12_Gas_Table,'Annex 12-Gas'!$J$270)))</f>
        <v>12969.1462423789</v>
      </c>
      <c r="H159" s="1564" t="n">
        <f aca="false">IF($A159&lt;Startops2,0,IF(Assm!$F$29=0,VLOOKUP($A159,Annex10_Gas_Table,'Annex 10-Gas'!$P$270),VLOOKUP($A159,Annex12_Gas_Table,'Annex 12-Gas'!$V$270)))</f>
        <v>9878.78638029671</v>
      </c>
      <c r="I159" s="1563" t="n">
        <f aca="false">SUM(F159:H159)</f>
        <v>35502.4892303975</v>
      </c>
      <c r="J159" s="1563" t="n">
        <f aca="false">E159*I159</f>
        <v>0</v>
      </c>
      <c r="K159" s="1565" t="n">
        <f aca="false">IF(Assm!$L$74=1,VLOOKUP($A159,Curves_Table,Escalation!$D$291),Exch)</f>
        <v>1.065</v>
      </c>
      <c r="L159" s="1566" t="n">
        <f aca="false">J159/K159</f>
        <v>0</v>
      </c>
      <c r="M159" s="1567" t="str">
        <f aca="false">IF(MONTH($A159)=12,SUM(L148:L159)," ")</f>
        <v> </v>
      </c>
    </row>
    <row r="160" customFormat="false" ht="12.75" hidden="false" customHeight="false" outlineLevel="0" collapsed="false">
      <c r="A160" s="1538" t="n">
        <f aca="false">EDATE(A159,1)</f>
        <v>40756</v>
      </c>
      <c r="C160" s="1561" t="n">
        <f aca="false">MAX('Plant Operations'!H160,'Plant Operations'!L160)</f>
        <v>0.92</v>
      </c>
      <c r="D160" s="306" t="n">
        <f aca="false">IF($A160&gt;Endyr,0,AVERAGE(C148:C159))</f>
        <v>0.92</v>
      </c>
      <c r="E160" s="306" t="n">
        <f aca="false">IF(D160&gt;E$10,0,E$10-D160)</f>
        <v>0</v>
      </c>
      <c r="F160" s="1562" t="n">
        <f aca="false">IF(Assm!$F$29=0,'Annex 10-Plant'!G160,'Annex 12-Plant'!T160)</f>
        <v>12675.9988440658</v>
      </c>
      <c r="G160" s="1563" t="n">
        <f aca="false">IF($A160&lt;Startops2,0,IF(Assm!$F$29=0,VLOOKUP($A160,Annex10_Gas_Table,'Annex 10-Gas'!$G$270),VLOOKUP($A160,Annex12_Gas_Table,'Annex 12-Gas'!$J$270)))</f>
        <v>12991.6467756233</v>
      </c>
      <c r="H160" s="1564" t="n">
        <f aca="false">IF($A160&lt;Startops2,0,IF(Assm!$F$29=0,VLOOKUP($A160,Annex10_Gas_Table,'Annex 10-Gas'!$P$270),VLOOKUP($A160,Annex12_Gas_Table,'Annex 12-Gas'!$V$270)))</f>
        <v>9895.9253620932</v>
      </c>
      <c r="I160" s="1563" t="n">
        <f aca="false">SUM(F160:H160)</f>
        <v>35563.5709817823</v>
      </c>
      <c r="J160" s="1563" t="n">
        <f aca="false">E160*I160</f>
        <v>0</v>
      </c>
      <c r="K160" s="1565" t="n">
        <f aca="false">IF(Assm!$L$74=1,VLOOKUP($A160,Curves_Table,Escalation!$D$291),Exch)</f>
        <v>1.065</v>
      </c>
      <c r="L160" s="1566" t="n">
        <f aca="false">J160/K160</f>
        <v>0</v>
      </c>
      <c r="M160" s="1567" t="str">
        <f aca="false">IF(MONTH($A160)=12,SUM(L149:L160)," ")</f>
        <v> </v>
      </c>
    </row>
    <row r="161" customFormat="false" ht="12.75" hidden="false" customHeight="false" outlineLevel="0" collapsed="false">
      <c r="A161" s="1538" t="n">
        <f aca="false">EDATE(A160,1)</f>
        <v>40787</v>
      </c>
      <c r="C161" s="1561" t="n">
        <f aca="false">MAX('Plant Operations'!H161,'Plant Operations'!L161)</f>
        <v>0.92</v>
      </c>
      <c r="D161" s="306" t="n">
        <f aca="false">IF($A161&gt;Endyr,0,AVERAGE(C149:C160))</f>
        <v>0.92</v>
      </c>
      <c r="E161" s="306" t="n">
        <f aca="false">IF(D161&gt;E$10,0,E$10-D161)</f>
        <v>0</v>
      </c>
      <c r="F161" s="1562" t="n">
        <f aca="false">IF(Assm!$F$29=0,'Annex 10-Plant'!G161,'Annex 12-Plant'!T161)</f>
        <v>12697.4782811431</v>
      </c>
      <c r="G161" s="1563" t="n">
        <f aca="false">IF($A161&lt;Startops2,0,IF(Assm!$F$29=0,VLOOKUP($A161,Annex10_Gas_Table,'Annex 10-Gas'!$G$270),VLOOKUP($A161,Annex12_Gas_Table,'Annex 12-Gas'!$J$270)))</f>
        <v>13014.1863456699</v>
      </c>
      <c r="H161" s="1564" t="n">
        <f aca="false">IF($A161&lt;Startops2,0,IF(Assm!$F$29=0,VLOOKUP($A161,Annex10_Gas_Table,'Annex 10-Gas'!$P$270),VLOOKUP($A161,Annex12_Gas_Table,'Annex 12-Gas'!$V$270)))</f>
        <v>9913.09407878684</v>
      </c>
      <c r="I161" s="1563" t="n">
        <f aca="false">SUM(F161:H161)</f>
        <v>35624.7587055998</v>
      </c>
      <c r="J161" s="1563" t="n">
        <f aca="false">E161*I161</f>
        <v>0</v>
      </c>
      <c r="K161" s="1565" t="n">
        <f aca="false">IF(Assm!$L$74=1,VLOOKUP($A161,Curves_Table,Escalation!$D$291),Exch)</f>
        <v>1.065</v>
      </c>
      <c r="L161" s="1566" t="n">
        <f aca="false">J161/K161</f>
        <v>0</v>
      </c>
      <c r="M161" s="1567" t="str">
        <f aca="false">IF(MONTH($A161)=12,SUM(L150:L161)," ")</f>
        <v> </v>
      </c>
    </row>
    <row r="162" customFormat="false" ht="12.75" hidden="false" customHeight="false" outlineLevel="0" collapsed="false">
      <c r="A162" s="1538" t="n">
        <f aca="false">EDATE(A161,1)</f>
        <v>40817</v>
      </c>
      <c r="C162" s="1561" t="n">
        <f aca="false">MAX('Plant Operations'!H162,'Plant Operations'!L162)</f>
        <v>0.92</v>
      </c>
      <c r="D162" s="306" t="n">
        <f aca="false">IF($A162&gt;Endyr,0,AVERAGE(C150:C161))</f>
        <v>0.92</v>
      </c>
      <c r="E162" s="306" t="n">
        <f aca="false">IF(D162&gt;E$10,0,E$10-D162)</f>
        <v>0</v>
      </c>
      <c r="F162" s="1562" t="n">
        <f aca="false">IF(Assm!$F$29=0,'Annex 10-Plant'!G162,'Annex 12-Plant'!T162)</f>
        <v>12718.9949834943</v>
      </c>
      <c r="G162" s="1563" t="n">
        <f aca="false">IF($A162&lt;Startops2,0,IF(Assm!$F$29=0,VLOOKUP($A162,Annex10_Gas_Table,'Annex 10-Gas'!$G$270),VLOOKUP($A162,Annex12_Gas_Table,'Annex 12-Gas'!$J$270)))</f>
        <v>13036.7650202447</v>
      </c>
      <c r="H162" s="1564" t="n">
        <f aca="false">IF($A162&lt;Startops2,0,IF(Assm!$F$29=0,VLOOKUP($A162,Annex10_Gas_Table,'Annex 10-Gas'!$P$270),VLOOKUP($A162,Annex12_Gas_Table,'Annex 12-Gas'!$V$270)))</f>
        <v>9930.29258196555</v>
      </c>
      <c r="I162" s="1563" t="n">
        <f aca="false">SUM(F162:H162)</f>
        <v>35686.0525857046</v>
      </c>
      <c r="J162" s="1563" t="n">
        <f aca="false">E162*I162</f>
        <v>0</v>
      </c>
      <c r="K162" s="1565" t="n">
        <f aca="false">IF(Assm!$L$74=1,VLOOKUP($A162,Curves_Table,Escalation!$D$291),Exch)</f>
        <v>1.065</v>
      </c>
      <c r="L162" s="1566" t="n">
        <f aca="false">J162/K162</f>
        <v>0</v>
      </c>
      <c r="M162" s="1567" t="str">
        <f aca="false">IF(MONTH($A162)=12,SUM(L151:L162)," ")</f>
        <v> </v>
      </c>
    </row>
    <row r="163" customFormat="false" ht="12.75" hidden="false" customHeight="false" outlineLevel="0" collapsed="false">
      <c r="A163" s="1538" t="n">
        <f aca="false">EDATE(A162,1)</f>
        <v>40848</v>
      </c>
      <c r="C163" s="1561" t="n">
        <f aca="false">MAX('Plant Operations'!H163,'Plant Operations'!L163)</f>
        <v>0.92</v>
      </c>
      <c r="D163" s="306" t="n">
        <f aca="false">IF($A163&gt;Endyr,0,AVERAGE(C151:C162))</f>
        <v>0.92</v>
      </c>
      <c r="E163" s="306" t="n">
        <f aca="false">IF(D163&gt;E$10,0,E$10-D163)</f>
        <v>0</v>
      </c>
      <c r="F163" s="1562" t="n">
        <f aca="false">IF(Assm!$F$29=0,'Annex 10-Plant'!G163,'Annex 12-Plant'!T163)</f>
        <v>12740.5490157722</v>
      </c>
      <c r="G163" s="1563" t="n">
        <f aca="false">IF($A163&lt;Startops2,0,IF(Assm!$F$29=0,VLOOKUP($A163,Annex10_Gas_Table,'Annex 10-Gas'!$G$270),VLOOKUP($A163,Annex12_Gas_Table,'Annex 12-Gas'!$J$270)))</f>
        <v>13059.3828671912</v>
      </c>
      <c r="H163" s="1564" t="n">
        <f aca="false">IF($A163&lt;Startops2,0,IF(Assm!$F$29=0,VLOOKUP($A163,Annex10_Gas_Table,'Annex 10-Gas'!$P$270),VLOOKUP($A163,Annex12_Gas_Table,'Annex 12-Gas'!$V$270)))</f>
        <v>9947.5209233067</v>
      </c>
      <c r="I163" s="1563" t="n">
        <f aca="false">SUM(F163:H163)</f>
        <v>35747.4528062701</v>
      </c>
      <c r="J163" s="1563" t="n">
        <f aca="false">E163*I163</f>
        <v>0</v>
      </c>
      <c r="K163" s="1565" t="n">
        <f aca="false">IF(Assm!$L$74=1,VLOOKUP($A163,Curves_Table,Escalation!$D$291),Exch)</f>
        <v>1.065</v>
      </c>
      <c r="L163" s="1566" t="n">
        <f aca="false">J163/K163</f>
        <v>0</v>
      </c>
      <c r="M163" s="1567" t="str">
        <f aca="false">IF(MONTH($A163)=12,SUM(L152:L163)," ")</f>
        <v> </v>
      </c>
    </row>
    <row r="164" customFormat="false" ht="12.75" hidden="false" customHeight="false" outlineLevel="0" collapsed="false">
      <c r="A164" s="1538" t="n">
        <f aca="false">EDATE(A163,1)</f>
        <v>40878</v>
      </c>
      <c r="C164" s="1561" t="n">
        <f aca="false">MAX('Plant Operations'!H164,'Plant Operations'!L164)</f>
        <v>0.92</v>
      </c>
      <c r="D164" s="306" t="n">
        <f aca="false">IF($A164&gt;Endyr,0,AVERAGE(C152:C163))</f>
        <v>0.92</v>
      </c>
      <c r="E164" s="306" t="n">
        <f aca="false">IF(D164&gt;E$10,0,E$10-D164)</f>
        <v>0</v>
      </c>
      <c r="F164" s="1562" t="n">
        <f aca="false">IF(Assm!$F$29=0,'Annex 10-Plant'!G164,'Annex 12-Plant'!T164)</f>
        <v>12762.1404427413</v>
      </c>
      <c r="G164" s="1563" t="n">
        <f aca="false">IF($A164&lt;Startops2,0,IF(Assm!$F$29=0,VLOOKUP($A164,Annex10_Gas_Table,'Annex 10-Gas'!$G$270),VLOOKUP($A164,Annex12_Gas_Table,'Annex 12-Gas'!$J$270)))</f>
        <v>13082.0399544708</v>
      </c>
      <c r="H164" s="1564" t="n">
        <f aca="false">IF($A164&lt;Startops2,0,IF(Assm!$F$29=0,VLOOKUP($A164,Annex10_Gas_Table,'Annex 10-Gas'!$P$270),VLOOKUP($A164,Annex12_Gas_Table,'Annex 12-Gas'!$V$270)))</f>
        <v>9964.77915457739</v>
      </c>
      <c r="I164" s="1563" t="n">
        <f aca="false">SUM(F164:H164)</f>
        <v>35808.9595517894</v>
      </c>
      <c r="J164" s="1563" t="n">
        <f aca="false">E164*I164</f>
        <v>0</v>
      </c>
      <c r="K164" s="1565" t="n">
        <f aca="false">IF(Assm!$L$74=1,VLOOKUP($A164,Curves_Table,Escalation!$D$291),Exch)</f>
        <v>1.065</v>
      </c>
      <c r="L164" s="1566" t="n">
        <f aca="false">J164/K164</f>
        <v>0</v>
      </c>
      <c r="M164" s="1567" t="n">
        <f aca="false">IF(MONTH($A164)=12,SUM(L153:L164)," ")</f>
        <v>0</v>
      </c>
    </row>
    <row r="165" customFormat="false" ht="12.75" hidden="false" customHeight="false" outlineLevel="0" collapsed="false">
      <c r="A165" s="1538" t="n">
        <f aca="false">EDATE(A164,1)</f>
        <v>40909</v>
      </c>
      <c r="C165" s="1561" t="n">
        <f aca="false">MAX('Plant Operations'!H165,'Plant Operations'!L165)</f>
        <v>0.92</v>
      </c>
      <c r="D165" s="306" t="n">
        <f aca="false">IF($A165&gt;Endyr,0,AVERAGE(C153:C164))</f>
        <v>0.92</v>
      </c>
      <c r="E165" s="306" t="n">
        <f aca="false">IF(D165&gt;E$10,0,E$10-D165)</f>
        <v>0</v>
      </c>
      <c r="F165" s="1562" t="n">
        <f aca="false">IF(Assm!$F$29=0,'Annex 10-Plant'!G165,'Annex 12-Plant'!T165)</f>
        <v>0</v>
      </c>
      <c r="G165" s="1563" t="n">
        <f aca="false">IF($A165&lt;Startops2,0,IF(Assm!$F$29=0,VLOOKUP($A165,Annex10_Gas_Table,'Annex 10-Gas'!$G$270),VLOOKUP($A165,Annex12_Gas_Table,'Annex 12-Gas'!$J$270)))</f>
        <v>13103.6338012168</v>
      </c>
      <c r="H165" s="1564" t="n">
        <f aca="false">IF($A165&lt;Startops2,0,IF(Assm!$F$29=0,VLOOKUP($A165,Annex10_Gas_Table,'Annex 10-Gas'!$P$270),VLOOKUP($A165,Annex12_Gas_Table,'Annex 12-Gas'!$V$270)))</f>
        <v>9981.22750014665</v>
      </c>
      <c r="I165" s="1563" t="n">
        <f aca="false">SUM(F165:H165)</f>
        <v>23084.8613013634</v>
      </c>
      <c r="J165" s="1563" t="n">
        <f aca="false">E165*I165</f>
        <v>0</v>
      </c>
      <c r="K165" s="1565" t="n">
        <f aca="false">IF(Assm!$L$74=1,VLOOKUP($A165,Curves_Table,Escalation!$D$291),Exch)</f>
        <v>1.065</v>
      </c>
      <c r="L165" s="1566" t="n">
        <f aca="false">J165/K165</f>
        <v>0</v>
      </c>
      <c r="M165" s="1567" t="str">
        <f aca="false">IF(MONTH($A165)=12,SUM(L154:L165)," ")</f>
        <v> </v>
      </c>
    </row>
    <row r="166" customFormat="false" ht="12.75" hidden="false" customHeight="false" outlineLevel="0" collapsed="false">
      <c r="A166" s="1538" t="n">
        <f aca="false">EDATE(A165,1)</f>
        <v>40940</v>
      </c>
      <c r="C166" s="1561" t="n">
        <f aca="false">MAX('Plant Operations'!H166,'Plant Operations'!L166)</f>
        <v>0.92</v>
      </c>
      <c r="D166" s="306" t="n">
        <f aca="false">IF($A166&gt;Endyr,0,AVERAGE(C154:C165))</f>
        <v>0.92</v>
      </c>
      <c r="E166" s="306" t="n">
        <f aca="false">IF(D166&gt;E$10,0,E$10-D166)</f>
        <v>0</v>
      </c>
      <c r="F166" s="1562" t="n">
        <f aca="false">IF(Assm!$F$29=0,'Annex 10-Plant'!G166,'Annex 12-Plant'!T166)</f>
        <v>12803.33080053</v>
      </c>
      <c r="G166" s="1563" t="n">
        <f aca="false">IF($A166&lt;Startops2,0,IF(Assm!$F$29=0,VLOOKUP($A166,Annex10_Gas_Table,'Annex 10-Gas'!$G$270),VLOOKUP($A166,Annex12_Gas_Table,'Annex 12-Gas'!$J$270)))</f>
        <v>13125.2632918088</v>
      </c>
      <c r="H166" s="1564" t="n">
        <f aca="false">IF($A166&lt;Startops2,0,IF(Assm!$F$29=0,VLOOKUP($A166,Annex10_Gas_Table,'Annex 10-Gas'!$P$270),VLOOKUP($A166,Annex12_Gas_Table,'Annex 12-Gas'!$V$270)))</f>
        <v>9997.70299614922</v>
      </c>
      <c r="I166" s="1563" t="n">
        <f aca="false">SUM(F166:H166)</f>
        <v>35926.297088488</v>
      </c>
      <c r="J166" s="1563" t="n">
        <f aca="false">E166*I166</f>
        <v>0</v>
      </c>
      <c r="K166" s="1565" t="n">
        <f aca="false">IF(Assm!$L$74=1,VLOOKUP($A166,Curves_Table,Escalation!$D$291),Exch)</f>
        <v>1.065</v>
      </c>
      <c r="L166" s="1566" t="n">
        <f aca="false">J166/K166</f>
        <v>0</v>
      </c>
      <c r="M166" s="1567" t="str">
        <f aca="false">IF(MONTH($A166)=12,SUM(L155:L166)," ")</f>
        <v> </v>
      </c>
    </row>
    <row r="167" customFormat="false" ht="12.75" hidden="false" customHeight="false" outlineLevel="0" collapsed="false">
      <c r="A167" s="1538" t="n">
        <f aca="false">EDATE(A166,1)</f>
        <v>40969</v>
      </c>
      <c r="C167" s="1561" t="n">
        <f aca="false">MAX('Plant Operations'!H167,'Plant Operations'!L167)</f>
        <v>0.92</v>
      </c>
      <c r="D167" s="306" t="n">
        <f aca="false">IF($A167&gt;Endyr,0,AVERAGE(C155:C166))</f>
        <v>0.92</v>
      </c>
      <c r="E167" s="306" t="n">
        <f aca="false">IF(D167&gt;E$10,0,E$10-D167)</f>
        <v>0</v>
      </c>
      <c r="F167" s="1562" t="n">
        <f aca="false">IF(Assm!$F$29=0,'Annex 10-Plant'!G167,'Annex 12-Plant'!T167)</f>
        <v>12823.9769865363</v>
      </c>
      <c r="G167" s="1563" t="n">
        <f aca="false">IF($A167&lt;Startops2,0,IF(Assm!$F$29=0,VLOOKUP($A167,Annex10_Gas_Table,'Annex 10-Gas'!$G$270),VLOOKUP($A167,Annex12_Gas_Table,'Annex 12-Gas'!$J$270)))</f>
        <v>13146.9284850823</v>
      </c>
      <c r="H167" s="1564" t="n">
        <f aca="false">IF($A167&lt;Startops2,0,IF(Assm!$F$29=0,VLOOKUP($A167,Annex10_Gas_Table,'Annex 10-Gas'!$P$270),VLOOKUP($A167,Annex12_Gas_Table,'Annex 12-Gas'!$V$270)))</f>
        <v>10014.2056874009</v>
      </c>
      <c r="I167" s="1563" t="n">
        <f aca="false">SUM(F167:H167)</f>
        <v>35985.1111590195</v>
      </c>
      <c r="J167" s="1563" t="n">
        <f aca="false">E167*I167</f>
        <v>0</v>
      </c>
      <c r="K167" s="1565" t="n">
        <f aca="false">IF(Assm!$L$74=1,VLOOKUP($A167,Curves_Table,Escalation!$D$291),Exch)</f>
        <v>1.065</v>
      </c>
      <c r="L167" s="1566" t="n">
        <f aca="false">J167/K167</f>
        <v>0</v>
      </c>
      <c r="M167" s="1567" t="str">
        <f aca="false">IF(MONTH($A167)=12,SUM(L156:L167)," ")</f>
        <v> </v>
      </c>
    </row>
    <row r="168" customFormat="false" ht="12.75" hidden="false" customHeight="false" outlineLevel="0" collapsed="false">
      <c r="A168" s="1538" t="n">
        <f aca="false">EDATE(A167,1)</f>
        <v>41000</v>
      </c>
      <c r="C168" s="1561" t="n">
        <f aca="false">MAX('Plant Operations'!H168,'Plant Operations'!L168)</f>
        <v>0.92</v>
      </c>
      <c r="D168" s="306" t="n">
        <f aca="false">IF($A168&gt;Endyr,0,AVERAGE(C156:C167))</f>
        <v>0.92</v>
      </c>
      <c r="E168" s="306" t="n">
        <f aca="false">IF(D168&gt;E$10,0,E$10-D168)</f>
        <v>0</v>
      </c>
      <c r="F168" s="1562" t="n">
        <f aca="false">IF(Assm!$F$29=0,'Annex 10-Plant'!G168,'Annex 12-Plant'!T168)</f>
        <v>12844.6572521341</v>
      </c>
      <c r="G168" s="1563" t="n">
        <f aca="false">IF($A168&lt;Startops2,0,IF(Assm!$F$29=0,VLOOKUP($A168,Annex10_Gas_Table,'Annex 10-Gas'!$G$270),VLOOKUP($A168,Annex12_Gas_Table,'Annex 12-Gas'!$J$270)))</f>
        <v>13168.6294399697</v>
      </c>
      <c r="H168" s="1564" t="n">
        <f aca="false">IF($A168&lt;Startops2,0,IF(Assm!$F$29=0,VLOOKUP($A168,Annex10_Gas_Table,'Annex 10-Gas'!$P$270),VLOOKUP($A168,Annex12_Gas_Table,'Annex 12-Gas'!$V$270)))</f>
        <v>10030.7356187916</v>
      </c>
      <c r="I168" s="1563" t="n">
        <f aca="false">SUM(F168:H168)</f>
        <v>36044.0223108954</v>
      </c>
      <c r="J168" s="1563" t="n">
        <f aca="false">E168*I168</f>
        <v>0</v>
      </c>
      <c r="K168" s="1565" t="n">
        <f aca="false">IF(Assm!$L$74=1,VLOOKUP($A168,Curves_Table,Escalation!$D$291),Exch)</f>
        <v>1.065</v>
      </c>
      <c r="L168" s="1566" t="n">
        <f aca="false">J168/K168</f>
        <v>0</v>
      </c>
      <c r="M168" s="1567" t="str">
        <f aca="false">IF(MONTH($A168)=12,SUM(L157:L168)," ")</f>
        <v> </v>
      </c>
    </row>
    <row r="169" customFormat="false" ht="12.75" hidden="false" customHeight="false" outlineLevel="0" collapsed="false">
      <c r="A169" s="1538" t="n">
        <f aca="false">EDATE(A168,1)</f>
        <v>41030</v>
      </c>
      <c r="C169" s="1561" t="n">
        <f aca="false">MAX('Plant Operations'!H169,'Plant Operations'!L169)</f>
        <v>0.92</v>
      </c>
      <c r="D169" s="306" t="n">
        <f aca="false">IF($A169&gt;Endyr,0,AVERAGE(C157:C168))</f>
        <v>0.92</v>
      </c>
      <c r="E169" s="306" t="n">
        <f aca="false">IF(D169&gt;E$10,0,E$10-D169)</f>
        <v>0</v>
      </c>
      <c r="F169" s="1562" t="n">
        <f aca="false">IF(Assm!$F$29=0,'Annex 10-Plant'!G169,'Annex 12-Plant'!T169)</f>
        <v>12223.3973739478</v>
      </c>
      <c r="G169" s="1563" t="n">
        <f aca="false">IF($A169&lt;Startops2,0,IF(Assm!$F$29=0,VLOOKUP($A169,Annex10_Gas_Table,'Annex 10-Gas'!$G$270),VLOOKUP($A169,Annex12_Gas_Table,'Annex 12-Gas'!$J$270)))</f>
        <v>13539.0422441397</v>
      </c>
      <c r="H169" s="1564" t="n">
        <f aca="false">IF($A169&lt;Startops2,0,IF(Assm!$F$29=0,VLOOKUP($A169,Annex10_Gas_Table,'Annex 10-Gas'!$P$270),VLOOKUP($A169,Annex12_Gas_Table,'Annex 12-Gas'!$V$270)))</f>
        <v>10294.6567102257</v>
      </c>
      <c r="I169" s="1563" t="n">
        <f aca="false">SUM(F169:H169)</f>
        <v>36057.0963283133</v>
      </c>
      <c r="J169" s="1563" t="n">
        <f aca="false">E169*I169</f>
        <v>0</v>
      </c>
      <c r="K169" s="1565" t="n">
        <f aca="false">IF(Assm!$L$74=1,VLOOKUP($A169,Curves_Table,Escalation!$D$291),Exch)</f>
        <v>1.065</v>
      </c>
      <c r="L169" s="1566" t="n">
        <f aca="false">J169/K169</f>
        <v>0</v>
      </c>
      <c r="M169" s="1567" t="str">
        <f aca="false">IF(MONTH($A169)=12,SUM(L158:L169)," ")</f>
        <v> </v>
      </c>
    </row>
    <row r="170" customFormat="false" ht="12.75" hidden="false" customHeight="false" outlineLevel="0" collapsed="false">
      <c r="A170" s="1538" t="n">
        <f aca="false">EDATE(A169,1)</f>
        <v>41061</v>
      </c>
      <c r="C170" s="1561" t="n">
        <f aca="false">MAX('Plant Operations'!H170,'Plant Operations'!L170)</f>
        <v>0.92</v>
      </c>
      <c r="D170" s="306" t="n">
        <f aca="false">IF($A170&gt;Endyr,0,AVERAGE(C158:C169))</f>
        <v>0.92</v>
      </c>
      <c r="E170" s="306" t="n">
        <f aca="false">IF(D170&gt;E$10,0,E$10-D170)</f>
        <v>0</v>
      </c>
      <c r="F170" s="1562" t="n">
        <f aca="false">IF(Assm!$F$29=0,'Annex 10-Plant'!G170,'Annex 12-Plant'!T170)</f>
        <v>12242.5690480597</v>
      </c>
      <c r="G170" s="1563" t="n">
        <f aca="false">IF($A170&lt;Startops2,0,IF(Assm!$F$29=0,VLOOKUP($A170,Annex10_Gas_Table,'Annex 10-Gas'!$G$270),VLOOKUP($A170,Annex12_Gas_Table,'Annex 12-Gas'!$J$270)))</f>
        <v>13561.390440929</v>
      </c>
      <c r="H170" s="1564" t="n">
        <f aca="false">IF($A170&lt;Startops2,0,IF(Assm!$F$29=0,VLOOKUP($A170,Annex10_Gas_Table,'Annex 10-Gas'!$P$270),VLOOKUP($A170,Annex12_Gas_Table,'Annex 12-Gas'!$V$270)))</f>
        <v>10311.6495676148</v>
      </c>
      <c r="I170" s="1563" t="n">
        <f aca="false">SUM(F170:H170)</f>
        <v>36115.6090566035</v>
      </c>
      <c r="J170" s="1563" t="n">
        <f aca="false">E170*I170</f>
        <v>0</v>
      </c>
      <c r="K170" s="1565" t="n">
        <f aca="false">IF(Assm!$L$74=1,VLOOKUP($A170,Curves_Table,Escalation!$D$291),Exch)</f>
        <v>1.065</v>
      </c>
      <c r="L170" s="1566" t="n">
        <f aca="false">J170/K170</f>
        <v>0</v>
      </c>
      <c r="M170" s="1567" t="str">
        <f aca="false">IF(MONTH($A170)=12,SUM(L159:L170)," ")</f>
        <v> </v>
      </c>
    </row>
    <row r="171" customFormat="false" ht="12.75" hidden="false" customHeight="false" outlineLevel="0" collapsed="false">
      <c r="A171" s="1538" t="n">
        <f aca="false">EDATE(A170,1)</f>
        <v>41091</v>
      </c>
      <c r="C171" s="1561" t="n">
        <f aca="false">MAX('Plant Operations'!H171,'Plant Operations'!L171)</f>
        <v>0.92</v>
      </c>
      <c r="D171" s="306" t="n">
        <f aca="false">IF($A171&gt;Endyr,0,AVERAGE(C159:C170))</f>
        <v>0.92</v>
      </c>
      <c r="E171" s="306" t="n">
        <f aca="false">IF(D171&gt;E$10,0,E$10-D171)</f>
        <v>0</v>
      </c>
      <c r="F171" s="1562" t="n">
        <f aca="false">IF(Assm!$F$29=0,'Annex 10-Plant'!G171,'Annex 12-Plant'!T171)</f>
        <v>12261.7723678625</v>
      </c>
      <c r="G171" s="1563" t="n">
        <f aca="false">IF($A171&lt;Startops2,0,IF(Assm!$F$29=0,VLOOKUP($A171,Annex10_Gas_Table,'Annex 10-Gas'!$G$270),VLOOKUP($A171,Annex12_Gas_Table,'Annex 12-Gas'!$J$270)))</f>
        <v>13583.7755267309</v>
      </c>
      <c r="H171" s="1564" t="n">
        <f aca="false">IF($A171&lt;Startops2,0,IF(Assm!$F$29=0,VLOOKUP($A171,Annex10_Gas_Table,'Annex 10-Gas'!$P$270),VLOOKUP($A171,Annex12_Gas_Table,'Annex 12-Gas'!$V$270)))</f>
        <v>10328.6704742346</v>
      </c>
      <c r="I171" s="1563" t="n">
        <f aca="false">SUM(F171:H171)</f>
        <v>36174.218368828</v>
      </c>
      <c r="J171" s="1563" t="n">
        <f aca="false">E171*I171</f>
        <v>0</v>
      </c>
      <c r="K171" s="1565" t="n">
        <f aca="false">IF(Assm!$L$74=1,VLOOKUP($A171,Curves_Table,Escalation!$D$291),Exch)</f>
        <v>1.065</v>
      </c>
      <c r="L171" s="1566" t="n">
        <f aca="false">J171/K171</f>
        <v>0</v>
      </c>
      <c r="M171" s="1567" t="str">
        <f aca="false">IF(MONTH($A171)=12,SUM(L160:L171)," ")</f>
        <v> </v>
      </c>
    </row>
    <row r="172" customFormat="false" ht="12.75" hidden="false" customHeight="false" outlineLevel="0" collapsed="false">
      <c r="A172" s="1538" t="n">
        <f aca="false">EDATE(A171,1)</f>
        <v>41122</v>
      </c>
      <c r="C172" s="1561" t="n">
        <f aca="false">MAX('Plant Operations'!H172,'Plant Operations'!L172)</f>
        <v>0.92</v>
      </c>
      <c r="D172" s="306" t="n">
        <f aca="false">IF($A172&gt;Endyr,0,AVERAGE(C160:C171))</f>
        <v>0.92</v>
      </c>
      <c r="E172" s="306" t="n">
        <f aca="false">IF(D172&gt;E$10,0,E$10-D172)</f>
        <v>0</v>
      </c>
      <c r="F172" s="1562" t="n">
        <f aca="false">IF(Assm!$F$29=0,'Annex 10-Plant'!G172,'Annex 12-Plant'!T172)</f>
        <v>12281.0073855921</v>
      </c>
      <c r="G172" s="1563" t="n">
        <f aca="false">IF($A172&lt;Startops2,0,IF(Assm!$F$29=0,VLOOKUP($A172,Annex10_Gas_Table,'Annex 10-Gas'!$G$270),VLOOKUP($A172,Annex12_Gas_Table,'Annex 12-Gas'!$J$270)))</f>
        <v>13606.1975624362</v>
      </c>
      <c r="H172" s="1564" t="n">
        <f aca="false">IF($A172&lt;Startops2,0,IF(Assm!$F$29=0,VLOOKUP($A172,Annex10_Gas_Table,'Annex 10-Gas'!$P$270),VLOOKUP($A172,Annex12_Gas_Table,'Annex 12-Gas'!$V$270)))</f>
        <v>10345.7194763846</v>
      </c>
      <c r="I172" s="1563" t="n">
        <f aca="false">SUM(F172:H172)</f>
        <v>36232.9244244129</v>
      </c>
      <c r="J172" s="1563" t="n">
        <f aca="false">E172*I172</f>
        <v>0</v>
      </c>
      <c r="K172" s="1565" t="n">
        <f aca="false">IF(Assm!$L$74=1,VLOOKUP($A172,Curves_Table,Escalation!$D$291),Exch)</f>
        <v>1.065</v>
      </c>
      <c r="L172" s="1566" t="n">
        <f aca="false">J172/K172</f>
        <v>0</v>
      </c>
      <c r="M172" s="1567" t="str">
        <f aca="false">IF(MONTH($A172)=12,SUM(L161:L172)," ")</f>
        <v> </v>
      </c>
    </row>
    <row r="173" customFormat="false" ht="12.75" hidden="false" customHeight="false" outlineLevel="0" collapsed="false">
      <c r="A173" s="1538" t="n">
        <f aca="false">EDATE(A172,1)</f>
        <v>41153</v>
      </c>
      <c r="C173" s="1561" t="n">
        <f aca="false">MAX('Plant Operations'!H173,'Plant Operations'!L173)</f>
        <v>0.92</v>
      </c>
      <c r="D173" s="306" t="n">
        <f aca="false">IF($A173&gt;Endyr,0,AVERAGE(C161:C172))</f>
        <v>0.92</v>
      </c>
      <c r="E173" s="306" t="n">
        <f aca="false">IF(D173&gt;E$10,0,E$10-D173)</f>
        <v>0</v>
      </c>
      <c r="F173" s="1562" t="n">
        <f aca="false">IF(Assm!$F$29=0,'Annex 10-Plant'!G173,'Annex 12-Plant'!T173)</f>
        <v>12300.2741535707</v>
      </c>
      <c r="G173" s="1563" t="n">
        <f aca="false">IF($A173&lt;Startops2,0,IF(Assm!$F$29=0,VLOOKUP($A173,Annex10_Gas_Table,'Annex 10-Gas'!$G$270),VLOOKUP($A173,Annex12_Gas_Table,'Annex 12-Gas'!$J$270)))</f>
        <v>13628.6566090361</v>
      </c>
      <c r="H173" s="1564" t="n">
        <f aca="false">IF($A173&lt;Startops2,0,IF(Assm!$F$29=0,VLOOKUP($A173,Annex10_Gas_Table,'Annex 10-Gas'!$P$270),VLOOKUP($A173,Annex12_Gas_Table,'Annex 12-Gas'!$V$270)))</f>
        <v>10362.7966204407</v>
      </c>
      <c r="I173" s="1563" t="n">
        <f aca="false">SUM(F173:H173)</f>
        <v>36291.7273830475</v>
      </c>
      <c r="J173" s="1563" t="n">
        <f aca="false">E173*I173</f>
        <v>0</v>
      </c>
      <c r="K173" s="1565" t="n">
        <f aca="false">IF(Assm!$L$74=1,VLOOKUP($A173,Curves_Table,Escalation!$D$291),Exch)</f>
        <v>1.065</v>
      </c>
      <c r="L173" s="1566" t="n">
        <f aca="false">J173/K173</f>
        <v>0</v>
      </c>
      <c r="M173" s="1567" t="str">
        <f aca="false">IF(MONTH($A173)=12,SUM(L162:L173)," ")</f>
        <v> </v>
      </c>
    </row>
    <row r="174" customFormat="false" ht="12.75" hidden="false" customHeight="false" outlineLevel="0" collapsed="false">
      <c r="A174" s="1538" t="n">
        <f aca="false">EDATE(A173,1)</f>
        <v>41183</v>
      </c>
      <c r="C174" s="1561" t="n">
        <f aca="false">MAX('Plant Operations'!H174,'Plant Operations'!L174)</f>
        <v>0.92</v>
      </c>
      <c r="D174" s="306" t="n">
        <f aca="false">IF($A174&gt;Endyr,0,AVERAGE(C162:C173))</f>
        <v>0.92</v>
      </c>
      <c r="E174" s="306" t="n">
        <f aca="false">IF(D174&gt;E$10,0,E$10-D174)</f>
        <v>0</v>
      </c>
      <c r="F174" s="1562" t="n">
        <f aca="false">IF(Assm!$F$29=0,'Annex 10-Plant'!G174,'Annex 12-Plant'!T174)</f>
        <v>12319.5727242066</v>
      </c>
      <c r="G174" s="1563" t="n">
        <f aca="false">IF($A174&lt;Startops2,0,IF(Assm!$F$29=0,VLOOKUP($A174,Annex10_Gas_Table,'Annex 10-Gas'!$G$270),VLOOKUP($A174,Annex12_Gas_Table,'Annex 12-Gas'!$J$270)))</f>
        <v>13651.1527276226</v>
      </c>
      <c r="H174" s="1564" t="n">
        <f aca="false">IF($A174&lt;Startops2,0,IF(Assm!$F$29=0,VLOOKUP($A174,Annex10_Gas_Table,'Annex 10-Gas'!$P$270),VLOOKUP($A174,Annex12_Gas_Table,'Annex 12-Gas'!$V$270)))</f>
        <v>10379.9019528553</v>
      </c>
      <c r="I174" s="1563" t="n">
        <f aca="false">SUM(F174:H174)</f>
        <v>36350.6274046846</v>
      </c>
      <c r="J174" s="1563" t="n">
        <f aca="false">E174*I174</f>
        <v>0</v>
      </c>
      <c r="K174" s="1565" t="n">
        <f aca="false">IF(Assm!$L$74=1,VLOOKUP($A174,Curves_Table,Escalation!$D$291),Exch)</f>
        <v>1.065</v>
      </c>
      <c r="L174" s="1566" t="n">
        <f aca="false">J174/K174</f>
        <v>0</v>
      </c>
      <c r="M174" s="1567" t="str">
        <f aca="false">IF(MONTH($A174)=12,SUM(L163:L174)," ")</f>
        <v> </v>
      </c>
    </row>
    <row r="175" customFormat="false" ht="12.75" hidden="false" customHeight="false" outlineLevel="0" collapsed="false">
      <c r="A175" s="1538" t="n">
        <f aca="false">EDATE(A174,1)</f>
        <v>41214</v>
      </c>
      <c r="C175" s="1561" t="n">
        <f aca="false">MAX('Plant Operations'!H175,'Plant Operations'!L175)</f>
        <v>0.92</v>
      </c>
      <c r="D175" s="306" t="n">
        <f aca="false">IF($A175&gt;Endyr,0,AVERAGE(C163:C174))</f>
        <v>0.92</v>
      </c>
      <c r="E175" s="306" t="n">
        <f aca="false">IF(D175&gt;E$10,0,E$10-D175)</f>
        <v>0</v>
      </c>
      <c r="F175" s="1562" t="n">
        <f aca="false">IF(Assm!$F$29=0,'Annex 10-Plant'!G175,'Annex 12-Plant'!T175)</f>
        <v>12338.903149995</v>
      </c>
      <c r="G175" s="1563" t="n">
        <f aca="false">IF($A175&lt;Startops2,0,IF(Assm!$F$29=0,VLOOKUP($A175,Annex10_Gas_Table,'Annex 10-Gas'!$G$270),VLOOKUP($A175,Annex12_Gas_Table,'Annex 12-Gas'!$J$270)))</f>
        <v>13673.6859793886</v>
      </c>
      <c r="H175" s="1564" t="n">
        <f aca="false">IF($A175&lt;Startops2,0,IF(Assm!$F$29=0,VLOOKUP($A175,Annex10_Gas_Table,'Annex 10-Gas'!$P$270),VLOOKUP($A175,Annex12_Gas_Table,'Annex 12-Gas'!$V$270)))</f>
        <v>10397.0355201574</v>
      </c>
      <c r="I175" s="1563" t="n">
        <f aca="false">SUM(F175:H175)</f>
        <v>36409.6246495411</v>
      </c>
      <c r="J175" s="1563" t="n">
        <f aca="false">E175*I175</f>
        <v>0</v>
      </c>
      <c r="K175" s="1565" t="n">
        <f aca="false">IF(Assm!$L$74=1,VLOOKUP($A175,Curves_Table,Escalation!$D$291),Exch)</f>
        <v>1.065</v>
      </c>
      <c r="L175" s="1566" t="n">
        <f aca="false">J175/K175</f>
        <v>0</v>
      </c>
      <c r="M175" s="1567" t="str">
        <f aca="false">IF(MONTH($A175)=12,SUM(L164:L175)," ")</f>
        <v> </v>
      </c>
    </row>
    <row r="176" customFormat="false" ht="12.75" hidden="false" customHeight="false" outlineLevel="0" collapsed="false">
      <c r="A176" s="1538" t="n">
        <f aca="false">EDATE(A175,1)</f>
        <v>41244</v>
      </c>
      <c r="C176" s="1561" t="n">
        <f aca="false">MAX('Plant Operations'!H176,'Plant Operations'!L176)</f>
        <v>0.92</v>
      </c>
      <c r="D176" s="306" t="n">
        <f aca="false">IF($A176&gt;Endyr,0,AVERAGE(C164:C175))</f>
        <v>0.92</v>
      </c>
      <c r="E176" s="306" t="n">
        <f aca="false">IF(D176&gt;E$10,0,E$10-D176)</f>
        <v>0</v>
      </c>
      <c r="F176" s="1562" t="n">
        <f aca="false">IF(Assm!$F$29=0,'Annex 10-Plant'!G176,'Annex 12-Plant'!T176)</f>
        <v>12358.2654835174</v>
      </c>
      <c r="G176" s="1563" t="n">
        <f aca="false">IF($A176&lt;Startops2,0,IF(Assm!$F$29=0,VLOOKUP($A176,Annex10_Gas_Table,'Annex 10-Gas'!$G$270),VLOOKUP($A176,Annex12_Gas_Table,'Annex 12-Gas'!$J$270)))</f>
        <v>13696.2564256279</v>
      </c>
      <c r="H176" s="1564" t="n">
        <f aca="false">IF($A176&lt;Startops2,0,IF(Assm!$F$29=0,VLOOKUP($A176,Annex10_Gas_Table,'Annex 10-Gas'!$P$270),VLOOKUP($A176,Annex12_Gas_Table,'Annex 12-Gas'!$V$270)))</f>
        <v>10414.1973689529</v>
      </c>
      <c r="I176" s="1563" t="n">
        <f aca="false">SUM(F176:H176)</f>
        <v>36468.7192780983</v>
      </c>
      <c r="J176" s="1563" t="n">
        <f aca="false">E176*I176</f>
        <v>0</v>
      </c>
      <c r="K176" s="1565" t="n">
        <f aca="false">IF(Assm!$L$74=1,VLOOKUP($A176,Curves_Table,Escalation!$D$291),Exch)</f>
        <v>1.065</v>
      </c>
      <c r="L176" s="1566" t="n">
        <f aca="false">J176/K176</f>
        <v>0</v>
      </c>
      <c r="M176" s="1567" t="n">
        <f aca="false">IF(MONTH($A176)=12,SUM(L165:L176)," ")</f>
        <v>0</v>
      </c>
    </row>
    <row r="177" customFormat="false" ht="12.75" hidden="false" customHeight="false" outlineLevel="0" collapsed="false">
      <c r="A177" s="1538" t="n">
        <f aca="false">EDATE(A176,1)</f>
        <v>41275</v>
      </c>
      <c r="C177" s="1561" t="n">
        <f aca="false">MAX('Plant Operations'!H177,'Plant Operations'!L177)</f>
        <v>0.92</v>
      </c>
      <c r="D177" s="306" t="n">
        <f aca="false">IF($A177&gt;Endyr,0,AVERAGE(C165:C176))</f>
        <v>0.92</v>
      </c>
      <c r="E177" s="306" t="n">
        <f aca="false">IF(D177&gt;E$10,0,E$10-D177)</f>
        <v>0</v>
      </c>
      <c r="F177" s="1562" t="n">
        <f aca="false">IF(Assm!$F$29=0,'Annex 10-Plant'!G177,'Annex 12-Plant'!T177)</f>
        <v>12377.7938438612</v>
      </c>
      <c r="G177" s="1563" t="n">
        <f aca="false">IF($A177&lt;Startops2,0,IF(Assm!$F$29=0,VLOOKUP($A177,Annex10_Gas_Table,'Annex 10-Gas'!$G$270),VLOOKUP($A177,Annex12_Gas_Table,'Annex 12-Gas'!$J$270)))</f>
        <v>13719.0204073953</v>
      </c>
      <c r="H177" s="1564" t="n">
        <f aca="false">IF($A177&lt;Startops2,0,IF(Assm!$F$29=0,VLOOKUP($A177,Annex10_Gas_Table,'Annex 10-Gas'!$P$270),VLOOKUP($A177,Annex12_Gas_Table,'Annex 12-Gas'!$V$270)))</f>
        <v>10431.5063760028</v>
      </c>
      <c r="I177" s="1563" t="n">
        <f aca="false">SUM(F177:H177)</f>
        <v>36528.3206272593</v>
      </c>
      <c r="J177" s="1563" t="n">
        <f aca="false">E177*I177</f>
        <v>0</v>
      </c>
      <c r="K177" s="1565" t="n">
        <f aca="false">IF(Assm!$L$74=1,VLOOKUP($A177,Curves_Table,Escalation!$D$291),Exch)</f>
        <v>1.065</v>
      </c>
      <c r="L177" s="1566" t="n">
        <f aca="false">J177/K177</f>
        <v>0</v>
      </c>
      <c r="M177" s="1567" t="str">
        <f aca="false">IF(MONTH($A177)=12,SUM(L166:L177)," ")</f>
        <v> </v>
      </c>
    </row>
    <row r="178" customFormat="false" ht="12.75" hidden="false" customHeight="false" outlineLevel="0" collapsed="false">
      <c r="A178" s="1538" t="n">
        <f aca="false">EDATE(A177,1)</f>
        <v>41306</v>
      </c>
      <c r="C178" s="1561" t="n">
        <f aca="false">MAX('Plant Operations'!H178,'Plant Operations'!L178)</f>
        <v>0.92</v>
      </c>
      <c r="D178" s="306" t="n">
        <f aca="false">IF($A178&gt;Endyr,0,AVERAGE(C166:C177))</f>
        <v>0.92</v>
      </c>
      <c r="E178" s="306" t="n">
        <f aca="false">IF(D178&gt;E$10,0,E$10-D178)</f>
        <v>0</v>
      </c>
      <c r="F178" s="1562" t="n">
        <f aca="false">IF(Assm!$F$29=0,'Annex 10-Plant'!G178,'Annex 12-Plant'!T178)</f>
        <v>12397.3546614855</v>
      </c>
      <c r="G178" s="1563" t="n">
        <f aca="false">IF($A178&lt;Startops2,0,IF(Assm!$F$29=0,VLOOKUP($A178,Annex10_Gas_Table,'Annex 10-Gas'!$G$270),VLOOKUP($A178,Annex12_Gas_Table,'Annex 12-Gas'!$J$270)))</f>
        <v>13741.8222242359</v>
      </c>
      <c r="H178" s="1564" t="n">
        <f aca="false">IF($A178&lt;Startops2,0,IF(Assm!$F$29=0,VLOOKUP($A178,Annex10_Gas_Table,'Annex 10-Gas'!$P$270),VLOOKUP($A178,Annex12_Gas_Table,'Annex 12-Gas'!$V$270)))</f>
        <v>10448.844151638</v>
      </c>
      <c r="I178" s="1563" t="n">
        <f aca="false">SUM(F178:H178)</f>
        <v>36588.0210373595</v>
      </c>
      <c r="J178" s="1563" t="n">
        <f aca="false">E178*I178</f>
        <v>0</v>
      </c>
      <c r="K178" s="1565" t="n">
        <f aca="false">IF(Assm!$L$74=1,VLOOKUP($A178,Curves_Table,Escalation!$D$291),Exch)</f>
        <v>1.065</v>
      </c>
      <c r="L178" s="1566" t="n">
        <f aca="false">J178/K178</f>
        <v>0</v>
      </c>
      <c r="M178" s="1567" t="str">
        <f aca="false">IF(MONTH($A178)=12,SUM(L167:L178)," ")</f>
        <v> </v>
      </c>
    </row>
    <row r="179" customFormat="false" ht="12.75" hidden="false" customHeight="false" outlineLevel="0" collapsed="false">
      <c r="A179" s="1538" t="n">
        <f aca="false">EDATE(A178,1)</f>
        <v>41334</v>
      </c>
      <c r="C179" s="1561" t="n">
        <f aca="false">MAX('Plant Operations'!H179,'Plant Operations'!L179)</f>
        <v>0.92</v>
      </c>
      <c r="D179" s="306" t="n">
        <f aca="false">IF($A179&gt;Endyr,0,AVERAGE(C167:C178))</f>
        <v>0.92</v>
      </c>
      <c r="E179" s="306" t="n">
        <f aca="false">IF(D179&gt;E$10,0,E$10-D179)</f>
        <v>0</v>
      </c>
      <c r="F179" s="1562" t="n">
        <f aca="false">IF(Assm!$F$29=0,'Annex 10-Plant'!G179,'Annex 12-Plant'!T179)</f>
        <v>12416.9479903365</v>
      </c>
      <c r="G179" s="1563" t="n">
        <f aca="false">IF($A179&lt;Startops2,0,IF(Assm!$F$29=0,VLOOKUP($A179,Annex10_Gas_Table,'Annex 10-Gas'!$G$270),VLOOKUP($A179,Annex12_Gas_Table,'Annex 12-Gas'!$J$270)))</f>
        <v>13764.661939034</v>
      </c>
      <c r="H179" s="1564" t="n">
        <f aca="false">IF($A179&lt;Startops2,0,IF(Assm!$F$29=0,VLOOKUP($A179,Annex10_Gas_Table,'Annex 10-Gas'!$P$270),VLOOKUP($A179,Annex12_Gas_Table,'Annex 12-Gas'!$V$270)))</f>
        <v>10466.2107436736</v>
      </c>
      <c r="I179" s="1563" t="n">
        <f aca="false">SUM(F179:H179)</f>
        <v>36647.820673044</v>
      </c>
      <c r="J179" s="1563" t="n">
        <f aca="false">E179*I179</f>
        <v>0</v>
      </c>
      <c r="K179" s="1565" t="n">
        <f aca="false">IF(Assm!$L$74=1,VLOOKUP($A179,Curves_Table,Escalation!$D$291),Exch)</f>
        <v>1.065</v>
      </c>
      <c r="L179" s="1566" t="n">
        <f aca="false">J179/K179</f>
        <v>0</v>
      </c>
      <c r="M179" s="1567" t="str">
        <f aca="false">IF(MONTH($A179)=12,SUM(L168:L179)," ")</f>
        <v> </v>
      </c>
    </row>
    <row r="180" customFormat="false" ht="12.75" hidden="false" customHeight="false" outlineLevel="0" collapsed="false">
      <c r="A180" s="1538" t="n">
        <f aca="false">EDATE(A179,1)</f>
        <v>41365</v>
      </c>
      <c r="C180" s="1561" t="n">
        <f aca="false">MAX('Plant Operations'!H180,'Plant Operations'!L180)</f>
        <v>0.92</v>
      </c>
      <c r="D180" s="306" t="n">
        <f aca="false">IF($A180&gt;Endyr,0,AVERAGE(C168:C179))</f>
        <v>0.92</v>
      </c>
      <c r="E180" s="306" t="n">
        <f aca="false">IF(D180&gt;E$10,0,E$10-D180)</f>
        <v>0</v>
      </c>
      <c r="F180" s="1562" t="n">
        <f aca="false">IF(Assm!$F$29=0,'Annex 10-Plant'!G180,'Annex 12-Plant'!T180)</f>
        <v>12436.5738844495</v>
      </c>
      <c r="G180" s="1563" t="n">
        <f aca="false">IF($A180&lt;Startops2,0,IF(Assm!$F$29=0,VLOOKUP($A180,Annex10_Gas_Table,'Annex 10-Gas'!$G$270),VLOOKUP($A180,Annex12_Gas_Table,'Annex 12-Gas'!$J$270)))</f>
        <v>13787.5396147782</v>
      </c>
      <c r="H180" s="1564" t="n">
        <f aca="false">IF($A180&lt;Startops2,0,IF(Assm!$F$29=0,VLOOKUP($A180,Annex10_Gas_Table,'Annex 10-Gas'!$P$270),VLOOKUP($A180,Annex12_Gas_Table,'Annex 12-Gas'!$V$270)))</f>
        <v>10483.606200004</v>
      </c>
      <c r="I180" s="1563" t="n">
        <f aca="false">SUM(F180:H180)</f>
        <v>36707.7196992316</v>
      </c>
      <c r="J180" s="1563" t="n">
        <f aca="false">E180*I180</f>
        <v>0</v>
      </c>
      <c r="K180" s="1565" t="n">
        <f aca="false">IF(Assm!$L$74=1,VLOOKUP($A180,Curves_Table,Escalation!$D$291),Exch)</f>
        <v>1.065</v>
      </c>
      <c r="L180" s="1566" t="n">
        <f aca="false">J180/K180</f>
        <v>0</v>
      </c>
      <c r="M180" s="1567" t="str">
        <f aca="false">IF(MONTH($A180)=12,SUM(L169:L180)," ")</f>
        <v> </v>
      </c>
    </row>
    <row r="181" customFormat="false" ht="12.75" hidden="false" customHeight="false" outlineLevel="0" collapsed="false">
      <c r="A181" s="1538" t="n">
        <f aca="false">EDATE(A180,1)</f>
        <v>41395</v>
      </c>
      <c r="C181" s="1561" t="n">
        <f aca="false">MAX('Plant Operations'!H181,'Plant Operations'!L181)</f>
        <v>0.92</v>
      </c>
      <c r="D181" s="306" t="n">
        <f aca="false">IF($A181&gt;Endyr,0,AVERAGE(C169:C180))</f>
        <v>0.92</v>
      </c>
      <c r="E181" s="306" t="n">
        <f aca="false">IF(D181&gt;E$10,0,E$10-D181)</f>
        <v>0</v>
      </c>
      <c r="F181" s="1562" t="n">
        <f aca="false">IF(Assm!$F$29=0,'Annex 10-Plant'!G181,'Annex 12-Plant'!T181)</f>
        <v>12338.6046666507</v>
      </c>
      <c r="G181" s="1563" t="n">
        <f aca="false">IF($A181&lt;Startops2,0,IF(Assm!$F$29=0,VLOOKUP($A181,Annex10_Gas_Table,'Annex 10-Gas'!$G$270),VLOOKUP($A181,Annex12_Gas_Table,'Annex 12-Gas'!$J$270)))</f>
        <v>14164.8010633508</v>
      </c>
      <c r="H181" s="1564" t="n">
        <f aca="false">IF($A181&lt;Startops2,0,IF(Assm!$F$29=0,VLOOKUP($A181,Annex10_Gas_Table,'Annex 10-Gas'!$P$270),VLOOKUP($A181,Annex12_Gas_Table,'Annex 12-Gas'!$V$270)))</f>
        <v>10731.4841133381</v>
      </c>
      <c r="I181" s="1563" t="n">
        <f aca="false">SUM(F181:H181)</f>
        <v>37234.8898433396</v>
      </c>
      <c r="J181" s="1563" t="n">
        <f aca="false">E181*I181</f>
        <v>0</v>
      </c>
      <c r="K181" s="1565" t="n">
        <f aca="false">IF(Assm!$L$74=1,VLOOKUP($A181,Curves_Table,Escalation!$D$291),Exch)</f>
        <v>1.065</v>
      </c>
      <c r="L181" s="1566" t="n">
        <f aca="false">J181/K181</f>
        <v>0</v>
      </c>
      <c r="M181" s="1567" t="str">
        <f aca="false">IF(MONTH($A181)=12,SUM(L170:L181)," ")</f>
        <v> </v>
      </c>
    </row>
    <row r="182" customFormat="false" ht="12.75" hidden="false" customHeight="false" outlineLevel="0" collapsed="false">
      <c r="A182" s="1538" t="n">
        <f aca="false">EDATE(A181,1)</f>
        <v>41426</v>
      </c>
      <c r="C182" s="1561" t="n">
        <f aca="false">MAX('Plant Operations'!H182,'Plant Operations'!L182)</f>
        <v>0.92</v>
      </c>
      <c r="D182" s="306" t="n">
        <f aca="false">IF($A182&gt;Endyr,0,AVERAGE(C170:C181))</f>
        <v>0.92</v>
      </c>
      <c r="E182" s="306" t="n">
        <f aca="false">IF(D182&gt;E$10,0,E$10-D182)</f>
        <v>0</v>
      </c>
      <c r="F182" s="1562" t="n">
        <f aca="false">IF(Assm!$F$29=0,'Annex 10-Plant'!G182,'Annex 12-Plant'!T182)</f>
        <v>12357.9843141874</v>
      </c>
      <c r="G182" s="1563" t="n">
        <f aca="false">IF($A182&lt;Startops2,0,IF(Assm!$F$29=0,VLOOKUP($A182,Annex10_Gas_Table,'Annex 10-Gas'!$G$270),VLOOKUP($A182,Annex12_Gas_Table,'Annex 12-Gas'!$J$270)))</f>
        <v>14188.3437937965</v>
      </c>
      <c r="H182" s="1564" t="n">
        <f aca="false">IF($A182&lt;Startops2,0,IF(Assm!$F$29=0,VLOOKUP($A182,Annex10_Gas_Table,'Annex 10-Gas'!$P$270),VLOOKUP($A182,Annex12_Gas_Table,'Annex 12-Gas'!$V$270)))</f>
        <v>10749.3204695731</v>
      </c>
      <c r="I182" s="1563" t="n">
        <f aca="false">SUM(F182:H182)</f>
        <v>37295.6485775571</v>
      </c>
      <c r="J182" s="1563" t="n">
        <f aca="false">E182*I182</f>
        <v>0</v>
      </c>
      <c r="K182" s="1565" t="n">
        <f aca="false">IF(Assm!$L$74=1,VLOOKUP($A182,Curves_Table,Escalation!$D$291),Exch)</f>
        <v>1.065</v>
      </c>
      <c r="L182" s="1566" t="n">
        <f aca="false">J182/K182</f>
        <v>0</v>
      </c>
      <c r="M182" s="1567" t="str">
        <f aca="false">IF(MONTH($A182)=12,SUM(L171:L182)," ")</f>
        <v> </v>
      </c>
    </row>
    <row r="183" customFormat="false" ht="12.75" hidden="false" customHeight="false" outlineLevel="0" collapsed="false">
      <c r="A183" s="1538" t="n">
        <f aca="false">EDATE(A182,1)</f>
        <v>41456</v>
      </c>
      <c r="C183" s="1561" t="n">
        <f aca="false">MAX('Plant Operations'!H183,'Plant Operations'!L183)</f>
        <v>0.92</v>
      </c>
      <c r="D183" s="306" t="n">
        <f aca="false">IF($A183&gt;Endyr,0,AVERAGE(C171:C182))</f>
        <v>0.92</v>
      </c>
      <c r="E183" s="306" t="n">
        <f aca="false">IF(D183&gt;E$10,0,E$10-D183)</f>
        <v>0</v>
      </c>
      <c r="F183" s="1562" t="n">
        <f aca="false">IF(Assm!$F$29=0,'Annex 10-Plant'!G183,'Annex 12-Plant'!T183)</f>
        <v>12377.3961718355</v>
      </c>
      <c r="G183" s="1563" t="n">
        <f aca="false">IF($A183&lt;Startops2,0,IF(Assm!$F$29=0,VLOOKUP($A183,Annex10_Gas_Table,'Annex 10-Gas'!$G$270),VLOOKUP($A183,Annex12_Gas_Table,'Annex 12-Gas'!$J$270)))</f>
        <v>14211.9256536416</v>
      </c>
      <c r="H183" s="1564" t="n">
        <f aca="false">IF($A183&lt;Startops2,0,IF(Assm!$F$29=0,VLOOKUP($A183,Annex10_Gas_Table,'Annex 10-Gas'!$P$270),VLOOKUP($A183,Annex12_Gas_Table,'Annex 12-Gas'!$V$270)))</f>
        <v>10767.1864708786</v>
      </c>
      <c r="I183" s="1563" t="n">
        <f aca="false">SUM(F183:H183)</f>
        <v>37356.5082963556</v>
      </c>
      <c r="J183" s="1563" t="n">
        <f aca="false">E183*I183</f>
        <v>0</v>
      </c>
      <c r="K183" s="1565" t="n">
        <f aca="false">IF(Assm!$L$74=1,VLOOKUP($A183,Curves_Table,Escalation!$D$291),Exch)</f>
        <v>1.065</v>
      </c>
      <c r="L183" s="1566" t="n">
        <f aca="false">J183/K183</f>
        <v>0</v>
      </c>
      <c r="M183" s="1567" t="str">
        <f aca="false">IF(MONTH($A183)=12,SUM(L172:L183)," ")</f>
        <v> </v>
      </c>
    </row>
    <row r="184" customFormat="false" ht="12.75" hidden="false" customHeight="false" outlineLevel="0" collapsed="false">
      <c r="A184" s="1538" t="n">
        <f aca="false">EDATE(A183,1)</f>
        <v>41487</v>
      </c>
      <c r="C184" s="1561" t="n">
        <f aca="false">MAX('Plant Operations'!H184,'Plant Operations'!L184)</f>
        <v>0.92</v>
      </c>
      <c r="D184" s="306" t="n">
        <f aca="false">IF($A184&gt;Endyr,0,AVERAGE(C172:C183))</f>
        <v>0.92</v>
      </c>
      <c r="E184" s="306" t="n">
        <f aca="false">IF(D184&gt;E$10,0,E$10-D184)</f>
        <v>0</v>
      </c>
      <c r="F184" s="1562" t="n">
        <f aca="false">IF(Assm!$F$29=0,'Annex 10-Plant'!G184,'Annex 12-Plant'!T184)</f>
        <v>12396.8402931298</v>
      </c>
      <c r="G184" s="1563" t="n">
        <f aca="false">IF($A184&lt;Startops2,0,IF(Assm!$F$29=0,VLOOKUP($A184,Annex10_Gas_Table,'Annex 10-Gas'!$G$270),VLOOKUP($A184,Annex12_Gas_Table,'Annex 12-Gas'!$J$270)))</f>
        <v>14235.5467079213</v>
      </c>
      <c r="H184" s="1564" t="n">
        <f aca="false">IF($A184&lt;Startops2,0,IF(Assm!$F$29=0,VLOOKUP($A184,Annex10_Gas_Table,'Annex 10-Gas'!$P$270),VLOOKUP($A184,Annex12_Gas_Table,'Annex 12-Gas'!$V$270)))</f>
        <v>10785.0821665265</v>
      </c>
      <c r="I184" s="1563" t="n">
        <f aca="false">SUM(F184:H184)</f>
        <v>37417.4691675776</v>
      </c>
      <c r="J184" s="1563" t="n">
        <f aca="false">E184*I184</f>
        <v>0</v>
      </c>
      <c r="K184" s="1565" t="n">
        <f aca="false">IF(Assm!$L$74=1,VLOOKUP($A184,Curves_Table,Escalation!$D$291),Exch)</f>
        <v>1.065</v>
      </c>
      <c r="L184" s="1566" t="n">
        <f aca="false">J184/K184</f>
        <v>0</v>
      </c>
      <c r="M184" s="1567" t="str">
        <f aca="false">IF(MONTH($A184)=12,SUM(L173:L184)," ")</f>
        <v> </v>
      </c>
    </row>
    <row r="185" customFormat="false" ht="12.75" hidden="false" customHeight="false" outlineLevel="0" collapsed="false">
      <c r="A185" s="1538" t="n">
        <f aca="false">EDATE(A184,1)</f>
        <v>41518</v>
      </c>
      <c r="C185" s="1561" t="n">
        <f aca="false">MAX('Plant Operations'!H185,'Plant Operations'!L185)</f>
        <v>0.92</v>
      </c>
      <c r="D185" s="306" t="n">
        <f aca="false">IF($A185&gt;Endyr,0,AVERAGE(C173:C184))</f>
        <v>0.92</v>
      </c>
      <c r="E185" s="306" t="n">
        <f aca="false">IF(D185&gt;E$10,0,E$10-D185)</f>
        <v>0</v>
      </c>
      <c r="F185" s="1562" t="n">
        <f aca="false">IF(Assm!$F$29=0,'Annex 10-Plant'!G185,'Annex 12-Plant'!T185)</f>
        <v>12416.3167316946</v>
      </c>
      <c r="G185" s="1563" t="n">
        <f aca="false">IF($A185&lt;Startops2,0,IF(Assm!$F$29=0,VLOOKUP($A185,Annex10_Gas_Table,'Annex 10-Gas'!$G$270),VLOOKUP($A185,Annex12_Gas_Table,'Annex 12-Gas'!$J$270)))</f>
        <v>14259.2070217791</v>
      </c>
      <c r="H185" s="1564" t="n">
        <f aca="false">IF($A185&lt;Startops2,0,IF(Assm!$F$29=0,VLOOKUP($A185,Annex10_Gas_Table,'Annex 10-Gas'!$P$270),VLOOKUP($A185,Annex12_Gas_Table,'Annex 12-Gas'!$V$270)))</f>
        <v>10803.0076058706</v>
      </c>
      <c r="I185" s="1563" t="n">
        <f aca="false">SUM(F185:H185)</f>
        <v>37478.5313593443</v>
      </c>
      <c r="J185" s="1563" t="n">
        <f aca="false">E185*I185</f>
        <v>0</v>
      </c>
      <c r="K185" s="1565" t="n">
        <f aca="false">IF(Assm!$L$74=1,VLOOKUP($A185,Curves_Table,Escalation!$D$291),Exch)</f>
        <v>1.065</v>
      </c>
      <c r="L185" s="1566" t="n">
        <f aca="false">J185/K185</f>
        <v>0</v>
      </c>
      <c r="M185" s="1567" t="str">
        <f aca="false">IF(MONTH($A185)=12,SUM(L174:L185)," ")</f>
        <v> </v>
      </c>
    </row>
    <row r="186" customFormat="false" ht="12.75" hidden="false" customHeight="false" outlineLevel="0" collapsed="false">
      <c r="A186" s="1538" t="n">
        <f aca="false">EDATE(A185,1)</f>
        <v>41548</v>
      </c>
      <c r="C186" s="1561" t="n">
        <f aca="false">MAX('Plant Operations'!H186,'Plant Operations'!L186)</f>
        <v>0.92</v>
      </c>
      <c r="D186" s="306" t="n">
        <f aca="false">IF($A186&gt;Endyr,0,AVERAGE(C174:C185))</f>
        <v>0.92</v>
      </c>
      <c r="E186" s="306" t="n">
        <f aca="false">IF(D186&gt;E$10,0,E$10-D186)</f>
        <v>0</v>
      </c>
      <c r="F186" s="1562" t="n">
        <f aca="false">IF(Assm!$F$29=0,'Annex 10-Plant'!G186,'Annex 12-Plant'!T186)</f>
        <v>12435.825541243</v>
      </c>
      <c r="G186" s="1563" t="n">
        <f aca="false">IF($A186&lt;Startops2,0,IF(Assm!$F$29=0,VLOOKUP($A186,Annex10_Gas_Table,'Annex 10-Gas'!$G$270),VLOOKUP($A186,Annex12_Gas_Table,'Annex 12-Gas'!$J$270)))</f>
        <v>14282.9066604667</v>
      </c>
      <c r="H186" s="1564" t="n">
        <f aca="false">IF($A186&lt;Startops2,0,IF(Assm!$F$29=0,VLOOKUP($A186,Annex10_Gas_Table,'Annex 10-Gas'!$P$270),VLOOKUP($A186,Annex12_Gas_Table,'Annex 12-Gas'!$V$270)))</f>
        <v>10820.9628383466</v>
      </c>
      <c r="I186" s="1563" t="n">
        <f aca="false">SUM(F186:H186)</f>
        <v>37539.6950400563</v>
      </c>
      <c r="J186" s="1563" t="n">
        <f aca="false">E186*I186</f>
        <v>0</v>
      </c>
      <c r="K186" s="1565" t="n">
        <f aca="false">IF(Assm!$L$74=1,VLOOKUP($A186,Curves_Table,Escalation!$D$291),Exch)</f>
        <v>1.065</v>
      </c>
      <c r="L186" s="1566" t="n">
        <f aca="false">J186/K186</f>
        <v>0</v>
      </c>
      <c r="M186" s="1567" t="str">
        <f aca="false">IF(MONTH($A186)=12,SUM(L175:L186)," ")</f>
        <v> </v>
      </c>
    </row>
    <row r="187" customFormat="false" ht="12.75" hidden="false" customHeight="false" outlineLevel="0" collapsed="false">
      <c r="A187" s="1538" t="n">
        <f aca="false">EDATE(A186,1)</f>
        <v>41579</v>
      </c>
      <c r="C187" s="1561" t="n">
        <f aca="false">MAX('Plant Operations'!H187,'Plant Operations'!L187)</f>
        <v>0.92</v>
      </c>
      <c r="D187" s="306" t="n">
        <f aca="false">IF($A187&gt;Endyr,0,AVERAGE(C175:C186))</f>
        <v>0.92</v>
      </c>
      <c r="E187" s="306" t="n">
        <f aca="false">IF(D187&gt;E$10,0,E$10-D187)</f>
        <v>0</v>
      </c>
      <c r="F187" s="1562" t="n">
        <f aca="false">IF(Assm!$F$29=0,'Annex 10-Plant'!G187,'Annex 12-Plant'!T187)</f>
        <v>12455.3667755775</v>
      </c>
      <c r="G187" s="1563" t="n">
        <f aca="false">IF($A187&lt;Startops2,0,IF(Assm!$F$29=0,VLOOKUP($A187,Annex10_Gas_Table,'Annex 10-Gas'!$G$270),VLOOKUP($A187,Annex12_Gas_Table,'Annex 12-Gas'!$J$270)))</f>
        <v>14306.6456893444</v>
      </c>
      <c r="H187" s="1564" t="n">
        <f aca="false">IF($A187&lt;Startops2,0,IF(Assm!$F$29=0,VLOOKUP($A187,Annex10_Gas_Table,'Annex 10-Gas'!$P$270),VLOOKUP($A187,Annex12_Gas_Table,'Annex 12-Gas'!$V$270)))</f>
        <v>10838.9479134724</v>
      </c>
      <c r="I187" s="1563" t="n">
        <f aca="false">SUM(F187:H187)</f>
        <v>37600.9603783943</v>
      </c>
      <c r="J187" s="1563" t="n">
        <f aca="false">E187*I187</f>
        <v>0</v>
      </c>
      <c r="K187" s="1565" t="n">
        <f aca="false">IF(Assm!$L$74=1,VLOOKUP($A187,Curves_Table,Escalation!$D$291),Exch)</f>
        <v>1.065</v>
      </c>
      <c r="L187" s="1566" t="n">
        <f aca="false">J187/K187</f>
        <v>0</v>
      </c>
      <c r="M187" s="1567" t="str">
        <f aca="false">IF(MONTH($A187)=12,SUM(L176:L187)," ")</f>
        <v> </v>
      </c>
    </row>
    <row r="188" customFormat="false" ht="12.75" hidden="false" customHeight="false" outlineLevel="0" collapsed="false">
      <c r="A188" s="1538" t="n">
        <f aca="false">EDATE(A187,1)</f>
        <v>41609</v>
      </c>
      <c r="C188" s="1561" t="n">
        <f aca="false">MAX('Plant Operations'!H188,'Plant Operations'!L188)</f>
        <v>0.92</v>
      </c>
      <c r="D188" s="306" t="n">
        <f aca="false">IF($A188&gt;Endyr,0,AVERAGE(C176:C187))</f>
        <v>0.92</v>
      </c>
      <c r="E188" s="306" t="n">
        <f aca="false">IF(D188&gt;E$10,0,E$10-D188)</f>
        <v>0</v>
      </c>
      <c r="F188" s="1562" t="n">
        <f aca="false">IF(Assm!$F$29=0,'Annex 10-Plant'!G188,'Annex 12-Plant'!T188)</f>
        <v>12474.94048859</v>
      </c>
      <c r="G188" s="1563" t="n">
        <f aca="false">IF($A188&lt;Startops2,0,IF(Assm!$F$29=0,VLOOKUP($A188,Annex10_Gas_Table,'Annex 10-Gas'!$G$270),VLOOKUP($A188,Annex12_Gas_Table,'Annex 12-Gas'!$J$270)))</f>
        <v>14330.4241738809</v>
      </c>
      <c r="H188" s="1564" t="n">
        <f aca="false">IF($A188&lt;Startops2,0,IF(Assm!$F$29=0,VLOOKUP($A188,Annex10_Gas_Table,'Annex 10-Gas'!$P$270),VLOOKUP($A188,Annex12_Gas_Table,'Annex 12-Gas'!$V$270)))</f>
        <v>10856.9628808483</v>
      </c>
      <c r="I188" s="1563" t="n">
        <f aca="false">SUM(F188:H188)</f>
        <v>37662.3275433191</v>
      </c>
      <c r="J188" s="1563" t="n">
        <f aca="false">E188*I188</f>
        <v>0</v>
      </c>
      <c r="K188" s="1565" t="n">
        <f aca="false">IF(Assm!$L$74=1,VLOOKUP($A188,Curves_Table,Escalation!$D$291),Exch)</f>
        <v>1.065</v>
      </c>
      <c r="L188" s="1566" t="n">
        <f aca="false">J188/K188</f>
        <v>0</v>
      </c>
      <c r="M188" s="1567" t="n">
        <f aca="false">IF(MONTH($A188)=12,SUM(L177:L188)," ")</f>
        <v>0</v>
      </c>
    </row>
    <row r="189" customFormat="false" ht="12.75" hidden="false" customHeight="false" outlineLevel="0" collapsed="false">
      <c r="A189" s="1538" t="n">
        <f aca="false">EDATE(A188,1)</f>
        <v>41640</v>
      </c>
      <c r="C189" s="1561" t="n">
        <f aca="false">MAX('Plant Operations'!H189,'Plant Operations'!L189)</f>
        <v>0.92</v>
      </c>
      <c r="D189" s="306" t="n">
        <f aca="false">IF($A189&gt;Endyr,0,AVERAGE(C177:C188))</f>
        <v>0.92</v>
      </c>
      <c r="E189" s="306" t="n">
        <f aca="false">IF(D189&gt;E$10,0,E$10-D189)</f>
        <v>0</v>
      </c>
      <c r="F189" s="1562" t="n">
        <f aca="false">IF(Assm!$F$29=0,'Annex 10-Plant'!G189,'Annex 12-Plant'!T189)</f>
        <v>12494.4185879798</v>
      </c>
      <c r="G189" s="1563" t="n">
        <f aca="false">IF($A189&lt;Startops2,0,IF(Assm!$F$29=0,VLOOKUP($A189,Annex10_Gas_Table,'Annex 10-Gas'!$G$270),VLOOKUP($A189,Annex12_Gas_Table,'Annex 12-Gas'!$J$270)))</f>
        <v>14354.0865053375</v>
      </c>
      <c r="H189" s="1564" t="n">
        <f aca="false">IF($A189&lt;Startops2,0,IF(Assm!$F$29=0,VLOOKUP($A189,Annex10_Gas_Table,'Annex 10-Gas'!$P$270),VLOOKUP($A189,Annex12_Gas_Table,'Annex 12-Gas'!$V$270)))</f>
        <v>10874.8898487581</v>
      </c>
      <c r="I189" s="1563" t="n">
        <f aca="false">SUM(F189:H189)</f>
        <v>37723.3949420753</v>
      </c>
      <c r="J189" s="1563" t="n">
        <f aca="false">E189*I189</f>
        <v>0</v>
      </c>
      <c r="K189" s="1565" t="n">
        <f aca="false">IF(Assm!$L$74=1,VLOOKUP($A189,Curves_Table,Escalation!$D$291),Exch)</f>
        <v>1.065</v>
      </c>
      <c r="L189" s="1566" t="n">
        <f aca="false">J189/K189</f>
        <v>0</v>
      </c>
      <c r="M189" s="1567" t="str">
        <f aca="false">IF(MONTH($A189)=12,SUM(L178:L189)," ")</f>
        <v> </v>
      </c>
    </row>
    <row r="190" customFormat="false" ht="12.75" hidden="false" customHeight="false" outlineLevel="0" collapsed="false">
      <c r="A190" s="1538" t="n">
        <f aca="false">EDATE(A189,1)</f>
        <v>41671</v>
      </c>
      <c r="C190" s="1561" t="n">
        <f aca="false">MAX('Plant Operations'!H190,'Plant Operations'!L190)</f>
        <v>0.92</v>
      </c>
      <c r="D190" s="306" t="n">
        <f aca="false">IF($A190&gt;Endyr,0,AVERAGE(C178:C189))</f>
        <v>0.92</v>
      </c>
      <c r="E190" s="306" t="n">
        <f aca="false">IF(D190&gt;E$10,0,E$10-D190)</f>
        <v>0</v>
      </c>
      <c r="F190" s="1562" t="n">
        <f aca="false">IF(Assm!$F$29=0,'Annex 10-Plant'!G190,'Annex 12-Plant'!T190)</f>
        <v>12513.9288495189</v>
      </c>
      <c r="G190" s="1563" t="n">
        <f aca="false">IF($A190&lt;Startops2,0,IF(Assm!$F$29=0,VLOOKUP($A190,Annex10_Gas_Table,'Annex 10-Gas'!$G$270),VLOOKUP($A190,Annex12_Gas_Table,'Annex 12-Gas'!$J$270)))</f>
        <v>14377.7879079286</v>
      </c>
      <c r="H190" s="1564" t="n">
        <f aca="false">IF($A190&lt;Startops2,0,IF(Assm!$F$29=0,VLOOKUP($A190,Annex10_Gas_Table,'Annex 10-Gas'!$P$270),VLOOKUP($A190,Annex12_Gas_Table,'Annex 12-Gas'!$V$270)))</f>
        <v>10892.8464175961</v>
      </c>
      <c r="I190" s="1563" t="n">
        <f aca="false">SUM(F190:H190)</f>
        <v>37784.5631750437</v>
      </c>
      <c r="J190" s="1563" t="n">
        <f aca="false">E190*I190</f>
        <v>0</v>
      </c>
      <c r="K190" s="1565" t="n">
        <f aca="false">IF(Assm!$L$74=1,VLOOKUP($A190,Curves_Table,Escalation!$D$291),Exch)</f>
        <v>1.065</v>
      </c>
      <c r="L190" s="1566" t="n">
        <f aca="false">J190/K190</f>
        <v>0</v>
      </c>
      <c r="M190" s="1567" t="str">
        <f aca="false">IF(MONTH($A190)=12,SUM(L179:L190)," ")</f>
        <v> </v>
      </c>
    </row>
    <row r="191" customFormat="false" ht="12.75" hidden="false" customHeight="false" outlineLevel="0" collapsed="false">
      <c r="A191" s="1538" t="n">
        <f aca="false">EDATE(A190,1)</f>
        <v>41699</v>
      </c>
      <c r="C191" s="1561" t="n">
        <f aca="false">MAX('Plant Operations'!H191,'Plant Operations'!L191)</f>
        <v>0.92</v>
      </c>
      <c r="D191" s="306" t="n">
        <f aca="false">IF($A191&gt;Endyr,0,AVERAGE(C179:C190))</f>
        <v>0.92</v>
      </c>
      <c r="E191" s="306" t="n">
        <f aca="false">IF(D191&gt;E$10,0,E$10-D191)</f>
        <v>0</v>
      </c>
      <c r="F191" s="1562" t="n">
        <f aca="false">IF(Assm!$F$29=0,'Annex 10-Plant'!G191,'Annex 12-Plant'!T191)</f>
        <v>12533.4713263136</v>
      </c>
      <c r="G191" s="1563" t="n">
        <f aca="false">IF($A191&lt;Startops2,0,IF(Assm!$F$29=0,VLOOKUP($A191,Annex10_Gas_Table,'Annex 10-Gas'!$G$270),VLOOKUP($A191,Annex12_Gas_Table,'Annex 12-Gas'!$J$270)))</f>
        <v>14401.5284461683</v>
      </c>
      <c r="H191" s="1564" t="n">
        <f aca="false">IF($A191&lt;Startops2,0,IF(Assm!$F$29=0,VLOOKUP($A191,Annex10_Gas_Table,'Annex 10-Gas'!$P$270),VLOOKUP($A191,Annex12_Gas_Table,'Annex 12-Gas'!$V$270)))</f>
        <v>10910.8326362392</v>
      </c>
      <c r="I191" s="1563" t="n">
        <f aca="false">SUM(F191:H191)</f>
        <v>37845.8324087211</v>
      </c>
      <c r="J191" s="1563" t="n">
        <f aca="false">E191*I191</f>
        <v>0</v>
      </c>
      <c r="K191" s="1565" t="n">
        <f aca="false">IF(Assm!$L$74=1,VLOOKUP($A191,Curves_Table,Escalation!$D$291),Exch)</f>
        <v>1.065</v>
      </c>
      <c r="L191" s="1566" t="n">
        <f aca="false">J191/K191</f>
        <v>0</v>
      </c>
      <c r="M191" s="1567" t="str">
        <f aca="false">IF(MONTH($A191)=12,SUM(L180:L191)," ")</f>
        <v> </v>
      </c>
    </row>
    <row r="192" customFormat="false" ht="12.75" hidden="false" customHeight="false" outlineLevel="0" collapsed="false">
      <c r="A192" s="1538" t="n">
        <f aca="false">EDATE(A191,1)</f>
        <v>41730</v>
      </c>
      <c r="C192" s="1561" t="n">
        <f aca="false">MAX('Plant Operations'!H192,'Plant Operations'!L192)</f>
        <v>0.92</v>
      </c>
      <c r="D192" s="306" t="n">
        <f aca="false">IF($A192&gt;Endyr,0,AVERAGE(C180:C191))</f>
        <v>0.92</v>
      </c>
      <c r="E192" s="306" t="n">
        <f aca="false">IF(D192&gt;E$10,0,E$10-D192)</f>
        <v>0</v>
      </c>
      <c r="F192" s="1562" t="n">
        <f aca="false">IF(Assm!$F$29=0,'Annex 10-Plant'!G192,'Annex 12-Plant'!T192)</f>
        <v>12553.0460715573</v>
      </c>
      <c r="G192" s="1563" t="n">
        <f aca="false">IF($A192&lt;Startops2,0,IF(Assm!$F$29=0,VLOOKUP($A192,Annex10_Gas_Table,'Annex 10-Gas'!$G$270),VLOOKUP($A192,Annex12_Gas_Table,'Annex 12-Gas'!$J$270)))</f>
        <v>14425.3081846772</v>
      </c>
      <c r="H192" s="1564" t="n">
        <f aca="false">IF($A192&lt;Startops2,0,IF(Assm!$F$29=0,VLOOKUP($A192,Annex10_Gas_Table,'Annex 10-Gas'!$P$270),VLOOKUP($A192,Annex12_Gas_Table,'Annex 12-Gas'!$V$270)))</f>
        <v>10928.848553645</v>
      </c>
      <c r="I192" s="1563" t="n">
        <f aca="false">SUM(F192:H192)</f>
        <v>37907.2028098795</v>
      </c>
      <c r="J192" s="1563" t="n">
        <f aca="false">E192*I192</f>
        <v>0</v>
      </c>
      <c r="K192" s="1565" t="n">
        <f aca="false">IF(Assm!$L$74=1,VLOOKUP($A192,Curves_Table,Escalation!$D$291),Exch)</f>
        <v>1.065</v>
      </c>
      <c r="L192" s="1566" t="n">
        <f aca="false">J192/K192</f>
        <v>0</v>
      </c>
      <c r="M192" s="1567" t="str">
        <f aca="false">IF(MONTH($A192)=12,SUM(L181:L192)," ")</f>
        <v> </v>
      </c>
    </row>
    <row r="193" customFormat="false" ht="12.75" hidden="false" customHeight="false" outlineLevel="0" collapsed="false">
      <c r="A193" s="1538" t="n">
        <f aca="false">EDATE(A192,1)</f>
        <v>41760</v>
      </c>
      <c r="C193" s="1561" t="n">
        <f aca="false">MAX('Plant Operations'!H193,'Plant Operations'!L193)</f>
        <v>0.92</v>
      </c>
      <c r="D193" s="306" t="n">
        <f aca="false">IF($A193&gt;Endyr,0,AVERAGE(C181:C192))</f>
        <v>0.92</v>
      </c>
      <c r="E193" s="306" t="n">
        <f aca="false">IF(D193&gt;E$10,0,E$10-D193)</f>
        <v>0</v>
      </c>
      <c r="F193" s="1562" t="n">
        <f aca="false">IF(Assm!$F$29=0,'Annex 10-Plant'!G193,'Annex 12-Plant'!T193)</f>
        <v>8219.37367160822</v>
      </c>
      <c r="G193" s="1563" t="n">
        <f aca="false">IF($A193&lt;Startops2,0,IF(Assm!$F$29=0,VLOOKUP($A193,Annex10_Gas_Table,'Annex 10-Gas'!$G$270),VLOOKUP($A193,Annex12_Gas_Table,'Annex 12-Gas'!$J$270)))</f>
        <v>14796.7153379333</v>
      </c>
      <c r="H193" s="1564" t="n">
        <f aca="false">IF($A193&lt;Startops2,0,IF(Assm!$F$29=0,VLOOKUP($A193,Annex10_Gas_Table,'Annex 10-Gas'!$P$270),VLOOKUP($A193,Annex12_Gas_Table,'Annex 12-Gas'!$V$270)))</f>
        <v>11113.1831492113</v>
      </c>
      <c r="I193" s="1563" t="n">
        <f aca="false">SUM(F193:H193)</f>
        <v>34129.2721587528</v>
      </c>
      <c r="J193" s="1563" t="n">
        <f aca="false">E193*I193</f>
        <v>0</v>
      </c>
      <c r="K193" s="1565" t="n">
        <f aca="false">IF(Assm!$L$74=1,VLOOKUP($A193,Curves_Table,Escalation!$D$291),Exch)</f>
        <v>1.065</v>
      </c>
      <c r="L193" s="1566" t="n">
        <f aca="false">J193/K193</f>
        <v>0</v>
      </c>
      <c r="M193" s="1567" t="str">
        <f aca="false">IF(MONTH($A193)=12,SUM(L182:L193)," ")</f>
        <v> </v>
      </c>
    </row>
    <row r="194" customFormat="false" ht="12.75" hidden="false" customHeight="false" outlineLevel="0" collapsed="false">
      <c r="A194" s="1538" t="n">
        <f aca="false">EDATE(A193,1)</f>
        <v>41791</v>
      </c>
      <c r="C194" s="1561" t="n">
        <f aca="false">MAX('Plant Operations'!H194,'Plant Operations'!L194)</f>
        <v>0.92</v>
      </c>
      <c r="D194" s="306" t="n">
        <f aca="false">IF($A194&gt;Endyr,0,AVERAGE(C182:C193))</f>
        <v>0.92</v>
      </c>
      <c r="E194" s="306" t="n">
        <f aca="false">IF(D194&gt;E$10,0,E$10-D194)</f>
        <v>0</v>
      </c>
      <c r="F194" s="1562" t="n">
        <f aca="false">IF(Assm!$F$29=0,'Annex 10-Plant'!G194,'Annex 12-Plant'!T194)</f>
        <v>8231.8409104282</v>
      </c>
      <c r="G194" s="1563" t="n">
        <f aca="false">IF($A194&lt;Startops2,0,IF(Assm!$F$29=0,VLOOKUP($A194,Annex10_Gas_Table,'Annex 10-Gas'!$G$270),VLOOKUP($A194,Annex12_Gas_Table,'Annex 12-Gas'!$J$270)))</f>
        <v>14821.147607247</v>
      </c>
      <c r="H194" s="1564" t="n">
        <f aca="false">IF($A194&lt;Startops2,0,IF(Assm!$F$29=0,VLOOKUP($A194,Annex10_Gas_Table,'Annex 10-Gas'!$P$270),VLOOKUP($A194,Annex12_Gas_Table,'Annex 12-Gas'!$V$270)))</f>
        <v>11131.5331868671</v>
      </c>
      <c r="I194" s="1563" t="n">
        <f aca="false">SUM(F194:H194)</f>
        <v>34184.5217045424</v>
      </c>
      <c r="J194" s="1563" t="n">
        <f aca="false">E194*I194</f>
        <v>0</v>
      </c>
      <c r="K194" s="1565" t="n">
        <f aca="false">IF(Assm!$L$74=1,VLOOKUP($A194,Curves_Table,Escalation!$D$291),Exch)</f>
        <v>1.065</v>
      </c>
      <c r="L194" s="1566" t="n">
        <f aca="false">J194/K194</f>
        <v>0</v>
      </c>
      <c r="M194" s="1567" t="str">
        <f aca="false">IF(MONTH($A194)=12,SUM(L183:L194)," ")</f>
        <v> </v>
      </c>
    </row>
    <row r="195" customFormat="false" ht="12.75" hidden="false" customHeight="false" outlineLevel="0" collapsed="false">
      <c r="A195" s="1538" t="n">
        <f aca="false">EDATE(A194,1)</f>
        <v>41821</v>
      </c>
      <c r="C195" s="1561" t="n">
        <f aca="false">MAX('Plant Operations'!H195,'Plant Operations'!L195)</f>
        <v>0.92</v>
      </c>
      <c r="D195" s="306" t="n">
        <f aca="false">IF($A195&gt;Endyr,0,AVERAGE(C183:C194))</f>
        <v>0.92</v>
      </c>
      <c r="E195" s="306" t="n">
        <f aca="false">IF(D195&gt;E$10,0,E$10-D195)</f>
        <v>0</v>
      </c>
      <c r="F195" s="1562" t="n">
        <f aca="false">IF(Assm!$F$29=0,'Annex 10-Plant'!G195,'Annex 12-Plant'!T195)</f>
        <v>8244.32873509644</v>
      </c>
      <c r="G195" s="1563" t="n">
        <f aca="false">IF($A195&lt;Startops2,0,IF(Assm!$F$29=0,VLOOKUP($A195,Annex10_Gas_Table,'Annex 10-Gas'!$G$270),VLOOKUP($A195,Annex12_Gas_Table,'Annex 12-Gas'!$J$270)))</f>
        <v>14845.6202190131</v>
      </c>
      <c r="H195" s="1564" t="n">
        <f aca="false">IF($A195&lt;Startops2,0,IF(Assm!$F$29=0,VLOOKUP($A195,Annex10_Gas_Table,'Annex 10-Gas'!$P$270),VLOOKUP($A195,Annex12_Gas_Table,'Annex 12-Gas'!$V$270)))</f>
        <v>11149.913524022</v>
      </c>
      <c r="I195" s="1563" t="n">
        <f aca="false">SUM(F195:H195)</f>
        <v>34239.8624781316</v>
      </c>
      <c r="J195" s="1563" t="n">
        <f aca="false">E195*I195</f>
        <v>0</v>
      </c>
      <c r="K195" s="1565" t="n">
        <f aca="false">IF(Assm!$L$74=1,VLOOKUP($A195,Curves_Table,Escalation!$D$291),Exch)</f>
        <v>1.065</v>
      </c>
      <c r="L195" s="1566" t="n">
        <f aca="false">J195/K195</f>
        <v>0</v>
      </c>
      <c r="M195" s="1567" t="str">
        <f aca="false">IF(MONTH($A195)=12,SUM(L184:L195)," ")</f>
        <v> </v>
      </c>
    </row>
    <row r="196" customFormat="false" ht="12.75" hidden="false" customHeight="false" outlineLevel="0" collapsed="false">
      <c r="A196" s="1538" t="n">
        <f aca="false">EDATE(A195,1)</f>
        <v>41852</v>
      </c>
      <c r="C196" s="1561" t="n">
        <f aca="false">MAX('Plant Operations'!H196,'Plant Operations'!L196)</f>
        <v>0.92</v>
      </c>
      <c r="D196" s="306" t="n">
        <f aca="false">IF($A196&gt;Endyr,0,AVERAGE(C184:C195))</f>
        <v>0.92</v>
      </c>
      <c r="E196" s="306" t="n">
        <f aca="false">IF(D196&gt;E$10,0,E$10-D196)</f>
        <v>0</v>
      </c>
      <c r="F196" s="1562" t="n">
        <f aca="false">IF(Assm!$F$29=0,'Annex 10-Plant'!G196,'Annex 12-Plant'!T196)</f>
        <v>8256.83717960417</v>
      </c>
      <c r="G196" s="1563" t="n">
        <f aca="false">IF($A196&lt;Startops2,0,IF(Assm!$F$29=0,VLOOKUP($A196,Annex10_Gas_Table,'Annex 10-Gas'!$G$270),VLOOKUP($A196,Annex12_Gas_Table,'Annex 12-Gas'!$J$270)))</f>
        <v>14870.1332398449</v>
      </c>
      <c r="H196" s="1564" t="n">
        <f aca="false">IF($A196&lt;Startops2,0,IF(Assm!$F$29=0,VLOOKUP($A196,Annex10_Gas_Table,'Annex 10-Gas'!$P$270),VLOOKUP($A196,Annex12_Gas_Table,'Annex 12-Gas'!$V$270)))</f>
        <v>11168.3242107063</v>
      </c>
      <c r="I196" s="1563" t="n">
        <f aca="false">SUM(F196:H196)</f>
        <v>34295.2946301553</v>
      </c>
      <c r="J196" s="1563" t="n">
        <f aca="false">E196*I196</f>
        <v>0</v>
      </c>
      <c r="K196" s="1565" t="n">
        <f aca="false">IF(Assm!$L$74=1,VLOOKUP($A196,Curves_Table,Escalation!$D$291),Exch)</f>
        <v>1.065</v>
      </c>
      <c r="L196" s="1566" t="n">
        <f aca="false">J196/K196</f>
        <v>0</v>
      </c>
      <c r="M196" s="1567" t="str">
        <f aca="false">IF(MONTH($A196)=12,SUM(L185:L196)," ")</f>
        <v> </v>
      </c>
    </row>
    <row r="197" customFormat="false" ht="12.75" hidden="false" customHeight="false" outlineLevel="0" collapsed="false">
      <c r="A197" s="1538" t="n">
        <f aca="false">EDATE(A196,1)</f>
        <v>41883</v>
      </c>
      <c r="C197" s="1561" t="n">
        <f aca="false">MAX('Plant Operations'!H197,'Plant Operations'!L197)</f>
        <v>0.92</v>
      </c>
      <c r="D197" s="306" t="n">
        <f aca="false">IF($A197&gt;Endyr,0,AVERAGE(C185:C196))</f>
        <v>0.92</v>
      </c>
      <c r="E197" s="306" t="n">
        <f aca="false">IF(D197&gt;E$10,0,E$10-D197)</f>
        <v>0</v>
      </c>
      <c r="F197" s="1562" t="n">
        <f aca="false">IF(Assm!$F$29=0,'Annex 10-Plant'!G197,'Annex 12-Plant'!T197)</f>
        <v>8269.3662779988</v>
      </c>
      <c r="G197" s="1563" t="n">
        <f aca="false">IF($A197&lt;Startops2,0,IF(Assm!$F$29=0,VLOOKUP($A197,Annex10_Gas_Table,'Annex 10-Gas'!$G$270),VLOOKUP($A197,Annex12_Gas_Table,'Annex 12-Gas'!$J$270)))</f>
        <v>14894.6867364655</v>
      </c>
      <c r="H197" s="1564" t="n">
        <f aca="false">IF($A197&lt;Startops2,0,IF(Assm!$F$29=0,VLOOKUP($A197,Annex10_Gas_Table,'Annex 10-Gas'!$P$270),VLOOKUP($A197,Annex12_Gas_Table,'Annex 12-Gas'!$V$270)))</f>
        <v>11186.765297033</v>
      </c>
      <c r="I197" s="1563" t="n">
        <f aca="false">SUM(F197:H197)</f>
        <v>34350.8183114973</v>
      </c>
      <c r="J197" s="1563" t="n">
        <f aca="false">E197*I197</f>
        <v>0</v>
      </c>
      <c r="K197" s="1565" t="n">
        <f aca="false">IF(Assm!$L$74=1,VLOOKUP($A197,Curves_Table,Escalation!$D$291),Exch)</f>
        <v>1.065</v>
      </c>
      <c r="L197" s="1566" t="n">
        <f aca="false">J197/K197</f>
        <v>0</v>
      </c>
      <c r="M197" s="1567" t="str">
        <f aca="false">IF(MONTH($A197)=12,SUM(L186:L197)," ")</f>
        <v> </v>
      </c>
    </row>
    <row r="198" customFormat="false" ht="12.75" hidden="false" customHeight="false" outlineLevel="0" collapsed="false">
      <c r="A198" s="1538" t="n">
        <f aca="false">EDATE(A197,1)</f>
        <v>41913</v>
      </c>
      <c r="C198" s="1561" t="n">
        <f aca="false">MAX('Plant Operations'!H198,'Plant Operations'!L198)</f>
        <v>0.92</v>
      </c>
      <c r="D198" s="306" t="n">
        <f aca="false">IF($A198&gt;Endyr,0,AVERAGE(C186:C197))</f>
        <v>0.92</v>
      </c>
      <c r="E198" s="306" t="n">
        <f aca="false">IF(D198&gt;E$10,0,E$10-D198)</f>
        <v>0</v>
      </c>
      <c r="F198" s="1562" t="n">
        <f aca="false">IF(Assm!$F$29=0,'Annex 10-Plant'!G198,'Annex 12-Plant'!T198)</f>
        <v>8281.91606438391</v>
      </c>
      <c r="G198" s="1563" t="n">
        <f aca="false">IF($A198&lt;Startops2,0,IF(Assm!$F$29=0,VLOOKUP($A198,Annex10_Gas_Table,'Annex 10-Gas'!$G$270),VLOOKUP($A198,Annex12_Gas_Table,'Annex 12-Gas'!$J$270)))</f>
        <v>14919.2807757085</v>
      </c>
      <c r="H198" s="1564" t="n">
        <f aca="false">IF($A198&lt;Startops2,0,IF(Assm!$F$29=0,VLOOKUP($A198,Annex10_Gas_Table,'Annex 10-Gas'!$P$270),VLOOKUP($A198,Annex12_Gas_Table,'Annex 12-Gas'!$V$270)))</f>
        <v>11205.2368331979</v>
      </c>
      <c r="I198" s="1563" t="n">
        <f aca="false">SUM(F198:H198)</f>
        <v>34406.4336732904</v>
      </c>
      <c r="J198" s="1563" t="n">
        <f aca="false">E198*I198</f>
        <v>0</v>
      </c>
      <c r="K198" s="1565" t="n">
        <f aca="false">IF(Assm!$L$74=1,VLOOKUP($A198,Curves_Table,Escalation!$D$291),Exch)</f>
        <v>1.065</v>
      </c>
      <c r="L198" s="1566" t="n">
        <f aca="false">J198/K198</f>
        <v>0</v>
      </c>
      <c r="M198" s="1567" t="str">
        <f aca="false">IF(MONTH($A198)=12,SUM(L187:L198)," ")</f>
        <v> </v>
      </c>
    </row>
    <row r="199" customFormat="false" ht="12.75" hidden="false" customHeight="false" outlineLevel="0" collapsed="false">
      <c r="A199" s="1538" t="n">
        <f aca="false">EDATE(A198,1)</f>
        <v>41944</v>
      </c>
      <c r="C199" s="1561" t="n">
        <f aca="false">MAX('Plant Operations'!H199,'Plant Operations'!L199)</f>
        <v>0.92</v>
      </c>
      <c r="D199" s="306" t="n">
        <f aca="false">IF($A199&gt;Endyr,0,AVERAGE(C187:C198))</f>
        <v>0.92</v>
      </c>
      <c r="E199" s="306" t="n">
        <f aca="false">IF(D199&gt;E$10,0,E$10-D199)</f>
        <v>0</v>
      </c>
      <c r="F199" s="1562" t="n">
        <f aca="false">IF(Assm!$F$29=0,'Annex 10-Plant'!G199,'Annex 12-Plant'!T199)</f>
        <v>8294.48657291944</v>
      </c>
      <c r="G199" s="1563" t="n">
        <f aca="false">IF($A199&lt;Startops2,0,IF(Assm!$F$29=0,VLOOKUP($A199,Annex10_Gas_Table,'Annex 10-Gas'!$G$270),VLOOKUP($A199,Annex12_Gas_Table,'Annex 12-Gas'!$J$270)))</f>
        <v>14943.9154245177</v>
      </c>
      <c r="H199" s="1564" t="n">
        <f aca="false">IF($A199&lt;Startops2,0,IF(Assm!$F$29=0,VLOOKUP($A199,Annex10_Gas_Table,'Annex 10-Gas'!$P$270),VLOOKUP($A199,Annex12_Gas_Table,'Annex 12-Gas'!$V$270)))</f>
        <v>11223.7388694797</v>
      </c>
      <c r="I199" s="1563" t="n">
        <f aca="false">SUM(F199:H199)</f>
        <v>34462.1408669168</v>
      </c>
      <c r="J199" s="1563" t="n">
        <f aca="false">E199*I199</f>
        <v>0</v>
      </c>
      <c r="K199" s="1565" t="n">
        <f aca="false">IF(Assm!$L$74=1,VLOOKUP($A199,Curves_Table,Escalation!$D$291),Exch)</f>
        <v>1.065</v>
      </c>
      <c r="L199" s="1566" t="n">
        <f aca="false">J199/K199</f>
        <v>0</v>
      </c>
      <c r="M199" s="1567" t="str">
        <f aca="false">IF(MONTH($A199)=12,SUM(L188:L199)," ")</f>
        <v> </v>
      </c>
    </row>
    <row r="200" customFormat="false" ht="12.75" hidden="false" customHeight="false" outlineLevel="0" collapsed="false">
      <c r="A200" s="1538" t="n">
        <f aca="false">EDATE(A199,1)</f>
        <v>41974</v>
      </c>
      <c r="C200" s="1561" t="n">
        <f aca="false">MAX('Plant Operations'!H200,'Plant Operations'!L200)</f>
        <v>0.92</v>
      </c>
      <c r="D200" s="306" t="n">
        <f aca="false">IF($A200&gt;Endyr,0,AVERAGE(C188:C199))</f>
        <v>0.92</v>
      </c>
      <c r="E200" s="306" t="n">
        <f aca="false">IF(D200&gt;E$10,0,E$10-D200)</f>
        <v>0</v>
      </c>
      <c r="F200" s="1562" t="n">
        <f aca="false">IF(Assm!$F$29=0,'Annex 10-Plant'!G200,'Annex 12-Plant'!T200)</f>
        <v>8307.07783782169</v>
      </c>
      <c r="G200" s="1563" t="n">
        <f aca="false">IF($A200&lt;Startops2,0,IF(Assm!$F$29=0,VLOOKUP($A200,Annex10_Gas_Table,'Annex 10-Gas'!$G$270),VLOOKUP($A200,Annex12_Gas_Table,'Annex 12-Gas'!$J$270)))</f>
        <v>14968.5907499473</v>
      </c>
      <c r="H200" s="1564" t="n">
        <f aca="false">IF($A200&lt;Startops2,0,IF(Assm!$F$29=0,VLOOKUP($A200,Annex10_Gas_Table,'Annex 10-Gas'!$P$270),VLOOKUP($A200,Annex12_Gas_Table,'Annex 12-Gas'!$V$270)))</f>
        <v>11242.2714562398</v>
      </c>
      <c r="I200" s="1563" t="n">
        <f aca="false">SUM(F200:H200)</f>
        <v>34517.9400440088</v>
      </c>
      <c r="J200" s="1563" t="n">
        <f aca="false">E200*I200</f>
        <v>0</v>
      </c>
      <c r="K200" s="1565" t="n">
        <f aca="false">IF(Assm!$L$74=1,VLOOKUP($A200,Curves_Table,Escalation!$D$291),Exch)</f>
        <v>1.065</v>
      </c>
      <c r="L200" s="1566" t="n">
        <f aca="false">J200/K200</f>
        <v>0</v>
      </c>
      <c r="M200" s="1567" t="n">
        <f aca="false">IF(MONTH($A200)=12,SUM(L189:L200)," ")</f>
        <v>0</v>
      </c>
    </row>
    <row r="201" customFormat="false" ht="12.75" hidden="false" customHeight="false" outlineLevel="0" collapsed="false">
      <c r="A201" s="1538" t="n">
        <f aca="false">EDATE(A200,1)</f>
        <v>42005</v>
      </c>
      <c r="C201" s="1561" t="n">
        <f aca="false">MAX('Plant Operations'!H201,'Plant Operations'!L201)</f>
        <v>0.92</v>
      </c>
      <c r="D201" s="306" t="n">
        <f aca="false">IF($A201&gt;Endyr,0,AVERAGE(C189:C200))</f>
        <v>0.92</v>
      </c>
      <c r="E201" s="306" t="n">
        <f aca="false">IF(D201&gt;E$10,0,E$10-D201)</f>
        <v>0</v>
      </c>
      <c r="F201" s="1562" t="n">
        <f aca="false">IF(Assm!$F$29=0,'Annex 10-Plant'!G201,'Annex 12-Plant'!T201)</f>
        <v>8319.67509816539</v>
      </c>
      <c r="G201" s="1563" t="n">
        <f aca="false">IF($A201&lt;Startops2,0,IF(Assm!$F$29=0,VLOOKUP($A201,Annex10_Gas_Table,'Annex 10-Gas'!$G$270),VLOOKUP($A201,Annex12_Gas_Table,'Annex 12-Gas'!$J$270)))</f>
        <v>14993.27782475</v>
      </c>
      <c r="H201" s="1564" t="n">
        <f aca="false">IF($A201&lt;Startops2,0,IF(Assm!$F$29=0,VLOOKUP($A201,Annex10_Gas_Table,'Annex 10-Gas'!$P$270),VLOOKUP($A201,Annex12_Gas_Table,'Annex 12-Gas'!$V$270)))</f>
        <v>11260.8128674541</v>
      </c>
      <c r="I201" s="1563" t="n">
        <f aca="false">SUM(F201:H201)</f>
        <v>34573.7657903695</v>
      </c>
      <c r="J201" s="1563" t="n">
        <f aca="false">E201*I201</f>
        <v>0</v>
      </c>
      <c r="K201" s="1565" t="n">
        <f aca="false">IF(Assm!$L$74=1,VLOOKUP($A201,Curves_Table,Escalation!$D$291),Exch)</f>
        <v>1.065</v>
      </c>
      <c r="L201" s="1566" t="n">
        <f aca="false">J201/K201</f>
        <v>0</v>
      </c>
      <c r="M201" s="1567" t="str">
        <f aca="false">IF(MONTH($A201)=12,SUM(L190:L201)," ")</f>
        <v> </v>
      </c>
    </row>
    <row r="202" customFormat="false" ht="12.75" hidden="false" customHeight="false" outlineLevel="0" collapsed="false">
      <c r="A202" s="1538" t="n">
        <f aca="false">EDATE(A201,1)</f>
        <v>42036</v>
      </c>
      <c r="C202" s="1561" t="n">
        <f aca="false">MAX('Plant Operations'!H202,'Plant Operations'!L202)</f>
        <v>0.92</v>
      </c>
      <c r="D202" s="306" t="n">
        <f aca="false">IF($A202&gt;Endyr,0,AVERAGE(C190:C201))</f>
        <v>0.92</v>
      </c>
      <c r="E202" s="306" t="n">
        <f aca="false">IF(D202&gt;E$10,0,E$10-D202)</f>
        <v>0</v>
      </c>
      <c r="F202" s="1562" t="n">
        <f aca="false">IF(Assm!$F$29=0,'Annex 10-Plant'!G202,'Annex 12-Plant'!T202)</f>
        <v>8332.29313464718</v>
      </c>
      <c r="G202" s="1563" t="n">
        <f aca="false">IF($A202&lt;Startops2,0,IF(Assm!$F$29=0,VLOOKUP($A202,Annex10_Gas_Table,'Annex 10-Gas'!$G$270),VLOOKUP($A202,Annex12_Gas_Table,'Annex 12-Gas'!$J$270)))</f>
        <v>15018.0056149195</v>
      </c>
      <c r="H202" s="1564" t="n">
        <f aca="false">IF($A202&lt;Startops2,0,IF(Assm!$F$29=0,VLOOKUP($A202,Annex10_Gas_Table,'Annex 10-Gas'!$P$270),VLOOKUP($A202,Annex12_Gas_Table,'Annex 12-Gas'!$V$270)))</f>
        <v>11279.3848582475</v>
      </c>
      <c r="I202" s="1563" t="n">
        <f aca="false">SUM(F202:H202)</f>
        <v>34629.6836078141</v>
      </c>
      <c r="J202" s="1563" t="n">
        <f aca="false">E202*I202</f>
        <v>0</v>
      </c>
      <c r="K202" s="1565" t="n">
        <f aca="false">IF(Assm!$L$74=1,VLOOKUP($A202,Curves_Table,Escalation!$D$291),Exch)</f>
        <v>1.065</v>
      </c>
      <c r="L202" s="1566" t="n">
        <f aca="false">J202/K202</f>
        <v>0</v>
      </c>
      <c r="M202" s="1567" t="str">
        <f aca="false">IF(MONTH($A202)=12,SUM(L191:L202)," ")</f>
        <v> </v>
      </c>
    </row>
    <row r="203" customFormat="false" ht="12.75" hidden="false" customHeight="false" outlineLevel="0" collapsed="false">
      <c r="A203" s="1538" t="n">
        <f aca="false">EDATE(A202,1)</f>
        <v>42064</v>
      </c>
      <c r="C203" s="1561" t="n">
        <f aca="false">MAX('Plant Operations'!H203,'Plant Operations'!L203)</f>
        <v>0.92</v>
      </c>
      <c r="D203" s="306" t="n">
        <f aca="false">IF($A203&gt;Endyr,0,AVERAGE(C191:C202))</f>
        <v>0.92</v>
      </c>
      <c r="E203" s="306" t="n">
        <f aca="false">IF(D203&gt;E$10,0,E$10-D203)</f>
        <v>0</v>
      </c>
      <c r="F203" s="1562" t="n">
        <f aca="false">IF(Assm!$F$29=0,'Annex 10-Plant'!G203,'Annex 12-Plant'!T203)</f>
        <v>8344.93198153229</v>
      </c>
      <c r="G203" s="1563" t="n">
        <f aca="false">IF($A203&lt;Startops2,0,IF(Assm!$F$29=0,VLOOKUP($A203,Annex10_Gas_Table,'Annex 10-Gas'!$G$270),VLOOKUP($A203,Annex12_Gas_Table,'Annex 12-Gas'!$J$270)))</f>
        <v>15042.7741876059</v>
      </c>
      <c r="H203" s="1564" t="n">
        <f aca="false">IF($A203&lt;Startops2,0,IF(Assm!$F$29=0,VLOOKUP($A203,Annex10_Gas_Table,'Annex 10-Gas'!$P$270),VLOOKUP($A203,Annex12_Gas_Table,'Annex 12-Gas'!$V$270)))</f>
        <v>11297.9874790537</v>
      </c>
      <c r="I203" s="1563" t="n">
        <f aca="false">SUM(F203:H203)</f>
        <v>34685.6936481918</v>
      </c>
      <c r="J203" s="1563" t="n">
        <f aca="false">E203*I203</f>
        <v>0</v>
      </c>
      <c r="K203" s="1565" t="n">
        <f aca="false">IF(Assm!$L$74=1,VLOOKUP($A203,Curves_Table,Escalation!$D$291),Exch)</f>
        <v>1.065</v>
      </c>
      <c r="L203" s="1566" t="n">
        <f aca="false">J203/K203</f>
        <v>0</v>
      </c>
      <c r="M203" s="1567" t="str">
        <f aca="false">IF(MONTH($A203)=12,SUM(L192:L203)," ")</f>
        <v> </v>
      </c>
    </row>
    <row r="204" customFormat="false" ht="12.75" hidden="false" customHeight="false" outlineLevel="0" collapsed="false">
      <c r="A204" s="1538" t="n">
        <f aca="false">EDATE(A203,1)</f>
        <v>42095</v>
      </c>
      <c r="C204" s="1561" t="n">
        <f aca="false">MAX('Plant Operations'!H204,'Plant Operations'!L204)</f>
        <v>0.92</v>
      </c>
      <c r="D204" s="306" t="n">
        <f aca="false">IF($A204&gt;Endyr,0,AVERAGE(C192:C203))</f>
        <v>0.92</v>
      </c>
      <c r="E204" s="306" t="n">
        <f aca="false">IF(D204&gt;E$10,0,E$10-D204)</f>
        <v>0</v>
      </c>
      <c r="F204" s="1562" t="n">
        <f aca="false">IF(Assm!$F$29=0,'Annex 10-Plant'!G204,'Annex 12-Plant'!T204)</f>
        <v>8357.59167314244</v>
      </c>
      <c r="G204" s="1563" t="n">
        <f aca="false">IF($A204&lt;Startops2,0,IF(Assm!$F$29=0,VLOOKUP($A204,Annex10_Gas_Table,'Annex 10-Gas'!$G$270),VLOOKUP($A204,Annex12_Gas_Table,'Annex 12-Gas'!$J$270)))</f>
        <v>15067.5836100701</v>
      </c>
      <c r="H204" s="1564" t="n">
        <f aca="false">IF($A204&lt;Startops2,0,IF(Assm!$F$29=0,VLOOKUP($A204,Annex10_Gas_Table,'Annex 10-Gas'!$P$270),VLOOKUP($A204,Annex12_Gas_Table,'Annex 12-Gas'!$V$270)))</f>
        <v>11316.6207803894</v>
      </c>
      <c r="I204" s="1563" t="n">
        <f aca="false">SUM(F204:H204)</f>
        <v>34741.796063602</v>
      </c>
      <c r="J204" s="1563" t="n">
        <f aca="false">E204*I204</f>
        <v>0</v>
      </c>
      <c r="K204" s="1565" t="n">
        <f aca="false">IF(Assm!$L$74=1,VLOOKUP($A204,Curves_Table,Escalation!$D$291),Exch)</f>
        <v>1.065</v>
      </c>
      <c r="L204" s="1566" t="n">
        <f aca="false">J204/K204</f>
        <v>0</v>
      </c>
      <c r="M204" s="1567" t="str">
        <f aca="false">IF(MONTH($A204)=12,SUM(L193:L204)," ")</f>
        <v> </v>
      </c>
    </row>
    <row r="205" customFormat="false" ht="12.75" hidden="false" customHeight="false" outlineLevel="0" collapsed="false">
      <c r="A205" s="1538" t="n">
        <f aca="false">EDATE(A204,1)</f>
        <v>42125</v>
      </c>
      <c r="C205" s="1561" t="n">
        <f aca="false">MAX('Plant Operations'!H205,'Plant Operations'!L205)</f>
        <v>0.92</v>
      </c>
      <c r="D205" s="306" t="n">
        <f aca="false">IF($A205&gt;Endyr,0,AVERAGE(C193:C204))</f>
        <v>0.92</v>
      </c>
      <c r="E205" s="306" t="n">
        <f aca="false">IF(D205&gt;E$10,0,E$10-D205)</f>
        <v>0</v>
      </c>
      <c r="F205" s="1562" t="n">
        <f aca="false">IF(Assm!$F$29=0,'Annex 10-Plant'!G205,'Annex 12-Plant'!T205)</f>
        <v>4629.24211139456</v>
      </c>
      <c r="G205" s="1563" t="n">
        <f aca="false">IF($A205&lt;Startops2,0,IF(Assm!$F$29=0,VLOOKUP($A205,Annex10_Gas_Table,'Annex 10-Gas'!$G$270),VLOOKUP($A205,Annex12_Gas_Table,'Annex 12-Gas'!$J$270)))</f>
        <v>15493.9024337767</v>
      </c>
      <c r="H205" s="1564" t="n">
        <f aca="false">IF($A205&lt;Startops2,0,IF(Assm!$F$29=0,VLOOKUP($A205,Annex10_Gas_Table,'Annex 10-Gas'!$P$270),VLOOKUP($A205,Annex12_Gas_Table,'Annex 12-Gas'!$V$270)))</f>
        <v>11608.8619419444</v>
      </c>
      <c r="I205" s="1563" t="n">
        <f aca="false">SUM(F205:H205)</f>
        <v>31732.0064871157</v>
      </c>
      <c r="J205" s="1563" t="n">
        <f aca="false">E205*I205</f>
        <v>0</v>
      </c>
      <c r="K205" s="1565" t="n">
        <f aca="false">IF(Assm!$L$74=1,VLOOKUP($A205,Curves_Table,Escalation!$D$291),Exch)</f>
        <v>1.065</v>
      </c>
      <c r="L205" s="1566" t="n">
        <f aca="false">J205/K205</f>
        <v>0</v>
      </c>
      <c r="M205" s="1567" t="str">
        <f aca="false">IF(MONTH($A205)=12,SUM(L194:L205)," ")</f>
        <v> </v>
      </c>
    </row>
    <row r="206" customFormat="false" ht="12.75" hidden="false" customHeight="false" outlineLevel="0" collapsed="false">
      <c r="A206" s="1538" t="n">
        <f aca="false">EDATE(A205,1)</f>
        <v>42156</v>
      </c>
      <c r="C206" s="1561" t="n">
        <f aca="false">MAX('Plant Operations'!H206,'Plant Operations'!L206)</f>
        <v>0.92</v>
      </c>
      <c r="D206" s="306" t="n">
        <f aca="false">IF($A206&gt;Endyr,0,AVERAGE(C194:C205))</f>
        <v>0.92</v>
      </c>
      <c r="E206" s="306" t="n">
        <f aca="false">IF(D206&gt;E$10,0,E$10-D206)</f>
        <v>0</v>
      </c>
      <c r="F206" s="1562" t="n">
        <f aca="false">IF(Assm!$F$29=0,'Annex 10-Plant'!G206,'Annex 12-Plant'!T206)</f>
        <v>4634.57369349978</v>
      </c>
      <c r="G206" s="1563" t="n">
        <f aca="false">IF($A206&lt;Startops2,0,IF(Assm!$F$29=0,VLOOKUP($A206,Annex10_Gas_Table,'Annex 10-Gas'!$G$270),VLOOKUP($A206,Annex12_Gas_Table,'Annex 12-Gas'!$J$270)))</f>
        <v>15519.4558833137</v>
      </c>
      <c r="H206" s="1564" t="n">
        <f aca="false">IF($A206&lt;Startops2,0,IF(Assm!$F$29=0,VLOOKUP($A206,Annex10_Gas_Table,'Annex 10-Gas'!$P$270),VLOOKUP($A206,Annex12_Gas_Table,'Annex 12-Gas'!$V$270)))</f>
        <v>11628.0079556155</v>
      </c>
      <c r="I206" s="1563" t="n">
        <f aca="false">SUM(F206:H206)</f>
        <v>31782.037532429</v>
      </c>
      <c r="J206" s="1563" t="n">
        <f aca="false">E206*I206</f>
        <v>0</v>
      </c>
      <c r="K206" s="1565" t="n">
        <f aca="false">IF(Assm!$L$74=1,VLOOKUP($A206,Curves_Table,Escalation!$D$291),Exch)</f>
        <v>1.065</v>
      </c>
      <c r="L206" s="1566" t="n">
        <f aca="false">J206/K206</f>
        <v>0</v>
      </c>
      <c r="M206" s="1567" t="str">
        <f aca="false">IF(MONTH($A206)=12,SUM(L195:L206)," ")</f>
        <v> </v>
      </c>
    </row>
    <row r="207" customFormat="false" ht="12.75" hidden="false" customHeight="false" outlineLevel="0" collapsed="false">
      <c r="A207" s="1538" t="n">
        <f aca="false">EDATE(A206,1)</f>
        <v>42186</v>
      </c>
      <c r="C207" s="1561" t="n">
        <f aca="false">MAX('Plant Operations'!H207,'Plant Operations'!L207)</f>
        <v>0.92</v>
      </c>
      <c r="D207" s="306" t="n">
        <f aca="false">IF($A207&gt;Endyr,0,AVERAGE(C195:C206))</f>
        <v>0.92</v>
      </c>
      <c r="E207" s="306" t="n">
        <f aca="false">IF(D207&gt;E$10,0,E$10-D207)</f>
        <v>0</v>
      </c>
      <c r="F207" s="1562" t="n">
        <f aca="false">IF(Assm!$F$29=0,'Annex 10-Plant'!G207,'Annex 12-Plant'!T207)</f>
        <v>4639.91406876186</v>
      </c>
      <c r="G207" s="1563" t="n">
        <f aca="false">IF($A207&lt;Startops2,0,IF(Assm!$F$29=0,VLOOKUP($A207,Annex10_Gas_Table,'Annex 10-Gas'!$G$270),VLOOKUP($A207,Annex12_Gas_Table,'Annex 12-Gas'!$J$270)))</f>
        <v>15545.0514770933</v>
      </c>
      <c r="H207" s="1564" t="n">
        <f aca="false">IF($A207&lt;Startops2,0,IF(Assm!$F$29=0,VLOOKUP($A207,Annex10_Gas_Table,'Annex 10-Gas'!$P$270),VLOOKUP($A207,Annex12_Gas_Table,'Annex 12-Gas'!$V$270)))</f>
        <v>11647.1855460114</v>
      </c>
      <c r="I207" s="1563" t="n">
        <f aca="false">SUM(F207:H207)</f>
        <v>31832.1510918666</v>
      </c>
      <c r="J207" s="1563" t="n">
        <f aca="false">E207*I207</f>
        <v>0</v>
      </c>
      <c r="K207" s="1565" t="n">
        <f aca="false">IF(Assm!$L$74=1,VLOOKUP($A207,Curves_Table,Escalation!$D$291),Exch)</f>
        <v>1.065</v>
      </c>
      <c r="L207" s="1566" t="n">
        <f aca="false">J207/K207</f>
        <v>0</v>
      </c>
      <c r="M207" s="1567" t="str">
        <f aca="false">IF(MONTH($A207)=12,SUM(L196:L207)," ")</f>
        <v> </v>
      </c>
    </row>
    <row r="208" customFormat="false" ht="12.75" hidden="false" customHeight="false" outlineLevel="0" collapsed="false">
      <c r="A208" s="1538" t="n">
        <f aca="false">EDATE(A207,1)</f>
        <v>42217</v>
      </c>
      <c r="C208" s="1561" t="n">
        <f aca="false">MAX('Plant Operations'!H208,'Plant Operations'!L208)</f>
        <v>0.92</v>
      </c>
      <c r="D208" s="306" t="n">
        <f aca="false">IF($A208&gt;Endyr,0,AVERAGE(C196:C207))</f>
        <v>0.92</v>
      </c>
      <c r="E208" s="306" t="n">
        <f aca="false">IF(D208&gt;E$10,0,E$10-D208)</f>
        <v>0</v>
      </c>
      <c r="F208" s="1562" t="n">
        <f aca="false">IF(Assm!$F$29=0,'Annex 10-Plant'!G208,'Annex 12-Plant'!T208)</f>
        <v>4645.26325168297</v>
      </c>
      <c r="G208" s="1563" t="n">
        <f aca="false">IF($A208&lt;Startops2,0,IF(Assm!$F$29=0,VLOOKUP($A208,Annex10_Gas_Table,'Annex 10-Gas'!$G$270),VLOOKUP($A208,Annex12_Gas_Table,'Annex 12-Gas'!$J$270)))</f>
        <v>15570.6892846223</v>
      </c>
      <c r="H208" s="1564" t="n">
        <f aca="false">IF($A208&lt;Startops2,0,IF(Assm!$F$29=0,VLOOKUP($A208,Annex10_Gas_Table,'Annex 10-Gas'!$P$270),VLOOKUP($A208,Annex12_Gas_Table,'Annex 12-Gas'!$V$270)))</f>
        <v>11666.3947652104</v>
      </c>
      <c r="I208" s="1563" t="n">
        <f aca="false">SUM(F208:H208)</f>
        <v>31882.3473015156</v>
      </c>
      <c r="J208" s="1563" t="n">
        <f aca="false">E208*I208</f>
        <v>0</v>
      </c>
      <c r="K208" s="1565" t="n">
        <f aca="false">IF(Assm!$L$74=1,VLOOKUP($A208,Curves_Table,Escalation!$D$291),Exch)</f>
        <v>1.065</v>
      </c>
      <c r="L208" s="1566" t="n">
        <f aca="false">J208/K208</f>
        <v>0</v>
      </c>
      <c r="M208" s="1567" t="str">
        <f aca="false">IF(MONTH($A208)=12,SUM(L197:L208)," ")</f>
        <v> </v>
      </c>
    </row>
    <row r="209" customFormat="false" ht="12.75" hidden="false" customHeight="false" outlineLevel="0" collapsed="false">
      <c r="A209" s="1538" t="n">
        <f aca="false">EDATE(A208,1)</f>
        <v>42248</v>
      </c>
      <c r="C209" s="1561" t="n">
        <f aca="false">MAX('Plant Operations'!H209,'Plant Operations'!L209)</f>
        <v>0.92</v>
      </c>
      <c r="D209" s="306" t="n">
        <f aca="false">IF($A209&gt;Endyr,0,AVERAGE(C197:C208))</f>
        <v>0.92</v>
      </c>
      <c r="E209" s="306" t="n">
        <f aca="false">IF(D209&gt;E$10,0,E$10-D209)</f>
        <v>0</v>
      </c>
      <c r="F209" s="1562" t="n">
        <f aca="false">IF(Assm!$F$29=0,'Annex 10-Plant'!G209,'Annex 12-Plant'!T209)</f>
        <v>4650.62125678922</v>
      </c>
      <c r="G209" s="1563" t="n">
        <f aca="false">IF($A209&lt;Startops2,0,IF(Assm!$F$29=0,VLOOKUP($A209,Annex10_Gas_Table,'Annex 10-Gas'!$G$270),VLOOKUP($A209,Annex12_Gas_Table,'Annex 12-Gas'!$J$270)))</f>
        <v>15596.369375522</v>
      </c>
      <c r="H209" s="1564" t="n">
        <f aca="false">IF($A209&lt;Startops2,0,IF(Assm!$F$29=0,VLOOKUP($A209,Annex10_Gas_Table,'Annex 10-Gas'!$P$270),VLOOKUP($A209,Annex12_Gas_Table,'Annex 12-Gas'!$V$270)))</f>
        <v>11685.6356653765</v>
      </c>
      <c r="I209" s="1563" t="n">
        <f aca="false">SUM(F209:H209)</f>
        <v>31932.6262976877</v>
      </c>
      <c r="J209" s="1563" t="n">
        <f aca="false">E209*I209</f>
        <v>0</v>
      </c>
      <c r="K209" s="1565" t="n">
        <f aca="false">IF(Assm!$L$74=1,VLOOKUP($A209,Curves_Table,Escalation!$D$291),Exch)</f>
        <v>1.065</v>
      </c>
      <c r="L209" s="1566" t="n">
        <f aca="false">J209/K209</f>
        <v>0</v>
      </c>
      <c r="M209" s="1567" t="str">
        <f aca="false">IF(MONTH($A209)=12,SUM(L198:L209)," ")</f>
        <v> </v>
      </c>
    </row>
    <row r="210" customFormat="false" ht="12.75" hidden="false" customHeight="false" outlineLevel="0" collapsed="false">
      <c r="A210" s="1538" t="n">
        <f aca="false">EDATE(A209,1)</f>
        <v>42278</v>
      </c>
      <c r="C210" s="1561" t="n">
        <f aca="false">MAX('Plant Operations'!H210,'Plant Operations'!L210)</f>
        <v>0.92</v>
      </c>
      <c r="D210" s="306" t="n">
        <f aca="false">IF($A210&gt;Endyr,0,AVERAGE(C198:C209))</f>
        <v>0.92</v>
      </c>
      <c r="E210" s="306" t="n">
        <f aca="false">IF(D210&gt;E$10,0,E$10-D210)</f>
        <v>0</v>
      </c>
      <c r="F210" s="1562" t="n">
        <f aca="false">IF(Assm!$F$29=0,'Annex 10-Plant'!G210,'Annex 12-Plant'!T210)</f>
        <v>4655.98809863068</v>
      </c>
      <c r="G210" s="1563" t="n">
        <f aca="false">IF($A210&lt;Startops2,0,IF(Assm!$F$29=0,VLOOKUP($A210,Annex10_Gas_Table,'Annex 10-Gas'!$G$270),VLOOKUP($A210,Annex12_Gas_Table,'Annex 12-Gas'!$J$270)))</f>
        <v>15622.0918195286</v>
      </c>
      <c r="H210" s="1564" t="n">
        <f aca="false">IF($A210&lt;Startops2,0,IF(Assm!$F$29=0,VLOOKUP($A210,Annex10_Gas_Table,'Annex 10-Gas'!$P$270),VLOOKUP($A210,Annex12_Gas_Table,'Annex 12-Gas'!$V$270)))</f>
        <v>11704.9082987598</v>
      </c>
      <c r="I210" s="1563" t="n">
        <f aca="false">SUM(F210:H210)</f>
        <v>31982.9882169191</v>
      </c>
      <c r="J210" s="1563" t="n">
        <f aca="false">E210*I210</f>
        <v>0</v>
      </c>
      <c r="K210" s="1565" t="n">
        <f aca="false">IF(Assm!$L$74=1,VLOOKUP($A210,Curves_Table,Escalation!$D$291),Exch)</f>
        <v>1.065</v>
      </c>
      <c r="L210" s="1566" t="n">
        <f aca="false">J210/K210</f>
        <v>0</v>
      </c>
      <c r="M210" s="1567" t="str">
        <f aca="false">IF(MONTH($A210)=12,SUM(L199:L210)," ")</f>
        <v> </v>
      </c>
    </row>
    <row r="211" customFormat="false" ht="12.75" hidden="false" customHeight="false" outlineLevel="0" collapsed="false">
      <c r="A211" s="1538" t="n">
        <f aca="false">EDATE(A210,1)</f>
        <v>42309</v>
      </c>
      <c r="C211" s="1561" t="n">
        <f aca="false">MAX('Plant Operations'!H211,'Plant Operations'!L211)</f>
        <v>0.92</v>
      </c>
      <c r="D211" s="306" t="n">
        <f aca="false">IF($A211&gt;Endyr,0,AVERAGE(C199:C210))</f>
        <v>0.92</v>
      </c>
      <c r="E211" s="306" t="n">
        <f aca="false">IF(D211&gt;E$10,0,E$10-D211)</f>
        <v>0</v>
      </c>
      <c r="F211" s="1562" t="n">
        <f aca="false">IF(Assm!$F$29=0,'Annex 10-Plant'!G211,'Annex 12-Plant'!T211)</f>
        <v>4661.3637917814</v>
      </c>
      <c r="G211" s="1563" t="n">
        <f aca="false">IF($A211&lt;Startops2,0,IF(Assm!$F$29=0,VLOOKUP($A211,Annex10_Gas_Table,'Annex 10-Gas'!$G$270),VLOOKUP($A211,Annex12_Gas_Table,'Annex 12-Gas'!$J$270)))</f>
        <v>15647.8566864935</v>
      </c>
      <c r="H211" s="1564" t="n">
        <f aca="false">IF($A211&lt;Startops2,0,IF(Assm!$F$29=0,VLOOKUP($A211,Annex10_Gas_Table,'Annex 10-Gas'!$P$270),VLOOKUP($A211,Annex12_Gas_Table,'Annex 12-Gas'!$V$270)))</f>
        <v>11724.2127176966</v>
      </c>
      <c r="I211" s="1563" t="n">
        <f aca="false">SUM(F211:H211)</f>
        <v>32033.4331959714</v>
      </c>
      <c r="J211" s="1563" t="n">
        <f aca="false">E211*I211</f>
        <v>0</v>
      </c>
      <c r="K211" s="1565" t="n">
        <f aca="false">IF(Assm!$L$74=1,VLOOKUP($A211,Curves_Table,Escalation!$D$291),Exch)</f>
        <v>1.065</v>
      </c>
      <c r="L211" s="1566" t="n">
        <f aca="false">J211/K211</f>
        <v>0</v>
      </c>
      <c r="M211" s="1567" t="str">
        <f aca="false">IF(MONTH($A211)=12,SUM(L200:L211)," ")</f>
        <v> </v>
      </c>
    </row>
    <row r="212" customFormat="false" ht="12.75" hidden="false" customHeight="false" outlineLevel="0" collapsed="false">
      <c r="A212" s="1538" t="n">
        <f aca="false">EDATE(A211,1)</f>
        <v>42339</v>
      </c>
      <c r="C212" s="1561" t="n">
        <f aca="false">MAX('Plant Operations'!H212,'Plant Operations'!L212)</f>
        <v>0.92</v>
      </c>
      <c r="D212" s="306" t="n">
        <f aca="false">IF($A212&gt;Endyr,0,AVERAGE(C200:C211))</f>
        <v>0.92</v>
      </c>
      <c r="E212" s="306" t="n">
        <f aca="false">IF(D212&gt;E$10,0,E$10-D212)</f>
        <v>0</v>
      </c>
      <c r="F212" s="1562" t="n">
        <f aca="false">IF(Assm!$F$29=0,'Annex 10-Plant'!G212,'Annex 12-Plant'!T212)</f>
        <v>4666.74835083948</v>
      </c>
      <c r="G212" s="1563" t="n">
        <f aca="false">IF($A212&lt;Startops2,0,IF(Assm!$F$29=0,VLOOKUP($A212,Annex10_Gas_Table,'Annex 10-Gas'!$G$270),VLOOKUP($A212,Annex12_Gas_Table,'Annex 12-Gas'!$J$270)))</f>
        <v>15673.6640463829</v>
      </c>
      <c r="H212" s="1564" t="n">
        <f aca="false">IF($A212&lt;Startops2,0,IF(Assm!$F$29=0,VLOOKUP($A212,Annex10_Gas_Table,'Annex 10-Gas'!$P$270),VLOOKUP($A212,Annex12_Gas_Table,'Annex 12-Gas'!$V$270)))</f>
        <v>11743.5489746094</v>
      </c>
      <c r="I212" s="1563" t="n">
        <f aca="false">SUM(F212:H212)</f>
        <v>32083.9613718318</v>
      </c>
      <c r="J212" s="1563" t="n">
        <f aca="false">E212*I212</f>
        <v>0</v>
      </c>
      <c r="K212" s="1565" t="n">
        <f aca="false">IF(Assm!$L$74=1,VLOOKUP($A212,Curves_Table,Escalation!$D$291),Exch)</f>
        <v>1.065</v>
      </c>
      <c r="L212" s="1566" t="n">
        <f aca="false">J212/K212</f>
        <v>0</v>
      </c>
      <c r="M212" s="1567" t="n">
        <f aca="false">IF(MONTH($A212)=12,SUM(L201:L212)," ")</f>
        <v>0</v>
      </c>
    </row>
    <row r="213" customFormat="false" ht="12.75" hidden="false" customHeight="false" outlineLevel="0" collapsed="false">
      <c r="A213" s="1538" t="n">
        <f aca="false">EDATE(A212,1)</f>
        <v>42370</v>
      </c>
      <c r="C213" s="1561" t="n">
        <f aca="false">MAX('Plant Operations'!H213,'Plant Operations'!L213)</f>
        <v>0.92</v>
      </c>
      <c r="D213" s="306" t="n">
        <f aca="false">IF($A213&gt;Endyr,0,AVERAGE(C201:C212))</f>
        <v>0.92</v>
      </c>
      <c r="E213" s="306" t="n">
        <f aca="false">IF(D213&gt;E$10,0,E$10-D213)</f>
        <v>0</v>
      </c>
      <c r="F213" s="1562" t="n">
        <f aca="false">IF(Assm!$F$29=0,'Annex 10-Plant'!G213,'Annex 12-Plant'!T213)</f>
        <v>4672.15167838249</v>
      </c>
      <c r="G213" s="1563" t="n">
        <f aca="false">IF($A213&lt;Startops2,0,IF(Assm!$F$29=0,VLOOKUP($A213,Annex10_Gas_Table,'Annex 10-Gas'!$G$270),VLOOKUP($A213,Annex12_Gas_Table,'Annex 12-Gas'!$J$270)))</f>
        <v>15699.5613607217</v>
      </c>
      <c r="H213" s="1564" t="n">
        <f aca="false">IF($A213&lt;Startops2,0,IF(Assm!$F$29=0,VLOOKUP($A213,Annex10_Gas_Table,'Annex 10-Gas'!$P$270),VLOOKUP($A213,Annex12_Gas_Table,'Annex 12-Gas'!$V$270)))</f>
        <v>11762.952630216</v>
      </c>
      <c r="I213" s="1563" t="n">
        <f aca="false">SUM(F213:H213)</f>
        <v>32134.6656693201</v>
      </c>
      <c r="J213" s="1563" t="n">
        <f aca="false">E213*I213</f>
        <v>0</v>
      </c>
      <c r="K213" s="1565" t="n">
        <f aca="false">IF(Assm!$L$74=1,VLOOKUP($A213,Curves_Table,Escalation!$D$291),Exch)</f>
        <v>1.065</v>
      </c>
      <c r="L213" s="1566" t="n">
        <f aca="false">J213/K213</f>
        <v>0</v>
      </c>
      <c r="M213" s="1567" t="str">
        <f aca="false">IF(MONTH($A213)=12,SUM(L202:L213)," ")</f>
        <v> </v>
      </c>
    </row>
    <row r="214" customFormat="false" ht="12.75" hidden="false" customHeight="false" outlineLevel="0" collapsed="false">
      <c r="A214" s="1538" t="n">
        <f aca="false">EDATE(A213,1)</f>
        <v>42401</v>
      </c>
      <c r="C214" s="1561" t="n">
        <f aca="false">MAX('Plant Operations'!H214,'Plant Operations'!L214)</f>
        <v>0.92</v>
      </c>
      <c r="D214" s="306" t="n">
        <f aca="false">IF($A214&gt;Endyr,0,AVERAGE(C202:C213))</f>
        <v>0.92</v>
      </c>
      <c r="E214" s="306" t="n">
        <f aca="false">IF(D214&gt;E$10,0,E$10-D214)</f>
        <v>0</v>
      </c>
      <c r="F214" s="1562" t="n">
        <f aca="false">IF(Assm!$F$29=0,'Annex 10-Plant'!G214,'Annex 12-Plant'!T214)</f>
        <v>4677.5639337468</v>
      </c>
      <c r="G214" s="1563" t="n">
        <f aca="false">IF($A214&lt;Startops2,0,IF(Assm!$F$29=0,VLOOKUP($A214,Annex10_Gas_Table,'Annex 10-Gas'!$G$270),VLOOKUP($A214,Annex12_Gas_Table,'Annex 12-Gas'!$J$270)))</f>
        <v>15725.501464729</v>
      </c>
      <c r="H214" s="1564" t="n">
        <f aca="false">IF($A214&lt;Startops2,0,IF(Assm!$F$29=0,VLOOKUP($A214,Annex10_Gas_Table,'Annex 10-Gas'!$P$270),VLOOKUP($A214,Annex12_Gas_Table,'Annex 12-Gas'!$V$270)))</f>
        <v>11782.388346135</v>
      </c>
      <c r="I214" s="1563" t="n">
        <f aca="false">SUM(F214:H214)</f>
        <v>32185.4537446109</v>
      </c>
      <c r="J214" s="1563" t="n">
        <f aca="false">E214*I214</f>
        <v>0</v>
      </c>
      <c r="K214" s="1565" t="n">
        <f aca="false">IF(Assm!$L$74=1,VLOOKUP($A214,Curves_Table,Escalation!$D$291),Exch)</f>
        <v>1.065</v>
      </c>
      <c r="L214" s="1566" t="n">
        <f aca="false">J214/K214</f>
        <v>0</v>
      </c>
      <c r="M214" s="1567" t="str">
        <f aca="false">IF(MONTH($A214)=12,SUM(L203:L214)," ")</f>
        <v> </v>
      </c>
    </row>
    <row r="215" customFormat="false" ht="12.75" hidden="false" customHeight="false" outlineLevel="0" collapsed="false">
      <c r="A215" s="1538" t="n">
        <f aca="false">EDATE(A214,1)</f>
        <v>42430</v>
      </c>
      <c r="C215" s="1561" t="n">
        <f aca="false">MAX('Plant Operations'!H215,'Plant Operations'!L215)</f>
        <v>0.92</v>
      </c>
      <c r="D215" s="306" t="n">
        <f aca="false">IF($A215&gt;Endyr,0,AVERAGE(C203:C214))</f>
        <v>0.92</v>
      </c>
      <c r="E215" s="306" t="n">
        <f aca="false">IF(D215&gt;E$10,0,E$10-D215)</f>
        <v>0</v>
      </c>
      <c r="F215" s="1562" t="n">
        <f aca="false">IF(Assm!$F$29=0,'Annex 10-Plant'!G215,'Annex 12-Plant'!T215)</f>
        <v>4682.9851316837</v>
      </c>
      <c r="G215" s="1563" t="n">
        <f aca="false">IF($A215&lt;Startops2,0,IF(Assm!$F$29=0,VLOOKUP($A215,Annex10_Gas_Table,'Annex 10-Gas'!$G$270),VLOOKUP($A215,Annex12_Gas_Table,'Annex 12-Gas'!$J$270)))</f>
        <v>15751.4844291055</v>
      </c>
      <c r="H215" s="1564" t="n">
        <f aca="false">IF($A215&lt;Startops2,0,IF(Assm!$F$29=0,VLOOKUP($A215,Annex10_Gas_Table,'Annex 10-Gas'!$P$270),VLOOKUP($A215,Annex12_Gas_Table,'Annex 12-Gas'!$V$270)))</f>
        <v>11801.8561753394</v>
      </c>
      <c r="I215" s="1563" t="n">
        <f aca="false">SUM(F215:H215)</f>
        <v>32236.3257361286</v>
      </c>
      <c r="J215" s="1563" t="n">
        <f aca="false">E215*I215</f>
        <v>0</v>
      </c>
      <c r="K215" s="1565" t="n">
        <f aca="false">IF(Assm!$L$74=1,VLOOKUP($A215,Curves_Table,Escalation!$D$291),Exch)</f>
        <v>1.065</v>
      </c>
      <c r="L215" s="1566" t="n">
        <f aca="false">J215/K215</f>
        <v>0</v>
      </c>
      <c r="M215" s="1567" t="str">
        <f aca="false">IF(MONTH($A215)=12,SUM(L204:L215)," ")</f>
        <v> </v>
      </c>
    </row>
    <row r="216" customFormat="false" ht="12.75" hidden="false" customHeight="false" outlineLevel="0" collapsed="false">
      <c r="A216" s="1538" t="n">
        <f aca="false">EDATE(A215,1)</f>
        <v>42461</v>
      </c>
      <c r="C216" s="1561" t="n">
        <f aca="false">MAX('Plant Operations'!H216,'Plant Operations'!L216)</f>
        <v>0.92</v>
      </c>
      <c r="D216" s="306" t="n">
        <f aca="false">IF($A216&gt;Endyr,0,AVERAGE(C204:C215))</f>
        <v>0.92</v>
      </c>
      <c r="E216" s="306" t="n">
        <f aca="false">IF(D216&gt;E$10,0,E$10-D216)</f>
        <v>0</v>
      </c>
      <c r="F216" s="1562" t="n">
        <f aca="false">IF(Assm!$F$29=0,'Annex 10-Plant'!G216,'Annex 12-Plant'!T216)</f>
        <v>4688.41528696884</v>
      </c>
      <c r="G216" s="1563" t="n">
        <f aca="false">IF($A216&lt;Startops2,0,IF(Assm!$F$29=0,VLOOKUP($A216,Annex10_Gas_Table,'Annex 10-Gas'!$G$270),VLOOKUP($A216,Annex12_Gas_Table,'Annex 12-Gas'!$J$270)))</f>
        <v>15777.5103246687</v>
      </c>
      <c r="H216" s="1564" t="n">
        <f aca="false">IF($A216&lt;Startops2,0,IF(Assm!$F$29=0,VLOOKUP($A216,Annex10_Gas_Table,'Annex 10-Gas'!$P$270),VLOOKUP($A216,Annex12_Gas_Table,'Annex 12-Gas'!$V$270)))</f>
        <v>11821.3561708892</v>
      </c>
      <c r="I216" s="1563" t="n">
        <f aca="false">SUM(F216:H216)</f>
        <v>32287.2817825267</v>
      </c>
      <c r="J216" s="1563" t="n">
        <f aca="false">E216*I216</f>
        <v>0</v>
      </c>
      <c r="K216" s="1565" t="n">
        <f aca="false">IF(Assm!$L$74=1,VLOOKUP($A216,Curves_Table,Escalation!$D$291),Exch)</f>
        <v>1.065</v>
      </c>
      <c r="L216" s="1566" t="n">
        <f aca="false">J216/K216</f>
        <v>0</v>
      </c>
      <c r="M216" s="1567" t="str">
        <f aca="false">IF(MONTH($A216)=12,SUM(L205:L216)," ")</f>
        <v> </v>
      </c>
    </row>
    <row r="217" customFormat="false" ht="12.75" hidden="false" customHeight="false" outlineLevel="0" collapsed="false">
      <c r="A217" s="1538" t="n">
        <f aca="false">EDATE(A216,1)</f>
        <v>42491</v>
      </c>
      <c r="C217" s="1561" t="n">
        <f aca="false">MAX('Plant Operations'!H217,'Plant Operations'!L217)</f>
        <v>0.92</v>
      </c>
      <c r="D217" s="306" t="n">
        <f aca="false">IF($A217&gt;Endyr,0,AVERAGE(C205:C216))</f>
        <v>0.92</v>
      </c>
      <c r="E217" s="306" t="n">
        <f aca="false">IF(D217&gt;E$10,0,E$10-D217)</f>
        <v>0</v>
      </c>
      <c r="F217" s="1562" t="n">
        <f aca="false">IF(Assm!$F$29=0,'Annex 10-Plant'!G217,'Annex 12-Plant'!T217)</f>
        <v>4876.19808873783</v>
      </c>
      <c r="G217" s="1563" t="n">
        <f aca="false">IF($A217&lt;Startops2,0,IF(Assm!$F$29=0,VLOOKUP($A217,Annex10_Gas_Table,'Annex 10-Gas'!$G$270),VLOOKUP($A217,Annex12_Gas_Table,'Annex 12-Gas'!$J$270)))</f>
        <v>16222.6880490631</v>
      </c>
      <c r="H217" s="1564" t="n">
        <f aca="false">IF($A217&lt;Startops2,0,IF(Assm!$F$29=0,VLOOKUP($A217,Annex10_Gas_Table,'Annex 10-Gas'!$P$270),VLOOKUP($A217,Annex12_Gas_Table,'Annex 12-Gas'!$V$270)))</f>
        <v>12107.6417264828</v>
      </c>
      <c r="I217" s="1563" t="n">
        <f aca="false">SUM(F217:H217)</f>
        <v>33206.5278642837</v>
      </c>
      <c r="J217" s="1563" t="n">
        <f aca="false">E217*I217</f>
        <v>0</v>
      </c>
      <c r="K217" s="1565" t="n">
        <f aca="false">IF(Assm!$L$74=1,VLOOKUP($A217,Curves_Table,Escalation!$D$291),Exch)</f>
        <v>1.065</v>
      </c>
      <c r="L217" s="1566" t="n">
        <f aca="false">J217/K217</f>
        <v>0</v>
      </c>
      <c r="M217" s="1567" t="str">
        <f aca="false">IF(MONTH($A217)=12,SUM(L206:L217)," ")</f>
        <v> </v>
      </c>
    </row>
    <row r="218" customFormat="false" ht="12.75" hidden="false" customHeight="false" outlineLevel="0" collapsed="false">
      <c r="A218" s="1538" t="n">
        <f aca="false">EDATE(A217,1)</f>
        <v>42522</v>
      </c>
      <c r="C218" s="1561" t="n">
        <f aca="false">MAX('Plant Operations'!H218,'Plant Operations'!L218)</f>
        <v>0.92</v>
      </c>
      <c r="D218" s="306" t="n">
        <f aca="false">IF($A218&gt;Endyr,0,AVERAGE(C206:C217))</f>
        <v>0.92</v>
      </c>
      <c r="E218" s="306" t="n">
        <f aca="false">IF(D218&gt;E$10,0,E$10-D218)</f>
        <v>0</v>
      </c>
      <c r="F218" s="1562" t="n">
        <f aca="false">IF(Assm!$F$29=0,'Annex 10-Plant'!G218,'Annex 12-Plant'!T218)</f>
        <v>4881.78827178676</v>
      </c>
      <c r="G218" s="1563" t="n">
        <f aca="false">IF($A218&lt;Startops2,0,IF(Assm!$F$29=0,VLOOKUP($A218,Annex10_Gas_Table,'Annex 10-Gas'!$G$270),VLOOKUP($A218,Annex12_Gas_Table,'Annex 12-Gas'!$J$270)))</f>
        <v>16249.4925059267</v>
      </c>
      <c r="H218" s="1564" t="n">
        <f aca="false">IF($A218&lt;Startops2,0,IF(Assm!$F$29=0,VLOOKUP($A218,Annex10_Gas_Table,'Annex 10-Gas'!$P$270),VLOOKUP($A218,Annex12_Gas_Table,'Annex 12-Gas'!$V$270)))</f>
        <v>12127.6469660211</v>
      </c>
      <c r="I218" s="1563" t="n">
        <f aca="false">SUM(F218:H218)</f>
        <v>33258.9277437346</v>
      </c>
      <c r="J218" s="1563" t="n">
        <f aca="false">E218*I218</f>
        <v>0</v>
      </c>
      <c r="K218" s="1565" t="n">
        <f aca="false">IF(Assm!$L$74=1,VLOOKUP($A218,Curves_Table,Escalation!$D$291),Exch)</f>
        <v>1.065</v>
      </c>
      <c r="L218" s="1566" t="n">
        <f aca="false">J218/K218</f>
        <v>0</v>
      </c>
      <c r="M218" s="1567" t="str">
        <f aca="false">IF(MONTH($A218)=12,SUM(L207:L218)," ")</f>
        <v> </v>
      </c>
    </row>
    <row r="219" customFormat="false" ht="12.75" hidden="false" customHeight="false" outlineLevel="0" collapsed="false">
      <c r="A219" s="1538" t="n">
        <f aca="false">EDATE(A218,1)</f>
        <v>42552</v>
      </c>
      <c r="C219" s="1561" t="n">
        <f aca="false">MAX('Plant Operations'!H219,'Plant Operations'!L219)</f>
        <v>0.92</v>
      </c>
      <c r="D219" s="306" t="n">
        <f aca="false">IF($A219&gt;Endyr,0,AVERAGE(C207:C218))</f>
        <v>0.92</v>
      </c>
      <c r="E219" s="306" t="n">
        <f aca="false">IF(D219&gt;E$10,0,E$10-D219)</f>
        <v>0</v>
      </c>
      <c r="F219" s="1562" t="n">
        <f aca="false">IF(Assm!$F$29=0,'Annex 10-Plant'!G219,'Annex 12-Plant'!T219)</f>
        <v>4887.387691395</v>
      </c>
      <c r="G219" s="1563" t="n">
        <f aca="false">IF($A219&lt;Startops2,0,IF(Assm!$F$29=0,VLOOKUP($A219,Annex10_Gas_Table,'Annex 10-Gas'!$G$270),VLOOKUP($A219,Annex12_Gas_Table,'Annex 12-Gas'!$J$270)))</f>
        <v>16276.3412513143</v>
      </c>
      <c r="H219" s="1564" t="n">
        <f aca="false">IF($A219&lt;Startops2,0,IF(Assm!$F$29=0,VLOOKUP($A219,Annex10_Gas_Table,'Annex 10-Gas'!$P$270),VLOOKUP($A219,Annex12_Gas_Table,'Annex 12-Gas'!$V$270)))</f>
        <v>12147.6852598584</v>
      </c>
      <c r="I219" s="1563" t="n">
        <f aca="false">SUM(F219:H219)</f>
        <v>33311.4142025677</v>
      </c>
      <c r="J219" s="1563" t="n">
        <f aca="false">E219*I219</f>
        <v>0</v>
      </c>
      <c r="K219" s="1565" t="n">
        <f aca="false">IF(Assm!$L$74=1,VLOOKUP($A219,Curves_Table,Escalation!$D$291),Exch)</f>
        <v>1.065</v>
      </c>
      <c r="L219" s="1566" t="n">
        <f aca="false">J219/K219</f>
        <v>0</v>
      </c>
      <c r="M219" s="1567" t="str">
        <f aca="false">IF(MONTH($A219)=12,SUM(L208:L219)," ")</f>
        <v> </v>
      </c>
    </row>
    <row r="220" customFormat="false" ht="12.75" hidden="false" customHeight="false" outlineLevel="0" collapsed="false">
      <c r="A220" s="1538" t="n">
        <f aca="false">EDATE(A219,1)</f>
        <v>42583</v>
      </c>
      <c r="C220" s="1561" t="n">
        <f aca="false">MAX('Plant Operations'!H220,'Plant Operations'!L220)</f>
        <v>0.92</v>
      </c>
      <c r="D220" s="306" t="n">
        <f aca="false">IF($A220&gt;Endyr,0,AVERAGE(C208:C219))</f>
        <v>0.92</v>
      </c>
      <c r="E220" s="306" t="n">
        <f aca="false">IF(D220&gt;E$10,0,E$10-D220)</f>
        <v>0</v>
      </c>
      <c r="F220" s="1562" t="n">
        <f aca="false">IF(Assm!$F$29=0,'Annex 10-Plant'!G220,'Annex 12-Plant'!T220)</f>
        <v>4892.99636282396</v>
      </c>
      <c r="G220" s="1563" t="n">
        <f aca="false">IF($A220&lt;Startops2,0,IF(Assm!$F$29=0,VLOOKUP($A220,Annex10_Gas_Table,'Annex 10-Gas'!$G$270),VLOOKUP($A220,Annex12_Gas_Table,'Annex 12-Gas'!$J$270)))</f>
        <v>16303.2343584029</v>
      </c>
      <c r="H220" s="1564" t="n">
        <f aca="false">IF($A220&lt;Startops2,0,IF(Assm!$F$29=0,VLOOKUP($A220,Annex10_Gas_Table,'Annex 10-Gas'!$P$270),VLOOKUP($A220,Annex12_Gas_Table,'Annex 12-Gas'!$V$270)))</f>
        <v>12167.7566626097</v>
      </c>
      <c r="I220" s="1563" t="n">
        <f aca="false">SUM(F220:H220)</f>
        <v>33363.9873838365</v>
      </c>
      <c r="J220" s="1563" t="n">
        <f aca="false">E220*I220</f>
        <v>0</v>
      </c>
      <c r="K220" s="1565" t="n">
        <f aca="false">IF(Assm!$L$74=1,VLOOKUP($A220,Curves_Table,Escalation!$D$291),Exch)</f>
        <v>1.065</v>
      </c>
      <c r="L220" s="1566" t="n">
        <f aca="false">J220/K220</f>
        <v>0</v>
      </c>
      <c r="M220" s="1567" t="str">
        <f aca="false">IF(MONTH($A220)=12,SUM(L209:L220)," ")</f>
        <v> </v>
      </c>
    </row>
    <row r="221" customFormat="false" ht="12.75" hidden="false" customHeight="false" outlineLevel="0" collapsed="false">
      <c r="A221" s="1538" t="n">
        <f aca="false">EDATE(A220,1)</f>
        <v>42614</v>
      </c>
      <c r="C221" s="1561" t="n">
        <f aca="false">MAX('Plant Operations'!H221,'Plant Operations'!L221)</f>
        <v>0.92</v>
      </c>
      <c r="D221" s="306" t="n">
        <f aca="false">IF($A221&gt;Endyr,0,AVERAGE(C209:C220))</f>
        <v>0.92</v>
      </c>
      <c r="E221" s="306" t="n">
        <f aca="false">IF(D221&gt;E$10,0,E$10-D221)</f>
        <v>0</v>
      </c>
      <c r="F221" s="1562" t="n">
        <f aca="false">IF(Assm!$F$29=0,'Annex 10-Plant'!G221,'Annex 12-Plant'!T221)</f>
        <v>4898.61430136025</v>
      </c>
      <c r="G221" s="1563" t="n">
        <f aca="false">IF($A221&lt;Startops2,0,IF(Assm!$F$29=0,VLOOKUP($A221,Annex10_Gas_Table,'Annex 10-Gas'!$G$270),VLOOKUP($A221,Annex12_Gas_Table,'Annex 12-Gas'!$J$270)))</f>
        <v>16330.1719004906</v>
      </c>
      <c r="H221" s="1564" t="n">
        <f aca="false">IF($A221&lt;Startops2,0,IF(Assm!$F$29=0,VLOOKUP($A221,Annex10_Gas_Table,'Annex 10-Gas'!$P$270),VLOOKUP($A221,Annex12_Gas_Table,'Annex 12-Gas'!$V$270)))</f>
        <v>12187.8612289802</v>
      </c>
      <c r="I221" s="1563" t="n">
        <f aca="false">SUM(F221:H221)</f>
        <v>33416.647430831</v>
      </c>
      <c r="J221" s="1563" t="n">
        <f aca="false">E221*I221</f>
        <v>0</v>
      </c>
      <c r="K221" s="1565" t="n">
        <f aca="false">IF(Assm!$L$74=1,VLOOKUP($A221,Curves_Table,Escalation!$D$291),Exch)</f>
        <v>1.065</v>
      </c>
      <c r="L221" s="1566" t="n">
        <f aca="false">J221/K221</f>
        <v>0</v>
      </c>
      <c r="M221" s="1567" t="str">
        <f aca="false">IF(MONTH($A221)=12,SUM(L210:L221)," ")</f>
        <v> </v>
      </c>
    </row>
    <row r="222" customFormat="false" ht="12.75" hidden="false" customHeight="false" outlineLevel="0" collapsed="false">
      <c r="A222" s="1538" t="n">
        <f aca="false">EDATE(A221,1)</f>
        <v>42644</v>
      </c>
      <c r="C222" s="1561" t="n">
        <f aca="false">MAX('Plant Operations'!H222,'Plant Operations'!L222)</f>
        <v>0.92</v>
      </c>
      <c r="D222" s="306" t="n">
        <f aca="false">IF($A222&gt;Endyr,0,AVERAGE(C210:C221))</f>
        <v>0.92</v>
      </c>
      <c r="E222" s="306" t="n">
        <f aca="false">IF(D222&gt;E$10,0,E$10-D222)</f>
        <v>0</v>
      </c>
      <c r="F222" s="1562" t="n">
        <f aca="false">IF(Assm!$F$29=0,'Annex 10-Plant'!G222,'Annex 12-Plant'!T222)</f>
        <v>4904.24152231575</v>
      </c>
      <c r="G222" s="1563" t="n">
        <f aca="false">IF($A222&lt;Startops2,0,IF(Assm!$F$29=0,VLOOKUP($A222,Annex10_Gas_Table,'Annex 10-Gas'!$G$270),VLOOKUP($A222,Annex12_Gas_Table,'Annex 12-Gas'!$J$270)))</f>
        <v>16357.1539509966</v>
      </c>
      <c r="H222" s="1564" t="n">
        <f aca="false">IF($A222&lt;Startops2,0,IF(Assm!$F$29=0,VLOOKUP($A222,Annex10_Gas_Table,'Annex 10-Gas'!$P$270),VLOOKUP($A222,Annex12_Gas_Table,'Annex 12-Gas'!$V$270)))</f>
        <v>12207.9990137655</v>
      </c>
      <c r="I222" s="1563" t="n">
        <f aca="false">SUM(F222:H222)</f>
        <v>33469.3944870778</v>
      </c>
      <c r="J222" s="1563" t="n">
        <f aca="false">E222*I222</f>
        <v>0</v>
      </c>
      <c r="K222" s="1565" t="n">
        <f aca="false">IF(Assm!$L$74=1,VLOOKUP($A222,Curves_Table,Escalation!$D$291),Exch)</f>
        <v>1.065</v>
      </c>
      <c r="L222" s="1566" t="n">
        <f aca="false">J222/K222</f>
        <v>0</v>
      </c>
      <c r="M222" s="1567" t="str">
        <f aca="false">IF(MONTH($A222)=12,SUM(L211:L222)," ")</f>
        <v> </v>
      </c>
    </row>
    <row r="223" customFormat="false" ht="12.75" hidden="false" customHeight="false" outlineLevel="0" collapsed="false">
      <c r="A223" s="1538" t="n">
        <f aca="false">EDATE(A222,1)</f>
        <v>42675</v>
      </c>
      <c r="C223" s="1561" t="n">
        <f aca="false">MAX('Plant Operations'!H223,'Plant Operations'!L223)</f>
        <v>0.92</v>
      </c>
      <c r="D223" s="306" t="n">
        <f aca="false">IF($A223&gt;Endyr,0,AVERAGE(C211:C222))</f>
        <v>0.92</v>
      </c>
      <c r="E223" s="306" t="n">
        <f aca="false">IF(D223&gt;E$10,0,E$10-D223)</f>
        <v>0</v>
      </c>
      <c r="F223" s="1562" t="n">
        <f aca="false">IF(Assm!$F$29=0,'Annex 10-Plant'!G223,'Annex 12-Plant'!T223)</f>
        <v>4909.87804102763</v>
      </c>
      <c r="G223" s="1563" t="n">
        <f aca="false">IF($A223&lt;Startops2,0,IF(Assm!$F$29=0,VLOOKUP($A223,Annex10_Gas_Table,'Annex 10-Gas'!$G$270),VLOOKUP($A223,Annex12_Gas_Table,'Annex 12-Gas'!$J$270)))</f>
        <v>16384.1805834612</v>
      </c>
      <c r="H223" s="1564" t="n">
        <f aca="false">IF($A223&lt;Startops2,0,IF(Assm!$F$29=0,VLOOKUP($A223,Annex10_Gas_Table,'Annex 10-Gas'!$P$270),VLOOKUP($A223,Annex12_Gas_Table,'Annex 12-Gas'!$V$270)))</f>
        <v>12228.170071852</v>
      </c>
      <c r="I223" s="1563" t="n">
        <f aca="false">SUM(F223:H223)</f>
        <v>33522.2286963408</v>
      </c>
      <c r="J223" s="1563" t="n">
        <f aca="false">E223*I223</f>
        <v>0</v>
      </c>
      <c r="K223" s="1565" t="n">
        <f aca="false">IF(Assm!$L$74=1,VLOOKUP($A223,Curves_Table,Escalation!$D$291),Exch)</f>
        <v>1.065</v>
      </c>
      <c r="L223" s="1566" t="n">
        <f aca="false">J223/K223</f>
        <v>0</v>
      </c>
      <c r="M223" s="1567" t="str">
        <f aca="false">IF(MONTH($A223)=12,SUM(L212:L223)," ")</f>
        <v> </v>
      </c>
    </row>
    <row r="224" customFormat="false" ht="12.75" hidden="false" customHeight="false" outlineLevel="0" collapsed="false">
      <c r="A224" s="1538" t="n">
        <f aca="false">EDATE(A223,1)</f>
        <v>42705</v>
      </c>
      <c r="C224" s="1561" t="n">
        <f aca="false">MAX('Plant Operations'!H224,'Plant Operations'!L224)</f>
        <v>0.92</v>
      </c>
      <c r="D224" s="306" t="n">
        <f aca="false">IF($A224&gt;Endyr,0,AVERAGE(C212:C223))</f>
        <v>0.92</v>
      </c>
      <c r="E224" s="306" t="n">
        <f aca="false">IF(D224&gt;E$10,0,E$10-D224)</f>
        <v>0</v>
      </c>
      <c r="F224" s="1562" t="n">
        <f aca="false">IF(Assm!$F$29=0,'Annex 10-Plant'!G224,'Annex 12-Plant'!T224)</f>
        <v>4915.52387285841</v>
      </c>
      <c r="G224" s="1563" t="n">
        <f aca="false">IF($A224&lt;Startops2,0,IF(Assm!$F$29=0,VLOOKUP($A224,Annex10_Gas_Table,'Annex 10-Gas'!$G$270),VLOOKUP($A224,Annex12_Gas_Table,'Annex 12-Gas'!$J$270)))</f>
        <v>16411.2518715466</v>
      </c>
      <c r="H224" s="1564" t="n">
        <f aca="false">IF($A224&lt;Startops2,0,IF(Assm!$F$29=0,VLOOKUP($A224,Annex10_Gas_Table,'Annex 10-Gas'!$P$270),VLOOKUP($A224,Annex12_Gas_Table,'Annex 12-Gas'!$V$270)))</f>
        <v>12248.3744582163</v>
      </c>
      <c r="I224" s="1563" t="n">
        <f aca="false">SUM(F224:H224)</f>
        <v>33575.1502026213</v>
      </c>
      <c r="J224" s="1563" t="n">
        <f aca="false">E224*I224</f>
        <v>0</v>
      </c>
      <c r="K224" s="1565" t="n">
        <f aca="false">IF(Assm!$L$74=1,VLOOKUP($A224,Curves_Table,Escalation!$D$291),Exch)</f>
        <v>1.065</v>
      </c>
      <c r="L224" s="1566" t="n">
        <f aca="false">J224/K224</f>
        <v>0</v>
      </c>
      <c r="M224" s="1567" t="n">
        <f aca="false">IF(MONTH($A224)=12,SUM(L213:L224)," ")</f>
        <v>0</v>
      </c>
    </row>
    <row r="225" customFormat="false" ht="12.75" hidden="false" customHeight="false" outlineLevel="0" collapsed="false">
      <c r="A225" s="1538" t="n">
        <f aca="false">EDATE(A224,1)</f>
        <v>42736</v>
      </c>
      <c r="C225" s="1561" t="n">
        <f aca="false">MAX('Plant Operations'!H225,'Plant Operations'!L225)</f>
        <v>0.92</v>
      </c>
      <c r="D225" s="306" t="n">
        <f aca="false">IF($A225&gt;Endyr,0,AVERAGE(C213:C224))</f>
        <v>0.92</v>
      </c>
      <c r="E225" s="306" t="n">
        <f aca="false">IF(D225&gt;E$10,0,E$10-D225)</f>
        <v>0</v>
      </c>
      <c r="F225" s="1562" t="n">
        <f aca="false">IF(Assm!$F$29=0,'Annex 10-Plant'!G225,'Annex 12-Plant'!T225)</f>
        <v>4921.16458923543</v>
      </c>
      <c r="G225" s="1563" t="n">
        <f aca="false">IF($A225&lt;Startops2,0,IF(Assm!$F$29=0,VLOOKUP($A225,Annex10_Gas_Table,'Annex 10-Gas'!$G$270),VLOOKUP($A225,Annex12_Gas_Table,'Annex 12-Gas'!$J$270)))</f>
        <v>16438.2986314621</v>
      </c>
      <c r="H225" s="1564" t="n">
        <f aca="false">IF($A225&lt;Startops2,0,IF(Assm!$F$29=0,VLOOKUP($A225,Annex10_Gas_Table,'Annex 10-Gas'!$P$270),VLOOKUP($A225,Annex12_Gas_Table,'Annex 12-Gas'!$V$270)))</f>
        <v>12268.5605382253</v>
      </c>
      <c r="I225" s="1563" t="n">
        <f aca="false">SUM(F225:H225)</f>
        <v>33628.0237589228</v>
      </c>
      <c r="J225" s="1563" t="n">
        <f aca="false">E225*I225</f>
        <v>0</v>
      </c>
      <c r="K225" s="1565" t="n">
        <f aca="false">IF(Assm!$L$74=1,VLOOKUP($A225,Curves_Table,Escalation!$D$291),Exch)</f>
        <v>1.065</v>
      </c>
      <c r="L225" s="1566" t="n">
        <f aca="false">J225/K225</f>
        <v>0</v>
      </c>
      <c r="M225" s="1567" t="str">
        <f aca="false">IF(MONTH($A225)=12,SUM(L214:L225)," ")</f>
        <v> </v>
      </c>
    </row>
    <row r="226" customFormat="false" ht="12.75" hidden="false" customHeight="false" outlineLevel="0" collapsed="false">
      <c r="A226" s="1538" t="n">
        <f aca="false">EDATE(A225,1)</f>
        <v>42767</v>
      </c>
      <c r="C226" s="1561" t="n">
        <f aca="false">MAX('Plant Operations'!H226,'Plant Operations'!L226)</f>
        <v>0.92</v>
      </c>
      <c r="D226" s="306" t="n">
        <f aca="false">IF($A226&gt;Endyr,0,AVERAGE(C214:C225))</f>
        <v>0.92</v>
      </c>
      <c r="E226" s="306" t="n">
        <f aca="false">IF(D226&gt;E$10,0,E$10-D226)</f>
        <v>0</v>
      </c>
      <c r="F226" s="1562" t="n">
        <f aca="false">IF(Assm!$F$29=0,'Annex 10-Plant'!G226,'Annex 12-Plant'!T226)</f>
        <v>4926.81460186255</v>
      </c>
      <c r="G226" s="1563" t="n">
        <f aca="false">IF($A226&lt;Startops2,0,IF(Assm!$F$29=0,VLOOKUP($A226,Annex10_Gas_Table,'Annex 10-Gas'!$G$270),VLOOKUP($A226,Annex12_Gas_Table,'Annex 12-Gas'!$J$270)))</f>
        <v>16465.3899661137</v>
      </c>
      <c r="H226" s="1564" t="n">
        <f aca="false">IF($A226&lt;Startops2,0,IF(Assm!$F$29=0,VLOOKUP($A226,Annex10_Gas_Table,'Annex 10-Gas'!$P$270),VLOOKUP($A226,Annex12_Gas_Table,'Annex 12-Gas'!$V$270)))</f>
        <v>12288.7798861448</v>
      </c>
      <c r="I226" s="1563" t="n">
        <f aca="false">SUM(F226:H226)</f>
        <v>33680.9844541211</v>
      </c>
      <c r="J226" s="1563" t="n">
        <f aca="false">E226*I226</f>
        <v>0</v>
      </c>
      <c r="K226" s="1565" t="n">
        <f aca="false">IF(Assm!$L$74=1,VLOOKUP($A226,Curves_Table,Escalation!$D$291),Exch)</f>
        <v>1.065</v>
      </c>
      <c r="L226" s="1566" t="n">
        <f aca="false">J226/K226</f>
        <v>0</v>
      </c>
      <c r="M226" s="1567" t="str">
        <f aca="false">IF(MONTH($A226)=12,SUM(L215:L226)," ")</f>
        <v> </v>
      </c>
    </row>
    <row r="227" customFormat="false" ht="12.75" hidden="false" customHeight="false" outlineLevel="0" collapsed="false">
      <c r="A227" s="1538" t="n">
        <f aca="false">EDATE(A226,1)</f>
        <v>42795</v>
      </c>
      <c r="C227" s="1561" t="n">
        <f aca="false">MAX('Plant Operations'!H227,'Plant Operations'!L227)</f>
        <v>0.92</v>
      </c>
      <c r="D227" s="306" t="n">
        <f aca="false">IF($A227&gt;Endyr,0,AVERAGE(C215:C226))</f>
        <v>0.92</v>
      </c>
      <c r="E227" s="306" t="n">
        <f aca="false">IF(D227&gt;E$10,0,E$10-D227)</f>
        <v>0</v>
      </c>
      <c r="F227" s="1562" t="n">
        <f aca="false">IF(Assm!$F$29=0,'Annex 10-Plant'!G227,'Annex 12-Plant'!T227)</f>
        <v>4932.47392606054</v>
      </c>
      <c r="G227" s="1563" t="n">
        <f aca="false">IF($A227&lt;Startops2,0,IF(Assm!$F$29=0,VLOOKUP($A227,Annex10_Gas_Table,'Annex 10-Gas'!$G$270),VLOOKUP($A227,Annex12_Gas_Table,'Annex 12-Gas'!$J$270)))</f>
        <v>16492.5259489634</v>
      </c>
      <c r="H227" s="1564" t="n">
        <f aca="false">IF($A227&lt;Startops2,0,IF(Assm!$F$29=0,VLOOKUP($A227,Annex10_Gas_Table,'Annex 10-Gas'!$P$270),VLOOKUP($A227,Annex12_Gas_Table,'Annex 12-Gas'!$V$270)))</f>
        <v>12309.0325568025</v>
      </c>
      <c r="I227" s="1563" t="n">
        <f aca="false">SUM(F227:H227)</f>
        <v>33734.0324318265</v>
      </c>
      <c r="J227" s="1563" t="n">
        <f aca="false">E227*I227</f>
        <v>0</v>
      </c>
      <c r="K227" s="1565" t="n">
        <f aca="false">IF(Assm!$L$74=1,VLOOKUP($A227,Curves_Table,Escalation!$D$291),Exch)</f>
        <v>1.065</v>
      </c>
      <c r="L227" s="1566" t="n">
        <f aca="false">J227/K227</f>
        <v>0</v>
      </c>
      <c r="M227" s="1567" t="str">
        <f aca="false">IF(MONTH($A227)=12,SUM(L216:L227)," ")</f>
        <v> </v>
      </c>
    </row>
    <row r="228" customFormat="false" ht="12.75" hidden="false" customHeight="false" outlineLevel="0" collapsed="false">
      <c r="A228" s="1538" t="n">
        <f aca="false">EDATE(A227,1)</f>
        <v>42826</v>
      </c>
      <c r="C228" s="1561" t="n">
        <f aca="false">MAX('Plant Operations'!H228,'Plant Operations'!L228)</f>
        <v>0.92</v>
      </c>
      <c r="D228" s="306" t="n">
        <f aca="false">IF($A228&gt;Endyr,0,AVERAGE(C216:C227))</f>
        <v>0.92</v>
      </c>
      <c r="E228" s="306" t="n">
        <f aca="false">IF(D228&gt;E$10,0,E$10-D228)</f>
        <v>0</v>
      </c>
      <c r="F228" s="1562" t="n">
        <f aca="false">IF(Assm!$F$29=0,'Annex 10-Plant'!G228,'Annex 12-Plant'!T228)</f>
        <v>4938.14257717546</v>
      </c>
      <c r="G228" s="1563" t="n">
        <f aca="false">IF($A228&lt;Startops2,0,IF(Assm!$F$29=0,VLOOKUP($A228,Annex10_Gas_Table,'Annex 10-Gas'!$G$270),VLOOKUP($A228,Annex12_Gas_Table,'Annex 12-Gas'!$J$270)))</f>
        <v>16519.7066535942</v>
      </c>
      <c r="H228" s="1564" t="n">
        <f aca="false">IF($A228&lt;Startops2,0,IF(Assm!$F$29=0,VLOOKUP($A228,Annex10_Gas_Table,'Annex 10-Gas'!$P$270),VLOOKUP($A228,Annex12_Gas_Table,'Annex 12-Gas'!$V$270)))</f>
        <v>12329.3186051163</v>
      </c>
      <c r="I228" s="1563" t="n">
        <f aca="false">SUM(F228:H228)</f>
        <v>33787.1678358859</v>
      </c>
      <c r="J228" s="1563" t="n">
        <f aca="false">E228*I228</f>
        <v>0</v>
      </c>
      <c r="K228" s="1565" t="n">
        <f aca="false">IF(Assm!$L$74=1,VLOOKUP($A228,Curves_Table,Escalation!$D$291),Exch)</f>
        <v>1.065</v>
      </c>
      <c r="L228" s="1566" t="n">
        <f aca="false">J228/K228</f>
        <v>0</v>
      </c>
      <c r="M228" s="1567" t="str">
        <f aca="false">IF(MONTH($A228)=12,SUM(L217:L228)," ")</f>
        <v> </v>
      </c>
    </row>
    <row r="229" customFormat="false" ht="12.75" hidden="false" customHeight="false" outlineLevel="0" collapsed="false">
      <c r="A229" s="1538" t="n">
        <f aca="false">EDATE(A228,1)</f>
        <v>42856</v>
      </c>
      <c r="C229" s="1561" t="n">
        <f aca="false">MAX('Plant Operations'!H229,'Plant Operations'!L229)</f>
        <v>0.92</v>
      </c>
      <c r="D229" s="306" t="n">
        <f aca="false">IF($A229&gt;Endyr,0,AVERAGE(C217:C228))</f>
        <v>0.92</v>
      </c>
      <c r="E229" s="306" t="n">
        <f aca="false">IF(D229&gt;E$10,0,E$10-D229)</f>
        <v>0</v>
      </c>
      <c r="F229" s="1562" t="n">
        <f aca="false">IF(Assm!$F$29=0,'Annex 10-Plant'!G229,'Annex 12-Plant'!T229)</f>
        <v>4674.20308874748</v>
      </c>
      <c r="G229" s="1563" t="n">
        <f aca="false">IF($A229&lt;Startops2,0,IF(Assm!$F$29=0,VLOOKUP($A229,Annex10_Gas_Table,'Annex 10-Gas'!$G$270),VLOOKUP($A229,Annex12_Gas_Table,'Annex 12-Gas'!$J$270)))</f>
        <v>16954.3651152276</v>
      </c>
      <c r="H229" s="1564" t="n">
        <f aca="false">IF($A229&lt;Startops2,0,IF(Assm!$F$29=0,VLOOKUP($A229,Annex10_Gas_Table,'Annex 10-Gas'!$P$270),VLOOKUP($A229,Annex12_Gas_Table,'Annex 12-Gas'!$V$270)))</f>
        <v>12517.7376816859</v>
      </c>
      <c r="I229" s="1563" t="n">
        <f aca="false">SUM(F229:H229)</f>
        <v>34146.305885661</v>
      </c>
      <c r="J229" s="1563" t="n">
        <f aca="false">E229*I229</f>
        <v>0</v>
      </c>
      <c r="K229" s="1565" t="n">
        <f aca="false">IF(Assm!$L$74=1,VLOOKUP($A229,Curves_Table,Escalation!$D$291),Exch)</f>
        <v>1.065</v>
      </c>
      <c r="L229" s="1566" t="n">
        <f aca="false">J229/K229</f>
        <v>0</v>
      </c>
      <c r="M229" s="1567" t="str">
        <f aca="false">IF(MONTH($A229)=12,SUM(L218:L229)," ")</f>
        <v> </v>
      </c>
    </row>
    <row r="230" customFormat="false" ht="12.75" hidden="false" customHeight="false" outlineLevel="0" collapsed="false">
      <c r="A230" s="1538" t="n">
        <f aca="false">EDATE(A229,1)</f>
        <v>42887</v>
      </c>
      <c r="C230" s="1561" t="n">
        <f aca="false">MAX('Plant Operations'!H230,'Plant Operations'!L230)</f>
        <v>0.92</v>
      </c>
      <c r="D230" s="306" t="n">
        <f aca="false">IF($A230&gt;Endyr,0,AVERAGE(C218:C229))</f>
        <v>0.92</v>
      </c>
      <c r="E230" s="306" t="n">
        <f aca="false">IF(D230&gt;E$10,0,E$10-D230)</f>
        <v>0</v>
      </c>
      <c r="F230" s="1562" t="n">
        <f aca="false">IF(Assm!$F$29=0,'Annex 10-Plant'!G230,'Annex 12-Plant'!T230)</f>
        <v>4679.16664275279</v>
      </c>
      <c r="G230" s="1563" t="n">
        <f aca="false">IF($A230&lt;Startops2,0,IF(Assm!$F$29=0,VLOOKUP($A230,Annex10_Gas_Table,'Annex 10-Gas'!$G$270),VLOOKUP($A230,Annex12_Gas_Table,'Annex 12-Gas'!$J$270)))</f>
        <v>16982.3069594197</v>
      </c>
      <c r="H230" s="1564" t="n">
        <f aca="false">IF($A230&lt;Startops2,0,IF(Assm!$F$29=0,VLOOKUP($A230,Annex10_Gas_Table,'Annex 10-Gas'!$P$270),VLOOKUP($A230,Annex12_Gas_Table,'Annex 12-Gas'!$V$270)))</f>
        <v>12538.3676889767</v>
      </c>
      <c r="I230" s="1563" t="n">
        <f aca="false">SUM(F230:H230)</f>
        <v>34199.8412911492</v>
      </c>
      <c r="J230" s="1563" t="n">
        <f aca="false">E230*I230</f>
        <v>0</v>
      </c>
      <c r="K230" s="1565" t="n">
        <f aca="false">IF(Assm!$L$74=1,VLOOKUP($A230,Curves_Table,Escalation!$D$291),Exch)</f>
        <v>1.065</v>
      </c>
      <c r="L230" s="1566" t="n">
        <f aca="false">J230/K230</f>
        <v>0</v>
      </c>
      <c r="M230" s="1567" t="str">
        <f aca="false">IF(MONTH($A230)=12,SUM(L219:L230)," ")</f>
        <v> </v>
      </c>
    </row>
    <row r="231" customFormat="false" ht="12.75" hidden="false" customHeight="false" outlineLevel="0" collapsed="false">
      <c r="A231" s="1538" t="n">
        <f aca="false">EDATE(A230,1)</f>
        <v>42917</v>
      </c>
      <c r="C231" s="1561" t="n">
        <f aca="false">MAX('Plant Operations'!H231,'Plant Operations'!L231)</f>
        <v>0.92</v>
      </c>
      <c r="D231" s="306" t="n">
        <f aca="false">IF($A231&gt;Endyr,0,AVERAGE(C219:C230))</f>
        <v>0.92</v>
      </c>
      <c r="E231" s="306" t="n">
        <f aca="false">IF(D231&gt;E$10,0,E$10-D231)</f>
        <v>0</v>
      </c>
      <c r="F231" s="1562" t="n">
        <f aca="false">IF(Assm!$F$29=0,'Annex 10-Plant'!G231,'Annex 12-Plant'!T231)</f>
        <v>4684.13837700265</v>
      </c>
      <c r="G231" s="1563" t="n">
        <f aca="false">IF($A231&lt;Startops2,0,IF(Assm!$F$29=0,VLOOKUP($A231,Annex10_Gas_Table,'Annex 10-Gas'!$G$270),VLOOKUP($A231,Annex12_Gas_Table,'Annex 12-Gas'!$J$270)))</f>
        <v>17010.2948535022</v>
      </c>
      <c r="H231" s="1564" t="n">
        <f aca="false">IF($A231&lt;Startops2,0,IF(Assm!$F$29=0,VLOOKUP($A231,Annex10_Gas_Table,'Annex 10-Gas'!$P$270),VLOOKUP($A231,Annex12_Gas_Table,'Annex 12-Gas'!$V$270)))</f>
        <v>12559.0316957978</v>
      </c>
      <c r="I231" s="1563" t="n">
        <f aca="false">SUM(F231:H231)</f>
        <v>34253.4649263026</v>
      </c>
      <c r="J231" s="1563" t="n">
        <f aca="false">E231*I231</f>
        <v>0</v>
      </c>
      <c r="K231" s="1565" t="n">
        <f aca="false">IF(Assm!$L$74=1,VLOOKUP($A231,Curves_Table,Escalation!$D$291),Exch)</f>
        <v>1.065</v>
      </c>
      <c r="L231" s="1566" t="n">
        <f aca="false">J231/K231</f>
        <v>0</v>
      </c>
      <c r="M231" s="1567" t="str">
        <f aca="false">IF(MONTH($A231)=12,SUM(L220:L231)," ")</f>
        <v> </v>
      </c>
    </row>
    <row r="232" customFormat="false" ht="12.75" hidden="false" customHeight="false" outlineLevel="0" collapsed="false">
      <c r="A232" s="1538" t="n">
        <f aca="false">EDATE(A231,1)</f>
        <v>42948</v>
      </c>
      <c r="C232" s="1561" t="n">
        <f aca="false">MAX('Plant Operations'!H232,'Plant Operations'!L232)</f>
        <v>0.92</v>
      </c>
      <c r="D232" s="306" t="n">
        <f aca="false">IF($A232&gt;Endyr,0,AVERAGE(C220:C231))</f>
        <v>0.92</v>
      </c>
      <c r="E232" s="306" t="n">
        <f aca="false">IF(D232&gt;E$10,0,E$10-D232)</f>
        <v>0</v>
      </c>
      <c r="F232" s="1562" t="n">
        <f aca="false">IF(Assm!$F$29=0,'Annex 10-Plant'!G232,'Annex 12-Plant'!T232)</f>
        <v>4689.11830497859</v>
      </c>
      <c r="G232" s="1563" t="n">
        <f aca="false">IF($A232&lt;Startops2,0,IF(Assm!$F$29=0,VLOOKUP($A232,Annex10_Gas_Table,'Annex 10-Gas'!$G$270),VLOOKUP($A232,Annex12_Gas_Table,'Annex 12-Gas'!$J$270)))</f>
        <v>17038.3288733683</v>
      </c>
      <c r="H232" s="1564" t="n">
        <f aca="false">IF($A232&lt;Startops2,0,IF(Assm!$F$29=0,VLOOKUP($A232,Annex10_Gas_Table,'Annex 10-Gas'!$P$270),VLOOKUP($A232,Annex12_Gas_Table,'Annex 12-Gas'!$V$270)))</f>
        <v>12579.7297581824</v>
      </c>
      <c r="I232" s="1563" t="n">
        <f aca="false">SUM(F232:H232)</f>
        <v>34307.1769365293</v>
      </c>
      <c r="J232" s="1563" t="n">
        <f aca="false">E232*I232</f>
        <v>0</v>
      </c>
      <c r="K232" s="1565" t="n">
        <f aca="false">IF(Assm!$L$74=1,VLOOKUP($A232,Curves_Table,Escalation!$D$291),Exch)</f>
        <v>1.065</v>
      </c>
      <c r="L232" s="1566" t="n">
        <f aca="false">J232/K232</f>
        <v>0</v>
      </c>
      <c r="M232" s="1567" t="str">
        <f aca="false">IF(MONTH($A232)=12,SUM(L221:L232)," ")</f>
        <v> </v>
      </c>
    </row>
    <row r="233" customFormat="false" ht="12.75" hidden="false" customHeight="false" outlineLevel="0" collapsed="false">
      <c r="A233" s="1538" t="n">
        <f aca="false">EDATE(A232,1)</f>
        <v>42979</v>
      </c>
      <c r="C233" s="1561" t="n">
        <f aca="false">MAX('Plant Operations'!H233,'Plant Operations'!L233)</f>
        <v>0.92</v>
      </c>
      <c r="D233" s="306" t="n">
        <f aca="false">IF($A233&gt;Endyr,0,AVERAGE(C221:C232))</f>
        <v>0.92</v>
      </c>
      <c r="E233" s="306" t="n">
        <f aca="false">IF(D233&gt;E$10,0,E$10-D233)</f>
        <v>0</v>
      </c>
      <c r="F233" s="1562" t="n">
        <f aca="false">IF(Assm!$F$29=0,'Annex 10-Plant'!G233,'Annex 12-Plant'!T233)</f>
        <v>4694.1064401844</v>
      </c>
      <c r="G233" s="1563" t="n">
        <f aca="false">IF($A233&lt;Startops2,0,IF(Assm!$F$29=0,VLOOKUP($A233,Annex10_Gas_Table,'Annex 10-Gas'!$G$270),VLOOKUP($A233,Annex12_Gas_Table,'Annex 12-Gas'!$J$270)))</f>
        <v>17066.4090950361</v>
      </c>
      <c r="H233" s="1564" t="n">
        <f aca="false">IF($A233&lt;Startops2,0,IF(Assm!$F$29=0,VLOOKUP($A233,Annex10_Gas_Table,'Annex 10-Gas'!$P$270),VLOOKUP($A233,Annex12_Gas_Table,'Annex 12-Gas'!$V$270)))</f>
        <v>12600.4619322563</v>
      </c>
      <c r="I233" s="1563" t="n">
        <f aca="false">SUM(F233:H233)</f>
        <v>34360.9774674768</v>
      </c>
      <c r="J233" s="1563" t="n">
        <f aca="false">E233*I233</f>
        <v>0</v>
      </c>
      <c r="K233" s="1565" t="n">
        <f aca="false">IF(Assm!$L$74=1,VLOOKUP($A233,Curves_Table,Escalation!$D$291),Exch)</f>
        <v>1.065</v>
      </c>
      <c r="L233" s="1566" t="n">
        <f aca="false">J233/K233</f>
        <v>0</v>
      </c>
      <c r="M233" s="1567" t="str">
        <f aca="false">IF(MONTH($A233)=12,SUM(L222:L233)," ")</f>
        <v> </v>
      </c>
    </row>
    <row r="234" customFormat="false" ht="12.75" hidden="false" customHeight="false" outlineLevel="0" collapsed="false">
      <c r="A234" s="1538" t="n">
        <f aca="false">EDATE(A233,1)</f>
        <v>43009</v>
      </c>
      <c r="C234" s="1561" t="n">
        <f aca="false">MAX('Plant Operations'!H234,'Plant Operations'!L234)</f>
        <v>0.92</v>
      </c>
      <c r="D234" s="306" t="n">
        <f aca="false">IF($A234&gt;Endyr,0,AVERAGE(C222:C233))</f>
        <v>0.92</v>
      </c>
      <c r="E234" s="306" t="n">
        <f aca="false">IF(D234&gt;E$10,0,E$10-D234)</f>
        <v>0</v>
      </c>
      <c r="F234" s="1562" t="n">
        <f aca="false">IF(Assm!$F$29=0,'Annex 10-Plant'!G234,'Annex 12-Plant'!T234)</f>
        <v>4699.10279614608</v>
      </c>
      <c r="G234" s="1563" t="n">
        <f aca="false">IF($A234&lt;Startops2,0,IF(Assm!$F$29=0,VLOOKUP($A234,Annex10_Gas_Table,'Annex 10-Gas'!$G$270),VLOOKUP($A234,Annex12_Gas_Table,'Annex 12-Gas'!$J$270)))</f>
        <v>17094.535594649</v>
      </c>
      <c r="H234" s="1564" t="n">
        <f aca="false">IF($A234&lt;Startops2,0,IF(Assm!$F$29=0,VLOOKUP($A234,Annex10_Gas_Table,'Annex 10-Gas'!$P$270),VLOOKUP($A234,Annex12_Gas_Table,'Annex 12-Gas'!$V$270)))</f>
        <v>12621.2282742376</v>
      </c>
      <c r="I234" s="1563" t="n">
        <f aca="false">SUM(F234:H234)</f>
        <v>34414.8666650327</v>
      </c>
      <c r="J234" s="1563" t="n">
        <f aca="false">E234*I234</f>
        <v>0</v>
      </c>
      <c r="K234" s="1565" t="n">
        <f aca="false">IF(Assm!$L$74=1,VLOOKUP($A234,Curves_Table,Escalation!$D$291),Exch)</f>
        <v>1.065</v>
      </c>
      <c r="L234" s="1566" t="n">
        <f aca="false">J234/K234</f>
        <v>0</v>
      </c>
      <c r="M234" s="1567" t="str">
        <f aca="false">IF(MONTH($A234)=12,SUM(L223:L234)," ")</f>
        <v> </v>
      </c>
    </row>
    <row r="235" customFormat="false" ht="12.75" hidden="false" customHeight="false" outlineLevel="0" collapsed="false">
      <c r="A235" s="1538" t="n">
        <f aca="false">EDATE(A234,1)</f>
        <v>43040</v>
      </c>
      <c r="C235" s="1561" t="n">
        <f aca="false">MAX('Plant Operations'!H235,'Plant Operations'!L235)</f>
        <v>0.92</v>
      </c>
      <c r="D235" s="306" t="n">
        <f aca="false">IF($A235&gt;Endyr,0,AVERAGE(C223:C234))</f>
        <v>0.92</v>
      </c>
      <c r="E235" s="306" t="n">
        <f aca="false">IF(D235&gt;E$10,0,E$10-D235)</f>
        <v>0</v>
      </c>
      <c r="F235" s="1562" t="n">
        <f aca="false">IF(Assm!$F$29=0,'Annex 10-Plant'!G235,'Annex 12-Plant'!T235)</f>
        <v>4704.10738641196</v>
      </c>
      <c r="G235" s="1563" t="n">
        <f aca="false">IF($A235&lt;Startops2,0,IF(Assm!$F$29=0,VLOOKUP($A235,Annex10_Gas_Table,'Annex 10-Gas'!$G$270),VLOOKUP($A235,Annex12_Gas_Table,'Annex 12-Gas'!$J$270)))</f>
        <v>17122.708448476</v>
      </c>
      <c r="H235" s="1564" t="n">
        <f aca="false">IF($A235&lt;Startops2,0,IF(Assm!$F$29=0,VLOOKUP($A235,Annex10_Gas_Table,'Annex 10-Gas'!$P$270),VLOOKUP($A235,Annex12_Gas_Table,'Annex 12-Gas'!$V$270)))</f>
        <v>12642.0288404372</v>
      </c>
      <c r="I235" s="1563" t="n">
        <f aca="false">SUM(F235:H235)</f>
        <v>34468.8446753252</v>
      </c>
      <c r="J235" s="1563" t="n">
        <f aca="false">E235*I235</f>
        <v>0</v>
      </c>
      <c r="K235" s="1565" t="n">
        <f aca="false">IF(Assm!$L$74=1,VLOOKUP($A235,Curves_Table,Escalation!$D$291),Exch)</f>
        <v>1.065</v>
      </c>
      <c r="L235" s="1566" t="n">
        <f aca="false">J235/K235</f>
        <v>0</v>
      </c>
      <c r="M235" s="1567" t="str">
        <f aca="false">IF(MONTH($A235)=12,SUM(L224:L235)," ")</f>
        <v> </v>
      </c>
    </row>
    <row r="236" customFormat="false" ht="12.75" hidden="false" customHeight="false" outlineLevel="0" collapsed="false">
      <c r="A236" s="1538" t="n">
        <f aca="false">EDATE(A235,1)</f>
        <v>43070</v>
      </c>
      <c r="C236" s="1561" t="n">
        <f aca="false">MAX('Plant Operations'!H236,'Plant Operations'!L236)</f>
        <v>0.92</v>
      </c>
      <c r="D236" s="306" t="n">
        <f aca="false">IF($A236&gt;Endyr,0,AVERAGE(C224:C235))</f>
        <v>0.92</v>
      </c>
      <c r="E236" s="306" t="n">
        <f aca="false">IF(D236&gt;E$10,0,E$10-D236)</f>
        <v>0</v>
      </c>
      <c r="F236" s="1562" t="n">
        <f aca="false">IF(Assm!$F$29=0,'Annex 10-Plant'!G236,'Annex 12-Plant'!T236)</f>
        <v>4709.12022455268</v>
      </c>
      <c r="G236" s="1563" t="n">
        <f aca="false">IF($A236&lt;Startops2,0,IF(Assm!$F$29=0,VLOOKUP($A236,Annex10_Gas_Table,'Annex 10-Gas'!$G$270),VLOOKUP($A236,Annex12_Gas_Table,'Annex 12-Gas'!$J$270)))</f>
        <v>17150.9277329117</v>
      </c>
      <c r="H236" s="1564" t="n">
        <f aca="false">IF($A236&lt;Startops2,0,IF(Assm!$F$29=0,VLOOKUP($A236,Annex10_Gas_Table,'Annex 10-Gas'!$P$270),VLOOKUP($A236,Annex12_Gas_Table,'Annex 12-Gas'!$V$270)))</f>
        <v>12662.8636872586</v>
      </c>
      <c r="I236" s="1563" t="n">
        <f aca="false">SUM(F236:H236)</f>
        <v>34522.911644723</v>
      </c>
      <c r="J236" s="1563" t="n">
        <f aca="false">E236*I236</f>
        <v>0</v>
      </c>
      <c r="K236" s="1565" t="n">
        <f aca="false">IF(Assm!$L$74=1,VLOOKUP($A236,Curves_Table,Escalation!$D$291),Exch)</f>
        <v>1.065</v>
      </c>
      <c r="L236" s="1566" t="n">
        <f aca="false">J236/K236</f>
        <v>0</v>
      </c>
      <c r="M236" s="1567" t="n">
        <f aca="false">IF(MONTH($A236)=12,SUM(L225:L236)," ")</f>
        <v>0</v>
      </c>
    </row>
    <row r="237" customFormat="false" ht="12.75" hidden="false" customHeight="false" outlineLevel="0" collapsed="false">
      <c r="A237" s="1538" t="n">
        <f aca="false">EDATE(A236,1)</f>
        <v>43101</v>
      </c>
      <c r="C237" s="1561" t="n">
        <f aca="false">MAX('Plant Operations'!H237,'Plant Operations'!L237)</f>
        <v>0.92</v>
      </c>
      <c r="D237" s="306" t="n">
        <f aca="false">IF($A237&gt;Endyr,0,AVERAGE(C225:C236))</f>
        <v>0.92</v>
      </c>
      <c r="E237" s="306" t="n">
        <f aca="false">IF(D237&gt;E$10,0,E$10-D237)</f>
        <v>0</v>
      </c>
      <c r="F237" s="1562" t="n">
        <f aca="false">IF(Assm!$F$29=0,'Annex 10-Plant'!G237,'Annex 12-Plant'!T237)</f>
        <v>4714.14973675051</v>
      </c>
      <c r="G237" s="1563" t="n">
        <f aca="false">IF($A237&lt;Startops2,0,IF(Assm!$F$29=0,VLOOKUP($A237,Annex10_Gas_Table,'Annex 10-Gas'!$G$270),VLOOKUP($A237,Annex12_Gas_Table,'Annex 12-Gas'!$J$270)))</f>
        <v>17179.2408823291</v>
      </c>
      <c r="H237" s="1564" t="n">
        <f aca="false">IF($A237&lt;Startops2,0,IF(Assm!$F$29=0,VLOOKUP($A237,Annex10_Gas_Table,'Annex 10-Gas'!$P$270),VLOOKUP($A237,Annex12_Gas_Table,'Annex 12-Gas'!$V$270)))</f>
        <v>12683.7678364226</v>
      </c>
      <c r="I237" s="1563" t="n">
        <f aca="false">SUM(F237:H237)</f>
        <v>34577.1584555022</v>
      </c>
      <c r="J237" s="1563" t="n">
        <f aca="false">E237*I237</f>
        <v>0</v>
      </c>
      <c r="K237" s="1565" t="n">
        <f aca="false">IF(Assm!$L$74=1,VLOOKUP($A237,Curves_Table,Escalation!$D$291),Exch)</f>
        <v>1.065</v>
      </c>
      <c r="L237" s="1566" t="n">
        <f aca="false">J237/K237</f>
        <v>0</v>
      </c>
      <c r="M237" s="1567" t="str">
        <f aca="false">IF(MONTH($A237)=12,SUM(L226:L237)," ")</f>
        <v> </v>
      </c>
    </row>
    <row r="238" customFormat="false" ht="12.75" hidden="false" customHeight="false" outlineLevel="0" collapsed="false">
      <c r="A238" s="1538" t="n">
        <f aca="false">EDATE(A237,1)</f>
        <v>43132</v>
      </c>
      <c r="C238" s="1561" t="n">
        <f aca="false">MAX('Plant Operations'!H238,'Plant Operations'!L238)</f>
        <v>0.92</v>
      </c>
      <c r="D238" s="306" t="n">
        <f aca="false">IF($A238&gt;Endyr,0,AVERAGE(C226:C237))</f>
        <v>0.92</v>
      </c>
      <c r="E238" s="306" t="n">
        <f aca="false">IF(D238&gt;E$10,0,E$10-D238)</f>
        <v>0</v>
      </c>
      <c r="F238" s="1562" t="n">
        <f aca="false">IF(Assm!$F$29=0,'Annex 10-Plant'!G238,'Annex 12-Plant'!T238)</f>
        <v>4719.18755178376</v>
      </c>
      <c r="G238" s="1563" t="n">
        <f aca="false">IF($A238&lt;Startops2,0,IF(Assm!$F$29=0,VLOOKUP($A238,Annex10_Gas_Table,'Annex 10-Gas'!$G$270),VLOOKUP($A238,Annex12_Gas_Table,'Annex 12-Gas'!$J$270)))</f>
        <v>17207.6007717503</v>
      </c>
      <c r="H238" s="1564" t="n">
        <f aca="false">IF($A238&lt;Startops2,0,IF(Assm!$F$29=0,VLOOKUP($A238,Annex10_Gas_Table,'Annex 10-Gas'!$P$270),VLOOKUP($A238,Annex12_Gas_Table,'Annex 12-Gas'!$V$270)))</f>
        <v>12704.706494641</v>
      </c>
      <c r="I238" s="1563" t="n">
        <f aca="false">SUM(F238:H238)</f>
        <v>34631.4948181751</v>
      </c>
      <c r="J238" s="1563" t="n">
        <f aca="false">E238*I238</f>
        <v>0</v>
      </c>
      <c r="K238" s="1565" t="n">
        <f aca="false">IF(Assm!$L$74=1,VLOOKUP($A238,Curves_Table,Escalation!$D$291),Exch)</f>
        <v>1.065</v>
      </c>
      <c r="L238" s="1566" t="n">
        <f aca="false">J238/K238</f>
        <v>0</v>
      </c>
      <c r="M238" s="1567" t="str">
        <f aca="false">IF(MONTH($A238)=12,SUM(L227:L238)," ")</f>
        <v> </v>
      </c>
    </row>
    <row r="239" customFormat="false" ht="12.75" hidden="false" customHeight="false" outlineLevel="0" collapsed="false">
      <c r="A239" s="1538" t="n">
        <f aca="false">EDATE(A238,1)</f>
        <v>43160</v>
      </c>
      <c r="C239" s="1561" t="n">
        <f aca="false">MAX('Plant Operations'!H239,'Plant Operations'!L239)</f>
        <v>0.92</v>
      </c>
      <c r="D239" s="306" t="n">
        <f aca="false">IF($A239&gt;Endyr,0,AVERAGE(C227:C238))</f>
        <v>0.92</v>
      </c>
      <c r="E239" s="306" t="n">
        <f aca="false">IF(D239&gt;E$10,0,E$10-D239)</f>
        <v>0</v>
      </c>
      <c r="F239" s="1562" t="n">
        <f aca="false">IF(Assm!$F$29=0,'Annex 10-Plant'!G239,'Annex 12-Plant'!T239)</f>
        <v>4724.23368335895</v>
      </c>
      <c r="G239" s="1563" t="n">
        <f aca="false">IF($A239&lt;Startops2,0,IF(Assm!$F$29=0,VLOOKUP($A239,Annex10_Gas_Table,'Annex 10-Gas'!$G$270),VLOOKUP($A239,Annex12_Gas_Table,'Annex 12-Gas'!$J$270)))</f>
        <v>17236.0074783351</v>
      </c>
      <c r="H239" s="1564" t="n">
        <f aca="false">IF($A239&lt;Startops2,0,IF(Assm!$F$29=0,VLOOKUP($A239,Annex10_Gas_Table,'Annex 10-Gas'!$P$270),VLOOKUP($A239,Annex12_Gas_Table,'Annex 12-Gas'!$V$270)))</f>
        <v>12725.6797188821</v>
      </c>
      <c r="I239" s="1563" t="n">
        <f aca="false">SUM(F239:H239)</f>
        <v>34685.9208805761</v>
      </c>
      <c r="J239" s="1563" t="n">
        <f aca="false">E239*I239</f>
        <v>0</v>
      </c>
      <c r="K239" s="1565" t="n">
        <f aca="false">IF(Assm!$L$74=1,VLOOKUP($A239,Curves_Table,Escalation!$D$291),Exch)</f>
        <v>1.065</v>
      </c>
      <c r="L239" s="1566" t="n">
        <f aca="false">J239/K239</f>
        <v>0</v>
      </c>
      <c r="M239" s="1567" t="str">
        <f aca="false">IF(MONTH($A239)=12,SUM(L228:L239)," ")</f>
        <v> </v>
      </c>
    </row>
    <row r="240" customFormat="false" ht="12.75" hidden="false" customHeight="false" outlineLevel="0" collapsed="false">
      <c r="A240" s="1538" t="n">
        <f aca="false">EDATE(A239,1)</f>
        <v>43191</v>
      </c>
      <c r="C240" s="1561" t="n">
        <f aca="false">MAX('Plant Operations'!H240,'Plant Operations'!L240)</f>
        <v>0.92</v>
      </c>
      <c r="D240" s="306" t="n">
        <f aca="false">IF($A240&gt;Endyr,0,AVERAGE(C228:C239))</f>
        <v>0.92</v>
      </c>
      <c r="E240" s="306" t="n">
        <f aca="false">IF(D240&gt;E$10,0,E$10-D240)</f>
        <v>0</v>
      </c>
      <c r="F240" s="1562" t="n">
        <f aca="false">IF(Assm!$F$29=0,'Annex 10-Plant'!G240,'Annex 12-Plant'!T240)</f>
        <v>4729.28814520521</v>
      </c>
      <c r="G240" s="1563" t="n">
        <f aca="false">IF($A240&lt;Startops2,0,IF(Assm!$F$29=0,VLOOKUP($A240,Annex10_Gas_Table,'Annex 10-Gas'!$G$270),VLOOKUP($A240,Annex12_Gas_Table,'Annex 12-Gas'!$J$270)))</f>
        <v>17264.4610793701</v>
      </c>
      <c r="H240" s="1564" t="n">
        <f aca="false">IF($A240&lt;Startops2,0,IF(Assm!$F$29=0,VLOOKUP($A240,Annex10_Gas_Table,'Annex 10-Gas'!$P$270),VLOOKUP($A240,Annex12_Gas_Table,'Annex 12-Gas'!$V$270)))</f>
        <v>12746.6875662085</v>
      </c>
      <c r="I240" s="1563" t="n">
        <f aca="false">SUM(F240:H240)</f>
        <v>34740.4367907838</v>
      </c>
      <c r="J240" s="1563" t="n">
        <f aca="false">E240*I240</f>
        <v>0</v>
      </c>
      <c r="K240" s="1565" t="n">
        <f aca="false">IF(Assm!$L$74=1,VLOOKUP($A240,Curves_Table,Escalation!$D$291),Exch)</f>
        <v>1.065</v>
      </c>
      <c r="L240" s="1566" t="n">
        <f aca="false">J240/K240</f>
        <v>0</v>
      </c>
      <c r="M240" s="1567" t="str">
        <f aca="false">IF(MONTH($A240)=12,SUM(L229:L240)," ")</f>
        <v> </v>
      </c>
    </row>
    <row r="241" customFormat="false" ht="12.75" hidden="false" customHeight="false" outlineLevel="0" collapsed="false">
      <c r="A241" s="1538" t="n">
        <f aca="false">EDATE(A240,1)</f>
        <v>43221</v>
      </c>
      <c r="C241" s="1561" t="n">
        <f aca="false">MAX('Plant Operations'!H241,'Plant Operations'!L241)</f>
        <v>0.92</v>
      </c>
      <c r="D241" s="306" t="n">
        <f aca="false">IF($A241&gt;Endyr,0,AVERAGE(C229:C240))</f>
        <v>0.92</v>
      </c>
      <c r="E241" s="306" t="n">
        <f aca="false">IF(D241&gt;E$10,0,E$10-D241)</f>
        <v>0</v>
      </c>
      <c r="F241" s="1562" t="n">
        <f aca="false">IF(Assm!$F$29=0,'Annex 10-Plant'!G241,'Annex 12-Plant'!T241)</f>
        <v>3036.37427728429</v>
      </c>
      <c r="G241" s="1563" t="n">
        <f aca="false">IF($A241&lt;Startops2,0,IF(Assm!$F$29=0,VLOOKUP($A241,Annex10_Gas_Table,'Annex 10-Gas'!$G$270),VLOOKUP($A241,Annex12_Gas_Table,'Annex 12-Gas'!$J$270)))</f>
        <v>17781.3703337625</v>
      </c>
      <c r="H241" s="1564" t="n">
        <f aca="false">IF($A241&lt;Startops2,0,IF(Assm!$F$29=0,VLOOKUP($A241,Annex10_Gas_Table,'Annex 10-Gas'!$P$270),VLOOKUP($A241,Annex12_Gas_Table,'Annex 12-Gas'!$V$270)))</f>
        <v>13106.8626461785</v>
      </c>
      <c r="I241" s="1563" t="n">
        <f aca="false">SUM(F241:H241)</f>
        <v>33924.6072572253</v>
      </c>
      <c r="J241" s="1563" t="n">
        <f aca="false">E241*I241</f>
        <v>0</v>
      </c>
      <c r="K241" s="1565" t="n">
        <f aca="false">IF(Assm!$L$74=1,VLOOKUP($A241,Curves_Table,Escalation!$D$291),Exch)</f>
        <v>1.065</v>
      </c>
      <c r="L241" s="1566" t="n">
        <f aca="false">J241/K241</f>
        <v>0</v>
      </c>
      <c r="M241" s="1567" t="str">
        <f aca="false">IF(MONTH($A241)=12,SUM(L230:L241)," ")</f>
        <v> </v>
      </c>
    </row>
    <row r="242" customFormat="false" ht="12.75" hidden="false" customHeight="false" outlineLevel="0" collapsed="false">
      <c r="A242" s="1538" t="n">
        <f aca="false">EDATE(A241,1)</f>
        <v>43252</v>
      </c>
      <c r="C242" s="1561" t="n">
        <f aca="false">MAX('Plant Operations'!H242,'Plant Operations'!L242)</f>
        <v>0.92</v>
      </c>
      <c r="D242" s="306" t="n">
        <f aca="false">IF($A242&gt;Endyr,0,AVERAGE(C230:C241))</f>
        <v>0.92</v>
      </c>
      <c r="E242" s="306" t="n">
        <f aca="false">IF(D242&gt;E$10,0,E$10-D242)</f>
        <v>0</v>
      </c>
      <c r="F242" s="1562" t="n">
        <f aca="false">IF(Assm!$F$29=0,'Annex 10-Plant'!G242,'Annex 12-Plant'!T242)</f>
        <v>3039.12875442125</v>
      </c>
      <c r="G242" s="1563" t="n">
        <f aca="false">IF($A242&lt;Startops2,0,IF(Assm!$F$29=0,VLOOKUP($A242,Annex10_Gas_Table,'Annex 10-Gas'!$G$270),VLOOKUP($A242,Annex12_Gas_Table,'Annex 12-Gas'!$J$270)))</f>
        <v>17810.7242324522</v>
      </c>
      <c r="H242" s="1564" t="n">
        <f aca="false">IF($A242&lt;Startops2,0,IF(Assm!$F$29=0,VLOOKUP($A242,Annex10_Gas_Table,'Annex 10-Gas'!$P$270),VLOOKUP($A242,Annex12_Gas_Table,'Annex 12-Gas'!$V$270)))</f>
        <v>13128.4997591249</v>
      </c>
      <c r="I242" s="1563" t="n">
        <f aca="false">SUM(F242:H242)</f>
        <v>33978.3527459983</v>
      </c>
      <c r="J242" s="1563" t="n">
        <f aca="false">E242*I242</f>
        <v>0</v>
      </c>
      <c r="K242" s="1565" t="n">
        <f aca="false">IF(Assm!$L$74=1,VLOOKUP($A242,Curves_Table,Escalation!$D$291),Exch)</f>
        <v>1.065</v>
      </c>
      <c r="L242" s="1566" t="n">
        <f aca="false">J242/K242</f>
        <v>0</v>
      </c>
      <c r="M242" s="1567" t="str">
        <f aca="false">IF(MONTH($A242)=12,SUM(L231:L242)," ")</f>
        <v> </v>
      </c>
    </row>
    <row r="243" customFormat="false" ht="12.75" hidden="false" customHeight="false" outlineLevel="0" collapsed="false">
      <c r="A243" s="1538" t="n">
        <f aca="false">EDATE(A242,1)</f>
        <v>43282</v>
      </c>
      <c r="C243" s="1561" t="n">
        <f aca="false">MAX('Plant Operations'!H243,'Plant Operations'!L243)</f>
        <v>0.92</v>
      </c>
      <c r="D243" s="306" t="n">
        <f aca="false">IF($A243&gt;Endyr,0,AVERAGE(C231:C242))</f>
        <v>0.92</v>
      </c>
      <c r="E243" s="306" t="n">
        <f aca="false">IF(D243&gt;E$10,0,E$10-D243)</f>
        <v>0</v>
      </c>
      <c r="F243" s="1562" t="n">
        <f aca="false">IF(Assm!$F$29=0,'Annex 10-Plant'!G243,'Annex 12-Plant'!T243)</f>
        <v>3041.88777871297</v>
      </c>
      <c r="G243" s="1563" t="n">
        <f aca="false">IF($A243&lt;Startops2,0,IF(Assm!$F$29=0,VLOOKUP($A243,Annex10_Gas_Table,'Annex 10-Gas'!$G$270),VLOOKUP($A243,Annex12_Gas_Table,'Annex 12-Gas'!$J$270)))</f>
        <v>17840.1265892388</v>
      </c>
      <c r="H243" s="1564" t="n">
        <f aca="false">IF($A243&lt;Startops2,0,IF(Assm!$F$29=0,VLOOKUP($A243,Annex10_Gas_Table,'Annex 10-Gas'!$P$270),VLOOKUP($A243,Annex12_Gas_Table,'Annex 12-Gas'!$V$270)))</f>
        <v>13150.1725911195</v>
      </c>
      <c r="I243" s="1563" t="n">
        <f aca="false">SUM(F243:H243)</f>
        <v>34032.1869590712</v>
      </c>
      <c r="J243" s="1563" t="n">
        <f aca="false">E243*I243</f>
        <v>0</v>
      </c>
      <c r="K243" s="1565" t="n">
        <f aca="false">IF(Assm!$L$74=1,VLOOKUP($A243,Curves_Table,Escalation!$D$291),Exch)</f>
        <v>1.065</v>
      </c>
      <c r="L243" s="1566" t="n">
        <f aca="false">J243/K243</f>
        <v>0</v>
      </c>
      <c r="M243" s="1567" t="str">
        <f aca="false">IF(MONTH($A243)=12,SUM(L232:L243)," ")</f>
        <v> </v>
      </c>
    </row>
    <row r="244" customFormat="false" ht="12.75" hidden="false" customHeight="false" outlineLevel="0" collapsed="false">
      <c r="A244" s="1538" t="n">
        <f aca="false">EDATE(A243,1)</f>
        <v>43313</v>
      </c>
      <c r="C244" s="1561" t="n">
        <f aca="false">MAX('Plant Operations'!H244,'Plant Operations'!L244)</f>
        <v>0.92</v>
      </c>
      <c r="D244" s="306" t="n">
        <f aca="false">IF($A244&gt;Endyr,0,AVERAGE(C232:C243))</f>
        <v>0.92</v>
      </c>
      <c r="E244" s="306" t="n">
        <f aca="false">IF(D244&gt;E$10,0,E$10-D244)</f>
        <v>0</v>
      </c>
      <c r="F244" s="1562" t="n">
        <f aca="false">IF(Assm!$F$29=0,'Annex 10-Plant'!G244,'Annex 12-Plant'!T244)</f>
        <v>3044.65135766601</v>
      </c>
      <c r="G244" s="1563" t="n">
        <f aca="false">IF($A244&lt;Startops2,0,IF(Assm!$F$29=0,VLOOKUP($A244,Annex10_Gas_Table,'Annex 10-Gas'!$G$270),VLOOKUP($A244,Annex12_Gas_Table,'Annex 12-Gas'!$J$270)))</f>
        <v>17869.5774841181</v>
      </c>
      <c r="H244" s="1564" t="n">
        <f aca="false">IF($A244&lt;Startops2,0,IF(Assm!$F$29=0,VLOOKUP($A244,Annex10_Gas_Table,'Annex 10-Gas'!$P$270),VLOOKUP($A244,Annex12_Gas_Table,'Annex 12-Gas'!$V$270)))</f>
        <v>13171.8812011279</v>
      </c>
      <c r="I244" s="1563" t="n">
        <f aca="false">SUM(F244:H244)</f>
        <v>34086.110042912</v>
      </c>
      <c r="J244" s="1563" t="n">
        <f aca="false">E244*I244</f>
        <v>0</v>
      </c>
      <c r="K244" s="1565" t="n">
        <f aca="false">IF(Assm!$L$74=1,VLOOKUP($A244,Curves_Table,Escalation!$D$291),Exch)</f>
        <v>1.065</v>
      </c>
      <c r="L244" s="1566" t="n">
        <f aca="false">J244/K244</f>
        <v>0</v>
      </c>
      <c r="M244" s="1567" t="str">
        <f aca="false">IF(MONTH($A244)=12,SUM(L233:L244)," ")</f>
        <v> </v>
      </c>
    </row>
    <row r="245" customFormat="false" ht="12.75" hidden="false" customHeight="false" outlineLevel="0" collapsed="false">
      <c r="A245" s="1538" t="n">
        <f aca="false">EDATE(A244,1)</f>
        <v>43344</v>
      </c>
      <c r="C245" s="1561" t="n">
        <f aca="false">MAX('Plant Operations'!H245,'Plant Operations'!L245)</f>
        <v>0.92</v>
      </c>
      <c r="D245" s="306" t="n">
        <f aca="false">IF($A245&gt;Endyr,0,AVERAGE(C233:C244))</f>
        <v>0.92</v>
      </c>
      <c r="E245" s="306" t="n">
        <f aca="false">IF(D245&gt;E$10,0,E$10-D245)</f>
        <v>0</v>
      </c>
      <c r="F245" s="1562" t="n">
        <f aca="false">IF(Assm!$F$29=0,'Annex 10-Plant'!G245,'Annex 12-Plant'!T245)</f>
        <v>3047.4194987993</v>
      </c>
      <c r="G245" s="1563" t="n">
        <f aca="false">IF($A245&lt;Startops2,0,IF(Assm!$F$29=0,VLOOKUP($A245,Annex10_Gas_Table,'Annex 10-Gas'!$G$270),VLOOKUP($A245,Annex12_Gas_Table,'Annex 12-Gas'!$J$270)))</f>
        <v>17899.0769972181</v>
      </c>
      <c r="H245" s="1564" t="n">
        <f aca="false">IF($A245&lt;Startops2,0,IF(Assm!$F$29=0,VLOOKUP($A245,Annex10_Gas_Table,'Annex 10-Gas'!$P$270),VLOOKUP($A245,Annex12_Gas_Table,'Annex 12-Gas'!$V$270)))</f>
        <v>13193.6256482133</v>
      </c>
      <c r="I245" s="1563" t="n">
        <f aca="false">SUM(F245:H245)</f>
        <v>34140.1221442307</v>
      </c>
      <c r="J245" s="1563" t="n">
        <f aca="false">E245*I245</f>
        <v>0</v>
      </c>
      <c r="K245" s="1565" t="n">
        <f aca="false">IF(Assm!$L$74=1,VLOOKUP($A245,Curves_Table,Escalation!$D$291),Exch)</f>
        <v>1.065</v>
      </c>
      <c r="L245" s="1566" t="n">
        <f aca="false">J245/K245</f>
        <v>0</v>
      </c>
      <c r="M245" s="1567" t="str">
        <f aca="false">IF(MONTH($A245)=12,SUM(L234:L245)," ")</f>
        <v> </v>
      </c>
    </row>
    <row r="246" customFormat="false" ht="12.75" hidden="false" customHeight="false" outlineLevel="0" collapsed="false">
      <c r="A246" s="1538" t="n">
        <f aca="false">EDATE(A245,1)</f>
        <v>43374</v>
      </c>
      <c r="C246" s="1561" t="n">
        <f aca="false">MAX('Plant Operations'!H246,'Plant Operations'!L246)</f>
        <v>0.92</v>
      </c>
      <c r="D246" s="306" t="n">
        <f aca="false">IF($A246&gt;Endyr,0,AVERAGE(C234:C245))</f>
        <v>0.92</v>
      </c>
      <c r="E246" s="306" t="n">
        <f aca="false">IF(D246&gt;E$10,0,E$10-D246)</f>
        <v>0</v>
      </c>
      <c r="F246" s="1562" t="n">
        <f aca="false">IF(Assm!$F$29=0,'Annex 10-Plant'!G246,'Annex 12-Plant'!T246)</f>
        <v>3050.19220964419</v>
      </c>
      <c r="G246" s="1563" t="n">
        <f aca="false">IF($A246&lt;Startops2,0,IF(Assm!$F$29=0,VLOOKUP($A246,Annex10_Gas_Table,'Annex 10-Gas'!$G$270),VLOOKUP($A246,Annex12_Gas_Table,'Annex 12-Gas'!$J$270)))</f>
        <v>17928.6252087986</v>
      </c>
      <c r="H246" s="1564" t="n">
        <f aca="false">IF($A246&lt;Startops2,0,IF(Assm!$F$29=0,VLOOKUP($A246,Annex10_Gas_Table,'Annex 10-Gas'!$P$270),VLOOKUP($A246,Annex12_Gas_Table,'Annex 12-Gas'!$V$270)))</f>
        <v>13215.4059915366</v>
      </c>
      <c r="I246" s="1563" t="n">
        <f aca="false">SUM(F246:H246)</f>
        <v>34194.2234099794</v>
      </c>
      <c r="J246" s="1563" t="n">
        <f aca="false">E246*I246</f>
        <v>0</v>
      </c>
      <c r="K246" s="1565" t="n">
        <f aca="false">IF(Assm!$L$74=1,VLOOKUP($A246,Curves_Table,Escalation!$D$291),Exch)</f>
        <v>1.065</v>
      </c>
      <c r="L246" s="1566" t="n">
        <f aca="false">J246/K246</f>
        <v>0</v>
      </c>
      <c r="M246" s="1567" t="str">
        <f aca="false">IF(MONTH($A246)=12,SUM(L235:L246)," ")</f>
        <v> </v>
      </c>
    </row>
    <row r="247" customFormat="false" ht="12.75" hidden="false" customHeight="false" outlineLevel="0" collapsed="false">
      <c r="A247" s="1538" t="n">
        <f aca="false">EDATE(A246,1)</f>
        <v>43405</v>
      </c>
      <c r="C247" s="1561" t="n">
        <f aca="false">MAX('Plant Operations'!H247,'Plant Operations'!L247)</f>
        <v>0.92</v>
      </c>
      <c r="D247" s="306" t="n">
        <f aca="false">IF($A247&gt;Endyr,0,AVERAGE(C235:C246))</f>
        <v>0.92</v>
      </c>
      <c r="E247" s="306" t="n">
        <f aca="false">IF(D247&gt;E$10,0,E$10-D247)</f>
        <v>0</v>
      </c>
      <c r="F247" s="1562" t="n">
        <f aca="false">IF(Assm!$F$29=0,'Annex 10-Plant'!G247,'Annex 12-Plant'!T247)</f>
        <v>3052.96949774448</v>
      </c>
      <c r="G247" s="1563" t="n">
        <f aca="false">IF($A247&lt;Startops2,0,IF(Assm!$F$29=0,VLOOKUP($A247,Annex10_Gas_Table,'Annex 10-Gas'!$G$270),VLOOKUP($A247,Annex12_Gas_Table,'Annex 12-Gas'!$J$270)))</f>
        <v>17958.2221992524</v>
      </c>
      <c r="H247" s="1564" t="n">
        <f aca="false">IF($A247&lt;Startops2,0,IF(Assm!$F$29=0,VLOOKUP($A247,Annex10_Gas_Table,'Annex 10-Gas'!$P$270),VLOOKUP($A247,Annex12_Gas_Table,'Annex 12-Gas'!$V$270)))</f>
        <v>13237.2222903558</v>
      </c>
      <c r="I247" s="1563" t="n">
        <f aca="false">SUM(F247:H247)</f>
        <v>34248.4139873527</v>
      </c>
      <c r="J247" s="1563" t="n">
        <f aca="false">E247*I247</f>
        <v>0</v>
      </c>
      <c r="K247" s="1565" t="n">
        <f aca="false">IF(Assm!$L$74=1,VLOOKUP($A247,Curves_Table,Escalation!$D$291),Exch)</f>
        <v>1.065</v>
      </c>
      <c r="L247" s="1566" t="n">
        <f aca="false">J247/K247</f>
        <v>0</v>
      </c>
      <c r="M247" s="1567" t="str">
        <f aca="false">IF(MONTH($A247)=12,SUM(L236:L247)," ")</f>
        <v> </v>
      </c>
    </row>
    <row r="248" customFormat="false" ht="12.75" hidden="false" customHeight="false" outlineLevel="0" collapsed="false">
      <c r="A248" s="1538" t="n">
        <f aca="false">EDATE(A247,1)</f>
        <v>43435</v>
      </c>
      <c r="C248" s="1561" t="n">
        <f aca="false">MAX('Plant Operations'!H248,'Plant Operations'!L248)</f>
        <v>0.92</v>
      </c>
      <c r="D248" s="306" t="n">
        <f aca="false">IF($A248&gt;Endyr,0,AVERAGE(C236:C247))</f>
        <v>0.92</v>
      </c>
      <c r="E248" s="306" t="n">
        <f aca="false">IF(D248&gt;E$10,0,E$10-D248)</f>
        <v>0</v>
      </c>
      <c r="F248" s="1562" t="n">
        <f aca="false">IF(Assm!$F$29=0,'Annex 10-Plant'!G248,'Annex 12-Plant'!T248)</f>
        <v>3055.7513706564</v>
      </c>
      <c r="G248" s="1563" t="n">
        <f aca="false">IF($A248&lt;Startops2,0,IF(Assm!$F$29=0,VLOOKUP($A248,Annex10_Gas_Table,'Annex 10-Gas'!$G$270),VLOOKUP($A248,Annex12_Gas_Table,'Annex 12-Gas'!$J$270)))</f>
        <v>17987.8680491047</v>
      </c>
      <c r="H248" s="1564" t="n">
        <f aca="false">IF($A248&lt;Startops2,0,IF(Assm!$F$29=0,VLOOKUP($A248,Annex10_Gas_Table,'Annex 10-Gas'!$P$270),VLOOKUP($A248,Annex12_Gas_Table,'Annex 12-Gas'!$V$270)))</f>
        <v>13259.0746040274</v>
      </c>
      <c r="I248" s="1563" t="n">
        <f aca="false">SUM(F248:H248)</f>
        <v>34302.6940237885</v>
      </c>
      <c r="J248" s="1563" t="n">
        <f aca="false">E248*I248</f>
        <v>0</v>
      </c>
      <c r="K248" s="1565" t="n">
        <f aca="false">IF(Assm!$L$74=1,VLOOKUP($A248,Curves_Table,Escalation!$D$291),Exch)</f>
        <v>1.065</v>
      </c>
      <c r="L248" s="1566" t="n">
        <f aca="false">J248/K248</f>
        <v>0</v>
      </c>
      <c r="M248" s="1567" t="n">
        <f aca="false">IF(MONTH($A248)=12,SUM(L237:L248)," ")</f>
        <v>0</v>
      </c>
    </row>
    <row r="249" customFormat="false" ht="12.75" hidden="false" customHeight="false" outlineLevel="0" collapsed="false">
      <c r="A249" s="1538" t="n">
        <f aca="false">EDATE(A248,1)</f>
        <v>43466</v>
      </c>
      <c r="C249" s="1561" t="n">
        <f aca="false">MAX('Plant Operations'!H249,'Plant Operations'!L249)</f>
        <v>0.92</v>
      </c>
      <c r="D249" s="306" t="n">
        <f aca="false">IF($A249&gt;Endyr,0,AVERAGE(C237:C248))</f>
        <v>0.92</v>
      </c>
      <c r="E249" s="306" t="n">
        <f aca="false">IF(D249&gt;E$10,0,E$10-D249)</f>
        <v>0</v>
      </c>
      <c r="F249" s="1562" t="n">
        <f aca="false">IF(Assm!$F$29=0,'Annex 10-Plant'!G249,'Annex 12-Plant'!T249)</f>
        <v>3058.54460589958</v>
      </c>
      <c r="G249" s="1563" t="n">
        <f aca="false">IF($A249&lt;Startops2,0,IF(Assm!$F$29=0,VLOOKUP($A249,Annex10_Gas_Table,'Annex 10-Gas'!$G$270),VLOOKUP($A249,Annex12_Gas_Table,'Annex 12-Gas'!$J$270)))</f>
        <v>18017.6349849939</v>
      </c>
      <c r="H249" s="1564" t="n">
        <f aca="false">IF($A249&lt;Startops2,0,IF(Assm!$F$29=0,VLOOKUP($A249,Annex10_Gas_Table,'Annex 10-Gas'!$P$270),VLOOKUP($A249,Annex12_Gas_Table,'Annex 12-Gas'!$V$270)))</f>
        <v>13281.016171678</v>
      </c>
      <c r="I249" s="1563" t="n">
        <f aca="false">SUM(F249:H249)</f>
        <v>34357.1957625715</v>
      </c>
      <c r="J249" s="1563" t="n">
        <f aca="false">E249*I249</f>
        <v>0</v>
      </c>
      <c r="K249" s="1565" t="n">
        <f aca="false">IF(Assm!$L$74=1,VLOOKUP($A249,Curves_Table,Escalation!$D$291),Exch)</f>
        <v>1.065</v>
      </c>
      <c r="L249" s="1566" t="n">
        <f aca="false">J249/K249</f>
        <v>0</v>
      </c>
      <c r="M249" s="1567" t="str">
        <f aca="false">IF(MONTH($A249)=12,SUM(L238:L249)," ")</f>
        <v> </v>
      </c>
    </row>
    <row r="250" customFormat="false" ht="12.75" hidden="false" customHeight="false" outlineLevel="0" collapsed="false">
      <c r="A250" s="1538" t="n">
        <f aca="false">EDATE(A249,1)</f>
        <v>43497</v>
      </c>
      <c r="C250" s="1561" t="n">
        <f aca="false">MAX('Plant Operations'!H250,'Plant Operations'!L250)</f>
        <v>0.92</v>
      </c>
      <c r="D250" s="306" t="n">
        <f aca="false">IF($A250&gt;Endyr,0,AVERAGE(C238:C249))</f>
        <v>0.92</v>
      </c>
      <c r="E250" s="306" t="n">
        <f aca="false">IF(D250&gt;E$10,0,E$10-D250)</f>
        <v>0</v>
      </c>
      <c r="F250" s="1562" t="n">
        <f aca="false">IF(Assm!$F$29=0,'Annex 10-Plant'!G250,'Annex 12-Plant'!T250)</f>
        <v>3061.34246348344</v>
      </c>
      <c r="G250" s="1563" t="n">
        <f aca="false">IF($A250&lt;Startops2,0,IF(Assm!$F$29=0,VLOOKUP($A250,Annex10_Gas_Table,'Annex 10-Gas'!$G$270),VLOOKUP($A250,Annex12_Gas_Table,'Annex 12-Gas'!$J$270)))</f>
        <v>18047.4511802212</v>
      </c>
      <c r="H250" s="1564" t="n">
        <f aca="false">IF($A250&lt;Startops2,0,IF(Assm!$F$29=0,VLOOKUP($A250,Annex10_Gas_Table,'Annex 10-Gas'!$P$270),VLOOKUP($A250,Annex12_Gas_Table,'Annex 12-Gas'!$V$270)))</f>
        <v>13302.994048981</v>
      </c>
      <c r="I250" s="1563" t="n">
        <f aca="false">SUM(F250:H250)</f>
        <v>34411.7876926857</v>
      </c>
      <c r="J250" s="1563" t="n">
        <f aca="false">E250*I250</f>
        <v>0</v>
      </c>
      <c r="K250" s="1565" t="n">
        <f aca="false">IF(Assm!$L$74=1,VLOOKUP($A250,Curves_Table,Escalation!$D$291),Exch)</f>
        <v>1.065</v>
      </c>
      <c r="L250" s="1566" t="n">
        <f aca="false">J250/K250</f>
        <v>0</v>
      </c>
      <c r="M250" s="1567" t="str">
        <f aca="false">IF(MONTH($A250)=12,SUM(L239:L250)," ")</f>
        <v> </v>
      </c>
    </row>
    <row r="251" customFormat="false" ht="12.75" hidden="false" customHeight="false" outlineLevel="0" collapsed="false">
      <c r="A251" s="1538" t="n">
        <f aca="false">EDATE(A250,1)</f>
        <v>43525</v>
      </c>
      <c r="C251" s="1561" t="n">
        <f aca="false">MAX('Plant Operations'!H251,'Plant Operations'!L251)</f>
        <v>0.92</v>
      </c>
      <c r="D251" s="306" t="n">
        <f aca="false">IF($A251&gt;Endyr,0,AVERAGE(C239:C250))</f>
        <v>0.92</v>
      </c>
      <c r="E251" s="306" t="n">
        <f aca="false">IF(D251&gt;E$10,0,E$10-D251)</f>
        <v>0</v>
      </c>
      <c r="F251" s="1562" t="n">
        <f aca="false">IF(Assm!$F$29=0,'Annex 10-Plant'!G251,'Annex 12-Plant'!T251)</f>
        <v>3064.1449510572</v>
      </c>
      <c r="G251" s="1563" t="n">
        <f aca="false">IF($A251&lt;Startops2,0,IF(Assm!$F$29=0,VLOOKUP($A251,Annex10_Gas_Table,'Annex 10-Gas'!$G$270),VLOOKUP($A251,Annex12_Gas_Table,'Annex 12-Gas'!$J$270)))</f>
        <v>18077.3167163026</v>
      </c>
      <c r="H251" s="1564" t="n">
        <f aca="false">IF($A251&lt;Startops2,0,IF(Assm!$F$29=0,VLOOKUP($A251,Annex10_Gas_Table,'Annex 10-Gas'!$P$270),VLOOKUP($A251,Annex12_Gas_Table,'Annex 12-Gas'!$V$270)))</f>
        <v>13325.008296023</v>
      </c>
      <c r="I251" s="1563" t="n">
        <f aca="false">SUM(F251:H251)</f>
        <v>34466.4699633828</v>
      </c>
      <c r="J251" s="1563" t="n">
        <f aca="false">E251*I251</f>
        <v>0</v>
      </c>
      <c r="K251" s="1565" t="n">
        <f aca="false">IF(Assm!$L$74=1,VLOOKUP($A251,Curves_Table,Escalation!$D$291),Exch)</f>
        <v>1.065</v>
      </c>
      <c r="L251" s="1566" t="n">
        <f aca="false">J251/K251</f>
        <v>0</v>
      </c>
      <c r="M251" s="1567" t="str">
        <f aca="false">IF(MONTH($A251)=12,SUM(L240:L251)," ")</f>
        <v> </v>
      </c>
    </row>
    <row r="252" customFormat="false" ht="12.75" hidden="false" customHeight="false" outlineLevel="0" collapsed="false">
      <c r="A252" s="1538" t="n">
        <f aca="false">EDATE(A251,1)</f>
        <v>43556</v>
      </c>
      <c r="C252" s="1561" t="n">
        <f aca="false">MAX('Plant Operations'!H252,'Plant Operations'!L252)</f>
        <v>0.92</v>
      </c>
      <c r="D252" s="306" t="n">
        <f aca="false">IF($A252&gt;Endyr,0,AVERAGE(C240:C251))</f>
        <v>0.92</v>
      </c>
      <c r="E252" s="306" t="n">
        <f aca="false">IF(D252&gt;E$10,0,E$10-D252)</f>
        <v>0</v>
      </c>
      <c r="F252" s="1562" t="n">
        <f aca="false">IF(Assm!$F$29=0,'Annex 10-Plant'!G252,'Annex 12-Plant'!T252)</f>
        <v>3066.95207628272</v>
      </c>
      <c r="G252" s="1563" t="n">
        <f aca="false">IF($A252&lt;Startops2,0,IF(Assm!$F$29=0,VLOOKUP($A252,Annex10_Gas_Table,'Annex 10-Gas'!$G$270),VLOOKUP($A252,Annex12_Gas_Table,'Annex 12-Gas'!$J$270)))</f>
        <v>18107.2316748888</v>
      </c>
      <c r="H252" s="1564" t="n">
        <f aca="false">IF($A252&lt;Startops2,0,IF(Assm!$F$29=0,VLOOKUP($A252,Annex10_Gas_Table,'Annex 10-Gas'!$P$270),VLOOKUP($A252,Annex12_Gas_Table,'Annex 12-Gas'!$V$270)))</f>
        <v>13347.0589729898</v>
      </c>
      <c r="I252" s="1563" t="n">
        <f aca="false">SUM(F252:H252)</f>
        <v>34521.2427241614</v>
      </c>
      <c r="J252" s="1563" t="n">
        <f aca="false">E252*I252</f>
        <v>0</v>
      </c>
      <c r="K252" s="1565" t="n">
        <f aca="false">IF(Assm!$L$74=1,VLOOKUP($A252,Curves_Table,Escalation!$D$291),Exch)</f>
        <v>1.065</v>
      </c>
      <c r="L252" s="1566" t="n">
        <f aca="false">J252/K252</f>
        <v>0</v>
      </c>
      <c r="M252" s="1567" t="str">
        <f aca="false">IF(MONTH($A252)=12,SUM(L241:L252)," ")</f>
        <v> </v>
      </c>
    </row>
    <row r="253" customFormat="false" ht="12.75" hidden="false" customHeight="false" outlineLevel="0" collapsed="false">
      <c r="A253" s="1538" t="n">
        <f aca="false">EDATE(A252,1)</f>
        <v>43586</v>
      </c>
      <c r="C253" s="1561" t="n">
        <f aca="false">MAX('Plant Operations'!H253,'Plant Operations'!L253)</f>
        <v>0</v>
      </c>
      <c r="D253" s="306" t="n">
        <f aca="false">IF($A253&gt;Endyr,0,AVERAGE(C241:C252))</f>
        <v>0</v>
      </c>
      <c r="E253" s="306" t="n">
        <f aca="false">IF(D253&gt;E$10,0,E$10-D253)</f>
        <v>0.92</v>
      </c>
      <c r="F253" s="1562" t="n">
        <f aca="false">IF(Assm!$F$29=0,'Annex 10-Plant'!G253,'Annex 12-Plant'!T253)</f>
        <v>0</v>
      </c>
      <c r="G253" s="1563" t="n">
        <f aca="false">IF($A253&lt;Startops2,0,IF(Assm!$F$29=0,VLOOKUP($A253,Annex10_Gas_Table,'Annex 10-Gas'!$G$270),VLOOKUP($A253,Annex12_Gas_Table,'Annex 12-Gas'!$J$270)))</f>
        <v>0</v>
      </c>
      <c r="H253" s="1564" t="n">
        <f aca="false">IF($A253&lt;Startops2,0,IF(Assm!$F$29=0,VLOOKUP($A253,Annex10_Gas_Table,'Annex 10-Gas'!$P$270),VLOOKUP($A253,Annex12_Gas_Table,'Annex 12-Gas'!$V$270)))</f>
        <v>0</v>
      </c>
      <c r="I253" s="1563" t="n">
        <f aca="false">SUM(F253:H253)</f>
        <v>0</v>
      </c>
      <c r="J253" s="1563" t="n">
        <f aca="false">E253*I253</f>
        <v>0</v>
      </c>
      <c r="K253" s="1565" t="n">
        <f aca="false">IF(Assm!$L$74=1,VLOOKUP($A253,Curves_Table,Escalation!$D$291),Exch)</f>
        <v>1.065</v>
      </c>
      <c r="L253" s="1566" t="n">
        <f aca="false">J253/K253</f>
        <v>0</v>
      </c>
      <c r="M253" s="1567" t="str">
        <f aca="false">IF(MONTH($A253)=12,SUM(L242:L253)," ")</f>
        <v> </v>
      </c>
    </row>
    <row r="254" customFormat="false" ht="12.75" hidden="false" customHeight="false" outlineLevel="0" collapsed="false">
      <c r="A254" s="1538" t="n">
        <f aca="false">EDATE(A253,1)</f>
        <v>43617</v>
      </c>
      <c r="C254" s="1561" t="n">
        <f aca="false">MAX('Plant Operations'!H254,'Plant Operations'!L254)</f>
        <v>0</v>
      </c>
      <c r="D254" s="306" t="n">
        <f aca="false">IF($A254&gt;Endyr,0,AVERAGE(C242:C253))</f>
        <v>0</v>
      </c>
      <c r="E254" s="306" t="n">
        <f aca="false">IF(D254&gt;E$10,0,E$10-D254)</f>
        <v>0.92</v>
      </c>
      <c r="F254" s="1562" t="n">
        <f aca="false">IF(Assm!$F$29=0,'Annex 10-Plant'!G254,'Annex 12-Plant'!T254)</f>
        <v>0</v>
      </c>
      <c r="G254" s="1563" t="n">
        <f aca="false">IF($A254&lt;Startops2,0,IF(Assm!$F$29=0,VLOOKUP($A254,Annex10_Gas_Table,'Annex 10-Gas'!$G$270),VLOOKUP($A254,Annex12_Gas_Table,'Annex 12-Gas'!$J$270)))</f>
        <v>0</v>
      </c>
      <c r="H254" s="1564" t="n">
        <f aca="false">IF($A254&lt;Startops2,0,IF(Assm!$F$29=0,VLOOKUP($A254,Annex10_Gas_Table,'Annex 10-Gas'!$P$270),VLOOKUP($A254,Annex12_Gas_Table,'Annex 12-Gas'!$V$270)))</f>
        <v>0</v>
      </c>
      <c r="I254" s="1563" t="n">
        <f aca="false">SUM(F254:H254)</f>
        <v>0</v>
      </c>
      <c r="J254" s="1563" t="n">
        <f aca="false">E254*I254</f>
        <v>0</v>
      </c>
      <c r="K254" s="1565" t="n">
        <f aca="false">IF(Assm!$L$74=1,VLOOKUP($A254,Curves_Table,Escalation!$D$291),Exch)</f>
        <v>1.065</v>
      </c>
      <c r="L254" s="1566" t="n">
        <f aca="false">J254/K254</f>
        <v>0</v>
      </c>
      <c r="M254" s="1567" t="str">
        <f aca="false">IF(MONTH($A254)=12,SUM(L243:L254)," ")</f>
        <v> </v>
      </c>
    </row>
    <row r="255" customFormat="false" ht="12.75" hidden="false" customHeight="false" outlineLevel="0" collapsed="false">
      <c r="A255" s="1538" t="n">
        <f aca="false">EDATE(A254,1)</f>
        <v>43647</v>
      </c>
      <c r="C255" s="1561" t="n">
        <f aca="false">MAX('Plant Operations'!H255,'Plant Operations'!L255)</f>
        <v>0</v>
      </c>
      <c r="D255" s="306" t="n">
        <f aca="false">IF($A255&gt;Endyr,0,AVERAGE(C243:C254))</f>
        <v>0</v>
      </c>
      <c r="E255" s="306" t="n">
        <f aca="false">IF(D255&gt;E$10,0,E$10-D255)</f>
        <v>0.92</v>
      </c>
      <c r="F255" s="1562" t="n">
        <f aca="false">IF(Assm!$F$29=0,'Annex 10-Plant'!G255,'Annex 12-Plant'!T255)</f>
        <v>0</v>
      </c>
      <c r="G255" s="1563" t="n">
        <f aca="false">IF($A255&lt;Startops2,0,IF(Assm!$F$29=0,VLOOKUP($A255,Annex10_Gas_Table,'Annex 10-Gas'!$G$270),VLOOKUP($A255,Annex12_Gas_Table,'Annex 12-Gas'!$J$270)))</f>
        <v>0</v>
      </c>
      <c r="H255" s="1564" t="n">
        <f aca="false">IF($A255&lt;Startops2,0,IF(Assm!$F$29=0,VLOOKUP($A255,Annex10_Gas_Table,'Annex 10-Gas'!$P$270),VLOOKUP($A255,Annex12_Gas_Table,'Annex 12-Gas'!$V$270)))</f>
        <v>0</v>
      </c>
      <c r="I255" s="1563" t="n">
        <f aca="false">SUM(F255:H255)</f>
        <v>0</v>
      </c>
      <c r="J255" s="1563" t="n">
        <f aca="false">E255*I255</f>
        <v>0</v>
      </c>
      <c r="K255" s="1565" t="n">
        <f aca="false">IF(Assm!$L$74=1,VLOOKUP($A255,Curves_Table,Escalation!$D$291),Exch)</f>
        <v>1.065</v>
      </c>
      <c r="L255" s="1566" t="n">
        <f aca="false">J255/K255</f>
        <v>0</v>
      </c>
      <c r="M255" s="1567" t="str">
        <f aca="false">IF(MONTH($A255)=12,SUM(L244:L255)," ")</f>
        <v> </v>
      </c>
    </row>
    <row r="256" customFormat="false" ht="12.75" hidden="false" customHeight="false" outlineLevel="0" collapsed="false">
      <c r="A256" s="1538" t="n">
        <f aca="false">EDATE(A255,1)</f>
        <v>43678</v>
      </c>
      <c r="C256" s="1561" t="n">
        <f aca="false">MAX('Plant Operations'!H256,'Plant Operations'!L256)</f>
        <v>0</v>
      </c>
      <c r="D256" s="306" t="n">
        <f aca="false">IF($A256&gt;Endyr,0,AVERAGE(C244:C255))</f>
        <v>0</v>
      </c>
      <c r="E256" s="306" t="n">
        <f aca="false">IF(D256&gt;E$10,0,E$10-D256)</f>
        <v>0.92</v>
      </c>
      <c r="F256" s="1562" t="n">
        <f aca="false">IF(Assm!$F$29=0,'Annex 10-Plant'!G256,'Annex 12-Plant'!T256)</f>
        <v>0</v>
      </c>
      <c r="G256" s="1563" t="n">
        <f aca="false">IF($A256&lt;Startops2,0,IF(Assm!$F$29=0,VLOOKUP($A256,Annex10_Gas_Table,'Annex 10-Gas'!$G$270),VLOOKUP($A256,Annex12_Gas_Table,'Annex 12-Gas'!$J$270)))</f>
        <v>0</v>
      </c>
      <c r="H256" s="1564" t="n">
        <f aca="false">IF($A256&lt;Startops2,0,IF(Assm!$F$29=0,VLOOKUP($A256,Annex10_Gas_Table,'Annex 10-Gas'!$P$270),VLOOKUP($A256,Annex12_Gas_Table,'Annex 12-Gas'!$V$270)))</f>
        <v>0</v>
      </c>
      <c r="I256" s="1563" t="n">
        <f aca="false">SUM(F256:H256)</f>
        <v>0</v>
      </c>
      <c r="J256" s="1563" t="n">
        <f aca="false">E256*I256</f>
        <v>0</v>
      </c>
      <c r="K256" s="1565" t="n">
        <f aca="false">IF(Assm!$L$74=1,VLOOKUP($A256,Curves_Table,Escalation!$D$291),Exch)</f>
        <v>1.065</v>
      </c>
      <c r="L256" s="1566" t="n">
        <f aca="false">J256/K256</f>
        <v>0</v>
      </c>
      <c r="M256" s="1567" t="str">
        <f aca="false">IF(MONTH($A256)=12,SUM(L245:L256)," ")</f>
        <v> </v>
      </c>
    </row>
    <row r="257" customFormat="false" ht="12.75" hidden="false" customHeight="false" outlineLevel="0" collapsed="false">
      <c r="A257" s="1538" t="n">
        <f aca="false">EDATE(A256,1)</f>
        <v>43709</v>
      </c>
      <c r="C257" s="1561" t="n">
        <f aca="false">MAX('Plant Operations'!H257,'Plant Operations'!L257)</f>
        <v>0</v>
      </c>
      <c r="D257" s="306" t="n">
        <f aca="false">IF($A257&gt;Endyr,0,AVERAGE(C245:C256))</f>
        <v>0</v>
      </c>
      <c r="E257" s="306" t="n">
        <f aca="false">IF(D257&gt;E$10,0,E$10-D257)</f>
        <v>0.92</v>
      </c>
      <c r="F257" s="1562" t="n">
        <f aca="false">IF(Assm!$F$29=0,'Annex 10-Plant'!G257,'Annex 12-Plant'!T257)</f>
        <v>0</v>
      </c>
      <c r="G257" s="1563" t="n">
        <f aca="false">IF($A257&lt;Startops2,0,IF(Assm!$F$29=0,VLOOKUP($A257,Annex10_Gas_Table,'Annex 10-Gas'!$G$270),VLOOKUP($A257,Annex12_Gas_Table,'Annex 12-Gas'!$J$270)))</f>
        <v>0</v>
      </c>
      <c r="H257" s="1564" t="n">
        <f aca="false">IF($A257&lt;Startops2,0,IF(Assm!$F$29=0,VLOOKUP($A257,Annex10_Gas_Table,'Annex 10-Gas'!$P$270),VLOOKUP($A257,Annex12_Gas_Table,'Annex 12-Gas'!$V$270)))</f>
        <v>0</v>
      </c>
      <c r="I257" s="1563" t="n">
        <f aca="false">SUM(F257:H257)</f>
        <v>0</v>
      </c>
      <c r="J257" s="1563" t="n">
        <f aca="false">E257*I257</f>
        <v>0</v>
      </c>
      <c r="K257" s="1565" t="n">
        <f aca="false">IF(Assm!$L$74=1,VLOOKUP($A257,Curves_Table,Escalation!$D$291),Exch)</f>
        <v>1.065</v>
      </c>
      <c r="L257" s="1566" t="n">
        <f aca="false">J257/K257</f>
        <v>0</v>
      </c>
      <c r="M257" s="1567" t="str">
        <f aca="false">IF(MONTH($A257)=12,SUM(L246:L257)," ")</f>
        <v> </v>
      </c>
    </row>
    <row r="258" customFormat="false" ht="12.75" hidden="false" customHeight="false" outlineLevel="0" collapsed="false">
      <c r="A258" s="1538" t="n">
        <f aca="false">EDATE(A257,1)</f>
        <v>43739</v>
      </c>
      <c r="C258" s="1561" t="n">
        <f aca="false">MAX('Plant Operations'!H258,'Plant Operations'!L258)</f>
        <v>0</v>
      </c>
      <c r="D258" s="306" t="n">
        <f aca="false">IF($A258&gt;Endyr,0,AVERAGE(C246:C257))</f>
        <v>0</v>
      </c>
      <c r="E258" s="306" t="n">
        <f aca="false">IF(D258&gt;E$10,0,E$10-D258)</f>
        <v>0.92</v>
      </c>
      <c r="F258" s="1562" t="n">
        <f aca="false">IF(Assm!$F$29=0,'Annex 10-Plant'!G258,'Annex 12-Plant'!T258)</f>
        <v>0</v>
      </c>
      <c r="G258" s="1563" t="n">
        <f aca="false">IF($A258&lt;Startops2,0,IF(Assm!$F$29=0,VLOOKUP($A258,Annex10_Gas_Table,'Annex 10-Gas'!$G$270),VLOOKUP($A258,Annex12_Gas_Table,'Annex 12-Gas'!$J$270)))</f>
        <v>0</v>
      </c>
      <c r="H258" s="1564" t="n">
        <f aca="false">IF($A258&lt;Startops2,0,IF(Assm!$F$29=0,VLOOKUP($A258,Annex10_Gas_Table,'Annex 10-Gas'!$P$270),VLOOKUP($A258,Annex12_Gas_Table,'Annex 12-Gas'!$V$270)))</f>
        <v>0</v>
      </c>
      <c r="I258" s="1563" t="n">
        <f aca="false">SUM(F258:H258)</f>
        <v>0</v>
      </c>
      <c r="J258" s="1563" t="n">
        <f aca="false">E258*I258</f>
        <v>0</v>
      </c>
      <c r="K258" s="1565" t="n">
        <f aca="false">IF(Assm!$L$74=1,VLOOKUP($A258,Curves_Table,Escalation!$D$291),Exch)</f>
        <v>1.065</v>
      </c>
      <c r="L258" s="1566" t="n">
        <f aca="false">J258/K258</f>
        <v>0</v>
      </c>
      <c r="M258" s="1567" t="str">
        <f aca="false">IF(MONTH($A258)=12,SUM(L247:L258)," ")</f>
        <v> </v>
      </c>
    </row>
    <row r="259" customFormat="false" ht="12.75" hidden="false" customHeight="false" outlineLevel="0" collapsed="false">
      <c r="A259" s="1538" t="n">
        <f aca="false">EDATE(A258,1)</f>
        <v>43770</v>
      </c>
      <c r="C259" s="1561" t="n">
        <f aca="false">MAX('Plant Operations'!H259,'Plant Operations'!L259)</f>
        <v>0</v>
      </c>
      <c r="D259" s="306" t="n">
        <f aca="false">IF($A259&gt;Endyr,0,AVERAGE(C247:C258))</f>
        <v>0</v>
      </c>
      <c r="E259" s="306" t="n">
        <f aca="false">IF(D259&gt;E$10,0,E$10-D259)</f>
        <v>0.92</v>
      </c>
      <c r="F259" s="1562" t="n">
        <f aca="false">IF(Assm!$F$29=0,'Annex 10-Plant'!G259,'Annex 12-Plant'!T259)</f>
        <v>0</v>
      </c>
      <c r="G259" s="1563" t="n">
        <f aca="false">IF($A259&lt;Startops2,0,IF(Assm!$F$29=0,VLOOKUP($A259,Annex10_Gas_Table,'Annex 10-Gas'!$G$270),VLOOKUP($A259,Annex12_Gas_Table,'Annex 12-Gas'!$J$270)))</f>
        <v>0</v>
      </c>
      <c r="H259" s="1564" t="n">
        <f aca="false">IF($A259&lt;Startops2,0,IF(Assm!$F$29=0,VLOOKUP($A259,Annex10_Gas_Table,'Annex 10-Gas'!$P$270),VLOOKUP($A259,Annex12_Gas_Table,'Annex 12-Gas'!$V$270)))</f>
        <v>0</v>
      </c>
      <c r="I259" s="1563" t="n">
        <f aca="false">SUM(F259:H259)</f>
        <v>0</v>
      </c>
      <c r="J259" s="1563" t="n">
        <f aca="false">E259*I259</f>
        <v>0</v>
      </c>
      <c r="K259" s="1565" t="n">
        <f aca="false">IF(Assm!$L$74=1,VLOOKUP($A259,Curves_Table,Escalation!$D$291),Exch)</f>
        <v>1.065</v>
      </c>
      <c r="L259" s="1566" t="n">
        <f aca="false">J259/K259</f>
        <v>0</v>
      </c>
      <c r="M259" s="1567" t="str">
        <f aca="false">IF(MONTH($A259)=12,SUM(L248:L259)," ")</f>
        <v> </v>
      </c>
    </row>
    <row r="260" customFormat="false" ht="12.75" hidden="false" customHeight="false" outlineLevel="0" collapsed="false">
      <c r="A260" s="1538" t="n">
        <f aca="false">EDATE(A259,1)</f>
        <v>43800</v>
      </c>
      <c r="C260" s="1561" t="n">
        <f aca="false">MAX('Plant Operations'!H260,'Plant Operations'!L260)</f>
        <v>0</v>
      </c>
      <c r="D260" s="306" t="n">
        <f aca="false">IF($A260&gt;Endyr,0,AVERAGE(C248:C259))</f>
        <v>0</v>
      </c>
      <c r="E260" s="306" t="n">
        <f aca="false">IF(D260&gt;E$10,0,E$10-D260)</f>
        <v>0.92</v>
      </c>
      <c r="F260" s="1562" t="n">
        <f aca="false">IF(Assm!$F$29=0,'Annex 10-Plant'!G260,'Annex 12-Plant'!T260)</f>
        <v>0</v>
      </c>
      <c r="G260" s="1563" t="n">
        <f aca="false">IF($A260&lt;Startops2,0,IF(Assm!$F$29=0,VLOOKUP($A260,Annex10_Gas_Table,'Annex 10-Gas'!$G$270),VLOOKUP($A260,Annex12_Gas_Table,'Annex 12-Gas'!$J$270)))</f>
        <v>0</v>
      </c>
      <c r="H260" s="1564" t="n">
        <f aca="false">IF($A260&lt;Startops2,0,IF(Assm!$F$29=0,VLOOKUP($A260,Annex10_Gas_Table,'Annex 10-Gas'!$P$270),VLOOKUP($A260,Annex12_Gas_Table,'Annex 12-Gas'!$V$270)))</f>
        <v>0</v>
      </c>
      <c r="I260" s="1563" t="n">
        <f aca="false">SUM(F260:H260)</f>
        <v>0</v>
      </c>
      <c r="J260" s="1563" t="n">
        <f aca="false">E260*I260</f>
        <v>0</v>
      </c>
      <c r="K260" s="1565" t="n">
        <f aca="false">IF(Assm!$L$74=1,VLOOKUP($A260,Curves_Table,Escalation!$D$291),Exch)</f>
        <v>1.065</v>
      </c>
      <c r="L260" s="1566" t="n">
        <f aca="false">J260/K260</f>
        <v>0</v>
      </c>
      <c r="M260" s="1567" t="n">
        <f aca="false">IF(MONTH($A260)=12,SUM(L249:L260)," ")</f>
        <v>0</v>
      </c>
    </row>
    <row r="261" customFormat="false" ht="12.75" hidden="false" customHeight="false" outlineLevel="0" collapsed="false">
      <c r="A261" s="1538" t="n">
        <f aca="false">EDATE(A260,1)</f>
        <v>43831</v>
      </c>
      <c r="C261" s="1561" t="n">
        <f aca="false">MAX('Plant Operations'!H261,'Plant Operations'!L261)</f>
        <v>0</v>
      </c>
      <c r="D261" s="306" t="n">
        <f aca="false">IF($A261&gt;Endyr,0,AVERAGE(C249:C260))</f>
        <v>0</v>
      </c>
      <c r="E261" s="306" t="n">
        <f aca="false">IF(D261&gt;E$10,0,E$10-D261)</f>
        <v>0.92</v>
      </c>
      <c r="F261" s="1562" t="n">
        <f aca="false">IF(Assm!$F$29=0,'Annex 10-Plant'!G261,'Annex 12-Plant'!T261)</f>
        <v>0</v>
      </c>
      <c r="G261" s="1563" t="n">
        <f aca="false">IF($A261&lt;Startops2,0,IF(Assm!$F$29=0,VLOOKUP($A261,Annex10_Gas_Table,'Annex 10-Gas'!$G$270),VLOOKUP($A261,Annex12_Gas_Table,'Annex 12-Gas'!$J$270)))</f>
        <v>0</v>
      </c>
      <c r="H261" s="1564" t="n">
        <f aca="false">IF($A261&lt;Startops2,0,IF(Assm!$F$29=0,VLOOKUP($A261,Annex10_Gas_Table,'Annex 10-Gas'!$P$270),VLOOKUP($A261,Annex12_Gas_Table,'Annex 12-Gas'!$V$270)))</f>
        <v>0</v>
      </c>
      <c r="I261" s="1563" t="n">
        <f aca="false">SUM(F261:H261)</f>
        <v>0</v>
      </c>
      <c r="J261" s="1563" t="n">
        <f aca="false">E261*I261</f>
        <v>0</v>
      </c>
      <c r="K261" s="1565" t="n">
        <f aca="false">IF(Assm!$L$74=1,VLOOKUP($A261,Curves_Table,Escalation!$D$291),Exch)</f>
        <v>1.065</v>
      </c>
      <c r="L261" s="1566" t="n">
        <f aca="false">J261/K261</f>
        <v>0</v>
      </c>
      <c r="M261" s="1567" t="str">
        <f aca="false">IF(MONTH($A261)=12,SUM(L250:L261)," ")</f>
        <v> </v>
      </c>
    </row>
    <row r="262" customFormat="false" ht="12.75" hidden="false" customHeight="false" outlineLevel="0" collapsed="false">
      <c r="A262" s="1538" t="n">
        <f aca="false">EDATE(A261,1)</f>
        <v>43862</v>
      </c>
      <c r="C262" s="1561" t="n">
        <f aca="false">MAX('Plant Operations'!H262,'Plant Operations'!L262)</f>
        <v>0</v>
      </c>
      <c r="D262" s="306" t="n">
        <f aca="false">IF($A262&gt;Endyr,0,AVERAGE(C250:C261))</f>
        <v>0</v>
      </c>
      <c r="E262" s="306" t="n">
        <f aca="false">IF(D262&gt;E$10,0,E$10-D262)</f>
        <v>0.92</v>
      </c>
      <c r="F262" s="1562" t="n">
        <f aca="false">IF(Assm!$F$29=0,'Annex 10-Plant'!G262,'Annex 12-Plant'!T262)</f>
        <v>0</v>
      </c>
      <c r="G262" s="1563" t="n">
        <f aca="false">IF($A262&lt;Startops2,0,IF(Assm!$F$29=0,VLOOKUP($A262,Annex10_Gas_Table,'Annex 10-Gas'!$G$270),VLOOKUP($A262,Annex12_Gas_Table,'Annex 12-Gas'!$J$270)))</f>
        <v>0</v>
      </c>
      <c r="H262" s="1564" t="n">
        <f aca="false">IF($A262&lt;Startops2,0,IF(Assm!$F$29=0,VLOOKUP($A262,Annex10_Gas_Table,'Annex 10-Gas'!$P$270),VLOOKUP($A262,Annex12_Gas_Table,'Annex 12-Gas'!$V$270)))</f>
        <v>0</v>
      </c>
      <c r="I262" s="1563" t="n">
        <f aca="false">SUM(F262:H262)</f>
        <v>0</v>
      </c>
      <c r="J262" s="1563" t="n">
        <f aca="false">E262*I262</f>
        <v>0</v>
      </c>
      <c r="K262" s="1565" t="n">
        <f aca="false">IF(Assm!$L$74=1,VLOOKUP($A262,Curves_Table,Escalation!$D$291),Exch)</f>
        <v>1.065</v>
      </c>
      <c r="L262" s="1566" t="n">
        <f aca="false">J262/K262</f>
        <v>0</v>
      </c>
      <c r="M262" s="1567" t="str">
        <f aca="false">IF(MONTH($A262)=12,SUM(L251:L262)," ")</f>
        <v> </v>
      </c>
    </row>
    <row r="263" customFormat="false" ht="12.75" hidden="false" customHeight="false" outlineLevel="0" collapsed="false">
      <c r="A263" s="1538" t="n">
        <f aca="false">EDATE(A262,1)</f>
        <v>43891</v>
      </c>
      <c r="C263" s="1561" t="n">
        <f aca="false">MAX('Plant Operations'!H263,'Plant Operations'!L263)</f>
        <v>0</v>
      </c>
      <c r="D263" s="306" t="n">
        <f aca="false">IF($A263&gt;Endyr,0,AVERAGE(C251:C262))</f>
        <v>0</v>
      </c>
      <c r="E263" s="306" t="n">
        <f aca="false">IF(D263&gt;E$10,0,E$10-D263)</f>
        <v>0.92</v>
      </c>
      <c r="F263" s="1562" t="n">
        <f aca="false">IF(Assm!$F$29=0,'Annex 10-Plant'!G263,'Annex 12-Plant'!T263)</f>
        <v>0</v>
      </c>
      <c r="G263" s="1563" t="n">
        <f aca="false">IF($A263&lt;Startops2,0,IF(Assm!$F$29=0,VLOOKUP($A263,Annex10_Gas_Table,'Annex 10-Gas'!$G$270),VLOOKUP($A263,Annex12_Gas_Table,'Annex 12-Gas'!$J$270)))</f>
        <v>0</v>
      </c>
      <c r="H263" s="1564" t="n">
        <f aca="false">IF($A263&lt;Startops2,0,IF(Assm!$F$29=0,VLOOKUP($A263,Annex10_Gas_Table,'Annex 10-Gas'!$P$270),VLOOKUP($A263,Annex12_Gas_Table,'Annex 12-Gas'!$V$270)))</f>
        <v>0</v>
      </c>
      <c r="I263" s="1563" t="n">
        <f aca="false">SUM(F263:H263)</f>
        <v>0</v>
      </c>
      <c r="J263" s="1563" t="n">
        <f aca="false">E263*I263</f>
        <v>0</v>
      </c>
      <c r="K263" s="1565" t="n">
        <f aca="false">IF(Assm!$L$74=1,VLOOKUP($A263,Curves_Table,Escalation!$D$291),Exch)</f>
        <v>1.065</v>
      </c>
      <c r="L263" s="1566" t="n">
        <f aca="false">J263/K263</f>
        <v>0</v>
      </c>
      <c r="M263" s="1567" t="str">
        <f aca="false">IF(MONTH($A263)=12,SUM(L252:L263)," ")</f>
        <v> </v>
      </c>
    </row>
    <row r="264" customFormat="false" ht="12.75" hidden="false" customHeight="false" outlineLevel="0" collapsed="false">
      <c r="A264" s="1538" t="n">
        <f aca="false">EDATE(A263,1)</f>
        <v>43922</v>
      </c>
      <c r="C264" s="1561" t="n">
        <f aca="false">MAX('Plant Operations'!H264,'Plant Operations'!L264)</f>
        <v>0</v>
      </c>
      <c r="D264" s="306" t="n">
        <f aca="false">IF($A264&gt;Endyr,0,AVERAGE(C252:C263))</f>
        <v>0</v>
      </c>
      <c r="E264" s="306" t="n">
        <f aca="false">IF(D264&gt;E$10,0,E$10-D264)</f>
        <v>0.92</v>
      </c>
      <c r="F264" s="1562" t="n">
        <f aca="false">IF(Assm!$F$29=0,'Annex 10-Plant'!G264,'Annex 12-Plant'!T264)</f>
        <v>0</v>
      </c>
      <c r="G264" s="1563" t="n">
        <f aca="false">IF($A264&lt;Startops2,0,IF(Assm!$F$29=0,VLOOKUP($A264,Annex10_Gas_Table,'Annex 10-Gas'!$G$270),VLOOKUP($A264,Annex12_Gas_Table,'Annex 12-Gas'!$J$270)))</f>
        <v>0</v>
      </c>
      <c r="H264" s="1564" t="n">
        <f aca="false">IF($A264&lt;Startops2,0,IF(Assm!$F$29=0,VLOOKUP($A264,Annex10_Gas_Table,'Annex 10-Gas'!$P$270),VLOOKUP($A264,Annex12_Gas_Table,'Annex 12-Gas'!$V$270)))</f>
        <v>0</v>
      </c>
      <c r="I264" s="1563" t="n">
        <f aca="false">SUM(F264:H264)</f>
        <v>0</v>
      </c>
      <c r="J264" s="1563" t="n">
        <f aca="false">E264*I264</f>
        <v>0</v>
      </c>
      <c r="K264" s="1565" t="n">
        <f aca="false">IF(Assm!$L$74=1,VLOOKUP($A264,Curves_Table,Escalation!$D$291),Exch)</f>
        <v>1.065</v>
      </c>
      <c r="L264" s="1566" t="n">
        <f aca="false">J264/K264</f>
        <v>0</v>
      </c>
      <c r="M264" s="1567" t="str">
        <f aca="false">IF(MONTH($A264)=12,SUM(L253:L264)," ")</f>
        <v> </v>
      </c>
    </row>
    <row r="265" customFormat="false" ht="12.75" hidden="false" customHeight="false" outlineLevel="0" collapsed="false">
      <c r="A265" s="1538" t="n">
        <f aca="false">EDATE(A264,1)</f>
        <v>43952</v>
      </c>
      <c r="C265" s="1561" t="n">
        <f aca="false">MAX('Plant Operations'!H265,'Plant Operations'!L265)</f>
        <v>0</v>
      </c>
      <c r="D265" s="306" t="n">
        <f aca="false">IF($A265&gt;Endyr,0,AVERAGE(C253:C264))</f>
        <v>0</v>
      </c>
      <c r="E265" s="306" t="n">
        <f aca="false">IF(D265&gt;E$10,0,E$10-D265)</f>
        <v>0.92</v>
      </c>
      <c r="F265" s="1562" t="n">
        <f aca="false">IF(Assm!$F$29=0,'Annex 10-Plant'!G265,'Annex 12-Plant'!T265)</f>
        <v>0</v>
      </c>
      <c r="G265" s="1563" t="n">
        <f aca="false">IF($A265&lt;Startops2,0,IF(Assm!$F$29=0,VLOOKUP($A265,Annex10_Gas_Table,'Annex 10-Gas'!$G$270),VLOOKUP($A265,Annex12_Gas_Table,'Annex 12-Gas'!$J$270)))</f>
        <v>0</v>
      </c>
      <c r="H265" s="1564" t="n">
        <f aca="false">IF($A265&lt;Startops2,0,IF(Assm!$F$29=0,VLOOKUP($A265,Annex10_Gas_Table,'Annex 10-Gas'!$P$270),VLOOKUP($A265,Annex12_Gas_Table,'Annex 12-Gas'!$V$270)))</f>
        <v>0</v>
      </c>
      <c r="I265" s="1563" t="n">
        <f aca="false">SUM(F265:H265)</f>
        <v>0</v>
      </c>
      <c r="J265" s="1563" t="n">
        <f aca="false">E265*I265</f>
        <v>0</v>
      </c>
      <c r="K265" s="1565" t="n">
        <f aca="false">IF(Assm!$L$74=1,VLOOKUP($A265,Curves_Table,Escalation!$D$291),Exch)</f>
        <v>1.065</v>
      </c>
      <c r="L265" s="1566" t="n">
        <f aca="false">J265/K265</f>
        <v>0</v>
      </c>
      <c r="M265" s="1567" t="str">
        <f aca="false">IF(MONTH($A265)=12,SUM(L254:L265)," ")</f>
        <v> </v>
      </c>
    </row>
    <row r="266" customFormat="false" ht="12.75" hidden="false" customHeight="false" outlineLevel="0" collapsed="false">
      <c r="A266" s="1538" t="n">
        <f aca="false">EDATE(A265,1)</f>
        <v>43983</v>
      </c>
      <c r="C266" s="1561" t="n">
        <f aca="false">MAX('Plant Operations'!H266,'Plant Operations'!L266)</f>
        <v>0</v>
      </c>
      <c r="D266" s="306" t="n">
        <f aca="false">IF($A266&gt;Endyr,0,AVERAGE(C254:C265))</f>
        <v>0</v>
      </c>
      <c r="E266" s="306" t="n">
        <f aca="false">IF(D266&gt;E$10,0,E$10-D266)</f>
        <v>0.92</v>
      </c>
      <c r="F266" s="1562" t="n">
        <f aca="false">IF(Assm!$F$29=0,'Annex 10-Plant'!G266,'Annex 12-Plant'!T266)</f>
        <v>0</v>
      </c>
      <c r="G266" s="1563" t="n">
        <f aca="false">IF($A266&lt;Startops2,0,IF(Assm!$F$29=0,VLOOKUP($A266,Annex10_Gas_Table,'Annex 10-Gas'!$G$270),VLOOKUP($A266,Annex12_Gas_Table,'Annex 12-Gas'!$J$270)))</f>
        <v>0</v>
      </c>
      <c r="H266" s="1564" t="n">
        <f aca="false">IF($A266&lt;Startops2,0,IF(Assm!$F$29=0,VLOOKUP($A266,Annex10_Gas_Table,'Annex 10-Gas'!$P$270),VLOOKUP($A266,Annex12_Gas_Table,'Annex 12-Gas'!$V$270)))</f>
        <v>0</v>
      </c>
      <c r="I266" s="1563" t="n">
        <f aca="false">SUM(F266:H266)</f>
        <v>0</v>
      </c>
      <c r="J266" s="1563" t="n">
        <f aca="false">E266*I266</f>
        <v>0</v>
      </c>
      <c r="K266" s="1565" t="n">
        <f aca="false">IF(Assm!$L$74=1,VLOOKUP($A266,Curves_Table,Escalation!$D$291),Exch)</f>
        <v>1.065</v>
      </c>
      <c r="L266" s="1566" t="n">
        <f aca="false">J266/K266</f>
        <v>0</v>
      </c>
      <c r="M266" s="1567" t="str">
        <f aca="false">IF(MONTH($A266)=12,SUM(L255:L266)," ")</f>
        <v> </v>
      </c>
    </row>
    <row r="267" customFormat="false" ht="13.5" hidden="false" customHeight="false" outlineLevel="0" collapsed="false">
      <c r="A267" s="1547" t="n">
        <f aca="false">EDATE(A266,1)</f>
        <v>44013</v>
      </c>
      <c r="C267" s="744"/>
      <c r="D267" s="388"/>
      <c r="E267" s="388"/>
      <c r="F267" s="1568"/>
      <c r="G267" s="373"/>
      <c r="H267" s="1569"/>
      <c r="I267" s="388"/>
      <c r="J267" s="388"/>
      <c r="K267" s="388"/>
      <c r="L267" s="388"/>
      <c r="M267" s="1570"/>
    </row>
    <row r="268" customFormat="false" ht="13.5" hidden="false" customHeight="false" outlineLevel="0" collapsed="false">
      <c r="A268" s="1549"/>
      <c r="C268" s="1550"/>
      <c r="D268" s="1551"/>
      <c r="E268" s="1551"/>
      <c r="F268" s="1551"/>
      <c r="G268" s="1551"/>
      <c r="H268" s="1551"/>
      <c r="I268" s="1551"/>
      <c r="J268" s="1551"/>
      <c r="K268" s="1551"/>
      <c r="L268" s="1551"/>
      <c r="M268" s="1571" t="n">
        <f aca="false">SUM(M12:M266)</f>
        <v>0</v>
      </c>
    </row>
    <row r="270" customFormat="false" ht="12.75" hidden="false" customHeight="false" outlineLevel="0" collapsed="false">
      <c r="A270" s="1556" t="n">
        <v>1</v>
      </c>
      <c r="B270" s="1556" t="n">
        <f aca="false">A270+1</f>
        <v>2</v>
      </c>
      <c r="C270" s="1556" t="n">
        <f aca="false">B270+1</f>
        <v>3</v>
      </c>
      <c r="D270" s="1556" t="n">
        <f aca="false">C270+1</f>
        <v>4</v>
      </c>
      <c r="E270" s="1556" t="n">
        <f aca="false">D270+1</f>
        <v>5</v>
      </c>
      <c r="F270" s="1556" t="n">
        <f aca="false">E270+1</f>
        <v>6</v>
      </c>
      <c r="G270" s="1556" t="n">
        <f aca="false">F270+1</f>
        <v>7</v>
      </c>
      <c r="H270" s="1556" t="n">
        <f aca="false">G270+1</f>
        <v>8</v>
      </c>
      <c r="I270" s="1556" t="n">
        <f aca="false">H270+1</f>
        <v>9</v>
      </c>
      <c r="J270" s="1556" t="n">
        <f aca="false">I270+1</f>
        <v>10</v>
      </c>
      <c r="K270" s="1556" t="n">
        <f aca="false">J270+1</f>
        <v>11</v>
      </c>
      <c r="L270" s="1556" t="n">
        <f aca="false">K270+1</f>
        <v>12</v>
      </c>
      <c r="M270" s="1556" t="n">
        <f aca="false">L270+1</f>
        <v>13</v>
      </c>
    </row>
  </sheetData>
  <mergeCells count="1">
    <mergeCell ref="C6:M6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270"/>
  <sheetViews>
    <sheetView showFormulas="false" showGridLines="false" showRowColHeaders="true" showZeros="true" rightToLeft="false" tabSelected="false" showOutlineSymbols="true" defaultGridColor="true" view="normal" topLeftCell="A8" colorId="64" zoomScale="90" zoomScaleNormal="90" zoomScalePageLayoutView="100" workbookViewId="0">
      <pane xSplit="0" ySplit="915" topLeftCell="BM25" activePane="bottomLeft" state="split"/>
      <selection pane="topLeft" activeCell="A8" activeCellId="0" sqref="A8"/>
      <selection pane="bottomLeft" activeCell="N45" activeCellId="0" sqref="N4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.7"/>
    <col collapsed="false" customWidth="true" hidden="false" outlineLevel="0" max="3" min="3" style="0" width="13.7"/>
    <col collapsed="false" customWidth="true" hidden="false" outlineLevel="0" max="4" min="4" style="0" width="2.7"/>
    <col collapsed="false" customWidth="true" hidden="false" outlineLevel="0" max="5" min="5" style="0" width="10.71"/>
    <col collapsed="false" customWidth="true" hidden="false" outlineLevel="0" max="6" min="6" style="0" width="13.7"/>
    <col collapsed="false" customWidth="true" hidden="false" outlineLevel="0" max="7" min="7" style="0" width="10.71"/>
    <col collapsed="false" customWidth="true" hidden="false" outlineLevel="0" max="8" min="8" style="0" width="13.7"/>
    <col collapsed="false" customWidth="true" hidden="false" outlineLevel="0" max="10" min="9" style="0" width="10.71"/>
    <col collapsed="false" customWidth="true" hidden="false" outlineLevel="0" max="11" min="11" style="0" width="13.7"/>
    <col collapsed="false" customWidth="true" hidden="false" outlineLevel="0" max="12" min="12" style="0" width="2.7"/>
    <col collapsed="false" customWidth="true" hidden="false" outlineLevel="0" max="13" min="13" style="0" width="10.71"/>
    <col collapsed="false" customWidth="true" hidden="false" outlineLevel="0" max="14" min="14" style="0" width="13.7"/>
    <col collapsed="false" customWidth="true" hidden="false" outlineLevel="0" max="15" min="15" style="0" width="10.71"/>
    <col collapsed="false" customWidth="true" hidden="false" outlineLevel="0" max="16" min="16" style="0" width="13.7"/>
    <col collapsed="false" customWidth="true" hidden="false" outlineLevel="0" max="17" min="17" style="0" width="2.7"/>
    <col collapsed="false" customWidth="true" hidden="false" outlineLevel="0" max="18" min="18" style="0" width="13.7"/>
    <col collapsed="false" customWidth="true" hidden="false" outlineLevel="0" max="22" min="19" style="0" width="10.71"/>
    <col collapsed="false" customWidth="true" hidden="false" outlineLevel="0" max="23" min="23" style="0" width="12.7"/>
    <col collapsed="false" customWidth="true" hidden="false" outlineLevel="0" max="24" min="24" style="0" width="2.7"/>
    <col collapsed="false" customWidth="true" hidden="false" outlineLevel="0" max="25" min="25" style="0" width="10.71"/>
    <col collapsed="false" customWidth="true" hidden="false" outlineLevel="0" max="26" min="26" style="388" width="10.71"/>
    <col collapsed="false" customWidth="true" hidden="false" outlineLevel="0" max="31" min="27" style="0" width="10.71"/>
    <col collapsed="false" customWidth="true" hidden="false" outlineLevel="0" max="32" min="32" style="0" width="12.7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1522"/>
      <c r="C1" s="388"/>
      <c r="D1" s="1522"/>
      <c r="E1" s="388"/>
      <c r="F1" s="388"/>
      <c r="G1" s="388"/>
      <c r="H1" s="388"/>
      <c r="I1" s="388"/>
      <c r="J1" s="388"/>
      <c r="K1" s="388"/>
      <c r="L1" s="1522"/>
      <c r="M1" s="388"/>
      <c r="N1" s="388"/>
      <c r="O1" s="388"/>
      <c r="P1" s="388"/>
      <c r="Q1" s="1522"/>
      <c r="R1" s="388"/>
      <c r="S1" s="388"/>
      <c r="T1" s="388"/>
      <c r="U1" s="388"/>
      <c r="V1" s="388"/>
      <c r="W1" s="388"/>
      <c r="X1" s="1522"/>
      <c r="Y1" s="388"/>
      <c r="AA1" s="388"/>
      <c r="AB1" s="388"/>
      <c r="AC1" s="388"/>
      <c r="AD1" s="388"/>
      <c r="AE1" s="388"/>
      <c r="AF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1522"/>
      <c r="C2" s="388"/>
      <c r="D2" s="1522"/>
      <c r="E2" s="388"/>
      <c r="F2" s="388"/>
      <c r="G2" s="388"/>
      <c r="H2" s="388"/>
      <c r="I2" s="388"/>
      <c r="J2" s="388"/>
      <c r="K2" s="388"/>
      <c r="L2" s="1522"/>
      <c r="M2" s="388"/>
      <c r="N2" s="388"/>
      <c r="O2" s="388"/>
      <c r="P2" s="388"/>
      <c r="Q2" s="1522"/>
      <c r="R2" s="388"/>
      <c r="S2" s="388"/>
      <c r="T2" s="388"/>
      <c r="U2" s="388"/>
      <c r="V2" s="388"/>
      <c r="W2" s="388"/>
      <c r="X2" s="1522"/>
      <c r="Y2" s="388"/>
      <c r="AA2" s="388"/>
      <c r="AB2" s="388"/>
      <c r="AC2" s="388"/>
      <c r="AD2" s="388"/>
      <c r="AE2" s="388"/>
      <c r="AF2" s="388"/>
    </row>
    <row r="3" customFormat="false" ht="15" hidden="false" customHeight="false" outlineLevel="0" collapsed="false">
      <c r="A3" s="19" t="str">
        <f aca="false">TOC!B4</f>
        <v>ENRON INTERNATIONAL</v>
      </c>
      <c r="B3" s="19"/>
      <c r="C3" s="388"/>
      <c r="D3" s="19"/>
      <c r="E3" s="388"/>
      <c r="F3" s="388"/>
      <c r="G3" s="388"/>
      <c r="H3" s="388"/>
      <c r="I3" s="388"/>
      <c r="J3" s="388"/>
      <c r="K3" s="388"/>
      <c r="L3" s="19"/>
      <c r="M3" s="388"/>
      <c r="N3" s="388"/>
      <c r="O3" s="388"/>
      <c r="P3" s="388"/>
      <c r="Q3" s="19"/>
      <c r="R3" s="388"/>
      <c r="S3" s="388"/>
      <c r="T3" s="388"/>
      <c r="U3" s="388"/>
      <c r="V3" s="388"/>
      <c r="W3" s="388"/>
      <c r="X3" s="19"/>
      <c r="Y3" s="388"/>
      <c r="AA3" s="388"/>
      <c r="AB3" s="388"/>
      <c r="AC3" s="388"/>
      <c r="AD3" s="388"/>
      <c r="AE3" s="388"/>
      <c r="AF3" s="388"/>
    </row>
    <row r="4" customFormat="false" ht="15" hidden="false" customHeight="false" outlineLevel="0" collapsed="false">
      <c r="A4" s="21" t="s">
        <v>1824</v>
      </c>
      <c r="B4" s="21"/>
      <c r="C4" s="632"/>
      <c r="D4" s="21"/>
      <c r="E4" s="632"/>
      <c r="F4" s="632"/>
      <c r="G4" s="388"/>
      <c r="H4" s="388"/>
      <c r="I4" s="388"/>
      <c r="J4" s="388"/>
      <c r="K4" s="388"/>
      <c r="L4" s="1572"/>
      <c r="M4" s="388"/>
      <c r="N4" s="388"/>
      <c r="O4" s="388"/>
      <c r="P4" s="388"/>
      <c r="Q4" s="1572"/>
      <c r="R4" s="388"/>
      <c r="S4" s="388"/>
      <c r="T4" s="388"/>
      <c r="U4" s="388"/>
      <c r="V4" s="388"/>
      <c r="W4" s="388"/>
      <c r="X4" s="1572"/>
      <c r="Y4" s="388"/>
      <c r="AA4" s="388"/>
      <c r="AB4" s="388"/>
      <c r="AC4" s="388"/>
      <c r="AD4" s="388"/>
      <c r="AE4" s="388"/>
      <c r="AF4" s="388"/>
    </row>
    <row r="5" customFormat="false" ht="12.75" hidden="false" customHeight="false" outlineLevel="0" collapsed="false">
      <c r="A5" s="1523"/>
      <c r="B5" s="1523"/>
      <c r="C5" s="1523"/>
      <c r="D5" s="1523"/>
      <c r="E5" s="1523"/>
      <c r="F5" s="388"/>
      <c r="G5" s="388"/>
      <c r="H5" s="388"/>
      <c r="I5" s="1523"/>
      <c r="J5" s="1523"/>
      <c r="K5" s="388"/>
      <c r="L5" s="1523"/>
      <c r="M5" s="388"/>
      <c r="N5" s="388"/>
      <c r="O5" s="388"/>
      <c r="P5" s="388"/>
      <c r="Q5" s="1523"/>
      <c r="R5" s="388"/>
      <c r="S5" s="388"/>
      <c r="T5" s="388"/>
      <c r="U5" s="388"/>
      <c r="V5" s="388"/>
      <c r="W5" s="388"/>
      <c r="X5" s="1523"/>
      <c r="Y5" s="1523"/>
      <c r="Z5" s="1523"/>
      <c r="AA5" s="388"/>
      <c r="AB5" s="388"/>
      <c r="AC5" s="388"/>
      <c r="AD5" s="388"/>
      <c r="AE5" s="388"/>
      <c r="AF5" s="388"/>
      <c r="AG5" s="388"/>
      <c r="AI5" s="388"/>
    </row>
    <row r="6" customFormat="false" ht="12.75" hidden="false" customHeight="false" outlineLevel="0" collapsed="false">
      <c r="C6" s="1524" t="s">
        <v>1825</v>
      </c>
      <c r="D6" s="1524"/>
      <c r="E6" s="1524"/>
      <c r="F6" s="1524"/>
      <c r="G6" s="1524"/>
      <c r="H6" s="1524"/>
      <c r="I6" s="1524"/>
      <c r="J6" s="1524"/>
      <c r="K6" s="1524"/>
      <c r="L6" s="1524"/>
      <c r="M6" s="1524"/>
      <c r="N6" s="1524"/>
      <c r="O6" s="1524"/>
      <c r="P6" s="1524"/>
      <c r="Q6" s="1524"/>
      <c r="R6" s="1524"/>
      <c r="S6" s="1524"/>
      <c r="T6" s="1524"/>
      <c r="U6" s="1524"/>
      <c r="V6" s="1524"/>
      <c r="W6" s="1524"/>
      <c r="Y6" s="1524" t="s">
        <v>1826</v>
      </c>
      <c r="Z6" s="1524"/>
      <c r="AA6" s="1524"/>
      <c r="AB6" s="1524"/>
      <c r="AC6" s="1524"/>
      <c r="AD6" s="1524"/>
      <c r="AE6" s="1524"/>
      <c r="AF6" s="1524"/>
    </row>
    <row r="7" customFormat="false" ht="13.5" hidden="false" customHeight="false" outlineLevel="0" collapsed="false"/>
    <row r="8" customFormat="false" ht="12.75" hidden="false" customHeight="false" outlineLevel="0" collapsed="false">
      <c r="A8" s="1525"/>
      <c r="C8" s="1525"/>
      <c r="E8" s="545"/>
      <c r="F8" s="1527" t="s">
        <v>1827</v>
      </c>
      <c r="G8" s="1527"/>
      <c r="H8" s="1527" t="s">
        <v>1828</v>
      </c>
      <c r="I8" s="1527" t="s">
        <v>1817</v>
      </c>
      <c r="J8" s="1527" t="s">
        <v>1829</v>
      </c>
      <c r="K8" s="1530" t="s">
        <v>1830</v>
      </c>
      <c r="M8" s="545"/>
      <c r="N8" s="1527" t="s">
        <v>1827</v>
      </c>
      <c r="O8" s="1527"/>
      <c r="P8" s="1530" t="s">
        <v>1828</v>
      </c>
      <c r="R8" s="1526" t="s">
        <v>1830</v>
      </c>
      <c r="S8" s="1527" t="s">
        <v>709</v>
      </c>
      <c r="T8" s="1527" t="s">
        <v>1796</v>
      </c>
      <c r="U8" s="1527" t="s">
        <v>1829</v>
      </c>
      <c r="V8" s="1527" t="s">
        <v>1796</v>
      </c>
      <c r="W8" s="1530" t="s">
        <v>1797</v>
      </c>
      <c r="Y8" s="545"/>
      <c r="Z8" s="1527"/>
      <c r="AA8" s="1527" t="s">
        <v>1828</v>
      </c>
      <c r="AB8" s="1527" t="s">
        <v>1831</v>
      </c>
      <c r="AC8" s="1527" t="s">
        <v>1796</v>
      </c>
      <c r="AD8" s="1527" t="s">
        <v>1829</v>
      </c>
      <c r="AE8" s="1527" t="s">
        <v>1796</v>
      </c>
      <c r="AF8" s="1530" t="s">
        <v>1797</v>
      </c>
    </row>
    <row r="9" customFormat="false" ht="12.75" hidden="false" customHeight="false" outlineLevel="0" collapsed="false">
      <c r="A9" s="614"/>
      <c r="C9" s="1573" t="s">
        <v>1832</v>
      </c>
      <c r="E9" s="1531" t="s">
        <v>1833</v>
      </c>
      <c r="F9" s="427" t="s">
        <v>1834</v>
      </c>
      <c r="G9" s="229" t="str">
        <f aca="false">Escalation!$M$14</f>
        <v>US</v>
      </c>
      <c r="H9" s="427" t="s">
        <v>1834</v>
      </c>
      <c r="I9" s="79" t="s">
        <v>1621</v>
      </c>
      <c r="J9" s="79" t="s">
        <v>1835</v>
      </c>
      <c r="K9" s="1533" t="s">
        <v>1834</v>
      </c>
      <c r="M9" s="1531" t="s">
        <v>1836</v>
      </c>
      <c r="N9" s="427" t="s">
        <v>1837</v>
      </c>
      <c r="O9" s="229" t="str">
        <f aca="false">Escalation!$Q$14</f>
        <v>Brazil</v>
      </c>
      <c r="P9" s="1533" t="s">
        <v>1837</v>
      </c>
      <c r="R9" s="1531" t="s">
        <v>1838</v>
      </c>
      <c r="S9" s="427" t="s">
        <v>64</v>
      </c>
      <c r="T9" s="427" t="s">
        <v>782</v>
      </c>
      <c r="U9" s="79" t="s">
        <v>1621</v>
      </c>
      <c r="V9" s="427" t="s">
        <v>782</v>
      </c>
      <c r="W9" s="1533" t="s">
        <v>782</v>
      </c>
      <c r="Y9" s="264" t="s">
        <v>1839</v>
      </c>
      <c r="Z9" s="229" t="str">
        <f aca="false">Escalation!$Q$14</f>
        <v>Brazil</v>
      </c>
      <c r="AA9" s="427" t="s">
        <v>1839</v>
      </c>
      <c r="AB9" s="427" t="s">
        <v>64</v>
      </c>
      <c r="AC9" s="427" t="s">
        <v>782</v>
      </c>
      <c r="AD9" s="79" t="s">
        <v>1621</v>
      </c>
      <c r="AE9" s="427" t="s">
        <v>782</v>
      </c>
      <c r="AF9" s="1533" t="s">
        <v>782</v>
      </c>
    </row>
    <row r="10" customFormat="false" ht="12.75" hidden="false" customHeight="false" outlineLevel="0" collapsed="false">
      <c r="A10" s="1534" t="s">
        <v>1802</v>
      </c>
      <c r="C10" s="1534" t="s">
        <v>1840</v>
      </c>
      <c r="E10" s="472" t="s">
        <v>731</v>
      </c>
      <c r="F10" s="303" t="s">
        <v>1840</v>
      </c>
      <c r="G10" s="303" t="str">
        <f aca="false">Escalation!$N$14</f>
        <v>CPI</v>
      </c>
      <c r="H10" s="303" t="s">
        <v>1840</v>
      </c>
      <c r="I10" s="303" t="s">
        <v>1822</v>
      </c>
      <c r="J10" s="303" t="s">
        <v>1822</v>
      </c>
      <c r="K10" s="475" t="s">
        <v>1840</v>
      </c>
      <c r="M10" s="472" t="s">
        <v>731</v>
      </c>
      <c r="N10" s="303" t="s">
        <v>1840</v>
      </c>
      <c r="O10" s="303" t="str">
        <f aca="false">Escalation!$R$14</f>
        <v>IGP-DI</v>
      </c>
      <c r="P10" s="475" t="s">
        <v>1840</v>
      </c>
      <c r="R10" s="472" t="s">
        <v>1840</v>
      </c>
      <c r="S10" s="303" t="s">
        <v>63</v>
      </c>
      <c r="T10" s="303" t="s">
        <v>1821</v>
      </c>
      <c r="U10" s="303" t="s">
        <v>1822</v>
      </c>
      <c r="V10" s="303" t="s">
        <v>1841</v>
      </c>
      <c r="W10" s="475" t="s">
        <v>1841</v>
      </c>
      <c r="Y10" s="472" t="s">
        <v>1842</v>
      </c>
      <c r="Z10" s="303" t="str">
        <f aca="false">Escalation!$R$14</f>
        <v>IGP-DI</v>
      </c>
      <c r="AA10" s="303" t="s">
        <v>1842</v>
      </c>
      <c r="AB10" s="303" t="s">
        <v>1794</v>
      </c>
      <c r="AC10" s="303" t="s">
        <v>1821</v>
      </c>
      <c r="AD10" s="303" t="s">
        <v>1822</v>
      </c>
      <c r="AE10" s="303" t="s">
        <v>1841</v>
      </c>
      <c r="AF10" s="475" t="s">
        <v>1841</v>
      </c>
    </row>
    <row r="11" customFormat="false" ht="12.75" hidden="false" customHeight="false" outlineLevel="0" collapsed="false">
      <c r="A11" s="614"/>
      <c r="C11" s="614"/>
      <c r="E11" s="744"/>
      <c r="F11" s="388"/>
      <c r="G11" s="388"/>
      <c r="H11" s="388"/>
      <c r="I11" s="388"/>
      <c r="J11" s="388"/>
      <c r="K11" s="1537"/>
      <c r="M11" s="744"/>
      <c r="N11" s="388"/>
      <c r="O11" s="388"/>
      <c r="P11" s="1537"/>
      <c r="R11" s="744"/>
      <c r="S11" s="388"/>
      <c r="T11" s="388"/>
      <c r="U11" s="388"/>
      <c r="V11" s="388"/>
      <c r="W11" s="1537"/>
      <c r="Y11" s="744"/>
      <c r="AA11" s="388"/>
      <c r="AB11" s="388"/>
      <c r="AC11" s="388"/>
      <c r="AD11" s="388"/>
      <c r="AE11" s="388"/>
      <c r="AF11" s="1537"/>
    </row>
    <row r="12" customFormat="false" ht="12.75" hidden="false" customHeight="false" outlineLevel="0" collapsed="false">
      <c r="A12" s="1538" t="n">
        <f aca="false">'Plant Operations'!A12</f>
        <v>36251</v>
      </c>
      <c r="C12" s="1574" t="n">
        <f aca="false">IF($A12&gt;Endyr,0,VLOOKUP($A12,Tariff_Table,Tariff!$D$33))</f>
        <v>9586.87619047619</v>
      </c>
      <c r="E12" s="1561" t="n">
        <f aca="false">VLOOKUP($A12,Tariff_Table,Tariff!$E$33)</f>
        <v>0.52500038334257</v>
      </c>
      <c r="F12" s="1575" t="n">
        <f aca="false">$C12*E12</f>
        <v>5033.11367505775</v>
      </c>
      <c r="G12" s="1565" t="n">
        <f aca="false">VLOOKUP($A12,Curves_Table,Escalation!$N$291)</f>
        <v>1.0143570536829</v>
      </c>
      <c r="H12" s="1575" t="n">
        <f aca="false">F12*G12</f>
        <v>5105.37435828268</v>
      </c>
      <c r="I12" s="1576" t="n">
        <f aca="false">IF(Assm!$L$74=0,VLOOKUP($A12,Curves_Table,Escalation!$D$291),VLOOKUP($A12,Curves_Table,Escalation!$E$291))</f>
        <v>1.665</v>
      </c>
      <c r="J12" s="1576" t="n">
        <f aca="false">IF($A12&lt;EE_Date,VLOOKUP($A12,Curves_Table,Escalation!$D$291),Exch)</f>
        <v>1.665</v>
      </c>
      <c r="K12" s="1577" t="n">
        <f aca="false">H12*I12/J12</f>
        <v>5105.37435828268</v>
      </c>
      <c r="M12" s="1561" t="n">
        <f aca="false">VLOOKUP($A12,Tariff_Table,Tariff!$F$33)</f>
        <v>0.474999616657431</v>
      </c>
      <c r="N12" s="1575" t="n">
        <f aca="false">$C12*M12</f>
        <v>4553.76251541844</v>
      </c>
      <c r="O12" s="1565" t="n">
        <f aca="false">VLOOKUP($A12,Curves_Table,Escalation!$R$291)</f>
        <v>1.04580600399122</v>
      </c>
      <c r="P12" s="1577" t="n">
        <f aca="false">N12*O12</f>
        <v>4762.35217937475</v>
      </c>
      <c r="R12" s="1578" t="n">
        <f aca="false">SUM(K12,P12)</f>
        <v>9867.72653765742</v>
      </c>
      <c r="S12" s="1540" t="n">
        <f aca="false">'Plant Operations'!C12</f>
        <v>150</v>
      </c>
      <c r="T12" s="1575" t="n">
        <f aca="false">R12*S12/1000</f>
        <v>1480.15898064861</v>
      </c>
      <c r="U12" s="1576" t="n">
        <f aca="false">$I12</f>
        <v>1.665</v>
      </c>
      <c r="V12" s="394" t="n">
        <f aca="false">T12/U12</f>
        <v>888.98437276193</v>
      </c>
      <c r="W12" s="1579" t="str">
        <f aca="false">IF(MONTH($A12)=12,SUM(V1:V12)," ")</f>
        <v> </v>
      </c>
      <c r="Y12" s="1580" t="n">
        <f aca="false">IF($A12&gt;Endyr,0,VLOOKUP($A12,Tariff_Table,Tariff!$J$33))</f>
        <v>0.17</v>
      </c>
      <c r="Z12" s="1576" t="n">
        <f aca="false">VLOOKUP($A12,Curves_Table,Escalation!$AH$291)</f>
        <v>1.04580600399122</v>
      </c>
      <c r="AA12" s="1576" t="n">
        <f aca="false">Y12*Z12</f>
        <v>0.177787020678507</v>
      </c>
      <c r="AB12" s="397" t="n">
        <f aca="false">'Plant Operations'!$I12+'Plant Operations'!$M12</f>
        <v>9360</v>
      </c>
      <c r="AC12" s="1575" t="n">
        <f aca="false">AA12*AB12/1000</f>
        <v>1.66408651355082</v>
      </c>
      <c r="AD12" s="1576" t="n">
        <f aca="false">$I12</f>
        <v>1.665</v>
      </c>
      <c r="AE12" s="1566" t="n">
        <f aca="false">AC12/AD12</f>
        <v>0.999451359489984</v>
      </c>
      <c r="AF12" s="1567" t="str">
        <f aca="false">IF(MONTH($A12)=12,SUM(AE1:AE12)," ")</f>
        <v> </v>
      </c>
    </row>
    <row r="13" customFormat="false" ht="12.75" hidden="false" customHeight="false" outlineLevel="0" collapsed="false">
      <c r="A13" s="1538" t="n">
        <f aca="false">'Plant Operations'!A13</f>
        <v>36281</v>
      </c>
      <c r="C13" s="1574" t="n">
        <f aca="false">IF($A13&gt;Endyr,0,VLOOKUP($A13,Tariff_Table,Tariff!$D$33))</f>
        <v>9586.87619047619</v>
      </c>
      <c r="E13" s="1561" t="n">
        <f aca="false">VLOOKUP($A13,Tariff_Table,Tariff!$E$33)</f>
        <v>0.52500038334257</v>
      </c>
      <c r="F13" s="1575" t="n">
        <f aca="false">$C13*E13</f>
        <v>5033.11367505775</v>
      </c>
      <c r="G13" s="1565" t="n">
        <f aca="false">VLOOKUP($A13,Curves_Table,Escalation!$N$291)</f>
        <v>1.0374531835206</v>
      </c>
      <c r="H13" s="1575" t="n">
        <f aca="false">F13*G13</f>
        <v>5221.61980520973</v>
      </c>
      <c r="I13" s="1576" t="n">
        <f aca="false">IF(Assm!$L$74=0,VLOOKUP($A13,Curves_Table,Escalation!$D$291),VLOOKUP($A13,Curves_Table,Escalation!$E$291))</f>
        <v>1.721</v>
      </c>
      <c r="J13" s="1576" t="n">
        <f aca="false">IF($A13&lt;EE_Date,VLOOKUP($A13,Curves_Table,Escalation!$D$291),Exch)</f>
        <v>1.721</v>
      </c>
      <c r="K13" s="1577" t="n">
        <f aca="false">H13*I13/J13</f>
        <v>5221.61980520973</v>
      </c>
      <c r="M13" s="1561" t="n">
        <f aca="false">VLOOKUP($A13,Tariff_Table,Tariff!$F$33)</f>
        <v>0.474999616657431</v>
      </c>
      <c r="N13" s="1575" t="n">
        <f aca="false">$C13*M13</f>
        <v>4553.76251541844</v>
      </c>
      <c r="O13" s="1565" t="n">
        <f aca="false">VLOOKUP($A13,Curves_Table,Escalation!$R$291)</f>
        <v>1.13477865915154</v>
      </c>
      <c r="P13" s="1577" t="n">
        <f aca="false">N13*O13</f>
        <v>5167.5125213411</v>
      </c>
      <c r="R13" s="1578" t="n">
        <f aca="false">SUM(K13,P13)</f>
        <v>10389.1323265508</v>
      </c>
      <c r="S13" s="1540" t="n">
        <f aca="false">'Plant Operations'!C13</f>
        <v>150</v>
      </c>
      <c r="T13" s="1575" t="n">
        <f aca="false">R13*S13/1000</f>
        <v>1558.36984898262</v>
      </c>
      <c r="U13" s="1576" t="n">
        <f aca="false">$I13</f>
        <v>1.721</v>
      </c>
      <c r="V13" s="394" t="n">
        <f aca="false">T13/U13</f>
        <v>905.502527009078</v>
      </c>
      <c r="W13" s="1579" t="str">
        <f aca="false">IF(MONTH($A13)=12,SUM(V2:V13)," ")</f>
        <v> </v>
      </c>
      <c r="Y13" s="1580" t="n">
        <f aca="false">IF($A13&gt;Endyr,0,VLOOKUP($A13,Tariff_Table,Tariff!$J$33))</f>
        <v>0.17</v>
      </c>
      <c r="Z13" s="1576" t="n">
        <f aca="false">VLOOKUP($A13,Curves_Table,Escalation!$AH$291)</f>
        <v>1.13477865915154</v>
      </c>
      <c r="AA13" s="1576" t="n">
        <f aca="false">Y13*Z13</f>
        <v>0.192912372055763</v>
      </c>
      <c r="AB13" s="397" t="n">
        <f aca="false">'Plant Operations'!$I13+'Plant Operations'!$M13</f>
        <v>9360</v>
      </c>
      <c r="AC13" s="1575" t="n">
        <f aca="false">AA13*AB13/1000</f>
        <v>1.80565980244194</v>
      </c>
      <c r="AD13" s="1576" t="n">
        <f aca="false">$I13</f>
        <v>1.721</v>
      </c>
      <c r="AE13" s="1566" t="n">
        <f aca="false">AC13/AD13</f>
        <v>1.04919221524808</v>
      </c>
      <c r="AF13" s="1567" t="str">
        <f aca="false">IF(MONTH($A13)=12,SUM(AE2:AE13)," ")</f>
        <v> </v>
      </c>
    </row>
    <row r="14" customFormat="false" ht="12.75" hidden="false" customHeight="false" outlineLevel="0" collapsed="false">
      <c r="A14" s="1538" t="n">
        <f aca="false">'Plant Operations'!A14</f>
        <v>36312</v>
      </c>
      <c r="C14" s="1574" t="n">
        <f aca="false">IF($A14&gt;Endyr,0,VLOOKUP($A14,Tariff_Table,Tariff!$D$33))</f>
        <v>9586.87619047619</v>
      </c>
      <c r="E14" s="1561" t="n">
        <f aca="false">VLOOKUP($A14,Tariff_Table,Tariff!$E$33)</f>
        <v>0.52500038334257</v>
      </c>
      <c r="F14" s="1575" t="n">
        <f aca="false">$C14*E14</f>
        <v>5033.11367505775</v>
      </c>
      <c r="G14" s="1565" t="n">
        <f aca="false">VLOOKUP($A14,Curves_Table,Escalation!$N$291)</f>
        <v>1.0374531835206</v>
      </c>
      <c r="H14" s="1575" t="n">
        <f aca="false">F14*G14</f>
        <v>5221.61980520973</v>
      </c>
      <c r="I14" s="1576" t="n">
        <f aca="false">IF(Assm!$L$74=0,VLOOKUP($A14,Curves_Table,Escalation!$D$291),VLOOKUP($A14,Curves_Table,Escalation!$E$291))</f>
        <v>1.7525</v>
      </c>
      <c r="J14" s="1576" t="n">
        <f aca="false">IF($A14&lt;EE_Date,VLOOKUP($A14,Curves_Table,Escalation!$D$291),Exch)</f>
        <v>1.7525</v>
      </c>
      <c r="K14" s="1577" t="n">
        <f aca="false">H14*I14/J14</f>
        <v>5221.61980520973</v>
      </c>
      <c r="M14" s="1561" t="n">
        <f aca="false">VLOOKUP($A14,Tariff_Table,Tariff!$F$33)</f>
        <v>0.474999616657431</v>
      </c>
      <c r="N14" s="1575" t="n">
        <f aca="false">$C14*M14</f>
        <v>4553.76251541844</v>
      </c>
      <c r="O14" s="1565" t="n">
        <f aca="false">VLOOKUP($A14,Curves_Table,Escalation!$R$291)</f>
        <v>1.13477865915154</v>
      </c>
      <c r="P14" s="1577" t="n">
        <f aca="false">N14*O14</f>
        <v>5167.5125213411</v>
      </c>
      <c r="R14" s="1578" t="n">
        <f aca="false">SUM(K14,P14)</f>
        <v>10389.1323265508</v>
      </c>
      <c r="S14" s="1540" t="n">
        <f aca="false">'Plant Operations'!C14</f>
        <v>150</v>
      </c>
      <c r="T14" s="1575" t="n">
        <f aca="false">R14*S14/1000</f>
        <v>1558.36984898262</v>
      </c>
      <c r="U14" s="1576" t="n">
        <f aca="false">$I14</f>
        <v>1.7525</v>
      </c>
      <c r="V14" s="394" t="n">
        <f aca="false">T14/U14</f>
        <v>889.226732657703</v>
      </c>
      <c r="W14" s="1579" t="str">
        <f aca="false">IF(MONTH($A14)=12,SUM(V3:V14)," ")</f>
        <v> </v>
      </c>
      <c r="Y14" s="1580" t="n">
        <f aca="false">IF($A14&gt;Endyr,0,VLOOKUP($A14,Tariff_Table,Tariff!$J$33))</f>
        <v>0.17</v>
      </c>
      <c r="Z14" s="1576" t="n">
        <f aca="false">VLOOKUP($A14,Curves_Table,Escalation!$AH$291)</f>
        <v>1.13477865915154</v>
      </c>
      <c r="AA14" s="1576" t="n">
        <f aca="false">Y14*Z14</f>
        <v>0.192912372055763</v>
      </c>
      <c r="AB14" s="397" t="n">
        <f aca="false">'Plant Operations'!$I14+'Plant Operations'!$M14</f>
        <v>11700</v>
      </c>
      <c r="AC14" s="1575" t="n">
        <f aca="false">AA14*AB14/1000</f>
        <v>2.25707475305242</v>
      </c>
      <c r="AD14" s="1576" t="n">
        <f aca="false">$I14</f>
        <v>1.7525</v>
      </c>
      <c r="AE14" s="1566" t="n">
        <f aca="false">AC14/AD14</f>
        <v>1.28791712014404</v>
      </c>
      <c r="AF14" s="1567" t="str">
        <f aca="false">IF(MONTH($A14)=12,SUM(AE3:AE14)," ")</f>
        <v> </v>
      </c>
    </row>
    <row r="15" customFormat="false" ht="12.75" hidden="false" customHeight="false" outlineLevel="0" collapsed="false">
      <c r="A15" s="1538" t="n">
        <f aca="false">'Plant Operations'!A15</f>
        <v>36342</v>
      </c>
      <c r="C15" s="1574" t="n">
        <f aca="false">IF($A15&gt;Endyr,0,VLOOKUP($A15,Tariff_Table,Tariff!$D$33))</f>
        <v>9586.87619047619</v>
      </c>
      <c r="E15" s="1561" t="n">
        <f aca="false">VLOOKUP($A15,Tariff_Table,Tariff!$E$33)</f>
        <v>0.52500038334257</v>
      </c>
      <c r="F15" s="1575" t="n">
        <f aca="false">$C15*E15</f>
        <v>5033.11367505775</v>
      </c>
      <c r="G15" s="1565" t="n">
        <f aca="false">VLOOKUP($A15,Curves_Table,Escalation!$N$291)</f>
        <v>1.0374531835206</v>
      </c>
      <c r="H15" s="1575" t="n">
        <f aca="false">F15*G15</f>
        <v>5221.61980520973</v>
      </c>
      <c r="I15" s="1576" t="n">
        <f aca="false">IF(Assm!$L$74=0,VLOOKUP($A15,Curves_Table,Escalation!$D$291),VLOOKUP($A15,Curves_Table,Escalation!$E$291))</f>
        <v>1.801</v>
      </c>
      <c r="J15" s="1576" t="n">
        <f aca="false">IF($A15&lt;EE_Date,VLOOKUP($A15,Curves_Table,Escalation!$D$291),Exch)</f>
        <v>1.801</v>
      </c>
      <c r="K15" s="1577" t="n">
        <f aca="false">H15*I15/J15</f>
        <v>5221.61980520973</v>
      </c>
      <c r="M15" s="1561" t="n">
        <f aca="false">VLOOKUP($A15,Tariff_Table,Tariff!$F$33)</f>
        <v>0.474999616657431</v>
      </c>
      <c r="N15" s="1575" t="n">
        <f aca="false">$C15*M15</f>
        <v>4553.76251541844</v>
      </c>
      <c r="O15" s="1565" t="n">
        <f aca="false">VLOOKUP($A15,Curves_Table,Escalation!$R$291)</f>
        <v>1.13477865915154</v>
      </c>
      <c r="P15" s="1577" t="n">
        <f aca="false">N15*O15</f>
        <v>5167.5125213411</v>
      </c>
      <c r="R15" s="1578" t="n">
        <f aca="false">SUM(K15,P15)</f>
        <v>10389.1323265508</v>
      </c>
      <c r="S15" s="1540" t="n">
        <f aca="false">'Plant Operations'!C15</f>
        <v>150</v>
      </c>
      <c r="T15" s="1575" t="n">
        <f aca="false">R15*S15/1000</f>
        <v>1558.36984898262</v>
      </c>
      <c r="U15" s="1576" t="n">
        <f aca="false">$I15</f>
        <v>1.801</v>
      </c>
      <c r="V15" s="394" t="n">
        <f aca="false">T15/U15</f>
        <v>865.280315925944</v>
      </c>
      <c r="W15" s="1579" t="str">
        <f aca="false">IF(MONTH($A15)=12,SUM(V4:V15)," ")</f>
        <v> </v>
      </c>
      <c r="Y15" s="1580" t="n">
        <f aca="false">IF($A15&gt;Endyr,0,VLOOKUP($A15,Tariff_Table,Tariff!$J$33))</f>
        <v>0.17</v>
      </c>
      <c r="Z15" s="1576" t="n">
        <f aca="false">VLOOKUP($A15,Curves_Table,Escalation!$AH$291)</f>
        <v>1.13477865915154</v>
      </c>
      <c r="AA15" s="1576" t="n">
        <f aca="false">Y15*Z15</f>
        <v>0.192912372055763</v>
      </c>
      <c r="AB15" s="397" t="n">
        <f aca="false">'Plant Operations'!$I15+'Plant Operations'!$M15</f>
        <v>11700</v>
      </c>
      <c r="AC15" s="1575" t="n">
        <f aca="false">AA15*AB15/1000</f>
        <v>2.25707475305242</v>
      </c>
      <c r="AD15" s="1576" t="n">
        <f aca="false">$I15</f>
        <v>1.801</v>
      </c>
      <c r="AE15" s="1566" t="n">
        <f aca="false">AC15/AD15</f>
        <v>1.25323417715293</v>
      </c>
      <c r="AF15" s="1567" t="str">
        <f aca="false">IF(MONTH($A15)=12,SUM(AE4:AE15)," ")</f>
        <v> </v>
      </c>
    </row>
    <row r="16" customFormat="false" ht="12.75" hidden="false" customHeight="false" outlineLevel="0" collapsed="false">
      <c r="A16" s="1538" t="n">
        <f aca="false">'Plant Operations'!A16</f>
        <v>36373</v>
      </c>
      <c r="C16" s="1574" t="n">
        <f aca="false">IF($A16&gt;Endyr,0,VLOOKUP($A16,Tariff_Table,Tariff!$D$33))</f>
        <v>9586.87619047619</v>
      </c>
      <c r="E16" s="1561" t="n">
        <f aca="false">VLOOKUP($A16,Tariff_Table,Tariff!$E$33)</f>
        <v>0.52500038334257</v>
      </c>
      <c r="F16" s="1575" t="n">
        <f aca="false">$C16*E16</f>
        <v>5033.11367505775</v>
      </c>
      <c r="G16" s="1565" t="n">
        <f aca="false">VLOOKUP($A16,Curves_Table,Escalation!$N$291)</f>
        <v>1.0374531835206</v>
      </c>
      <c r="H16" s="1575" t="n">
        <f aca="false">F16*G16</f>
        <v>5221.61980520973</v>
      </c>
      <c r="I16" s="1576" t="n">
        <f aca="false">IF(Assm!$L$74=0,VLOOKUP($A16,Curves_Table,Escalation!$D$291),VLOOKUP($A16,Curves_Table,Escalation!$E$291))</f>
        <v>1.919</v>
      </c>
      <c r="J16" s="1576" t="n">
        <f aca="false">IF($A16&lt;EE_Date,VLOOKUP($A16,Curves_Table,Escalation!$D$291),Exch)</f>
        <v>1.919</v>
      </c>
      <c r="K16" s="1577" t="n">
        <f aca="false">H16*I16/J16</f>
        <v>5221.61980520973</v>
      </c>
      <c r="M16" s="1561" t="n">
        <f aca="false">VLOOKUP($A16,Tariff_Table,Tariff!$F$33)</f>
        <v>0.474999616657431</v>
      </c>
      <c r="N16" s="1575" t="n">
        <f aca="false">$C16*M16</f>
        <v>4553.76251541844</v>
      </c>
      <c r="O16" s="1565" t="n">
        <f aca="false">VLOOKUP($A16,Curves_Table,Escalation!$R$291)</f>
        <v>1.13477865915154</v>
      </c>
      <c r="P16" s="1577" t="n">
        <f aca="false">N16*O16</f>
        <v>5167.5125213411</v>
      </c>
      <c r="R16" s="1578" t="n">
        <f aca="false">SUM(K16,P16)</f>
        <v>10389.1323265508</v>
      </c>
      <c r="S16" s="1540" t="n">
        <f aca="false">'Plant Operations'!C16</f>
        <v>150</v>
      </c>
      <c r="T16" s="1575" t="n">
        <f aca="false">R16*S16/1000</f>
        <v>1558.36984898262</v>
      </c>
      <c r="U16" s="1576" t="n">
        <f aca="false">$I16</f>
        <v>1.919</v>
      </c>
      <c r="V16" s="394" t="n">
        <f aca="false">T16/U16</f>
        <v>812.073918177501</v>
      </c>
      <c r="W16" s="1579" t="str">
        <f aca="false">IF(MONTH($A16)=12,SUM(V5:V16)," ")</f>
        <v> </v>
      </c>
      <c r="Y16" s="1580" t="n">
        <f aca="false">IF($A16&gt;Endyr,0,VLOOKUP($A16,Tariff_Table,Tariff!$J$33))</f>
        <v>0.17</v>
      </c>
      <c r="Z16" s="1576" t="n">
        <f aca="false">VLOOKUP($A16,Curves_Table,Escalation!$AH$291)</f>
        <v>1.13477865915154</v>
      </c>
      <c r="AA16" s="1576" t="n">
        <f aca="false">Y16*Z16</f>
        <v>0.192912372055763</v>
      </c>
      <c r="AB16" s="397" t="n">
        <f aca="false">'Plant Operations'!$I16+'Plant Operations'!$M16</f>
        <v>14040</v>
      </c>
      <c r="AC16" s="1575" t="n">
        <f aca="false">AA16*AB16/1000</f>
        <v>2.70848970366291</v>
      </c>
      <c r="AD16" s="1576" t="n">
        <f aca="false">$I16</f>
        <v>1.919</v>
      </c>
      <c r="AE16" s="1566" t="n">
        <f aca="false">AC16/AD16</f>
        <v>1.41140682838088</v>
      </c>
      <c r="AF16" s="1567" t="str">
        <f aca="false">IF(MONTH($A16)=12,SUM(AE5:AE16)," ")</f>
        <v> </v>
      </c>
    </row>
    <row r="17" customFormat="false" ht="12.75" hidden="false" customHeight="false" outlineLevel="0" collapsed="false">
      <c r="A17" s="1538" t="n">
        <f aca="false">'Plant Operations'!A17</f>
        <v>36404</v>
      </c>
      <c r="C17" s="1574" t="n">
        <f aca="false">IF($A17&gt;Endyr,0,VLOOKUP($A17,Tariff_Table,Tariff!$D$33))</f>
        <v>9586.87619047619</v>
      </c>
      <c r="E17" s="1561" t="n">
        <f aca="false">VLOOKUP($A17,Tariff_Table,Tariff!$E$33)</f>
        <v>0.52500038334257</v>
      </c>
      <c r="F17" s="1575" t="n">
        <f aca="false">$C17*E17</f>
        <v>5033.11367505775</v>
      </c>
      <c r="G17" s="1565" t="n">
        <f aca="false">VLOOKUP($A17,Curves_Table,Escalation!$N$291)</f>
        <v>1.0374531835206</v>
      </c>
      <c r="H17" s="1575" t="n">
        <f aca="false">F17*G17</f>
        <v>5221.61980520973</v>
      </c>
      <c r="I17" s="1576" t="n">
        <f aca="false">IF(Assm!$L$74=0,VLOOKUP($A17,Curves_Table,Escalation!$D$291),VLOOKUP($A17,Curves_Table,Escalation!$E$291))</f>
        <v>1.9375</v>
      </c>
      <c r="J17" s="1576" t="n">
        <f aca="false">IF($A17&lt;EE_Date,VLOOKUP($A17,Curves_Table,Escalation!$D$291),Exch)</f>
        <v>1.065</v>
      </c>
      <c r="K17" s="1577" t="n">
        <f aca="false">H17*I17/J17</f>
        <v>9499.42570196606</v>
      </c>
      <c r="M17" s="1561" t="n">
        <f aca="false">VLOOKUP($A17,Tariff_Table,Tariff!$F$33)</f>
        <v>0.474999616657431</v>
      </c>
      <c r="N17" s="1575" t="n">
        <f aca="false">$C17*M17</f>
        <v>4553.76251541844</v>
      </c>
      <c r="O17" s="1565" t="n">
        <f aca="false">VLOOKUP($A17,Curves_Table,Escalation!$R$291)</f>
        <v>1.13477865915154</v>
      </c>
      <c r="P17" s="1577" t="n">
        <f aca="false">N17*O17</f>
        <v>5167.5125213411</v>
      </c>
      <c r="R17" s="1578" t="n">
        <f aca="false">SUM(K17,P17)</f>
        <v>14666.9382233072</v>
      </c>
      <c r="S17" s="1540" t="n">
        <f aca="false">'Plant Operations'!C17</f>
        <v>150</v>
      </c>
      <c r="T17" s="1575" t="n">
        <f aca="false">R17*S17/1000</f>
        <v>2200.04073349607</v>
      </c>
      <c r="U17" s="1576" t="n">
        <f aca="false">$I17</f>
        <v>1.9375</v>
      </c>
      <c r="V17" s="394" t="n">
        <f aca="false">T17/U17</f>
        <v>1135.50489470765</v>
      </c>
      <c r="W17" s="1579" t="str">
        <f aca="false">IF(MONTH($A17)=12,SUM(V6:V17)," ")</f>
        <v> </v>
      </c>
      <c r="Y17" s="1580" t="n">
        <f aca="false">IF($A17&gt;Endyr,0,VLOOKUP($A17,Tariff_Table,Tariff!$J$33))</f>
        <v>0.17</v>
      </c>
      <c r="Z17" s="1576" t="n">
        <f aca="false">VLOOKUP($A17,Curves_Table,Escalation!$AH$291)</f>
        <v>1.13477865915154</v>
      </c>
      <c r="AA17" s="1576" t="n">
        <f aca="false">Y17*Z17</f>
        <v>0.192912372055763</v>
      </c>
      <c r="AB17" s="397" t="n">
        <f aca="false">'Plant Operations'!$I17+'Plant Operations'!$M17</f>
        <v>16640</v>
      </c>
      <c r="AC17" s="1575" t="n">
        <f aca="false">AA17*AB17/1000</f>
        <v>3.21006187100789</v>
      </c>
      <c r="AD17" s="1576" t="n">
        <f aca="false">$I17</f>
        <v>1.9375</v>
      </c>
      <c r="AE17" s="1566" t="n">
        <f aca="false">AC17/AD17</f>
        <v>1.65680612697181</v>
      </c>
      <c r="AF17" s="1567" t="str">
        <f aca="false">IF(MONTH($A17)=12,SUM(AE6:AE17)," ")</f>
        <v> </v>
      </c>
    </row>
    <row r="18" customFormat="false" ht="12.75" hidden="false" customHeight="false" outlineLevel="0" collapsed="false">
      <c r="A18" s="1538" t="n">
        <f aca="false">'Plant Operations'!A18</f>
        <v>36434</v>
      </c>
      <c r="C18" s="1574" t="n">
        <f aca="false">IF($A18&gt;Endyr,0,VLOOKUP($A18,Tariff_Table,Tariff!$D$33))</f>
        <v>9586.87619047619</v>
      </c>
      <c r="E18" s="1561" t="n">
        <f aca="false">VLOOKUP($A18,Tariff_Table,Tariff!$E$33)</f>
        <v>0.52500038334257</v>
      </c>
      <c r="F18" s="1575" t="n">
        <f aca="false">$C18*E18</f>
        <v>5033.11367505775</v>
      </c>
      <c r="G18" s="1565" t="n">
        <f aca="false">VLOOKUP($A18,Curves_Table,Escalation!$N$291)</f>
        <v>1.0374531835206</v>
      </c>
      <c r="H18" s="1575" t="n">
        <f aca="false">F18*G18</f>
        <v>5221.61980520973</v>
      </c>
      <c r="I18" s="1576" t="n">
        <f aca="false">IF(Assm!$L$74=0,VLOOKUP($A18,Curves_Table,Escalation!$D$291),VLOOKUP($A18,Curves_Table,Escalation!$E$291))</f>
        <v>1.949</v>
      </c>
      <c r="J18" s="1576" t="n">
        <f aca="false">IF($A18&lt;EE_Date,VLOOKUP($A18,Curves_Table,Escalation!$D$291),Exch)</f>
        <v>1.065</v>
      </c>
      <c r="K18" s="1577" t="n">
        <f aca="false">H18*I18/J18</f>
        <v>9555.80939000353</v>
      </c>
      <c r="M18" s="1561" t="n">
        <f aca="false">VLOOKUP($A18,Tariff_Table,Tariff!$F$33)</f>
        <v>0.474999616657431</v>
      </c>
      <c r="N18" s="1575" t="n">
        <f aca="false">$C18*M18</f>
        <v>4553.76251541844</v>
      </c>
      <c r="O18" s="1565" t="n">
        <f aca="false">VLOOKUP($A18,Curves_Table,Escalation!$R$291)</f>
        <v>1.13477865915154</v>
      </c>
      <c r="P18" s="1577" t="n">
        <f aca="false">N18*O18</f>
        <v>5167.5125213411</v>
      </c>
      <c r="R18" s="1578" t="n">
        <f aca="false">SUM(K18,P18)</f>
        <v>14723.3219113446</v>
      </c>
      <c r="S18" s="1540" t="n">
        <f aca="false">'Plant Operations'!C18</f>
        <v>150</v>
      </c>
      <c r="T18" s="1575" t="n">
        <f aca="false">R18*S18/1000</f>
        <v>2208.49828670169</v>
      </c>
      <c r="U18" s="1576" t="n">
        <f aca="false">$I18</f>
        <v>1.949</v>
      </c>
      <c r="V18" s="394" t="n">
        <f aca="false">T18/U18</f>
        <v>1133.14432360272</v>
      </c>
      <c r="W18" s="1579" t="str">
        <f aca="false">IF(MONTH($A18)=12,SUM(V7:V18)," ")</f>
        <v> </v>
      </c>
      <c r="Y18" s="1580" t="n">
        <f aca="false">IF($A18&gt;Endyr,0,VLOOKUP($A18,Tariff_Table,Tariff!$J$33))</f>
        <v>0.17</v>
      </c>
      <c r="Z18" s="1576" t="n">
        <f aca="false">VLOOKUP($A18,Curves_Table,Escalation!$AH$291)</f>
        <v>1.13477865915154</v>
      </c>
      <c r="AA18" s="1576" t="n">
        <f aca="false">Y18*Z18</f>
        <v>0.192912372055763</v>
      </c>
      <c r="AB18" s="397" t="n">
        <f aca="false">'Plant Operations'!$I18+'Plant Operations'!$M18</f>
        <v>14040</v>
      </c>
      <c r="AC18" s="1575" t="n">
        <f aca="false">AA18*AB18/1000</f>
        <v>2.70848970366291</v>
      </c>
      <c r="AD18" s="1576" t="n">
        <f aca="false">$I18</f>
        <v>1.949</v>
      </c>
      <c r="AE18" s="1566" t="n">
        <f aca="false">AC18/AD18</f>
        <v>1.38968173610206</v>
      </c>
      <c r="AF18" s="1567" t="str">
        <f aca="false">IF(MONTH($A18)=12,SUM(AE7:AE18)," ")</f>
        <v> </v>
      </c>
    </row>
    <row r="19" customFormat="false" ht="12.75" hidden="false" customHeight="false" outlineLevel="0" collapsed="false">
      <c r="A19" s="1538" t="n">
        <f aca="false">'Plant Operations'!A19</f>
        <v>36465</v>
      </c>
      <c r="C19" s="1574" t="n">
        <f aca="false">IF($A19&gt;Endyr,0,VLOOKUP($A19,Tariff_Table,Tariff!$D$33))</f>
        <v>9586.87619047619</v>
      </c>
      <c r="E19" s="1561" t="n">
        <f aca="false">VLOOKUP($A19,Tariff_Table,Tariff!$E$33)</f>
        <v>0.52500038334257</v>
      </c>
      <c r="F19" s="1575" t="n">
        <f aca="false">$C19*E19</f>
        <v>5033.11367505775</v>
      </c>
      <c r="G19" s="1565" t="n">
        <f aca="false">VLOOKUP($A19,Curves_Table,Escalation!$N$291)</f>
        <v>1.0374531835206</v>
      </c>
      <c r="H19" s="1575" t="n">
        <f aca="false">F19*G19</f>
        <v>5221.61980520973</v>
      </c>
      <c r="I19" s="1576" t="n">
        <f aca="false">IF(Assm!$L$74=0,VLOOKUP($A19,Curves_Table,Escalation!$D$291),VLOOKUP($A19,Curves_Table,Escalation!$E$291))</f>
        <v>1.923</v>
      </c>
      <c r="J19" s="1576" t="n">
        <f aca="false">IF($A19&lt;EE_Date,VLOOKUP($A19,Curves_Table,Escalation!$D$291),Exch)</f>
        <v>1.065</v>
      </c>
      <c r="K19" s="1577" t="n">
        <f aca="false">H19*I19/J19</f>
        <v>9428.33322574489</v>
      </c>
      <c r="M19" s="1561" t="n">
        <f aca="false">VLOOKUP($A19,Tariff_Table,Tariff!$F$33)</f>
        <v>0.474999616657431</v>
      </c>
      <c r="N19" s="1575" t="n">
        <f aca="false">$C19*M19</f>
        <v>4553.76251541844</v>
      </c>
      <c r="O19" s="1565" t="n">
        <f aca="false">VLOOKUP($A19,Curves_Table,Escalation!$R$291)</f>
        <v>1.13477865915154</v>
      </c>
      <c r="P19" s="1577" t="n">
        <f aca="false">N19*O19</f>
        <v>5167.5125213411</v>
      </c>
      <c r="R19" s="1578" t="n">
        <f aca="false">SUM(K19,P19)</f>
        <v>14595.845747086</v>
      </c>
      <c r="S19" s="1540" t="n">
        <f aca="false">'Plant Operations'!C19</f>
        <v>150</v>
      </c>
      <c r="T19" s="1575" t="n">
        <f aca="false">R19*S19/1000</f>
        <v>2189.3768620629</v>
      </c>
      <c r="U19" s="1576" t="n">
        <f aca="false">$I19</f>
        <v>1.923</v>
      </c>
      <c r="V19" s="394" t="n">
        <f aca="false">T19/U19</f>
        <v>1138.52150913307</v>
      </c>
      <c r="W19" s="1579" t="str">
        <f aca="false">IF(MONTH($A19)=12,SUM(V8:V19)," ")</f>
        <v> </v>
      </c>
      <c r="Y19" s="1580" t="n">
        <f aca="false">IF($A19&gt;Endyr,0,VLOOKUP($A19,Tariff_Table,Tariff!$J$33))</f>
        <v>0.17</v>
      </c>
      <c r="Z19" s="1576" t="n">
        <f aca="false">VLOOKUP($A19,Curves_Table,Escalation!$AH$291)</f>
        <v>1.13477865915154</v>
      </c>
      <c r="AA19" s="1576" t="n">
        <f aca="false">Y19*Z19</f>
        <v>0.192912372055763</v>
      </c>
      <c r="AB19" s="397" t="n">
        <f aca="false">'Plant Operations'!$I19+'Plant Operations'!$M19</f>
        <v>11700</v>
      </c>
      <c r="AC19" s="1575" t="n">
        <f aca="false">AA19*AB19/1000</f>
        <v>2.25707475305242</v>
      </c>
      <c r="AD19" s="1576" t="n">
        <f aca="false">$I19</f>
        <v>1.923</v>
      </c>
      <c r="AE19" s="1566" t="n">
        <f aca="false">AC19/AD19</f>
        <v>1.17372582062008</v>
      </c>
      <c r="AF19" s="1567" t="str">
        <f aca="false">IF(MONTH($A19)=12,SUM(AE8:AE19)," ")</f>
        <v> </v>
      </c>
    </row>
    <row r="20" customFormat="false" ht="12.75" hidden="false" customHeight="false" outlineLevel="0" collapsed="false">
      <c r="A20" s="1538" t="n">
        <f aca="false">'Plant Operations'!A20</f>
        <v>36495</v>
      </c>
      <c r="C20" s="1574" t="n">
        <f aca="false">IF($A20&gt;Endyr,0,VLOOKUP($A20,Tariff_Table,Tariff!$D$33))</f>
        <v>9586.87619047619</v>
      </c>
      <c r="E20" s="1561" t="n">
        <f aca="false">VLOOKUP($A20,Tariff_Table,Tariff!$E$33)</f>
        <v>0.52500038334257</v>
      </c>
      <c r="F20" s="1575" t="n">
        <f aca="false">$C20*E20</f>
        <v>5033.11367505775</v>
      </c>
      <c r="G20" s="1565" t="n">
        <f aca="false">VLOOKUP($A20,Curves_Table,Escalation!$N$291)</f>
        <v>1.0374531835206</v>
      </c>
      <c r="H20" s="1575" t="n">
        <f aca="false">F20*G20</f>
        <v>5221.61980520973</v>
      </c>
      <c r="I20" s="1576" t="n">
        <f aca="false">IF(Assm!$L$74=0,VLOOKUP($A20,Curves_Table,Escalation!$D$291),VLOOKUP($A20,Curves_Table,Escalation!$E$291))</f>
        <v>1.799</v>
      </c>
      <c r="J20" s="1576" t="n">
        <f aca="false">IF($A20&lt;EE_Date,VLOOKUP($A20,Curves_Table,Escalation!$D$291),Exch)</f>
        <v>1.065</v>
      </c>
      <c r="K20" s="1577" t="n">
        <f aca="false">H20*I20/J20</f>
        <v>8820.36998081906</v>
      </c>
      <c r="M20" s="1561" t="n">
        <f aca="false">VLOOKUP($A20,Tariff_Table,Tariff!$F$33)</f>
        <v>0.474999616657431</v>
      </c>
      <c r="N20" s="1575" t="n">
        <f aca="false">$C20*M20</f>
        <v>4553.76251541844</v>
      </c>
      <c r="O20" s="1565" t="n">
        <f aca="false">VLOOKUP($A20,Curves_Table,Escalation!$R$291)</f>
        <v>1.13477865915154</v>
      </c>
      <c r="P20" s="1577" t="n">
        <f aca="false">N20*O20</f>
        <v>5167.5125213411</v>
      </c>
      <c r="R20" s="1578" t="n">
        <f aca="false">SUM(K20,P20)</f>
        <v>13987.8825021602</v>
      </c>
      <c r="S20" s="1540" t="n">
        <f aca="false">'Plant Operations'!C20</f>
        <v>150</v>
      </c>
      <c r="T20" s="1575" t="n">
        <f aca="false">R20*S20/1000</f>
        <v>2098.18237532402</v>
      </c>
      <c r="U20" s="1576" t="n">
        <f aca="false">$I20</f>
        <v>1.799</v>
      </c>
      <c r="V20" s="394" t="n">
        <f aca="false">T20/U20</f>
        <v>1166.30482230352</v>
      </c>
      <c r="W20" s="1579" t="n">
        <f aca="false">IF(MONTH($A20)=12,SUM(V9:V20)," ")</f>
        <v>8934.54341627911</v>
      </c>
      <c r="Y20" s="1580" t="n">
        <f aca="false">IF($A20&gt;Endyr,0,VLOOKUP($A20,Tariff_Table,Tariff!$J$33))</f>
        <v>0.17</v>
      </c>
      <c r="Z20" s="1576" t="n">
        <f aca="false">VLOOKUP($A20,Curves_Table,Escalation!$AH$291)</f>
        <v>1.13477865915154</v>
      </c>
      <c r="AA20" s="1576" t="n">
        <f aca="false">Y20*Z20</f>
        <v>0.192912372055763</v>
      </c>
      <c r="AB20" s="397" t="n">
        <f aca="false">'Plant Operations'!$I20+'Plant Operations'!$M20</f>
        <v>9360</v>
      </c>
      <c r="AC20" s="1575" t="n">
        <f aca="false">AA20*AB20/1000</f>
        <v>1.80565980244194</v>
      </c>
      <c r="AD20" s="1576" t="n">
        <f aca="false">$I20</f>
        <v>1.799</v>
      </c>
      <c r="AE20" s="1566" t="n">
        <f aca="false">AC20/AD20</f>
        <v>1.00370194688268</v>
      </c>
      <c r="AF20" s="1567" t="n">
        <f aca="false">IF(MONTH($A20)=12,SUM(AE9:AE20)," ")</f>
        <v>11.2251173309925</v>
      </c>
    </row>
    <row r="21" customFormat="false" ht="12.75" hidden="false" customHeight="false" outlineLevel="0" collapsed="false">
      <c r="A21" s="1538" t="n">
        <f aca="false">'Plant Operations'!A21</f>
        <v>36526</v>
      </c>
      <c r="C21" s="1574" t="n">
        <f aca="false">IF($A21&gt;Endyr,0,VLOOKUP($A21,Tariff_Table,Tariff!$D$33))</f>
        <v>9586.87619047619</v>
      </c>
      <c r="E21" s="1561" t="n">
        <f aca="false">VLOOKUP($A21,Tariff_Table,Tariff!$E$33)</f>
        <v>0.52500038334257</v>
      </c>
      <c r="F21" s="1575" t="n">
        <f aca="false">$C21*E21</f>
        <v>5033.11367505775</v>
      </c>
      <c r="G21" s="1565" t="n">
        <f aca="false">VLOOKUP($A21,Curves_Table,Escalation!$N$291)</f>
        <v>1.0374531835206</v>
      </c>
      <c r="H21" s="1575" t="n">
        <f aca="false">F21*G21</f>
        <v>5221.61980520973</v>
      </c>
      <c r="I21" s="1576" t="n">
        <f aca="false">IF(Assm!$L$74=0,VLOOKUP($A21,Curves_Table,Escalation!$D$291),VLOOKUP($A21,Curves_Table,Escalation!$E$291))</f>
        <v>1.79475064868979</v>
      </c>
      <c r="J21" s="1576" t="n">
        <f aca="false">IF($A21&lt;EE_Date,VLOOKUP($A21,Curves_Table,Escalation!$D$291),Exch)</f>
        <v>1.065</v>
      </c>
      <c r="K21" s="1577" t="n">
        <f aca="false">H21*I21/J21</f>
        <v>8799.53571137241</v>
      </c>
      <c r="M21" s="1561" t="n">
        <f aca="false">VLOOKUP($A21,Tariff_Table,Tariff!$F$33)</f>
        <v>0.474999616657431</v>
      </c>
      <c r="N21" s="1575" t="n">
        <f aca="false">$C21*M21</f>
        <v>4553.76251541844</v>
      </c>
      <c r="O21" s="1565" t="n">
        <f aca="false">VLOOKUP($A21,Curves_Table,Escalation!$R$291)</f>
        <v>1.13477865915154</v>
      </c>
      <c r="P21" s="1577" t="n">
        <f aca="false">N21*O21</f>
        <v>5167.5125213411</v>
      </c>
      <c r="R21" s="1578" t="n">
        <f aca="false">SUM(K21,P21)</f>
        <v>13967.0482327135</v>
      </c>
      <c r="S21" s="1540" t="n">
        <f aca="false">'Plant Operations'!C21</f>
        <v>150</v>
      </c>
      <c r="T21" s="1575" t="n">
        <f aca="false">R21*S21/1000</f>
        <v>2095.05723490703</v>
      </c>
      <c r="U21" s="1576" t="n">
        <f aca="false">$I21</f>
        <v>1.79475064868979</v>
      </c>
      <c r="V21" s="394" t="n">
        <f aca="false">T21/U21</f>
        <v>1167.32496318442</v>
      </c>
      <c r="W21" s="1579" t="str">
        <f aca="false">IF(MONTH($A21)=12,SUM(V10:V21)," ")</f>
        <v> </v>
      </c>
      <c r="Y21" s="1580" t="n">
        <f aca="false">IF($A21&gt;Endyr,0,VLOOKUP($A21,Tariff_Table,Tariff!$J$33))</f>
        <v>0.17</v>
      </c>
      <c r="Z21" s="1576" t="n">
        <f aca="false">VLOOKUP($A21,Curves_Table,Escalation!$AH$291)</f>
        <v>1.13477865915154</v>
      </c>
      <c r="AA21" s="1576" t="n">
        <f aca="false">Y21*Z21</f>
        <v>0.192912372055763</v>
      </c>
      <c r="AB21" s="397" t="n">
        <f aca="false">'Plant Operations'!$I21+'Plant Operations'!$M21</f>
        <v>9360</v>
      </c>
      <c r="AC21" s="1575" t="n">
        <f aca="false">AA21*AB21/1000</f>
        <v>1.80565980244194</v>
      </c>
      <c r="AD21" s="1576" t="n">
        <f aca="false">$I21</f>
        <v>1.79475064868979</v>
      </c>
      <c r="AE21" s="1566" t="n">
        <f aca="false">AC21/AD21</f>
        <v>1.00607836735432</v>
      </c>
      <c r="AF21" s="1567" t="str">
        <f aca="false">IF(MONTH($A21)=12,SUM(AE10:AE21)," ")</f>
        <v> </v>
      </c>
    </row>
    <row r="22" customFormat="false" ht="12.75" hidden="false" customHeight="false" outlineLevel="0" collapsed="false">
      <c r="A22" s="1538" t="n">
        <f aca="false">'Plant Operations'!A22</f>
        <v>36557</v>
      </c>
      <c r="C22" s="1574" t="n">
        <f aca="false">IF($A22&gt;Endyr,0,VLOOKUP($A22,Tariff_Table,Tariff!$D$33))</f>
        <v>9586.87619047619</v>
      </c>
      <c r="E22" s="1561" t="n">
        <f aca="false">VLOOKUP($A22,Tariff_Table,Tariff!$E$33)</f>
        <v>0.52500038334257</v>
      </c>
      <c r="F22" s="1575" t="n">
        <f aca="false">$C22*E22</f>
        <v>5033.11367505775</v>
      </c>
      <c r="G22" s="1565" t="n">
        <f aca="false">VLOOKUP($A22,Curves_Table,Escalation!$N$291)</f>
        <v>1.0374531835206</v>
      </c>
      <c r="H22" s="1575" t="n">
        <f aca="false">F22*G22</f>
        <v>5221.61980520973</v>
      </c>
      <c r="I22" s="1576" t="n">
        <f aca="false">IF(Assm!$L$74=0,VLOOKUP($A22,Curves_Table,Escalation!$D$291),VLOOKUP($A22,Curves_Table,Escalation!$E$291))</f>
        <v>1.79051133461502</v>
      </c>
      <c r="J22" s="1576" t="n">
        <f aca="false">IF($A22&lt;EE_Date,VLOOKUP($A22,Curves_Table,Escalation!$D$291),Exch)</f>
        <v>1.065</v>
      </c>
      <c r="K22" s="1577" t="n">
        <f aca="false">H22*I22/J22</f>
        <v>8778.75065378243</v>
      </c>
      <c r="M22" s="1561" t="n">
        <f aca="false">VLOOKUP($A22,Tariff_Table,Tariff!$F$33)</f>
        <v>0.474999616657431</v>
      </c>
      <c r="N22" s="1575" t="n">
        <f aca="false">$C22*M22</f>
        <v>4553.76251541844</v>
      </c>
      <c r="O22" s="1565" t="n">
        <f aca="false">VLOOKUP($A22,Curves_Table,Escalation!$R$291)</f>
        <v>1.13477865915154</v>
      </c>
      <c r="P22" s="1577" t="n">
        <f aca="false">N22*O22</f>
        <v>5167.5125213411</v>
      </c>
      <c r="R22" s="1578" t="n">
        <f aca="false">SUM(K22,P22)</f>
        <v>13946.2631751235</v>
      </c>
      <c r="S22" s="1540" t="n">
        <f aca="false">'Plant Operations'!C22</f>
        <v>150</v>
      </c>
      <c r="T22" s="1575" t="n">
        <f aca="false">R22*S22/1000</f>
        <v>2091.93947626853</v>
      </c>
      <c r="U22" s="1576" t="n">
        <f aca="false">$I22</f>
        <v>1.79051133461502</v>
      </c>
      <c r="V22" s="394" t="n">
        <f aca="false">T22/U22</f>
        <v>1168.34751940753</v>
      </c>
      <c r="W22" s="1579" t="str">
        <f aca="false">IF(MONTH($A22)=12,SUM(V11:V22)," ")</f>
        <v> </v>
      </c>
      <c r="Y22" s="1580" t="n">
        <f aca="false">IF($A22&gt;Endyr,0,VLOOKUP($A22,Tariff_Table,Tariff!$J$33))</f>
        <v>0.17</v>
      </c>
      <c r="Z22" s="1576" t="n">
        <f aca="false">VLOOKUP($A22,Curves_Table,Escalation!$AH$291)</f>
        <v>1.13477865915154</v>
      </c>
      <c r="AA22" s="1576" t="n">
        <f aca="false">Y22*Z22</f>
        <v>0.192912372055763</v>
      </c>
      <c r="AB22" s="397" t="n">
        <f aca="false">'Plant Operations'!$I22+'Plant Operations'!$M22</f>
        <v>9360</v>
      </c>
      <c r="AC22" s="1575" t="n">
        <f aca="false">AA22*AB22/1000</f>
        <v>1.80565980244194</v>
      </c>
      <c r="AD22" s="1576" t="n">
        <f aca="false">$I22</f>
        <v>1.79051133461502</v>
      </c>
      <c r="AE22" s="1566" t="n">
        <f aca="false">AC22/AD22</f>
        <v>1.00846041437106</v>
      </c>
      <c r="AF22" s="1567" t="str">
        <f aca="false">IF(MONTH($A22)=12,SUM(AE11:AE22)," ")</f>
        <v> </v>
      </c>
    </row>
    <row r="23" customFormat="false" ht="12.75" hidden="false" customHeight="false" outlineLevel="0" collapsed="false">
      <c r="A23" s="1538" t="n">
        <f aca="false">'Plant Operations'!A23</f>
        <v>36586</v>
      </c>
      <c r="C23" s="1574" t="n">
        <f aca="false">IF($A23&gt;Endyr,0,VLOOKUP($A23,Tariff_Table,Tariff!$D$33))</f>
        <v>9586.87619047619</v>
      </c>
      <c r="E23" s="1561" t="n">
        <f aca="false">VLOOKUP($A23,Tariff_Table,Tariff!$E$33)</f>
        <v>0.52500038334257</v>
      </c>
      <c r="F23" s="1575" t="n">
        <f aca="false">$C23*E23</f>
        <v>5033.11367505775</v>
      </c>
      <c r="G23" s="1565" t="n">
        <f aca="false">VLOOKUP($A23,Curves_Table,Escalation!$N$291)</f>
        <v>1.0374531835206</v>
      </c>
      <c r="H23" s="1575" t="n">
        <f aca="false">F23*G23</f>
        <v>5221.61980520973</v>
      </c>
      <c r="I23" s="1576" t="n">
        <f aca="false">IF(Assm!$L$74=0,VLOOKUP($A23,Curves_Table,Escalation!$D$291),VLOOKUP($A23,Curves_Table,Escalation!$E$291))</f>
        <v>1.78628203406711</v>
      </c>
      <c r="J23" s="1576" t="n">
        <f aca="false">IF($A23&lt;EE_Date,VLOOKUP($A23,Curves_Table,Escalation!$D$291),Exch)</f>
        <v>1.065</v>
      </c>
      <c r="K23" s="1577" t="n">
        <f aca="false">H23*I23/J23</f>
        <v>8758.01469180764</v>
      </c>
      <c r="M23" s="1561" t="n">
        <f aca="false">VLOOKUP($A23,Tariff_Table,Tariff!$F$33)</f>
        <v>0.474999616657431</v>
      </c>
      <c r="N23" s="1575" t="n">
        <f aca="false">$C23*M23</f>
        <v>4553.76251541844</v>
      </c>
      <c r="O23" s="1565" t="n">
        <f aca="false">VLOOKUP($A23,Curves_Table,Escalation!$R$291)</f>
        <v>1.13477865915154</v>
      </c>
      <c r="P23" s="1577" t="n">
        <f aca="false">N23*O23</f>
        <v>5167.5125213411</v>
      </c>
      <c r="R23" s="1578" t="n">
        <f aca="false">SUM(K23,P23)</f>
        <v>13925.5272131487</v>
      </c>
      <c r="S23" s="1540" t="n">
        <f aca="false">'Plant Operations'!C23</f>
        <v>150</v>
      </c>
      <c r="T23" s="1575" t="n">
        <f aca="false">R23*S23/1000</f>
        <v>2088.82908197231</v>
      </c>
      <c r="U23" s="1576" t="n">
        <f aca="false">$I23</f>
        <v>1.78628203406711</v>
      </c>
      <c r="V23" s="394" t="n">
        <f aca="false">T23/U23</f>
        <v>1169.37249669155</v>
      </c>
      <c r="W23" s="1579" t="str">
        <f aca="false">IF(MONTH($A23)=12,SUM(V12:V23)," ")</f>
        <v> </v>
      </c>
      <c r="Y23" s="1580" t="n">
        <f aca="false">IF($A23&gt;Endyr,0,VLOOKUP($A23,Tariff_Table,Tariff!$J$33))</f>
        <v>0.17</v>
      </c>
      <c r="Z23" s="1576" t="n">
        <f aca="false">VLOOKUP($A23,Curves_Table,Escalation!$AH$291)</f>
        <v>1.13477865915154</v>
      </c>
      <c r="AA23" s="1576" t="n">
        <f aca="false">Y23*Z23</f>
        <v>0.192912372055763</v>
      </c>
      <c r="AB23" s="397" t="n">
        <f aca="false">'Plant Operations'!$I23+'Plant Operations'!$M23</f>
        <v>9360</v>
      </c>
      <c r="AC23" s="1575" t="n">
        <f aca="false">AA23*AB23/1000</f>
        <v>1.80565980244194</v>
      </c>
      <c r="AD23" s="1576" t="n">
        <f aca="false">$I23</f>
        <v>1.78628203406711</v>
      </c>
      <c r="AE23" s="1566" t="n">
        <f aca="false">AC23/AD23</f>
        <v>1.0108481012546</v>
      </c>
      <c r="AF23" s="1567" t="str">
        <f aca="false">IF(MONTH($A23)=12,SUM(AE12:AE23)," ")</f>
        <v> </v>
      </c>
    </row>
    <row r="24" customFormat="false" ht="12.75" hidden="false" customHeight="false" outlineLevel="0" collapsed="false">
      <c r="A24" s="1538" t="n">
        <f aca="false">'Plant Operations'!A24</f>
        <v>36617</v>
      </c>
      <c r="C24" s="1574" t="n">
        <f aca="false">IF($A24&gt;Endyr,0,VLOOKUP($A24,Tariff_Table,Tariff!$D$33))</f>
        <v>9586.87619047619</v>
      </c>
      <c r="E24" s="1561" t="n">
        <f aca="false">VLOOKUP($A24,Tariff_Table,Tariff!$E$33)</f>
        <v>0.52500038334257</v>
      </c>
      <c r="F24" s="1575" t="n">
        <f aca="false">$C24*E24</f>
        <v>5033.11367505775</v>
      </c>
      <c r="G24" s="1565" t="n">
        <f aca="false">VLOOKUP($A24,Curves_Table,Escalation!$N$291)</f>
        <v>1.0374531835206</v>
      </c>
      <c r="H24" s="1575" t="n">
        <f aca="false">F24*G24</f>
        <v>5221.61980520973</v>
      </c>
      <c r="I24" s="1576" t="n">
        <f aca="false">IF(Assm!$L$74=0,VLOOKUP($A24,Curves_Table,Escalation!$D$291),VLOOKUP($A24,Curves_Table,Escalation!$E$291))</f>
        <v>1.78206272339347</v>
      </c>
      <c r="J24" s="1576" t="n">
        <f aca="false">IF($A24&lt;EE_Date,VLOOKUP($A24,Curves_Table,Escalation!$D$291),Exch)</f>
        <v>1.065</v>
      </c>
      <c r="K24" s="1577" t="n">
        <f aca="false">H24*I24/J24</f>
        <v>8737.32770948108</v>
      </c>
      <c r="M24" s="1561" t="n">
        <f aca="false">VLOOKUP($A24,Tariff_Table,Tariff!$F$33)</f>
        <v>0.474999616657431</v>
      </c>
      <c r="N24" s="1575" t="n">
        <f aca="false">$C24*M24</f>
        <v>4553.76251541844</v>
      </c>
      <c r="O24" s="1565" t="n">
        <f aca="false">VLOOKUP($A24,Curves_Table,Escalation!$R$291)</f>
        <v>1.13477865915154</v>
      </c>
      <c r="P24" s="1577" t="n">
        <f aca="false">N24*O24</f>
        <v>5167.5125213411</v>
      </c>
      <c r="R24" s="1578" t="n">
        <f aca="false">SUM(K24,P24)</f>
        <v>13904.8402308222</v>
      </c>
      <c r="S24" s="1540" t="n">
        <f aca="false">'Plant Operations'!C24</f>
        <v>150</v>
      </c>
      <c r="T24" s="1575" t="n">
        <f aca="false">R24*S24/1000</f>
        <v>2085.72603462333</v>
      </c>
      <c r="U24" s="1576" t="n">
        <f aca="false">$I24</f>
        <v>1.78206272339347</v>
      </c>
      <c r="V24" s="394" t="n">
        <f aca="false">T24/U24</f>
        <v>1170.3999007687</v>
      </c>
      <c r="W24" s="1579" t="str">
        <f aca="false">IF(MONTH($A24)=12,SUM(V13:V24)," ")</f>
        <v> </v>
      </c>
      <c r="Y24" s="1580" t="n">
        <f aca="false">IF($A24&gt;Endyr,0,VLOOKUP($A24,Tariff_Table,Tariff!$J$33))</f>
        <v>0.17</v>
      </c>
      <c r="Z24" s="1576" t="n">
        <f aca="false">VLOOKUP($A24,Curves_Table,Escalation!$AH$291)</f>
        <v>1.13477865915154</v>
      </c>
      <c r="AA24" s="1576" t="n">
        <f aca="false">Y24*Z24</f>
        <v>0.192912372055763</v>
      </c>
      <c r="AB24" s="397" t="n">
        <f aca="false">'Plant Operations'!$I24+'Plant Operations'!$M24</f>
        <v>9360</v>
      </c>
      <c r="AC24" s="1575" t="n">
        <f aca="false">AA24*AB24/1000</f>
        <v>1.80565980244194</v>
      </c>
      <c r="AD24" s="1576" t="n">
        <f aca="false">$I24</f>
        <v>1.78206272339347</v>
      </c>
      <c r="AE24" s="1566" t="n">
        <f aca="false">AC24/AD24</f>
        <v>1.01324144135821</v>
      </c>
      <c r="AF24" s="1567" t="str">
        <f aca="false">IF(MONTH($A24)=12,SUM(AE13:AE24)," ")</f>
        <v> </v>
      </c>
    </row>
    <row r="25" customFormat="false" ht="12.75" hidden="false" customHeight="false" outlineLevel="0" collapsed="false">
      <c r="A25" s="1538" t="n">
        <f aca="false">'Plant Operations'!A25</f>
        <v>36647</v>
      </c>
      <c r="C25" s="1574" t="n">
        <f aca="false">IF($A25&gt;Endyr,0,VLOOKUP($A25,Tariff_Table,Tariff!$D$33))</f>
        <v>9586.87619047619</v>
      </c>
      <c r="E25" s="1561" t="n">
        <f aca="false">VLOOKUP($A25,Tariff_Table,Tariff!$E$33)</f>
        <v>0.52500038334257</v>
      </c>
      <c r="F25" s="1575" t="n">
        <f aca="false">$C25*E25</f>
        <v>5033.11367505775</v>
      </c>
      <c r="G25" s="1565" t="n">
        <f aca="false">VLOOKUP($A25,Curves_Table,Escalation!$N$291)</f>
        <v>1.06207999503397</v>
      </c>
      <c r="H25" s="1575" t="n">
        <f aca="false">F25*G25</f>
        <v>5345.56934701073</v>
      </c>
      <c r="I25" s="1576" t="n">
        <f aca="false">IF(Assm!$L$74=0,VLOOKUP($A25,Curves_Table,Escalation!$D$291),VLOOKUP($A25,Curves_Table,Escalation!$E$291))</f>
        <v>1.7778533789974</v>
      </c>
      <c r="J25" s="1576" t="n">
        <f aca="false">IF($A25&lt;EE_Date,VLOOKUP($A25,Curves_Table,Escalation!$D$291),Exch)</f>
        <v>1.065</v>
      </c>
      <c r="K25" s="1577" t="n">
        <f aca="false">H25*I25/J25</f>
        <v>8923.60424999811</v>
      </c>
      <c r="M25" s="1561" t="n">
        <f aca="false">VLOOKUP($A25,Tariff_Table,Tariff!$F$33)</f>
        <v>0.474999616657431</v>
      </c>
      <c r="N25" s="1575" t="n">
        <f aca="false">$C25*M25</f>
        <v>4553.76251541844</v>
      </c>
      <c r="O25" s="1565" t="n">
        <f aca="false">VLOOKUP($A25,Curves_Table,Escalation!$R$291)</f>
        <v>1.30150483683391</v>
      </c>
      <c r="P25" s="1577" t="n">
        <f aca="false">N25*O25</f>
        <v>5926.74393961006</v>
      </c>
      <c r="R25" s="1578" t="n">
        <f aca="false">SUM(K25,P25)</f>
        <v>14850.3481896082</v>
      </c>
      <c r="S25" s="1540" t="n">
        <f aca="false">'Plant Operations'!C25</f>
        <v>150</v>
      </c>
      <c r="T25" s="1575" t="n">
        <f aca="false">R25*S25/1000</f>
        <v>2227.55222844123</v>
      </c>
      <c r="U25" s="1576" t="n">
        <f aca="false">$I25</f>
        <v>1.7778533789974</v>
      </c>
      <c r="V25" s="394" t="n">
        <f aca="false">T25/U25</f>
        <v>1252.94484615904</v>
      </c>
      <c r="W25" s="1579" t="str">
        <f aca="false">IF(MONTH($A25)=12,SUM(V14:V25)," ")</f>
        <v> </v>
      </c>
      <c r="Y25" s="1580" t="n">
        <f aca="false">IF($A25&gt;Endyr,0,VLOOKUP($A25,Tariff_Table,Tariff!$J$33))</f>
        <v>0.17</v>
      </c>
      <c r="Z25" s="1576" t="n">
        <f aca="false">VLOOKUP($A25,Curves_Table,Escalation!$AH$291)</f>
        <v>1.30150483683391</v>
      </c>
      <c r="AA25" s="1576" t="n">
        <f aca="false">Y25*Z25</f>
        <v>0.221255822261765</v>
      </c>
      <c r="AB25" s="397" t="n">
        <f aca="false">'Plant Operations'!$I25+'Plant Operations'!$M25</f>
        <v>9360</v>
      </c>
      <c r="AC25" s="1575" t="n">
        <f aca="false">AA25*AB25/1000</f>
        <v>2.07095449637012</v>
      </c>
      <c r="AD25" s="1576" t="n">
        <f aca="false">$I25</f>
        <v>1.7778533789974</v>
      </c>
      <c r="AE25" s="1566" t="n">
        <f aca="false">AC25/AD25</f>
        <v>1.16486236763687</v>
      </c>
      <c r="AF25" s="1567" t="str">
        <f aca="false">IF(MONTH($A25)=12,SUM(AE14:AE25)," ")</f>
        <v> </v>
      </c>
    </row>
    <row r="26" customFormat="false" ht="12.75" hidden="false" customHeight="false" outlineLevel="0" collapsed="false">
      <c r="A26" s="1538" t="n">
        <f aca="false">'Plant Operations'!A26</f>
        <v>36678</v>
      </c>
      <c r="C26" s="1574" t="n">
        <f aca="false">IF($A26&gt;Endyr,0,VLOOKUP($A26,Tariff_Table,Tariff!$D$33))</f>
        <v>9586.87619047619</v>
      </c>
      <c r="E26" s="1561" t="n">
        <f aca="false">VLOOKUP($A26,Tariff_Table,Tariff!$E$33)</f>
        <v>0.52500038334257</v>
      </c>
      <c r="F26" s="1575" t="n">
        <f aca="false">$C26*E26</f>
        <v>5033.11367505775</v>
      </c>
      <c r="G26" s="1565" t="n">
        <f aca="false">VLOOKUP($A26,Curves_Table,Escalation!$N$291)</f>
        <v>1.06207999503397</v>
      </c>
      <c r="H26" s="1575" t="n">
        <f aca="false">F26*G26</f>
        <v>5345.56934701073</v>
      </c>
      <c r="I26" s="1576" t="n">
        <f aca="false">IF(Assm!$L$74=0,VLOOKUP($A26,Curves_Table,Escalation!$D$291),VLOOKUP($A26,Curves_Table,Escalation!$E$291))</f>
        <v>1.77365397733792</v>
      </c>
      <c r="J26" s="1576" t="n">
        <f aca="false">IF($A26&lt;EE_Date,VLOOKUP($A26,Curves_Table,Escalation!$D$291),Exch)</f>
        <v>1.065</v>
      </c>
      <c r="K26" s="1577" t="n">
        <f aca="false">H26*I26/J26</f>
        <v>8902.52613470543</v>
      </c>
      <c r="M26" s="1561" t="n">
        <f aca="false">VLOOKUP($A26,Tariff_Table,Tariff!$F$33)</f>
        <v>0.474999616657431</v>
      </c>
      <c r="N26" s="1575" t="n">
        <f aca="false">$C26*M26</f>
        <v>4553.76251541844</v>
      </c>
      <c r="O26" s="1565" t="n">
        <f aca="false">VLOOKUP($A26,Curves_Table,Escalation!$R$291)</f>
        <v>1.30150483683391</v>
      </c>
      <c r="P26" s="1577" t="n">
        <f aca="false">N26*O26</f>
        <v>5926.74393961006</v>
      </c>
      <c r="R26" s="1578" t="n">
        <f aca="false">SUM(K26,P26)</f>
        <v>14829.2700743155</v>
      </c>
      <c r="S26" s="1540" t="n">
        <f aca="false">'Plant Operations'!C26</f>
        <v>150</v>
      </c>
      <c r="T26" s="1575" t="n">
        <f aca="false">R26*S26/1000</f>
        <v>2224.39051114732</v>
      </c>
      <c r="U26" s="1576" t="n">
        <f aca="false">$I26</f>
        <v>1.77365397733792</v>
      </c>
      <c r="V26" s="394" t="n">
        <f aca="false">T26/U26</f>
        <v>1254.12878699481</v>
      </c>
      <c r="W26" s="1579" t="str">
        <f aca="false">IF(MONTH($A26)=12,SUM(V15:V26)," ")</f>
        <v> </v>
      </c>
      <c r="Y26" s="1580" t="n">
        <f aca="false">IF($A26&gt;Endyr,0,VLOOKUP($A26,Tariff_Table,Tariff!$J$33))</f>
        <v>0.17</v>
      </c>
      <c r="Z26" s="1576" t="n">
        <f aca="false">VLOOKUP($A26,Curves_Table,Escalation!$AH$291)</f>
        <v>1.30150483683391</v>
      </c>
      <c r="AA26" s="1576" t="n">
        <f aca="false">Y26*Z26</f>
        <v>0.221255822261765</v>
      </c>
      <c r="AB26" s="397" t="n">
        <f aca="false">'Plant Operations'!$I26+'Plant Operations'!$M26</f>
        <v>90417.6</v>
      </c>
      <c r="AC26" s="1575" t="n">
        <f aca="false">AA26*AB26/1000</f>
        <v>20.0054204349354</v>
      </c>
      <c r="AD26" s="1576" t="n">
        <f aca="false">$I26</f>
        <v>1.77365397733792</v>
      </c>
      <c r="AE26" s="1566" t="n">
        <f aca="false">AC26/AD26</f>
        <v>11.2792126821498</v>
      </c>
      <c r="AF26" s="1567" t="str">
        <f aca="false">IF(MONTH($A26)=12,SUM(AE15:AE26)," ")</f>
        <v> </v>
      </c>
    </row>
    <row r="27" customFormat="false" ht="12.75" hidden="false" customHeight="false" outlineLevel="0" collapsed="false">
      <c r="A27" s="1538" t="n">
        <f aca="false">'Plant Operations'!A27</f>
        <v>36708</v>
      </c>
      <c r="C27" s="1574" t="n">
        <f aca="false">IF($A27&gt;Endyr,0,VLOOKUP($A27,Tariff_Table,Tariff!$D$33))</f>
        <v>9586.87619047619</v>
      </c>
      <c r="E27" s="1561" t="n">
        <f aca="false">VLOOKUP($A27,Tariff_Table,Tariff!$E$33)</f>
        <v>0.52500038334257</v>
      </c>
      <c r="F27" s="1575" t="n">
        <f aca="false">$C27*E27</f>
        <v>5033.11367505775</v>
      </c>
      <c r="G27" s="1565" t="n">
        <f aca="false">VLOOKUP($A27,Curves_Table,Escalation!$N$291)</f>
        <v>1.06207999503397</v>
      </c>
      <c r="H27" s="1575" t="n">
        <f aca="false">F27*G27</f>
        <v>5345.56934701073</v>
      </c>
      <c r="I27" s="1576" t="n">
        <f aca="false">IF(Assm!$L$74=0,VLOOKUP($A27,Curves_Table,Escalation!$D$291),VLOOKUP($A27,Curves_Table,Escalation!$E$291))</f>
        <v>1.76946449492966</v>
      </c>
      <c r="J27" s="1576" t="n">
        <f aca="false">IF($A27&lt;EE_Date,VLOOKUP($A27,Curves_Table,Escalation!$D$291),Exch)</f>
        <v>1.065</v>
      </c>
      <c r="K27" s="1577" t="n">
        <f aca="false">H27*I27/J27</f>
        <v>8881.49780724868</v>
      </c>
      <c r="M27" s="1561" t="n">
        <f aca="false">VLOOKUP($A27,Tariff_Table,Tariff!$F$33)</f>
        <v>0.474999616657431</v>
      </c>
      <c r="N27" s="1575" t="n">
        <f aca="false">$C27*M27</f>
        <v>4553.76251541844</v>
      </c>
      <c r="O27" s="1565" t="n">
        <f aca="false">VLOOKUP($A27,Curves_Table,Escalation!$R$291)</f>
        <v>1.30150483683391</v>
      </c>
      <c r="P27" s="1577" t="n">
        <f aca="false">N27*O27</f>
        <v>5926.74393961006</v>
      </c>
      <c r="R27" s="1578" t="n">
        <f aca="false">SUM(K27,P27)</f>
        <v>14808.2417468587</v>
      </c>
      <c r="S27" s="1540" t="n">
        <f aca="false">'Plant Operations'!C27</f>
        <v>150</v>
      </c>
      <c r="T27" s="1575" t="n">
        <f aca="false">R27*S27/1000</f>
        <v>2221.23626202881</v>
      </c>
      <c r="U27" s="1576" t="n">
        <f aca="false">$I27</f>
        <v>1.76946449492966</v>
      </c>
      <c r="V27" s="394" t="n">
        <f aca="false">T27/U27</f>
        <v>1255.31553099465</v>
      </c>
      <c r="W27" s="1579" t="str">
        <f aca="false">IF(MONTH($A27)=12,SUM(V16:V27)," ")</f>
        <v> </v>
      </c>
      <c r="Y27" s="1580" t="n">
        <f aca="false">IF($A27&gt;Endyr,0,VLOOKUP($A27,Tariff_Table,Tariff!$J$33))</f>
        <v>0.17</v>
      </c>
      <c r="Z27" s="1576" t="n">
        <f aca="false">VLOOKUP($A27,Curves_Table,Escalation!$AH$291)</f>
        <v>1.30150483683391</v>
      </c>
      <c r="AA27" s="1576" t="n">
        <f aca="false">Y27*Z27</f>
        <v>0.221255822261765</v>
      </c>
      <c r="AB27" s="397" t="n">
        <f aca="false">'Plant Operations'!$I27+'Plant Operations'!$M27</f>
        <v>93431.52</v>
      </c>
      <c r="AC27" s="1575" t="n">
        <f aca="false">AA27*AB27/1000</f>
        <v>20.6722677827666</v>
      </c>
      <c r="AD27" s="1576" t="n">
        <f aca="false">$I27</f>
        <v>1.76946449492966</v>
      </c>
      <c r="AE27" s="1566" t="n">
        <f aca="false">AC27/AD27</f>
        <v>11.6827819049222</v>
      </c>
      <c r="AF27" s="1567" t="str">
        <f aca="false">IF(MONTH($A27)=12,SUM(AE16:AE27)," ")</f>
        <v> </v>
      </c>
    </row>
    <row r="28" customFormat="false" ht="12.75" hidden="false" customHeight="false" outlineLevel="0" collapsed="false">
      <c r="A28" s="1538" t="n">
        <f aca="false">'Plant Operations'!A28</f>
        <v>36739</v>
      </c>
      <c r="C28" s="1574" t="n">
        <f aca="false">IF($A28&gt;Endyr,0,VLOOKUP($A28,Tariff_Table,Tariff!$D$33))</f>
        <v>9586.87619047619</v>
      </c>
      <c r="E28" s="1561" t="n">
        <f aca="false">VLOOKUP($A28,Tariff_Table,Tariff!$E$33)</f>
        <v>0.52500038334257</v>
      </c>
      <c r="F28" s="1575" t="n">
        <f aca="false">$C28*E28</f>
        <v>5033.11367505775</v>
      </c>
      <c r="G28" s="1565" t="n">
        <f aca="false">VLOOKUP($A28,Curves_Table,Escalation!$N$291)</f>
        <v>1.06207999503397</v>
      </c>
      <c r="H28" s="1575" t="n">
        <f aca="false">F28*G28</f>
        <v>5345.56934701073</v>
      </c>
      <c r="I28" s="1576" t="n">
        <f aca="false">IF(Assm!$L$74=0,VLOOKUP($A28,Curves_Table,Escalation!$D$291),VLOOKUP($A28,Curves_Table,Escalation!$E$291))</f>
        <v>1.76528490834273</v>
      </c>
      <c r="J28" s="1576" t="n">
        <f aca="false">IF($A28&lt;EE_Date,VLOOKUP($A28,Curves_Table,Escalation!$D$291),Exch)</f>
        <v>1.065</v>
      </c>
      <c r="K28" s="1577" t="n">
        <f aca="false">H28*I28/J28</f>
        <v>8860.51915002585</v>
      </c>
      <c r="M28" s="1561" t="n">
        <f aca="false">VLOOKUP($A28,Tariff_Table,Tariff!$F$33)</f>
        <v>0.474999616657431</v>
      </c>
      <c r="N28" s="1575" t="n">
        <f aca="false">$C28*M28</f>
        <v>4553.76251541844</v>
      </c>
      <c r="O28" s="1565" t="n">
        <f aca="false">VLOOKUP($A28,Curves_Table,Escalation!$R$291)</f>
        <v>1.30150483683391</v>
      </c>
      <c r="P28" s="1577" t="n">
        <f aca="false">N28*O28</f>
        <v>5926.74393961006</v>
      </c>
      <c r="R28" s="1578" t="n">
        <f aca="false">SUM(K28,P28)</f>
        <v>14787.2630896359</v>
      </c>
      <c r="S28" s="1540" t="n">
        <f aca="false">'Plant Operations'!C28</f>
        <v>150</v>
      </c>
      <c r="T28" s="1575" t="n">
        <f aca="false">R28*S28/1000</f>
        <v>2218.08946344539</v>
      </c>
      <c r="U28" s="1576" t="n">
        <f aca="false">$I28</f>
        <v>1.76528490834273</v>
      </c>
      <c r="V28" s="394" t="n">
        <f aca="false">T28/U28</f>
        <v>1256.5050847955</v>
      </c>
      <c r="W28" s="1579" t="str">
        <f aca="false">IF(MONTH($A28)=12,SUM(V17:V28)," ")</f>
        <v> </v>
      </c>
      <c r="Y28" s="1580" t="n">
        <f aca="false">IF($A28&gt;Endyr,0,VLOOKUP($A28,Tariff_Table,Tariff!$J$33))</f>
        <v>0.17</v>
      </c>
      <c r="Z28" s="1576" t="n">
        <f aca="false">VLOOKUP($A28,Curves_Table,Escalation!$AH$291)</f>
        <v>1.30150483683391</v>
      </c>
      <c r="AA28" s="1576" t="n">
        <f aca="false">Y28*Z28</f>
        <v>0.221255822261765</v>
      </c>
      <c r="AB28" s="397" t="n">
        <f aca="false">'Plant Operations'!$I28+'Plant Operations'!$M28</f>
        <v>93431.52</v>
      </c>
      <c r="AC28" s="1575" t="n">
        <f aca="false">AA28*AB28/1000</f>
        <v>20.6722677827666</v>
      </c>
      <c r="AD28" s="1576" t="n">
        <f aca="false">$I28</f>
        <v>1.76528490834273</v>
      </c>
      <c r="AE28" s="1566" t="n">
        <f aca="false">AC28/AD28</f>
        <v>11.7104427081824</v>
      </c>
      <c r="AF28" s="1567" t="str">
        <f aca="false">IF(MONTH($A28)=12,SUM(AE17:AE28)," ")</f>
        <v> </v>
      </c>
    </row>
    <row r="29" customFormat="false" ht="12.75" hidden="false" customHeight="false" outlineLevel="0" collapsed="false">
      <c r="A29" s="1538" t="n">
        <f aca="false">'Plant Operations'!A29</f>
        <v>36770</v>
      </c>
      <c r="C29" s="1574" t="n">
        <f aca="false">IF($A29&gt;Endyr,0,VLOOKUP($A29,Tariff_Table,Tariff!$D$33))</f>
        <v>9586.87619047619</v>
      </c>
      <c r="E29" s="1561" t="n">
        <f aca="false">VLOOKUP($A29,Tariff_Table,Tariff!$E$33)</f>
        <v>0.52500038334257</v>
      </c>
      <c r="F29" s="1575" t="n">
        <f aca="false">$C29*E29</f>
        <v>5033.11367505775</v>
      </c>
      <c r="G29" s="1565" t="n">
        <f aca="false">VLOOKUP($A29,Curves_Table,Escalation!$N$291)</f>
        <v>1.06207999503397</v>
      </c>
      <c r="H29" s="1575" t="n">
        <f aca="false">F29*G29</f>
        <v>5345.56934701073</v>
      </c>
      <c r="I29" s="1576" t="n">
        <f aca="false">IF(Assm!$L$74=0,VLOOKUP($A29,Curves_Table,Escalation!$D$291),VLOOKUP($A29,Curves_Table,Escalation!$E$291))</f>
        <v>1.76111519420256</v>
      </c>
      <c r="J29" s="1576" t="n">
        <f aca="false">IF($A29&lt;EE_Date,VLOOKUP($A29,Curves_Table,Escalation!$D$291),Exch)</f>
        <v>1.065</v>
      </c>
      <c r="K29" s="1577" t="n">
        <f aca="false">H29*I29/J29</f>
        <v>8839.59004571273</v>
      </c>
      <c r="M29" s="1561" t="n">
        <f aca="false">VLOOKUP($A29,Tariff_Table,Tariff!$F$33)</f>
        <v>0.474999616657431</v>
      </c>
      <c r="N29" s="1575" t="n">
        <f aca="false">$C29*M29</f>
        <v>4553.76251541844</v>
      </c>
      <c r="O29" s="1565" t="n">
        <f aca="false">VLOOKUP($A29,Curves_Table,Escalation!$R$291)</f>
        <v>1.30150483683391</v>
      </c>
      <c r="P29" s="1577" t="n">
        <f aca="false">N29*O29</f>
        <v>5926.74393961006</v>
      </c>
      <c r="R29" s="1578" t="n">
        <f aca="false">SUM(K29,P29)</f>
        <v>14766.3339853228</v>
      </c>
      <c r="S29" s="1540" t="n">
        <f aca="false">'Plant Operations'!C29</f>
        <v>150</v>
      </c>
      <c r="T29" s="1575" t="n">
        <f aca="false">R29*S29/1000</f>
        <v>2214.95009779842</v>
      </c>
      <c r="U29" s="1576" t="n">
        <f aca="false">$I29</f>
        <v>1.76111519420256</v>
      </c>
      <c r="V29" s="394" t="n">
        <f aca="false">T29/U29</f>
        <v>1257.69745504998</v>
      </c>
      <c r="W29" s="1579" t="str">
        <f aca="false">IF(MONTH($A29)=12,SUM(V18:V29)," ")</f>
        <v> </v>
      </c>
      <c r="Y29" s="1580" t="n">
        <f aca="false">IF($A29&gt;Endyr,0,VLOOKUP($A29,Tariff_Table,Tariff!$J$33))</f>
        <v>0.17</v>
      </c>
      <c r="Z29" s="1576" t="n">
        <f aca="false">VLOOKUP($A29,Curves_Table,Escalation!$AH$291)</f>
        <v>1.30150483683391</v>
      </c>
      <c r="AA29" s="1576" t="n">
        <f aca="false">Y29*Z29</f>
        <v>0.221255822261765</v>
      </c>
      <c r="AB29" s="397" t="n">
        <f aca="false">'Plant Operations'!$I29+'Plant Operations'!$M29</f>
        <v>90417.6</v>
      </c>
      <c r="AC29" s="1575" t="n">
        <f aca="false">AA29*AB29/1000</f>
        <v>20.0054204349354</v>
      </c>
      <c r="AD29" s="1576" t="n">
        <f aca="false">$I29</f>
        <v>1.76111519420256</v>
      </c>
      <c r="AE29" s="1566" t="n">
        <f aca="false">AC29/AD29</f>
        <v>11.3595183897064</v>
      </c>
      <c r="AF29" s="1567" t="str">
        <f aca="false">IF(MONTH($A29)=12,SUM(AE18:AE29)," ")</f>
        <v> </v>
      </c>
    </row>
    <row r="30" customFormat="false" ht="12.75" hidden="false" customHeight="false" outlineLevel="0" collapsed="false">
      <c r="A30" s="1538" t="n">
        <f aca="false">'Plant Operations'!A30</f>
        <v>36800</v>
      </c>
      <c r="C30" s="1574" t="n">
        <f aca="false">IF($A30&gt;Endyr,0,VLOOKUP($A30,Tariff_Table,Tariff!$D$33))</f>
        <v>9586.87619047619</v>
      </c>
      <c r="E30" s="1561" t="n">
        <f aca="false">VLOOKUP($A30,Tariff_Table,Tariff!$E$33)</f>
        <v>0.52500038334257</v>
      </c>
      <c r="F30" s="1575" t="n">
        <f aca="false">$C30*E30</f>
        <v>5033.11367505775</v>
      </c>
      <c r="G30" s="1565" t="n">
        <f aca="false">VLOOKUP($A30,Curves_Table,Escalation!$N$291)</f>
        <v>1.06207999503397</v>
      </c>
      <c r="H30" s="1575" t="n">
        <f aca="false">F30*G30</f>
        <v>5345.56934701073</v>
      </c>
      <c r="I30" s="1576" t="n">
        <f aca="false">IF(Assm!$L$74=0,VLOOKUP($A30,Curves_Table,Escalation!$D$291),VLOOKUP($A30,Curves_Table,Escalation!$E$291))</f>
        <v>1.75695532918982</v>
      </c>
      <c r="J30" s="1576" t="n">
        <f aca="false">IF($A30&lt;EE_Date,VLOOKUP($A30,Curves_Table,Escalation!$D$291),Exch)</f>
        <v>1.065</v>
      </c>
      <c r="K30" s="1577" t="n">
        <f aca="false">H30*I30/J30</f>
        <v>8818.71037726222</v>
      </c>
      <c r="M30" s="1561" t="n">
        <f aca="false">VLOOKUP($A30,Tariff_Table,Tariff!$F$33)</f>
        <v>0.474999616657431</v>
      </c>
      <c r="N30" s="1575" t="n">
        <f aca="false">$C30*M30</f>
        <v>4553.76251541844</v>
      </c>
      <c r="O30" s="1565" t="n">
        <f aca="false">VLOOKUP($A30,Curves_Table,Escalation!$R$291)</f>
        <v>1.30150483683391</v>
      </c>
      <c r="P30" s="1577" t="n">
        <f aca="false">N30*O30</f>
        <v>5926.74393961006</v>
      </c>
      <c r="R30" s="1578" t="n">
        <f aca="false">SUM(K30,P30)</f>
        <v>14745.4543168723</v>
      </c>
      <c r="S30" s="1540" t="n">
        <f aca="false">'Plant Operations'!C30</f>
        <v>150</v>
      </c>
      <c r="T30" s="1575" t="n">
        <f aca="false">R30*S30/1000</f>
        <v>2211.81814753084</v>
      </c>
      <c r="U30" s="1576" t="n">
        <f aca="false">$I30</f>
        <v>1.75695532918982</v>
      </c>
      <c r="V30" s="394" t="n">
        <f aca="false">T30/U30</f>
        <v>1258.89264842651</v>
      </c>
      <c r="W30" s="1579" t="str">
        <f aca="false">IF(MONTH($A30)=12,SUM(V19:V30)," ")</f>
        <v> </v>
      </c>
      <c r="Y30" s="1580" t="n">
        <f aca="false">IF($A30&gt;Endyr,0,VLOOKUP($A30,Tariff_Table,Tariff!$J$33))</f>
        <v>0.17</v>
      </c>
      <c r="Z30" s="1576" t="n">
        <f aca="false">VLOOKUP($A30,Curves_Table,Escalation!$AH$291)</f>
        <v>1.30150483683391</v>
      </c>
      <c r="AA30" s="1576" t="n">
        <f aca="false">Y30*Z30</f>
        <v>0.221255822261765</v>
      </c>
      <c r="AB30" s="397" t="n">
        <f aca="false">'Plant Operations'!$I30+'Plant Operations'!$M30</f>
        <v>93431.52</v>
      </c>
      <c r="AC30" s="1575" t="n">
        <f aca="false">AA30*AB30/1000</f>
        <v>20.6722677827666</v>
      </c>
      <c r="AD30" s="1576" t="n">
        <f aca="false">$I30</f>
        <v>1.75695532918982</v>
      </c>
      <c r="AE30" s="1566" t="n">
        <f aca="false">AC30/AD30</f>
        <v>11.7659609435256</v>
      </c>
      <c r="AF30" s="1567" t="str">
        <f aca="false">IF(MONTH($A30)=12,SUM(AE19:AE30)," ")</f>
        <v> </v>
      </c>
    </row>
    <row r="31" customFormat="false" ht="12.75" hidden="false" customHeight="false" outlineLevel="0" collapsed="false">
      <c r="A31" s="1538" t="n">
        <f aca="false">'Plant Operations'!A31</f>
        <v>36831</v>
      </c>
      <c r="C31" s="1574" t="n">
        <f aca="false">IF($A31&gt;Endyr,0,VLOOKUP($A31,Tariff_Table,Tariff!$D$33))</f>
        <v>9586.87619047619</v>
      </c>
      <c r="E31" s="1561" t="n">
        <f aca="false">VLOOKUP($A31,Tariff_Table,Tariff!$E$33)</f>
        <v>0.52500038334257</v>
      </c>
      <c r="F31" s="1575" t="n">
        <f aca="false">$C31*E31</f>
        <v>5033.11367505775</v>
      </c>
      <c r="G31" s="1565" t="n">
        <f aca="false">VLOOKUP($A31,Curves_Table,Escalation!$N$291)</f>
        <v>1.06207999503397</v>
      </c>
      <c r="H31" s="1575" t="n">
        <f aca="false">F31*G31</f>
        <v>5345.56934701073</v>
      </c>
      <c r="I31" s="1576" t="n">
        <f aca="false">IF(Assm!$L$74=0,VLOOKUP($A31,Curves_Table,Escalation!$D$291),VLOOKUP($A31,Curves_Table,Escalation!$E$291))</f>
        <v>1.75280529004025</v>
      </c>
      <c r="J31" s="1576" t="n">
        <f aca="false">IF($A31&lt;EE_Date,VLOOKUP($A31,Curves_Table,Escalation!$D$291),Exch)</f>
        <v>1.065</v>
      </c>
      <c r="K31" s="1577" t="n">
        <f aca="false">H31*I31/J31</f>
        <v>8797.8800279037</v>
      </c>
      <c r="M31" s="1561" t="n">
        <f aca="false">VLOOKUP($A31,Tariff_Table,Tariff!$F$33)</f>
        <v>0.474999616657431</v>
      </c>
      <c r="N31" s="1575" t="n">
        <f aca="false">$C31*M31</f>
        <v>4553.76251541844</v>
      </c>
      <c r="O31" s="1565" t="n">
        <f aca="false">VLOOKUP($A31,Curves_Table,Escalation!$R$291)</f>
        <v>1.30150483683391</v>
      </c>
      <c r="P31" s="1577" t="n">
        <f aca="false">N31*O31</f>
        <v>5926.74393961006</v>
      </c>
      <c r="R31" s="1578" t="n">
        <f aca="false">SUM(K31,P31)</f>
        <v>14724.6239675138</v>
      </c>
      <c r="S31" s="1540" t="n">
        <f aca="false">'Plant Operations'!C31</f>
        <v>150</v>
      </c>
      <c r="T31" s="1575" t="n">
        <f aca="false">R31*S31/1000</f>
        <v>2208.69359512706</v>
      </c>
      <c r="U31" s="1576" t="n">
        <f aca="false">$I31</f>
        <v>1.75280529004025</v>
      </c>
      <c r="V31" s="394" t="n">
        <f aca="false">T31/U31</f>
        <v>1260.09067160925</v>
      </c>
      <c r="W31" s="1579" t="str">
        <f aca="false">IF(MONTH($A31)=12,SUM(V20:V31)," ")</f>
        <v> </v>
      </c>
      <c r="Y31" s="1580" t="n">
        <f aca="false">IF($A31&gt;Endyr,0,VLOOKUP($A31,Tariff_Table,Tariff!$J$33))</f>
        <v>0.17</v>
      </c>
      <c r="Z31" s="1576" t="n">
        <f aca="false">VLOOKUP($A31,Curves_Table,Escalation!$AH$291)</f>
        <v>1.30150483683391</v>
      </c>
      <c r="AA31" s="1576" t="n">
        <f aca="false">Y31*Z31</f>
        <v>0.221255822261765</v>
      </c>
      <c r="AB31" s="397" t="n">
        <f aca="false">'Plant Operations'!$I31+'Plant Operations'!$M31</f>
        <v>90417.6</v>
      </c>
      <c r="AC31" s="1575" t="n">
        <f aca="false">AA31*AB31/1000</f>
        <v>20.0054204349354</v>
      </c>
      <c r="AD31" s="1576" t="n">
        <f aca="false">$I31</f>
        <v>1.75280529004025</v>
      </c>
      <c r="AE31" s="1566" t="n">
        <f aca="false">AC31/AD31</f>
        <v>11.4133729220294</v>
      </c>
      <c r="AF31" s="1567" t="str">
        <f aca="false">IF(MONTH($A31)=12,SUM(AE20:AE31)," ")</f>
        <v> </v>
      </c>
    </row>
    <row r="32" customFormat="false" ht="12.75" hidden="false" customHeight="false" outlineLevel="0" collapsed="false">
      <c r="A32" s="1538" t="n">
        <f aca="false">'Plant Operations'!A32</f>
        <v>36861</v>
      </c>
      <c r="C32" s="1574" t="n">
        <f aca="false">IF($A32&gt;Endyr,0,VLOOKUP($A32,Tariff_Table,Tariff!$D$33))</f>
        <v>9586.87619047619</v>
      </c>
      <c r="E32" s="1561" t="n">
        <f aca="false">VLOOKUP($A32,Tariff_Table,Tariff!$E$33)</f>
        <v>0.52500038334257</v>
      </c>
      <c r="F32" s="1575" t="n">
        <f aca="false">$C32*E32</f>
        <v>5033.11367505775</v>
      </c>
      <c r="G32" s="1565" t="n">
        <f aca="false">VLOOKUP($A32,Curves_Table,Escalation!$N$291)</f>
        <v>1.06207999503397</v>
      </c>
      <c r="H32" s="1575" t="n">
        <f aca="false">F32*G32</f>
        <v>5345.56934701073</v>
      </c>
      <c r="I32" s="1576" t="n">
        <f aca="false">IF(Assm!$L$74=0,VLOOKUP($A32,Curves_Table,Escalation!$D$291),VLOOKUP($A32,Curves_Table,Escalation!$E$291))</f>
        <v>1.80386772326803</v>
      </c>
      <c r="J32" s="1576" t="n">
        <f aca="false">IF($A32&lt;EE_Date,VLOOKUP($A32,Curves_Table,Escalation!$D$291),Exch)</f>
        <v>1.065</v>
      </c>
      <c r="K32" s="1577" t="n">
        <f aca="false">H32*I32/J32</f>
        <v>9054.17841085788</v>
      </c>
      <c r="M32" s="1561" t="n">
        <f aca="false">VLOOKUP($A32,Tariff_Table,Tariff!$F$33)</f>
        <v>0.474999616657431</v>
      </c>
      <c r="N32" s="1575" t="n">
        <f aca="false">$C32*M32</f>
        <v>4553.76251541844</v>
      </c>
      <c r="O32" s="1565" t="n">
        <f aca="false">VLOOKUP($A32,Curves_Table,Escalation!$R$291)</f>
        <v>1.30150483683391</v>
      </c>
      <c r="P32" s="1577" t="n">
        <f aca="false">N32*O32</f>
        <v>5926.74393961006</v>
      </c>
      <c r="R32" s="1578" t="n">
        <f aca="false">SUM(K32,P32)</f>
        <v>14980.9223504679</v>
      </c>
      <c r="S32" s="1540" t="n">
        <f aca="false">'Plant Operations'!C32</f>
        <v>150</v>
      </c>
      <c r="T32" s="1575" t="n">
        <f aca="false">R32*S32/1000</f>
        <v>2247.13835257019</v>
      </c>
      <c r="U32" s="1576" t="n">
        <f aca="false">$I32</f>
        <v>1.80386772326803</v>
      </c>
      <c r="V32" s="394" t="n">
        <f aca="false">T32/U32</f>
        <v>1245.73344463367</v>
      </c>
      <c r="W32" s="1579" t="n">
        <f aca="false">IF(MONTH($A32)=12,SUM(V21:V32)," ")</f>
        <v>14716.7533487156</v>
      </c>
      <c r="Y32" s="1580" t="n">
        <f aca="false">IF($A32&gt;Endyr,0,VLOOKUP($A32,Tariff_Table,Tariff!$J$33))</f>
        <v>0.17</v>
      </c>
      <c r="Z32" s="1576" t="n">
        <f aca="false">VLOOKUP($A32,Curves_Table,Escalation!$AH$291)</f>
        <v>1.30150483683391</v>
      </c>
      <c r="AA32" s="1576" t="n">
        <f aca="false">Y32*Z32</f>
        <v>0.221255822261765</v>
      </c>
      <c r="AB32" s="397" t="n">
        <f aca="false">'Plant Operations'!$I32+'Plant Operations'!$M32</f>
        <v>93431.52</v>
      </c>
      <c r="AC32" s="1575" t="n">
        <f aca="false">AA32*AB32/1000</f>
        <v>20.6722677827666</v>
      </c>
      <c r="AD32" s="1576" t="n">
        <f aca="false">$I32</f>
        <v>1.80386772326803</v>
      </c>
      <c r="AE32" s="1566" t="n">
        <f aca="false">AC32/AD32</f>
        <v>11.459968774936</v>
      </c>
      <c r="AF32" s="1567" t="n">
        <f aca="false">IF(MONTH($A32)=12,SUM(AE21:AE32)," ")</f>
        <v>85.8747490174269</v>
      </c>
    </row>
    <row r="33" customFormat="false" ht="12.75" hidden="false" customHeight="false" outlineLevel="0" collapsed="false">
      <c r="A33" s="1538" t="n">
        <f aca="false">'Plant Operations'!A33</f>
        <v>36892</v>
      </c>
      <c r="C33" s="1574" t="n">
        <f aca="false">IF($A33&gt;Endyr,0,VLOOKUP($A33,Tariff_Table,Tariff!$D$33))</f>
        <v>9586.87619047619</v>
      </c>
      <c r="E33" s="1561" t="n">
        <f aca="false">VLOOKUP($A33,Tariff_Table,Tariff!$E$33)</f>
        <v>0.52500038334257</v>
      </c>
      <c r="F33" s="1575" t="n">
        <f aca="false">$C33*E33</f>
        <v>5033.11367505775</v>
      </c>
      <c r="G33" s="1565" t="n">
        <f aca="false">VLOOKUP($A33,Curves_Table,Escalation!$N$291)</f>
        <v>1.06207999503397</v>
      </c>
      <c r="H33" s="1575" t="n">
        <f aca="false">F33*G33</f>
        <v>5345.56934701073</v>
      </c>
      <c r="I33" s="1576" t="n">
        <f aca="false">IF(Assm!$L$74=0,VLOOKUP($A33,Curves_Table,Escalation!$D$291),VLOOKUP($A33,Curves_Table,Escalation!$E$291))</f>
        <v>1.81882126905259</v>
      </c>
      <c r="J33" s="1576" t="n">
        <f aca="false">IF($A33&lt;EE_Date,VLOOKUP($A33,Curves_Table,Escalation!$D$291),Exch)</f>
        <v>1.065</v>
      </c>
      <c r="K33" s="1577" t="n">
        <f aca="false">H33*I33/J33</f>
        <v>9129.2349516795</v>
      </c>
      <c r="M33" s="1561" t="n">
        <f aca="false">VLOOKUP($A33,Tariff_Table,Tariff!$F$33)</f>
        <v>0.474999616657431</v>
      </c>
      <c r="N33" s="1575" t="n">
        <f aca="false">$C33*M33</f>
        <v>4553.76251541844</v>
      </c>
      <c r="O33" s="1565" t="n">
        <f aca="false">VLOOKUP($A33,Curves_Table,Escalation!$R$291)</f>
        <v>1.30150483683391</v>
      </c>
      <c r="P33" s="1577" t="n">
        <f aca="false">N33*O33</f>
        <v>5926.74393961006</v>
      </c>
      <c r="R33" s="1578" t="n">
        <f aca="false">SUM(K33,P33)</f>
        <v>15055.9788912896</v>
      </c>
      <c r="S33" s="1540" t="n">
        <f aca="false">'Plant Operations'!C33</f>
        <v>150</v>
      </c>
      <c r="T33" s="1575" t="n">
        <f aca="false">R33*S33/1000</f>
        <v>2258.39683369343</v>
      </c>
      <c r="U33" s="1576" t="n">
        <f aca="false">$I33</f>
        <v>1.81882126905259</v>
      </c>
      <c r="V33" s="394" t="n">
        <f aca="false">T33/U33</f>
        <v>1241.6815616357</v>
      </c>
      <c r="W33" s="1579" t="str">
        <f aca="false">IF(MONTH($A33)=12,SUM(V22:V33)," ")</f>
        <v> </v>
      </c>
      <c r="Y33" s="1580" t="n">
        <f aca="false">IF($A33&gt;Endyr,0,VLOOKUP($A33,Tariff_Table,Tariff!$J$33))</f>
        <v>0.17</v>
      </c>
      <c r="Z33" s="1576" t="n">
        <f aca="false">VLOOKUP($A33,Curves_Table,Escalation!$AH$291)</f>
        <v>1.30150483683391</v>
      </c>
      <c r="AA33" s="1576" t="n">
        <f aca="false">Y33*Z33</f>
        <v>0.221255822261765</v>
      </c>
      <c r="AB33" s="397" t="n">
        <f aca="false">'Plant Operations'!$I33+'Plant Operations'!$M33</f>
        <v>93431.52</v>
      </c>
      <c r="AC33" s="1575" t="n">
        <f aca="false">AA33*AB33/1000</f>
        <v>20.6722677827666</v>
      </c>
      <c r="AD33" s="1576" t="n">
        <f aca="false">$I33</f>
        <v>1.81882126905259</v>
      </c>
      <c r="AE33" s="1566" t="n">
        <f aca="false">AC33/AD33</f>
        <v>11.3657499692285</v>
      </c>
      <c r="AF33" s="1567" t="str">
        <f aca="false">IF(MONTH($A33)=12,SUM(AE22:AE33)," ")</f>
        <v> </v>
      </c>
    </row>
    <row r="34" customFormat="false" ht="12.75" hidden="false" customHeight="false" outlineLevel="0" collapsed="false">
      <c r="A34" s="1538" t="n">
        <f aca="false">'Plant Operations'!A34</f>
        <v>36923</v>
      </c>
      <c r="C34" s="1574" t="n">
        <f aca="false">IF($A34&gt;Endyr,0,VLOOKUP($A34,Tariff_Table,Tariff!$D$33))</f>
        <v>9586.87619047619</v>
      </c>
      <c r="E34" s="1561" t="n">
        <f aca="false">VLOOKUP($A34,Tariff_Table,Tariff!$E$33)</f>
        <v>0.52500038334257</v>
      </c>
      <c r="F34" s="1575" t="n">
        <f aca="false">$C34*E34</f>
        <v>5033.11367505775</v>
      </c>
      <c r="G34" s="1565" t="n">
        <f aca="false">VLOOKUP($A34,Curves_Table,Escalation!$N$291)</f>
        <v>1.06207999503397</v>
      </c>
      <c r="H34" s="1575" t="n">
        <f aca="false">F34*G34</f>
        <v>5345.56934701073</v>
      </c>
      <c r="I34" s="1576" t="n">
        <f aca="false">IF(Assm!$L$74=0,VLOOKUP($A34,Curves_Table,Escalation!$D$291),VLOOKUP($A34,Curves_Table,Escalation!$E$291))</f>
        <v>1.8338987754406</v>
      </c>
      <c r="J34" s="1576" t="n">
        <f aca="false">IF($A34&lt;EE_Date,VLOOKUP($A34,Curves_Table,Escalation!$D$291),Exch)</f>
        <v>1.065</v>
      </c>
      <c r="K34" s="1577" t="n">
        <f aca="false">H34*I34/J34</f>
        <v>9204.91368968617</v>
      </c>
      <c r="M34" s="1561" t="n">
        <f aca="false">VLOOKUP($A34,Tariff_Table,Tariff!$F$33)</f>
        <v>0.474999616657431</v>
      </c>
      <c r="N34" s="1575" t="n">
        <f aca="false">$C34*M34</f>
        <v>4553.76251541844</v>
      </c>
      <c r="O34" s="1565" t="n">
        <f aca="false">VLOOKUP($A34,Curves_Table,Escalation!$R$291)</f>
        <v>1.30150483683391</v>
      </c>
      <c r="P34" s="1577" t="n">
        <f aca="false">N34*O34</f>
        <v>5926.74393961006</v>
      </c>
      <c r="R34" s="1578" t="n">
        <f aca="false">SUM(K34,P34)</f>
        <v>15131.6576292962</v>
      </c>
      <c r="S34" s="1540" t="n">
        <f aca="false">'Plant Operations'!C34</f>
        <v>150</v>
      </c>
      <c r="T34" s="1575" t="n">
        <f aca="false">R34*S34/1000</f>
        <v>2269.74864439443</v>
      </c>
      <c r="U34" s="1576" t="n">
        <f aca="false">$I34</f>
        <v>1.8338987754406</v>
      </c>
      <c r="V34" s="394" t="n">
        <f aca="false">T34/U34</f>
        <v>1237.66299143153</v>
      </c>
      <c r="W34" s="1579" t="str">
        <f aca="false">IF(MONTH($A34)=12,SUM(V23:V34)," ")</f>
        <v> </v>
      </c>
      <c r="Y34" s="1580" t="n">
        <f aca="false">IF($A34&gt;Endyr,0,VLOOKUP($A34,Tariff_Table,Tariff!$J$33))</f>
        <v>0.17</v>
      </c>
      <c r="Z34" s="1576" t="n">
        <f aca="false">VLOOKUP($A34,Curves_Table,Escalation!$AH$291)</f>
        <v>1.30150483683391</v>
      </c>
      <c r="AA34" s="1576" t="n">
        <f aca="false">Y34*Z34</f>
        <v>0.221255822261765</v>
      </c>
      <c r="AB34" s="397" t="n">
        <f aca="false">'Plant Operations'!$I34+'Plant Operations'!$M34</f>
        <v>84389.76</v>
      </c>
      <c r="AC34" s="1575" t="n">
        <f aca="false">AA34*AB34/1000</f>
        <v>18.671725739273</v>
      </c>
      <c r="AD34" s="1576" t="n">
        <f aca="false">$I34</f>
        <v>1.8338987754406</v>
      </c>
      <c r="AE34" s="1566" t="n">
        <f aca="false">AC34/AD34</f>
        <v>10.181437486803</v>
      </c>
      <c r="AF34" s="1567" t="str">
        <f aca="false">IF(MONTH($A34)=12,SUM(AE23:AE34)," ")</f>
        <v> </v>
      </c>
    </row>
    <row r="35" customFormat="false" ht="12.75" hidden="false" customHeight="false" outlineLevel="0" collapsed="false">
      <c r="A35" s="1538" t="n">
        <f aca="false">'Plant Operations'!A35</f>
        <v>36951</v>
      </c>
      <c r="C35" s="1574" t="n">
        <f aca="false">IF($A35&gt;Endyr,0,VLOOKUP($A35,Tariff_Table,Tariff!$D$33))</f>
        <v>9984.45454545455</v>
      </c>
      <c r="E35" s="1561" t="n">
        <f aca="false">VLOOKUP($A35,Tariff_Table,Tariff!$E$33)</f>
        <v>0.990000462078292</v>
      </c>
      <c r="F35" s="1575" t="n">
        <f aca="false">$C35*E35</f>
        <v>9884.6146135997</v>
      </c>
      <c r="G35" s="1565" t="n">
        <f aca="false">VLOOKUP($A35,Curves_Table,Escalation!$N$291)</f>
        <v>1.06207999503397</v>
      </c>
      <c r="H35" s="1575" t="n">
        <f aca="false">F35*G35</f>
        <v>10498.2514397247</v>
      </c>
      <c r="I35" s="1576" t="n">
        <f aca="false">IF(Assm!$L$74=0,VLOOKUP($A35,Curves_Table,Escalation!$D$291),VLOOKUP($A35,Curves_Table,Escalation!$E$291))</f>
        <v>1.84910127002989</v>
      </c>
      <c r="J35" s="1576" t="n">
        <f aca="false">IF($A35&lt;EE_Date,VLOOKUP($A35,Curves_Table,Escalation!$D$291),Exch)</f>
        <v>1.065</v>
      </c>
      <c r="K35" s="1577" t="n">
        <f aca="false">H35*I35/J35</f>
        <v>18227.5399721014</v>
      </c>
      <c r="M35" s="1561" t="n">
        <f aca="false">VLOOKUP($A35,Tariff_Table,Tariff!$F$33)</f>
        <v>0.00999953792170849</v>
      </c>
      <c r="N35" s="1575" t="n">
        <f aca="false">$C35*M35</f>
        <v>99.8399318548474</v>
      </c>
      <c r="O35" s="1565" t="n">
        <f aca="false">VLOOKUP($A35,Curves_Table,Escalation!$R$291)</f>
        <v>1.30150483683391</v>
      </c>
      <c r="P35" s="1577" t="n">
        <f aca="false">N35*O35</f>
        <v>129.942154218252</v>
      </c>
      <c r="R35" s="1578" t="n">
        <f aca="false">SUM(K35,P35)</f>
        <v>18357.4821263197</v>
      </c>
      <c r="S35" s="1540" t="n">
        <f aca="false">'Plant Operations'!C35</f>
        <v>150</v>
      </c>
      <c r="T35" s="1575" t="n">
        <f aca="false">R35*S35/1000</f>
        <v>2753.62231894795</v>
      </c>
      <c r="U35" s="1576" t="n">
        <f aca="false">$I35</f>
        <v>1.84910127002989</v>
      </c>
      <c r="V35" s="394" t="n">
        <f aca="false">T35/U35</f>
        <v>1489.16793448713</v>
      </c>
      <c r="W35" s="1579" t="str">
        <f aca="false">IF(MONTH($A35)=12,SUM(V24:V35)," ")</f>
        <v> </v>
      </c>
      <c r="Y35" s="1580" t="n">
        <f aca="false">IF($A35&gt;Endyr,0,VLOOKUP($A35,Tariff_Table,Tariff!$J$33))</f>
        <v>0.07455</v>
      </c>
      <c r="Z35" s="1576" t="n">
        <f aca="false">VLOOKUP($A35,Curves_Table,Escalation!$AH$291)</f>
        <v>1.30150483683391</v>
      </c>
      <c r="AA35" s="1576" t="n">
        <f aca="false">Y35*Z35</f>
        <v>0.0970271855859682</v>
      </c>
      <c r="AB35" s="397" t="n">
        <f aca="false">'Plant Operations'!$I35+'Plant Operations'!$M35</f>
        <v>12600</v>
      </c>
      <c r="AC35" s="1575" t="n">
        <f aca="false">AA35*AB35/1000</f>
        <v>1.2225425383832</v>
      </c>
      <c r="AD35" s="1576" t="n">
        <f aca="false">$I35</f>
        <v>1.84910127002989</v>
      </c>
      <c r="AE35" s="1566" t="n">
        <f aca="false">AC35/AD35</f>
        <v>0.661154993616675</v>
      </c>
      <c r="AF35" s="1567" t="str">
        <f aca="false">IF(MONTH($A35)=12,SUM(AE24:AE35)," ")</f>
        <v> </v>
      </c>
    </row>
    <row r="36" customFormat="false" ht="12.75" hidden="false" customHeight="false" outlineLevel="0" collapsed="false">
      <c r="A36" s="1538" t="n">
        <f aca="false">'Plant Operations'!A36</f>
        <v>36982</v>
      </c>
      <c r="C36" s="1574" t="n">
        <f aca="false">IF($A36&gt;Endyr,0,VLOOKUP($A36,Tariff_Table,Tariff!$D$33))</f>
        <v>9984.45454545455</v>
      </c>
      <c r="E36" s="1561" t="n">
        <f aca="false">VLOOKUP($A36,Tariff_Table,Tariff!$E$33)</f>
        <v>0.990000462078292</v>
      </c>
      <c r="F36" s="1575" t="n">
        <f aca="false">$C36*E36</f>
        <v>9884.6146135997</v>
      </c>
      <c r="G36" s="1565" t="n">
        <f aca="false">VLOOKUP($A36,Curves_Table,Escalation!$N$291)</f>
        <v>1.06207999503397</v>
      </c>
      <c r="H36" s="1575" t="n">
        <f aca="false">F36*G36</f>
        <v>10498.2514397247</v>
      </c>
      <c r="I36" s="1576" t="n">
        <f aca="false">IF(Assm!$L$74=0,VLOOKUP($A36,Curves_Table,Escalation!$D$291),VLOOKUP($A36,Curves_Table,Escalation!$E$291))</f>
        <v>1.8644297889368</v>
      </c>
      <c r="J36" s="1576" t="n">
        <f aca="false">IF($A36&lt;EE_Date,VLOOKUP($A36,Curves_Table,Escalation!$D$291),Exch)</f>
        <v>1.065</v>
      </c>
      <c r="K36" s="1577" t="n">
        <f aca="false">H36*I36/J36</f>
        <v>18378.6410478603</v>
      </c>
      <c r="M36" s="1561" t="n">
        <f aca="false">VLOOKUP($A36,Tariff_Table,Tariff!$F$33)</f>
        <v>0.00999953792170849</v>
      </c>
      <c r="N36" s="1575" t="n">
        <f aca="false">$C36*M36</f>
        <v>99.8399318548474</v>
      </c>
      <c r="O36" s="1565" t="n">
        <f aca="false">VLOOKUP($A36,Curves_Table,Escalation!$R$291)</f>
        <v>1.30150483683391</v>
      </c>
      <c r="P36" s="1577" t="n">
        <f aca="false">N36*O36</f>
        <v>129.942154218252</v>
      </c>
      <c r="R36" s="1578" t="n">
        <f aca="false">SUM(K36,P36)</f>
        <v>18508.5832020786</v>
      </c>
      <c r="S36" s="1540" t="n">
        <f aca="false">'Plant Operations'!C36</f>
        <v>237.779371584699</v>
      </c>
      <c r="T36" s="1575" t="n">
        <f aca="false">R36*S36/1000</f>
        <v>4400.95928271337</v>
      </c>
      <c r="U36" s="1576" t="n">
        <f aca="false">$I36</f>
        <v>1.8644297889368</v>
      </c>
      <c r="V36" s="394" t="n">
        <f aca="false">T36/U36</f>
        <v>2360.48539281442</v>
      </c>
      <c r="W36" s="1579" t="str">
        <f aca="false">IF(MONTH($A36)=12,SUM(V25:V36)," ")</f>
        <v> </v>
      </c>
      <c r="Y36" s="1580" t="n">
        <f aca="false">IF($A36&gt;Endyr,0,VLOOKUP($A36,Tariff_Table,Tariff!$J$33))</f>
        <v>0.07455</v>
      </c>
      <c r="Z36" s="1576" t="n">
        <f aca="false">VLOOKUP($A36,Curves_Table,Escalation!$AH$291)</f>
        <v>1.30150483683391</v>
      </c>
      <c r="AA36" s="1576" t="n">
        <f aca="false">Y36*Z36</f>
        <v>0.0970271855859682</v>
      </c>
      <c r="AB36" s="397" t="n">
        <f aca="false">'Plant Operations'!$I36+'Plant Operations'!$M36</f>
        <v>70200</v>
      </c>
      <c r="AC36" s="1575" t="n">
        <f aca="false">AA36*AB36/1000</f>
        <v>6.81130842813497</v>
      </c>
      <c r="AD36" s="1576" t="n">
        <f aca="false">$I36</f>
        <v>1.8644297889368</v>
      </c>
      <c r="AE36" s="1566" t="n">
        <f aca="false">AC36/AD36</f>
        <v>3.65329307038114</v>
      </c>
      <c r="AF36" s="1567" t="str">
        <f aca="false">IF(MONTH($A36)=12,SUM(AE25:AE36)," ")</f>
        <v> </v>
      </c>
    </row>
    <row r="37" customFormat="false" ht="12.75" hidden="false" customHeight="false" outlineLevel="0" collapsed="false">
      <c r="A37" s="1538" t="n">
        <f aca="false">'Plant Operations'!A37</f>
        <v>37012</v>
      </c>
      <c r="C37" s="1574" t="n">
        <f aca="false">IF($A37&gt;Endyr,0,VLOOKUP($A37,Tariff_Table,Tariff!$D$33))</f>
        <v>9984.45454545455</v>
      </c>
      <c r="E37" s="1561" t="n">
        <f aca="false">VLOOKUP($A37,Tariff_Table,Tariff!$E$33)</f>
        <v>0.990000462078292</v>
      </c>
      <c r="F37" s="1575" t="n">
        <f aca="false">$C37*E37</f>
        <v>9884.6146135997</v>
      </c>
      <c r="G37" s="1565" t="n">
        <f aca="false">VLOOKUP($A37,Curves_Table,Escalation!$N$291)</f>
        <v>1.09718061747934</v>
      </c>
      <c r="H37" s="1575" t="n">
        <f aca="false">F37*G37</f>
        <v>10845.2075652946</v>
      </c>
      <c r="I37" s="1576" t="n">
        <f aca="false">IF(Assm!$L$74=0,VLOOKUP($A37,Curves_Table,Escalation!$D$291),VLOOKUP($A37,Curves_Table,Escalation!$E$291))</f>
        <v>1.87988537686674</v>
      </c>
      <c r="J37" s="1576" t="n">
        <f aca="false">IF($A37&lt;EE_Date,VLOOKUP($A37,Curves_Table,Escalation!$D$291),Exch)</f>
        <v>1.065</v>
      </c>
      <c r="K37" s="1577" t="n">
        <f aca="false">H37*I37/J37</f>
        <v>19143.4245174478</v>
      </c>
      <c r="M37" s="1561" t="n">
        <f aca="false">VLOOKUP($A37,Tariff_Table,Tariff!$F$33)</f>
        <v>0.00999953792170849</v>
      </c>
      <c r="N37" s="1575" t="n">
        <f aca="false">$C37*M37</f>
        <v>99.8399318548474</v>
      </c>
      <c r="O37" s="1565" t="n">
        <f aca="false">VLOOKUP($A37,Curves_Table,Escalation!$R$291)</f>
        <v>1.42116141710777</v>
      </c>
      <c r="P37" s="1577" t="n">
        <f aca="false">N37*O37</f>
        <v>141.888659038778</v>
      </c>
      <c r="R37" s="1578" t="n">
        <f aca="false">SUM(K37,P37)</f>
        <v>19285.3131764866</v>
      </c>
      <c r="S37" s="1540" t="n">
        <f aca="false">'Plant Operations'!C37</f>
        <v>237.779371584699</v>
      </c>
      <c r="T37" s="1575" t="n">
        <f aca="false">R37*S37/1000</f>
        <v>4585.6496479191</v>
      </c>
      <c r="U37" s="1576" t="n">
        <f aca="false">$I37</f>
        <v>1.87988537686674</v>
      </c>
      <c r="V37" s="394" t="n">
        <f aca="false">T37/U37</f>
        <v>2439.32406962075</v>
      </c>
      <c r="W37" s="1579" t="str">
        <f aca="false">IF(MONTH($A37)=12,SUM(V26:V37)," ")</f>
        <v> </v>
      </c>
      <c r="Y37" s="1580" t="n">
        <f aca="false">IF($A37&gt;Endyr,0,VLOOKUP($A37,Tariff_Table,Tariff!$J$33))</f>
        <v>0.07455</v>
      </c>
      <c r="Z37" s="1576" t="n">
        <f aca="false">VLOOKUP($A37,Curves_Table,Escalation!$AH$291)</f>
        <v>1.42116141710777</v>
      </c>
      <c r="AA37" s="1576" t="n">
        <f aca="false">Y37*Z37</f>
        <v>0.105947583645384</v>
      </c>
      <c r="AB37" s="397" t="n">
        <f aca="false">'Plant Operations'!$I37+'Plant Operations'!$M37</f>
        <v>146880</v>
      </c>
      <c r="AC37" s="1575" t="n">
        <f aca="false">AA37*AB37/1000</f>
        <v>15.561581085834</v>
      </c>
      <c r="AD37" s="1576" t="n">
        <f aca="false">$I37</f>
        <v>1.87988537686674</v>
      </c>
      <c r="AE37" s="1566" t="n">
        <f aca="false">AC37/AD37</f>
        <v>8.27794145181925</v>
      </c>
      <c r="AF37" s="1567" t="str">
        <f aca="false">IF(MONTH($A37)=12,SUM(AE26:AE37)," ")</f>
        <v> </v>
      </c>
    </row>
    <row r="38" customFormat="false" ht="12.75" hidden="false" customHeight="false" outlineLevel="0" collapsed="false">
      <c r="A38" s="1538" t="n">
        <f aca="false">'Plant Operations'!A38</f>
        <v>37043</v>
      </c>
      <c r="C38" s="1574" t="n">
        <f aca="false">IF($A38&gt;Endyr,0,VLOOKUP($A38,Tariff_Table,Tariff!$D$33))</f>
        <v>9984.45454545455</v>
      </c>
      <c r="E38" s="1561" t="n">
        <f aca="false">VLOOKUP($A38,Tariff_Table,Tariff!$E$33)</f>
        <v>0.990000462078292</v>
      </c>
      <c r="F38" s="1575" t="n">
        <f aca="false">$C38*E38</f>
        <v>9884.6146135997</v>
      </c>
      <c r="G38" s="1565" t="n">
        <f aca="false">VLOOKUP($A38,Curves_Table,Escalation!$N$291)</f>
        <v>1.09718061747934</v>
      </c>
      <c r="H38" s="1575" t="n">
        <f aca="false">F38*G38</f>
        <v>10845.2075652946</v>
      </c>
      <c r="I38" s="1576" t="n">
        <f aca="false">IF(Assm!$L$74=0,VLOOKUP($A38,Curves_Table,Escalation!$D$291),VLOOKUP($A38,Curves_Table,Escalation!$E$291))</f>
        <v>1.89546908718545</v>
      </c>
      <c r="J38" s="1576" t="n">
        <f aca="false">IF($A38&lt;EE_Date,VLOOKUP($A38,Curves_Table,Escalation!$D$291),Exch)</f>
        <v>1.065</v>
      </c>
      <c r="K38" s="1577" t="n">
        <f aca="false">H38*I38/J38</f>
        <v>19302.1180132637</v>
      </c>
      <c r="M38" s="1561" t="n">
        <f aca="false">VLOOKUP($A38,Tariff_Table,Tariff!$F$33)</f>
        <v>0.00999953792170849</v>
      </c>
      <c r="N38" s="1575" t="n">
        <f aca="false">$C38*M38</f>
        <v>99.8399318548474</v>
      </c>
      <c r="O38" s="1565" t="n">
        <f aca="false">VLOOKUP($A38,Curves_Table,Escalation!$R$291)</f>
        <v>1.42116141710777</v>
      </c>
      <c r="P38" s="1577" t="n">
        <f aca="false">N38*O38</f>
        <v>141.888659038778</v>
      </c>
      <c r="R38" s="1578" t="n">
        <f aca="false">SUM(K38,P38)</f>
        <v>19444.0066723024</v>
      </c>
      <c r="S38" s="1540" t="n">
        <f aca="false">'Plant Operations'!C38</f>
        <v>237.779371584699</v>
      </c>
      <c r="T38" s="1575" t="n">
        <f aca="false">R38*S38/1000</f>
        <v>4623.38368762878</v>
      </c>
      <c r="U38" s="1576" t="n">
        <f aca="false">$I38</f>
        <v>1.89546908718545</v>
      </c>
      <c r="V38" s="394" t="n">
        <f aca="false">T38/U38</f>
        <v>2439.17651777374</v>
      </c>
      <c r="W38" s="1579" t="str">
        <f aca="false">IF(MONTH($A38)=12,SUM(V27:V38)," ")</f>
        <v> </v>
      </c>
      <c r="Y38" s="1580" t="n">
        <f aca="false">IF($A38&gt;Endyr,0,VLOOKUP($A38,Tariff_Table,Tariff!$J$33))</f>
        <v>0.07455</v>
      </c>
      <c r="Z38" s="1576" t="n">
        <f aca="false">VLOOKUP($A38,Curves_Table,Escalation!$AH$291)</f>
        <v>1.42116141710777</v>
      </c>
      <c r="AA38" s="1576" t="n">
        <f aca="false">Y38*Z38</f>
        <v>0.105947583645384</v>
      </c>
      <c r="AB38" s="397" t="n">
        <f aca="false">'Plant Operations'!$I38+'Plant Operations'!$M38</f>
        <v>232128</v>
      </c>
      <c r="AC38" s="1575" t="n">
        <f aca="false">AA38*AB38/1000</f>
        <v>24.5934006964358</v>
      </c>
      <c r="AD38" s="1576" t="n">
        <f aca="false">$I38</f>
        <v>1.89546908718545</v>
      </c>
      <c r="AE38" s="1566" t="n">
        <f aca="false">AC38/AD38</f>
        <v>12.9748360776245</v>
      </c>
      <c r="AF38" s="1567" t="str">
        <f aca="false">IF(MONTH($A38)=12,SUM(AE27:AE38)," ")</f>
        <v> </v>
      </c>
    </row>
    <row r="39" customFormat="false" ht="12.75" hidden="false" customHeight="false" outlineLevel="0" collapsed="false">
      <c r="A39" s="1538" t="n">
        <f aca="false">'Plant Operations'!A39</f>
        <v>37073</v>
      </c>
      <c r="C39" s="1574" t="n">
        <f aca="false">IF($A39&gt;Endyr,0,VLOOKUP($A39,Tariff_Table,Tariff!$D$33))</f>
        <v>9984.45454545455</v>
      </c>
      <c r="E39" s="1561" t="n">
        <f aca="false">VLOOKUP($A39,Tariff_Table,Tariff!$E$33)</f>
        <v>0.990000462078292</v>
      </c>
      <c r="F39" s="1575" t="n">
        <f aca="false">$C39*E39</f>
        <v>9884.6146135997</v>
      </c>
      <c r="G39" s="1565" t="n">
        <f aca="false">VLOOKUP($A39,Curves_Table,Escalation!$N$291)</f>
        <v>1.09718061747934</v>
      </c>
      <c r="H39" s="1575" t="n">
        <f aca="false">F39*G39</f>
        <v>10845.2075652946</v>
      </c>
      <c r="I39" s="1576" t="n">
        <f aca="false">IF(Assm!$L$74=0,VLOOKUP($A39,Curves_Table,Escalation!$D$291),VLOOKUP($A39,Curves_Table,Escalation!$E$291))</f>
        <v>1.91118198199078</v>
      </c>
      <c r="J39" s="1576" t="n">
        <f aca="false">IF($A39&lt;EE_Date,VLOOKUP($A39,Curves_Table,Escalation!$D$291),Exch)</f>
        <v>1.065</v>
      </c>
      <c r="K39" s="1577" t="n">
        <f aca="false">H39*I39/J39</f>
        <v>19462.1270326209</v>
      </c>
      <c r="M39" s="1561" t="n">
        <f aca="false">VLOOKUP($A39,Tariff_Table,Tariff!$F$33)</f>
        <v>0.00999953792170849</v>
      </c>
      <c r="N39" s="1575" t="n">
        <f aca="false">$C39*M39</f>
        <v>99.8399318548474</v>
      </c>
      <c r="O39" s="1565" t="n">
        <f aca="false">VLOOKUP($A39,Curves_Table,Escalation!$R$291)</f>
        <v>1.42116141710777</v>
      </c>
      <c r="P39" s="1577" t="n">
        <f aca="false">N39*O39</f>
        <v>141.888659038778</v>
      </c>
      <c r="R39" s="1578" t="n">
        <f aca="false">SUM(K39,P39)</f>
        <v>19604.0156916596</v>
      </c>
      <c r="S39" s="1540" t="n">
        <f aca="false">'Plant Operations'!C39</f>
        <v>237.779371584699</v>
      </c>
      <c r="T39" s="1575" t="n">
        <f aca="false">R39*S39/1000</f>
        <v>4661.43053169941</v>
      </c>
      <c r="U39" s="1576" t="n">
        <f aca="false">$I39</f>
        <v>1.91118198199078</v>
      </c>
      <c r="V39" s="394" t="n">
        <f aca="false">T39/U39</f>
        <v>2439.03017903289</v>
      </c>
      <c r="W39" s="1579" t="str">
        <f aca="false">IF(MONTH($A39)=12,SUM(V28:V39)," ")</f>
        <v> </v>
      </c>
      <c r="Y39" s="1580" t="n">
        <f aca="false">IF($A39&gt;Endyr,0,VLOOKUP($A39,Tariff_Table,Tariff!$J$33))</f>
        <v>0.07455</v>
      </c>
      <c r="Z39" s="1576" t="n">
        <f aca="false">VLOOKUP($A39,Curves_Table,Escalation!$AH$291)</f>
        <v>1.42116141710777</v>
      </c>
      <c r="AA39" s="1576" t="n">
        <f aca="false">Y39*Z39</f>
        <v>0.105947583645384</v>
      </c>
      <c r="AB39" s="397" t="n">
        <f aca="false">'Plant Operations'!$I39+'Plant Operations'!$M39</f>
        <v>234410</v>
      </c>
      <c r="AC39" s="1575" t="n">
        <f aca="false">AA39*AB39/1000</f>
        <v>24.8351730823145</v>
      </c>
      <c r="AD39" s="1576" t="n">
        <f aca="false">$I39</f>
        <v>1.91118198199078</v>
      </c>
      <c r="AE39" s="1566" t="n">
        <f aca="false">AC39/AD39</f>
        <v>12.9946668168381</v>
      </c>
      <c r="AF39" s="1567" t="str">
        <f aca="false">IF(MONTH($A39)=12,SUM(AE28:AE39)," ")</f>
        <v> </v>
      </c>
    </row>
    <row r="40" customFormat="false" ht="12.75" hidden="false" customHeight="false" outlineLevel="0" collapsed="false">
      <c r="A40" s="1538" t="n">
        <f aca="false">'Plant Operations'!A40</f>
        <v>37104</v>
      </c>
      <c r="C40" s="1574" t="n">
        <f aca="false">IF($A40&gt;Endyr,0,VLOOKUP($A40,Tariff_Table,Tariff!$D$33))</f>
        <v>8415.22784090909</v>
      </c>
      <c r="E40" s="1561" t="n">
        <f aca="false">VLOOKUP($A40,Tariff_Table,Tariff!$E$33)</f>
        <v>0.990000462078292</v>
      </c>
      <c r="F40" s="1575" t="n">
        <f aca="false">$C40*E40</f>
        <v>8331.0794509941</v>
      </c>
      <c r="G40" s="1565" t="n">
        <f aca="false">VLOOKUP($A40,Curves_Table,Escalation!$N$291)</f>
        <v>1.09718061747934</v>
      </c>
      <c r="H40" s="1575" t="n">
        <f aca="false">F40*G40</f>
        <v>9140.69889631116</v>
      </c>
      <c r="I40" s="1576" t="n">
        <f aca="false">IF(Assm!$L$74=0,VLOOKUP($A40,Curves_Table,Escalation!$D$291),VLOOKUP($A40,Curves_Table,Escalation!$E$291))</f>
        <v>1.92702513218504</v>
      </c>
      <c r="J40" s="1576" t="n">
        <f aca="false">IF($A40&lt;EE_Date,VLOOKUP($A40,Curves_Table,Escalation!$D$291),Exch)</f>
        <v>1.065</v>
      </c>
      <c r="K40" s="1577" t="n">
        <f aca="false">H40*I40/J40</f>
        <v>16539.3018769274</v>
      </c>
      <c r="M40" s="1561" t="n">
        <f aca="false">VLOOKUP($A40,Tariff_Table,Tariff!$F$33)</f>
        <v>0.00999953792170849</v>
      </c>
      <c r="N40" s="1575" t="n">
        <f aca="false">$C40*M40</f>
        <v>84.1483899149875</v>
      </c>
      <c r="O40" s="1565" t="n">
        <f aca="false">VLOOKUP($A40,Curves_Table,Escalation!$R$291)</f>
        <v>1.42116141710777</v>
      </c>
      <c r="P40" s="1577" t="n">
        <f aca="false">N40*O40</f>
        <v>119.588445058921</v>
      </c>
      <c r="R40" s="1578" t="n">
        <f aca="false">SUM(K40,P40)</f>
        <v>16658.8903219863</v>
      </c>
      <c r="S40" s="1540" t="n">
        <f aca="false">'Plant Operations'!C40</f>
        <v>480</v>
      </c>
      <c r="T40" s="1575" t="n">
        <f aca="false">R40*S40/1000</f>
        <v>7996.26735455343</v>
      </c>
      <c r="U40" s="1576" t="n">
        <f aca="false">$I40</f>
        <v>1.92702513218504</v>
      </c>
      <c r="V40" s="394" t="n">
        <f aca="false">T40/U40</f>
        <v>4149.53973407006</v>
      </c>
      <c r="W40" s="1579" t="str">
        <f aca="false">IF(MONTH($A40)=12,SUM(V29:V40)," ")</f>
        <v> </v>
      </c>
      <c r="Y40" s="1580" t="n">
        <f aca="false">IF($A40&gt;Endyr,0,VLOOKUP($A40,Tariff_Table,Tariff!$J$33))</f>
        <v>0.07455</v>
      </c>
      <c r="Z40" s="1576" t="n">
        <f aca="false">VLOOKUP($A40,Curves_Table,Escalation!$AH$291)</f>
        <v>1.42116141710777</v>
      </c>
      <c r="AA40" s="1576" t="n">
        <f aca="false">Y40*Z40</f>
        <v>0.105947583645384</v>
      </c>
      <c r="AB40" s="397" t="n">
        <f aca="false">'Plant Operations'!$I40+'Plant Operations'!$M40</f>
        <v>298980.864</v>
      </c>
      <c r="AC40" s="1575" t="n">
        <f aca="false">AA40*AB40/1000</f>
        <v>31.6763000970093</v>
      </c>
      <c r="AD40" s="1576" t="n">
        <f aca="false">$I40</f>
        <v>1.92702513218504</v>
      </c>
      <c r="AE40" s="1566" t="n">
        <f aca="false">AC40/AD40</f>
        <v>16.4379278546781</v>
      </c>
      <c r="AF40" s="1567" t="str">
        <f aca="false">IF(MONTH($A40)=12,SUM(AE29:AE40)," ")</f>
        <v> </v>
      </c>
    </row>
    <row r="41" customFormat="false" ht="12.75" hidden="false" customHeight="false" outlineLevel="0" collapsed="false">
      <c r="A41" s="1538" t="n">
        <f aca="false">'Plant Operations'!A41</f>
        <v>37135</v>
      </c>
      <c r="C41" s="1574" t="n">
        <f aca="false">IF($A41&gt;Endyr,0,VLOOKUP($A41,Tariff_Table,Tariff!$D$33))</f>
        <v>9237.42408376963</v>
      </c>
      <c r="E41" s="1561" t="n">
        <f aca="false">VLOOKUP($A41,Tariff_Table,Tariff!$E$33)</f>
        <v>0.954999468055056</v>
      </c>
      <c r="F41" s="1575" t="n">
        <f aca="false">$C41*E41</f>
        <v>8821.73508619896</v>
      </c>
      <c r="G41" s="1565" t="n">
        <f aca="false">VLOOKUP($A41,Curves_Table,Escalation!$N$291)</f>
        <v>1.09718061747934</v>
      </c>
      <c r="H41" s="1575" t="n">
        <f aca="false">F41*G41</f>
        <v>9679.03674911494</v>
      </c>
      <c r="I41" s="1576" t="n">
        <f aca="false">IF(Assm!$L$74=0,VLOOKUP($A41,Curves_Table,Escalation!$D$291),VLOOKUP($A41,Curves_Table,Escalation!$E$291))</f>
        <v>1.94299961754803</v>
      </c>
      <c r="J41" s="1576" t="n">
        <f aca="false">IF($A41&lt;EE_Date,VLOOKUP($A41,Curves_Table,Escalation!$D$291),Exch)</f>
        <v>1.065</v>
      </c>
      <c r="K41" s="1577" t="n">
        <f aca="false">H41*I41/J41</f>
        <v>17658.5584054119</v>
      </c>
      <c r="M41" s="1561" t="n">
        <f aca="false">VLOOKUP($A41,Tariff_Table,Tariff!$F$33)</f>
        <v>0.0450005319449445</v>
      </c>
      <c r="N41" s="1575" t="n">
        <f aca="false">$C41*M41</f>
        <v>415.688997570675</v>
      </c>
      <c r="O41" s="1565" t="n">
        <f aca="false">VLOOKUP($A41,Curves_Table,Escalation!$R$291)</f>
        <v>1.42116141710777</v>
      </c>
      <c r="P41" s="1577" t="n">
        <f aca="false">N41*O41</f>
        <v>590.761164863648</v>
      </c>
      <c r="R41" s="1578" t="n">
        <f aca="false">SUM(K41,P41)</f>
        <v>18249.3195702755</v>
      </c>
      <c r="S41" s="1540" t="n">
        <f aca="false">'Plant Operations'!C41</f>
        <v>480</v>
      </c>
      <c r="T41" s="1575" t="n">
        <f aca="false">R41*S41/1000</f>
        <v>8759.67339373226</v>
      </c>
      <c r="U41" s="1576" t="n">
        <f aca="false">$I41</f>
        <v>1.94299961754803</v>
      </c>
      <c r="V41" s="394" t="n">
        <f aca="false">T41/U41</f>
        <v>4508.32481623776</v>
      </c>
      <c r="W41" s="1579" t="str">
        <f aca="false">IF(MONTH($A41)=12,SUM(V30:V41)," ")</f>
        <v> </v>
      </c>
      <c r="Y41" s="1580" t="n">
        <f aca="false">IF($A41&gt;Endyr,0,VLOOKUP($A41,Tariff_Table,Tariff!$J$33))</f>
        <v>0.19</v>
      </c>
      <c r="Z41" s="1576" t="n">
        <f aca="false">VLOOKUP($A41,Curves_Table,Escalation!$AH$291)</f>
        <v>1.42116141710777</v>
      </c>
      <c r="AA41" s="1576" t="n">
        <f aca="false">Y41*Z41</f>
        <v>0.270020669250476</v>
      </c>
      <c r="AB41" s="397" t="n">
        <f aca="false">'Plant Operations'!$I41+'Plant Operations'!$M41</f>
        <v>289336.32</v>
      </c>
      <c r="AC41" s="1575" t="n">
        <f aca="false">AA41*AB41/1000</f>
        <v>78.12678676487</v>
      </c>
      <c r="AD41" s="1576" t="n">
        <f aca="false">$I41</f>
        <v>1.94299961754803</v>
      </c>
      <c r="AE41" s="1566" t="n">
        <f aca="false">AC41/AD41</f>
        <v>40.2093680612568</v>
      </c>
      <c r="AF41" s="1567" t="str">
        <f aca="false">IF(MONTH($A41)=12,SUM(AE30:AE41)," ")</f>
        <v> </v>
      </c>
    </row>
    <row r="42" customFormat="false" ht="12.75" hidden="false" customHeight="false" outlineLevel="0" collapsed="false">
      <c r="A42" s="1538" t="n">
        <f aca="false">'Plant Operations'!A42</f>
        <v>37165</v>
      </c>
      <c r="C42" s="1574" t="n">
        <f aca="false">IF($A42&gt;Endyr,0,VLOOKUP($A42,Tariff_Table,Tariff!$D$33))</f>
        <v>9237.42408376963</v>
      </c>
      <c r="E42" s="1561" t="n">
        <f aca="false">VLOOKUP($A42,Tariff_Table,Tariff!$E$33)</f>
        <v>0.954999468055056</v>
      </c>
      <c r="F42" s="1575" t="n">
        <f aca="false">$C42*E42</f>
        <v>8821.73508619896</v>
      </c>
      <c r="G42" s="1565" t="n">
        <f aca="false">VLOOKUP($A42,Curves_Table,Escalation!$N$291)</f>
        <v>1.09718061747934</v>
      </c>
      <c r="H42" s="1575" t="n">
        <f aca="false">F42*G42</f>
        <v>9679.03674911494</v>
      </c>
      <c r="I42" s="1576" t="n">
        <f aca="false">IF(Assm!$L$74=0,VLOOKUP($A42,Curves_Table,Escalation!$D$291),VLOOKUP($A42,Curves_Table,Escalation!$E$291))</f>
        <v>1.95910652681061</v>
      </c>
      <c r="J42" s="1576" t="n">
        <f aca="false">IF($A42&lt;EE_Date,VLOOKUP($A42,Curves_Table,Escalation!$D$291),Exch)</f>
        <v>1.065</v>
      </c>
      <c r="K42" s="1577" t="n">
        <f aca="false">H42*I42/J42</f>
        <v>17804.942787259</v>
      </c>
      <c r="M42" s="1561" t="n">
        <f aca="false">VLOOKUP($A42,Tariff_Table,Tariff!$F$33)</f>
        <v>0.0450005319449445</v>
      </c>
      <c r="N42" s="1575" t="n">
        <f aca="false">$C42*M42</f>
        <v>415.688997570675</v>
      </c>
      <c r="O42" s="1565" t="n">
        <f aca="false">VLOOKUP($A42,Curves_Table,Escalation!$R$291)</f>
        <v>1.42116141710777</v>
      </c>
      <c r="P42" s="1577" t="n">
        <f aca="false">N42*O42</f>
        <v>590.761164863648</v>
      </c>
      <c r="R42" s="1578" t="n">
        <f aca="false">SUM(K42,P42)</f>
        <v>18395.7039521226</v>
      </c>
      <c r="S42" s="1540" t="n">
        <f aca="false">'Plant Operations'!C42</f>
        <v>480</v>
      </c>
      <c r="T42" s="1575" t="n">
        <f aca="false">R42*S42/1000</f>
        <v>8829.93789701887</v>
      </c>
      <c r="U42" s="1576" t="n">
        <f aca="false">$I42</f>
        <v>1.95910652681061</v>
      </c>
      <c r="V42" s="394" t="n">
        <f aca="false">T42/U42</f>
        <v>4507.12494506047</v>
      </c>
      <c r="W42" s="1579" t="str">
        <f aca="false">IF(MONTH($A42)=12,SUM(V31:V42)," ")</f>
        <v> </v>
      </c>
      <c r="Y42" s="1580" t="n">
        <f aca="false">IF($A42&gt;Endyr,0,VLOOKUP($A42,Tariff_Table,Tariff!$J$33))</f>
        <v>0.19</v>
      </c>
      <c r="Z42" s="1576" t="n">
        <f aca="false">VLOOKUP($A42,Curves_Table,Escalation!$AH$291)</f>
        <v>1.42116141710777</v>
      </c>
      <c r="AA42" s="1576" t="n">
        <f aca="false">Y42*Z42</f>
        <v>0.270020669250476</v>
      </c>
      <c r="AB42" s="397" t="n">
        <f aca="false">'Plant Operations'!$I42+'Plant Operations'!$M42</f>
        <v>298980.864</v>
      </c>
      <c r="AC42" s="1575" t="n">
        <f aca="false">AA42*AB42/1000</f>
        <v>80.7310129903656</v>
      </c>
      <c r="AD42" s="1576" t="n">
        <f aca="false">$I42</f>
        <v>1.95910652681061</v>
      </c>
      <c r="AE42" s="1566" t="n">
        <f aca="false">AC42/AD42</f>
        <v>41.2080771951662</v>
      </c>
      <c r="AF42" s="1567" t="str">
        <f aca="false">IF(MONTH($A42)=12,SUM(AE31:AE42)," ")</f>
        <v> </v>
      </c>
    </row>
    <row r="43" customFormat="false" ht="12.75" hidden="false" customHeight="false" outlineLevel="0" collapsed="false">
      <c r="A43" s="1538" t="n">
        <f aca="false">'Plant Operations'!A43</f>
        <v>37196</v>
      </c>
      <c r="C43" s="1574" t="n">
        <f aca="false">IF($A43&gt;Endyr,0,VLOOKUP($A43,Tariff_Table,Tariff!$D$33))</f>
        <v>9237.42408376963</v>
      </c>
      <c r="E43" s="1561" t="n">
        <f aca="false">VLOOKUP($A43,Tariff_Table,Tariff!$E$33)</f>
        <v>0.954999468055056</v>
      </c>
      <c r="F43" s="1575" t="n">
        <f aca="false">$C43*E43</f>
        <v>8821.73508619896</v>
      </c>
      <c r="G43" s="1565" t="n">
        <f aca="false">VLOOKUP($A43,Curves_Table,Escalation!$N$291)</f>
        <v>1.09718061747934</v>
      </c>
      <c r="H43" s="1575" t="n">
        <f aca="false">F43*G43</f>
        <v>9679.03674911494</v>
      </c>
      <c r="I43" s="1576" t="n">
        <f aca="false">IF(Assm!$L$74=0,VLOOKUP($A43,Curves_Table,Escalation!$D$291),VLOOKUP($A43,Curves_Table,Escalation!$E$291))</f>
        <v>1.97534695772891</v>
      </c>
      <c r="J43" s="1576" t="n">
        <f aca="false">IF($A43&lt;EE_Date,VLOOKUP($A43,Curves_Table,Escalation!$D$291),Exch)</f>
        <v>1.065</v>
      </c>
      <c r="K43" s="1577" t="n">
        <f aca="false">H43*I43/J43</f>
        <v>17952.5406536249</v>
      </c>
      <c r="M43" s="1561" t="n">
        <f aca="false">VLOOKUP($A43,Tariff_Table,Tariff!$F$33)</f>
        <v>0.0450005319449445</v>
      </c>
      <c r="N43" s="1575" t="n">
        <f aca="false">$C43*M43</f>
        <v>415.688997570675</v>
      </c>
      <c r="O43" s="1565" t="n">
        <f aca="false">VLOOKUP($A43,Curves_Table,Escalation!$R$291)</f>
        <v>1.42116141710777</v>
      </c>
      <c r="P43" s="1577" t="n">
        <f aca="false">N43*O43</f>
        <v>590.761164863648</v>
      </c>
      <c r="R43" s="1578" t="n">
        <f aca="false">SUM(K43,P43)</f>
        <v>18543.3018184885</v>
      </c>
      <c r="S43" s="1540" t="n">
        <f aca="false">'Plant Operations'!C43</f>
        <v>480</v>
      </c>
      <c r="T43" s="1575" t="n">
        <f aca="false">R43*S43/1000</f>
        <v>8900.78487287449</v>
      </c>
      <c r="U43" s="1576" t="n">
        <f aca="false">$I43</f>
        <v>1.97534695772891</v>
      </c>
      <c r="V43" s="394" t="n">
        <f aca="false">T43/U43</f>
        <v>4505.93493869446</v>
      </c>
      <c r="W43" s="1579" t="str">
        <f aca="false">IF(MONTH($A43)=12,SUM(V32:V43)," ")</f>
        <v> </v>
      </c>
      <c r="Y43" s="1580" t="n">
        <f aca="false">IF($A43&gt;Endyr,0,VLOOKUP($A43,Tariff_Table,Tariff!$J$33))</f>
        <v>0.19</v>
      </c>
      <c r="Z43" s="1576" t="n">
        <f aca="false">VLOOKUP($A43,Curves_Table,Escalation!$AH$291)</f>
        <v>1.42116141710777</v>
      </c>
      <c r="AA43" s="1576" t="n">
        <f aca="false">Y43*Z43</f>
        <v>0.270020669250476</v>
      </c>
      <c r="AB43" s="397" t="n">
        <f aca="false">'Plant Operations'!$I43+'Plant Operations'!$M43</f>
        <v>289336.32</v>
      </c>
      <c r="AC43" s="1575" t="n">
        <f aca="false">AA43*AB43/1000</f>
        <v>78.12678676487</v>
      </c>
      <c r="AD43" s="1576" t="n">
        <f aca="false">$I43</f>
        <v>1.97534695772891</v>
      </c>
      <c r="AE43" s="1566" t="n">
        <f aca="false">AC43/AD43</f>
        <v>39.5509186166939</v>
      </c>
      <c r="AF43" s="1567" t="str">
        <f aca="false">IF(MONTH($A43)=12,SUM(AE32:AE43)," ")</f>
        <v> </v>
      </c>
    </row>
    <row r="44" customFormat="false" ht="12.75" hidden="false" customHeight="false" outlineLevel="0" collapsed="false">
      <c r="A44" s="1538" t="n">
        <f aca="false">'Plant Operations'!A44</f>
        <v>37226</v>
      </c>
      <c r="C44" s="1574" t="n">
        <f aca="false">IF($A44&gt;Endyr,0,VLOOKUP($A44,Tariff_Table,Tariff!$D$33))</f>
        <v>9237.42408376963</v>
      </c>
      <c r="E44" s="1561" t="n">
        <f aca="false">VLOOKUP($A44,Tariff_Table,Tariff!$E$33)</f>
        <v>0.954999468055056</v>
      </c>
      <c r="F44" s="1575" t="n">
        <f aca="false">$C44*E44</f>
        <v>8821.73508619896</v>
      </c>
      <c r="G44" s="1565" t="n">
        <f aca="false">VLOOKUP($A44,Curves_Table,Escalation!$N$291)</f>
        <v>1.09718061747934</v>
      </c>
      <c r="H44" s="1575" t="n">
        <f aca="false">F44*G44</f>
        <v>9679.03674911494</v>
      </c>
      <c r="I44" s="1576" t="n">
        <f aca="false">IF(Assm!$L$74=0,VLOOKUP($A44,Curves_Table,Escalation!$D$291),VLOOKUP($A44,Curves_Table,Escalation!$E$291))</f>
        <v>1.99172201715913</v>
      </c>
      <c r="J44" s="1576" t="n">
        <f aca="false">IF($A44&lt;EE_Date,VLOOKUP($A44,Curves_Table,Escalation!$D$291),Exch)</f>
        <v>1.065</v>
      </c>
      <c r="K44" s="1577" t="n">
        <f aca="false">H44*I44/J44</f>
        <v>18101.362063948</v>
      </c>
      <c r="M44" s="1561" t="n">
        <f aca="false">VLOOKUP($A44,Tariff_Table,Tariff!$F$33)</f>
        <v>0.0450005319449445</v>
      </c>
      <c r="N44" s="1575" t="n">
        <f aca="false">$C44*M44</f>
        <v>415.688997570675</v>
      </c>
      <c r="O44" s="1565" t="n">
        <f aca="false">VLOOKUP($A44,Curves_Table,Escalation!$R$291)</f>
        <v>1.42116141710777</v>
      </c>
      <c r="P44" s="1577" t="n">
        <f aca="false">N44*O44</f>
        <v>590.761164863648</v>
      </c>
      <c r="R44" s="1578" t="n">
        <f aca="false">SUM(K44,P44)</f>
        <v>18692.1232288116</v>
      </c>
      <c r="S44" s="1540" t="n">
        <f aca="false">'Plant Operations'!C44</f>
        <v>480</v>
      </c>
      <c r="T44" s="1575" t="n">
        <f aca="false">R44*S44/1000</f>
        <v>8972.21914982957</v>
      </c>
      <c r="U44" s="1576" t="n">
        <f aca="false">$I44</f>
        <v>1.99172201715913</v>
      </c>
      <c r="V44" s="394" t="n">
        <f aca="false">T44/U44</f>
        <v>4504.75471603562</v>
      </c>
      <c r="W44" s="1579" t="n">
        <f aca="false">IF(MONTH($A44)=12,SUM(V33:V44)," ")</f>
        <v>35822.2077968945</v>
      </c>
      <c r="Y44" s="1580" t="n">
        <f aca="false">IF($A44&gt;Endyr,0,VLOOKUP($A44,Tariff_Table,Tariff!$J$33))</f>
        <v>0.19</v>
      </c>
      <c r="Z44" s="1576" t="n">
        <f aca="false">VLOOKUP($A44,Curves_Table,Escalation!$AH$291)</f>
        <v>1.42116141710777</v>
      </c>
      <c r="AA44" s="1576" t="n">
        <f aca="false">Y44*Z44</f>
        <v>0.270020669250476</v>
      </c>
      <c r="AB44" s="397" t="n">
        <f aca="false">'Plant Operations'!$I44+'Plant Operations'!$M44</f>
        <v>298980.864</v>
      </c>
      <c r="AC44" s="1575" t="n">
        <f aca="false">AA44*AB44/1000</f>
        <v>80.7310129903656</v>
      </c>
      <c r="AD44" s="1576" t="n">
        <f aca="false">$I44</f>
        <v>1.99172201715913</v>
      </c>
      <c r="AE44" s="1566" t="n">
        <f aca="false">AC44/AD44</f>
        <v>40.5332733658863</v>
      </c>
      <c r="AF44" s="1567" t="n">
        <f aca="false">IF(MONTH($A44)=12,SUM(AE33:AE44)," ")</f>
        <v>238.048644959993</v>
      </c>
    </row>
    <row r="45" customFormat="false" ht="12.75" hidden="false" customHeight="false" outlineLevel="0" collapsed="false">
      <c r="A45" s="1538" t="n">
        <f aca="false">'Plant Operations'!A45</f>
        <v>37257</v>
      </c>
      <c r="C45" s="1574" t="n">
        <f aca="false">IF($A45&gt;Endyr,0,VLOOKUP($A45,Tariff_Table,Tariff!$D$33))</f>
        <v>9237.42408376963</v>
      </c>
      <c r="E45" s="1561" t="n">
        <f aca="false">VLOOKUP($A45,Tariff_Table,Tariff!$E$33)</f>
        <v>0.954999468055056</v>
      </c>
      <c r="F45" s="1575" t="n">
        <f aca="false">$C45*E45</f>
        <v>8821.73508619896</v>
      </c>
      <c r="G45" s="1565" t="n">
        <f aca="false">VLOOKUP($A45,Curves_Table,Escalation!$N$291)</f>
        <v>1.09718061747934</v>
      </c>
      <c r="H45" s="1581" t="n">
        <f aca="false">F45*G45</f>
        <v>9679.03674911494</v>
      </c>
      <c r="I45" s="1576" t="n">
        <f aca="false">IF(Assm!$L$74=0,VLOOKUP($A45,Curves_Table,Escalation!$D$291),VLOOKUP($A45,Curves_Table,Escalation!$E$291))</f>
        <v>2.00248656102165</v>
      </c>
      <c r="J45" s="1576" t="n">
        <f aca="false">IF($A45&lt;EE_Date,VLOOKUP($A45,Curves_Table,Escalation!$D$291),Exch)</f>
        <v>1.065</v>
      </c>
      <c r="K45" s="1582" t="n">
        <f aca="false">H45*I45/J45</f>
        <v>18199.1934401289</v>
      </c>
      <c r="M45" s="1561" t="n">
        <f aca="false">VLOOKUP($A45,Tariff_Table,Tariff!$F$33)</f>
        <v>0.0450005319449445</v>
      </c>
      <c r="N45" s="1575" t="n">
        <f aca="false">$C45*M45</f>
        <v>415.688997570675</v>
      </c>
      <c r="O45" s="1565" t="n">
        <f aca="false">VLOOKUP($A45,Curves_Table,Escalation!$R$291)</f>
        <v>1.42116141710777</v>
      </c>
      <c r="P45" s="1582" t="n">
        <f aca="false">N45*O45</f>
        <v>590.761164863648</v>
      </c>
      <c r="R45" s="1583" t="n">
        <f aca="false">SUM(K45,P45)</f>
        <v>18789.9546049926</v>
      </c>
      <c r="S45" s="1540" t="n">
        <f aca="false">'Plant Operations'!C45</f>
        <v>480</v>
      </c>
      <c r="T45" s="1584" t="n">
        <f aca="false">R45*S45/1000</f>
        <v>9019.17821039644</v>
      </c>
      <c r="U45" s="1576" t="n">
        <f aca="false">$I45</f>
        <v>2.00248656102165</v>
      </c>
      <c r="V45" s="1585" t="n">
        <f aca="false">T45/U45</f>
        <v>4503.98938297741</v>
      </c>
      <c r="W45" s="1579" t="str">
        <f aca="false">IF(MONTH($A45)=12,SUM(V34:V45)," ")</f>
        <v> </v>
      </c>
      <c r="Y45" s="1580" t="n">
        <f aca="false">IF($A45&gt;Endyr,0,VLOOKUP($A45,Tariff_Table,Tariff!$J$33))</f>
        <v>0.19</v>
      </c>
      <c r="Z45" s="1576" t="n">
        <f aca="false">VLOOKUP($A45,Curves_Table,Escalation!$AH$291)</f>
        <v>1.42116141710777</v>
      </c>
      <c r="AA45" s="1576" t="n">
        <f aca="false">Y45*Z45</f>
        <v>0.270020669250476</v>
      </c>
      <c r="AB45" s="397" t="n">
        <f aca="false">'Plant Operations'!$I45+'Plant Operations'!$M45</f>
        <v>298980.864</v>
      </c>
      <c r="AC45" s="1575" t="n">
        <f aca="false">AA45*AB45/1000</f>
        <v>80.7310129903656</v>
      </c>
      <c r="AD45" s="1576" t="n">
        <f aca="false">$I45</f>
        <v>2.00248656102165</v>
      </c>
      <c r="AE45" s="1566" t="n">
        <f aca="false">AC45/AD45</f>
        <v>40.3153831650074</v>
      </c>
      <c r="AF45" s="1567" t="str">
        <f aca="false">IF(MONTH($A45)=12,SUM(AE34:AE45)," ")</f>
        <v> </v>
      </c>
    </row>
    <row r="46" customFormat="false" ht="12.75" hidden="false" customHeight="false" outlineLevel="0" collapsed="false">
      <c r="A46" s="1538" t="n">
        <f aca="false">'Plant Operations'!A46</f>
        <v>37288</v>
      </c>
      <c r="C46" s="1574" t="n">
        <f aca="false">IF($A46&gt;Endyr,0,VLOOKUP($A46,Tariff_Table,Tariff!$D$33))</f>
        <v>9237.42408376963</v>
      </c>
      <c r="E46" s="1561" t="n">
        <f aca="false">VLOOKUP($A46,Tariff_Table,Tariff!$E$33)</f>
        <v>0.954999468055056</v>
      </c>
      <c r="F46" s="1575" t="n">
        <f aca="false">$C46*E46</f>
        <v>8821.73508619896</v>
      </c>
      <c r="G46" s="1565" t="n">
        <f aca="false">VLOOKUP($A46,Curves_Table,Escalation!$N$291)</f>
        <v>1.09718061747934</v>
      </c>
      <c r="H46" s="1575" t="n">
        <f aca="false">F46*G46</f>
        <v>9679.03674911494</v>
      </c>
      <c r="I46" s="1576" t="n">
        <f aca="false">IF(Assm!$L$74=0,VLOOKUP($A46,Curves_Table,Escalation!$D$291),VLOOKUP($A46,Curves_Table,Escalation!$E$291))</f>
        <v>2.01330928338677</v>
      </c>
      <c r="J46" s="1576" t="n">
        <f aca="false">IF($A46&lt;EE_Date,VLOOKUP($A46,Curves_Table,Escalation!$D$291),Exch)</f>
        <v>1.065</v>
      </c>
      <c r="K46" s="1577" t="n">
        <f aca="false">H46*I46/J46</f>
        <v>18297.5535598449</v>
      </c>
      <c r="M46" s="1561" t="n">
        <f aca="false">VLOOKUP($A46,Tariff_Table,Tariff!$F$33)</f>
        <v>0.0450005319449445</v>
      </c>
      <c r="N46" s="1575" t="n">
        <f aca="false">$C46*M46</f>
        <v>415.688997570675</v>
      </c>
      <c r="O46" s="1565" t="n">
        <f aca="false">VLOOKUP($A46,Curves_Table,Escalation!$R$291)</f>
        <v>1.42116141710777</v>
      </c>
      <c r="P46" s="1577" t="n">
        <f aca="false">N46*O46</f>
        <v>590.761164863648</v>
      </c>
      <c r="R46" s="1578" t="n">
        <f aca="false">SUM(K46,P46)</f>
        <v>18888.3147247085</v>
      </c>
      <c r="S46" s="1540" t="n">
        <f aca="false">'Plant Operations'!C46</f>
        <v>480</v>
      </c>
      <c r="T46" s="1575" t="n">
        <f aca="false">R46*S46/1000</f>
        <v>9066.3910678601</v>
      </c>
      <c r="U46" s="1576" t="n">
        <f aca="false">$I46</f>
        <v>2.01330928338677</v>
      </c>
      <c r="V46" s="394" t="n">
        <f aca="false">T46/U46</f>
        <v>4503.22816403484</v>
      </c>
      <c r="W46" s="1579" t="str">
        <f aca="false">IF(MONTH($A46)=12,SUM(V35:V46)," ")</f>
        <v> </v>
      </c>
      <c r="Y46" s="1580" t="n">
        <f aca="false">IF($A46&gt;Endyr,0,VLOOKUP($A46,Tariff_Table,Tariff!$J$33))</f>
        <v>0.19</v>
      </c>
      <c r="Z46" s="1576" t="n">
        <f aca="false">VLOOKUP($A46,Curves_Table,Escalation!$AH$291)</f>
        <v>1.42116141710777</v>
      </c>
      <c r="AA46" s="1576" t="n">
        <f aca="false">Y46*Z46</f>
        <v>0.270020669250476</v>
      </c>
      <c r="AB46" s="397" t="n">
        <f aca="false">'Plant Operations'!$I46+'Plant Operations'!$M46</f>
        <v>270047.232</v>
      </c>
      <c r="AC46" s="1575" t="n">
        <f aca="false">AA46*AB46/1000</f>
        <v>72.9183343138786</v>
      </c>
      <c r="AD46" s="1576" t="n">
        <f aca="false">$I46</f>
        <v>2.01330928338677</v>
      </c>
      <c r="AE46" s="1566" t="n">
        <f aca="false">AC46/AD46</f>
        <v>36.2181483568268</v>
      </c>
      <c r="AF46" s="1567" t="str">
        <f aca="false">IF(MONTH($A46)=12,SUM(AE35:AE46)," ")</f>
        <v> </v>
      </c>
    </row>
    <row r="47" customFormat="false" ht="12.75" hidden="false" customHeight="false" outlineLevel="0" collapsed="false">
      <c r="A47" s="1538" t="n">
        <f aca="false">'Plant Operations'!A47</f>
        <v>37316</v>
      </c>
      <c r="C47" s="1574" t="n">
        <f aca="false">IF($A47&gt;Endyr,0,VLOOKUP($A47,Tariff_Table,Tariff!$D$33))</f>
        <v>9237.42408376963</v>
      </c>
      <c r="E47" s="1561" t="n">
        <f aca="false">VLOOKUP($A47,Tariff_Table,Tariff!$E$33)</f>
        <v>0.954999468055056</v>
      </c>
      <c r="F47" s="1575" t="n">
        <f aca="false">$C47*E47</f>
        <v>8821.73508619896</v>
      </c>
      <c r="G47" s="1565" t="n">
        <f aca="false">VLOOKUP($A47,Curves_Table,Escalation!$N$291)</f>
        <v>1.09718061747934</v>
      </c>
      <c r="H47" s="1575" t="n">
        <f aca="false">F47*G47</f>
        <v>9679.03674911494</v>
      </c>
      <c r="I47" s="1576" t="n">
        <f aca="false">IF(Assm!$L$74=0,VLOOKUP($A47,Curves_Table,Escalation!$D$291),VLOOKUP($A47,Curves_Table,Escalation!$E$291))</f>
        <v>2.02419049868846</v>
      </c>
      <c r="J47" s="1576" t="n">
        <f aca="false">IF($A47&lt;EE_Date,VLOOKUP($A47,Curves_Table,Escalation!$D$291),Exch)</f>
        <v>1.065</v>
      </c>
      <c r="K47" s="1577" t="n">
        <f aca="false">H47*I47/J47</f>
        <v>18396.4452807652</v>
      </c>
      <c r="M47" s="1561" t="n">
        <f aca="false">VLOOKUP($A47,Tariff_Table,Tariff!$F$33)</f>
        <v>0.0450005319449445</v>
      </c>
      <c r="N47" s="1575" t="n">
        <f aca="false">$C47*M47</f>
        <v>415.688997570675</v>
      </c>
      <c r="O47" s="1565" t="n">
        <f aca="false">VLOOKUP($A47,Curves_Table,Escalation!$R$291)</f>
        <v>1.42116141710777</v>
      </c>
      <c r="P47" s="1577" t="n">
        <f aca="false">N47*O47</f>
        <v>590.761164863648</v>
      </c>
      <c r="R47" s="1578" t="n">
        <f aca="false">SUM(K47,P47)</f>
        <v>18987.2064456288</v>
      </c>
      <c r="S47" s="1540" t="n">
        <f aca="false">'Plant Operations'!C47</f>
        <v>480</v>
      </c>
      <c r="T47" s="1575" t="n">
        <f aca="false">R47*S47/1000</f>
        <v>9113.85909390183</v>
      </c>
      <c r="U47" s="1576" t="n">
        <f aca="false">$I47</f>
        <v>2.02419049868846</v>
      </c>
      <c r="V47" s="394" t="n">
        <f aca="false">T47/U47</f>
        <v>4502.47103709211</v>
      </c>
      <c r="W47" s="1579" t="str">
        <f aca="false">IF(MONTH($A47)=12,SUM(V36:V47)," ")</f>
        <v> </v>
      </c>
      <c r="Y47" s="1580" t="n">
        <f aca="false">IF($A47&gt;Endyr,0,VLOOKUP($A47,Tariff_Table,Tariff!$J$33))</f>
        <v>0.19</v>
      </c>
      <c r="Z47" s="1576" t="n">
        <f aca="false">VLOOKUP($A47,Curves_Table,Escalation!$AH$291)</f>
        <v>1.42116141710777</v>
      </c>
      <c r="AA47" s="1576" t="n">
        <f aca="false">Y47*Z47</f>
        <v>0.270020669250476</v>
      </c>
      <c r="AB47" s="397" t="n">
        <f aca="false">'Plant Operations'!$I47+'Plant Operations'!$M47</f>
        <v>298980.864</v>
      </c>
      <c r="AC47" s="1575" t="n">
        <f aca="false">AA47*AB47/1000</f>
        <v>80.7310129903656</v>
      </c>
      <c r="AD47" s="1576" t="n">
        <f aca="false">$I47</f>
        <v>2.02419049868846</v>
      </c>
      <c r="AE47" s="1566" t="n">
        <f aca="false">AC47/AD47</f>
        <v>39.8831103311047</v>
      </c>
      <c r="AF47" s="1567" t="str">
        <f aca="false">IF(MONTH($A47)=12,SUM(AE36:AE47)," ")</f>
        <v> </v>
      </c>
    </row>
    <row r="48" customFormat="false" ht="12.75" hidden="false" customHeight="false" outlineLevel="0" collapsed="false">
      <c r="A48" s="1538" t="n">
        <f aca="false">'Plant Operations'!A48</f>
        <v>37347</v>
      </c>
      <c r="C48" s="1574" t="n">
        <f aca="false">IF($A48&gt;Endyr,0,VLOOKUP($A48,Tariff_Table,Tariff!$D$33))</f>
        <v>9237.42408376963</v>
      </c>
      <c r="E48" s="1561" t="n">
        <f aca="false">VLOOKUP($A48,Tariff_Table,Tariff!$E$33)</f>
        <v>0.954999468055056</v>
      </c>
      <c r="F48" s="1575" t="n">
        <f aca="false">$C48*E48</f>
        <v>8821.73508619896</v>
      </c>
      <c r="G48" s="1565" t="n">
        <f aca="false">VLOOKUP($A48,Curves_Table,Escalation!$N$291)</f>
        <v>1.09718061747934</v>
      </c>
      <c r="H48" s="1575" t="n">
        <f aca="false">F48*G48</f>
        <v>9679.03674911494</v>
      </c>
      <c r="I48" s="1576" t="n">
        <f aca="false">IF(Assm!$L$74=0,VLOOKUP($A48,Curves_Table,Escalation!$D$291),VLOOKUP($A48,Curves_Table,Escalation!$E$291))</f>
        <v>2.03513052306008</v>
      </c>
      <c r="J48" s="1576" t="n">
        <f aca="false">IF($A48&lt;EE_Date,VLOOKUP($A48,Curves_Table,Escalation!$D$291),Exch)</f>
        <v>1.065</v>
      </c>
      <c r="K48" s="1577" t="n">
        <f aca="false">H48*I48/J48</f>
        <v>18495.8714760038</v>
      </c>
      <c r="M48" s="1561" t="n">
        <f aca="false">VLOOKUP($A48,Tariff_Table,Tariff!$F$33)</f>
        <v>0.0450005319449445</v>
      </c>
      <c r="N48" s="1575" t="n">
        <f aca="false">$C48*M48</f>
        <v>415.688997570675</v>
      </c>
      <c r="O48" s="1565" t="n">
        <f aca="false">VLOOKUP($A48,Curves_Table,Escalation!$R$291)</f>
        <v>1.42116141710777</v>
      </c>
      <c r="P48" s="1577" t="n">
        <f aca="false">N48*O48</f>
        <v>590.761164863648</v>
      </c>
      <c r="R48" s="1578" t="n">
        <f aca="false">SUM(K48,P48)</f>
        <v>19086.6326408675</v>
      </c>
      <c r="S48" s="1540" t="n">
        <f aca="false">'Plant Operations'!C48</f>
        <v>480</v>
      </c>
      <c r="T48" s="1575" t="n">
        <f aca="false">R48*S48/1000</f>
        <v>9161.58366761638</v>
      </c>
      <c r="U48" s="1576" t="n">
        <f aca="false">$I48</f>
        <v>2.03513052306008</v>
      </c>
      <c r="V48" s="394" t="n">
        <f aca="false">T48/U48</f>
        <v>4501.71798015232</v>
      </c>
      <c r="W48" s="1579" t="str">
        <f aca="false">IF(MONTH($A48)=12,SUM(V37:V48)," ")</f>
        <v> </v>
      </c>
      <c r="Y48" s="1580" t="n">
        <f aca="false">IF($A48&gt;Endyr,0,VLOOKUP($A48,Tariff_Table,Tariff!$J$33))</f>
        <v>0.19</v>
      </c>
      <c r="Z48" s="1576" t="n">
        <f aca="false">VLOOKUP($A48,Curves_Table,Escalation!$AH$291)</f>
        <v>1.42116141710777</v>
      </c>
      <c r="AA48" s="1576" t="n">
        <f aca="false">Y48*Z48</f>
        <v>0.270020669250476</v>
      </c>
      <c r="AB48" s="397" t="n">
        <f aca="false">'Plant Operations'!$I48+'Plant Operations'!$M48</f>
        <v>289336.32</v>
      </c>
      <c r="AC48" s="1575" t="n">
        <f aca="false">AA48*AB48/1000</f>
        <v>78.12678676487</v>
      </c>
      <c r="AD48" s="1576" t="n">
        <f aca="false">$I48</f>
        <v>2.03513052306008</v>
      </c>
      <c r="AE48" s="1566" t="n">
        <f aca="false">AC48/AD48</f>
        <v>38.3890791669697</v>
      </c>
      <c r="AF48" s="1567" t="str">
        <f aca="false">IF(MONTH($A48)=12,SUM(AE37:AE48)," ")</f>
        <v> </v>
      </c>
    </row>
    <row r="49" customFormat="false" ht="12.75" hidden="false" customHeight="false" outlineLevel="0" collapsed="false">
      <c r="A49" s="1538" t="n">
        <f aca="false">'Plant Operations'!A49</f>
        <v>37377</v>
      </c>
      <c r="C49" s="1574" t="n">
        <f aca="false">IF($A49&gt;Endyr,0,VLOOKUP($A49,Tariff_Table,Tariff!$D$33))</f>
        <v>9179.88601036269</v>
      </c>
      <c r="E49" s="1561" t="n">
        <f aca="false">VLOOKUP($A49,Tariff_Table,Tariff!$E$33)</f>
        <v>0.964999554567151</v>
      </c>
      <c r="F49" s="1575" t="n">
        <f aca="false">$C49*E49</f>
        <v>8858.58591097722</v>
      </c>
      <c r="G49" s="1565" t="n">
        <f aca="false">VLOOKUP($A49,Curves_Table,Escalation!$N$291)</f>
        <v>1.13219066683837</v>
      </c>
      <c r="H49" s="1575" t="n">
        <f aca="false">F49*G49</f>
        <v>10029.6082897943</v>
      </c>
      <c r="I49" s="1576" t="n">
        <f aca="false">IF(Assm!$L$74=0,VLOOKUP($A49,Curves_Table,Escalation!$D$291),VLOOKUP($A49,Curves_Table,Escalation!$E$291))</f>
        <v>2.04612967434359</v>
      </c>
      <c r="J49" s="1576" t="n">
        <f aca="false">IF($A49&lt;EE_Date,VLOOKUP($A49,Curves_Table,Escalation!$D$291),Exch)</f>
        <v>1.065</v>
      </c>
      <c r="K49" s="1577" t="n">
        <f aca="false">H49*I49/J49</f>
        <v>19269.3700880662</v>
      </c>
      <c r="M49" s="1561" t="n">
        <f aca="false">VLOOKUP($A49,Tariff_Table,Tariff!$F$33)</f>
        <v>0.035000445432849</v>
      </c>
      <c r="N49" s="1575" t="n">
        <f aca="false">$C49*M49</f>
        <v>321.300099385473</v>
      </c>
      <c r="O49" s="1565" t="n">
        <f aca="false">VLOOKUP($A49,Curves_Table,Escalation!$R$291)</f>
        <v>1.5466937113115</v>
      </c>
      <c r="P49" s="1577" t="n">
        <f aca="false">N49*O49</f>
        <v>496.952843163271</v>
      </c>
      <c r="R49" s="1578" t="n">
        <f aca="false">SUM(K49,P49)</f>
        <v>19766.3229312295</v>
      </c>
      <c r="S49" s="1540" t="n">
        <f aca="false">'Plant Operations'!C49</f>
        <v>480</v>
      </c>
      <c r="T49" s="1575" t="n">
        <f aca="false">R49*S49/1000</f>
        <v>9487.83500699014</v>
      </c>
      <c r="U49" s="1576" t="n">
        <f aca="false">$I49</f>
        <v>2.04612967434359</v>
      </c>
      <c r="V49" s="394" t="n">
        <f aca="false">T49/U49</f>
        <v>4636.96662335631</v>
      </c>
      <c r="W49" s="1579" t="str">
        <f aca="false">IF(MONTH($A49)=12,SUM(V38:V49)," ")</f>
        <v> </v>
      </c>
      <c r="Y49" s="1580" t="n">
        <f aca="false">IF($A49&gt;Endyr,0,VLOOKUP($A49,Tariff_Table,Tariff!$J$33))</f>
        <v>0.19</v>
      </c>
      <c r="Z49" s="1576" t="n">
        <f aca="false">VLOOKUP($A49,Curves_Table,Escalation!$AH$291)</f>
        <v>1.5466937113115</v>
      </c>
      <c r="AA49" s="1576" t="n">
        <f aca="false">Y49*Z49</f>
        <v>0.293871805149185</v>
      </c>
      <c r="AB49" s="397" t="n">
        <f aca="false">'Plant Operations'!$I49+'Plant Operations'!$M49</f>
        <v>298980.864</v>
      </c>
      <c r="AC49" s="1575" t="n">
        <f aca="false">AA49*AB49/1000</f>
        <v>87.862046208743</v>
      </c>
      <c r="AD49" s="1576" t="n">
        <f aca="false">$I49</f>
        <v>2.04612967434359</v>
      </c>
      <c r="AE49" s="1566" t="n">
        <f aca="false">AC49/AD49</f>
        <v>42.9406050410415</v>
      </c>
      <c r="AF49" s="1567" t="str">
        <f aca="false">IF(MONTH($A49)=12,SUM(AE38:AE49)," ")</f>
        <v> </v>
      </c>
    </row>
    <row r="50" customFormat="false" ht="12.75" hidden="false" customHeight="false" outlineLevel="0" collapsed="false">
      <c r="A50" s="1538" t="n">
        <f aca="false">'Plant Operations'!A50</f>
        <v>37408</v>
      </c>
      <c r="C50" s="1574" t="n">
        <f aca="false">IF($A50&gt;Endyr,0,VLOOKUP($A50,Tariff_Table,Tariff!$D$33))</f>
        <v>9179.88601036269</v>
      </c>
      <c r="E50" s="1561" t="n">
        <f aca="false">VLOOKUP($A50,Tariff_Table,Tariff!$E$33)</f>
        <v>0.964999554567151</v>
      </c>
      <c r="F50" s="1575" t="n">
        <f aca="false">$C50*E50</f>
        <v>8858.58591097722</v>
      </c>
      <c r="G50" s="1565" t="n">
        <f aca="false">VLOOKUP($A50,Curves_Table,Escalation!$N$291)</f>
        <v>1.13219066683837</v>
      </c>
      <c r="H50" s="1575" t="n">
        <f aca="false">F50*G50</f>
        <v>10029.6082897943</v>
      </c>
      <c r="I50" s="1576" t="n">
        <f aca="false">IF(Assm!$L$74=0,VLOOKUP($A50,Curves_Table,Escalation!$D$291),VLOOKUP($A50,Curves_Table,Escalation!$E$291))</f>
        <v>2.05718827209876</v>
      </c>
      <c r="J50" s="1576" t="n">
        <f aca="false">IF($A50&lt;EE_Date,VLOOKUP($A50,Curves_Table,Escalation!$D$291),Exch)</f>
        <v>1.065</v>
      </c>
      <c r="K50" s="1577" t="n">
        <f aca="false">H50*I50/J50</f>
        <v>19373.5141291166</v>
      </c>
      <c r="M50" s="1561" t="n">
        <f aca="false">VLOOKUP($A50,Tariff_Table,Tariff!$F$33)</f>
        <v>0.035000445432849</v>
      </c>
      <c r="N50" s="1575" t="n">
        <f aca="false">$C50*M50</f>
        <v>321.300099385473</v>
      </c>
      <c r="O50" s="1565" t="n">
        <f aca="false">VLOOKUP($A50,Curves_Table,Escalation!$R$291)</f>
        <v>1.5466937113115</v>
      </c>
      <c r="P50" s="1577" t="n">
        <f aca="false">N50*O50</f>
        <v>496.952843163271</v>
      </c>
      <c r="R50" s="1578" t="n">
        <f aca="false">SUM(K50,P50)</f>
        <v>19870.4669722799</v>
      </c>
      <c r="S50" s="1540" t="n">
        <f aca="false">'Plant Operations'!C50</f>
        <v>480</v>
      </c>
      <c r="T50" s="1575" t="n">
        <f aca="false">R50*S50/1000</f>
        <v>9537.82414669434</v>
      </c>
      <c r="U50" s="1576" t="n">
        <f aca="false">$I50</f>
        <v>2.05718827209876</v>
      </c>
      <c r="V50" s="394" t="n">
        <f aca="false">T50/U50</f>
        <v>4636.33993837803</v>
      </c>
      <c r="W50" s="1579" t="str">
        <f aca="false">IF(MONTH($A50)=12,SUM(V39:V50)," ")</f>
        <v> </v>
      </c>
      <c r="Y50" s="1580" t="n">
        <f aca="false">IF($A50&gt;Endyr,0,VLOOKUP($A50,Tariff_Table,Tariff!$J$33))</f>
        <v>0.19</v>
      </c>
      <c r="Z50" s="1576" t="n">
        <f aca="false">VLOOKUP($A50,Curves_Table,Escalation!$AH$291)</f>
        <v>1.5466937113115</v>
      </c>
      <c r="AA50" s="1576" t="n">
        <f aca="false">Y50*Z50</f>
        <v>0.293871805149185</v>
      </c>
      <c r="AB50" s="397" t="n">
        <f aca="false">'Plant Operations'!$I50+'Plant Operations'!$M50</f>
        <v>289336.32</v>
      </c>
      <c r="AC50" s="1575" t="n">
        <f aca="false">AA50*AB50/1000</f>
        <v>85.0277866536222</v>
      </c>
      <c r="AD50" s="1576" t="n">
        <f aca="false">$I50</f>
        <v>2.05718827209876</v>
      </c>
      <c r="AE50" s="1566" t="n">
        <f aca="false">AC50/AD50</f>
        <v>41.3320393698708</v>
      </c>
      <c r="AF50" s="1567" t="str">
        <f aca="false">IF(MONTH($A50)=12,SUM(AE39:AE50)," ")</f>
        <v> </v>
      </c>
    </row>
    <row r="51" customFormat="false" ht="12.75" hidden="false" customHeight="false" outlineLevel="0" collapsed="false">
      <c r="A51" s="1538" t="n">
        <f aca="false">'Plant Operations'!A51</f>
        <v>37438</v>
      </c>
      <c r="C51" s="1574" t="n">
        <f aca="false">IF($A51&gt;Endyr,0,VLOOKUP($A51,Tariff_Table,Tariff!$D$33))</f>
        <v>9179.88601036269</v>
      </c>
      <c r="E51" s="1561" t="n">
        <f aca="false">VLOOKUP($A51,Tariff_Table,Tariff!$E$33)</f>
        <v>0.964999554567151</v>
      </c>
      <c r="F51" s="1575" t="n">
        <f aca="false">$C51*E51</f>
        <v>8858.58591097722</v>
      </c>
      <c r="G51" s="1565" t="n">
        <f aca="false">VLOOKUP($A51,Curves_Table,Escalation!$N$291)</f>
        <v>1.13219066683837</v>
      </c>
      <c r="H51" s="1575" t="n">
        <f aca="false">F51*G51</f>
        <v>10029.6082897943</v>
      </c>
      <c r="I51" s="1576" t="n">
        <f aca="false">IF(Assm!$L$74=0,VLOOKUP($A51,Curves_Table,Escalation!$D$291),VLOOKUP($A51,Curves_Table,Escalation!$E$291))</f>
        <v>2.06830663761246</v>
      </c>
      <c r="J51" s="1576" t="n">
        <f aca="false">IF($A51&lt;EE_Date,VLOOKUP($A51,Curves_Table,Escalation!$D$291),Exch)</f>
        <v>1.065</v>
      </c>
      <c r="K51" s="1577" t="n">
        <f aca="false">H51*I51/J51</f>
        <v>19478.2210313938</v>
      </c>
      <c r="M51" s="1561" t="n">
        <f aca="false">VLOOKUP($A51,Tariff_Table,Tariff!$F$33)</f>
        <v>0.035000445432849</v>
      </c>
      <c r="N51" s="1575" t="n">
        <f aca="false">$C51*M51</f>
        <v>321.300099385473</v>
      </c>
      <c r="O51" s="1565" t="n">
        <f aca="false">VLOOKUP($A51,Curves_Table,Escalation!$R$291)</f>
        <v>1.5466937113115</v>
      </c>
      <c r="P51" s="1577" t="n">
        <f aca="false">N51*O51</f>
        <v>496.952843163271</v>
      </c>
      <c r="R51" s="1578" t="n">
        <f aca="false">SUM(K51,P51)</f>
        <v>19975.173874557</v>
      </c>
      <c r="S51" s="1540" t="n">
        <f aca="false">'Plant Operations'!C51</f>
        <v>480</v>
      </c>
      <c r="T51" s="1575" t="n">
        <f aca="false">R51*S51/1000</f>
        <v>9588.08345978738</v>
      </c>
      <c r="U51" s="1576" t="n">
        <f aca="false">$I51</f>
        <v>2.06830663761246</v>
      </c>
      <c r="V51" s="394" t="n">
        <f aca="false">T51/U51</f>
        <v>4635.71662220035</v>
      </c>
      <c r="W51" s="1579" t="str">
        <f aca="false">IF(MONTH($A51)=12,SUM(V40:V51)," ")</f>
        <v> </v>
      </c>
      <c r="Y51" s="1580" t="n">
        <f aca="false">IF($A51&gt;Endyr,0,VLOOKUP($A51,Tariff_Table,Tariff!$J$33))</f>
        <v>0.19</v>
      </c>
      <c r="Z51" s="1576" t="n">
        <f aca="false">VLOOKUP($A51,Curves_Table,Escalation!$AH$291)</f>
        <v>1.5466937113115</v>
      </c>
      <c r="AA51" s="1576" t="n">
        <f aca="false">Y51*Z51</f>
        <v>0.293871805149185</v>
      </c>
      <c r="AB51" s="397" t="n">
        <f aca="false">'Plant Operations'!$I51+'Plant Operations'!$M51</f>
        <v>298980.864</v>
      </c>
      <c r="AC51" s="1575" t="n">
        <f aca="false">AA51*AB51/1000</f>
        <v>87.862046208743</v>
      </c>
      <c r="AD51" s="1576" t="n">
        <f aca="false">$I51</f>
        <v>2.06830663761246</v>
      </c>
      <c r="AE51" s="1566" t="n">
        <f aca="false">AC51/AD51</f>
        <v>42.4801838426464</v>
      </c>
      <c r="AF51" s="1567" t="str">
        <f aca="false">IF(MONTH($A51)=12,SUM(AE40:AE51)," ")</f>
        <v> </v>
      </c>
    </row>
    <row r="52" customFormat="false" ht="12.75" hidden="false" customHeight="false" outlineLevel="0" collapsed="false">
      <c r="A52" s="1538" t="n">
        <f aca="false">'Plant Operations'!A52</f>
        <v>37469</v>
      </c>
      <c r="C52" s="1574" t="n">
        <f aca="false">IF($A52&gt;Endyr,0,VLOOKUP($A52,Tariff_Table,Tariff!$D$33))</f>
        <v>9179.88601036269</v>
      </c>
      <c r="E52" s="1561" t="n">
        <f aca="false">VLOOKUP($A52,Tariff_Table,Tariff!$E$33)</f>
        <v>0.964999554567151</v>
      </c>
      <c r="F52" s="1575" t="n">
        <f aca="false">$C52*E52</f>
        <v>8858.58591097722</v>
      </c>
      <c r="G52" s="1565" t="n">
        <f aca="false">VLOOKUP($A52,Curves_Table,Escalation!$N$291)</f>
        <v>1.13219066683837</v>
      </c>
      <c r="H52" s="1575" t="n">
        <f aca="false">F52*G52</f>
        <v>10029.6082897943</v>
      </c>
      <c r="I52" s="1576" t="n">
        <f aca="false">IF(Assm!$L$74=0,VLOOKUP($A52,Curves_Table,Escalation!$D$291),VLOOKUP($A52,Curves_Table,Escalation!$E$291))</f>
        <v>2.07948509390801</v>
      </c>
      <c r="J52" s="1576" t="n">
        <f aca="false">IF($A52&lt;EE_Date,VLOOKUP($A52,Curves_Table,Escalation!$D$291),Exch)</f>
        <v>1.065</v>
      </c>
      <c r="K52" s="1577" t="n">
        <f aca="false">H52*I52/J52</f>
        <v>19583.4938369609</v>
      </c>
      <c r="M52" s="1561" t="n">
        <f aca="false">VLOOKUP($A52,Tariff_Table,Tariff!$F$33)</f>
        <v>0.035000445432849</v>
      </c>
      <c r="N52" s="1575" t="n">
        <f aca="false">$C52*M52</f>
        <v>321.300099385473</v>
      </c>
      <c r="O52" s="1565" t="n">
        <f aca="false">VLOOKUP($A52,Curves_Table,Escalation!$R$291)</f>
        <v>1.5466937113115</v>
      </c>
      <c r="P52" s="1577" t="n">
        <f aca="false">N52*O52</f>
        <v>496.952843163271</v>
      </c>
      <c r="R52" s="1578" t="n">
        <f aca="false">SUM(K52,P52)</f>
        <v>20080.4466801242</v>
      </c>
      <c r="S52" s="1540" t="n">
        <f aca="false">'Plant Operations'!C52</f>
        <v>480</v>
      </c>
      <c r="T52" s="1575" t="n">
        <f aca="false">R52*S52/1000</f>
        <v>9638.61440645961</v>
      </c>
      <c r="U52" s="1576" t="n">
        <f aca="false">$I52</f>
        <v>2.07948509390801</v>
      </c>
      <c r="V52" s="394" t="n">
        <f aca="false">T52/U52</f>
        <v>4635.09665671399</v>
      </c>
      <c r="W52" s="1579" t="str">
        <f aca="false">IF(MONTH($A52)=12,SUM(V41:V52)," ")</f>
        <v> </v>
      </c>
      <c r="Y52" s="1580" t="n">
        <f aca="false">IF($A52&gt;Endyr,0,VLOOKUP($A52,Tariff_Table,Tariff!$J$33))</f>
        <v>0.19</v>
      </c>
      <c r="Z52" s="1576" t="n">
        <f aca="false">VLOOKUP($A52,Curves_Table,Escalation!$AH$291)</f>
        <v>1.5466937113115</v>
      </c>
      <c r="AA52" s="1576" t="n">
        <f aca="false">Y52*Z52</f>
        <v>0.293871805149185</v>
      </c>
      <c r="AB52" s="397" t="n">
        <f aca="false">'Plant Operations'!$I52+'Plant Operations'!$M52</f>
        <v>298980.864</v>
      </c>
      <c r="AC52" s="1575" t="n">
        <f aca="false">AA52*AB52/1000</f>
        <v>87.862046208743</v>
      </c>
      <c r="AD52" s="1576" t="n">
        <f aca="false">$I52</f>
        <v>2.07948509390801</v>
      </c>
      <c r="AE52" s="1566" t="n">
        <f aca="false">AC52/AD52</f>
        <v>42.2518278520681</v>
      </c>
      <c r="AF52" s="1567" t="str">
        <f aca="false">IF(MONTH($A52)=12,SUM(AE41:AE52)," ")</f>
        <v> </v>
      </c>
    </row>
    <row r="53" customFormat="false" ht="12.75" hidden="false" customHeight="false" outlineLevel="0" collapsed="false">
      <c r="A53" s="1538" t="n">
        <f aca="false">'Plant Operations'!A53</f>
        <v>37500</v>
      </c>
      <c r="C53" s="1574" t="n">
        <f aca="false">IF($A53&gt;Endyr,0,VLOOKUP($A53,Tariff_Table,Tariff!$D$33))</f>
        <v>9179.88601036269</v>
      </c>
      <c r="E53" s="1561" t="n">
        <f aca="false">VLOOKUP($A53,Tariff_Table,Tariff!$E$33)</f>
        <v>0.964999554567151</v>
      </c>
      <c r="F53" s="1575" t="n">
        <f aca="false">$C53*E53</f>
        <v>8858.58591097722</v>
      </c>
      <c r="G53" s="1565" t="n">
        <f aca="false">VLOOKUP($A53,Curves_Table,Escalation!$N$291)</f>
        <v>1.13219066683837</v>
      </c>
      <c r="H53" s="1575" t="n">
        <f aca="false">F53*G53</f>
        <v>10029.6082897943</v>
      </c>
      <c r="I53" s="1576" t="n">
        <f aca="false">IF(Assm!$L$74=0,VLOOKUP($A53,Curves_Table,Escalation!$D$291),VLOOKUP($A53,Curves_Table,Escalation!$E$291))</f>
        <v>2.09072396575457</v>
      </c>
      <c r="J53" s="1576" t="n">
        <f aca="false">IF($A53&lt;EE_Date,VLOOKUP($A53,Curves_Table,Escalation!$D$291),Exch)</f>
        <v>1.065</v>
      </c>
      <c r="K53" s="1577" t="n">
        <f aca="false">H53*I53/J53</f>
        <v>19689.3356043226</v>
      </c>
      <c r="M53" s="1561" t="n">
        <f aca="false">VLOOKUP($A53,Tariff_Table,Tariff!$F$33)</f>
        <v>0.035000445432849</v>
      </c>
      <c r="N53" s="1575" t="n">
        <f aca="false">$C53*M53</f>
        <v>321.300099385473</v>
      </c>
      <c r="O53" s="1565" t="n">
        <f aca="false">VLOOKUP($A53,Curves_Table,Escalation!$R$291)</f>
        <v>1.5466937113115</v>
      </c>
      <c r="P53" s="1577" t="n">
        <f aca="false">N53*O53</f>
        <v>496.952843163271</v>
      </c>
      <c r="R53" s="1578" t="n">
        <f aca="false">SUM(K53,P53)</f>
        <v>20186.2884474859</v>
      </c>
      <c r="S53" s="1540" t="n">
        <f aca="false">'Plant Operations'!C53</f>
        <v>480</v>
      </c>
      <c r="T53" s="1575" t="n">
        <f aca="false">R53*S53/1000</f>
        <v>9689.41845479322</v>
      </c>
      <c r="U53" s="1576" t="n">
        <f aca="false">$I53</f>
        <v>2.09072396575457</v>
      </c>
      <c r="V53" s="394" t="n">
        <f aca="false">T53/U53</f>
        <v>4634.48002390702</v>
      </c>
      <c r="W53" s="1579" t="str">
        <f aca="false">IF(MONTH($A53)=12,SUM(V42:V53)," ")</f>
        <v> </v>
      </c>
      <c r="Y53" s="1580" t="n">
        <f aca="false">IF($A53&gt;Endyr,0,VLOOKUP($A53,Tariff_Table,Tariff!$J$33))</f>
        <v>0.19</v>
      </c>
      <c r="Z53" s="1576" t="n">
        <f aca="false">VLOOKUP($A53,Curves_Table,Escalation!$AH$291)</f>
        <v>1.5466937113115</v>
      </c>
      <c r="AA53" s="1576" t="n">
        <f aca="false">Y53*Z53</f>
        <v>0.293871805149185</v>
      </c>
      <c r="AB53" s="397" t="n">
        <f aca="false">'Plant Operations'!$I53+'Plant Operations'!$M53</f>
        <v>289336.32</v>
      </c>
      <c r="AC53" s="1575" t="n">
        <f aca="false">AA53*AB53/1000</f>
        <v>85.0277866536222</v>
      </c>
      <c r="AD53" s="1576" t="n">
        <f aca="false">$I53</f>
        <v>2.09072396575457</v>
      </c>
      <c r="AE53" s="1566" t="n">
        <f aca="false">AC53/AD53</f>
        <v>40.6690639445244</v>
      </c>
      <c r="AF53" s="1567" t="str">
        <f aca="false">IF(MONTH($A53)=12,SUM(AE42:AE53)," ")</f>
        <v> </v>
      </c>
    </row>
    <row r="54" customFormat="false" ht="12.75" hidden="false" customHeight="false" outlineLevel="0" collapsed="false">
      <c r="A54" s="1538" t="n">
        <f aca="false">'Plant Operations'!A54</f>
        <v>37530</v>
      </c>
      <c r="C54" s="1574" t="n">
        <f aca="false">IF($A54&gt;Endyr,0,VLOOKUP($A54,Tariff_Table,Tariff!$D$33))</f>
        <v>9179.88601036269</v>
      </c>
      <c r="E54" s="1561" t="n">
        <f aca="false">VLOOKUP($A54,Tariff_Table,Tariff!$E$33)</f>
        <v>0.964999554567151</v>
      </c>
      <c r="F54" s="1575" t="n">
        <f aca="false">$C54*E54</f>
        <v>8858.58591097722</v>
      </c>
      <c r="G54" s="1565" t="n">
        <f aca="false">VLOOKUP($A54,Curves_Table,Escalation!$N$291)</f>
        <v>1.13219066683837</v>
      </c>
      <c r="H54" s="1575" t="n">
        <f aca="false">F54*G54</f>
        <v>10029.6082897943</v>
      </c>
      <c r="I54" s="1576" t="n">
        <f aca="false">IF(Assm!$L$74=0,VLOOKUP($A54,Curves_Table,Escalation!$D$291),VLOOKUP($A54,Curves_Table,Escalation!$E$291))</f>
        <v>2.10202357967654</v>
      </c>
      <c r="J54" s="1576" t="n">
        <f aca="false">IF($A54&lt;EE_Date,VLOOKUP($A54,Curves_Table,Escalation!$D$291),Exch)</f>
        <v>1.065</v>
      </c>
      <c r="K54" s="1577" t="n">
        <f aca="false">H54*I54/J54</f>
        <v>19795.7494085134</v>
      </c>
      <c r="M54" s="1561" t="n">
        <f aca="false">VLOOKUP($A54,Tariff_Table,Tariff!$F$33)</f>
        <v>0.035000445432849</v>
      </c>
      <c r="N54" s="1575" t="n">
        <f aca="false">$C54*M54</f>
        <v>321.300099385473</v>
      </c>
      <c r="O54" s="1565" t="n">
        <f aca="false">VLOOKUP($A54,Curves_Table,Escalation!$R$291)</f>
        <v>1.5466937113115</v>
      </c>
      <c r="P54" s="1577" t="n">
        <f aca="false">N54*O54</f>
        <v>496.952843163271</v>
      </c>
      <c r="R54" s="1578" t="n">
        <f aca="false">SUM(K54,P54)</f>
        <v>20292.7022516767</v>
      </c>
      <c r="S54" s="1540" t="n">
        <f aca="false">'Plant Operations'!C54</f>
        <v>480</v>
      </c>
      <c r="T54" s="1575" t="n">
        <f aca="false">R54*S54/1000</f>
        <v>9740.49708080481</v>
      </c>
      <c r="U54" s="1576" t="n">
        <f aca="false">$I54</f>
        <v>2.10202357967654</v>
      </c>
      <c r="V54" s="394" t="n">
        <f aca="false">T54/U54</f>
        <v>4633.8667058643</v>
      </c>
      <c r="W54" s="1579" t="str">
        <f aca="false">IF(MONTH($A54)=12,SUM(V43:V54)," ")</f>
        <v> </v>
      </c>
      <c r="Y54" s="1580" t="n">
        <f aca="false">IF($A54&gt;Endyr,0,VLOOKUP($A54,Tariff_Table,Tariff!$J$33))</f>
        <v>0.19</v>
      </c>
      <c r="Z54" s="1576" t="n">
        <f aca="false">VLOOKUP($A54,Curves_Table,Escalation!$AH$291)</f>
        <v>1.5466937113115</v>
      </c>
      <c r="AA54" s="1576" t="n">
        <f aca="false">Y54*Z54</f>
        <v>0.293871805149185</v>
      </c>
      <c r="AB54" s="397" t="n">
        <f aca="false">'Plant Operations'!$I54+'Plant Operations'!$M54</f>
        <v>298980.864</v>
      </c>
      <c r="AC54" s="1575" t="n">
        <f aca="false">AA54*AB54/1000</f>
        <v>87.862046208743</v>
      </c>
      <c r="AD54" s="1576" t="n">
        <f aca="false">$I54</f>
        <v>2.10202357967654</v>
      </c>
      <c r="AE54" s="1566" t="n">
        <f aca="false">AC54/AD54</f>
        <v>41.7987919156755</v>
      </c>
      <c r="AF54" s="1567" t="str">
        <f aca="false">IF(MONTH($A54)=12,SUM(AE43:AE54)," ")</f>
        <v> </v>
      </c>
    </row>
    <row r="55" customFormat="false" ht="12.75" hidden="false" customHeight="false" outlineLevel="0" collapsed="false">
      <c r="A55" s="1538" t="n">
        <f aca="false">'Plant Operations'!A55</f>
        <v>37561</v>
      </c>
      <c r="C55" s="1574" t="n">
        <f aca="false">IF($A55&gt;Endyr,0,VLOOKUP($A55,Tariff_Table,Tariff!$D$33))</f>
        <v>9179.88601036269</v>
      </c>
      <c r="E55" s="1561" t="n">
        <f aca="false">VLOOKUP($A55,Tariff_Table,Tariff!$E$33)</f>
        <v>0.964999554567151</v>
      </c>
      <c r="F55" s="1575" t="n">
        <f aca="false">$C55*E55</f>
        <v>8858.58591097722</v>
      </c>
      <c r="G55" s="1565" t="n">
        <f aca="false">VLOOKUP($A55,Curves_Table,Escalation!$N$291)</f>
        <v>1.13219066683837</v>
      </c>
      <c r="H55" s="1575" t="n">
        <f aca="false">F55*G55</f>
        <v>10029.6082897943</v>
      </c>
      <c r="I55" s="1576" t="n">
        <f aca="false">IF(Assm!$L$74=0,VLOOKUP($A55,Curves_Table,Escalation!$D$291),VLOOKUP($A55,Curves_Table,Escalation!$E$291))</f>
        <v>2.11338426396307</v>
      </c>
      <c r="J55" s="1576" t="n">
        <f aca="false">IF($A55&lt;EE_Date,VLOOKUP($A55,Curves_Table,Escalation!$D$291),Exch)</f>
        <v>1.065</v>
      </c>
      <c r="K55" s="1577" t="n">
        <f aca="false">H55*I55/J55</f>
        <v>19902.7383411875</v>
      </c>
      <c r="M55" s="1561" t="n">
        <f aca="false">VLOOKUP($A55,Tariff_Table,Tariff!$F$33)</f>
        <v>0.035000445432849</v>
      </c>
      <c r="N55" s="1575" t="n">
        <f aca="false">$C55*M55</f>
        <v>321.300099385473</v>
      </c>
      <c r="O55" s="1565" t="n">
        <f aca="false">VLOOKUP($A55,Curves_Table,Escalation!$R$291)</f>
        <v>1.5466937113115</v>
      </c>
      <c r="P55" s="1577" t="n">
        <f aca="false">N55*O55</f>
        <v>496.952843163271</v>
      </c>
      <c r="R55" s="1578" t="n">
        <f aca="false">SUM(K55,P55)</f>
        <v>20399.6911843508</v>
      </c>
      <c r="S55" s="1540" t="n">
        <f aca="false">'Plant Operations'!C55</f>
        <v>480</v>
      </c>
      <c r="T55" s="1575" t="n">
        <f aca="false">R55*S55/1000</f>
        <v>9791.85176848837</v>
      </c>
      <c r="U55" s="1576" t="n">
        <f aca="false">$I55</f>
        <v>2.11338426396307</v>
      </c>
      <c r="V55" s="394" t="n">
        <f aca="false">T55/U55</f>
        <v>4633.25668476705</v>
      </c>
      <c r="W55" s="1579" t="str">
        <f aca="false">IF(MONTH($A55)=12,SUM(V44:V55)," ")</f>
        <v> </v>
      </c>
      <c r="Y55" s="1580" t="n">
        <f aca="false">IF($A55&gt;Endyr,0,VLOOKUP($A55,Tariff_Table,Tariff!$J$33))</f>
        <v>0.19</v>
      </c>
      <c r="Z55" s="1576" t="n">
        <f aca="false">VLOOKUP($A55,Curves_Table,Escalation!$AH$291)</f>
        <v>1.5466937113115</v>
      </c>
      <c r="AA55" s="1576" t="n">
        <f aca="false">Y55*Z55</f>
        <v>0.293871805149185</v>
      </c>
      <c r="AB55" s="397" t="n">
        <f aca="false">'Plant Operations'!$I55+'Plant Operations'!$M55</f>
        <v>289336.32</v>
      </c>
      <c r="AC55" s="1575" t="n">
        <f aca="false">AA55*AB55/1000</f>
        <v>85.0277866536222</v>
      </c>
      <c r="AD55" s="1576" t="n">
        <f aca="false">$I55</f>
        <v>2.11338426396307</v>
      </c>
      <c r="AE55" s="1566" t="n">
        <f aca="false">AC55/AD55</f>
        <v>40.232998846209</v>
      </c>
      <c r="AF55" s="1567" t="str">
        <f aca="false">IF(MONTH($A55)=12,SUM(AE44:AE55)," ")</f>
        <v> </v>
      </c>
    </row>
    <row r="56" customFormat="false" ht="12.75" hidden="false" customHeight="false" outlineLevel="0" collapsed="false">
      <c r="A56" s="1538" t="n">
        <f aca="false">'Plant Operations'!A56</f>
        <v>37591</v>
      </c>
      <c r="C56" s="1574" t="n">
        <f aca="false">IF($A56&gt;Endyr,0,VLOOKUP($A56,Tariff_Table,Tariff!$D$33))</f>
        <v>9179.88601036269</v>
      </c>
      <c r="E56" s="1561" t="n">
        <f aca="false">VLOOKUP($A56,Tariff_Table,Tariff!$E$33)</f>
        <v>0.964999554567151</v>
      </c>
      <c r="F56" s="1575" t="n">
        <f aca="false">$C56*E56</f>
        <v>8858.58591097722</v>
      </c>
      <c r="G56" s="1565" t="n">
        <f aca="false">VLOOKUP($A56,Curves_Table,Escalation!$N$291)</f>
        <v>1.13219066683837</v>
      </c>
      <c r="H56" s="1575" t="n">
        <f aca="false">F56*G56</f>
        <v>10029.6082897943</v>
      </c>
      <c r="I56" s="1576" t="n">
        <f aca="false">IF(Assm!$L$74=0,VLOOKUP($A56,Curves_Table,Escalation!$D$291),VLOOKUP($A56,Curves_Table,Escalation!$E$291))</f>
        <v>2.12480634867759</v>
      </c>
      <c r="J56" s="1576" t="n">
        <f aca="false">IF($A56&lt;EE_Date,VLOOKUP($A56,Curves_Table,Escalation!$D$291),Exch)</f>
        <v>1.065</v>
      </c>
      <c r="K56" s="1577" t="n">
        <f aca="false">H56*I56/J56</f>
        <v>20010.3055107082</v>
      </c>
      <c r="M56" s="1561" t="n">
        <f aca="false">VLOOKUP($A56,Tariff_Table,Tariff!$F$33)</f>
        <v>0.035000445432849</v>
      </c>
      <c r="N56" s="1575" t="n">
        <f aca="false">$C56*M56</f>
        <v>321.300099385473</v>
      </c>
      <c r="O56" s="1565" t="n">
        <f aca="false">VLOOKUP($A56,Curves_Table,Escalation!$R$291)</f>
        <v>1.5466937113115</v>
      </c>
      <c r="P56" s="1577" t="n">
        <f aca="false">N56*O56</f>
        <v>496.952843163271</v>
      </c>
      <c r="R56" s="1578" t="n">
        <f aca="false">SUM(K56,P56)</f>
        <v>20507.2583538715</v>
      </c>
      <c r="S56" s="1540" t="n">
        <f aca="false">'Plant Operations'!C56</f>
        <v>480</v>
      </c>
      <c r="T56" s="1575" t="n">
        <f aca="false">R56*S56/1000</f>
        <v>9843.48400985831</v>
      </c>
      <c r="U56" s="1576" t="n">
        <f aca="false">$I56</f>
        <v>2.12480634867759</v>
      </c>
      <c r="V56" s="394" t="n">
        <f aca="false">T56/U56</f>
        <v>4632.64994289224</v>
      </c>
      <c r="W56" s="1586" t="n">
        <f aca="false">IF(MONTH($A56)=12,SUM(V45:V56)," ")</f>
        <v>55089.779762336</v>
      </c>
      <c r="Y56" s="1580" t="n">
        <f aca="false">IF($A56&gt;Endyr,0,VLOOKUP($A56,Tariff_Table,Tariff!$J$33))</f>
        <v>0.19</v>
      </c>
      <c r="Z56" s="1576" t="n">
        <f aca="false">VLOOKUP($A56,Curves_Table,Escalation!$AH$291)</f>
        <v>1.5466937113115</v>
      </c>
      <c r="AA56" s="1576" t="n">
        <f aca="false">Y56*Z56</f>
        <v>0.293871805149185</v>
      </c>
      <c r="AB56" s="397" t="n">
        <f aca="false">'Plant Operations'!$I56+'Plant Operations'!$M56</f>
        <v>298980.864</v>
      </c>
      <c r="AC56" s="1575" t="n">
        <f aca="false">AA56*AB56/1000</f>
        <v>87.862046208743</v>
      </c>
      <c r="AD56" s="1576" t="n">
        <f aca="false">$I56</f>
        <v>2.12480634867759</v>
      </c>
      <c r="AE56" s="1566" t="n">
        <f aca="false">AC56/AD56</f>
        <v>41.3506135575251</v>
      </c>
      <c r="AF56" s="1567" t="n">
        <f aca="false">IF(MONTH($A56)=12,SUM(AE45:AE56)," ")</f>
        <v>487.861845389469</v>
      </c>
    </row>
    <row r="57" customFormat="false" ht="12.75" hidden="false" customHeight="false" outlineLevel="0" collapsed="false">
      <c r="A57" s="1538" t="n">
        <f aca="false">'Plant Operations'!A57</f>
        <v>37622</v>
      </c>
      <c r="C57" s="1574" t="n">
        <f aca="false">IF($A57&gt;Endyr,0,VLOOKUP($A57,Tariff_Table,Tariff!$D$33))</f>
        <v>9179.88601036269</v>
      </c>
      <c r="E57" s="1561" t="n">
        <f aca="false">VLOOKUP($A57,Tariff_Table,Tariff!$E$33)</f>
        <v>0.964999554567151</v>
      </c>
      <c r="F57" s="1575" t="n">
        <f aca="false">$C57*E57</f>
        <v>8858.58591097722</v>
      </c>
      <c r="G57" s="1565" t="n">
        <f aca="false">VLOOKUP($A57,Curves_Table,Escalation!$N$291)</f>
        <v>1.13219066683837</v>
      </c>
      <c r="H57" s="1575" t="n">
        <f aca="false">F57*G57</f>
        <v>10029.6082897943</v>
      </c>
      <c r="I57" s="1576" t="n">
        <f aca="false">IF(Assm!$L$74=0,VLOOKUP($A57,Curves_Table,Escalation!$D$291),VLOOKUP($A57,Curves_Table,Escalation!$E$291))</f>
        <v>2.13087787834043</v>
      </c>
      <c r="J57" s="1576" t="n">
        <f aca="false">IF($A57&lt;EE_Date,VLOOKUP($A57,Curves_Table,Escalation!$D$291),Exch)</f>
        <v>1.065</v>
      </c>
      <c r="K57" s="1577" t="n">
        <f aca="false">H57*I57/J57</f>
        <v>20067.4839747815</v>
      </c>
      <c r="M57" s="1561" t="n">
        <f aca="false">VLOOKUP($A57,Tariff_Table,Tariff!$F$33)</f>
        <v>0.035000445432849</v>
      </c>
      <c r="N57" s="1575" t="n">
        <f aca="false">$C57*M57</f>
        <v>321.300099385473</v>
      </c>
      <c r="O57" s="1565" t="n">
        <f aca="false">VLOOKUP($A57,Curves_Table,Escalation!$R$291)</f>
        <v>1.5466937113115</v>
      </c>
      <c r="P57" s="1577" t="n">
        <f aca="false">N57*O57</f>
        <v>496.952843163271</v>
      </c>
      <c r="R57" s="1578" t="n">
        <f aca="false">SUM(K57,P57)</f>
        <v>20564.4368179448</v>
      </c>
      <c r="S57" s="1540" t="n">
        <f aca="false">'Plant Operations'!C57</f>
        <v>480</v>
      </c>
      <c r="T57" s="1575" t="n">
        <f aca="false">R57*S57/1000</f>
        <v>9870.9296726135</v>
      </c>
      <c r="U57" s="1576" t="n">
        <f aca="false">$I57</f>
        <v>2.13087787834043</v>
      </c>
      <c r="V57" s="394" t="n">
        <f aca="false">T57/U57</f>
        <v>4632.33007060039</v>
      </c>
      <c r="W57" s="1579" t="str">
        <f aca="false">IF(MONTH($A57)=12,SUM(V46:V57)," ")</f>
        <v> </v>
      </c>
      <c r="Y57" s="1580" t="n">
        <f aca="false">IF($A57&gt;Endyr,0,VLOOKUP($A57,Tariff_Table,Tariff!$J$33))</f>
        <v>0.19</v>
      </c>
      <c r="Z57" s="1576" t="n">
        <f aca="false">VLOOKUP($A57,Curves_Table,Escalation!$AH$291)</f>
        <v>1.5466937113115</v>
      </c>
      <c r="AA57" s="1576" t="n">
        <f aca="false">Y57*Z57</f>
        <v>0.293871805149185</v>
      </c>
      <c r="AB57" s="397" t="n">
        <f aca="false">'Plant Operations'!$I57+'Plant Operations'!$M57</f>
        <v>298980.864</v>
      </c>
      <c r="AC57" s="1575" t="n">
        <f aca="false">AA57*AB57/1000</f>
        <v>87.862046208743</v>
      </c>
      <c r="AD57" s="1576" t="n">
        <f aca="false">$I57</f>
        <v>2.13087787834043</v>
      </c>
      <c r="AE57" s="1566" t="n">
        <f aca="false">AC57/AD57</f>
        <v>41.2327928793235</v>
      </c>
      <c r="AF57" s="1567" t="str">
        <f aca="false">IF(MONTH($A57)=12,SUM(AE46:AE57)," ")</f>
        <v> </v>
      </c>
    </row>
    <row r="58" customFormat="false" ht="12.75" hidden="false" customHeight="false" outlineLevel="0" collapsed="false">
      <c r="A58" s="1538" t="n">
        <f aca="false">'Plant Operations'!A58</f>
        <v>37653</v>
      </c>
      <c r="C58" s="1574" t="n">
        <f aca="false">IF($A58&gt;Endyr,0,VLOOKUP($A58,Tariff_Table,Tariff!$D$33))</f>
        <v>9179.88601036269</v>
      </c>
      <c r="E58" s="1561" t="n">
        <f aca="false">VLOOKUP($A58,Tariff_Table,Tariff!$E$33)</f>
        <v>0.964999554567151</v>
      </c>
      <c r="F58" s="1575" t="n">
        <f aca="false">$C58*E58</f>
        <v>8858.58591097722</v>
      </c>
      <c r="G58" s="1565" t="n">
        <f aca="false">VLOOKUP($A58,Curves_Table,Escalation!$N$291)</f>
        <v>1.13219066683837</v>
      </c>
      <c r="H58" s="1575" t="n">
        <f aca="false">F58*G58</f>
        <v>10029.6082897943</v>
      </c>
      <c r="I58" s="1576" t="n">
        <f aca="false">IF(Assm!$L$74=0,VLOOKUP($A58,Curves_Table,Escalation!$D$291),VLOOKUP($A58,Curves_Table,Escalation!$E$291))</f>
        <v>2.13696675710073</v>
      </c>
      <c r="J58" s="1576" t="n">
        <f aca="false">IF($A58&lt;EE_Date,VLOOKUP($A58,Curves_Table,Escalation!$D$291),Exch)</f>
        <v>1.065</v>
      </c>
      <c r="K58" s="1577" t="n">
        <f aca="false">H58*I58/J58</f>
        <v>20124.8258235044</v>
      </c>
      <c r="M58" s="1561" t="n">
        <f aca="false">VLOOKUP($A58,Tariff_Table,Tariff!$F$33)</f>
        <v>0.035000445432849</v>
      </c>
      <c r="N58" s="1575" t="n">
        <f aca="false">$C58*M58</f>
        <v>321.300099385473</v>
      </c>
      <c r="O58" s="1565" t="n">
        <f aca="false">VLOOKUP($A58,Curves_Table,Escalation!$R$291)</f>
        <v>1.5466937113115</v>
      </c>
      <c r="P58" s="1577" t="n">
        <f aca="false">N58*O58</f>
        <v>496.952843163271</v>
      </c>
      <c r="R58" s="1578" t="n">
        <f aca="false">SUM(K58,P58)</f>
        <v>20621.7786666677</v>
      </c>
      <c r="S58" s="1540" t="n">
        <f aca="false">'Plant Operations'!C58</f>
        <v>480</v>
      </c>
      <c r="T58" s="1575" t="n">
        <f aca="false">R58*S58/1000</f>
        <v>9898.45376000049</v>
      </c>
      <c r="U58" s="1576" t="n">
        <f aca="false">$I58</f>
        <v>2.13696675710073</v>
      </c>
      <c r="V58" s="394" t="n">
        <f aca="false">T58/U58</f>
        <v>4632.01110972356</v>
      </c>
      <c r="W58" s="1579" t="str">
        <f aca="false">IF(MONTH($A58)=12,SUM(V47:V58)," ")</f>
        <v> </v>
      </c>
      <c r="Y58" s="1580" t="n">
        <f aca="false">IF($A58&gt;Endyr,0,VLOOKUP($A58,Tariff_Table,Tariff!$J$33))</f>
        <v>0.19</v>
      </c>
      <c r="Z58" s="1576" t="n">
        <f aca="false">VLOOKUP($A58,Curves_Table,Escalation!$AH$291)</f>
        <v>1.5466937113115</v>
      </c>
      <c r="AA58" s="1576" t="n">
        <f aca="false">Y58*Z58</f>
        <v>0.293871805149185</v>
      </c>
      <c r="AB58" s="397" t="n">
        <f aca="false">'Plant Operations'!$I58+'Plant Operations'!$M58</f>
        <v>270047.232</v>
      </c>
      <c r="AC58" s="1575" t="n">
        <f aca="false">AA58*AB58/1000</f>
        <v>79.3592675433807</v>
      </c>
      <c r="AD58" s="1576" t="n">
        <f aca="false">$I58</f>
        <v>2.13696675710073</v>
      </c>
      <c r="AE58" s="1566" t="n">
        <f aca="false">AC58/AD58</f>
        <v>37.1364071432956</v>
      </c>
      <c r="AF58" s="1567" t="str">
        <f aca="false">IF(MONTH($A58)=12,SUM(AE47:AE58)," ")</f>
        <v> </v>
      </c>
    </row>
    <row r="59" customFormat="false" ht="12.75" hidden="false" customHeight="false" outlineLevel="0" collapsed="false">
      <c r="A59" s="1538" t="n">
        <f aca="false">'Plant Operations'!A59</f>
        <v>37681</v>
      </c>
      <c r="C59" s="1574" t="n">
        <f aca="false">IF($A59&gt;Endyr,0,VLOOKUP($A59,Tariff_Table,Tariff!$D$33))</f>
        <v>9179.88601036269</v>
      </c>
      <c r="E59" s="1561" t="n">
        <f aca="false">VLOOKUP($A59,Tariff_Table,Tariff!$E$33)</f>
        <v>0.964999554567151</v>
      </c>
      <c r="F59" s="1575" t="n">
        <f aca="false">$C59*E59</f>
        <v>8858.58591097722</v>
      </c>
      <c r="G59" s="1565" t="n">
        <f aca="false">VLOOKUP($A59,Curves_Table,Escalation!$N$291)</f>
        <v>1.13219066683837</v>
      </c>
      <c r="H59" s="1575" t="n">
        <f aca="false">F59*G59</f>
        <v>10029.6082897943</v>
      </c>
      <c r="I59" s="1576" t="n">
        <f aca="false">IF(Assm!$L$74=0,VLOOKUP($A59,Curves_Table,Escalation!$D$291),VLOOKUP($A59,Curves_Table,Escalation!$E$291))</f>
        <v>2.14307303453269</v>
      </c>
      <c r="J59" s="1576" t="n">
        <f aca="false">IF($A59&lt;EE_Date,VLOOKUP($A59,Curves_Table,Escalation!$D$291),Exch)</f>
        <v>1.065</v>
      </c>
      <c r="K59" s="1577" t="n">
        <f aca="false">H59*I59/J59</f>
        <v>20182.3315237405</v>
      </c>
      <c r="M59" s="1561" t="n">
        <f aca="false">VLOOKUP($A59,Tariff_Table,Tariff!$F$33)</f>
        <v>0.035000445432849</v>
      </c>
      <c r="N59" s="1575" t="n">
        <f aca="false">$C59*M59</f>
        <v>321.300099385473</v>
      </c>
      <c r="O59" s="1565" t="n">
        <f aca="false">VLOOKUP($A59,Curves_Table,Escalation!$R$291)</f>
        <v>1.5466937113115</v>
      </c>
      <c r="P59" s="1577" t="n">
        <f aca="false">N59*O59</f>
        <v>496.952843163271</v>
      </c>
      <c r="R59" s="1578" t="n">
        <f aca="false">SUM(K59,P59)</f>
        <v>20679.2843669037</v>
      </c>
      <c r="S59" s="1540" t="n">
        <f aca="false">'Plant Operations'!C59</f>
        <v>480</v>
      </c>
      <c r="T59" s="1575" t="n">
        <f aca="false">R59*S59/1000</f>
        <v>9926.0564961138</v>
      </c>
      <c r="U59" s="1576" t="n">
        <f aca="false">$I59</f>
        <v>2.14307303453269</v>
      </c>
      <c r="V59" s="394" t="n">
        <f aca="false">T59/U59</f>
        <v>4631.69305766484</v>
      </c>
      <c r="W59" s="1579" t="str">
        <f aca="false">IF(MONTH($A59)=12,SUM(V48:V59)," ")</f>
        <v> </v>
      </c>
      <c r="Y59" s="1580" t="n">
        <f aca="false">IF($A59&gt;Endyr,0,VLOOKUP($A59,Tariff_Table,Tariff!$J$33))</f>
        <v>0.19</v>
      </c>
      <c r="Z59" s="1576" t="n">
        <f aca="false">VLOOKUP($A59,Curves_Table,Escalation!$AH$291)</f>
        <v>1.5466937113115</v>
      </c>
      <c r="AA59" s="1576" t="n">
        <f aca="false">Y59*Z59</f>
        <v>0.293871805149185</v>
      </c>
      <c r="AB59" s="397" t="n">
        <f aca="false">'Plant Operations'!$I59+'Plant Operations'!$M59</f>
        <v>298980.864</v>
      </c>
      <c r="AC59" s="1575" t="n">
        <f aca="false">AA59*AB59/1000</f>
        <v>87.862046208743</v>
      </c>
      <c r="AD59" s="1576" t="n">
        <f aca="false">$I59</f>
        <v>2.14307303453269</v>
      </c>
      <c r="AE59" s="1566" t="n">
        <f aca="false">AC59/AD59</f>
        <v>40.9981576889664</v>
      </c>
      <c r="AF59" s="1567" t="str">
        <f aca="false">IF(MONTH($A59)=12,SUM(AE48:AE59)," ")</f>
        <v> </v>
      </c>
    </row>
    <row r="60" customFormat="false" ht="12.75" hidden="false" customHeight="false" outlineLevel="0" collapsed="false">
      <c r="A60" s="1538" t="n">
        <f aca="false">'Plant Operations'!A60</f>
        <v>37712</v>
      </c>
      <c r="C60" s="1574" t="n">
        <f aca="false">IF($A60&gt;Endyr,0,VLOOKUP($A60,Tariff_Table,Tariff!$D$33))</f>
        <v>9179.88601036269</v>
      </c>
      <c r="E60" s="1561" t="n">
        <f aca="false">VLOOKUP($A60,Tariff_Table,Tariff!$E$33)</f>
        <v>0.964999554567151</v>
      </c>
      <c r="F60" s="1575" t="n">
        <f aca="false">$C60*E60</f>
        <v>8858.58591097722</v>
      </c>
      <c r="G60" s="1565" t="n">
        <f aca="false">VLOOKUP($A60,Curves_Table,Escalation!$N$291)</f>
        <v>1.13219066683837</v>
      </c>
      <c r="H60" s="1575" t="n">
        <f aca="false">F60*G60</f>
        <v>10029.6082897943</v>
      </c>
      <c r="I60" s="1576" t="n">
        <f aca="false">IF(Assm!$L$74=0,VLOOKUP($A60,Curves_Table,Escalation!$D$291),VLOOKUP($A60,Curves_Table,Escalation!$E$291))</f>
        <v>2.14919676035217</v>
      </c>
      <c r="J60" s="1576" t="n">
        <f aca="false">IF($A60&lt;EE_Date,VLOOKUP($A60,Curves_Table,Escalation!$D$291),Exch)</f>
        <v>1.065</v>
      </c>
      <c r="K60" s="1577" t="n">
        <f aca="false">H60*I60/J60</f>
        <v>20240.0015436874</v>
      </c>
      <c r="M60" s="1561" t="n">
        <f aca="false">VLOOKUP($A60,Tariff_Table,Tariff!$F$33)</f>
        <v>0.035000445432849</v>
      </c>
      <c r="N60" s="1575" t="n">
        <f aca="false">$C60*M60</f>
        <v>321.300099385473</v>
      </c>
      <c r="O60" s="1565" t="n">
        <f aca="false">VLOOKUP($A60,Curves_Table,Escalation!$R$291)</f>
        <v>1.5466937113115</v>
      </c>
      <c r="P60" s="1577" t="n">
        <f aca="false">N60*O60</f>
        <v>496.952843163271</v>
      </c>
      <c r="R60" s="1578" t="n">
        <f aca="false">SUM(K60,P60)</f>
        <v>20736.9543868506</v>
      </c>
      <c r="S60" s="1540" t="n">
        <f aca="false">'Plant Operations'!C60</f>
        <v>480</v>
      </c>
      <c r="T60" s="1575" t="n">
        <f aca="false">R60*S60/1000</f>
        <v>9953.7381056883</v>
      </c>
      <c r="U60" s="1576" t="n">
        <f aca="false">$I60</f>
        <v>2.14919676035217</v>
      </c>
      <c r="V60" s="394" t="n">
        <f aca="false">T60/U60</f>
        <v>4631.37591183475</v>
      </c>
      <c r="W60" s="1579" t="str">
        <f aca="false">IF(MONTH($A60)=12,SUM(V49:V60)," ")</f>
        <v> </v>
      </c>
      <c r="Y60" s="1580" t="n">
        <f aca="false">IF($A60&gt;Endyr,0,VLOOKUP($A60,Tariff_Table,Tariff!$J$33))</f>
        <v>0.19</v>
      </c>
      <c r="Z60" s="1576" t="n">
        <f aca="false">VLOOKUP($A60,Curves_Table,Escalation!$AH$291)</f>
        <v>1.5466937113115</v>
      </c>
      <c r="AA60" s="1576" t="n">
        <f aca="false">Y60*Z60</f>
        <v>0.293871805149185</v>
      </c>
      <c r="AB60" s="397" t="n">
        <f aca="false">'Plant Operations'!$I60+'Plant Operations'!$M60</f>
        <v>289336.32</v>
      </c>
      <c r="AC60" s="1575" t="n">
        <f aca="false">AA60*AB60/1000</f>
        <v>85.0277866536222</v>
      </c>
      <c r="AD60" s="1576" t="n">
        <f aca="false">$I60</f>
        <v>2.14919676035217</v>
      </c>
      <c r="AE60" s="1566" t="n">
        <f aca="false">AC60/AD60</f>
        <v>39.5625883223878</v>
      </c>
      <c r="AF60" s="1567" t="str">
        <f aca="false">IF(MONTH($A60)=12,SUM(AE49:AE60)," ")</f>
        <v> </v>
      </c>
    </row>
    <row r="61" customFormat="false" ht="12.75" hidden="false" customHeight="false" outlineLevel="0" collapsed="false">
      <c r="A61" s="1538" t="n">
        <f aca="false">'Plant Operations'!A61</f>
        <v>37742</v>
      </c>
      <c r="C61" s="1574" t="n">
        <f aca="false">IF($A61&gt;Endyr,0,VLOOKUP($A61,Tariff_Table,Tariff!$D$33))</f>
        <v>9798.43594544435</v>
      </c>
      <c r="E61" s="1561" t="n">
        <f aca="false">VLOOKUP($A61,Tariff_Table,Tariff!$E$33)</f>
        <v>0.974455000387353</v>
      </c>
      <c r="F61" s="1575" t="n">
        <f aca="false">$C61*E61</f>
        <v>9548.13490301342</v>
      </c>
      <c r="G61" s="1565" t="n">
        <f aca="false">VLOOKUP($A61,Curves_Table,Escalation!$N$291)</f>
        <v>1.16628704592773</v>
      </c>
      <c r="H61" s="1575" t="n">
        <f aca="false">F61*G61</f>
        <v>11135.866050155</v>
      </c>
      <c r="I61" s="1576" t="n">
        <f aca="false">IF(Assm!$L$74=0,VLOOKUP($A61,Curves_Table,Escalation!$D$291),VLOOKUP($A61,Curves_Table,Escalation!$E$291))</f>
        <v>2.15533798441706</v>
      </c>
      <c r="J61" s="1576" t="n">
        <f aca="false">IF($A61&lt;EE_Date,VLOOKUP($A61,Curves_Table,Escalation!$D$291),Exch)</f>
        <v>1.065</v>
      </c>
      <c r="K61" s="1577" t="n">
        <f aca="false">H61*I61/J61</f>
        <v>22536.6714434549</v>
      </c>
      <c r="M61" s="1561" t="n">
        <f aca="false">VLOOKUP($A61,Tariff_Table,Tariff!$F$33)</f>
        <v>0.0255449996126472</v>
      </c>
      <c r="N61" s="1575" t="n">
        <f aca="false">$C61*M61</f>
        <v>250.301042430925</v>
      </c>
      <c r="O61" s="1565" t="n">
        <f aca="false">VLOOKUP($A61,Curves_Table,Escalation!$R$291)</f>
        <v>1.6755808839625</v>
      </c>
      <c r="P61" s="1577" t="n">
        <f aca="false">N61*O61</f>
        <v>419.399641933145</v>
      </c>
      <c r="R61" s="1578" t="n">
        <f aca="false">SUM(K61,P61)</f>
        <v>22956.0710853881</v>
      </c>
      <c r="S61" s="1540" t="n">
        <f aca="false">'Plant Operations'!C61</f>
        <v>480</v>
      </c>
      <c r="T61" s="1575" t="n">
        <f aca="false">R61*S61/1000</f>
        <v>11018.9141209863</v>
      </c>
      <c r="U61" s="1576" t="n">
        <f aca="false">$I61</f>
        <v>2.15533798441706</v>
      </c>
      <c r="V61" s="394" t="n">
        <f aca="false">T61/U61</f>
        <v>5112.38339446167</v>
      </c>
      <c r="W61" s="1579" t="str">
        <f aca="false">IF(MONTH($A61)=12,SUM(V50:V61)," ")</f>
        <v> </v>
      </c>
      <c r="Y61" s="1580" t="n">
        <f aca="false">IF($A61&gt;Endyr,0,VLOOKUP($A61,Tariff_Table,Tariff!$J$33))</f>
        <v>0.19</v>
      </c>
      <c r="Z61" s="1576" t="n">
        <f aca="false">VLOOKUP($A61,Curves_Table,Escalation!$AH$291)</f>
        <v>1.6755808839625</v>
      </c>
      <c r="AA61" s="1576" t="n">
        <f aca="false">Y61*Z61</f>
        <v>0.318360367952876</v>
      </c>
      <c r="AB61" s="397" t="n">
        <f aca="false">'Plant Operations'!$I61+'Plant Operations'!$M61</f>
        <v>298980.864</v>
      </c>
      <c r="AC61" s="1575" t="n">
        <f aca="false">AA61*AB61/1000</f>
        <v>95.1836578739087</v>
      </c>
      <c r="AD61" s="1576" t="n">
        <f aca="false">$I61</f>
        <v>2.15533798441706</v>
      </c>
      <c r="AE61" s="1566" t="n">
        <f aca="false">AC61/AD61</f>
        <v>44.1618245315026</v>
      </c>
      <c r="AF61" s="1567" t="str">
        <f aca="false">IF(MONTH($A61)=12,SUM(AE50:AE61)," ")</f>
        <v> </v>
      </c>
    </row>
    <row r="62" customFormat="false" ht="12.75" hidden="false" customHeight="false" outlineLevel="0" collapsed="false">
      <c r="A62" s="1538" t="n">
        <f aca="false">'Plant Operations'!A62</f>
        <v>37773</v>
      </c>
      <c r="C62" s="1574" t="n">
        <f aca="false">IF($A62&gt;Endyr,0,VLOOKUP($A62,Tariff_Table,Tariff!$D$33))</f>
        <v>9798.43594544435</v>
      </c>
      <c r="E62" s="1561" t="n">
        <f aca="false">VLOOKUP($A62,Tariff_Table,Tariff!$E$33)</f>
        <v>0.974455000387353</v>
      </c>
      <c r="F62" s="1575" t="n">
        <f aca="false">$C62*E62</f>
        <v>9548.13490301342</v>
      </c>
      <c r="G62" s="1565" t="n">
        <f aca="false">VLOOKUP($A62,Curves_Table,Escalation!$N$291)</f>
        <v>1.16628704592773</v>
      </c>
      <c r="H62" s="1575" t="n">
        <f aca="false">F62*G62</f>
        <v>11135.866050155</v>
      </c>
      <c r="I62" s="1576" t="n">
        <f aca="false">IF(Assm!$L$74=0,VLOOKUP($A62,Curves_Table,Escalation!$D$291),VLOOKUP($A62,Curves_Table,Escalation!$E$291))</f>
        <v>2.16149675672775</v>
      </c>
      <c r="J62" s="1576" t="n">
        <f aca="false">IF($A62&lt;EE_Date,VLOOKUP($A62,Curves_Table,Escalation!$D$291),Exch)</f>
        <v>1.065</v>
      </c>
      <c r="K62" s="1577" t="n">
        <f aca="false">H62*I62/J62</f>
        <v>22601.0688739575</v>
      </c>
      <c r="M62" s="1561" t="n">
        <f aca="false">VLOOKUP($A62,Tariff_Table,Tariff!$F$33)</f>
        <v>0.0255449996126472</v>
      </c>
      <c r="N62" s="1575" t="n">
        <f aca="false">$C62*M62</f>
        <v>250.301042430925</v>
      </c>
      <c r="O62" s="1565" t="n">
        <f aca="false">VLOOKUP($A62,Curves_Table,Escalation!$R$291)</f>
        <v>1.6755808839625</v>
      </c>
      <c r="P62" s="1577" t="n">
        <f aca="false">N62*O62</f>
        <v>419.399641933145</v>
      </c>
      <c r="R62" s="1578" t="n">
        <f aca="false">SUM(K62,P62)</f>
        <v>23020.4685158907</v>
      </c>
      <c r="S62" s="1540" t="n">
        <f aca="false">'Plant Operations'!C62</f>
        <v>480</v>
      </c>
      <c r="T62" s="1575" t="n">
        <f aca="false">R62*S62/1000</f>
        <v>11049.8248876275</v>
      </c>
      <c r="U62" s="1576" t="n">
        <f aca="false">$I62</f>
        <v>2.16149675672775</v>
      </c>
      <c r="V62" s="394" t="n">
        <f aca="false">T62/U62</f>
        <v>5112.11726468451</v>
      </c>
      <c r="W62" s="1579" t="str">
        <f aca="false">IF(MONTH($A62)=12,SUM(V51:V62)," ")</f>
        <v> </v>
      </c>
      <c r="Y62" s="1580" t="n">
        <f aca="false">IF($A62&gt;Endyr,0,VLOOKUP($A62,Tariff_Table,Tariff!$J$33))</f>
        <v>0.19</v>
      </c>
      <c r="Z62" s="1576" t="n">
        <f aca="false">VLOOKUP($A62,Curves_Table,Escalation!$AH$291)</f>
        <v>1.6755808839625</v>
      </c>
      <c r="AA62" s="1576" t="n">
        <f aca="false">Y62*Z62</f>
        <v>0.318360367952876</v>
      </c>
      <c r="AB62" s="397" t="n">
        <f aca="false">'Plant Operations'!$I62+'Plant Operations'!$M62</f>
        <v>289336.32</v>
      </c>
      <c r="AC62" s="1575" t="n">
        <f aca="false">AA62*AB62/1000</f>
        <v>92.113217297331</v>
      </c>
      <c r="AD62" s="1576" t="n">
        <f aca="false">$I62</f>
        <v>2.16149675672775</v>
      </c>
      <c r="AE62" s="1566" t="n">
        <f aca="false">AC62/AD62</f>
        <v>42.6154779139152</v>
      </c>
      <c r="AF62" s="1567" t="str">
        <f aca="false">IF(MONTH($A62)=12,SUM(AE51:AE62)," ")</f>
        <v> </v>
      </c>
    </row>
    <row r="63" customFormat="false" ht="12.75" hidden="false" customHeight="false" outlineLevel="0" collapsed="false">
      <c r="A63" s="1538" t="n">
        <f aca="false">'Plant Operations'!A63</f>
        <v>37803</v>
      </c>
      <c r="C63" s="1574" t="n">
        <f aca="false">IF($A63&gt;Endyr,0,VLOOKUP($A63,Tariff_Table,Tariff!$D$33))</f>
        <v>9798.43594544435</v>
      </c>
      <c r="E63" s="1561" t="n">
        <f aca="false">VLOOKUP($A63,Tariff_Table,Tariff!$E$33)</f>
        <v>0.974455000387353</v>
      </c>
      <c r="F63" s="1575" t="n">
        <f aca="false">$C63*E63</f>
        <v>9548.13490301342</v>
      </c>
      <c r="G63" s="1565" t="n">
        <f aca="false">VLOOKUP($A63,Curves_Table,Escalation!$N$291)</f>
        <v>1.16628704592773</v>
      </c>
      <c r="H63" s="1575" t="n">
        <f aca="false">F63*G63</f>
        <v>11135.866050155</v>
      </c>
      <c r="I63" s="1576" t="n">
        <f aca="false">IF(Assm!$L$74=0,VLOOKUP($A63,Curves_Table,Escalation!$D$291),VLOOKUP($A63,Curves_Table,Escalation!$E$291))</f>
        <v>2.16767312742749</v>
      </c>
      <c r="J63" s="1576" t="n">
        <f aca="false">IF($A63&lt;EE_Date,VLOOKUP($A63,Curves_Table,Escalation!$D$291),Exch)</f>
        <v>1.065</v>
      </c>
      <c r="K63" s="1577" t="n">
        <f aca="false">H63*I63/J63</f>
        <v>22665.6503169513</v>
      </c>
      <c r="M63" s="1561" t="n">
        <f aca="false">VLOOKUP($A63,Tariff_Table,Tariff!$F$33)</f>
        <v>0.0255449996126472</v>
      </c>
      <c r="N63" s="1575" t="n">
        <f aca="false">$C63*M63</f>
        <v>250.301042430925</v>
      </c>
      <c r="O63" s="1565" t="n">
        <f aca="false">VLOOKUP($A63,Curves_Table,Escalation!$R$291)</f>
        <v>1.6755808839625</v>
      </c>
      <c r="P63" s="1577" t="n">
        <f aca="false">N63*O63</f>
        <v>419.399641933145</v>
      </c>
      <c r="R63" s="1578" t="n">
        <f aca="false">SUM(K63,P63)</f>
        <v>23085.0499588844</v>
      </c>
      <c r="S63" s="1540" t="n">
        <f aca="false">'Plant Operations'!C63</f>
        <v>480</v>
      </c>
      <c r="T63" s="1575" t="n">
        <f aca="false">R63*S63/1000</f>
        <v>11080.8239802645</v>
      </c>
      <c r="U63" s="1576" t="n">
        <f aca="false">$I63</f>
        <v>2.16767312742749</v>
      </c>
      <c r="V63" s="394" t="n">
        <f aca="false">T63/U63</f>
        <v>5111.85189319333</v>
      </c>
      <c r="W63" s="1579" t="str">
        <f aca="false">IF(MONTH($A63)=12,SUM(V52:V63)," ")</f>
        <v> </v>
      </c>
      <c r="Y63" s="1580" t="n">
        <f aca="false">IF($A63&gt;Endyr,0,VLOOKUP($A63,Tariff_Table,Tariff!$J$33))</f>
        <v>0.19</v>
      </c>
      <c r="Z63" s="1576" t="n">
        <f aca="false">VLOOKUP($A63,Curves_Table,Escalation!$AH$291)</f>
        <v>1.6755808839625</v>
      </c>
      <c r="AA63" s="1576" t="n">
        <f aca="false">Y63*Z63</f>
        <v>0.318360367952876</v>
      </c>
      <c r="AB63" s="397" t="n">
        <f aca="false">'Plant Operations'!$I63+'Plant Operations'!$M63</f>
        <v>298980.864</v>
      </c>
      <c r="AC63" s="1575" t="n">
        <f aca="false">AA63*AB63/1000</f>
        <v>95.1836578739087</v>
      </c>
      <c r="AD63" s="1576" t="n">
        <f aca="false">$I63</f>
        <v>2.16767312742749</v>
      </c>
      <c r="AE63" s="1566" t="n">
        <f aca="false">AC63/AD63</f>
        <v>43.9105216877735</v>
      </c>
      <c r="AF63" s="1567" t="str">
        <f aca="false">IF(MONTH($A63)=12,SUM(AE52:AE63)," ")</f>
        <v> </v>
      </c>
    </row>
    <row r="64" customFormat="false" ht="12.75" hidden="false" customHeight="false" outlineLevel="0" collapsed="false">
      <c r="A64" s="1538" t="n">
        <f aca="false">'Plant Operations'!A64</f>
        <v>37834</v>
      </c>
      <c r="C64" s="1574" t="n">
        <f aca="false">IF($A64&gt;Endyr,0,VLOOKUP($A64,Tariff_Table,Tariff!$D$33))</f>
        <v>9798.43594544435</v>
      </c>
      <c r="E64" s="1561" t="n">
        <f aca="false">VLOOKUP($A64,Tariff_Table,Tariff!$E$33)</f>
        <v>0.974455000387353</v>
      </c>
      <c r="F64" s="1575" t="n">
        <f aca="false">$C64*E64</f>
        <v>9548.13490301342</v>
      </c>
      <c r="G64" s="1565" t="n">
        <f aca="false">VLOOKUP($A64,Curves_Table,Escalation!$N$291)</f>
        <v>1.16628704592773</v>
      </c>
      <c r="H64" s="1575" t="n">
        <f aca="false">F64*G64</f>
        <v>11135.866050155</v>
      </c>
      <c r="I64" s="1576" t="n">
        <f aca="false">IF(Assm!$L$74=0,VLOOKUP($A64,Curves_Table,Escalation!$D$291),VLOOKUP($A64,Curves_Table,Escalation!$E$291))</f>
        <v>2.17386714680281</v>
      </c>
      <c r="J64" s="1576" t="n">
        <f aca="false">IF($A64&lt;EE_Date,VLOOKUP($A64,Curves_Table,Escalation!$D$291),Exch)</f>
        <v>1.065</v>
      </c>
      <c r="K64" s="1577" t="n">
        <f aca="false">H64*I64/J64</f>
        <v>22730.4162982429</v>
      </c>
      <c r="M64" s="1561" t="n">
        <f aca="false">VLOOKUP($A64,Tariff_Table,Tariff!$F$33)</f>
        <v>0.0255449996126472</v>
      </c>
      <c r="N64" s="1575" t="n">
        <f aca="false">$C64*M64</f>
        <v>250.301042430925</v>
      </c>
      <c r="O64" s="1565" t="n">
        <f aca="false">VLOOKUP($A64,Curves_Table,Escalation!$R$291)</f>
        <v>1.6755808839625</v>
      </c>
      <c r="P64" s="1577" t="n">
        <f aca="false">N64*O64</f>
        <v>419.399641933145</v>
      </c>
      <c r="R64" s="1578" t="n">
        <f aca="false">SUM(K64,P64)</f>
        <v>23149.8159401761</v>
      </c>
      <c r="S64" s="1540" t="n">
        <f aca="false">'Plant Operations'!C64</f>
        <v>480</v>
      </c>
      <c r="T64" s="1575" t="n">
        <f aca="false">R64*S64/1000</f>
        <v>11111.9116512845</v>
      </c>
      <c r="U64" s="1576" t="n">
        <f aca="false">$I64</f>
        <v>2.17386714680281</v>
      </c>
      <c r="V64" s="394" t="n">
        <f aca="false">T64/U64</f>
        <v>5111.58727782755</v>
      </c>
      <c r="W64" s="1579" t="str">
        <f aca="false">IF(MONTH($A64)=12,SUM(V53:V64)," ")</f>
        <v> </v>
      </c>
      <c r="Y64" s="1580" t="n">
        <f aca="false">IF($A64&gt;Endyr,0,VLOOKUP($A64,Tariff_Table,Tariff!$J$33))</f>
        <v>0.19</v>
      </c>
      <c r="Z64" s="1576" t="n">
        <f aca="false">VLOOKUP($A64,Curves_Table,Escalation!$AH$291)</f>
        <v>1.6755808839625</v>
      </c>
      <c r="AA64" s="1576" t="n">
        <f aca="false">Y64*Z64</f>
        <v>0.318360367952876</v>
      </c>
      <c r="AB64" s="397" t="n">
        <f aca="false">'Plant Operations'!$I64+'Plant Operations'!$M64</f>
        <v>298980.864</v>
      </c>
      <c r="AC64" s="1575" t="n">
        <f aca="false">AA64*AB64/1000</f>
        <v>95.1836578739087</v>
      </c>
      <c r="AD64" s="1576" t="n">
        <f aca="false">$I64</f>
        <v>2.17386714680281</v>
      </c>
      <c r="AE64" s="1566" t="n">
        <f aca="false">AC64/AD64</f>
        <v>43.7854070401216</v>
      </c>
      <c r="AF64" s="1567" t="str">
        <f aca="false">IF(MONTH($A64)=12,SUM(AE53:AE64)," ")</f>
        <v> </v>
      </c>
    </row>
    <row r="65" customFormat="false" ht="12.75" hidden="false" customHeight="false" outlineLevel="0" collapsed="false">
      <c r="A65" s="1538" t="n">
        <f aca="false">'Plant Operations'!A65</f>
        <v>37865</v>
      </c>
      <c r="C65" s="1574" t="n">
        <f aca="false">IF($A65&gt;Endyr,0,VLOOKUP($A65,Tariff_Table,Tariff!$D$33))</f>
        <v>9798.43594544435</v>
      </c>
      <c r="E65" s="1561" t="n">
        <f aca="false">VLOOKUP($A65,Tariff_Table,Tariff!$E$33)</f>
        <v>0.974455000387353</v>
      </c>
      <c r="F65" s="1575" t="n">
        <f aca="false">$C65*E65</f>
        <v>9548.13490301342</v>
      </c>
      <c r="G65" s="1565" t="n">
        <f aca="false">VLOOKUP($A65,Curves_Table,Escalation!$N$291)</f>
        <v>1.16628704592773</v>
      </c>
      <c r="H65" s="1575" t="n">
        <f aca="false">F65*G65</f>
        <v>11135.866050155</v>
      </c>
      <c r="I65" s="1576" t="n">
        <f aca="false">IF(Assm!$L$74=0,VLOOKUP($A65,Curves_Table,Escalation!$D$291),VLOOKUP($A65,Curves_Table,Escalation!$E$291))</f>
        <v>2.18007886528392</v>
      </c>
      <c r="J65" s="1576" t="n">
        <f aca="false">IF($A65&lt;EE_Date,VLOOKUP($A65,Curves_Table,Escalation!$D$291),Exch)</f>
        <v>1.065</v>
      </c>
      <c r="K65" s="1577" t="n">
        <f aca="false">H65*I65/J65</f>
        <v>22795.3673451415</v>
      </c>
      <c r="M65" s="1561" t="n">
        <f aca="false">VLOOKUP($A65,Tariff_Table,Tariff!$F$33)</f>
        <v>0.0255449996126472</v>
      </c>
      <c r="N65" s="1575" t="n">
        <f aca="false">$C65*M65</f>
        <v>250.301042430925</v>
      </c>
      <c r="O65" s="1565" t="n">
        <f aca="false">VLOOKUP($A65,Curves_Table,Escalation!$R$291)</f>
        <v>1.6755808839625</v>
      </c>
      <c r="P65" s="1577" t="n">
        <f aca="false">N65*O65</f>
        <v>419.399641933145</v>
      </c>
      <c r="R65" s="1578" t="n">
        <f aca="false">SUM(K65,P65)</f>
        <v>23214.7669870746</v>
      </c>
      <c r="S65" s="1540" t="n">
        <f aca="false">'Plant Operations'!C65</f>
        <v>480</v>
      </c>
      <c r="T65" s="1575" t="n">
        <f aca="false">R65*S65/1000</f>
        <v>11143.0881537958</v>
      </c>
      <c r="U65" s="1576" t="n">
        <f aca="false">$I65</f>
        <v>2.18007886528392</v>
      </c>
      <c r="V65" s="394" t="n">
        <f aca="false">T65/U65</f>
        <v>5111.32341643274</v>
      </c>
      <c r="W65" s="1579" t="str">
        <f aca="false">IF(MONTH($A65)=12,SUM(V54:V65)," ")</f>
        <v> </v>
      </c>
      <c r="Y65" s="1580" t="n">
        <f aca="false">IF($A65&gt;Endyr,0,VLOOKUP($A65,Tariff_Table,Tariff!$J$33))</f>
        <v>0.19</v>
      </c>
      <c r="Z65" s="1576" t="n">
        <f aca="false">VLOOKUP($A65,Curves_Table,Escalation!$AH$291)</f>
        <v>1.6755808839625</v>
      </c>
      <c r="AA65" s="1576" t="n">
        <f aca="false">Y65*Z65</f>
        <v>0.318360367952876</v>
      </c>
      <c r="AB65" s="397" t="n">
        <f aca="false">'Plant Operations'!$I65+'Plant Operations'!$M65</f>
        <v>289336.32</v>
      </c>
      <c r="AC65" s="1575" t="n">
        <f aca="false">AA65*AB65/1000</f>
        <v>92.113217297331</v>
      </c>
      <c r="AD65" s="1576" t="n">
        <f aca="false">$I65</f>
        <v>2.18007886528392</v>
      </c>
      <c r="AE65" s="1566" t="n">
        <f aca="false">AC65/AD65</f>
        <v>42.2522408542935</v>
      </c>
      <c r="AF65" s="1567" t="str">
        <f aca="false">IF(MONTH($A65)=12,SUM(AE54:AE65)," ")</f>
        <v> </v>
      </c>
    </row>
    <row r="66" customFormat="false" ht="12.75" hidden="false" customHeight="false" outlineLevel="0" collapsed="false">
      <c r="A66" s="1538" t="n">
        <f aca="false">'Plant Operations'!A66</f>
        <v>37895</v>
      </c>
      <c r="C66" s="1574" t="n">
        <f aca="false">IF($A66&gt;Endyr,0,VLOOKUP($A66,Tariff_Table,Tariff!$D$33))</f>
        <v>9798.43594544435</v>
      </c>
      <c r="E66" s="1561" t="n">
        <f aca="false">VLOOKUP($A66,Tariff_Table,Tariff!$E$33)</f>
        <v>0.974455000387353</v>
      </c>
      <c r="F66" s="1575" t="n">
        <f aca="false">$C66*E66</f>
        <v>9548.13490301342</v>
      </c>
      <c r="G66" s="1565" t="n">
        <f aca="false">VLOOKUP($A66,Curves_Table,Escalation!$N$291)</f>
        <v>1.16628704592773</v>
      </c>
      <c r="H66" s="1575" t="n">
        <f aca="false">F66*G66</f>
        <v>11135.866050155</v>
      </c>
      <c r="I66" s="1576" t="n">
        <f aca="false">IF(Assm!$L$74=0,VLOOKUP($A66,Curves_Table,Escalation!$D$291),VLOOKUP($A66,Curves_Table,Escalation!$E$291))</f>
        <v>2.18630833344516</v>
      </c>
      <c r="J66" s="1576" t="n">
        <f aca="false">IF($A66&lt;EE_Date,VLOOKUP($A66,Curves_Table,Escalation!$D$291),Exch)</f>
        <v>1.065</v>
      </c>
      <c r="K66" s="1577" t="n">
        <f aca="false">H66*I66/J66</f>
        <v>22860.5039864628</v>
      </c>
      <c r="M66" s="1561" t="n">
        <f aca="false">VLOOKUP($A66,Tariff_Table,Tariff!$F$33)</f>
        <v>0.0255449996126472</v>
      </c>
      <c r="N66" s="1575" t="n">
        <f aca="false">$C66*M66</f>
        <v>250.301042430925</v>
      </c>
      <c r="O66" s="1565" t="n">
        <f aca="false">VLOOKUP($A66,Curves_Table,Escalation!$R$291)</f>
        <v>1.6755808839625</v>
      </c>
      <c r="P66" s="1577" t="n">
        <f aca="false">N66*O66</f>
        <v>419.399641933145</v>
      </c>
      <c r="R66" s="1578" t="n">
        <f aca="false">SUM(K66,P66)</f>
        <v>23279.903628396</v>
      </c>
      <c r="S66" s="1540" t="n">
        <f aca="false">'Plant Operations'!C66</f>
        <v>480</v>
      </c>
      <c r="T66" s="1575" t="n">
        <f aca="false">R66*S66/1000</f>
        <v>11174.3537416301</v>
      </c>
      <c r="U66" s="1576" t="n">
        <f aca="false">$I66</f>
        <v>2.18630833344516</v>
      </c>
      <c r="V66" s="394" t="n">
        <f aca="false">T66/U66</f>
        <v>5111.06030686059</v>
      </c>
      <c r="W66" s="1579" t="str">
        <f aca="false">IF(MONTH($A66)=12,SUM(V55:V66)," ")</f>
        <v> </v>
      </c>
      <c r="Y66" s="1580" t="n">
        <f aca="false">IF($A66&gt;Endyr,0,VLOOKUP($A66,Tariff_Table,Tariff!$J$33))</f>
        <v>0.19</v>
      </c>
      <c r="Z66" s="1576" t="n">
        <f aca="false">VLOOKUP($A66,Curves_Table,Escalation!$AH$291)</f>
        <v>1.6755808839625</v>
      </c>
      <c r="AA66" s="1576" t="n">
        <f aca="false">Y66*Z66</f>
        <v>0.318360367952876</v>
      </c>
      <c r="AB66" s="397" t="n">
        <f aca="false">'Plant Operations'!$I66+'Plant Operations'!$M66</f>
        <v>298980.864</v>
      </c>
      <c r="AC66" s="1575" t="n">
        <f aca="false">AA66*AB66/1000</f>
        <v>95.1836578739087</v>
      </c>
      <c r="AD66" s="1576" t="n">
        <f aca="false">$I66</f>
        <v>2.18630833344516</v>
      </c>
      <c r="AE66" s="1566" t="n">
        <f aca="false">AC66/AD66</f>
        <v>43.5362461999673</v>
      </c>
      <c r="AF66" s="1567" t="str">
        <f aca="false">IF(MONTH($A66)=12,SUM(AE55:AE66)," ")</f>
        <v> </v>
      </c>
    </row>
    <row r="67" customFormat="false" ht="12.75" hidden="false" customHeight="false" outlineLevel="0" collapsed="false">
      <c r="A67" s="1538" t="n">
        <f aca="false">'Plant Operations'!A67</f>
        <v>37926</v>
      </c>
      <c r="C67" s="1574" t="n">
        <f aca="false">IF($A67&gt;Endyr,0,VLOOKUP($A67,Tariff_Table,Tariff!$D$33))</f>
        <v>9798.43594544435</v>
      </c>
      <c r="E67" s="1561" t="n">
        <f aca="false">VLOOKUP($A67,Tariff_Table,Tariff!$E$33)</f>
        <v>0.974455000387353</v>
      </c>
      <c r="F67" s="1575" t="n">
        <f aca="false">$C67*E67</f>
        <v>9548.13490301342</v>
      </c>
      <c r="G67" s="1565" t="n">
        <f aca="false">VLOOKUP($A67,Curves_Table,Escalation!$N$291)</f>
        <v>1.16628704592773</v>
      </c>
      <c r="H67" s="1575" t="n">
        <f aca="false">F67*G67</f>
        <v>11135.866050155</v>
      </c>
      <c r="I67" s="1576" t="n">
        <f aca="false">IF(Assm!$L$74=0,VLOOKUP($A67,Curves_Table,Escalation!$D$291),VLOOKUP($A67,Curves_Table,Escalation!$E$291))</f>
        <v>2.19255560200536</v>
      </c>
      <c r="J67" s="1576" t="n">
        <f aca="false">IF($A67&lt;EE_Date,VLOOKUP($A67,Curves_Table,Escalation!$D$291),Exch)</f>
        <v>1.065</v>
      </c>
      <c r="K67" s="1577" t="n">
        <f aca="false">H67*I67/J67</f>
        <v>22925.826752534</v>
      </c>
      <c r="M67" s="1561" t="n">
        <f aca="false">VLOOKUP($A67,Tariff_Table,Tariff!$F$33)</f>
        <v>0.0255449996126472</v>
      </c>
      <c r="N67" s="1575" t="n">
        <f aca="false">$C67*M67</f>
        <v>250.301042430925</v>
      </c>
      <c r="O67" s="1565" t="n">
        <f aca="false">VLOOKUP($A67,Curves_Table,Escalation!$R$291)</f>
        <v>1.6755808839625</v>
      </c>
      <c r="P67" s="1577" t="n">
        <f aca="false">N67*O67</f>
        <v>419.399641933145</v>
      </c>
      <c r="R67" s="1578" t="n">
        <f aca="false">SUM(K67,P67)</f>
        <v>23345.2263944671</v>
      </c>
      <c r="S67" s="1540" t="n">
        <f aca="false">'Plant Operations'!C67</f>
        <v>480</v>
      </c>
      <c r="T67" s="1575" t="n">
        <f aca="false">R67*S67/1000</f>
        <v>11205.7086693442</v>
      </c>
      <c r="U67" s="1576" t="n">
        <f aca="false">$I67</f>
        <v>2.19255560200536</v>
      </c>
      <c r="V67" s="394" t="n">
        <f aca="false">T67/U67</f>
        <v>5110.79794696892</v>
      </c>
      <c r="W67" s="1579" t="str">
        <f aca="false">IF(MONTH($A67)=12,SUM(V56:V67)," ")</f>
        <v> </v>
      </c>
      <c r="Y67" s="1580" t="n">
        <f aca="false">IF($A67&gt;Endyr,0,VLOOKUP($A67,Tariff_Table,Tariff!$J$33))</f>
        <v>0.19</v>
      </c>
      <c r="Z67" s="1576" t="n">
        <f aca="false">VLOOKUP($A67,Curves_Table,Escalation!$AH$291)</f>
        <v>1.6755808839625</v>
      </c>
      <c r="AA67" s="1576" t="n">
        <f aca="false">Y67*Z67</f>
        <v>0.318360367952876</v>
      </c>
      <c r="AB67" s="397" t="n">
        <f aca="false">'Plant Operations'!$I67+'Plant Operations'!$M67</f>
        <v>289336.32</v>
      </c>
      <c r="AC67" s="1575" t="n">
        <f aca="false">AA67*AB67/1000</f>
        <v>92.113217297331</v>
      </c>
      <c r="AD67" s="1576" t="n">
        <f aca="false">$I67</f>
        <v>2.19255560200536</v>
      </c>
      <c r="AE67" s="1566" t="n">
        <f aca="false">AC67/AD67</f>
        <v>42.0118044956681</v>
      </c>
      <c r="AF67" s="1567" t="str">
        <f aca="false">IF(MONTH($A67)=12,SUM(AE56:AE67)," ")</f>
        <v> </v>
      </c>
    </row>
    <row r="68" customFormat="false" ht="12.75" hidden="false" customHeight="false" outlineLevel="0" collapsed="false">
      <c r="A68" s="1538" t="n">
        <f aca="false">'Plant Operations'!A68</f>
        <v>37956</v>
      </c>
      <c r="C68" s="1574" t="n">
        <f aca="false">IF($A68&gt;Endyr,0,VLOOKUP($A68,Tariff_Table,Tariff!$D$33))</f>
        <v>9798.43594544435</v>
      </c>
      <c r="E68" s="1561" t="n">
        <f aca="false">VLOOKUP($A68,Tariff_Table,Tariff!$E$33)</f>
        <v>0.974455000387353</v>
      </c>
      <c r="F68" s="1575" t="n">
        <f aca="false">$C68*E68</f>
        <v>9548.13490301342</v>
      </c>
      <c r="G68" s="1565" t="n">
        <f aca="false">VLOOKUP($A68,Curves_Table,Escalation!$N$291)</f>
        <v>1.16628704592773</v>
      </c>
      <c r="H68" s="1575" t="n">
        <f aca="false">F68*G68</f>
        <v>11135.866050155</v>
      </c>
      <c r="I68" s="1576" t="n">
        <f aca="false">IF(Assm!$L$74=0,VLOOKUP($A68,Curves_Table,Escalation!$D$291),VLOOKUP($A68,Curves_Table,Escalation!$E$291))</f>
        <v>2.19882072182829</v>
      </c>
      <c r="J68" s="1576" t="n">
        <f aca="false">IF($A68&lt;EE_Date,VLOOKUP($A68,Curves_Table,Escalation!$D$291),Exch)</f>
        <v>1.065</v>
      </c>
      <c r="K68" s="1577" t="n">
        <f aca="false">H68*I68/J68</f>
        <v>22991.3361751972</v>
      </c>
      <c r="M68" s="1561" t="n">
        <f aca="false">VLOOKUP($A68,Tariff_Table,Tariff!$F$33)</f>
        <v>0.0255449996126472</v>
      </c>
      <c r="N68" s="1575" t="n">
        <f aca="false">$C68*M68</f>
        <v>250.301042430925</v>
      </c>
      <c r="O68" s="1565" t="n">
        <f aca="false">VLOOKUP($A68,Curves_Table,Escalation!$R$291)</f>
        <v>1.6755808839625</v>
      </c>
      <c r="P68" s="1577" t="n">
        <f aca="false">N68*O68</f>
        <v>419.399641933145</v>
      </c>
      <c r="R68" s="1578" t="n">
        <f aca="false">SUM(K68,P68)</f>
        <v>23410.7358171303</v>
      </c>
      <c r="S68" s="1540" t="n">
        <f aca="false">'Plant Operations'!C68</f>
        <v>480</v>
      </c>
      <c r="T68" s="1575" t="n">
        <f aca="false">R68*S68/1000</f>
        <v>11237.1531922226</v>
      </c>
      <c r="U68" s="1576" t="n">
        <f aca="false">$I68</f>
        <v>2.19882072182829</v>
      </c>
      <c r="V68" s="394" t="n">
        <f aca="false">T68/U68</f>
        <v>5110.53633462168</v>
      </c>
      <c r="W68" s="1579" t="n">
        <f aca="false">IF(MONTH($A68)=12,SUM(V57:V68)," ")</f>
        <v>59419.0679848745</v>
      </c>
      <c r="Y68" s="1580" t="n">
        <f aca="false">IF($A68&gt;Endyr,0,VLOOKUP($A68,Tariff_Table,Tariff!$J$33))</f>
        <v>0.19</v>
      </c>
      <c r="Z68" s="1576" t="n">
        <f aca="false">VLOOKUP($A68,Curves_Table,Escalation!$AH$291)</f>
        <v>1.6755808839625</v>
      </c>
      <c r="AA68" s="1576" t="n">
        <f aca="false">Y68*Z68</f>
        <v>0.318360367952876</v>
      </c>
      <c r="AB68" s="397" t="n">
        <f aca="false">'Plant Operations'!$I68+'Plant Operations'!$M68</f>
        <v>298980.864</v>
      </c>
      <c r="AC68" s="1575" t="n">
        <f aca="false">AA68*AB68/1000</f>
        <v>95.1836578739087</v>
      </c>
      <c r="AD68" s="1576" t="n">
        <f aca="false">$I68</f>
        <v>2.19882072182829</v>
      </c>
      <c r="AE68" s="1566" t="n">
        <f aca="false">AC68/AD68</f>
        <v>43.288503209468</v>
      </c>
      <c r="AF68" s="1567" t="n">
        <f aca="false">IF(MONTH($A68)=12,SUM(AE57:AE68)," ")</f>
        <v>504.491971966683</v>
      </c>
    </row>
    <row r="69" customFormat="false" ht="12.75" hidden="false" customHeight="false" outlineLevel="0" collapsed="false">
      <c r="A69" s="1538" t="n">
        <f aca="false">'Plant Operations'!A69</f>
        <v>37987</v>
      </c>
      <c r="C69" s="1574" t="n">
        <f aca="false">IF($A69&gt;Endyr,0,VLOOKUP($A69,Tariff_Table,Tariff!$D$33))</f>
        <v>9798.43594544435</v>
      </c>
      <c r="E69" s="1561" t="n">
        <f aca="false">VLOOKUP($A69,Tariff_Table,Tariff!$E$33)</f>
        <v>0.974455000387353</v>
      </c>
      <c r="F69" s="1575" t="n">
        <f aca="false">$C69*E69</f>
        <v>9548.13490301342</v>
      </c>
      <c r="G69" s="1565" t="n">
        <f aca="false">VLOOKUP($A69,Curves_Table,Escalation!$N$291)</f>
        <v>1.16628704592773</v>
      </c>
      <c r="H69" s="1575" t="n">
        <f aca="false">F69*G69</f>
        <v>11135.866050155</v>
      </c>
      <c r="I69" s="1576" t="n">
        <f aca="false">IF(Assm!$L$74=0,VLOOKUP($A69,Curves_Table,Escalation!$D$291),VLOOKUP($A69,Curves_Table,Escalation!$E$291))</f>
        <v>2.20450306493358</v>
      </c>
      <c r="J69" s="1576" t="n">
        <f aca="false">IF($A69&lt;EE_Date,VLOOKUP($A69,Curves_Table,Escalation!$D$291),Exch)</f>
        <v>1.065</v>
      </c>
      <c r="K69" s="1577" t="n">
        <f aca="false">H69*I69/J69</f>
        <v>23050.7519608043</v>
      </c>
      <c r="M69" s="1561" t="n">
        <f aca="false">VLOOKUP($A69,Tariff_Table,Tariff!$F$33)</f>
        <v>0.0255449996126472</v>
      </c>
      <c r="N69" s="1575" t="n">
        <f aca="false">$C69*M69</f>
        <v>250.301042430925</v>
      </c>
      <c r="O69" s="1565" t="n">
        <f aca="false">VLOOKUP($A69,Curves_Table,Escalation!$R$291)</f>
        <v>1.6755808839625</v>
      </c>
      <c r="P69" s="1577" t="n">
        <f aca="false">N69*O69</f>
        <v>419.399641933145</v>
      </c>
      <c r="R69" s="1578" t="n">
        <f aca="false">SUM(K69,P69)</f>
        <v>23470.1516027374</v>
      </c>
      <c r="S69" s="1540" t="n">
        <f aca="false">'Plant Operations'!C69</f>
        <v>480</v>
      </c>
      <c r="T69" s="1575" t="n">
        <f aca="false">R69*S69/1000</f>
        <v>11265.672769314</v>
      </c>
      <c r="U69" s="1576" t="n">
        <f aca="false">$I69</f>
        <v>2.20450306493358</v>
      </c>
      <c r="V69" s="394" t="n">
        <f aca="false">T69/U69</f>
        <v>5110.30034319928</v>
      </c>
      <c r="W69" s="1579" t="str">
        <f aca="false">IF(MONTH($A69)=12,SUM(V58:V69)," ")</f>
        <v> </v>
      </c>
      <c r="Y69" s="1580" t="n">
        <f aca="false">IF($A69&gt;Endyr,0,VLOOKUP($A69,Tariff_Table,Tariff!$J$33))</f>
        <v>0.19</v>
      </c>
      <c r="Z69" s="1576" t="n">
        <f aca="false">VLOOKUP($A69,Curves_Table,Escalation!$AH$291)</f>
        <v>1.6755808839625</v>
      </c>
      <c r="AA69" s="1576" t="n">
        <f aca="false">Y69*Z69</f>
        <v>0.318360367952876</v>
      </c>
      <c r="AB69" s="397" t="n">
        <f aca="false">'Plant Operations'!$I69+'Plant Operations'!$M69</f>
        <v>298980.864</v>
      </c>
      <c r="AC69" s="1575" t="n">
        <f aca="false">AA69*AB69/1000</f>
        <v>95.1836578739087</v>
      </c>
      <c r="AD69" s="1576" t="n">
        <f aca="false">$I69</f>
        <v>2.20450306493358</v>
      </c>
      <c r="AE69" s="1566" t="n">
        <f aca="false">AC69/AD69</f>
        <v>43.1769224493123</v>
      </c>
      <c r="AF69" s="1567" t="str">
        <f aca="false">IF(MONTH($A69)=12,SUM(AE58:AE69)," ")</f>
        <v> </v>
      </c>
    </row>
    <row r="70" customFormat="false" ht="12.75" hidden="false" customHeight="false" outlineLevel="0" collapsed="false">
      <c r="A70" s="1538" t="n">
        <f aca="false">'Plant Operations'!A70</f>
        <v>38018</v>
      </c>
      <c r="C70" s="1574" t="n">
        <f aca="false">IF($A70&gt;Endyr,0,VLOOKUP($A70,Tariff_Table,Tariff!$D$33))</f>
        <v>9798.43594544435</v>
      </c>
      <c r="E70" s="1561" t="n">
        <f aca="false">VLOOKUP($A70,Tariff_Table,Tariff!$E$33)</f>
        <v>0.974455000387353</v>
      </c>
      <c r="F70" s="1575" t="n">
        <f aca="false">$C70*E70</f>
        <v>9548.13490301342</v>
      </c>
      <c r="G70" s="1565" t="n">
        <f aca="false">VLOOKUP($A70,Curves_Table,Escalation!$N$291)</f>
        <v>1.16628704592773</v>
      </c>
      <c r="H70" s="1575" t="n">
        <f aca="false">F70*G70</f>
        <v>11135.866050155</v>
      </c>
      <c r="I70" s="1576" t="n">
        <f aca="false">IF(Assm!$L$74=0,VLOOKUP($A70,Curves_Table,Escalation!$D$291),VLOOKUP($A70,Curves_Table,Escalation!$E$291))</f>
        <v>2.21020009273911</v>
      </c>
      <c r="J70" s="1576" t="n">
        <f aca="false">IF($A70&lt;EE_Date,VLOOKUP($A70,Curves_Table,Escalation!$D$291),Exch)</f>
        <v>1.065</v>
      </c>
      <c r="K70" s="1577" t="n">
        <f aca="false">H70*I70/J70</f>
        <v>23110.3212927539</v>
      </c>
      <c r="M70" s="1561" t="n">
        <f aca="false">VLOOKUP($A70,Tariff_Table,Tariff!$F$33)</f>
        <v>0.0255449996126472</v>
      </c>
      <c r="N70" s="1575" t="n">
        <f aca="false">$C70*M70</f>
        <v>250.301042430925</v>
      </c>
      <c r="O70" s="1565" t="n">
        <f aca="false">VLOOKUP($A70,Curves_Table,Escalation!$R$291)</f>
        <v>1.6755808839625</v>
      </c>
      <c r="P70" s="1577" t="n">
        <f aca="false">N70*O70</f>
        <v>419.399641933145</v>
      </c>
      <c r="R70" s="1578" t="n">
        <f aca="false">SUM(K70,P70)</f>
        <v>23529.7209346871</v>
      </c>
      <c r="S70" s="1540" t="n">
        <f aca="false">'Plant Operations'!C70</f>
        <v>480</v>
      </c>
      <c r="T70" s="1575" t="n">
        <f aca="false">R70*S70/1000</f>
        <v>11294.2660486498</v>
      </c>
      <c r="U70" s="1576" t="n">
        <f aca="false">$I70</f>
        <v>2.21020009273911</v>
      </c>
      <c r="V70" s="394" t="n">
        <f aca="false">T70/U70</f>
        <v>5110.06496007009</v>
      </c>
      <c r="W70" s="1579" t="str">
        <f aca="false">IF(MONTH($A70)=12,SUM(V59:V70)," ")</f>
        <v> </v>
      </c>
      <c r="Y70" s="1580" t="n">
        <f aca="false">IF($A70&gt;Endyr,0,VLOOKUP($A70,Tariff_Table,Tariff!$J$33))</f>
        <v>0.19</v>
      </c>
      <c r="Z70" s="1576" t="n">
        <f aca="false">VLOOKUP($A70,Curves_Table,Escalation!$AH$291)</f>
        <v>1.6755808839625</v>
      </c>
      <c r="AA70" s="1576" t="n">
        <f aca="false">Y70*Z70</f>
        <v>0.318360367952876</v>
      </c>
      <c r="AB70" s="397" t="n">
        <f aca="false">'Plant Operations'!$I70+'Plant Operations'!$M70</f>
        <v>279691.776</v>
      </c>
      <c r="AC70" s="1575" t="n">
        <f aca="false">AA70*AB70/1000</f>
        <v>89.0427767207533</v>
      </c>
      <c r="AD70" s="1576" t="n">
        <f aca="false">$I70</f>
        <v>2.21020009273911</v>
      </c>
      <c r="AE70" s="1566" t="n">
        <f aca="false">AC70/AD70</f>
        <v>40.2872016037255</v>
      </c>
      <c r="AF70" s="1567" t="str">
        <f aca="false">IF(MONTH($A70)=12,SUM(AE59:AE70)," ")</f>
        <v> </v>
      </c>
    </row>
    <row r="71" customFormat="false" ht="12.75" hidden="false" customHeight="false" outlineLevel="0" collapsed="false">
      <c r="A71" s="1538" t="n">
        <f aca="false">'Plant Operations'!A71</f>
        <v>38047</v>
      </c>
      <c r="C71" s="1574" t="n">
        <f aca="false">IF($A71&gt;Endyr,0,VLOOKUP($A71,Tariff_Table,Tariff!$D$33))</f>
        <v>9798.43594544435</v>
      </c>
      <c r="E71" s="1561" t="n">
        <f aca="false">VLOOKUP($A71,Tariff_Table,Tariff!$E$33)</f>
        <v>0.974455000387353</v>
      </c>
      <c r="F71" s="1575" t="n">
        <f aca="false">$C71*E71</f>
        <v>9548.13490301342</v>
      </c>
      <c r="G71" s="1565" t="n">
        <f aca="false">VLOOKUP($A71,Curves_Table,Escalation!$N$291)</f>
        <v>1.16628704592773</v>
      </c>
      <c r="H71" s="1575" t="n">
        <f aca="false">F71*G71</f>
        <v>11135.866050155</v>
      </c>
      <c r="I71" s="1576" t="n">
        <f aca="false">IF(Assm!$L$74=0,VLOOKUP($A71,Curves_Table,Escalation!$D$291),VLOOKUP($A71,Curves_Table,Escalation!$E$291))</f>
        <v>2.21591184319408</v>
      </c>
      <c r="J71" s="1576" t="n">
        <f aca="false">IF($A71&lt;EE_Date,VLOOKUP($A71,Curves_Table,Escalation!$D$291),Exch)</f>
        <v>1.065</v>
      </c>
      <c r="K71" s="1577" t="n">
        <f aca="false">H71*I71/J71</f>
        <v>23170.044567851</v>
      </c>
      <c r="M71" s="1561" t="n">
        <f aca="false">VLOOKUP($A71,Tariff_Table,Tariff!$F$33)</f>
        <v>0.0255449996126472</v>
      </c>
      <c r="N71" s="1575" t="n">
        <f aca="false">$C71*M71</f>
        <v>250.301042430925</v>
      </c>
      <c r="O71" s="1565" t="n">
        <f aca="false">VLOOKUP($A71,Curves_Table,Escalation!$R$291)</f>
        <v>1.6755808839625</v>
      </c>
      <c r="P71" s="1577" t="n">
        <f aca="false">N71*O71</f>
        <v>419.399641933145</v>
      </c>
      <c r="R71" s="1578" t="n">
        <f aca="false">SUM(K71,P71)</f>
        <v>23589.4442097842</v>
      </c>
      <c r="S71" s="1540" t="n">
        <f aca="false">'Plant Operations'!C71</f>
        <v>480</v>
      </c>
      <c r="T71" s="1575" t="n">
        <f aca="false">R71*S71/1000</f>
        <v>11322.9332206964</v>
      </c>
      <c r="U71" s="1576" t="n">
        <f aca="false">$I71</f>
        <v>2.21591184319408</v>
      </c>
      <c r="V71" s="394" t="n">
        <f aca="false">T71/U71</f>
        <v>5109.83018366615</v>
      </c>
      <c r="W71" s="1579" t="str">
        <f aca="false">IF(MONTH($A71)=12,SUM(V60:V71)," ")</f>
        <v> </v>
      </c>
      <c r="Y71" s="1580" t="n">
        <f aca="false">IF($A71&gt;Endyr,0,VLOOKUP($A71,Tariff_Table,Tariff!$J$33))</f>
        <v>0.19</v>
      </c>
      <c r="Z71" s="1576" t="n">
        <f aca="false">VLOOKUP($A71,Curves_Table,Escalation!$AH$291)</f>
        <v>1.6755808839625</v>
      </c>
      <c r="AA71" s="1576" t="n">
        <f aca="false">Y71*Z71</f>
        <v>0.318360367952876</v>
      </c>
      <c r="AB71" s="397" t="n">
        <f aca="false">'Plant Operations'!$I71+'Plant Operations'!$M71</f>
        <v>298980.864</v>
      </c>
      <c r="AC71" s="1575" t="n">
        <f aca="false">AA71*AB71/1000</f>
        <v>95.1836578739087</v>
      </c>
      <c r="AD71" s="1576" t="n">
        <f aca="false">$I71</f>
        <v>2.21591184319408</v>
      </c>
      <c r="AE71" s="1566" t="n">
        <f aca="false">AC71/AD71</f>
        <v>42.9546230217843</v>
      </c>
      <c r="AF71" s="1567" t="str">
        <f aca="false">IF(MONTH($A71)=12,SUM(AE60:AE71)," ")</f>
        <v> </v>
      </c>
    </row>
    <row r="72" customFormat="false" ht="12.75" hidden="false" customHeight="false" outlineLevel="0" collapsed="false">
      <c r="A72" s="1538" t="n">
        <f aca="false">'Plant Operations'!A72</f>
        <v>38078</v>
      </c>
      <c r="C72" s="1574" t="n">
        <f aca="false">IF($A72&gt;Endyr,0,VLOOKUP($A72,Tariff_Table,Tariff!$D$33))</f>
        <v>9798.43594544435</v>
      </c>
      <c r="E72" s="1561" t="n">
        <f aca="false">VLOOKUP($A72,Tariff_Table,Tariff!$E$33)</f>
        <v>0.974455000387353</v>
      </c>
      <c r="F72" s="1575" t="n">
        <f aca="false">$C72*E72</f>
        <v>9548.13490301342</v>
      </c>
      <c r="G72" s="1565" t="n">
        <f aca="false">VLOOKUP($A72,Curves_Table,Escalation!$N$291)</f>
        <v>1.16628704592773</v>
      </c>
      <c r="H72" s="1575" t="n">
        <f aca="false">F72*G72</f>
        <v>11135.866050155</v>
      </c>
      <c r="I72" s="1576" t="n">
        <f aca="false">IF(Assm!$L$74=0,VLOOKUP($A72,Curves_Table,Escalation!$D$291),VLOOKUP($A72,Curves_Table,Escalation!$E$291))</f>
        <v>2.22163835434577</v>
      </c>
      <c r="J72" s="1576" t="n">
        <f aca="false">IF($A72&lt;EE_Date,VLOOKUP($A72,Curves_Table,Escalation!$D$291),Exch)</f>
        <v>1.065</v>
      </c>
      <c r="K72" s="1577" t="n">
        <f aca="false">H72*I72/J72</f>
        <v>23229.9221839261</v>
      </c>
      <c r="M72" s="1561" t="n">
        <f aca="false">VLOOKUP($A72,Tariff_Table,Tariff!$F$33)</f>
        <v>0.0255449996126472</v>
      </c>
      <c r="N72" s="1575" t="n">
        <f aca="false">$C72*M72</f>
        <v>250.301042430925</v>
      </c>
      <c r="O72" s="1565" t="n">
        <f aca="false">VLOOKUP($A72,Curves_Table,Escalation!$R$291)</f>
        <v>1.6755808839625</v>
      </c>
      <c r="P72" s="1577" t="n">
        <f aca="false">N72*O72</f>
        <v>419.399641933145</v>
      </c>
      <c r="R72" s="1578" t="n">
        <f aca="false">SUM(K72,P72)</f>
        <v>23649.3218258592</v>
      </c>
      <c r="S72" s="1540" t="n">
        <f aca="false">'Plant Operations'!C72</f>
        <v>480</v>
      </c>
      <c r="T72" s="1575" t="n">
        <f aca="false">R72*S72/1000</f>
        <v>11351.6744764124</v>
      </c>
      <c r="U72" s="1576" t="n">
        <f aca="false">$I72</f>
        <v>2.22163835434577</v>
      </c>
      <c r="V72" s="394" t="n">
        <f aca="false">T72/U72</f>
        <v>5109.59601242358</v>
      </c>
      <c r="W72" s="1579" t="str">
        <f aca="false">IF(MONTH($A72)=12,SUM(V61:V72)," ")</f>
        <v> </v>
      </c>
      <c r="Y72" s="1580" t="n">
        <f aca="false">IF($A72&gt;Endyr,0,VLOOKUP($A72,Tariff_Table,Tariff!$J$33))</f>
        <v>0.19</v>
      </c>
      <c r="Z72" s="1576" t="n">
        <f aca="false">VLOOKUP($A72,Curves_Table,Escalation!$AH$291)</f>
        <v>1.6755808839625</v>
      </c>
      <c r="AA72" s="1576" t="n">
        <f aca="false">Y72*Z72</f>
        <v>0.318360367952876</v>
      </c>
      <c r="AB72" s="397" t="n">
        <f aca="false">'Plant Operations'!$I72+'Plant Operations'!$M72</f>
        <v>289336.32</v>
      </c>
      <c r="AC72" s="1575" t="n">
        <f aca="false">AA72*AB72/1000</f>
        <v>92.113217297331</v>
      </c>
      <c r="AD72" s="1576" t="n">
        <f aca="false">$I72</f>
        <v>2.22163835434577</v>
      </c>
      <c r="AE72" s="1566" t="n">
        <f aca="false">AC72/AD72</f>
        <v>41.4618414906043</v>
      </c>
      <c r="AF72" s="1567" t="str">
        <f aca="false">IF(MONTH($A72)=12,SUM(AE61:AE72)," ")</f>
        <v> </v>
      </c>
    </row>
    <row r="73" customFormat="false" ht="12.75" hidden="false" customHeight="false" outlineLevel="0" collapsed="false">
      <c r="A73" s="1538" t="n">
        <f aca="false">'Plant Operations'!A73</f>
        <v>38108</v>
      </c>
      <c r="C73" s="1574" t="n">
        <f aca="false">IF($A73&gt;Endyr,0,VLOOKUP($A73,Tariff_Table,Tariff!$D$33))</f>
        <v>9794.89340101523</v>
      </c>
      <c r="E73" s="1561" t="n">
        <f aca="false">VLOOKUP($A73,Tariff_Table,Tariff!$E$33)</f>
        <v>0.985000090496034</v>
      </c>
      <c r="F73" s="1575" t="n">
        <f aca="false">$C73*E73</f>
        <v>9647.970886399</v>
      </c>
      <c r="G73" s="1565" t="n">
        <f aca="false">VLOOKUP($A73,Curves_Table,Escalation!$N$291)</f>
        <v>1.20034933429065</v>
      </c>
      <c r="H73" s="1575" t="n">
        <f aca="false">F73*G73</f>
        <v>11580.9354307446</v>
      </c>
      <c r="I73" s="1576" t="n">
        <f aca="false">IF(Assm!$L$74=0,VLOOKUP($A73,Curves_Table,Escalation!$D$291),VLOOKUP($A73,Curves_Table,Escalation!$E$291))</f>
        <v>2.22737966433978</v>
      </c>
      <c r="J73" s="1576" t="n">
        <f aca="false">IF($A73&lt;EE_Date,VLOOKUP($A73,Curves_Table,Escalation!$D$291),Exch)</f>
        <v>1.065</v>
      </c>
      <c r="K73" s="1577" t="n">
        <f aca="false">H73*I73/J73</f>
        <v>24220.7888004437</v>
      </c>
      <c r="M73" s="1561" t="n">
        <f aca="false">VLOOKUP($A73,Tariff_Table,Tariff!$F$33)</f>
        <v>0.0149999095039665</v>
      </c>
      <c r="N73" s="1575" t="n">
        <f aca="false">$C73*M73</f>
        <v>146.922514616227</v>
      </c>
      <c r="O73" s="1565" t="n">
        <f aca="false">VLOOKUP($A73,Curves_Table,Escalation!$R$291)</f>
        <v>1.8096273546795</v>
      </c>
      <c r="P73" s="1577" t="n">
        <f aca="false">N73*O73</f>
        <v>265.875001467823</v>
      </c>
      <c r="R73" s="1578" t="n">
        <f aca="false">SUM(K73,P73)</f>
        <v>24486.6638019116</v>
      </c>
      <c r="S73" s="1540" t="n">
        <f aca="false">'Plant Operations'!C73</f>
        <v>480</v>
      </c>
      <c r="T73" s="1575" t="n">
        <f aca="false">R73*S73/1000</f>
        <v>11753.5986249175</v>
      </c>
      <c r="U73" s="1576" t="n">
        <f aca="false">$I73</f>
        <v>2.22737966433978</v>
      </c>
      <c r="V73" s="394" t="n">
        <f aca="false">T73/U73</f>
        <v>5276.87255706425</v>
      </c>
      <c r="W73" s="1579" t="str">
        <f aca="false">IF(MONTH($A73)=12,SUM(V62:V73)," ")</f>
        <v> </v>
      </c>
      <c r="Y73" s="1580" t="n">
        <f aca="false">IF($A73&gt;Endyr,0,VLOOKUP($A73,Tariff_Table,Tariff!$J$33))</f>
        <v>0.19</v>
      </c>
      <c r="Z73" s="1576" t="n">
        <f aca="false">VLOOKUP($A73,Curves_Table,Escalation!$AH$291)</f>
        <v>1.8096273546795</v>
      </c>
      <c r="AA73" s="1576" t="n">
        <f aca="false">Y73*Z73</f>
        <v>0.343829197389106</v>
      </c>
      <c r="AB73" s="397" t="n">
        <f aca="false">'Plant Operations'!$I73+'Plant Operations'!$M73</f>
        <v>298980.864</v>
      </c>
      <c r="AC73" s="1575" t="n">
        <f aca="false">AA73*AB73/1000</f>
        <v>102.798350503821</v>
      </c>
      <c r="AD73" s="1576" t="n">
        <f aca="false">$I73</f>
        <v>2.22737966433978</v>
      </c>
      <c r="AE73" s="1566" t="n">
        <f aca="false">AC73/AD73</f>
        <v>46.1521455680041</v>
      </c>
      <c r="AF73" s="1567" t="str">
        <f aca="false">IF(MONTH($A73)=12,SUM(AE62:AE73)," ")</f>
        <v> </v>
      </c>
    </row>
    <row r="74" customFormat="false" ht="12.75" hidden="false" customHeight="false" outlineLevel="0" collapsed="false">
      <c r="A74" s="1538" t="n">
        <f aca="false">'Plant Operations'!A74</f>
        <v>38139</v>
      </c>
      <c r="C74" s="1574" t="n">
        <f aca="false">IF($A74&gt;Endyr,0,VLOOKUP($A74,Tariff_Table,Tariff!$D$33))</f>
        <v>9794.89340101523</v>
      </c>
      <c r="E74" s="1561" t="n">
        <f aca="false">VLOOKUP($A74,Tariff_Table,Tariff!$E$33)</f>
        <v>0.985000090496034</v>
      </c>
      <c r="F74" s="1575" t="n">
        <f aca="false">$C74*E74</f>
        <v>9647.970886399</v>
      </c>
      <c r="G74" s="1565" t="n">
        <f aca="false">VLOOKUP($A74,Curves_Table,Escalation!$N$291)</f>
        <v>1.20034933429065</v>
      </c>
      <c r="H74" s="1575" t="n">
        <f aca="false">F74*G74</f>
        <v>11580.9354307446</v>
      </c>
      <c r="I74" s="1576" t="n">
        <f aca="false">IF(Assm!$L$74=0,VLOOKUP($A74,Curves_Table,Escalation!$D$291),VLOOKUP($A74,Curves_Table,Escalation!$E$291))</f>
        <v>2.23313581142029</v>
      </c>
      <c r="J74" s="1576" t="n">
        <f aca="false">IF($A74&lt;EE_Date,VLOOKUP($A74,Curves_Table,Escalation!$D$291),Exch)</f>
        <v>1.065</v>
      </c>
      <c r="K74" s="1577" t="n">
        <f aca="false">H74*I74/J74</f>
        <v>24283.3818217295</v>
      </c>
      <c r="M74" s="1561" t="n">
        <f aca="false">VLOOKUP($A74,Tariff_Table,Tariff!$F$33)</f>
        <v>0.0149999095039665</v>
      </c>
      <c r="N74" s="1575" t="n">
        <f aca="false">$C74*M74</f>
        <v>146.922514616227</v>
      </c>
      <c r="O74" s="1565" t="n">
        <f aca="false">VLOOKUP($A74,Curves_Table,Escalation!$R$291)</f>
        <v>1.8096273546795</v>
      </c>
      <c r="P74" s="1577" t="n">
        <f aca="false">N74*O74</f>
        <v>265.875001467823</v>
      </c>
      <c r="R74" s="1578" t="n">
        <f aca="false">SUM(K74,P74)</f>
        <v>24549.2568231973</v>
      </c>
      <c r="S74" s="1540" t="n">
        <f aca="false">'Plant Operations'!C74</f>
        <v>480</v>
      </c>
      <c r="T74" s="1575" t="n">
        <f aca="false">R74*S74/1000</f>
        <v>11783.6432751347</v>
      </c>
      <c r="U74" s="1576" t="n">
        <f aca="false">$I74</f>
        <v>2.23313581142029</v>
      </c>
      <c r="V74" s="394" t="n">
        <f aca="false">T74/U74</f>
        <v>5276.72487041449</v>
      </c>
      <c r="W74" s="1579" t="str">
        <f aca="false">IF(MONTH($A74)=12,SUM(V63:V74)," ")</f>
        <v> </v>
      </c>
      <c r="Y74" s="1580" t="n">
        <f aca="false">IF($A74&gt;Endyr,0,VLOOKUP($A74,Tariff_Table,Tariff!$J$33))</f>
        <v>0.19</v>
      </c>
      <c r="Z74" s="1576" t="n">
        <f aca="false">VLOOKUP($A74,Curves_Table,Escalation!$AH$291)</f>
        <v>1.8096273546795</v>
      </c>
      <c r="AA74" s="1576" t="n">
        <f aca="false">Y74*Z74</f>
        <v>0.343829197389106</v>
      </c>
      <c r="AB74" s="397" t="n">
        <f aca="false">'Plant Operations'!$I74+'Plant Operations'!$M74</f>
        <v>289336.32</v>
      </c>
      <c r="AC74" s="1575" t="n">
        <f aca="false">AA74*AB74/1000</f>
        <v>99.4822746811175</v>
      </c>
      <c r="AD74" s="1576" t="n">
        <f aca="false">$I74</f>
        <v>2.23313581142029</v>
      </c>
      <c r="AE74" s="1566" t="n">
        <f aca="false">AC74/AD74</f>
        <v>44.5482420604978</v>
      </c>
      <c r="AF74" s="1567" t="str">
        <f aca="false">IF(MONTH($A74)=12,SUM(AE63:AE74)," ")</f>
        <v> </v>
      </c>
    </row>
    <row r="75" customFormat="false" ht="12.75" hidden="false" customHeight="false" outlineLevel="0" collapsed="false">
      <c r="A75" s="1538" t="n">
        <f aca="false">'Plant Operations'!A75</f>
        <v>38169</v>
      </c>
      <c r="C75" s="1574" t="n">
        <f aca="false">IF($A75&gt;Endyr,0,VLOOKUP($A75,Tariff_Table,Tariff!$D$33))</f>
        <v>9794.89340101523</v>
      </c>
      <c r="E75" s="1561" t="n">
        <f aca="false">VLOOKUP($A75,Tariff_Table,Tariff!$E$33)</f>
        <v>0.985000090496034</v>
      </c>
      <c r="F75" s="1575" t="n">
        <f aca="false">$C75*E75</f>
        <v>9647.970886399</v>
      </c>
      <c r="G75" s="1565" t="n">
        <f aca="false">VLOOKUP($A75,Curves_Table,Escalation!$N$291)</f>
        <v>1.20034933429065</v>
      </c>
      <c r="H75" s="1575" t="n">
        <f aca="false">F75*G75</f>
        <v>11580.9354307446</v>
      </c>
      <c r="I75" s="1576" t="n">
        <f aca="false">IF(Assm!$L$74=0,VLOOKUP($A75,Curves_Table,Escalation!$D$291),VLOOKUP($A75,Curves_Table,Escalation!$E$291))</f>
        <v>2.23890683393033</v>
      </c>
      <c r="J75" s="1576" t="n">
        <f aca="false">IF($A75&lt;EE_Date,VLOOKUP($A75,Curves_Table,Escalation!$D$291),Exch)</f>
        <v>1.065</v>
      </c>
      <c r="K75" s="1577" t="n">
        <f aca="false">H75*I75/J75</f>
        <v>24346.1366001878</v>
      </c>
      <c r="M75" s="1561" t="n">
        <f aca="false">VLOOKUP($A75,Tariff_Table,Tariff!$F$33)</f>
        <v>0.0149999095039665</v>
      </c>
      <c r="N75" s="1575" t="n">
        <f aca="false">$C75*M75</f>
        <v>146.922514616227</v>
      </c>
      <c r="O75" s="1565" t="n">
        <f aca="false">VLOOKUP($A75,Curves_Table,Escalation!$R$291)</f>
        <v>1.8096273546795</v>
      </c>
      <c r="P75" s="1577" t="n">
        <f aca="false">N75*O75</f>
        <v>265.875001467823</v>
      </c>
      <c r="R75" s="1578" t="n">
        <f aca="false">SUM(K75,P75)</f>
        <v>24612.0116016556</v>
      </c>
      <c r="S75" s="1540" t="n">
        <f aca="false">'Plant Operations'!C75</f>
        <v>480</v>
      </c>
      <c r="T75" s="1575" t="n">
        <f aca="false">R75*S75/1000</f>
        <v>11813.7655687947</v>
      </c>
      <c r="U75" s="1576" t="n">
        <f aca="false">$I75</f>
        <v>2.23890683393033</v>
      </c>
      <c r="V75" s="394" t="n">
        <f aca="false">T75/U75</f>
        <v>5276.57756444291</v>
      </c>
      <c r="W75" s="1579" t="str">
        <f aca="false">IF(MONTH($A75)=12,SUM(V64:V75)," ")</f>
        <v> </v>
      </c>
      <c r="Y75" s="1580" t="n">
        <f aca="false">IF($A75&gt;Endyr,0,VLOOKUP($A75,Tariff_Table,Tariff!$J$33))</f>
        <v>0.19</v>
      </c>
      <c r="Z75" s="1576" t="n">
        <f aca="false">VLOOKUP($A75,Curves_Table,Escalation!$AH$291)</f>
        <v>1.8096273546795</v>
      </c>
      <c r="AA75" s="1576" t="n">
        <f aca="false">Y75*Z75</f>
        <v>0.343829197389106</v>
      </c>
      <c r="AB75" s="397" t="n">
        <f aca="false">'Plant Operations'!$I75+'Plant Operations'!$M75</f>
        <v>298980.864</v>
      </c>
      <c r="AC75" s="1575" t="n">
        <f aca="false">AA75*AB75/1000</f>
        <v>102.798350503821</v>
      </c>
      <c r="AD75" s="1576" t="n">
        <f aca="false">$I75</f>
        <v>2.23890683393033</v>
      </c>
      <c r="AE75" s="1566" t="n">
        <f aca="false">AC75/AD75</f>
        <v>45.9145279946116</v>
      </c>
      <c r="AF75" s="1567" t="str">
        <f aca="false">IF(MONTH($A75)=12,SUM(AE64:AE75)," ")</f>
        <v> </v>
      </c>
    </row>
    <row r="76" customFormat="false" ht="12.75" hidden="false" customHeight="false" outlineLevel="0" collapsed="false">
      <c r="A76" s="1538" t="n">
        <f aca="false">'Plant Operations'!A76</f>
        <v>38200</v>
      </c>
      <c r="C76" s="1574" t="n">
        <f aca="false">IF($A76&gt;Endyr,0,VLOOKUP($A76,Tariff_Table,Tariff!$D$33))</f>
        <v>9794.89340101523</v>
      </c>
      <c r="E76" s="1561" t="n">
        <f aca="false">VLOOKUP($A76,Tariff_Table,Tariff!$E$33)</f>
        <v>0.985000090496034</v>
      </c>
      <c r="F76" s="1575" t="n">
        <f aca="false">$C76*E76</f>
        <v>9647.970886399</v>
      </c>
      <c r="G76" s="1565" t="n">
        <f aca="false">VLOOKUP($A76,Curves_Table,Escalation!$N$291)</f>
        <v>1.20034933429065</v>
      </c>
      <c r="H76" s="1575" t="n">
        <f aca="false">F76*G76</f>
        <v>11580.9354307446</v>
      </c>
      <c r="I76" s="1576" t="n">
        <f aca="false">IF(Assm!$L$74=0,VLOOKUP($A76,Curves_Table,Escalation!$D$291),VLOOKUP($A76,Curves_Table,Escalation!$E$291))</f>
        <v>2.24469277031199</v>
      </c>
      <c r="J76" s="1576" t="n">
        <f aca="false">IF($A76&lt;EE_Date,VLOOKUP($A76,Curves_Table,Escalation!$D$291),Exch)</f>
        <v>1.065</v>
      </c>
      <c r="K76" s="1577" t="n">
        <f aca="false">H76*I76/J76</f>
        <v>24409.0535538427</v>
      </c>
      <c r="M76" s="1561" t="n">
        <f aca="false">VLOOKUP($A76,Tariff_Table,Tariff!$F$33)</f>
        <v>0.0149999095039665</v>
      </c>
      <c r="N76" s="1575" t="n">
        <f aca="false">$C76*M76</f>
        <v>146.922514616227</v>
      </c>
      <c r="O76" s="1565" t="n">
        <f aca="false">VLOOKUP($A76,Curves_Table,Escalation!$R$291)</f>
        <v>1.8096273546795</v>
      </c>
      <c r="P76" s="1577" t="n">
        <f aca="false">N76*O76</f>
        <v>265.875001467823</v>
      </c>
      <c r="R76" s="1578" t="n">
        <f aca="false">SUM(K76,P76)</f>
        <v>24674.9285553105</v>
      </c>
      <c r="S76" s="1540" t="n">
        <f aca="false">'Plant Operations'!C76</f>
        <v>480</v>
      </c>
      <c r="T76" s="1575" t="n">
        <f aca="false">R76*S76/1000</f>
        <v>11843.965706549</v>
      </c>
      <c r="U76" s="1576" t="n">
        <f aca="false">$I76</f>
        <v>2.24469277031199</v>
      </c>
      <c r="V76" s="394" t="n">
        <f aca="false">T76/U76</f>
        <v>5276.43063816828</v>
      </c>
      <c r="W76" s="1579" t="str">
        <f aca="false">IF(MONTH($A76)=12,SUM(V65:V76)," ")</f>
        <v> </v>
      </c>
      <c r="Y76" s="1580" t="n">
        <f aca="false">IF($A76&gt;Endyr,0,VLOOKUP($A76,Tariff_Table,Tariff!$J$33))</f>
        <v>0.19</v>
      </c>
      <c r="Z76" s="1576" t="n">
        <f aca="false">VLOOKUP($A76,Curves_Table,Escalation!$AH$291)</f>
        <v>1.8096273546795</v>
      </c>
      <c r="AA76" s="1576" t="n">
        <f aca="false">Y76*Z76</f>
        <v>0.343829197389106</v>
      </c>
      <c r="AB76" s="397" t="n">
        <f aca="false">'Plant Operations'!$I76+'Plant Operations'!$M76</f>
        <v>298980.864</v>
      </c>
      <c r="AC76" s="1575" t="n">
        <f aca="false">AA76*AB76/1000</f>
        <v>102.798350503821</v>
      </c>
      <c r="AD76" s="1576" t="n">
        <f aca="false">$I76</f>
        <v>2.24469277031199</v>
      </c>
      <c r="AE76" s="1566" t="n">
        <f aca="false">AC76/AD76</f>
        <v>45.7961783739043</v>
      </c>
      <c r="AF76" s="1567" t="str">
        <f aca="false">IF(MONTH($A76)=12,SUM(AE65:AE76)," ")</f>
        <v> </v>
      </c>
    </row>
    <row r="77" customFormat="false" ht="12.75" hidden="false" customHeight="false" outlineLevel="0" collapsed="false">
      <c r="A77" s="1538" t="n">
        <f aca="false">'Plant Operations'!A77</f>
        <v>38231</v>
      </c>
      <c r="C77" s="1574" t="n">
        <f aca="false">IF($A77&gt;Endyr,0,VLOOKUP($A77,Tariff_Table,Tariff!$D$33))</f>
        <v>9794.89340101523</v>
      </c>
      <c r="E77" s="1561" t="n">
        <f aca="false">VLOOKUP($A77,Tariff_Table,Tariff!$E$33)</f>
        <v>0.985000090496034</v>
      </c>
      <c r="F77" s="1575" t="n">
        <f aca="false">$C77*E77</f>
        <v>9647.970886399</v>
      </c>
      <c r="G77" s="1565" t="n">
        <f aca="false">VLOOKUP($A77,Curves_Table,Escalation!$N$291)</f>
        <v>1.20034933429065</v>
      </c>
      <c r="H77" s="1575" t="n">
        <f aca="false">F77*G77</f>
        <v>11580.9354307446</v>
      </c>
      <c r="I77" s="1576" t="n">
        <f aca="false">IF(Assm!$L$74=0,VLOOKUP($A77,Curves_Table,Escalation!$D$291),VLOOKUP($A77,Curves_Table,Escalation!$E$291))</f>
        <v>2.25049365910673</v>
      </c>
      <c r="J77" s="1576" t="n">
        <f aca="false">IF($A77&lt;EE_Date,VLOOKUP($A77,Curves_Table,Escalation!$D$291),Exch)</f>
        <v>1.065</v>
      </c>
      <c r="K77" s="1577" t="n">
        <f aca="false">H77*I77/J77</f>
        <v>24472.1331017983</v>
      </c>
      <c r="M77" s="1561" t="n">
        <f aca="false">VLOOKUP($A77,Tariff_Table,Tariff!$F$33)</f>
        <v>0.0149999095039665</v>
      </c>
      <c r="N77" s="1575" t="n">
        <f aca="false">$C77*M77</f>
        <v>146.922514616227</v>
      </c>
      <c r="O77" s="1565" t="n">
        <f aca="false">VLOOKUP($A77,Curves_Table,Escalation!$R$291)</f>
        <v>1.8096273546795</v>
      </c>
      <c r="P77" s="1577" t="n">
        <f aca="false">N77*O77</f>
        <v>265.875001467823</v>
      </c>
      <c r="R77" s="1578" t="n">
        <f aca="false">SUM(K77,P77)</f>
        <v>24738.0081032661</v>
      </c>
      <c r="S77" s="1540" t="n">
        <f aca="false">'Plant Operations'!C77</f>
        <v>480</v>
      </c>
      <c r="T77" s="1575" t="n">
        <f aca="false">R77*S77/1000</f>
        <v>11874.2438895677</v>
      </c>
      <c r="U77" s="1576" t="n">
        <f aca="false">$I77</f>
        <v>2.25049365910673</v>
      </c>
      <c r="V77" s="394" t="n">
        <f aca="false">T77/U77</f>
        <v>5276.28409061188</v>
      </c>
      <c r="W77" s="1579" t="str">
        <f aca="false">IF(MONTH($A77)=12,SUM(V66:V77)," ")</f>
        <v> </v>
      </c>
      <c r="Y77" s="1580" t="n">
        <f aca="false">IF($A77&gt;Endyr,0,VLOOKUP($A77,Tariff_Table,Tariff!$J$33))</f>
        <v>0.19</v>
      </c>
      <c r="Z77" s="1576" t="n">
        <f aca="false">VLOOKUP($A77,Curves_Table,Escalation!$AH$291)</f>
        <v>1.8096273546795</v>
      </c>
      <c r="AA77" s="1576" t="n">
        <f aca="false">Y77*Z77</f>
        <v>0.343829197389106</v>
      </c>
      <c r="AB77" s="397" t="n">
        <f aca="false">'Plant Operations'!$I77+'Plant Operations'!$M77</f>
        <v>289336.32</v>
      </c>
      <c r="AC77" s="1575" t="n">
        <f aca="false">AA77*AB77/1000</f>
        <v>99.4822746811175</v>
      </c>
      <c r="AD77" s="1576" t="n">
        <f aca="false">$I77</f>
        <v>2.25049365910673</v>
      </c>
      <c r="AE77" s="1566" t="n">
        <f aca="false">AC77/AD77</f>
        <v>44.2046456245535</v>
      </c>
      <c r="AF77" s="1567" t="str">
        <f aca="false">IF(MONTH($A77)=12,SUM(AE66:AE77)," ")</f>
        <v> </v>
      </c>
    </row>
    <row r="78" customFormat="false" ht="12.75" hidden="false" customHeight="false" outlineLevel="0" collapsed="false">
      <c r="A78" s="1538" t="n">
        <f aca="false">'Plant Operations'!A78</f>
        <v>38261</v>
      </c>
      <c r="C78" s="1574" t="n">
        <f aca="false">IF($A78&gt;Endyr,0,VLOOKUP($A78,Tariff_Table,Tariff!$D$33))</f>
        <v>9794.89340101523</v>
      </c>
      <c r="E78" s="1561" t="n">
        <f aca="false">VLOOKUP($A78,Tariff_Table,Tariff!$E$33)</f>
        <v>0.985000090496034</v>
      </c>
      <c r="F78" s="1575" t="n">
        <f aca="false">$C78*E78</f>
        <v>9647.970886399</v>
      </c>
      <c r="G78" s="1565" t="n">
        <f aca="false">VLOOKUP($A78,Curves_Table,Escalation!$N$291)</f>
        <v>1.20034933429065</v>
      </c>
      <c r="H78" s="1575" t="n">
        <f aca="false">F78*G78</f>
        <v>11580.9354307446</v>
      </c>
      <c r="I78" s="1576" t="n">
        <f aca="false">IF(Assm!$L$74=0,VLOOKUP($A78,Curves_Table,Escalation!$D$291),VLOOKUP($A78,Curves_Table,Escalation!$E$291))</f>
        <v>2.25630953895558</v>
      </c>
      <c r="J78" s="1576" t="n">
        <f aca="false">IF($A78&lt;EE_Date,VLOOKUP($A78,Curves_Table,Escalation!$D$291),Exch)</f>
        <v>1.065</v>
      </c>
      <c r="K78" s="1577" t="n">
        <f aca="false">H78*I78/J78</f>
        <v>24535.375664242</v>
      </c>
      <c r="M78" s="1561" t="n">
        <f aca="false">VLOOKUP($A78,Tariff_Table,Tariff!$F$33)</f>
        <v>0.0149999095039665</v>
      </c>
      <c r="N78" s="1575" t="n">
        <f aca="false">$C78*M78</f>
        <v>146.922514616227</v>
      </c>
      <c r="O78" s="1565" t="n">
        <f aca="false">VLOOKUP($A78,Curves_Table,Escalation!$R$291)</f>
        <v>1.8096273546795</v>
      </c>
      <c r="P78" s="1577" t="n">
        <f aca="false">N78*O78</f>
        <v>265.875001467823</v>
      </c>
      <c r="R78" s="1578" t="n">
        <f aca="false">SUM(K78,P78)</f>
        <v>24801.2506657099</v>
      </c>
      <c r="S78" s="1540" t="n">
        <f aca="false">'Plant Operations'!C78</f>
        <v>480</v>
      </c>
      <c r="T78" s="1575" t="n">
        <f aca="false">R78*S78/1000</f>
        <v>11904.6003195407</v>
      </c>
      <c r="U78" s="1576" t="n">
        <f aca="false">$I78</f>
        <v>2.25630953895558</v>
      </c>
      <c r="V78" s="394" t="n">
        <f aca="false">T78/U78</f>
        <v>5276.13792079752</v>
      </c>
      <c r="W78" s="1579" t="str">
        <f aca="false">IF(MONTH($A78)=12,SUM(V67:V78)," ")</f>
        <v> </v>
      </c>
      <c r="Y78" s="1580" t="n">
        <f aca="false">IF($A78&gt;Endyr,0,VLOOKUP($A78,Tariff_Table,Tariff!$J$33))</f>
        <v>0.19</v>
      </c>
      <c r="Z78" s="1576" t="n">
        <f aca="false">VLOOKUP($A78,Curves_Table,Escalation!$AH$291)</f>
        <v>1.8096273546795</v>
      </c>
      <c r="AA78" s="1576" t="n">
        <f aca="false">Y78*Z78</f>
        <v>0.343829197389106</v>
      </c>
      <c r="AB78" s="397" t="n">
        <f aca="false">'Plant Operations'!$I78+'Plant Operations'!$M78</f>
        <v>298980.864</v>
      </c>
      <c r="AC78" s="1575" t="n">
        <f aca="false">AA78*AB78/1000</f>
        <v>102.798350503821</v>
      </c>
      <c r="AD78" s="1576" t="n">
        <f aca="false">$I78</f>
        <v>2.25630953895558</v>
      </c>
      <c r="AE78" s="1566" t="n">
        <f aca="false">AC78/AD78</f>
        <v>45.5603935226925</v>
      </c>
      <c r="AF78" s="1567" t="str">
        <f aca="false">IF(MONTH($A78)=12,SUM(AE67:AE78)," ")</f>
        <v> </v>
      </c>
    </row>
    <row r="79" customFormat="false" ht="12.75" hidden="false" customHeight="false" outlineLevel="0" collapsed="false">
      <c r="A79" s="1538" t="n">
        <f aca="false">'Plant Operations'!A79</f>
        <v>38292</v>
      </c>
      <c r="C79" s="1574" t="n">
        <f aca="false">IF($A79&gt;Endyr,0,VLOOKUP($A79,Tariff_Table,Tariff!$D$33))</f>
        <v>9794.89340101523</v>
      </c>
      <c r="E79" s="1561" t="n">
        <f aca="false">VLOOKUP($A79,Tariff_Table,Tariff!$E$33)</f>
        <v>0.985000090496034</v>
      </c>
      <c r="F79" s="1575" t="n">
        <f aca="false">$C79*E79</f>
        <v>9647.970886399</v>
      </c>
      <c r="G79" s="1565" t="n">
        <f aca="false">VLOOKUP($A79,Curves_Table,Escalation!$N$291)</f>
        <v>1.20034933429065</v>
      </c>
      <c r="H79" s="1575" t="n">
        <f aca="false">F79*G79</f>
        <v>11580.9354307446</v>
      </c>
      <c r="I79" s="1576" t="n">
        <f aca="false">IF(Assm!$L$74=0,VLOOKUP($A79,Curves_Table,Escalation!$D$291),VLOOKUP($A79,Curves_Table,Escalation!$E$291))</f>
        <v>2.26214044859947</v>
      </c>
      <c r="J79" s="1576" t="n">
        <f aca="false">IF($A79&lt;EE_Date,VLOOKUP($A79,Curves_Table,Escalation!$D$291),Exch)</f>
        <v>1.065</v>
      </c>
      <c r="K79" s="1577" t="n">
        <f aca="false">H79*I79/J79</f>
        <v>24598.7816624471</v>
      </c>
      <c r="M79" s="1561" t="n">
        <f aca="false">VLOOKUP($A79,Tariff_Table,Tariff!$F$33)</f>
        <v>0.0149999095039665</v>
      </c>
      <c r="N79" s="1575" t="n">
        <f aca="false">$C79*M79</f>
        <v>146.922514616227</v>
      </c>
      <c r="O79" s="1565" t="n">
        <f aca="false">VLOOKUP($A79,Curves_Table,Escalation!$R$291)</f>
        <v>1.8096273546795</v>
      </c>
      <c r="P79" s="1577" t="n">
        <f aca="false">N79*O79</f>
        <v>265.875001467823</v>
      </c>
      <c r="R79" s="1578" t="n">
        <f aca="false">SUM(K79,P79)</f>
        <v>24864.6566639149</v>
      </c>
      <c r="S79" s="1540" t="n">
        <f aca="false">'Plant Operations'!C79</f>
        <v>480</v>
      </c>
      <c r="T79" s="1575" t="n">
        <f aca="false">R79*S79/1000</f>
        <v>11935.0351986792</v>
      </c>
      <c r="U79" s="1576" t="n">
        <f aca="false">$I79</f>
        <v>2.26214044859947</v>
      </c>
      <c r="V79" s="394" t="n">
        <f aca="false">T79/U79</f>
        <v>5275.99212775154</v>
      </c>
      <c r="W79" s="1579" t="str">
        <f aca="false">IF(MONTH($A79)=12,SUM(V68:V79)," ")</f>
        <v> </v>
      </c>
      <c r="Y79" s="1580" t="n">
        <f aca="false">IF($A79&gt;Endyr,0,VLOOKUP($A79,Tariff_Table,Tariff!$J$33))</f>
        <v>0.19</v>
      </c>
      <c r="Z79" s="1576" t="n">
        <f aca="false">VLOOKUP($A79,Curves_Table,Escalation!$AH$291)</f>
        <v>1.8096273546795</v>
      </c>
      <c r="AA79" s="1576" t="n">
        <f aca="false">Y79*Z79</f>
        <v>0.343829197389106</v>
      </c>
      <c r="AB79" s="397" t="n">
        <f aca="false">'Plant Operations'!$I79+'Plant Operations'!$M79</f>
        <v>289336.32</v>
      </c>
      <c r="AC79" s="1575" t="n">
        <f aca="false">AA79*AB79/1000</f>
        <v>99.4822746811175</v>
      </c>
      <c r="AD79" s="1576" t="n">
        <f aca="false">$I79</f>
        <v>2.26214044859947</v>
      </c>
      <c r="AE79" s="1566" t="n">
        <f aca="false">AC79/AD79</f>
        <v>43.977054891843</v>
      </c>
      <c r="AF79" s="1567" t="str">
        <f aca="false">IF(MONTH($A79)=12,SUM(AE68:AE79)," ")</f>
        <v> </v>
      </c>
    </row>
    <row r="80" customFormat="false" ht="12.75" hidden="false" customHeight="false" outlineLevel="0" collapsed="false">
      <c r="A80" s="1538" t="n">
        <f aca="false">'Plant Operations'!A80</f>
        <v>38322</v>
      </c>
      <c r="C80" s="1574" t="n">
        <f aca="false">IF($A80&gt;Endyr,0,VLOOKUP($A80,Tariff_Table,Tariff!$D$33))</f>
        <v>9794.89340101523</v>
      </c>
      <c r="E80" s="1561" t="n">
        <f aca="false">VLOOKUP($A80,Tariff_Table,Tariff!$E$33)</f>
        <v>0.985000090496034</v>
      </c>
      <c r="F80" s="1575" t="n">
        <f aca="false">$C80*E80</f>
        <v>9647.970886399</v>
      </c>
      <c r="G80" s="1565" t="n">
        <f aca="false">VLOOKUP($A80,Curves_Table,Escalation!$N$291)</f>
        <v>1.20034933429065</v>
      </c>
      <c r="H80" s="1575" t="n">
        <f aca="false">F80*G80</f>
        <v>11580.9354307446</v>
      </c>
      <c r="I80" s="1576" t="n">
        <f aca="false">IF(Assm!$L$74=0,VLOOKUP($A80,Curves_Table,Escalation!$D$291),VLOOKUP($A80,Curves_Table,Escalation!$E$291))</f>
        <v>2.26798642687942</v>
      </c>
      <c r="J80" s="1576" t="n">
        <f aca="false">IF($A80&lt;EE_Date,VLOOKUP($A80,Curves_Table,Escalation!$D$291),Exch)</f>
        <v>1.065</v>
      </c>
      <c r="K80" s="1577" t="n">
        <f aca="false">H80*I80/J80</f>
        <v>24662.3515187754</v>
      </c>
      <c r="M80" s="1561" t="n">
        <f aca="false">VLOOKUP($A80,Tariff_Table,Tariff!$F$33)</f>
        <v>0.0149999095039665</v>
      </c>
      <c r="N80" s="1575" t="n">
        <f aca="false">$C80*M80</f>
        <v>146.922514616227</v>
      </c>
      <c r="O80" s="1565" t="n">
        <f aca="false">VLOOKUP($A80,Curves_Table,Escalation!$R$291)</f>
        <v>1.8096273546795</v>
      </c>
      <c r="P80" s="1577" t="n">
        <f aca="false">N80*O80</f>
        <v>265.875001467823</v>
      </c>
      <c r="R80" s="1578" t="n">
        <f aca="false">SUM(K80,P80)</f>
        <v>24928.2265202432</v>
      </c>
      <c r="S80" s="1540" t="n">
        <f aca="false">'Plant Operations'!C80</f>
        <v>480</v>
      </c>
      <c r="T80" s="1575" t="n">
        <f aca="false">R80*S80/1000</f>
        <v>11965.5487297167</v>
      </c>
      <c r="U80" s="1576" t="n">
        <f aca="false">$I80</f>
        <v>2.26798642687942</v>
      </c>
      <c r="V80" s="394" t="n">
        <f aca="false">T80/U80</f>
        <v>5275.84671050277</v>
      </c>
      <c r="W80" s="1579" t="n">
        <f aca="false">IF(MONTH($A80)=12,SUM(V69:V80)," ")</f>
        <v>62650.6579791128</v>
      </c>
      <c r="Y80" s="1580" t="n">
        <f aca="false">IF($A80&gt;Endyr,0,VLOOKUP($A80,Tariff_Table,Tariff!$J$33))</f>
        <v>0.19</v>
      </c>
      <c r="Z80" s="1576" t="n">
        <f aca="false">VLOOKUP($A80,Curves_Table,Escalation!$AH$291)</f>
        <v>1.8096273546795</v>
      </c>
      <c r="AA80" s="1576" t="n">
        <f aca="false">Y80*Z80</f>
        <v>0.343829197389106</v>
      </c>
      <c r="AB80" s="397" t="n">
        <f aca="false">'Plant Operations'!$I80+'Plant Operations'!$M80</f>
        <v>298980.864</v>
      </c>
      <c r="AC80" s="1575" t="n">
        <f aca="false">AA80*AB80/1000</f>
        <v>102.798350503821</v>
      </c>
      <c r="AD80" s="1576" t="n">
        <f aca="false">$I80</f>
        <v>2.26798642687942</v>
      </c>
      <c r="AE80" s="1566" t="n">
        <f aca="false">AC80/AD80</f>
        <v>45.3258226264009</v>
      </c>
      <c r="AF80" s="1567" t="n">
        <f aca="false">IF(MONTH($A80)=12,SUM(AE69:AE80)," ")</f>
        <v>529.359599227934</v>
      </c>
    </row>
    <row r="81" customFormat="false" ht="12.75" hidden="false" customHeight="false" outlineLevel="0" collapsed="false">
      <c r="A81" s="1538" t="n">
        <f aca="false">'Plant Operations'!A81</f>
        <v>38353</v>
      </c>
      <c r="C81" s="1574" t="n">
        <f aca="false">IF($A81&gt;Endyr,0,VLOOKUP($A81,Tariff_Table,Tariff!$D$33))</f>
        <v>9794.89340101523</v>
      </c>
      <c r="E81" s="1561" t="n">
        <f aca="false">VLOOKUP($A81,Tariff_Table,Tariff!$E$33)</f>
        <v>0.985000090496034</v>
      </c>
      <c r="F81" s="1575" t="n">
        <f aca="false">$C81*E81</f>
        <v>9647.970886399</v>
      </c>
      <c r="G81" s="1565" t="n">
        <f aca="false">VLOOKUP($A81,Curves_Table,Escalation!$N$291)</f>
        <v>1.20034933429065</v>
      </c>
      <c r="H81" s="1575" t="n">
        <f aca="false">F81*G81</f>
        <v>11580.9354307446</v>
      </c>
      <c r="I81" s="1576" t="n">
        <f aca="false">IF(Assm!$L$74=0,VLOOKUP($A81,Curves_Table,Escalation!$D$291),VLOOKUP($A81,Curves_Table,Escalation!$E$291))</f>
        <v>2.27329442304836</v>
      </c>
      <c r="J81" s="1576" t="n">
        <f aca="false">IF($A81&lt;EE_Date,VLOOKUP($A81,Curves_Table,Escalation!$D$291),Exch)</f>
        <v>1.065</v>
      </c>
      <c r="K81" s="1577" t="n">
        <f aca="false">H81*I81/J81</f>
        <v>24720.0712942675</v>
      </c>
      <c r="M81" s="1561" t="n">
        <f aca="false">VLOOKUP($A81,Tariff_Table,Tariff!$F$33)</f>
        <v>0.0149999095039665</v>
      </c>
      <c r="N81" s="1575" t="n">
        <f aca="false">$C81*M81</f>
        <v>146.922514616227</v>
      </c>
      <c r="O81" s="1565" t="n">
        <f aca="false">VLOOKUP($A81,Curves_Table,Escalation!$R$291)</f>
        <v>1.8096273546795</v>
      </c>
      <c r="P81" s="1577" t="n">
        <f aca="false">N81*O81</f>
        <v>265.875001467823</v>
      </c>
      <c r="R81" s="1578" t="n">
        <f aca="false">SUM(K81,P81)</f>
        <v>24985.9462957354</v>
      </c>
      <c r="S81" s="1540" t="n">
        <f aca="false">'Plant Operations'!C81</f>
        <v>480</v>
      </c>
      <c r="T81" s="1575" t="n">
        <f aca="false">R81*S81/1000</f>
        <v>11993.254221953</v>
      </c>
      <c r="U81" s="1576" t="n">
        <f aca="false">$I81</f>
        <v>2.27329442304836</v>
      </c>
      <c r="V81" s="394" t="n">
        <f aca="false">T81/U81</f>
        <v>5275.7153232579</v>
      </c>
      <c r="W81" s="1579" t="str">
        <f aca="false">IF(MONTH($A81)=12,SUM(V70:V81)," ")</f>
        <v> </v>
      </c>
      <c r="Y81" s="1580" t="n">
        <f aca="false">IF($A81&gt;Endyr,0,VLOOKUP($A81,Tariff_Table,Tariff!$J$33))</f>
        <v>0.19</v>
      </c>
      <c r="Z81" s="1576" t="n">
        <f aca="false">VLOOKUP($A81,Curves_Table,Escalation!$AH$291)</f>
        <v>1.8096273546795</v>
      </c>
      <c r="AA81" s="1576" t="n">
        <f aca="false">Y81*Z81</f>
        <v>0.343829197389106</v>
      </c>
      <c r="AB81" s="397" t="n">
        <f aca="false">'Plant Operations'!$I81+'Plant Operations'!$M81</f>
        <v>298980.864</v>
      </c>
      <c r="AC81" s="1575" t="n">
        <f aca="false">AA81*AB81/1000</f>
        <v>102.798350503821</v>
      </c>
      <c r="AD81" s="1576" t="n">
        <f aca="false">$I81</f>
        <v>2.27329442304836</v>
      </c>
      <c r="AE81" s="1566" t="n">
        <f aca="false">AC81/AD81</f>
        <v>45.2199897477312</v>
      </c>
      <c r="AF81" s="1567" t="str">
        <f aca="false">IF(MONTH($A81)=12,SUM(AE70:AE81)," ")</f>
        <v> </v>
      </c>
    </row>
    <row r="82" customFormat="false" ht="12.75" hidden="false" customHeight="false" outlineLevel="0" collapsed="false">
      <c r="A82" s="1538" t="n">
        <f aca="false">'Plant Operations'!A82</f>
        <v>38384</v>
      </c>
      <c r="C82" s="1574" t="n">
        <f aca="false">IF($A82&gt;Endyr,0,VLOOKUP($A82,Tariff_Table,Tariff!$D$33))</f>
        <v>9794.89340101523</v>
      </c>
      <c r="E82" s="1561" t="n">
        <f aca="false">VLOOKUP($A82,Tariff_Table,Tariff!$E$33)</f>
        <v>0.985000090496034</v>
      </c>
      <c r="F82" s="1575" t="n">
        <f aca="false">$C82*E82</f>
        <v>9647.970886399</v>
      </c>
      <c r="G82" s="1565" t="n">
        <f aca="false">VLOOKUP($A82,Curves_Table,Escalation!$N$291)</f>
        <v>1.20034933429065</v>
      </c>
      <c r="H82" s="1575" t="n">
        <f aca="false">F82*G82</f>
        <v>11580.9354307446</v>
      </c>
      <c r="I82" s="1576" t="n">
        <f aca="false">IF(Assm!$L$74=0,VLOOKUP($A82,Curves_Table,Escalation!$D$291),VLOOKUP($A82,Curves_Table,Escalation!$E$291))</f>
        <v>2.27861484205326</v>
      </c>
      <c r="J82" s="1576" t="n">
        <f aca="false">IF($A82&lt;EE_Date,VLOOKUP($A82,Curves_Table,Escalation!$D$291),Exch)</f>
        <v>1.065</v>
      </c>
      <c r="K82" s="1577" t="n">
        <f aca="false">H82*I82/J82</f>
        <v>24777.926157141</v>
      </c>
      <c r="M82" s="1561" t="n">
        <f aca="false">VLOOKUP($A82,Tariff_Table,Tariff!$F$33)</f>
        <v>0.0149999095039665</v>
      </c>
      <c r="N82" s="1575" t="n">
        <f aca="false">$C82*M82</f>
        <v>146.922514616227</v>
      </c>
      <c r="O82" s="1565" t="n">
        <f aca="false">VLOOKUP($A82,Curves_Table,Escalation!$R$291)</f>
        <v>1.8096273546795</v>
      </c>
      <c r="P82" s="1577" t="n">
        <f aca="false">N82*O82</f>
        <v>265.875001467823</v>
      </c>
      <c r="R82" s="1578" t="n">
        <f aca="false">SUM(K82,P82)</f>
        <v>25043.8011586088</v>
      </c>
      <c r="S82" s="1540" t="n">
        <f aca="false">'Plant Operations'!C82</f>
        <v>480</v>
      </c>
      <c r="T82" s="1575" t="n">
        <f aca="false">R82*S82/1000</f>
        <v>12021.0245561322</v>
      </c>
      <c r="U82" s="1576" t="n">
        <f aca="false">$I82</f>
        <v>2.27861484205326</v>
      </c>
      <c r="V82" s="394" t="n">
        <f aca="false">T82/U82</f>
        <v>5275.58424279378</v>
      </c>
      <c r="W82" s="1579" t="str">
        <f aca="false">IF(MONTH($A82)=12,SUM(V71:V82)," ")</f>
        <v> </v>
      </c>
      <c r="Y82" s="1580" t="n">
        <f aca="false">IF($A82&gt;Endyr,0,VLOOKUP($A82,Tariff_Table,Tariff!$J$33))</f>
        <v>0.19</v>
      </c>
      <c r="Z82" s="1576" t="n">
        <f aca="false">VLOOKUP($A82,Curves_Table,Escalation!$AH$291)</f>
        <v>1.8096273546795</v>
      </c>
      <c r="AA82" s="1576" t="n">
        <f aca="false">Y82*Z82</f>
        <v>0.343829197389106</v>
      </c>
      <c r="AB82" s="397" t="n">
        <f aca="false">'Plant Operations'!$I82+'Plant Operations'!$M82</f>
        <v>270047.232</v>
      </c>
      <c r="AC82" s="1575" t="n">
        <f aca="false">AA82*AB82/1000</f>
        <v>92.8501230357096</v>
      </c>
      <c r="AD82" s="1576" t="n">
        <f aca="false">$I82</f>
        <v>2.27861484205326</v>
      </c>
      <c r="AE82" s="1566" t="n">
        <f aca="false">AC82/AD82</f>
        <v>40.7484939192454</v>
      </c>
      <c r="AF82" s="1567" t="str">
        <f aca="false">IF(MONTH($A82)=12,SUM(AE71:AE82)," ")</f>
        <v> </v>
      </c>
    </row>
    <row r="83" customFormat="false" ht="12.75" hidden="false" customHeight="false" outlineLevel="0" collapsed="false">
      <c r="A83" s="1538" t="n">
        <f aca="false">'Plant Operations'!A83</f>
        <v>38412</v>
      </c>
      <c r="C83" s="1574" t="n">
        <f aca="false">IF($A83&gt;Endyr,0,VLOOKUP($A83,Tariff_Table,Tariff!$D$33))</f>
        <v>9794.89340101523</v>
      </c>
      <c r="E83" s="1561" t="n">
        <f aca="false">VLOOKUP($A83,Tariff_Table,Tariff!$E$33)</f>
        <v>0.985000090496034</v>
      </c>
      <c r="F83" s="1575" t="n">
        <f aca="false">$C83*E83</f>
        <v>9647.970886399</v>
      </c>
      <c r="G83" s="1565" t="n">
        <f aca="false">VLOOKUP($A83,Curves_Table,Escalation!$N$291)</f>
        <v>1.20034933429065</v>
      </c>
      <c r="H83" s="1575" t="n">
        <f aca="false">F83*G83</f>
        <v>11580.9354307446</v>
      </c>
      <c r="I83" s="1576" t="n">
        <f aca="false">IF(Assm!$L$74=0,VLOOKUP($A83,Curves_Table,Escalation!$D$291),VLOOKUP($A83,Curves_Table,Escalation!$E$291))</f>
        <v>2.28394771296852</v>
      </c>
      <c r="J83" s="1576" t="n">
        <f aca="false">IF($A83&lt;EE_Date,VLOOKUP($A83,Curves_Table,Escalation!$D$291),Exch)</f>
        <v>1.065</v>
      </c>
      <c r="K83" s="1577" t="n">
        <f aca="false">H83*I83/J83</f>
        <v>24835.9164235543</v>
      </c>
      <c r="M83" s="1561" t="n">
        <f aca="false">VLOOKUP($A83,Tariff_Table,Tariff!$F$33)</f>
        <v>0.0149999095039665</v>
      </c>
      <c r="N83" s="1575" t="n">
        <f aca="false">$C83*M83</f>
        <v>146.922514616227</v>
      </c>
      <c r="O83" s="1565" t="n">
        <f aca="false">VLOOKUP($A83,Curves_Table,Escalation!$R$291)</f>
        <v>1.8096273546795</v>
      </c>
      <c r="P83" s="1577" t="n">
        <f aca="false">N83*O83</f>
        <v>265.875001467823</v>
      </c>
      <c r="R83" s="1578" t="n">
        <f aca="false">SUM(K83,P83)</f>
        <v>25101.7914250221</v>
      </c>
      <c r="S83" s="1540" t="n">
        <f aca="false">'Plant Operations'!C83</f>
        <v>480</v>
      </c>
      <c r="T83" s="1575" t="n">
        <f aca="false">R83*S83/1000</f>
        <v>12048.8598840106</v>
      </c>
      <c r="U83" s="1576" t="n">
        <f aca="false">$I83</f>
        <v>2.28394771296852</v>
      </c>
      <c r="V83" s="394" t="n">
        <f aca="false">T83/U83</f>
        <v>5275.45346839412</v>
      </c>
      <c r="W83" s="1579" t="str">
        <f aca="false">IF(MONTH($A83)=12,SUM(V72:V83)," ")</f>
        <v> </v>
      </c>
      <c r="Y83" s="1580" t="n">
        <f aca="false">IF($A83&gt;Endyr,0,VLOOKUP($A83,Tariff_Table,Tariff!$J$33))</f>
        <v>0.19</v>
      </c>
      <c r="Z83" s="1576" t="n">
        <f aca="false">VLOOKUP($A83,Curves_Table,Escalation!$AH$291)</f>
        <v>1.8096273546795</v>
      </c>
      <c r="AA83" s="1576" t="n">
        <f aca="false">Y83*Z83</f>
        <v>0.343829197389106</v>
      </c>
      <c r="AB83" s="397" t="n">
        <f aca="false">'Plant Operations'!$I83+'Plant Operations'!$M83</f>
        <v>298980.864</v>
      </c>
      <c r="AC83" s="1575" t="n">
        <f aca="false">AA83*AB83/1000</f>
        <v>102.798350503821</v>
      </c>
      <c r="AD83" s="1576" t="n">
        <f aca="false">$I83</f>
        <v>2.28394771296852</v>
      </c>
      <c r="AE83" s="1566" t="n">
        <f aca="false">AC83/AD83</f>
        <v>45.0090647522797</v>
      </c>
      <c r="AF83" s="1567" t="str">
        <f aca="false">IF(MONTH($A83)=12,SUM(AE72:AE83)," ")</f>
        <v> </v>
      </c>
    </row>
    <row r="84" customFormat="false" ht="12.75" hidden="false" customHeight="false" outlineLevel="0" collapsed="false">
      <c r="A84" s="1538" t="n">
        <f aca="false">'Plant Operations'!A84</f>
        <v>38443</v>
      </c>
      <c r="C84" s="1574" t="n">
        <f aca="false">IF($A84&gt;Endyr,0,VLOOKUP($A84,Tariff_Table,Tariff!$D$33))</f>
        <v>9794.89340101523</v>
      </c>
      <c r="E84" s="1561" t="n">
        <f aca="false">VLOOKUP($A84,Tariff_Table,Tariff!$E$33)</f>
        <v>0.985000090496034</v>
      </c>
      <c r="F84" s="1575" t="n">
        <f aca="false">$C84*E84</f>
        <v>9647.970886399</v>
      </c>
      <c r="G84" s="1565" t="n">
        <f aca="false">VLOOKUP($A84,Curves_Table,Escalation!$N$291)</f>
        <v>1.20034933429065</v>
      </c>
      <c r="H84" s="1575" t="n">
        <f aca="false">F84*G84</f>
        <v>11580.9354307446</v>
      </c>
      <c r="I84" s="1576" t="n">
        <f aca="false">IF(Assm!$L$74=0,VLOOKUP($A84,Curves_Table,Escalation!$D$291),VLOOKUP($A84,Curves_Table,Escalation!$E$291))</f>
        <v>2.2892930649366</v>
      </c>
      <c r="J84" s="1576" t="n">
        <f aca="false">IF($A84&lt;EE_Date,VLOOKUP($A84,Curves_Table,Escalation!$D$291),Exch)</f>
        <v>1.065</v>
      </c>
      <c r="K84" s="1577" t="n">
        <f aca="false">H84*I84/J84</f>
        <v>24894.0424104059</v>
      </c>
      <c r="M84" s="1561" t="n">
        <f aca="false">VLOOKUP($A84,Tariff_Table,Tariff!$F$33)</f>
        <v>0.0149999095039665</v>
      </c>
      <c r="N84" s="1575" t="n">
        <f aca="false">$C84*M84</f>
        <v>146.922514616227</v>
      </c>
      <c r="O84" s="1565" t="n">
        <f aca="false">VLOOKUP($A84,Curves_Table,Escalation!$R$291)</f>
        <v>1.8096273546795</v>
      </c>
      <c r="P84" s="1577" t="n">
        <f aca="false">N84*O84</f>
        <v>265.875001467823</v>
      </c>
      <c r="R84" s="1578" t="n">
        <f aca="false">SUM(K84,P84)</f>
        <v>25159.9174118737</v>
      </c>
      <c r="S84" s="1540" t="n">
        <f aca="false">'Plant Operations'!C84</f>
        <v>480</v>
      </c>
      <c r="T84" s="1575" t="n">
        <f aca="false">R84*S84/1000</f>
        <v>12076.7603576994</v>
      </c>
      <c r="U84" s="1576" t="n">
        <f aca="false">$I84</f>
        <v>2.2892930649366</v>
      </c>
      <c r="V84" s="394" t="n">
        <f aca="false">T84/U84</f>
        <v>5275.32299934426</v>
      </c>
      <c r="W84" s="1579" t="str">
        <f aca="false">IF(MONTH($A84)=12,SUM(V73:V84)," ")</f>
        <v> </v>
      </c>
      <c r="Y84" s="1580" t="n">
        <f aca="false">IF($A84&gt;Endyr,0,VLOOKUP($A84,Tariff_Table,Tariff!$J$33))</f>
        <v>0.19</v>
      </c>
      <c r="Z84" s="1576" t="n">
        <f aca="false">VLOOKUP($A84,Curves_Table,Escalation!$AH$291)</f>
        <v>1.8096273546795</v>
      </c>
      <c r="AA84" s="1576" t="n">
        <f aca="false">Y84*Z84</f>
        <v>0.343829197389106</v>
      </c>
      <c r="AB84" s="397" t="n">
        <f aca="false">'Plant Operations'!$I84+'Plant Operations'!$M84</f>
        <v>289336.32</v>
      </c>
      <c r="AC84" s="1575" t="n">
        <f aca="false">AA84*AB84/1000</f>
        <v>99.4822746811175</v>
      </c>
      <c r="AD84" s="1576" t="n">
        <f aca="false">$I84</f>
        <v>2.2892930649366</v>
      </c>
      <c r="AE84" s="1566" t="n">
        <f aca="false">AC84/AD84</f>
        <v>43.4554562737351</v>
      </c>
      <c r="AF84" s="1567" t="str">
        <f aca="false">IF(MONTH($A84)=12,SUM(AE73:AE84)," ")</f>
        <v> </v>
      </c>
    </row>
    <row r="85" customFormat="false" ht="12.75" hidden="false" customHeight="false" outlineLevel="0" collapsed="false">
      <c r="A85" s="1538" t="n">
        <f aca="false">'Plant Operations'!A85</f>
        <v>38473</v>
      </c>
      <c r="C85" s="1574" t="n">
        <f aca="false">IF($A85&gt;Endyr,0,VLOOKUP($A85,Tariff_Table,Tariff!$D$33))</f>
        <v>9710.48681541582</v>
      </c>
      <c r="E85" s="1561" t="n">
        <f aca="false">VLOOKUP($A85,Tariff_Table,Tariff!$E$33)</f>
        <v>0.985999546968828</v>
      </c>
      <c r="F85" s="1575" t="n">
        <f aca="false">$C85*E85</f>
        <v>9574.53560084678</v>
      </c>
      <c r="G85" s="1565" t="n">
        <f aca="false">VLOOKUP($A85,Curves_Table,Escalation!$N$291)</f>
        <v>1.23462294375966</v>
      </c>
      <c r="H85" s="1575" t="n">
        <f aca="false">F85*G85</f>
        <v>11820.9413286491</v>
      </c>
      <c r="I85" s="1576" t="n">
        <f aca="false">IF(Assm!$L$74=0,VLOOKUP($A85,Curves_Table,Escalation!$D$291),VLOOKUP($A85,Curves_Table,Escalation!$E$291))</f>
        <v>2.29465092716816</v>
      </c>
      <c r="J85" s="1576" t="n">
        <f aca="false">IF($A85&lt;EE_Date,VLOOKUP($A85,Curves_Table,Escalation!$D$291),Exch)</f>
        <v>1.065</v>
      </c>
      <c r="K85" s="1577" t="n">
        <f aca="false">H85*I85/J85</f>
        <v>25469.4215772631</v>
      </c>
      <c r="M85" s="1561" t="n">
        <f aca="false">VLOOKUP($A85,Tariff_Table,Tariff!$F$33)</f>
        <v>0.0140004530311721</v>
      </c>
      <c r="N85" s="1575" t="n">
        <f aca="false">$C85*M85</f>
        <v>135.951214569046</v>
      </c>
      <c r="O85" s="1565" t="n">
        <f aca="false">VLOOKUP($A85,Curves_Table,Escalation!$R$291)</f>
        <v>1.95137683106314</v>
      </c>
      <c r="P85" s="1577" t="n">
        <f aca="false">N85*O85</f>
        <v>265.292050264929</v>
      </c>
      <c r="R85" s="1578" t="n">
        <f aca="false">SUM(K85,P85)</f>
        <v>25734.713627528</v>
      </c>
      <c r="S85" s="1540" t="n">
        <f aca="false">'Plant Operations'!C85</f>
        <v>480</v>
      </c>
      <c r="T85" s="1575" t="n">
        <f aca="false">R85*S85/1000</f>
        <v>12352.6625412135</v>
      </c>
      <c r="U85" s="1576" t="n">
        <f aca="false">$I85</f>
        <v>2.29465092716816</v>
      </c>
      <c r="V85" s="394" t="n">
        <f aca="false">T85/U85</f>
        <v>5383.24256424393</v>
      </c>
      <c r="W85" s="1579" t="str">
        <f aca="false">IF(MONTH($A85)=12,SUM(V74:V85)," ")</f>
        <v> </v>
      </c>
      <c r="Y85" s="1580" t="n">
        <f aca="false">IF($A85&gt;Endyr,0,VLOOKUP($A85,Tariff_Table,Tariff!$J$33))</f>
        <v>0.19</v>
      </c>
      <c r="Z85" s="1576" t="n">
        <f aca="false">VLOOKUP($A85,Curves_Table,Escalation!$AH$291)</f>
        <v>1.95137683106314</v>
      </c>
      <c r="AA85" s="1576" t="n">
        <f aca="false">Y85*Z85</f>
        <v>0.370761597901997</v>
      </c>
      <c r="AB85" s="397" t="n">
        <f aca="false">'Plant Operations'!$I85+'Plant Operations'!$M85</f>
        <v>298980.864</v>
      </c>
      <c r="AC85" s="1575" t="n">
        <f aca="false">AA85*AB85/1000</f>
        <v>110.85062287876</v>
      </c>
      <c r="AD85" s="1576" t="n">
        <f aca="false">$I85</f>
        <v>2.29465092716816</v>
      </c>
      <c r="AE85" s="1566" t="n">
        <f aca="false">AC85/AD85</f>
        <v>48.308272760058</v>
      </c>
      <c r="AF85" s="1567" t="str">
        <f aca="false">IF(MONTH($A85)=12,SUM(AE74:AE85)," ")</f>
        <v> </v>
      </c>
    </row>
    <row r="86" customFormat="false" ht="12.75" hidden="false" customHeight="false" outlineLevel="0" collapsed="false">
      <c r="A86" s="1538" t="n">
        <f aca="false">'Plant Operations'!A86</f>
        <v>38504</v>
      </c>
      <c r="C86" s="1574" t="n">
        <f aca="false">IF($A86&gt;Endyr,0,VLOOKUP($A86,Tariff_Table,Tariff!$D$33))</f>
        <v>9710.48681541582</v>
      </c>
      <c r="E86" s="1561" t="n">
        <f aca="false">VLOOKUP($A86,Tariff_Table,Tariff!$E$33)</f>
        <v>0.985999546968828</v>
      </c>
      <c r="F86" s="1575" t="n">
        <f aca="false">$C86*E86</f>
        <v>9574.53560084678</v>
      </c>
      <c r="G86" s="1565" t="n">
        <f aca="false">VLOOKUP($A86,Curves_Table,Escalation!$N$291)</f>
        <v>1.23462294375966</v>
      </c>
      <c r="H86" s="1575" t="n">
        <f aca="false">F86*G86</f>
        <v>11820.9413286491</v>
      </c>
      <c r="I86" s="1576" t="n">
        <f aca="false">IF(Assm!$L$74=0,VLOOKUP($A86,Curves_Table,Escalation!$D$291),VLOOKUP($A86,Curves_Table,Escalation!$E$291))</f>
        <v>2.30002132894223</v>
      </c>
      <c r="J86" s="1576" t="n">
        <f aca="false">IF($A86&lt;EE_Date,VLOOKUP($A86,Curves_Table,Escalation!$D$291),Exch)</f>
        <v>1.065</v>
      </c>
      <c r="K86" s="1577" t="n">
        <f aca="false">H86*I86/J86</f>
        <v>25529.0302197819</v>
      </c>
      <c r="M86" s="1561" t="n">
        <f aca="false">VLOOKUP($A86,Tariff_Table,Tariff!$F$33)</f>
        <v>0.0140004530311721</v>
      </c>
      <c r="N86" s="1575" t="n">
        <f aca="false">$C86*M86</f>
        <v>135.951214569046</v>
      </c>
      <c r="O86" s="1565" t="n">
        <f aca="false">VLOOKUP($A86,Curves_Table,Escalation!$R$291)</f>
        <v>1.95137683106314</v>
      </c>
      <c r="P86" s="1577" t="n">
        <f aca="false">N86*O86</f>
        <v>265.292050264929</v>
      </c>
      <c r="R86" s="1578" t="n">
        <f aca="false">SUM(K86,P86)</f>
        <v>25794.3222700468</v>
      </c>
      <c r="S86" s="1540" t="n">
        <f aca="false">'Plant Operations'!C86</f>
        <v>480</v>
      </c>
      <c r="T86" s="1575" t="n">
        <f aca="false">R86*S86/1000</f>
        <v>12381.2746896225</v>
      </c>
      <c r="U86" s="1576" t="n">
        <f aca="false">$I86</f>
        <v>2.30002132894223</v>
      </c>
      <c r="V86" s="394" t="n">
        <f aca="false">T86/U86</f>
        <v>5383.11298848545</v>
      </c>
      <c r="W86" s="1579" t="str">
        <f aca="false">IF(MONTH($A86)=12,SUM(V75:V86)," ")</f>
        <v> </v>
      </c>
      <c r="Y86" s="1580" t="n">
        <f aca="false">IF($A86&gt;Endyr,0,VLOOKUP($A86,Tariff_Table,Tariff!$J$33))</f>
        <v>0.19</v>
      </c>
      <c r="Z86" s="1576" t="n">
        <f aca="false">VLOOKUP($A86,Curves_Table,Escalation!$AH$291)</f>
        <v>1.95137683106314</v>
      </c>
      <c r="AA86" s="1576" t="n">
        <f aca="false">Y86*Z86</f>
        <v>0.370761597901997</v>
      </c>
      <c r="AB86" s="397" t="n">
        <f aca="false">'Plant Operations'!$I86+'Plant Operations'!$M86</f>
        <v>289336.32</v>
      </c>
      <c r="AC86" s="1575" t="n">
        <f aca="false">AA86*AB86/1000</f>
        <v>107.274796334284</v>
      </c>
      <c r="AD86" s="1576" t="n">
        <f aca="false">$I86</f>
        <v>2.30002132894223</v>
      </c>
      <c r="AE86" s="1566" t="n">
        <f aca="false">AC86/AD86</f>
        <v>46.6407832763963</v>
      </c>
      <c r="AF86" s="1567" t="str">
        <f aca="false">IF(MONTH($A86)=12,SUM(AE75:AE86)," ")</f>
        <v> </v>
      </c>
    </row>
    <row r="87" customFormat="false" ht="12.75" hidden="false" customHeight="false" outlineLevel="0" collapsed="false">
      <c r="A87" s="1538" t="n">
        <f aca="false">'Plant Operations'!A87</f>
        <v>38534</v>
      </c>
      <c r="C87" s="1574" t="n">
        <f aca="false">IF($A87&gt;Endyr,0,VLOOKUP($A87,Tariff_Table,Tariff!$D$33))</f>
        <v>9710.48681541582</v>
      </c>
      <c r="E87" s="1561" t="n">
        <f aca="false">VLOOKUP($A87,Tariff_Table,Tariff!$E$33)</f>
        <v>0.985999546968828</v>
      </c>
      <c r="F87" s="1575" t="n">
        <f aca="false">$C87*E87</f>
        <v>9574.53560084678</v>
      </c>
      <c r="G87" s="1565" t="n">
        <f aca="false">VLOOKUP($A87,Curves_Table,Escalation!$N$291)</f>
        <v>1.23462294375966</v>
      </c>
      <c r="H87" s="1575" t="n">
        <f aca="false">F87*G87</f>
        <v>11820.9413286491</v>
      </c>
      <c r="I87" s="1576" t="n">
        <f aca="false">IF(Assm!$L$74=0,VLOOKUP($A87,Curves_Table,Escalation!$D$291),VLOOKUP($A87,Curves_Table,Escalation!$E$291))</f>
        <v>2.30540429960635</v>
      </c>
      <c r="J87" s="1576" t="n">
        <f aca="false">IF($A87&lt;EE_Date,VLOOKUP($A87,Curves_Table,Escalation!$D$291),Exch)</f>
        <v>1.065</v>
      </c>
      <c r="K87" s="1577" t="n">
        <f aca="false">H87*I87/J87</f>
        <v>25588.7783703869</v>
      </c>
      <c r="M87" s="1561" t="n">
        <f aca="false">VLOOKUP($A87,Tariff_Table,Tariff!$F$33)</f>
        <v>0.0140004530311721</v>
      </c>
      <c r="N87" s="1575" t="n">
        <f aca="false">$C87*M87</f>
        <v>135.951214569046</v>
      </c>
      <c r="O87" s="1565" t="n">
        <f aca="false">VLOOKUP($A87,Curves_Table,Escalation!$R$291)</f>
        <v>1.95137683106314</v>
      </c>
      <c r="P87" s="1577" t="n">
        <f aca="false">N87*O87</f>
        <v>265.292050264929</v>
      </c>
      <c r="R87" s="1578" t="n">
        <f aca="false">SUM(K87,P87)</f>
        <v>25854.0704206519</v>
      </c>
      <c r="S87" s="1540" t="n">
        <f aca="false">'Plant Operations'!C87</f>
        <v>480</v>
      </c>
      <c r="T87" s="1575" t="n">
        <f aca="false">R87*S87/1000</f>
        <v>12409.9538019129</v>
      </c>
      <c r="U87" s="1576" t="n">
        <f aca="false">$I87</f>
        <v>2.30540429960635</v>
      </c>
      <c r="V87" s="394" t="n">
        <f aca="false">T87/U87</f>
        <v>5382.98371527802</v>
      </c>
      <c r="W87" s="1579" t="str">
        <f aca="false">IF(MONTH($A87)=12,SUM(V76:V87)," ")</f>
        <v> </v>
      </c>
      <c r="Y87" s="1580" t="n">
        <f aca="false">IF($A87&gt;Endyr,0,VLOOKUP($A87,Tariff_Table,Tariff!$J$33))</f>
        <v>0.19</v>
      </c>
      <c r="Z87" s="1576" t="n">
        <f aca="false">VLOOKUP($A87,Curves_Table,Escalation!$AH$291)</f>
        <v>1.95137683106314</v>
      </c>
      <c r="AA87" s="1576" t="n">
        <f aca="false">Y87*Z87</f>
        <v>0.370761597901997</v>
      </c>
      <c r="AB87" s="397" t="n">
        <f aca="false">'Plant Operations'!$I87+'Plant Operations'!$M87</f>
        <v>298980.864</v>
      </c>
      <c r="AC87" s="1575" t="n">
        <f aca="false">AA87*AB87/1000</f>
        <v>110.85062287876</v>
      </c>
      <c r="AD87" s="1576" t="n">
        <f aca="false">$I87</f>
        <v>2.30540429960635</v>
      </c>
      <c r="AE87" s="1566" t="n">
        <f aca="false">AC87/AD87</f>
        <v>48.0829427175475</v>
      </c>
      <c r="AF87" s="1567" t="str">
        <f aca="false">IF(MONTH($A87)=12,SUM(AE76:AE87)," ")</f>
        <v> </v>
      </c>
    </row>
    <row r="88" customFormat="false" ht="12.75" hidden="false" customHeight="false" outlineLevel="0" collapsed="false">
      <c r="A88" s="1538" t="n">
        <f aca="false">'Plant Operations'!A88</f>
        <v>38565</v>
      </c>
      <c r="C88" s="1574" t="n">
        <f aca="false">IF($A88&gt;Endyr,0,VLOOKUP($A88,Tariff_Table,Tariff!$D$33))</f>
        <v>9710.48681541582</v>
      </c>
      <c r="E88" s="1561" t="n">
        <f aca="false">VLOOKUP($A88,Tariff_Table,Tariff!$E$33)</f>
        <v>0.985999546968828</v>
      </c>
      <c r="F88" s="1575" t="n">
        <f aca="false">$C88*E88</f>
        <v>9574.53560084678</v>
      </c>
      <c r="G88" s="1565" t="n">
        <f aca="false">VLOOKUP($A88,Curves_Table,Escalation!$N$291)</f>
        <v>1.23462294375966</v>
      </c>
      <c r="H88" s="1575" t="n">
        <f aca="false">F88*G88</f>
        <v>11820.9413286491</v>
      </c>
      <c r="I88" s="1576" t="n">
        <f aca="false">IF(Assm!$L$74=0,VLOOKUP($A88,Curves_Table,Escalation!$D$291),VLOOKUP($A88,Curves_Table,Escalation!$E$291))</f>
        <v>2.31079986857675</v>
      </c>
      <c r="J88" s="1576" t="n">
        <f aca="false">IF($A88&lt;EE_Date,VLOOKUP($A88,Curves_Table,Escalation!$D$291),Exch)</f>
        <v>1.065</v>
      </c>
      <c r="K88" s="1577" t="n">
        <f aca="false">H88*I88/J88</f>
        <v>25648.6663555831</v>
      </c>
      <c r="M88" s="1561" t="n">
        <f aca="false">VLOOKUP($A88,Tariff_Table,Tariff!$F$33)</f>
        <v>0.0140004530311721</v>
      </c>
      <c r="N88" s="1575" t="n">
        <f aca="false">$C88*M88</f>
        <v>135.951214569046</v>
      </c>
      <c r="O88" s="1565" t="n">
        <f aca="false">VLOOKUP($A88,Curves_Table,Escalation!$R$291)</f>
        <v>1.95137683106314</v>
      </c>
      <c r="P88" s="1577" t="n">
        <f aca="false">N88*O88</f>
        <v>265.292050264929</v>
      </c>
      <c r="R88" s="1578" t="n">
        <f aca="false">SUM(K88,P88)</f>
        <v>25913.958405848</v>
      </c>
      <c r="S88" s="1540" t="n">
        <f aca="false">'Plant Operations'!C88</f>
        <v>480</v>
      </c>
      <c r="T88" s="1575" t="n">
        <f aca="false">R88*S88/1000</f>
        <v>12438.700034807</v>
      </c>
      <c r="U88" s="1576" t="n">
        <f aca="false">$I88</f>
        <v>2.31079986857675</v>
      </c>
      <c r="V88" s="394" t="n">
        <f aca="false">T88/U88</f>
        <v>5382.85474391521</v>
      </c>
      <c r="W88" s="1579" t="str">
        <f aca="false">IF(MONTH($A88)=12,SUM(V77:V88)," ")</f>
        <v> </v>
      </c>
      <c r="Y88" s="1580" t="n">
        <f aca="false">IF($A88&gt;Endyr,0,VLOOKUP($A88,Tariff_Table,Tariff!$J$33))</f>
        <v>0.19</v>
      </c>
      <c r="Z88" s="1576" t="n">
        <f aca="false">VLOOKUP($A88,Curves_Table,Escalation!$AH$291)</f>
        <v>1.95137683106314</v>
      </c>
      <c r="AA88" s="1576" t="n">
        <f aca="false">Y88*Z88</f>
        <v>0.370761597901997</v>
      </c>
      <c r="AB88" s="397" t="n">
        <f aca="false">'Plant Operations'!$I88+'Plant Operations'!$M88</f>
        <v>298980.864</v>
      </c>
      <c r="AC88" s="1575" t="n">
        <f aca="false">AA88*AB88/1000</f>
        <v>110.85062287876</v>
      </c>
      <c r="AD88" s="1576" t="n">
        <f aca="false">$I88</f>
        <v>2.31079986857675</v>
      </c>
      <c r="AE88" s="1566" t="n">
        <f aca="false">AC88/AD88</f>
        <v>47.9706721409127</v>
      </c>
      <c r="AF88" s="1567" t="str">
        <f aca="false">IF(MONTH($A88)=12,SUM(AE77:AE88)," ")</f>
        <v> </v>
      </c>
    </row>
    <row r="89" customFormat="false" ht="12.75" hidden="false" customHeight="false" outlineLevel="0" collapsed="false">
      <c r="A89" s="1538" t="n">
        <f aca="false">'Plant Operations'!A89</f>
        <v>38596</v>
      </c>
      <c r="C89" s="1574" t="n">
        <f aca="false">IF($A89&gt;Endyr,0,VLOOKUP($A89,Tariff_Table,Tariff!$D$33))</f>
        <v>9710.48681541582</v>
      </c>
      <c r="E89" s="1561" t="n">
        <f aca="false">VLOOKUP($A89,Tariff_Table,Tariff!$E$33)</f>
        <v>0.985999546968828</v>
      </c>
      <c r="F89" s="1575" t="n">
        <f aca="false">$C89*E89</f>
        <v>9574.53560084678</v>
      </c>
      <c r="G89" s="1565" t="n">
        <f aca="false">VLOOKUP($A89,Curves_Table,Escalation!$N$291)</f>
        <v>1.23462294375966</v>
      </c>
      <c r="H89" s="1575" t="n">
        <f aca="false">F89*G89</f>
        <v>11820.9413286491</v>
      </c>
      <c r="I89" s="1576" t="n">
        <f aca="false">IF(Assm!$L$74=0,VLOOKUP($A89,Curves_Table,Escalation!$D$291),VLOOKUP($A89,Curves_Table,Escalation!$E$291))</f>
        <v>2.31620806533853</v>
      </c>
      <c r="J89" s="1576" t="n">
        <f aca="false">IF($A89&lt;EE_Date,VLOOKUP($A89,Curves_Table,Escalation!$D$291),Exch)</f>
        <v>1.065</v>
      </c>
      <c r="K89" s="1577" t="n">
        <f aca="false">H89*I89/J89</f>
        <v>25708.6945026391</v>
      </c>
      <c r="M89" s="1561" t="n">
        <f aca="false">VLOOKUP($A89,Tariff_Table,Tariff!$F$33)</f>
        <v>0.0140004530311721</v>
      </c>
      <c r="N89" s="1575" t="n">
        <f aca="false">$C89*M89</f>
        <v>135.951214569046</v>
      </c>
      <c r="O89" s="1565" t="n">
        <f aca="false">VLOOKUP($A89,Curves_Table,Escalation!$R$291)</f>
        <v>1.95137683106314</v>
      </c>
      <c r="P89" s="1577" t="n">
        <f aca="false">N89*O89</f>
        <v>265.292050264929</v>
      </c>
      <c r="R89" s="1578" t="n">
        <f aca="false">SUM(K89,P89)</f>
        <v>25973.9865529041</v>
      </c>
      <c r="S89" s="1540" t="n">
        <f aca="false">'Plant Operations'!C89</f>
        <v>480</v>
      </c>
      <c r="T89" s="1575" t="n">
        <f aca="false">R89*S89/1000</f>
        <v>12467.513545394</v>
      </c>
      <c r="U89" s="1576" t="n">
        <f aca="false">$I89</f>
        <v>2.31620806533853</v>
      </c>
      <c r="V89" s="394" t="n">
        <f aca="false">T89/U89</f>
        <v>5382.72607369224</v>
      </c>
      <c r="W89" s="1579" t="str">
        <f aca="false">IF(MONTH($A89)=12,SUM(V78:V89)," ")</f>
        <v> </v>
      </c>
      <c r="Y89" s="1580" t="n">
        <f aca="false">IF($A89&gt;Endyr,0,VLOOKUP($A89,Tariff_Table,Tariff!$J$33))</f>
        <v>0.19</v>
      </c>
      <c r="Z89" s="1576" t="n">
        <f aca="false">VLOOKUP($A89,Curves_Table,Escalation!$AH$291)</f>
        <v>1.95137683106314</v>
      </c>
      <c r="AA89" s="1576" t="n">
        <f aca="false">Y89*Z89</f>
        <v>0.370761597901997</v>
      </c>
      <c r="AB89" s="397" t="n">
        <f aca="false">'Plant Operations'!$I89+'Plant Operations'!$M89</f>
        <v>289336.32</v>
      </c>
      <c r="AC89" s="1575" t="n">
        <f aca="false">AA89*AB89/1000</f>
        <v>107.274796334284</v>
      </c>
      <c r="AD89" s="1576" t="n">
        <f aca="false">$I89</f>
        <v>2.31620806533853</v>
      </c>
      <c r="AE89" s="1566" t="n">
        <f aca="false">AC89/AD89</f>
        <v>46.3148358472729</v>
      </c>
      <c r="AF89" s="1567" t="str">
        <f aca="false">IF(MONTH($A89)=12,SUM(AE78:AE89)," ")</f>
        <v> </v>
      </c>
    </row>
    <row r="90" customFormat="false" ht="12.75" hidden="false" customHeight="false" outlineLevel="0" collapsed="false">
      <c r="A90" s="1538" t="n">
        <f aca="false">'Plant Operations'!A90</f>
        <v>38626</v>
      </c>
      <c r="C90" s="1574" t="n">
        <f aca="false">IF($A90&gt;Endyr,0,VLOOKUP($A90,Tariff_Table,Tariff!$D$33))</f>
        <v>9710.48681541582</v>
      </c>
      <c r="E90" s="1561" t="n">
        <f aca="false">VLOOKUP($A90,Tariff_Table,Tariff!$E$33)</f>
        <v>0.985999546968828</v>
      </c>
      <c r="F90" s="1575" t="n">
        <f aca="false">$C90*E90</f>
        <v>9574.53560084678</v>
      </c>
      <c r="G90" s="1565" t="n">
        <f aca="false">VLOOKUP($A90,Curves_Table,Escalation!$N$291)</f>
        <v>1.23462294375966</v>
      </c>
      <c r="H90" s="1575" t="n">
        <f aca="false">F90*G90</f>
        <v>11820.9413286491</v>
      </c>
      <c r="I90" s="1576" t="n">
        <f aca="false">IF(Assm!$L$74=0,VLOOKUP($A90,Curves_Table,Escalation!$D$291),VLOOKUP($A90,Curves_Table,Escalation!$E$291))</f>
        <v>2.32162891944576</v>
      </c>
      <c r="J90" s="1576" t="n">
        <f aca="false">IF($A90&lt;EE_Date,VLOOKUP($A90,Curves_Table,Escalation!$D$291),Exch)</f>
        <v>1.065</v>
      </c>
      <c r="K90" s="1577" t="n">
        <f aca="false">H90*I90/J90</f>
        <v>25768.8631395901</v>
      </c>
      <c r="M90" s="1561" t="n">
        <f aca="false">VLOOKUP($A90,Tariff_Table,Tariff!$F$33)</f>
        <v>0.0140004530311721</v>
      </c>
      <c r="N90" s="1575" t="n">
        <f aca="false">$C90*M90</f>
        <v>135.951214569046</v>
      </c>
      <c r="O90" s="1565" t="n">
        <f aca="false">VLOOKUP($A90,Curves_Table,Escalation!$R$291)</f>
        <v>1.95137683106314</v>
      </c>
      <c r="P90" s="1577" t="n">
        <f aca="false">N90*O90</f>
        <v>265.292050264929</v>
      </c>
      <c r="R90" s="1578" t="n">
        <f aca="false">SUM(K90,P90)</f>
        <v>26034.155189855</v>
      </c>
      <c r="S90" s="1540" t="n">
        <f aca="false">'Plant Operations'!C90</f>
        <v>480</v>
      </c>
      <c r="T90" s="1575" t="n">
        <f aca="false">R90*S90/1000</f>
        <v>12496.3944911304</v>
      </c>
      <c r="U90" s="1576" t="n">
        <f aca="false">$I90</f>
        <v>2.32162891944576</v>
      </c>
      <c r="V90" s="394" t="n">
        <f aca="false">T90/U90</f>
        <v>5382.59770390595</v>
      </c>
      <c r="W90" s="1579" t="str">
        <f aca="false">IF(MONTH($A90)=12,SUM(V79:V90)," ")</f>
        <v> </v>
      </c>
      <c r="Y90" s="1580" t="n">
        <f aca="false">IF($A90&gt;Endyr,0,VLOOKUP($A90,Tariff_Table,Tariff!$J$33))</f>
        <v>0.19</v>
      </c>
      <c r="Z90" s="1576" t="n">
        <f aca="false">VLOOKUP($A90,Curves_Table,Escalation!$AH$291)</f>
        <v>1.95137683106314</v>
      </c>
      <c r="AA90" s="1576" t="n">
        <f aca="false">Y90*Z90</f>
        <v>0.370761597901997</v>
      </c>
      <c r="AB90" s="397" t="n">
        <f aca="false">'Plant Operations'!$I90+'Plant Operations'!$M90</f>
        <v>298980.864</v>
      </c>
      <c r="AC90" s="1575" t="n">
        <f aca="false">AA90*AB90/1000</f>
        <v>110.85062287876</v>
      </c>
      <c r="AD90" s="1576" t="n">
        <f aca="false">$I90</f>
        <v>2.32162891944576</v>
      </c>
      <c r="AE90" s="1566" t="n">
        <f aca="false">AC90/AD90</f>
        <v>47.7469168092647</v>
      </c>
      <c r="AF90" s="1567" t="str">
        <f aca="false">IF(MONTH($A90)=12,SUM(AE79:AE90)," ")</f>
        <v> </v>
      </c>
    </row>
    <row r="91" customFormat="false" ht="12.75" hidden="false" customHeight="false" outlineLevel="0" collapsed="false">
      <c r="A91" s="1538" t="n">
        <f aca="false">'Plant Operations'!A91</f>
        <v>38657</v>
      </c>
      <c r="C91" s="1574" t="n">
        <f aca="false">IF($A91&gt;Endyr,0,VLOOKUP($A91,Tariff_Table,Tariff!$D$33))</f>
        <v>9710.48681541582</v>
      </c>
      <c r="E91" s="1561" t="n">
        <f aca="false">VLOOKUP($A91,Tariff_Table,Tariff!$E$33)</f>
        <v>0.985999546968828</v>
      </c>
      <c r="F91" s="1575" t="n">
        <f aca="false">$C91*E91</f>
        <v>9574.53560084678</v>
      </c>
      <c r="G91" s="1565" t="n">
        <f aca="false">VLOOKUP($A91,Curves_Table,Escalation!$N$291)</f>
        <v>1.23462294375966</v>
      </c>
      <c r="H91" s="1575" t="n">
        <f aca="false">F91*G91</f>
        <v>11820.9413286491</v>
      </c>
      <c r="I91" s="1576" t="n">
        <f aca="false">IF(Assm!$L$74=0,VLOOKUP($A91,Curves_Table,Escalation!$D$291),VLOOKUP($A91,Curves_Table,Escalation!$E$291))</f>
        <v>2.3270624605217</v>
      </c>
      <c r="J91" s="1576" t="n">
        <f aca="false">IF($A91&lt;EE_Date,VLOOKUP($A91,Curves_Table,Escalation!$D$291),Exch)</f>
        <v>1.065</v>
      </c>
      <c r="K91" s="1577" t="n">
        <f aca="false">H91*I91/J91</f>
        <v>25829.1725952384</v>
      </c>
      <c r="M91" s="1561" t="n">
        <f aca="false">VLOOKUP($A91,Tariff_Table,Tariff!$F$33)</f>
        <v>0.0140004530311721</v>
      </c>
      <c r="N91" s="1575" t="n">
        <f aca="false">$C91*M91</f>
        <v>135.951214569046</v>
      </c>
      <c r="O91" s="1565" t="n">
        <f aca="false">VLOOKUP($A91,Curves_Table,Escalation!$R$291)</f>
        <v>1.95137683106314</v>
      </c>
      <c r="P91" s="1577" t="n">
        <f aca="false">N91*O91</f>
        <v>265.292050264929</v>
      </c>
      <c r="R91" s="1578" t="n">
        <f aca="false">SUM(K91,P91)</f>
        <v>26094.4646455033</v>
      </c>
      <c r="S91" s="1540" t="n">
        <f aca="false">'Plant Operations'!C91</f>
        <v>480</v>
      </c>
      <c r="T91" s="1575" t="n">
        <f aca="false">R91*S91/1000</f>
        <v>12525.3430298416</v>
      </c>
      <c r="U91" s="1576" t="n">
        <f aca="false">$I91</f>
        <v>2.3270624605217</v>
      </c>
      <c r="V91" s="394" t="n">
        <f aca="false">T91/U91</f>
        <v>5382.46963385486</v>
      </c>
      <c r="W91" s="1579" t="str">
        <f aca="false">IF(MONTH($A91)=12,SUM(V80:V91)," ")</f>
        <v> </v>
      </c>
      <c r="Y91" s="1580" t="n">
        <f aca="false">IF($A91&gt;Endyr,0,VLOOKUP($A91,Tariff_Table,Tariff!$J$33))</f>
        <v>0.19</v>
      </c>
      <c r="Z91" s="1576" t="n">
        <f aca="false">VLOOKUP($A91,Curves_Table,Escalation!$AH$291)</f>
        <v>1.95137683106314</v>
      </c>
      <c r="AA91" s="1576" t="n">
        <f aca="false">Y91*Z91</f>
        <v>0.370761597901997</v>
      </c>
      <c r="AB91" s="397" t="n">
        <f aca="false">'Plant Operations'!$I91+'Plant Operations'!$M91</f>
        <v>289336.32</v>
      </c>
      <c r="AC91" s="1575" t="n">
        <f aca="false">AA91*AB91/1000</f>
        <v>107.274796334284</v>
      </c>
      <c r="AD91" s="1576" t="n">
        <f aca="false">$I91</f>
        <v>2.3270624605217</v>
      </c>
      <c r="AE91" s="1566" t="n">
        <f aca="false">AC91/AD91</f>
        <v>46.0988040304831</v>
      </c>
      <c r="AF91" s="1567" t="str">
        <f aca="false">IF(MONTH($A91)=12,SUM(AE80:AE91)," ")</f>
        <v> </v>
      </c>
    </row>
    <row r="92" customFormat="false" ht="12.75" hidden="false" customHeight="false" outlineLevel="0" collapsed="false">
      <c r="A92" s="1538" t="n">
        <f aca="false">'Plant Operations'!A92</f>
        <v>38687</v>
      </c>
      <c r="C92" s="1574" t="n">
        <f aca="false">IF($A92&gt;Endyr,0,VLOOKUP($A92,Tariff_Table,Tariff!$D$33))</f>
        <v>9710.48681541582</v>
      </c>
      <c r="E92" s="1561" t="n">
        <f aca="false">VLOOKUP($A92,Tariff_Table,Tariff!$E$33)</f>
        <v>0.985999546968828</v>
      </c>
      <c r="F92" s="1575" t="n">
        <f aca="false">$C92*E92</f>
        <v>9574.53560084678</v>
      </c>
      <c r="G92" s="1565" t="n">
        <f aca="false">VLOOKUP($A92,Curves_Table,Escalation!$N$291)</f>
        <v>1.23462294375966</v>
      </c>
      <c r="H92" s="1575" t="n">
        <f aca="false">F92*G92</f>
        <v>11820.9413286491</v>
      </c>
      <c r="I92" s="1576" t="n">
        <f aca="false">IF(Assm!$L$74=0,VLOOKUP($A92,Curves_Table,Escalation!$D$291),VLOOKUP($A92,Curves_Table,Escalation!$E$291))</f>
        <v>2.33250871825894</v>
      </c>
      <c r="J92" s="1576" t="n">
        <f aca="false">IF($A92&lt;EE_Date,VLOOKUP($A92,Curves_Table,Escalation!$D$291),Exch)</f>
        <v>1.065</v>
      </c>
      <c r="K92" s="1577" t="n">
        <f aca="false">H92*I92/J92</f>
        <v>25889.6231991563</v>
      </c>
      <c r="M92" s="1561" t="n">
        <f aca="false">VLOOKUP($A92,Tariff_Table,Tariff!$F$33)</f>
        <v>0.0140004530311721</v>
      </c>
      <c r="N92" s="1575" t="n">
        <f aca="false">$C92*M92</f>
        <v>135.951214569046</v>
      </c>
      <c r="O92" s="1565" t="n">
        <f aca="false">VLOOKUP($A92,Curves_Table,Escalation!$R$291)</f>
        <v>1.95137683106314</v>
      </c>
      <c r="P92" s="1577" t="n">
        <f aca="false">N92*O92</f>
        <v>265.292050264929</v>
      </c>
      <c r="R92" s="1578" t="n">
        <f aca="false">SUM(K92,P92)</f>
        <v>26154.9152494213</v>
      </c>
      <c r="S92" s="1540" t="n">
        <f aca="false">'Plant Operations'!C92</f>
        <v>480</v>
      </c>
      <c r="T92" s="1575" t="n">
        <f aca="false">R92*S92/1000</f>
        <v>12554.3593197222</v>
      </c>
      <c r="U92" s="1576" t="n">
        <f aca="false">$I92</f>
        <v>2.33250871825894</v>
      </c>
      <c r="V92" s="394" t="n">
        <f aca="false">T92/U92</f>
        <v>5382.34186283908</v>
      </c>
      <c r="W92" s="1579" t="n">
        <f aca="false">IF(MONTH($A92)=12,SUM(V81:V92)," ")</f>
        <v>64164.4053200048</v>
      </c>
      <c r="Y92" s="1580" t="n">
        <f aca="false">IF($A92&gt;Endyr,0,VLOOKUP($A92,Tariff_Table,Tariff!$J$33))</f>
        <v>0.19</v>
      </c>
      <c r="Z92" s="1576" t="n">
        <f aca="false">VLOOKUP($A92,Curves_Table,Escalation!$AH$291)</f>
        <v>1.95137683106314</v>
      </c>
      <c r="AA92" s="1576" t="n">
        <f aca="false">Y92*Z92</f>
        <v>0.370761597901997</v>
      </c>
      <c r="AB92" s="397" t="n">
        <f aca="false">'Plant Operations'!$I92+'Plant Operations'!$M92</f>
        <v>298980.864</v>
      </c>
      <c r="AC92" s="1575" t="n">
        <f aca="false">AA92*AB92/1000</f>
        <v>110.85062287876</v>
      </c>
      <c r="AD92" s="1576" t="n">
        <f aca="false">$I92</f>
        <v>2.33250871825894</v>
      </c>
      <c r="AE92" s="1566" t="n">
        <f aca="false">AC92/AD92</f>
        <v>47.5242051663165</v>
      </c>
      <c r="AF92" s="1567" t="n">
        <f aca="false">IF(MONTH($A92)=12,SUM(AE81:AE92)," ")</f>
        <v>553.120437441243</v>
      </c>
    </row>
    <row r="93" customFormat="false" ht="12.75" hidden="false" customHeight="false" outlineLevel="0" collapsed="false">
      <c r="A93" s="1538" t="n">
        <f aca="false">'Plant Operations'!A93</f>
        <v>38718</v>
      </c>
      <c r="C93" s="1574" t="n">
        <f aca="false">IF($A93&gt;Endyr,0,VLOOKUP($A93,Tariff_Table,Tariff!$D$33))</f>
        <v>9710.48681541582</v>
      </c>
      <c r="E93" s="1561" t="n">
        <f aca="false">VLOOKUP($A93,Tariff_Table,Tariff!$E$33)</f>
        <v>0.985999546968828</v>
      </c>
      <c r="F93" s="1575" t="n">
        <f aca="false">$C93*E93</f>
        <v>9574.53560084678</v>
      </c>
      <c r="G93" s="1565" t="n">
        <f aca="false">VLOOKUP($A93,Curves_Table,Escalation!$N$291)</f>
        <v>1.23462294375966</v>
      </c>
      <c r="H93" s="1575" t="n">
        <f aca="false">F93*G93</f>
        <v>11820.9413286491</v>
      </c>
      <c r="I93" s="1576" t="n">
        <f aca="false">IF(Assm!$L$74=0,VLOOKUP($A93,Curves_Table,Escalation!$D$291),VLOOKUP($A93,Curves_Table,Escalation!$E$291))</f>
        <v>2.33788261742251</v>
      </c>
      <c r="J93" s="1576" t="n">
        <f aca="false">IF($A93&lt;EE_Date,VLOOKUP($A93,Curves_Table,Escalation!$D$291),Exch)</f>
        <v>1.065</v>
      </c>
      <c r="K93" s="1577" t="n">
        <f aca="false">H93*I93/J93</f>
        <v>25949.270660864</v>
      </c>
      <c r="M93" s="1561" t="n">
        <f aca="false">VLOOKUP($A93,Tariff_Table,Tariff!$F$33)</f>
        <v>0.0140004530311721</v>
      </c>
      <c r="N93" s="1575" t="n">
        <f aca="false">$C93*M93</f>
        <v>135.951214569046</v>
      </c>
      <c r="O93" s="1565" t="n">
        <f aca="false">VLOOKUP($A93,Curves_Table,Escalation!$R$291)</f>
        <v>1.95137683106314</v>
      </c>
      <c r="P93" s="1577" t="n">
        <f aca="false">N93*O93</f>
        <v>265.292050264929</v>
      </c>
      <c r="R93" s="1578" t="n">
        <f aca="false">SUM(K93,P93)</f>
        <v>26214.562711129</v>
      </c>
      <c r="S93" s="1540" t="n">
        <f aca="false">'Plant Operations'!C93</f>
        <v>480</v>
      </c>
      <c r="T93" s="1575" t="n">
        <f aca="false">R93*S93/1000</f>
        <v>12582.9901013419</v>
      </c>
      <c r="U93" s="1576" t="n">
        <f aca="false">$I93</f>
        <v>2.33788261742251</v>
      </c>
      <c r="V93" s="394" t="n">
        <f aca="false">T93/U93</f>
        <v>5382.21637287098</v>
      </c>
      <c r="W93" s="1579" t="str">
        <f aca="false">IF(MONTH($A93)=12,SUM(V82:V93)," ")</f>
        <v> </v>
      </c>
      <c r="Y93" s="1580" t="n">
        <f aca="false">IF($A93&gt;Endyr,0,VLOOKUP($A93,Tariff_Table,Tariff!$J$33))</f>
        <v>0.19</v>
      </c>
      <c r="Z93" s="1576" t="n">
        <f aca="false">VLOOKUP($A93,Curves_Table,Escalation!$AH$291)</f>
        <v>1.95137683106314</v>
      </c>
      <c r="AA93" s="1576" t="n">
        <f aca="false">Y93*Z93</f>
        <v>0.370761597901997</v>
      </c>
      <c r="AB93" s="397" t="n">
        <f aca="false">'Plant Operations'!$I93+'Plant Operations'!$M93</f>
        <v>298980.864</v>
      </c>
      <c r="AC93" s="1575" t="n">
        <f aca="false">AA93*AB93/1000</f>
        <v>110.85062287876</v>
      </c>
      <c r="AD93" s="1576" t="n">
        <f aca="false">$I93</f>
        <v>2.33788261742251</v>
      </c>
      <c r="AE93" s="1566" t="n">
        <f aca="false">AC93/AD93</f>
        <v>47.414965170908</v>
      </c>
      <c r="AF93" s="1567" t="str">
        <f aca="false">IF(MONTH($A93)=12,SUM(AE82:AE93)," ")</f>
        <v> </v>
      </c>
    </row>
    <row r="94" customFormat="false" ht="12.75" hidden="false" customHeight="false" outlineLevel="0" collapsed="false">
      <c r="A94" s="1538" t="n">
        <f aca="false">'Plant Operations'!A94</f>
        <v>38749</v>
      </c>
      <c r="C94" s="1574" t="n">
        <f aca="false">IF($A94&gt;Endyr,0,VLOOKUP($A94,Tariff_Table,Tariff!$D$33))</f>
        <v>9710.48681541582</v>
      </c>
      <c r="E94" s="1561" t="n">
        <f aca="false">VLOOKUP($A94,Tariff_Table,Tariff!$E$33)</f>
        <v>0.985999546968828</v>
      </c>
      <c r="F94" s="1575" t="n">
        <f aca="false">$C94*E94</f>
        <v>9574.53560084678</v>
      </c>
      <c r="G94" s="1565" t="n">
        <f aca="false">VLOOKUP($A94,Curves_Table,Escalation!$N$291)</f>
        <v>1.23462294375966</v>
      </c>
      <c r="H94" s="1575" t="n">
        <f aca="false">F94*G94</f>
        <v>11820.9413286491</v>
      </c>
      <c r="I94" s="1576" t="n">
        <f aca="false">IF(Assm!$L$74=0,VLOOKUP($A94,Curves_Table,Escalation!$D$291),VLOOKUP($A94,Curves_Table,Escalation!$E$291))</f>
        <v>2.34326889758685</v>
      </c>
      <c r="J94" s="1576" t="n">
        <f aca="false">IF($A94&lt;EE_Date,VLOOKUP($A94,Curves_Table,Escalation!$D$291),Exch)</f>
        <v>1.065</v>
      </c>
      <c r="K94" s="1577" t="n">
        <f aca="false">H94*I94/J94</f>
        <v>26009.0555451855</v>
      </c>
      <c r="M94" s="1561" t="n">
        <f aca="false">VLOOKUP($A94,Tariff_Table,Tariff!$F$33)</f>
        <v>0.0140004530311721</v>
      </c>
      <c r="N94" s="1575" t="n">
        <f aca="false">$C94*M94</f>
        <v>135.951214569046</v>
      </c>
      <c r="O94" s="1565" t="n">
        <f aca="false">VLOOKUP($A94,Curves_Table,Escalation!$R$291)</f>
        <v>1.95137683106314</v>
      </c>
      <c r="P94" s="1577" t="n">
        <f aca="false">N94*O94</f>
        <v>265.292050264929</v>
      </c>
      <c r="R94" s="1578" t="n">
        <f aca="false">SUM(K94,P94)</f>
        <v>26274.3475954504</v>
      </c>
      <c r="S94" s="1540" t="n">
        <f aca="false">'Plant Operations'!C94</f>
        <v>480</v>
      </c>
      <c r="T94" s="1575" t="n">
        <f aca="false">R94*S94/1000</f>
        <v>12611.6868458162</v>
      </c>
      <c r="U94" s="1576" t="n">
        <f aca="false">$I94</f>
        <v>2.34326889758685</v>
      </c>
      <c r="V94" s="394" t="n">
        <f aca="false">T94/U94</f>
        <v>5382.09117135638</v>
      </c>
      <c r="W94" s="1579" t="str">
        <f aca="false">IF(MONTH($A94)=12,SUM(V83:V94)," ")</f>
        <v> </v>
      </c>
      <c r="Y94" s="1580" t="n">
        <f aca="false">IF($A94&gt;Endyr,0,VLOOKUP($A94,Tariff_Table,Tariff!$J$33))</f>
        <v>0.19</v>
      </c>
      <c r="Z94" s="1576" t="n">
        <f aca="false">VLOOKUP($A94,Curves_Table,Escalation!$AH$291)</f>
        <v>1.95137683106314</v>
      </c>
      <c r="AA94" s="1576" t="n">
        <f aca="false">Y94*Z94</f>
        <v>0.370761597901997</v>
      </c>
      <c r="AB94" s="397" t="n">
        <f aca="false">'Plant Operations'!$I94+'Plant Operations'!$M94</f>
        <v>270047.232</v>
      </c>
      <c r="AC94" s="1575" t="n">
        <f aca="false">AA94*AB94/1000</f>
        <v>100.123143245331</v>
      </c>
      <c r="AD94" s="1576" t="n">
        <f aca="false">$I94</f>
        <v>2.34326889758685</v>
      </c>
      <c r="AE94" s="1566" t="n">
        <f aca="false">AC94/AD94</f>
        <v>42.7279785723441</v>
      </c>
      <c r="AF94" s="1567" t="str">
        <f aca="false">IF(MONTH($A94)=12,SUM(AE83:AE94)," ")</f>
        <v> </v>
      </c>
    </row>
    <row r="95" customFormat="false" ht="12.75" hidden="false" customHeight="false" outlineLevel="0" collapsed="false">
      <c r="A95" s="1538" t="n">
        <f aca="false">'Plant Operations'!A95</f>
        <v>38777</v>
      </c>
      <c r="C95" s="1574" t="n">
        <f aca="false">IF($A95&gt;Endyr,0,VLOOKUP($A95,Tariff_Table,Tariff!$D$33))</f>
        <v>9710.48681541582</v>
      </c>
      <c r="E95" s="1561" t="n">
        <f aca="false">VLOOKUP($A95,Tariff_Table,Tariff!$E$33)</f>
        <v>0.985999546968828</v>
      </c>
      <c r="F95" s="1575" t="n">
        <f aca="false">$C95*E95</f>
        <v>9574.53560084678</v>
      </c>
      <c r="G95" s="1565" t="n">
        <f aca="false">VLOOKUP($A95,Curves_Table,Escalation!$N$291)</f>
        <v>1.23462294375966</v>
      </c>
      <c r="H95" s="1575" t="n">
        <f aca="false">F95*G95</f>
        <v>11820.9413286491</v>
      </c>
      <c r="I95" s="1576" t="n">
        <f aca="false">IF(Assm!$L$74=0,VLOOKUP($A95,Curves_Table,Escalation!$D$291),VLOOKUP($A95,Curves_Table,Escalation!$E$291))</f>
        <v>2.34866758727671</v>
      </c>
      <c r="J95" s="1576" t="n">
        <f aca="false">IF($A95&lt;EE_Date,VLOOKUP($A95,Curves_Table,Escalation!$D$291),Exch)</f>
        <v>1.065</v>
      </c>
      <c r="K95" s="1577" t="n">
        <f aca="false">H95*I95/J95</f>
        <v>26068.9781687305</v>
      </c>
      <c r="M95" s="1561" t="n">
        <f aca="false">VLOOKUP($A95,Tariff_Table,Tariff!$F$33)</f>
        <v>0.0140004530311721</v>
      </c>
      <c r="N95" s="1575" t="n">
        <f aca="false">$C95*M95</f>
        <v>135.951214569046</v>
      </c>
      <c r="O95" s="1565" t="n">
        <f aca="false">VLOOKUP($A95,Curves_Table,Escalation!$R$291)</f>
        <v>1.95137683106314</v>
      </c>
      <c r="P95" s="1577" t="n">
        <f aca="false">N95*O95</f>
        <v>265.292050264929</v>
      </c>
      <c r="R95" s="1578" t="n">
        <f aca="false">SUM(K95,P95)</f>
        <v>26334.2702189954</v>
      </c>
      <c r="S95" s="1540" t="n">
        <f aca="false">'Plant Operations'!C95</f>
        <v>480</v>
      </c>
      <c r="T95" s="1575" t="n">
        <f aca="false">R95*S95/1000</f>
        <v>12640.4497051178</v>
      </c>
      <c r="U95" s="1576" t="n">
        <f aca="false">$I95</f>
        <v>2.34866758727671</v>
      </c>
      <c r="V95" s="394" t="n">
        <f aca="false">T95/U95</f>
        <v>5381.96625763224</v>
      </c>
      <c r="W95" s="1579" t="str">
        <f aca="false">IF(MONTH($A95)=12,SUM(V84:V95)," ")</f>
        <v> </v>
      </c>
      <c r="Y95" s="1580" t="n">
        <f aca="false">IF($A95&gt;Endyr,0,VLOOKUP($A95,Tariff_Table,Tariff!$J$33))</f>
        <v>0.19</v>
      </c>
      <c r="Z95" s="1576" t="n">
        <f aca="false">VLOOKUP($A95,Curves_Table,Escalation!$AH$291)</f>
        <v>1.95137683106314</v>
      </c>
      <c r="AA95" s="1576" t="n">
        <f aca="false">Y95*Z95</f>
        <v>0.370761597901997</v>
      </c>
      <c r="AB95" s="397" t="n">
        <f aca="false">'Plant Operations'!$I95+'Plant Operations'!$M95</f>
        <v>298980.864</v>
      </c>
      <c r="AC95" s="1575" t="n">
        <f aca="false">AA95*AB95/1000</f>
        <v>110.85062287876</v>
      </c>
      <c r="AD95" s="1576" t="n">
        <f aca="false">$I95</f>
        <v>2.34866758727671</v>
      </c>
      <c r="AE95" s="1566" t="n">
        <f aca="false">AC95/AD95</f>
        <v>47.1972379059785</v>
      </c>
      <c r="AF95" s="1567" t="str">
        <f aca="false">IF(MONTH($A95)=12,SUM(AE84:AE95)," ")</f>
        <v> </v>
      </c>
    </row>
    <row r="96" customFormat="false" ht="12.75" hidden="false" customHeight="false" outlineLevel="0" collapsed="false">
      <c r="A96" s="1538" t="n">
        <f aca="false">'Plant Operations'!A96</f>
        <v>38808</v>
      </c>
      <c r="C96" s="1574" t="n">
        <f aca="false">IF($A96&gt;Endyr,0,VLOOKUP($A96,Tariff_Table,Tariff!$D$33))</f>
        <v>9710.48681541582</v>
      </c>
      <c r="E96" s="1561" t="n">
        <f aca="false">VLOOKUP($A96,Tariff_Table,Tariff!$E$33)</f>
        <v>0.985999546968828</v>
      </c>
      <c r="F96" s="1575" t="n">
        <f aca="false">$C96*E96</f>
        <v>9574.53560084678</v>
      </c>
      <c r="G96" s="1565" t="n">
        <f aca="false">VLOOKUP($A96,Curves_Table,Escalation!$N$291)</f>
        <v>1.23462294375966</v>
      </c>
      <c r="H96" s="1575" t="n">
        <f aca="false">F96*G96</f>
        <v>11820.9413286491</v>
      </c>
      <c r="I96" s="1576" t="n">
        <f aca="false">IF(Assm!$L$74=0,VLOOKUP($A96,Curves_Table,Escalation!$D$291),VLOOKUP($A96,Curves_Table,Escalation!$E$291))</f>
        <v>2.35407871508258</v>
      </c>
      <c r="J96" s="1576" t="n">
        <f aca="false">IF($A96&lt;EE_Date,VLOOKUP($A96,Curves_Table,Escalation!$D$291),Exch)</f>
        <v>1.065</v>
      </c>
      <c r="K96" s="1577" t="n">
        <f aca="false">H96*I96/J96</f>
        <v>26129.0388488384</v>
      </c>
      <c r="M96" s="1561" t="n">
        <f aca="false">VLOOKUP($A96,Tariff_Table,Tariff!$F$33)</f>
        <v>0.0140004530311721</v>
      </c>
      <c r="N96" s="1575" t="n">
        <f aca="false">$C96*M96</f>
        <v>135.951214569046</v>
      </c>
      <c r="O96" s="1565" t="n">
        <f aca="false">VLOOKUP($A96,Curves_Table,Escalation!$R$291)</f>
        <v>1.95137683106314</v>
      </c>
      <c r="P96" s="1577" t="n">
        <f aca="false">N96*O96</f>
        <v>265.292050264929</v>
      </c>
      <c r="R96" s="1578" t="n">
        <f aca="false">SUM(K96,P96)</f>
        <v>26394.3308991033</v>
      </c>
      <c r="S96" s="1540" t="n">
        <f aca="false">'Plant Operations'!C96</f>
        <v>480</v>
      </c>
      <c r="T96" s="1575" t="n">
        <f aca="false">R96*S96/1000</f>
        <v>12669.2788315696</v>
      </c>
      <c r="U96" s="1576" t="n">
        <f aca="false">$I96</f>
        <v>2.35407871508258</v>
      </c>
      <c r="V96" s="394" t="n">
        <f aca="false">T96/U96</f>
        <v>5381.84163103704</v>
      </c>
      <c r="W96" s="1579" t="str">
        <f aca="false">IF(MONTH($A96)=12,SUM(V85:V96)," ")</f>
        <v> </v>
      </c>
      <c r="Y96" s="1580" t="n">
        <f aca="false">IF($A96&gt;Endyr,0,VLOOKUP($A96,Tariff_Table,Tariff!$J$33))</f>
        <v>0.19</v>
      </c>
      <c r="Z96" s="1576" t="n">
        <f aca="false">VLOOKUP($A96,Curves_Table,Escalation!$AH$291)</f>
        <v>1.95137683106314</v>
      </c>
      <c r="AA96" s="1576" t="n">
        <f aca="false">Y96*Z96</f>
        <v>0.370761597901997</v>
      </c>
      <c r="AB96" s="397" t="n">
        <f aca="false">'Plant Operations'!$I96+'Plant Operations'!$M96</f>
        <v>289336.32</v>
      </c>
      <c r="AC96" s="1575" t="n">
        <f aca="false">AA96*AB96/1000</f>
        <v>107.274796334284</v>
      </c>
      <c r="AD96" s="1576" t="n">
        <f aca="false">$I96</f>
        <v>2.35407871508258</v>
      </c>
      <c r="AE96" s="1566" t="n">
        <f aca="false">AC96/AD96</f>
        <v>45.5697575645938</v>
      </c>
      <c r="AF96" s="1567" t="str">
        <f aca="false">IF(MONTH($A96)=12,SUM(AE85:AE96)," ")</f>
        <v> </v>
      </c>
    </row>
    <row r="97" customFormat="false" ht="12.75" hidden="false" customHeight="false" outlineLevel="0" collapsed="false">
      <c r="A97" s="1538" t="n">
        <f aca="false">'Plant Operations'!A97</f>
        <v>38838</v>
      </c>
      <c r="C97" s="1574" t="n">
        <f aca="false">IF($A97&gt;Endyr,0,VLOOKUP($A97,Tariff_Table,Tariff!$D$33))</f>
        <v>9508.33839918946</v>
      </c>
      <c r="E97" s="1561" t="n">
        <f aca="false">VLOOKUP($A97,Tariff_Table,Tariff!$E$33)</f>
        <v>0.987000280983656</v>
      </c>
      <c r="F97" s="1575" t="n">
        <f aca="false">$C97*E97</f>
        <v>9384.73267168768</v>
      </c>
      <c r="G97" s="1565" t="n">
        <f aca="false">VLOOKUP($A97,Curves_Table,Escalation!$N$291)</f>
        <v>1.26919095628799</v>
      </c>
      <c r="H97" s="1575" t="n">
        <f aca="false">F97*G97</f>
        <v>11911.0178340864</v>
      </c>
      <c r="I97" s="1576" t="n">
        <f aca="false">IF(Assm!$L$74=0,VLOOKUP($A97,Curves_Table,Escalation!$D$291),VLOOKUP($A97,Curves_Table,Escalation!$E$291))</f>
        <v>2.35950230966078</v>
      </c>
      <c r="J97" s="1576" t="n">
        <f aca="false">IF($A97&lt;EE_Date,VLOOKUP($A97,Curves_Table,Escalation!$D$291),Exch)</f>
        <v>1.065</v>
      </c>
      <c r="K97" s="1577" t="n">
        <f aca="false">H97*I97/J97</f>
        <v>26388.8019623828</v>
      </c>
      <c r="M97" s="1561" t="n">
        <f aca="false">VLOOKUP($A97,Tariff_Table,Tariff!$F$33)</f>
        <v>0.0129997190163442</v>
      </c>
      <c r="N97" s="1575" t="n">
        <f aca="false">$C97*M97</f>
        <v>123.605727501779</v>
      </c>
      <c r="O97" s="1565" t="n">
        <f aca="false">VLOOKUP($A97,Curves_Table,Escalation!$R$291)</f>
        <v>2.09773009339288</v>
      </c>
      <c r="P97" s="1577" t="n">
        <f aca="false">N97*O97</f>
        <v>259.291454296202</v>
      </c>
      <c r="R97" s="1578" t="n">
        <f aca="false">SUM(K97,P97)</f>
        <v>26648.093416679</v>
      </c>
      <c r="S97" s="1540" t="n">
        <f aca="false">'Plant Operations'!C97</f>
        <v>480</v>
      </c>
      <c r="T97" s="1575" t="n">
        <f aca="false">R97*S97/1000</f>
        <v>12791.0848400059</v>
      </c>
      <c r="U97" s="1576" t="n">
        <f aca="false">$I97</f>
        <v>2.35950230966078</v>
      </c>
      <c r="V97" s="394" t="n">
        <f aca="false">T97/U97</f>
        <v>5421.09443488735</v>
      </c>
      <c r="W97" s="1579" t="str">
        <f aca="false">IF(MONTH($A97)=12,SUM(V86:V97)," ")</f>
        <v> </v>
      </c>
      <c r="Y97" s="1580" t="n">
        <f aca="false">IF($A97&gt;Endyr,0,VLOOKUP($A97,Tariff_Table,Tariff!$J$33))</f>
        <v>0.19</v>
      </c>
      <c r="Z97" s="1576" t="n">
        <f aca="false">VLOOKUP($A97,Curves_Table,Escalation!$AH$291)</f>
        <v>2.09773009339288</v>
      </c>
      <c r="AA97" s="1576" t="n">
        <f aca="false">Y97*Z97</f>
        <v>0.398568717744647</v>
      </c>
      <c r="AB97" s="397" t="n">
        <f aca="false">'Plant Operations'!$I97+'Plant Operations'!$M97</f>
        <v>298980.864</v>
      </c>
      <c r="AC97" s="1575" t="n">
        <f aca="false">AA97*AB97/1000</f>
        <v>119.164419594667</v>
      </c>
      <c r="AD97" s="1576" t="n">
        <f aca="false">$I97</f>
        <v>2.35950230966078</v>
      </c>
      <c r="AE97" s="1566" t="n">
        <f aca="false">AC97/AD97</f>
        <v>50.5040487168662</v>
      </c>
      <c r="AF97" s="1567" t="str">
        <f aca="false">IF(MONTH($A97)=12,SUM(AE86:AE97)," ")</f>
        <v> </v>
      </c>
    </row>
    <row r="98" customFormat="false" ht="12.75" hidden="false" customHeight="false" outlineLevel="0" collapsed="false">
      <c r="A98" s="1538" t="n">
        <f aca="false">'Plant Operations'!A98</f>
        <v>38869</v>
      </c>
      <c r="C98" s="1574" t="n">
        <f aca="false">IF($A98&gt;Endyr,0,VLOOKUP($A98,Tariff_Table,Tariff!$D$33))</f>
        <v>9508.33839918946</v>
      </c>
      <c r="E98" s="1561" t="n">
        <f aca="false">VLOOKUP($A98,Tariff_Table,Tariff!$E$33)</f>
        <v>0.987000280983656</v>
      </c>
      <c r="F98" s="1575" t="n">
        <f aca="false">$C98*E98</f>
        <v>9384.73267168768</v>
      </c>
      <c r="G98" s="1565" t="n">
        <f aca="false">VLOOKUP($A98,Curves_Table,Escalation!$N$291)</f>
        <v>1.26919095628799</v>
      </c>
      <c r="H98" s="1575" t="n">
        <f aca="false">F98*G98</f>
        <v>11911.0178340864</v>
      </c>
      <c r="I98" s="1576" t="n">
        <f aca="false">IF(Assm!$L$74=0,VLOOKUP($A98,Curves_Table,Escalation!$D$291),VLOOKUP($A98,Curves_Table,Escalation!$E$291))</f>
        <v>2.36493839973371</v>
      </c>
      <c r="J98" s="1576" t="n">
        <f aca="false">IF($A98&lt;EE_Date,VLOOKUP($A98,Curves_Table,Escalation!$D$291),Exch)</f>
        <v>1.065</v>
      </c>
      <c r="K98" s="1577" t="n">
        <f aca="false">H98*I98/J98</f>
        <v>26449.5994889615</v>
      </c>
      <c r="M98" s="1561" t="n">
        <f aca="false">VLOOKUP($A98,Tariff_Table,Tariff!$F$33)</f>
        <v>0.0129997190163442</v>
      </c>
      <c r="N98" s="1575" t="n">
        <f aca="false">$C98*M98</f>
        <v>123.605727501779</v>
      </c>
      <c r="O98" s="1565" t="n">
        <f aca="false">VLOOKUP($A98,Curves_Table,Escalation!$R$291)</f>
        <v>2.09773009339288</v>
      </c>
      <c r="P98" s="1577" t="n">
        <f aca="false">N98*O98</f>
        <v>259.291454296202</v>
      </c>
      <c r="R98" s="1578" t="n">
        <f aca="false">SUM(K98,P98)</f>
        <v>26708.8909432577</v>
      </c>
      <c r="S98" s="1540" t="n">
        <f aca="false">'Plant Operations'!C98</f>
        <v>480</v>
      </c>
      <c r="T98" s="1575" t="n">
        <f aca="false">R98*S98/1000</f>
        <v>12820.2676527637</v>
      </c>
      <c r="U98" s="1576" t="n">
        <f aca="false">$I98</f>
        <v>2.36493839973371</v>
      </c>
      <c r="V98" s="394" t="n">
        <f aca="false">T98/U98</f>
        <v>5420.97318653512</v>
      </c>
      <c r="W98" s="1579" t="str">
        <f aca="false">IF(MONTH($A98)=12,SUM(V87:V98)," ")</f>
        <v> </v>
      </c>
      <c r="Y98" s="1580" t="n">
        <f aca="false">IF($A98&gt;Endyr,0,VLOOKUP($A98,Tariff_Table,Tariff!$J$33))</f>
        <v>0.19</v>
      </c>
      <c r="Z98" s="1576" t="n">
        <f aca="false">VLOOKUP($A98,Curves_Table,Escalation!$AH$291)</f>
        <v>2.09773009339288</v>
      </c>
      <c r="AA98" s="1576" t="n">
        <f aca="false">Y98*Z98</f>
        <v>0.398568717744647</v>
      </c>
      <c r="AB98" s="397" t="n">
        <f aca="false">'Plant Operations'!$I98+'Plant Operations'!$M98</f>
        <v>289336.32</v>
      </c>
      <c r="AC98" s="1575" t="n">
        <f aca="false">AA98*AB98/1000</f>
        <v>115.320406059355</v>
      </c>
      <c r="AD98" s="1576" t="n">
        <f aca="false">$I98</f>
        <v>2.36493839973371</v>
      </c>
      <c r="AE98" s="1566" t="n">
        <f aca="false">AC98/AD98</f>
        <v>48.7625411606238</v>
      </c>
      <c r="AF98" s="1567" t="str">
        <f aca="false">IF(MONTH($A98)=12,SUM(AE87:AE98)," ")</f>
        <v> </v>
      </c>
    </row>
    <row r="99" customFormat="false" ht="12.75" hidden="false" customHeight="false" outlineLevel="0" collapsed="false">
      <c r="A99" s="1538" t="n">
        <f aca="false">'Plant Operations'!A99</f>
        <v>38899</v>
      </c>
      <c r="C99" s="1574" t="n">
        <f aca="false">IF($A99&gt;Endyr,0,VLOOKUP($A99,Tariff_Table,Tariff!$D$33))</f>
        <v>9508.33839918946</v>
      </c>
      <c r="E99" s="1561" t="n">
        <f aca="false">VLOOKUP($A99,Tariff_Table,Tariff!$E$33)</f>
        <v>0.987000280983656</v>
      </c>
      <c r="F99" s="1575" t="n">
        <f aca="false">$C99*E99</f>
        <v>9384.73267168768</v>
      </c>
      <c r="G99" s="1565" t="n">
        <f aca="false">VLOOKUP($A99,Curves_Table,Escalation!$N$291)</f>
        <v>1.26919095628799</v>
      </c>
      <c r="H99" s="1575" t="n">
        <f aca="false">F99*G99</f>
        <v>11911.0178340864</v>
      </c>
      <c r="I99" s="1576" t="n">
        <f aca="false">IF(Assm!$L$74=0,VLOOKUP($A99,Curves_Table,Escalation!$D$291),VLOOKUP($A99,Curves_Table,Escalation!$E$291))</f>
        <v>2.3703870140899</v>
      </c>
      <c r="J99" s="1576" t="n">
        <f aca="false">IF($A99&lt;EE_Date,VLOOKUP($A99,Curves_Table,Escalation!$D$291),Exch)</f>
        <v>1.065</v>
      </c>
      <c r="K99" s="1577" t="n">
        <f aca="false">H99*I99/J99</f>
        <v>26510.5370878044</v>
      </c>
      <c r="M99" s="1561" t="n">
        <f aca="false">VLOOKUP($A99,Tariff_Table,Tariff!$F$33)</f>
        <v>0.0129997190163442</v>
      </c>
      <c r="N99" s="1575" t="n">
        <f aca="false">$C99*M99</f>
        <v>123.605727501779</v>
      </c>
      <c r="O99" s="1565" t="n">
        <f aca="false">VLOOKUP($A99,Curves_Table,Escalation!$R$291)</f>
        <v>2.09773009339288</v>
      </c>
      <c r="P99" s="1577" t="n">
        <f aca="false">N99*O99</f>
        <v>259.291454296202</v>
      </c>
      <c r="R99" s="1578" t="n">
        <f aca="false">SUM(K99,P99)</f>
        <v>26769.8285421006</v>
      </c>
      <c r="S99" s="1540" t="n">
        <f aca="false">'Plant Operations'!C99</f>
        <v>480</v>
      </c>
      <c r="T99" s="1575" t="n">
        <f aca="false">R99*S99/1000</f>
        <v>12849.5177002083</v>
      </c>
      <c r="U99" s="1576" t="n">
        <f aca="false">$I99</f>
        <v>2.3703870140899</v>
      </c>
      <c r="V99" s="394" t="n">
        <f aca="false">T99/U99</f>
        <v>5420.85221688653</v>
      </c>
      <c r="W99" s="1579" t="str">
        <f aca="false">IF(MONTH($A99)=12,SUM(V88:V99)," ")</f>
        <v> </v>
      </c>
      <c r="Y99" s="1580" t="n">
        <f aca="false">IF($A99&gt;Endyr,0,VLOOKUP($A99,Tariff_Table,Tariff!$J$33))</f>
        <v>0.19</v>
      </c>
      <c r="Z99" s="1576" t="n">
        <f aca="false">VLOOKUP($A99,Curves_Table,Escalation!$AH$291)</f>
        <v>2.09773009339288</v>
      </c>
      <c r="AA99" s="1576" t="n">
        <f aca="false">Y99*Z99</f>
        <v>0.398568717744647</v>
      </c>
      <c r="AB99" s="397" t="n">
        <f aca="false">'Plant Operations'!$I99+'Plant Operations'!$M99</f>
        <v>298980.864</v>
      </c>
      <c r="AC99" s="1575" t="n">
        <f aca="false">AA99*AB99/1000</f>
        <v>119.164419594667</v>
      </c>
      <c r="AD99" s="1576" t="n">
        <f aca="false">$I99</f>
        <v>2.3703870140899</v>
      </c>
      <c r="AE99" s="1566" t="n">
        <f aca="false">AC99/AD99</f>
        <v>50.2721365272157</v>
      </c>
      <c r="AF99" s="1567" t="str">
        <f aca="false">IF(MONTH($A99)=12,SUM(AE88:AE99)," ")</f>
        <v> </v>
      </c>
    </row>
    <row r="100" customFormat="false" ht="12.75" hidden="false" customHeight="false" outlineLevel="0" collapsed="false">
      <c r="A100" s="1538" t="n">
        <f aca="false">'Plant Operations'!A100</f>
        <v>38930</v>
      </c>
      <c r="C100" s="1574" t="n">
        <f aca="false">IF($A100&gt;Endyr,0,VLOOKUP($A100,Tariff_Table,Tariff!$D$33))</f>
        <v>9508.33839918946</v>
      </c>
      <c r="E100" s="1561" t="n">
        <f aca="false">VLOOKUP($A100,Tariff_Table,Tariff!$E$33)</f>
        <v>0.987000280983656</v>
      </c>
      <c r="F100" s="1575" t="n">
        <f aca="false">$C100*E100</f>
        <v>9384.73267168768</v>
      </c>
      <c r="G100" s="1565" t="n">
        <f aca="false">VLOOKUP($A100,Curves_Table,Escalation!$N$291)</f>
        <v>1.26919095628799</v>
      </c>
      <c r="H100" s="1575" t="n">
        <f aca="false">F100*G100</f>
        <v>11911.0178340864</v>
      </c>
      <c r="I100" s="1576" t="n">
        <f aca="false">IF(Assm!$L$74=0,VLOOKUP($A100,Curves_Table,Escalation!$D$291),VLOOKUP($A100,Curves_Table,Escalation!$E$291))</f>
        <v>2.37584818158422</v>
      </c>
      <c r="J100" s="1576" t="n">
        <f aca="false">IF($A100&lt;EE_Date,VLOOKUP($A100,Curves_Table,Escalation!$D$291),Exch)</f>
        <v>1.065</v>
      </c>
      <c r="K100" s="1577" t="n">
        <f aca="false">H100*I100/J100</f>
        <v>26571.6150816257</v>
      </c>
      <c r="M100" s="1561" t="n">
        <f aca="false">VLOOKUP($A100,Tariff_Table,Tariff!$F$33)</f>
        <v>0.0129997190163442</v>
      </c>
      <c r="N100" s="1575" t="n">
        <f aca="false">$C100*M100</f>
        <v>123.605727501779</v>
      </c>
      <c r="O100" s="1565" t="n">
        <f aca="false">VLOOKUP($A100,Curves_Table,Escalation!$R$291)</f>
        <v>2.09773009339288</v>
      </c>
      <c r="P100" s="1577" t="n">
        <f aca="false">N100*O100</f>
        <v>259.291454296202</v>
      </c>
      <c r="R100" s="1578" t="n">
        <f aca="false">SUM(K100,P100)</f>
        <v>26830.9065359219</v>
      </c>
      <c r="S100" s="1540" t="n">
        <f aca="false">'Plant Operations'!C100</f>
        <v>480</v>
      </c>
      <c r="T100" s="1575" t="n">
        <f aca="false">R100*S100/1000</f>
        <v>12878.8351372425</v>
      </c>
      <c r="U100" s="1576" t="n">
        <f aca="false">$I100</f>
        <v>2.37584818158422</v>
      </c>
      <c r="V100" s="394" t="n">
        <f aca="false">T100/U100</f>
        <v>5420.73152530096</v>
      </c>
      <c r="W100" s="1579" t="str">
        <f aca="false">IF(MONTH($A100)=12,SUM(V89:V100)," ")</f>
        <v> </v>
      </c>
      <c r="Y100" s="1580" t="n">
        <f aca="false">IF($A100&gt;Endyr,0,VLOOKUP($A100,Tariff_Table,Tariff!$J$33))</f>
        <v>0.19</v>
      </c>
      <c r="Z100" s="1576" t="n">
        <f aca="false">VLOOKUP($A100,Curves_Table,Escalation!$AH$291)</f>
        <v>2.09773009339288</v>
      </c>
      <c r="AA100" s="1576" t="n">
        <f aca="false">Y100*Z100</f>
        <v>0.398568717744647</v>
      </c>
      <c r="AB100" s="397" t="n">
        <f aca="false">'Plant Operations'!$I100+'Plant Operations'!$M100</f>
        <v>298980.864</v>
      </c>
      <c r="AC100" s="1575" t="n">
        <f aca="false">AA100*AB100/1000</f>
        <v>119.164419594667</v>
      </c>
      <c r="AD100" s="1576" t="n">
        <f aca="false">$I100</f>
        <v>2.37584818158422</v>
      </c>
      <c r="AE100" s="1566" t="n">
        <f aca="false">AC100/AD100</f>
        <v>50.1565800872039</v>
      </c>
      <c r="AF100" s="1567" t="str">
        <f aca="false">IF(MONTH($A100)=12,SUM(AE89:AE100)," ")</f>
        <v> </v>
      </c>
    </row>
    <row r="101" customFormat="false" ht="12.75" hidden="false" customHeight="false" outlineLevel="0" collapsed="false">
      <c r="A101" s="1538" t="n">
        <f aca="false">'Plant Operations'!A101</f>
        <v>38961</v>
      </c>
      <c r="C101" s="1574" t="n">
        <f aca="false">IF($A101&gt;Endyr,0,VLOOKUP($A101,Tariff_Table,Tariff!$D$33))</f>
        <v>9508.33839918946</v>
      </c>
      <c r="E101" s="1561" t="n">
        <f aca="false">VLOOKUP($A101,Tariff_Table,Tariff!$E$33)</f>
        <v>0.987000280983656</v>
      </c>
      <c r="F101" s="1575" t="n">
        <f aca="false">$C101*E101</f>
        <v>9384.73267168768</v>
      </c>
      <c r="G101" s="1565" t="n">
        <f aca="false">VLOOKUP($A101,Curves_Table,Escalation!$N$291)</f>
        <v>1.26919095628799</v>
      </c>
      <c r="H101" s="1575" t="n">
        <f aca="false">F101*G101</f>
        <v>11911.0178340864</v>
      </c>
      <c r="I101" s="1576" t="n">
        <f aca="false">IF(Assm!$L$74=0,VLOOKUP($A101,Curves_Table,Escalation!$D$291),VLOOKUP($A101,Curves_Table,Escalation!$E$291))</f>
        <v>2.38132193113802</v>
      </c>
      <c r="J101" s="1576" t="n">
        <f aca="false">IF($A101&lt;EE_Date,VLOOKUP($A101,Curves_Table,Escalation!$D$291),Exch)</f>
        <v>1.065</v>
      </c>
      <c r="K101" s="1577" t="n">
        <f aca="false">H101*I101/J101</f>
        <v>26632.8337938836</v>
      </c>
      <c r="M101" s="1561" t="n">
        <f aca="false">VLOOKUP($A101,Tariff_Table,Tariff!$F$33)</f>
        <v>0.0129997190163442</v>
      </c>
      <c r="N101" s="1575" t="n">
        <f aca="false">$C101*M101</f>
        <v>123.605727501779</v>
      </c>
      <c r="O101" s="1565" t="n">
        <f aca="false">VLOOKUP($A101,Curves_Table,Escalation!$R$291)</f>
        <v>2.09773009339288</v>
      </c>
      <c r="P101" s="1577" t="n">
        <f aca="false">N101*O101</f>
        <v>259.291454296202</v>
      </c>
      <c r="R101" s="1578" t="n">
        <f aca="false">SUM(K101,P101)</f>
        <v>26892.1252481798</v>
      </c>
      <c r="S101" s="1540" t="n">
        <f aca="false">'Plant Operations'!C101</f>
        <v>480</v>
      </c>
      <c r="T101" s="1575" t="n">
        <f aca="false">R101*S101/1000</f>
        <v>12908.2201191263</v>
      </c>
      <c r="U101" s="1576" t="n">
        <f aca="false">$I101</f>
        <v>2.38132193113802</v>
      </c>
      <c r="V101" s="394" t="n">
        <f aca="false">T101/U101</f>
        <v>5420.61111113925</v>
      </c>
      <c r="W101" s="1579" t="str">
        <f aca="false">IF(MONTH($A101)=12,SUM(V90:V101)," ")</f>
        <v> </v>
      </c>
      <c r="Y101" s="1580" t="n">
        <f aca="false">IF($A101&gt;Endyr,0,VLOOKUP($A101,Tariff_Table,Tariff!$J$33))</f>
        <v>0.19</v>
      </c>
      <c r="Z101" s="1576" t="n">
        <f aca="false">VLOOKUP($A101,Curves_Table,Escalation!$AH$291)</f>
        <v>2.09773009339288</v>
      </c>
      <c r="AA101" s="1576" t="n">
        <f aca="false">Y101*Z101</f>
        <v>0.398568717744647</v>
      </c>
      <c r="AB101" s="397" t="n">
        <f aca="false">'Plant Operations'!$I101+'Plant Operations'!$M101</f>
        <v>289336.32</v>
      </c>
      <c r="AC101" s="1575" t="n">
        <f aca="false">AA101*AB101/1000</f>
        <v>115.320406059355</v>
      </c>
      <c r="AD101" s="1576" t="n">
        <f aca="false">$I101</f>
        <v>2.38132193113802</v>
      </c>
      <c r="AE101" s="1566" t="n">
        <f aca="false">AC101/AD101</f>
        <v>48.4270541296548</v>
      </c>
      <c r="AF101" s="1567" t="str">
        <f aca="false">IF(MONTH($A101)=12,SUM(AE90:AE101)," ")</f>
        <v> </v>
      </c>
    </row>
    <row r="102" customFormat="false" ht="12.75" hidden="false" customHeight="false" outlineLevel="0" collapsed="false">
      <c r="A102" s="1538" t="n">
        <f aca="false">'Plant Operations'!A102</f>
        <v>38991</v>
      </c>
      <c r="C102" s="1574" t="n">
        <f aca="false">IF($A102&gt;Endyr,0,VLOOKUP($A102,Tariff_Table,Tariff!$D$33))</f>
        <v>9508.33839918946</v>
      </c>
      <c r="E102" s="1561" t="n">
        <f aca="false">VLOOKUP($A102,Tariff_Table,Tariff!$E$33)</f>
        <v>0.987000280983656</v>
      </c>
      <c r="F102" s="1575" t="n">
        <f aca="false">$C102*E102</f>
        <v>9384.73267168768</v>
      </c>
      <c r="G102" s="1565" t="n">
        <f aca="false">VLOOKUP($A102,Curves_Table,Escalation!$N$291)</f>
        <v>1.26919095628799</v>
      </c>
      <c r="H102" s="1575" t="n">
        <f aca="false">F102*G102</f>
        <v>11911.0178340864</v>
      </c>
      <c r="I102" s="1576" t="n">
        <f aca="false">IF(Assm!$L$74=0,VLOOKUP($A102,Curves_Table,Escalation!$D$291),VLOOKUP($A102,Curves_Table,Escalation!$E$291))</f>
        <v>2.38680829173927</v>
      </c>
      <c r="J102" s="1576" t="n">
        <f aca="false">IF($A102&lt;EE_Date,VLOOKUP($A102,Curves_Table,Escalation!$D$291),Exch)</f>
        <v>1.065</v>
      </c>
      <c r="K102" s="1577" t="n">
        <f aca="false">H102*I102/J102</f>
        <v>26694.1935487811</v>
      </c>
      <c r="M102" s="1561" t="n">
        <f aca="false">VLOOKUP($A102,Tariff_Table,Tariff!$F$33)</f>
        <v>0.0129997190163442</v>
      </c>
      <c r="N102" s="1575" t="n">
        <f aca="false">$C102*M102</f>
        <v>123.605727501779</v>
      </c>
      <c r="O102" s="1565" t="n">
        <f aca="false">VLOOKUP($A102,Curves_Table,Escalation!$R$291)</f>
        <v>2.09773009339288</v>
      </c>
      <c r="P102" s="1577" t="n">
        <f aca="false">N102*O102</f>
        <v>259.291454296202</v>
      </c>
      <c r="R102" s="1578" t="n">
        <f aca="false">SUM(K102,P102)</f>
        <v>26953.4850030773</v>
      </c>
      <c r="S102" s="1540" t="n">
        <f aca="false">'Plant Operations'!C102</f>
        <v>480</v>
      </c>
      <c r="T102" s="1575" t="n">
        <f aca="false">R102*S102/1000</f>
        <v>12937.6728014771</v>
      </c>
      <c r="U102" s="1576" t="n">
        <f aca="false">$I102</f>
        <v>2.38680829173927</v>
      </c>
      <c r="V102" s="394" t="n">
        <f aca="false">T102/U102</f>
        <v>5420.4909737637</v>
      </c>
      <c r="W102" s="1579" t="str">
        <f aca="false">IF(MONTH($A102)=12,SUM(V91:V102)," ")</f>
        <v> </v>
      </c>
      <c r="Y102" s="1580" t="n">
        <f aca="false">IF($A102&gt;Endyr,0,VLOOKUP($A102,Tariff_Table,Tariff!$J$33))</f>
        <v>0.19</v>
      </c>
      <c r="Z102" s="1576" t="n">
        <f aca="false">VLOOKUP($A102,Curves_Table,Escalation!$AH$291)</f>
        <v>2.09773009339288</v>
      </c>
      <c r="AA102" s="1576" t="n">
        <f aca="false">Y102*Z102</f>
        <v>0.398568717744647</v>
      </c>
      <c r="AB102" s="397" t="n">
        <f aca="false">'Plant Operations'!$I102+'Plant Operations'!$M102</f>
        <v>298980.864</v>
      </c>
      <c r="AC102" s="1575" t="n">
        <f aca="false">AA102*AB102/1000</f>
        <v>119.164419594667</v>
      </c>
      <c r="AD102" s="1576" t="n">
        <f aca="false">$I102</f>
        <v>2.38680829173927</v>
      </c>
      <c r="AE102" s="1566" t="n">
        <f aca="false">AC102/AD102</f>
        <v>49.9262634569746</v>
      </c>
      <c r="AF102" s="1567" t="str">
        <f aca="false">IF(MONTH($A102)=12,SUM(AE91:AE102)," ")</f>
        <v> </v>
      </c>
    </row>
    <row r="103" customFormat="false" ht="12.75" hidden="false" customHeight="false" outlineLevel="0" collapsed="false">
      <c r="A103" s="1538" t="n">
        <f aca="false">'Plant Operations'!A103</f>
        <v>39022</v>
      </c>
      <c r="C103" s="1574" t="n">
        <f aca="false">IF($A103&gt;Endyr,0,VLOOKUP($A103,Tariff_Table,Tariff!$D$33))</f>
        <v>9508.33839918946</v>
      </c>
      <c r="E103" s="1561" t="n">
        <f aca="false">VLOOKUP($A103,Tariff_Table,Tariff!$E$33)</f>
        <v>0.987000280983656</v>
      </c>
      <c r="F103" s="1575" t="n">
        <f aca="false">$C103*E103</f>
        <v>9384.73267168768</v>
      </c>
      <c r="G103" s="1565" t="n">
        <f aca="false">VLOOKUP($A103,Curves_Table,Escalation!$N$291)</f>
        <v>1.26919095628799</v>
      </c>
      <c r="H103" s="1575" t="n">
        <f aca="false">F103*G103</f>
        <v>11911.0178340864</v>
      </c>
      <c r="I103" s="1576" t="n">
        <f aca="false">IF(Assm!$L$74=0,VLOOKUP($A103,Curves_Table,Escalation!$D$291),VLOOKUP($A103,Curves_Table,Escalation!$E$291))</f>
        <v>2.39230729244276</v>
      </c>
      <c r="J103" s="1576" t="n">
        <f aca="false">IF($A103&lt;EE_Date,VLOOKUP($A103,Curves_Table,Escalation!$D$291),Exch)</f>
        <v>1.065</v>
      </c>
      <c r="K103" s="1577" t="n">
        <f aca="false">H103*I103/J103</f>
        <v>26755.6946712683</v>
      </c>
      <c r="M103" s="1561" t="n">
        <f aca="false">VLOOKUP($A103,Tariff_Table,Tariff!$F$33)</f>
        <v>0.0129997190163442</v>
      </c>
      <c r="N103" s="1575" t="n">
        <f aca="false">$C103*M103</f>
        <v>123.605727501779</v>
      </c>
      <c r="O103" s="1565" t="n">
        <f aca="false">VLOOKUP($A103,Curves_Table,Escalation!$R$291)</f>
        <v>2.09773009339288</v>
      </c>
      <c r="P103" s="1577" t="n">
        <f aca="false">N103*O103</f>
        <v>259.291454296202</v>
      </c>
      <c r="R103" s="1578" t="n">
        <f aca="false">SUM(K103,P103)</f>
        <v>27014.9861255645</v>
      </c>
      <c r="S103" s="1540" t="n">
        <f aca="false">'Plant Operations'!C103</f>
        <v>480</v>
      </c>
      <c r="T103" s="1575" t="n">
        <f aca="false">R103*S103/1000</f>
        <v>12967.193340271</v>
      </c>
      <c r="U103" s="1576" t="n">
        <f aca="false">$I103</f>
        <v>2.39230729244276</v>
      </c>
      <c r="V103" s="394" t="n">
        <f aca="false">T103/U103</f>
        <v>5420.37111253809</v>
      </c>
      <c r="W103" s="1579" t="str">
        <f aca="false">IF(MONTH($A103)=12,SUM(V92:V103)," ")</f>
        <v> </v>
      </c>
      <c r="Y103" s="1580" t="n">
        <f aca="false">IF($A103&gt;Endyr,0,VLOOKUP($A103,Tariff_Table,Tariff!$J$33))</f>
        <v>0.19</v>
      </c>
      <c r="Z103" s="1576" t="n">
        <f aca="false">VLOOKUP($A103,Curves_Table,Escalation!$AH$291)</f>
        <v>2.09773009339288</v>
      </c>
      <c r="AA103" s="1576" t="n">
        <f aca="false">Y103*Z103</f>
        <v>0.398568717744647</v>
      </c>
      <c r="AB103" s="397" t="n">
        <f aca="false">'Plant Operations'!$I103+'Plant Operations'!$M103</f>
        <v>289336.32</v>
      </c>
      <c r="AC103" s="1575" t="n">
        <f aca="false">AA103*AB103/1000</f>
        <v>115.320406059355</v>
      </c>
      <c r="AD103" s="1576" t="n">
        <f aca="false">$I103</f>
        <v>2.39230729244276</v>
      </c>
      <c r="AE103" s="1566" t="n">
        <f aca="false">AC103/AD103</f>
        <v>48.2046794003634</v>
      </c>
      <c r="AF103" s="1567" t="str">
        <f aca="false">IF(MONTH($A103)=12,SUM(AE92:AE103)," ")</f>
        <v> </v>
      </c>
    </row>
    <row r="104" customFormat="false" ht="12.75" hidden="false" customHeight="false" outlineLevel="0" collapsed="false">
      <c r="A104" s="1538" t="n">
        <f aca="false">'Plant Operations'!A104</f>
        <v>39052</v>
      </c>
      <c r="C104" s="1574" t="n">
        <f aca="false">IF($A104&gt;Endyr,0,VLOOKUP($A104,Tariff_Table,Tariff!$D$33))</f>
        <v>9508.33839918946</v>
      </c>
      <c r="E104" s="1561" t="n">
        <f aca="false">VLOOKUP($A104,Tariff_Table,Tariff!$E$33)</f>
        <v>0.987000280983656</v>
      </c>
      <c r="F104" s="1575" t="n">
        <f aca="false">$C104*E104</f>
        <v>9384.73267168768</v>
      </c>
      <c r="G104" s="1565" t="n">
        <f aca="false">VLOOKUP($A104,Curves_Table,Escalation!$N$291)</f>
        <v>1.26919095628799</v>
      </c>
      <c r="H104" s="1575" t="n">
        <f aca="false">F104*G104</f>
        <v>11911.0178340864</v>
      </c>
      <c r="I104" s="1576" t="n">
        <f aca="false">IF(Assm!$L$74=0,VLOOKUP($A104,Curves_Table,Escalation!$D$291),VLOOKUP($A104,Curves_Table,Escalation!$E$291))</f>
        <v>2.39781896237018</v>
      </c>
      <c r="J104" s="1576" t="n">
        <f aca="false">IF($A104&lt;EE_Date,VLOOKUP($A104,Curves_Table,Escalation!$D$291),Exch)</f>
        <v>1.065</v>
      </c>
      <c r="K104" s="1577" t="n">
        <f aca="false">H104*I104/J104</f>
        <v>26817.3374870439</v>
      </c>
      <c r="M104" s="1561" t="n">
        <f aca="false">VLOOKUP($A104,Tariff_Table,Tariff!$F$33)</f>
        <v>0.0129997190163442</v>
      </c>
      <c r="N104" s="1575" t="n">
        <f aca="false">$C104*M104</f>
        <v>123.605727501779</v>
      </c>
      <c r="O104" s="1565" t="n">
        <f aca="false">VLOOKUP($A104,Curves_Table,Escalation!$R$291)</f>
        <v>2.09773009339288</v>
      </c>
      <c r="P104" s="1577" t="n">
        <f aca="false">N104*O104</f>
        <v>259.291454296202</v>
      </c>
      <c r="R104" s="1578" t="n">
        <f aca="false">SUM(K104,P104)</f>
        <v>27076.6289413402</v>
      </c>
      <c r="S104" s="1540" t="n">
        <f aca="false">'Plant Operations'!C104</f>
        <v>480</v>
      </c>
      <c r="T104" s="1575" t="n">
        <f aca="false">R104*S104/1000</f>
        <v>12996.7818918433</v>
      </c>
      <c r="U104" s="1576" t="n">
        <f aca="false">$I104</f>
        <v>2.39781896237018</v>
      </c>
      <c r="V104" s="394" t="n">
        <f aca="false">T104/U104</f>
        <v>5420.25152682766</v>
      </c>
      <c r="W104" s="1579" t="n">
        <f aca="false">IF(MONTH($A104)=12,SUM(V93:V104)," ")</f>
        <v>64893.4915207753</v>
      </c>
      <c r="Y104" s="1580" t="n">
        <f aca="false">IF($A104&gt;Endyr,0,VLOOKUP($A104,Tariff_Table,Tariff!$J$33))</f>
        <v>0.19</v>
      </c>
      <c r="Z104" s="1576" t="n">
        <f aca="false">VLOOKUP($A104,Curves_Table,Escalation!$AH$291)</f>
        <v>2.09773009339288</v>
      </c>
      <c r="AA104" s="1576" t="n">
        <f aca="false">Y104*Z104</f>
        <v>0.398568717744647</v>
      </c>
      <c r="AB104" s="397" t="n">
        <f aca="false">'Plant Operations'!$I104+'Plant Operations'!$M104</f>
        <v>298980.864</v>
      </c>
      <c r="AC104" s="1575" t="n">
        <f aca="false">AA104*AB104/1000</f>
        <v>119.164419594667</v>
      </c>
      <c r="AD104" s="1576" t="n">
        <f aca="false">$I104</f>
        <v>2.39781896237018</v>
      </c>
      <c r="AE104" s="1566" t="n">
        <f aca="false">AC104/AD104</f>
        <v>49.6970044297572</v>
      </c>
      <c r="AF104" s="1567" t="n">
        <f aca="false">IF(MONTH($A104)=12,SUM(AE93:AE104)," ")</f>
        <v>578.860247122484</v>
      </c>
    </row>
    <row r="105" customFormat="false" ht="12.75" hidden="false" customHeight="false" outlineLevel="0" collapsed="false">
      <c r="A105" s="1538" t="n">
        <f aca="false">'Plant Operations'!A105</f>
        <v>39083</v>
      </c>
      <c r="C105" s="1574" t="n">
        <f aca="false">IF($A105&gt;Endyr,0,VLOOKUP($A105,Tariff_Table,Tariff!$D$33))</f>
        <v>9508.33839918946</v>
      </c>
      <c r="E105" s="1561" t="n">
        <f aca="false">VLOOKUP($A105,Tariff_Table,Tariff!$E$33)</f>
        <v>0.987000280983656</v>
      </c>
      <c r="F105" s="1575" t="n">
        <f aca="false">$C105*E105</f>
        <v>9384.73267168768</v>
      </c>
      <c r="G105" s="1565" t="n">
        <f aca="false">VLOOKUP($A105,Curves_Table,Escalation!$N$291)</f>
        <v>1.26919095628799</v>
      </c>
      <c r="H105" s="1575" t="n">
        <f aca="false">F105*G105</f>
        <v>11911.0178340864</v>
      </c>
      <c r="I105" s="1576" t="n">
        <f aca="false">IF(Assm!$L$74=0,VLOOKUP($A105,Curves_Table,Escalation!$D$291),VLOOKUP($A105,Curves_Table,Escalation!$E$291))</f>
        <v>2.40318207825579</v>
      </c>
      <c r="J105" s="1576" t="n">
        <f aca="false">IF($A105&lt;EE_Date,VLOOKUP($A105,Curves_Table,Escalation!$D$291),Exch)</f>
        <v>1.065</v>
      </c>
      <c r="K105" s="1577" t="n">
        <f aca="false">H105*I105/J105</f>
        <v>26877.3188663489</v>
      </c>
      <c r="M105" s="1561" t="n">
        <f aca="false">VLOOKUP($A105,Tariff_Table,Tariff!$F$33)</f>
        <v>0.0129997190163442</v>
      </c>
      <c r="N105" s="1575" t="n">
        <f aca="false">$C105*M105</f>
        <v>123.605727501779</v>
      </c>
      <c r="O105" s="1565" t="n">
        <f aca="false">VLOOKUP($A105,Curves_Table,Escalation!$R$291)</f>
        <v>2.09773009339288</v>
      </c>
      <c r="P105" s="1577" t="n">
        <f aca="false">N105*O105</f>
        <v>259.291454296202</v>
      </c>
      <c r="R105" s="1578" t="n">
        <f aca="false">SUM(K105,P105)</f>
        <v>27136.6103206451</v>
      </c>
      <c r="S105" s="1540" t="n">
        <f aca="false">'Plant Operations'!C105</f>
        <v>480</v>
      </c>
      <c r="T105" s="1575" t="n">
        <f aca="false">R105*S105/1000</f>
        <v>13025.5729539097</v>
      </c>
      <c r="U105" s="1576" t="n">
        <f aca="false">$I105</f>
        <v>2.40318207825579</v>
      </c>
      <c r="V105" s="394" t="n">
        <f aca="false">T105/U105</f>
        <v>5420.13569082685</v>
      </c>
      <c r="W105" s="1579" t="str">
        <f aca="false">IF(MONTH($A105)=12,SUM(V94:V105)," ")</f>
        <v> </v>
      </c>
      <c r="Y105" s="1580" t="n">
        <f aca="false">IF($A105&gt;Endyr,0,VLOOKUP($A105,Tariff_Table,Tariff!$J$33))</f>
        <v>0.19</v>
      </c>
      <c r="Z105" s="1576" t="n">
        <f aca="false">VLOOKUP($A105,Curves_Table,Escalation!$AH$291)</f>
        <v>2.09773009339288</v>
      </c>
      <c r="AA105" s="1576" t="n">
        <f aca="false">Y105*Z105</f>
        <v>0.398568717744647</v>
      </c>
      <c r="AB105" s="397" t="n">
        <f aca="false">'Plant Operations'!$I105+'Plant Operations'!$M105</f>
        <v>298980.864</v>
      </c>
      <c r="AC105" s="1575" t="n">
        <f aca="false">AA105*AB105/1000</f>
        <v>119.164419594667</v>
      </c>
      <c r="AD105" s="1576" t="n">
        <f aca="false">$I105</f>
        <v>2.40318207825579</v>
      </c>
      <c r="AE105" s="1566" t="n">
        <f aca="false">AC105/AD105</f>
        <v>49.5860969806978</v>
      </c>
      <c r="AF105" s="1567" t="str">
        <f aca="false">IF(MONTH($A105)=12,SUM(AE94:AE105)," ")</f>
        <v> </v>
      </c>
    </row>
    <row r="106" customFormat="false" ht="12.75" hidden="false" customHeight="false" outlineLevel="0" collapsed="false">
      <c r="A106" s="1538" t="n">
        <f aca="false">'Plant Operations'!A106</f>
        <v>39114</v>
      </c>
      <c r="C106" s="1574" t="n">
        <f aca="false">IF($A106&gt;Endyr,0,VLOOKUP($A106,Tariff_Table,Tariff!$D$33))</f>
        <v>9508.33839918946</v>
      </c>
      <c r="E106" s="1561" t="n">
        <f aca="false">VLOOKUP($A106,Tariff_Table,Tariff!$E$33)</f>
        <v>0.987000280983656</v>
      </c>
      <c r="F106" s="1575" t="n">
        <f aca="false">$C106*E106</f>
        <v>9384.73267168768</v>
      </c>
      <c r="G106" s="1565" t="n">
        <f aca="false">VLOOKUP($A106,Curves_Table,Escalation!$N$291)</f>
        <v>1.26919095628799</v>
      </c>
      <c r="H106" s="1575" t="n">
        <f aca="false">F106*G106</f>
        <v>11911.0178340864</v>
      </c>
      <c r="I106" s="1576" t="n">
        <f aca="false">IF(Assm!$L$74=0,VLOOKUP($A106,Curves_Table,Escalation!$D$291),VLOOKUP($A106,Curves_Table,Escalation!$E$291))</f>
        <v>2.40855718963083</v>
      </c>
      <c r="J106" s="1576" t="n">
        <f aca="false">IF($A106&lt;EE_Date,VLOOKUP($A106,Curves_Table,Escalation!$D$291),Exch)</f>
        <v>1.065</v>
      </c>
      <c r="K106" s="1577" t="n">
        <f aca="false">H106*I106/J106</f>
        <v>26937.434403859</v>
      </c>
      <c r="M106" s="1561" t="n">
        <f aca="false">VLOOKUP($A106,Tariff_Table,Tariff!$F$33)</f>
        <v>0.0129997190163442</v>
      </c>
      <c r="N106" s="1575" t="n">
        <f aca="false">$C106*M106</f>
        <v>123.605727501779</v>
      </c>
      <c r="O106" s="1565" t="n">
        <f aca="false">VLOOKUP($A106,Curves_Table,Escalation!$R$291)</f>
        <v>2.09773009339288</v>
      </c>
      <c r="P106" s="1577" t="n">
        <f aca="false">N106*O106</f>
        <v>259.291454296202</v>
      </c>
      <c r="R106" s="1578" t="n">
        <f aca="false">SUM(K106,P106)</f>
        <v>27196.7258581552</v>
      </c>
      <c r="S106" s="1540" t="n">
        <f aca="false">'Plant Operations'!C106</f>
        <v>480</v>
      </c>
      <c r="T106" s="1575" t="n">
        <f aca="false">R106*S106/1000</f>
        <v>13054.4284119145</v>
      </c>
      <c r="U106" s="1576" t="n">
        <f aca="false">$I106</f>
        <v>2.40855718963083</v>
      </c>
      <c r="V106" s="394" t="n">
        <f aca="false">T106/U106</f>
        <v>5420.02011333409</v>
      </c>
      <c r="W106" s="1579" t="str">
        <f aca="false">IF(MONTH($A106)=12,SUM(V95:V106)," ")</f>
        <v> </v>
      </c>
      <c r="Y106" s="1580" t="n">
        <f aca="false">IF($A106&gt;Endyr,0,VLOOKUP($A106,Tariff_Table,Tariff!$J$33))</f>
        <v>0.19</v>
      </c>
      <c r="Z106" s="1576" t="n">
        <f aca="false">VLOOKUP($A106,Curves_Table,Escalation!$AH$291)</f>
        <v>2.09773009339288</v>
      </c>
      <c r="AA106" s="1576" t="n">
        <f aca="false">Y106*Z106</f>
        <v>0.398568717744647</v>
      </c>
      <c r="AB106" s="397" t="n">
        <f aca="false">'Plant Operations'!$I106+'Plant Operations'!$M106</f>
        <v>270047.232</v>
      </c>
      <c r="AC106" s="1575" t="n">
        <f aca="false">AA106*AB106/1000</f>
        <v>107.632378988731</v>
      </c>
      <c r="AD106" s="1576" t="n">
        <f aca="false">$I106</f>
        <v>2.40855718963083</v>
      </c>
      <c r="AE106" s="1566" t="n">
        <f aca="false">AC106/AD106</f>
        <v>44.6874915206927</v>
      </c>
      <c r="AF106" s="1567" t="str">
        <f aca="false">IF(MONTH($A106)=12,SUM(AE95:AE106)," ")</f>
        <v> </v>
      </c>
    </row>
    <row r="107" customFormat="false" ht="12.75" hidden="false" customHeight="false" outlineLevel="0" collapsed="false">
      <c r="A107" s="1538" t="n">
        <f aca="false">'Plant Operations'!A107</f>
        <v>39142</v>
      </c>
      <c r="C107" s="1574" t="n">
        <f aca="false">IF($A107&gt;Endyr,0,VLOOKUP($A107,Tariff_Table,Tariff!$D$33))</f>
        <v>9508.33839918946</v>
      </c>
      <c r="E107" s="1561" t="n">
        <f aca="false">VLOOKUP($A107,Tariff_Table,Tariff!$E$33)</f>
        <v>0.987000280983656</v>
      </c>
      <c r="F107" s="1575" t="n">
        <f aca="false">$C107*E107</f>
        <v>9384.73267168768</v>
      </c>
      <c r="G107" s="1565" t="n">
        <f aca="false">VLOOKUP($A107,Curves_Table,Escalation!$N$291)</f>
        <v>1.26919095628799</v>
      </c>
      <c r="H107" s="1575" t="n">
        <f aca="false">F107*G107</f>
        <v>11911.0178340864</v>
      </c>
      <c r="I107" s="1576" t="n">
        <f aca="false">IF(Assm!$L$74=0,VLOOKUP($A107,Curves_Table,Escalation!$D$291),VLOOKUP($A107,Curves_Table,Escalation!$E$291))</f>
        <v>2.41394432332517</v>
      </c>
      <c r="J107" s="1576" t="n">
        <f aca="false">IF($A107&lt;EE_Date,VLOOKUP($A107,Curves_Table,Escalation!$D$291),Exch)</f>
        <v>1.065</v>
      </c>
      <c r="K107" s="1577" t="n">
        <f aca="false">H107*I107/J107</f>
        <v>26997.6843996411</v>
      </c>
      <c r="M107" s="1561" t="n">
        <f aca="false">VLOOKUP($A107,Tariff_Table,Tariff!$F$33)</f>
        <v>0.0129997190163442</v>
      </c>
      <c r="N107" s="1575" t="n">
        <f aca="false">$C107*M107</f>
        <v>123.605727501779</v>
      </c>
      <c r="O107" s="1565" t="n">
        <f aca="false">VLOOKUP($A107,Curves_Table,Escalation!$R$291)</f>
        <v>2.09773009339288</v>
      </c>
      <c r="P107" s="1577" t="n">
        <f aca="false">N107*O107</f>
        <v>259.291454296202</v>
      </c>
      <c r="R107" s="1578" t="n">
        <f aca="false">SUM(K107,P107)</f>
        <v>27256.9758539373</v>
      </c>
      <c r="S107" s="1540" t="n">
        <f aca="false">'Plant Operations'!C107</f>
        <v>480</v>
      </c>
      <c r="T107" s="1575" t="n">
        <f aca="false">R107*S107/1000</f>
        <v>13083.3484098899</v>
      </c>
      <c r="U107" s="1576" t="n">
        <f aca="false">$I107</f>
        <v>2.41394432332517</v>
      </c>
      <c r="V107" s="394" t="n">
        <f aca="false">T107/U107</f>
        <v>5419.90479377246</v>
      </c>
      <c r="W107" s="1579" t="str">
        <f aca="false">IF(MONTH($A107)=12,SUM(V96:V107)," ")</f>
        <v> </v>
      </c>
      <c r="Y107" s="1580" t="n">
        <f aca="false">IF($A107&gt;Endyr,0,VLOOKUP($A107,Tariff_Table,Tariff!$J$33))</f>
        <v>0.19</v>
      </c>
      <c r="Z107" s="1576" t="n">
        <f aca="false">VLOOKUP($A107,Curves_Table,Escalation!$AH$291)</f>
        <v>2.09773009339288</v>
      </c>
      <c r="AA107" s="1576" t="n">
        <f aca="false">Y107*Z107</f>
        <v>0.398568717744647</v>
      </c>
      <c r="AB107" s="397" t="n">
        <f aca="false">'Plant Operations'!$I107+'Plant Operations'!$M107</f>
        <v>298980.864</v>
      </c>
      <c r="AC107" s="1575" t="n">
        <f aca="false">AA107*AB107/1000</f>
        <v>119.164419594667</v>
      </c>
      <c r="AD107" s="1576" t="n">
        <f aca="false">$I107</f>
        <v>2.41394432332517</v>
      </c>
      <c r="AE107" s="1566" t="n">
        <f aca="false">AC107/AD107</f>
        <v>49.3650240576052</v>
      </c>
      <c r="AF107" s="1567" t="str">
        <f aca="false">IF(MONTH($A107)=12,SUM(AE96:AE107)," ")</f>
        <v> </v>
      </c>
    </row>
    <row r="108" customFormat="false" ht="12.75" hidden="false" customHeight="false" outlineLevel="0" collapsed="false">
      <c r="A108" s="1538" t="n">
        <f aca="false">'Plant Operations'!A108</f>
        <v>39173</v>
      </c>
      <c r="C108" s="1574" t="n">
        <f aca="false">IF($A108&gt;Endyr,0,VLOOKUP($A108,Tariff_Table,Tariff!$D$33))</f>
        <v>9508.33839918946</v>
      </c>
      <c r="E108" s="1561" t="n">
        <f aca="false">VLOOKUP($A108,Tariff_Table,Tariff!$E$33)</f>
        <v>0.987000280983656</v>
      </c>
      <c r="F108" s="1575" t="n">
        <f aca="false">$C108*E108</f>
        <v>9384.73267168768</v>
      </c>
      <c r="G108" s="1565" t="n">
        <f aca="false">VLOOKUP($A108,Curves_Table,Escalation!$N$291)</f>
        <v>1.26919095628799</v>
      </c>
      <c r="H108" s="1575" t="n">
        <f aca="false">F108*G108</f>
        <v>11911.0178340864</v>
      </c>
      <c r="I108" s="1576" t="n">
        <f aca="false">IF(Assm!$L$74=0,VLOOKUP($A108,Curves_Table,Escalation!$D$291),VLOOKUP($A108,Curves_Table,Escalation!$E$291))</f>
        <v>2.41934350622871</v>
      </c>
      <c r="J108" s="1576" t="n">
        <f aca="false">IF($A108&lt;EE_Date,VLOOKUP($A108,Curves_Table,Escalation!$D$291),Exch)</f>
        <v>1.065</v>
      </c>
      <c r="K108" s="1577" t="n">
        <f aca="false">H108*I108/J108</f>
        <v>27058.0691544332</v>
      </c>
      <c r="M108" s="1561" t="n">
        <f aca="false">VLOOKUP($A108,Tariff_Table,Tariff!$F$33)</f>
        <v>0.0129997190163442</v>
      </c>
      <c r="N108" s="1575" t="n">
        <f aca="false">$C108*M108</f>
        <v>123.605727501779</v>
      </c>
      <c r="O108" s="1565" t="n">
        <f aca="false">VLOOKUP($A108,Curves_Table,Escalation!$R$291)</f>
        <v>2.09773009339288</v>
      </c>
      <c r="P108" s="1577" t="n">
        <f aca="false">N108*O108</f>
        <v>259.291454296202</v>
      </c>
      <c r="R108" s="1578" t="n">
        <f aca="false">SUM(K108,P108)</f>
        <v>27317.3606087294</v>
      </c>
      <c r="S108" s="1540" t="n">
        <f aca="false">'Plant Operations'!C108</f>
        <v>480</v>
      </c>
      <c r="T108" s="1575" t="n">
        <f aca="false">R108*S108/1000</f>
        <v>13112.3330921901</v>
      </c>
      <c r="U108" s="1576" t="n">
        <f aca="false">$I108</f>
        <v>2.41934350622871</v>
      </c>
      <c r="V108" s="394" t="n">
        <f aca="false">T108/U108</f>
        <v>5419.78973156635</v>
      </c>
      <c r="W108" s="1579" t="str">
        <f aca="false">IF(MONTH($A108)=12,SUM(V97:V108)," ")</f>
        <v> </v>
      </c>
      <c r="Y108" s="1580" t="n">
        <f aca="false">IF($A108&gt;Endyr,0,VLOOKUP($A108,Tariff_Table,Tariff!$J$33))</f>
        <v>0.19</v>
      </c>
      <c r="Z108" s="1576" t="n">
        <f aca="false">VLOOKUP($A108,Curves_Table,Escalation!$AH$291)</f>
        <v>2.09773009339288</v>
      </c>
      <c r="AA108" s="1576" t="n">
        <f aca="false">Y108*Z108</f>
        <v>0.398568717744647</v>
      </c>
      <c r="AB108" s="397" t="n">
        <f aca="false">'Plant Operations'!$I108+'Plant Operations'!$M108</f>
        <v>289336.32</v>
      </c>
      <c r="AC108" s="1575" t="n">
        <f aca="false">AA108*AB108/1000</f>
        <v>115.320406059355</v>
      </c>
      <c r="AD108" s="1576" t="n">
        <f aca="false">$I108</f>
        <v>2.41934350622871</v>
      </c>
      <c r="AE108" s="1566" t="n">
        <f aca="false">AC108/AD108</f>
        <v>47.6659911097606</v>
      </c>
      <c r="AF108" s="1567" t="str">
        <f aca="false">IF(MONTH($A108)=12,SUM(AE97:AE108)," ")</f>
        <v> </v>
      </c>
    </row>
    <row r="109" customFormat="false" ht="12.75" hidden="false" customHeight="false" outlineLevel="0" collapsed="false">
      <c r="A109" s="1538" t="n">
        <f aca="false">'Plant Operations'!A109</f>
        <v>39203</v>
      </c>
      <c r="C109" s="1574" t="n">
        <f aca="false">IF($A109&gt;Endyr,0,VLOOKUP($A109,Tariff_Table,Tariff!$D$33))</f>
        <v>8615.71284125379</v>
      </c>
      <c r="E109" s="1561" t="n">
        <f aca="false">VLOOKUP($A109,Tariff_Table,Tariff!$E$33)</f>
        <v>0.988999816557668</v>
      </c>
      <c r="F109" s="1575" t="n">
        <f aca="false">$C109*E109</f>
        <v>8520.93841951355</v>
      </c>
      <c r="G109" s="1565" t="n">
        <f aca="false">VLOOKUP($A109,Curves_Table,Escalation!$N$291)</f>
        <v>1.30389657610682</v>
      </c>
      <c r="H109" s="1575" t="n">
        <f aca="false">F109*G109</f>
        <v>11110.4224304207</v>
      </c>
      <c r="I109" s="1576" t="n">
        <f aca="false">IF(Assm!$L$74=0,VLOOKUP($A109,Curves_Table,Escalation!$D$291),VLOOKUP($A109,Curves_Table,Escalation!$E$291))</f>
        <v>2.42475476529148</v>
      </c>
      <c r="J109" s="1576" t="n">
        <f aca="false">IF($A109&lt;EE_Date,VLOOKUP($A109,Curves_Table,Escalation!$D$291),Exch)</f>
        <v>1.065</v>
      </c>
      <c r="K109" s="1577" t="n">
        <f aca="false">H109*I109/J109</f>
        <v>25295.8213451306</v>
      </c>
      <c r="M109" s="1561" t="n">
        <f aca="false">VLOOKUP($A109,Tariff_Table,Tariff!$F$33)</f>
        <v>0.011000183442332</v>
      </c>
      <c r="N109" s="1575" t="n">
        <f aca="false">$C109*M109</f>
        <v>94.7744217402472</v>
      </c>
      <c r="O109" s="1565" t="n">
        <f aca="false">VLOOKUP($A109,Curves_Table,Escalation!$R$291)</f>
        <v>2.25505985039734</v>
      </c>
      <c r="P109" s="1577" t="n">
        <f aca="false">N109*O109</f>
        <v>213.721993311056</v>
      </c>
      <c r="R109" s="1578" t="n">
        <f aca="false">SUM(K109,P109)</f>
        <v>25509.5433384416</v>
      </c>
      <c r="S109" s="1540" t="n">
        <f aca="false">'Plant Operations'!C109</f>
        <v>480</v>
      </c>
      <c r="T109" s="1575" t="n">
        <f aca="false">R109*S109/1000</f>
        <v>12244.580802452</v>
      </c>
      <c r="U109" s="1576" t="n">
        <f aca="false">$I109</f>
        <v>2.42475476529148</v>
      </c>
      <c r="V109" s="394" t="n">
        <f aca="false">T109/U109</f>
        <v>5049.82234810869</v>
      </c>
      <c r="W109" s="1579" t="str">
        <f aca="false">IF(MONTH($A109)=12,SUM(V98:V109)," ")</f>
        <v> </v>
      </c>
      <c r="Y109" s="1580" t="n">
        <f aca="false">IF($A109&gt;Endyr,0,VLOOKUP($A109,Tariff_Table,Tariff!$J$33))</f>
        <v>0.19</v>
      </c>
      <c r="Z109" s="1576" t="n">
        <f aca="false">VLOOKUP($A109,Curves_Table,Escalation!$AH$291)</f>
        <v>2.25505985039734</v>
      </c>
      <c r="AA109" s="1576" t="n">
        <f aca="false">Y109*Z109</f>
        <v>0.428461371575495</v>
      </c>
      <c r="AB109" s="397" t="n">
        <f aca="false">'Plant Operations'!$I109+'Plant Operations'!$M109</f>
        <v>298980.864</v>
      </c>
      <c r="AC109" s="1575" t="n">
        <f aca="false">AA109*AB109/1000</f>
        <v>128.101751064267</v>
      </c>
      <c r="AD109" s="1576" t="n">
        <f aca="false">$I109</f>
        <v>2.42475476529148</v>
      </c>
      <c r="AE109" s="1566" t="n">
        <f aca="false">AC109/AD109</f>
        <v>52.8308070151859</v>
      </c>
      <c r="AF109" s="1567" t="str">
        <f aca="false">IF(MONTH($A109)=12,SUM(AE98:AE109)," ")</f>
        <v> </v>
      </c>
    </row>
    <row r="110" customFormat="false" ht="12.75" hidden="false" customHeight="false" outlineLevel="0" collapsed="false">
      <c r="A110" s="1538" t="n">
        <f aca="false">'Plant Operations'!A110</f>
        <v>39234</v>
      </c>
      <c r="C110" s="1574" t="n">
        <f aca="false">IF($A110&gt;Endyr,0,VLOOKUP($A110,Tariff_Table,Tariff!$D$33))</f>
        <v>8615.71284125379</v>
      </c>
      <c r="E110" s="1561" t="n">
        <f aca="false">VLOOKUP($A110,Tariff_Table,Tariff!$E$33)</f>
        <v>0.988999816557668</v>
      </c>
      <c r="F110" s="1575" t="n">
        <f aca="false">$C110*E110</f>
        <v>8520.93841951355</v>
      </c>
      <c r="G110" s="1565" t="n">
        <f aca="false">VLOOKUP($A110,Curves_Table,Escalation!$N$291)</f>
        <v>1.30389657610682</v>
      </c>
      <c r="H110" s="1575" t="n">
        <f aca="false">F110*G110</f>
        <v>11110.4224304207</v>
      </c>
      <c r="I110" s="1576" t="n">
        <f aca="false">IF(Assm!$L$74=0,VLOOKUP($A110,Curves_Table,Escalation!$D$291),VLOOKUP($A110,Curves_Table,Escalation!$E$291))</f>
        <v>2.4301781275238</v>
      </c>
      <c r="J110" s="1576" t="n">
        <f aca="false">IF($A110&lt;EE_Date,VLOOKUP($A110,Curves_Table,Escalation!$D$291),Exch)</f>
        <v>1.065</v>
      </c>
      <c r="K110" s="1577" t="n">
        <f aca="false">H110*I110/J110</f>
        <v>25352.3996037167</v>
      </c>
      <c r="M110" s="1561" t="n">
        <f aca="false">VLOOKUP($A110,Tariff_Table,Tariff!$F$33)</f>
        <v>0.011000183442332</v>
      </c>
      <c r="N110" s="1575" t="n">
        <f aca="false">$C110*M110</f>
        <v>94.7744217402472</v>
      </c>
      <c r="O110" s="1565" t="n">
        <f aca="false">VLOOKUP($A110,Curves_Table,Escalation!$R$291)</f>
        <v>2.25505985039734</v>
      </c>
      <c r="P110" s="1577" t="n">
        <f aca="false">N110*O110</f>
        <v>213.721993311056</v>
      </c>
      <c r="R110" s="1578" t="n">
        <f aca="false">SUM(K110,P110)</f>
        <v>25566.1215970277</v>
      </c>
      <c r="S110" s="1540" t="n">
        <f aca="false">'Plant Operations'!C110</f>
        <v>480</v>
      </c>
      <c r="T110" s="1575" t="n">
        <f aca="false">R110*S110/1000</f>
        <v>12271.7383665733</v>
      </c>
      <c r="U110" s="1576" t="n">
        <f aca="false">$I110</f>
        <v>2.4301781275238</v>
      </c>
      <c r="V110" s="394" t="n">
        <f aca="false">T110/U110</f>
        <v>5049.72793046963</v>
      </c>
      <c r="W110" s="1579" t="str">
        <f aca="false">IF(MONTH($A110)=12,SUM(V99:V110)," ")</f>
        <v> </v>
      </c>
      <c r="Y110" s="1580" t="n">
        <f aca="false">IF($A110&gt;Endyr,0,VLOOKUP($A110,Tariff_Table,Tariff!$J$33))</f>
        <v>0.19</v>
      </c>
      <c r="Z110" s="1576" t="n">
        <f aca="false">VLOOKUP($A110,Curves_Table,Escalation!$AH$291)</f>
        <v>2.25505985039734</v>
      </c>
      <c r="AA110" s="1576" t="n">
        <f aca="false">Y110*Z110</f>
        <v>0.428461371575495</v>
      </c>
      <c r="AB110" s="397" t="n">
        <f aca="false">'Plant Operations'!$I110+'Plant Operations'!$M110</f>
        <v>289336.32</v>
      </c>
      <c r="AC110" s="1575" t="n">
        <f aca="false">AA110*AB110/1000</f>
        <v>123.969436513806</v>
      </c>
      <c r="AD110" s="1576" t="n">
        <f aca="false">$I110</f>
        <v>2.4301781275238</v>
      </c>
      <c r="AE110" s="1566" t="n">
        <f aca="false">AC110/AD110</f>
        <v>51.0124896235996</v>
      </c>
      <c r="AF110" s="1567" t="str">
        <f aca="false">IF(MONTH($A110)=12,SUM(AE99:AE110)," ")</f>
        <v> </v>
      </c>
    </row>
    <row r="111" customFormat="false" ht="12.75" hidden="false" customHeight="false" outlineLevel="0" collapsed="false">
      <c r="A111" s="1538" t="n">
        <f aca="false">'Plant Operations'!A111</f>
        <v>39264</v>
      </c>
      <c r="C111" s="1574" t="n">
        <f aca="false">IF($A111&gt;Endyr,0,VLOOKUP($A111,Tariff_Table,Tariff!$D$33))</f>
        <v>8615.71284125379</v>
      </c>
      <c r="E111" s="1561" t="n">
        <f aca="false">VLOOKUP($A111,Tariff_Table,Tariff!$E$33)</f>
        <v>0.988999816557668</v>
      </c>
      <c r="F111" s="1575" t="n">
        <f aca="false">$C111*E111</f>
        <v>8520.93841951355</v>
      </c>
      <c r="G111" s="1565" t="n">
        <f aca="false">VLOOKUP($A111,Curves_Table,Escalation!$N$291)</f>
        <v>1.30389657610682</v>
      </c>
      <c r="H111" s="1575" t="n">
        <f aca="false">F111*G111</f>
        <v>11110.4224304207</v>
      </c>
      <c r="I111" s="1576" t="n">
        <f aca="false">IF(Assm!$L$74=0,VLOOKUP($A111,Curves_Table,Escalation!$D$291),VLOOKUP($A111,Curves_Table,Escalation!$E$291))</f>
        <v>2.43561361999639</v>
      </c>
      <c r="J111" s="1576" t="n">
        <f aca="false">IF($A111&lt;EE_Date,VLOOKUP($A111,Curves_Table,Escalation!$D$291),Exch)</f>
        <v>1.065</v>
      </c>
      <c r="K111" s="1577" t="n">
        <f aca="false">H111*I111/J111</f>
        <v>25409.1044088696</v>
      </c>
      <c r="M111" s="1561" t="n">
        <f aca="false">VLOOKUP($A111,Tariff_Table,Tariff!$F$33)</f>
        <v>0.011000183442332</v>
      </c>
      <c r="N111" s="1575" t="n">
        <f aca="false">$C111*M111</f>
        <v>94.7744217402472</v>
      </c>
      <c r="O111" s="1565" t="n">
        <f aca="false">VLOOKUP($A111,Curves_Table,Escalation!$R$291)</f>
        <v>2.25505985039734</v>
      </c>
      <c r="P111" s="1577" t="n">
        <f aca="false">N111*O111</f>
        <v>213.721993311056</v>
      </c>
      <c r="R111" s="1578" t="n">
        <f aca="false">SUM(K111,P111)</f>
        <v>25622.8264021806</v>
      </c>
      <c r="S111" s="1540" t="n">
        <f aca="false">'Plant Operations'!C111</f>
        <v>480</v>
      </c>
      <c r="T111" s="1575" t="n">
        <f aca="false">R111*S111/1000</f>
        <v>12298.9566730467</v>
      </c>
      <c r="U111" s="1576" t="n">
        <f aca="false">$I111</f>
        <v>2.43561361999639</v>
      </c>
      <c r="V111" s="394" t="n">
        <f aca="false">T111/U111</f>
        <v>5049.63372353984</v>
      </c>
      <c r="W111" s="1579" t="str">
        <f aca="false">IF(MONTH($A111)=12,SUM(V100:V111)," ")</f>
        <v> </v>
      </c>
      <c r="Y111" s="1580" t="n">
        <f aca="false">IF($A111&gt;Endyr,0,VLOOKUP($A111,Tariff_Table,Tariff!$J$33))</f>
        <v>0.19</v>
      </c>
      <c r="Z111" s="1576" t="n">
        <f aca="false">VLOOKUP($A111,Curves_Table,Escalation!$AH$291)</f>
        <v>2.25505985039734</v>
      </c>
      <c r="AA111" s="1576" t="n">
        <f aca="false">Y111*Z111</f>
        <v>0.428461371575495</v>
      </c>
      <c r="AB111" s="397" t="n">
        <f aca="false">'Plant Operations'!$I111+'Plant Operations'!$M111</f>
        <v>298980.864</v>
      </c>
      <c r="AC111" s="1575" t="n">
        <f aca="false">AA111*AB111/1000</f>
        <v>128.101751064267</v>
      </c>
      <c r="AD111" s="1576" t="n">
        <f aca="false">$I111</f>
        <v>2.43561361999639</v>
      </c>
      <c r="AE111" s="1566" t="n">
        <f aca="false">AC111/AD111</f>
        <v>52.5952679901899</v>
      </c>
      <c r="AF111" s="1567" t="str">
        <f aca="false">IF(MONTH($A111)=12,SUM(AE100:AE111)," ")</f>
        <v> </v>
      </c>
    </row>
    <row r="112" customFormat="false" ht="12.75" hidden="false" customHeight="false" outlineLevel="0" collapsed="false">
      <c r="A112" s="1538" t="n">
        <f aca="false">'Plant Operations'!A112</f>
        <v>39295</v>
      </c>
      <c r="C112" s="1574" t="n">
        <f aca="false">IF($A112&gt;Endyr,0,VLOOKUP($A112,Tariff_Table,Tariff!$D$33))</f>
        <v>8615.71284125379</v>
      </c>
      <c r="E112" s="1561" t="n">
        <f aca="false">VLOOKUP($A112,Tariff_Table,Tariff!$E$33)</f>
        <v>0.988999816557668</v>
      </c>
      <c r="F112" s="1575" t="n">
        <f aca="false">$C112*E112</f>
        <v>8520.93841951355</v>
      </c>
      <c r="G112" s="1565" t="n">
        <f aca="false">VLOOKUP($A112,Curves_Table,Escalation!$N$291)</f>
        <v>1.30389657610682</v>
      </c>
      <c r="H112" s="1575" t="n">
        <f aca="false">F112*G112</f>
        <v>11110.4224304207</v>
      </c>
      <c r="I112" s="1576" t="n">
        <f aca="false">IF(Assm!$L$74=0,VLOOKUP($A112,Curves_Table,Escalation!$D$291),VLOOKUP($A112,Curves_Table,Escalation!$E$291))</f>
        <v>2.44106126984052</v>
      </c>
      <c r="J112" s="1576" t="n">
        <f aca="false">IF($A112&lt;EE_Date,VLOOKUP($A112,Curves_Table,Escalation!$D$291),Exch)</f>
        <v>1.065</v>
      </c>
      <c r="K112" s="1577" t="n">
        <f aca="false">H112*I112/J112</f>
        <v>25465.9360436314</v>
      </c>
      <c r="M112" s="1561" t="n">
        <f aca="false">VLOOKUP($A112,Tariff_Table,Tariff!$F$33)</f>
        <v>0.011000183442332</v>
      </c>
      <c r="N112" s="1575" t="n">
        <f aca="false">$C112*M112</f>
        <v>94.7744217402472</v>
      </c>
      <c r="O112" s="1565" t="n">
        <f aca="false">VLOOKUP($A112,Curves_Table,Escalation!$R$291)</f>
        <v>2.25505985039734</v>
      </c>
      <c r="P112" s="1577" t="n">
        <f aca="false">N112*O112</f>
        <v>213.721993311056</v>
      </c>
      <c r="R112" s="1578" t="n">
        <f aca="false">SUM(K112,P112)</f>
        <v>25679.6580369425</v>
      </c>
      <c r="S112" s="1540" t="n">
        <f aca="false">'Plant Operations'!C112</f>
        <v>480</v>
      </c>
      <c r="T112" s="1575" t="n">
        <f aca="false">R112*S112/1000</f>
        <v>12326.2358577324</v>
      </c>
      <c r="U112" s="1576" t="n">
        <f aca="false">$I112</f>
        <v>2.44106126984052</v>
      </c>
      <c r="V112" s="394" t="n">
        <f aca="false">T112/U112</f>
        <v>5049.53972684908</v>
      </c>
      <c r="W112" s="1579" t="str">
        <f aca="false">IF(MONTH($A112)=12,SUM(V101:V112)," ")</f>
        <v> </v>
      </c>
      <c r="Y112" s="1580" t="n">
        <f aca="false">IF($A112&gt;Endyr,0,VLOOKUP($A112,Tariff_Table,Tariff!$J$33))</f>
        <v>0.19</v>
      </c>
      <c r="Z112" s="1576" t="n">
        <f aca="false">VLOOKUP($A112,Curves_Table,Escalation!$AH$291)</f>
        <v>2.25505985039734</v>
      </c>
      <c r="AA112" s="1576" t="n">
        <f aca="false">Y112*Z112</f>
        <v>0.428461371575495</v>
      </c>
      <c r="AB112" s="397" t="n">
        <f aca="false">'Plant Operations'!$I112+'Plant Operations'!$M112</f>
        <v>298980.864</v>
      </c>
      <c r="AC112" s="1575" t="n">
        <f aca="false">AA112*AB112/1000</f>
        <v>128.101751064267</v>
      </c>
      <c r="AD112" s="1576" t="n">
        <f aca="false">$I112</f>
        <v>2.44106126984052</v>
      </c>
      <c r="AE112" s="1566" t="n">
        <f aca="false">AC112/AD112</f>
        <v>52.4778925654069</v>
      </c>
      <c r="AF112" s="1567" t="str">
        <f aca="false">IF(MONTH($A112)=12,SUM(AE101:AE112)," ")</f>
        <v> </v>
      </c>
    </row>
    <row r="113" customFormat="false" ht="12.75" hidden="false" customHeight="false" outlineLevel="0" collapsed="false">
      <c r="A113" s="1538" t="n">
        <f aca="false">'Plant Operations'!A113</f>
        <v>39326</v>
      </c>
      <c r="C113" s="1574" t="n">
        <f aca="false">IF($A113&gt;Endyr,0,VLOOKUP($A113,Tariff_Table,Tariff!$D$33))</f>
        <v>8615.71284125379</v>
      </c>
      <c r="E113" s="1561" t="n">
        <f aca="false">VLOOKUP($A113,Tariff_Table,Tariff!$E$33)</f>
        <v>0.988999816557668</v>
      </c>
      <c r="F113" s="1575" t="n">
        <f aca="false">$C113*E113</f>
        <v>8520.93841951355</v>
      </c>
      <c r="G113" s="1565" t="n">
        <f aca="false">VLOOKUP($A113,Curves_Table,Escalation!$N$291)</f>
        <v>1.30389657610682</v>
      </c>
      <c r="H113" s="1575" t="n">
        <f aca="false">F113*G113</f>
        <v>11110.4224304207</v>
      </c>
      <c r="I113" s="1576" t="n">
        <f aca="false">IF(Assm!$L$74=0,VLOOKUP($A113,Curves_Table,Escalation!$D$291),VLOOKUP($A113,Curves_Table,Escalation!$E$291))</f>
        <v>2.44652110424816</v>
      </c>
      <c r="J113" s="1576" t="n">
        <f aca="false">IF($A113&lt;EE_Date,VLOOKUP($A113,Curves_Table,Escalation!$D$291),Exch)</f>
        <v>1.065</v>
      </c>
      <c r="K113" s="1577" t="n">
        <f aca="false">H113*I113/J113</f>
        <v>25522.8947916774</v>
      </c>
      <c r="M113" s="1561" t="n">
        <f aca="false">VLOOKUP($A113,Tariff_Table,Tariff!$F$33)</f>
        <v>0.011000183442332</v>
      </c>
      <c r="N113" s="1575" t="n">
        <f aca="false">$C113*M113</f>
        <v>94.7744217402472</v>
      </c>
      <c r="O113" s="1565" t="n">
        <f aca="false">VLOOKUP($A113,Curves_Table,Escalation!$R$291)</f>
        <v>2.25505985039734</v>
      </c>
      <c r="P113" s="1577" t="n">
        <f aca="false">N113*O113</f>
        <v>213.721993311056</v>
      </c>
      <c r="R113" s="1578" t="n">
        <f aca="false">SUM(K113,P113)</f>
        <v>25736.6167849885</v>
      </c>
      <c r="S113" s="1540" t="n">
        <f aca="false">'Plant Operations'!C113</f>
        <v>480</v>
      </c>
      <c r="T113" s="1575" t="n">
        <f aca="false">R113*S113/1000</f>
        <v>12353.5760567945</v>
      </c>
      <c r="U113" s="1576" t="n">
        <f aca="false">$I113</f>
        <v>2.44652110424816</v>
      </c>
      <c r="V113" s="394" t="n">
        <f aca="false">T113/U113</f>
        <v>5049.44593992818</v>
      </c>
      <c r="W113" s="1579" t="str">
        <f aca="false">IF(MONTH($A113)=12,SUM(V102:V113)," ")</f>
        <v> </v>
      </c>
      <c r="Y113" s="1580" t="n">
        <f aca="false">IF($A113&gt;Endyr,0,VLOOKUP($A113,Tariff_Table,Tariff!$J$33))</f>
        <v>0.19</v>
      </c>
      <c r="Z113" s="1576" t="n">
        <f aca="false">VLOOKUP($A113,Curves_Table,Escalation!$AH$291)</f>
        <v>2.25505985039734</v>
      </c>
      <c r="AA113" s="1576" t="n">
        <f aca="false">Y113*Z113</f>
        <v>0.428461371575495</v>
      </c>
      <c r="AB113" s="397" t="n">
        <f aca="false">'Plant Operations'!$I113+'Plant Operations'!$M113</f>
        <v>289336.32</v>
      </c>
      <c r="AC113" s="1575" t="n">
        <f aca="false">AA113*AB113/1000</f>
        <v>123.969436513806</v>
      </c>
      <c r="AD113" s="1576" t="n">
        <f aca="false">$I113</f>
        <v>2.44652110424816</v>
      </c>
      <c r="AE113" s="1566" t="n">
        <f aca="false">AC113/AD113</f>
        <v>50.6717216943458</v>
      </c>
      <c r="AF113" s="1567" t="str">
        <f aca="false">IF(MONTH($A113)=12,SUM(AE102:AE113)," ")</f>
        <v> </v>
      </c>
    </row>
    <row r="114" customFormat="false" ht="12.75" hidden="false" customHeight="false" outlineLevel="0" collapsed="false">
      <c r="A114" s="1538" t="n">
        <f aca="false">'Plant Operations'!A114</f>
        <v>39356</v>
      </c>
      <c r="C114" s="1574" t="n">
        <f aca="false">IF($A114&gt;Endyr,0,VLOOKUP($A114,Tariff_Table,Tariff!$D$33))</f>
        <v>8615.71284125379</v>
      </c>
      <c r="E114" s="1561" t="n">
        <f aca="false">VLOOKUP($A114,Tariff_Table,Tariff!$E$33)</f>
        <v>0.988999816557668</v>
      </c>
      <c r="F114" s="1575" t="n">
        <f aca="false">$C114*E114</f>
        <v>8520.93841951355</v>
      </c>
      <c r="G114" s="1565" t="n">
        <f aca="false">VLOOKUP($A114,Curves_Table,Escalation!$N$291)</f>
        <v>1.30389657610682</v>
      </c>
      <c r="H114" s="1575" t="n">
        <f aca="false">F114*G114</f>
        <v>11110.4224304207</v>
      </c>
      <c r="I114" s="1576" t="n">
        <f aca="false">IF(Assm!$L$74=0,VLOOKUP($A114,Curves_Table,Escalation!$D$291),VLOOKUP($A114,Curves_Table,Escalation!$E$291))</f>
        <v>2.45199315047208</v>
      </c>
      <c r="J114" s="1576" t="n">
        <f aca="false">IF($A114&lt;EE_Date,VLOOKUP($A114,Curves_Table,Escalation!$D$291),Exch)</f>
        <v>1.065</v>
      </c>
      <c r="K114" s="1577" t="n">
        <f aca="false">H114*I114/J114</f>
        <v>25579.9809373174</v>
      </c>
      <c r="M114" s="1561" t="n">
        <f aca="false">VLOOKUP($A114,Tariff_Table,Tariff!$F$33)</f>
        <v>0.011000183442332</v>
      </c>
      <c r="N114" s="1575" t="n">
        <f aca="false">$C114*M114</f>
        <v>94.7744217402472</v>
      </c>
      <c r="O114" s="1565" t="n">
        <f aca="false">VLOOKUP($A114,Curves_Table,Escalation!$R$291)</f>
        <v>2.25505985039734</v>
      </c>
      <c r="P114" s="1577" t="n">
        <f aca="false">N114*O114</f>
        <v>213.721993311056</v>
      </c>
      <c r="R114" s="1578" t="n">
        <f aca="false">SUM(K114,P114)</f>
        <v>25793.7029306284</v>
      </c>
      <c r="S114" s="1540" t="n">
        <f aca="false">'Plant Operations'!C114</f>
        <v>480</v>
      </c>
      <c r="T114" s="1575" t="n">
        <f aca="false">R114*S114/1000</f>
        <v>12380.9774067016</v>
      </c>
      <c r="U114" s="1576" t="n">
        <f aca="false">$I114</f>
        <v>2.45199315047208</v>
      </c>
      <c r="V114" s="394" t="n">
        <f aca="false">T114/U114</f>
        <v>5049.35236230898</v>
      </c>
      <c r="W114" s="1579" t="str">
        <f aca="false">IF(MONTH($A114)=12,SUM(V103:V114)," ")</f>
        <v> </v>
      </c>
      <c r="Y114" s="1580" t="n">
        <f aca="false">IF($A114&gt;Endyr,0,VLOOKUP($A114,Tariff_Table,Tariff!$J$33))</f>
        <v>0.19</v>
      </c>
      <c r="Z114" s="1576" t="n">
        <f aca="false">VLOOKUP($A114,Curves_Table,Escalation!$AH$291)</f>
        <v>2.25505985039734</v>
      </c>
      <c r="AA114" s="1576" t="n">
        <f aca="false">Y114*Z114</f>
        <v>0.428461371575495</v>
      </c>
      <c r="AB114" s="397" t="n">
        <f aca="false">'Plant Operations'!$I114+'Plant Operations'!$M114</f>
        <v>298980.864</v>
      </c>
      <c r="AC114" s="1575" t="n">
        <f aca="false">AA114*AB114/1000</f>
        <v>128.101751064267</v>
      </c>
      <c r="AD114" s="1576" t="n">
        <f aca="false">$I114</f>
        <v>2.45199315047208</v>
      </c>
      <c r="AE114" s="1566" t="n">
        <f aca="false">AC114/AD114</f>
        <v>52.2439269618691</v>
      </c>
      <c r="AF114" s="1567" t="str">
        <f aca="false">IF(MONTH($A114)=12,SUM(AE103:AE114)," ")</f>
        <v> </v>
      </c>
    </row>
    <row r="115" customFormat="false" ht="12.75" hidden="false" customHeight="false" outlineLevel="0" collapsed="false">
      <c r="A115" s="1538" t="n">
        <f aca="false">'Plant Operations'!A115</f>
        <v>39387</v>
      </c>
      <c r="C115" s="1574" t="n">
        <f aca="false">IF($A115&gt;Endyr,0,VLOOKUP($A115,Tariff_Table,Tariff!$D$33))</f>
        <v>8615.71284125379</v>
      </c>
      <c r="E115" s="1561" t="n">
        <f aca="false">VLOOKUP($A115,Tariff_Table,Tariff!$E$33)</f>
        <v>0.988999816557668</v>
      </c>
      <c r="F115" s="1575" t="n">
        <f aca="false">$C115*E115</f>
        <v>8520.93841951355</v>
      </c>
      <c r="G115" s="1565" t="n">
        <f aca="false">VLOOKUP($A115,Curves_Table,Escalation!$N$291)</f>
        <v>1.30389657610682</v>
      </c>
      <c r="H115" s="1575" t="n">
        <f aca="false">F115*G115</f>
        <v>11110.4224304207</v>
      </c>
      <c r="I115" s="1576" t="n">
        <f aca="false">IF(Assm!$L$74=0,VLOOKUP($A115,Curves_Table,Escalation!$D$291),VLOOKUP($A115,Curves_Table,Escalation!$E$291))</f>
        <v>2.45747743582601</v>
      </c>
      <c r="J115" s="1576" t="n">
        <f aca="false">IF($A115&lt;EE_Date,VLOOKUP($A115,Curves_Table,Escalation!$D$291),Exch)</f>
        <v>1.065</v>
      </c>
      <c r="K115" s="1577" t="n">
        <f aca="false">H115*I115/J115</f>
        <v>25637.1947654969</v>
      </c>
      <c r="M115" s="1561" t="n">
        <f aca="false">VLOOKUP($A115,Tariff_Table,Tariff!$F$33)</f>
        <v>0.011000183442332</v>
      </c>
      <c r="N115" s="1575" t="n">
        <f aca="false">$C115*M115</f>
        <v>94.7744217402472</v>
      </c>
      <c r="O115" s="1565" t="n">
        <f aca="false">VLOOKUP($A115,Curves_Table,Escalation!$R$291)</f>
        <v>2.25505985039734</v>
      </c>
      <c r="P115" s="1577" t="n">
        <f aca="false">N115*O115</f>
        <v>213.721993311056</v>
      </c>
      <c r="R115" s="1578" t="n">
        <f aca="false">SUM(K115,P115)</f>
        <v>25850.9167588079</v>
      </c>
      <c r="S115" s="1540" t="n">
        <f aca="false">'Plant Operations'!C115</f>
        <v>480</v>
      </c>
      <c r="T115" s="1575" t="n">
        <f aca="false">R115*S115/1000</f>
        <v>12408.4400442278</v>
      </c>
      <c r="U115" s="1576" t="n">
        <f aca="false">$I115</f>
        <v>2.45747743582601</v>
      </c>
      <c r="V115" s="394" t="n">
        <f aca="false">T115/U115</f>
        <v>5049.25899352441</v>
      </c>
      <c r="W115" s="1579" t="str">
        <f aca="false">IF(MONTH($A115)=12,SUM(V104:V115)," ")</f>
        <v> </v>
      </c>
      <c r="Y115" s="1580" t="n">
        <f aca="false">IF($A115&gt;Endyr,0,VLOOKUP($A115,Tariff_Table,Tariff!$J$33))</f>
        <v>0.19</v>
      </c>
      <c r="Z115" s="1576" t="n">
        <f aca="false">VLOOKUP($A115,Curves_Table,Escalation!$AH$291)</f>
        <v>2.25505985039734</v>
      </c>
      <c r="AA115" s="1576" t="n">
        <f aca="false">Y115*Z115</f>
        <v>0.428461371575495</v>
      </c>
      <c r="AB115" s="397" t="n">
        <f aca="false">'Plant Operations'!$I115+'Plant Operations'!$M115</f>
        <v>289336.32</v>
      </c>
      <c r="AC115" s="1575" t="n">
        <f aca="false">AA115*AB115/1000</f>
        <v>123.969436513806</v>
      </c>
      <c r="AD115" s="1576" t="n">
        <f aca="false">$I115</f>
        <v>2.45747743582601</v>
      </c>
      <c r="AE115" s="1566" t="n">
        <f aca="false">AC115/AD115</f>
        <v>50.445808659943</v>
      </c>
      <c r="AF115" s="1567" t="str">
        <f aca="false">IF(MONTH($A115)=12,SUM(AE104:AE115)," ")</f>
        <v> </v>
      </c>
    </row>
    <row r="116" customFormat="false" ht="12.75" hidden="false" customHeight="false" outlineLevel="0" collapsed="false">
      <c r="A116" s="1538" t="n">
        <f aca="false">'Plant Operations'!A116</f>
        <v>39417</v>
      </c>
      <c r="C116" s="1574" t="n">
        <f aca="false">IF($A116&gt;Endyr,0,VLOOKUP($A116,Tariff_Table,Tariff!$D$33))</f>
        <v>8615.71284125379</v>
      </c>
      <c r="E116" s="1561" t="n">
        <f aca="false">VLOOKUP($A116,Tariff_Table,Tariff!$E$33)</f>
        <v>0.988999816557668</v>
      </c>
      <c r="F116" s="1575" t="n">
        <f aca="false">$C116*E116</f>
        <v>8520.93841951355</v>
      </c>
      <c r="G116" s="1565" t="n">
        <f aca="false">VLOOKUP($A116,Curves_Table,Escalation!$N$291)</f>
        <v>1.30389657610682</v>
      </c>
      <c r="H116" s="1575" t="n">
        <f aca="false">F116*G116</f>
        <v>11110.4224304207</v>
      </c>
      <c r="I116" s="1576" t="n">
        <f aca="false">IF(Assm!$L$74=0,VLOOKUP($A116,Curves_Table,Escalation!$D$291),VLOOKUP($A116,Curves_Table,Escalation!$E$291))</f>
        <v>2.46297398768479</v>
      </c>
      <c r="J116" s="1576" t="n">
        <f aca="false">IF($A116&lt;EE_Date,VLOOKUP($A116,Curves_Table,Escalation!$D$291),Exch)</f>
        <v>1.065</v>
      </c>
      <c r="K116" s="1577" t="n">
        <f aca="false">H116*I116/J116</f>
        <v>25694.5365617989</v>
      </c>
      <c r="M116" s="1561" t="n">
        <f aca="false">VLOOKUP($A116,Tariff_Table,Tariff!$F$33)</f>
        <v>0.011000183442332</v>
      </c>
      <c r="N116" s="1575" t="n">
        <f aca="false">$C116*M116</f>
        <v>94.7744217402472</v>
      </c>
      <c r="O116" s="1565" t="n">
        <f aca="false">VLOOKUP($A116,Curves_Table,Escalation!$R$291)</f>
        <v>2.25505985039734</v>
      </c>
      <c r="P116" s="1577" t="n">
        <f aca="false">N116*O116</f>
        <v>213.721993311056</v>
      </c>
      <c r="R116" s="1578" t="n">
        <f aca="false">SUM(K116,P116)</f>
        <v>25908.25855511</v>
      </c>
      <c r="S116" s="1540" t="n">
        <f aca="false">'Plant Operations'!C116</f>
        <v>480</v>
      </c>
      <c r="T116" s="1575" t="n">
        <f aca="false">R116*S116/1000</f>
        <v>12435.9641064528</v>
      </c>
      <c r="U116" s="1576" t="n">
        <f aca="false">$I116</f>
        <v>2.46297398768479</v>
      </c>
      <c r="V116" s="394" t="n">
        <f aca="false">T116/U116</f>
        <v>5049.16583310841</v>
      </c>
      <c r="W116" s="1579" t="n">
        <f aca="false">IF(MONTH($A116)=12,SUM(V105:V116)," ")</f>
        <v>62075.797187337</v>
      </c>
      <c r="Y116" s="1580" t="n">
        <f aca="false">IF($A116&gt;Endyr,0,VLOOKUP($A116,Tariff_Table,Tariff!$J$33))</f>
        <v>0.19</v>
      </c>
      <c r="Z116" s="1576" t="n">
        <f aca="false">VLOOKUP($A116,Curves_Table,Escalation!$AH$291)</f>
        <v>2.25505985039734</v>
      </c>
      <c r="AA116" s="1576" t="n">
        <f aca="false">Y116*Z116</f>
        <v>0.428461371575495</v>
      </c>
      <c r="AB116" s="397" t="n">
        <f aca="false">'Plant Operations'!$I116+'Plant Operations'!$M116</f>
        <v>298980.864</v>
      </c>
      <c r="AC116" s="1575" t="n">
        <f aca="false">AA116*AB116/1000</f>
        <v>128.101751064267</v>
      </c>
      <c r="AD116" s="1576" t="n">
        <f aca="false">$I116</f>
        <v>2.46297398768479</v>
      </c>
      <c r="AE116" s="1566" t="n">
        <f aca="false">AC116/AD116</f>
        <v>52.0110044624073</v>
      </c>
      <c r="AF116" s="1567" t="n">
        <f aca="false">IF(MONTH($A116)=12,SUM(AE105:AE116)," ")</f>
        <v>605.593522641704</v>
      </c>
    </row>
    <row r="117" customFormat="false" ht="12.75" hidden="false" customHeight="false" outlineLevel="0" collapsed="false">
      <c r="A117" s="1538" t="n">
        <f aca="false">'Plant Operations'!A117</f>
        <v>39448</v>
      </c>
      <c r="C117" s="1574" t="n">
        <f aca="false">IF($A117&gt;Endyr,0,VLOOKUP($A117,Tariff_Table,Tariff!$D$33))</f>
        <v>8615.71284125379</v>
      </c>
      <c r="E117" s="1561" t="n">
        <f aca="false">VLOOKUP($A117,Tariff_Table,Tariff!$E$33)</f>
        <v>0.988999816557668</v>
      </c>
      <c r="F117" s="1575" t="n">
        <f aca="false">$C117*E117</f>
        <v>8520.93841951355</v>
      </c>
      <c r="G117" s="1565" t="n">
        <f aca="false">VLOOKUP($A117,Curves_Table,Escalation!$N$291)</f>
        <v>1.30389657610682</v>
      </c>
      <c r="H117" s="1575" t="n">
        <f aca="false">F117*G117</f>
        <v>11110.4224304207</v>
      </c>
      <c r="I117" s="1576" t="n">
        <f aca="false">IF(Assm!$L$74=0,VLOOKUP($A117,Curves_Table,Escalation!$D$291),VLOOKUP($A117,Curves_Table,Escalation!$E$291))</f>
        <v>2.4681826378384</v>
      </c>
      <c r="J117" s="1576" t="n">
        <f aca="false">IF($A117&lt;EE_Date,VLOOKUP($A117,Curves_Table,Escalation!$D$291),Exch)</f>
        <v>1.065</v>
      </c>
      <c r="K117" s="1577" t="n">
        <f aca="false">H117*I117/J117</f>
        <v>25748.8748749435</v>
      </c>
      <c r="M117" s="1561" t="n">
        <f aca="false">VLOOKUP($A117,Tariff_Table,Tariff!$F$33)</f>
        <v>0.011000183442332</v>
      </c>
      <c r="N117" s="1575" t="n">
        <f aca="false">$C117*M117</f>
        <v>94.7744217402472</v>
      </c>
      <c r="O117" s="1565" t="n">
        <f aca="false">VLOOKUP($A117,Curves_Table,Escalation!$R$291)</f>
        <v>2.25505985039734</v>
      </c>
      <c r="P117" s="1577" t="n">
        <f aca="false">N117*O117</f>
        <v>213.721993311056</v>
      </c>
      <c r="R117" s="1578" t="n">
        <f aca="false">SUM(K117,P117)</f>
        <v>25962.5968682545</v>
      </c>
      <c r="S117" s="1540" t="n">
        <f aca="false">'Plant Operations'!C117</f>
        <v>480</v>
      </c>
      <c r="T117" s="1575" t="n">
        <f aca="false">R117*S117/1000</f>
        <v>12462.0464967622</v>
      </c>
      <c r="U117" s="1576" t="n">
        <f aca="false">$I117</f>
        <v>2.4681826378384</v>
      </c>
      <c r="V117" s="394" t="n">
        <f aca="false">T117/U117</f>
        <v>5049.07793520347</v>
      </c>
      <c r="W117" s="1579" t="str">
        <f aca="false">IF(MONTH($A117)=12,SUM(V106:V117)," ")</f>
        <v> </v>
      </c>
      <c r="Y117" s="1580" t="n">
        <f aca="false">IF($A117&gt;Endyr,0,VLOOKUP($A117,Tariff_Table,Tariff!$J$33))</f>
        <v>0.19</v>
      </c>
      <c r="Z117" s="1576" t="n">
        <f aca="false">VLOOKUP($A117,Curves_Table,Escalation!$AH$291)</f>
        <v>2.25505985039734</v>
      </c>
      <c r="AA117" s="1576" t="n">
        <f aca="false">Y117*Z117</f>
        <v>0.428461371575495</v>
      </c>
      <c r="AB117" s="397" t="n">
        <f aca="false">'Plant Operations'!$I117+'Plant Operations'!$M117</f>
        <v>298980.864</v>
      </c>
      <c r="AC117" s="1575" t="n">
        <f aca="false">AA117*AB117/1000</f>
        <v>128.101751064267</v>
      </c>
      <c r="AD117" s="1576" t="n">
        <f aca="false">$I117</f>
        <v>2.4681826378384</v>
      </c>
      <c r="AE117" s="1566" t="n">
        <f aca="false">AC117/AD117</f>
        <v>51.9012447054794</v>
      </c>
      <c r="AF117" s="1567" t="str">
        <f aca="false">IF(MONTH($A117)=12,SUM(AE106:AE117)," ")</f>
        <v> </v>
      </c>
    </row>
    <row r="118" customFormat="false" ht="12.75" hidden="false" customHeight="false" outlineLevel="0" collapsed="false">
      <c r="A118" s="1538" t="n">
        <f aca="false">'Plant Operations'!A118</f>
        <v>39479</v>
      </c>
      <c r="C118" s="1574" t="n">
        <f aca="false">IF($A118&gt;Endyr,0,VLOOKUP($A118,Tariff_Table,Tariff!$D$33))</f>
        <v>8615.71284125379</v>
      </c>
      <c r="E118" s="1561" t="n">
        <f aca="false">VLOOKUP($A118,Tariff_Table,Tariff!$E$33)</f>
        <v>0.988999816557668</v>
      </c>
      <c r="F118" s="1575" t="n">
        <f aca="false">$C118*E118</f>
        <v>8520.93841951355</v>
      </c>
      <c r="G118" s="1565" t="n">
        <f aca="false">VLOOKUP($A118,Curves_Table,Escalation!$N$291)</f>
        <v>1.30389657610682</v>
      </c>
      <c r="H118" s="1575" t="n">
        <f aca="false">F118*G118</f>
        <v>11110.4224304207</v>
      </c>
      <c r="I118" s="1576" t="n">
        <f aca="false">IF(Assm!$L$74=0,VLOOKUP($A118,Curves_Table,Escalation!$D$291),VLOOKUP($A118,Curves_Table,Escalation!$E$291))</f>
        <v>2.47340230314547</v>
      </c>
      <c r="J118" s="1576" t="n">
        <f aca="false">IF($A118&lt;EE_Date,VLOOKUP($A118,Curves_Table,Escalation!$D$291),Exch)</f>
        <v>1.065</v>
      </c>
      <c r="K118" s="1577" t="n">
        <f aca="false">H118*I118/J118</f>
        <v>25803.3281017106</v>
      </c>
      <c r="M118" s="1561" t="n">
        <f aca="false">VLOOKUP($A118,Tariff_Table,Tariff!$F$33)</f>
        <v>0.011000183442332</v>
      </c>
      <c r="N118" s="1575" t="n">
        <f aca="false">$C118*M118</f>
        <v>94.7744217402472</v>
      </c>
      <c r="O118" s="1565" t="n">
        <f aca="false">VLOOKUP($A118,Curves_Table,Escalation!$R$291)</f>
        <v>2.25505985039734</v>
      </c>
      <c r="P118" s="1577" t="n">
        <f aca="false">N118*O118</f>
        <v>213.721993311056</v>
      </c>
      <c r="R118" s="1578" t="n">
        <f aca="false">SUM(K118,P118)</f>
        <v>26017.0500950216</v>
      </c>
      <c r="S118" s="1540" t="n">
        <f aca="false">'Plant Operations'!C118</f>
        <v>480</v>
      </c>
      <c r="T118" s="1575" t="n">
        <f aca="false">R118*S118/1000</f>
        <v>12488.1840456104</v>
      </c>
      <c r="U118" s="1576" t="n">
        <f aca="false">$I118</f>
        <v>2.47340230314547</v>
      </c>
      <c r="V118" s="394" t="n">
        <f aca="false">T118/U118</f>
        <v>5048.99022279106</v>
      </c>
      <c r="W118" s="1579" t="str">
        <f aca="false">IF(MONTH($A118)=12,SUM(V107:V118)," ")</f>
        <v> </v>
      </c>
      <c r="Y118" s="1580" t="n">
        <f aca="false">IF($A118&gt;Endyr,0,VLOOKUP($A118,Tariff_Table,Tariff!$J$33))</f>
        <v>0.19</v>
      </c>
      <c r="Z118" s="1576" t="n">
        <f aca="false">VLOOKUP($A118,Curves_Table,Escalation!$AH$291)</f>
        <v>2.25505985039734</v>
      </c>
      <c r="AA118" s="1576" t="n">
        <f aca="false">Y118*Z118</f>
        <v>0.428461371575495</v>
      </c>
      <c r="AB118" s="397" t="n">
        <f aca="false">'Plant Operations'!$I118+'Plant Operations'!$M118</f>
        <v>279691.776</v>
      </c>
      <c r="AC118" s="1575" t="n">
        <f aca="false">AA118*AB118/1000</f>
        <v>119.837121963346</v>
      </c>
      <c r="AD118" s="1576" t="n">
        <f aca="false">$I118</f>
        <v>2.47340230314547</v>
      </c>
      <c r="AE118" s="1566" t="n">
        <f aca="false">AC118/AD118</f>
        <v>48.4503155070839</v>
      </c>
      <c r="AF118" s="1567" t="str">
        <f aca="false">IF(MONTH($A118)=12,SUM(AE107:AE118)," ")</f>
        <v> </v>
      </c>
    </row>
    <row r="119" customFormat="false" ht="12.75" hidden="false" customHeight="false" outlineLevel="0" collapsed="false">
      <c r="A119" s="1538" t="n">
        <f aca="false">'Plant Operations'!A119</f>
        <v>39508</v>
      </c>
      <c r="C119" s="1574" t="n">
        <f aca="false">IF($A119&gt;Endyr,0,VLOOKUP($A119,Tariff_Table,Tariff!$D$33))</f>
        <v>8615.71284125379</v>
      </c>
      <c r="E119" s="1561" t="n">
        <f aca="false">VLOOKUP($A119,Tariff_Table,Tariff!$E$33)</f>
        <v>0.988999816557668</v>
      </c>
      <c r="F119" s="1575" t="n">
        <f aca="false">$C119*E119</f>
        <v>8520.93841951355</v>
      </c>
      <c r="G119" s="1565" t="n">
        <f aca="false">VLOOKUP($A119,Curves_Table,Escalation!$N$291)</f>
        <v>1.30389657610682</v>
      </c>
      <c r="H119" s="1575" t="n">
        <f aca="false">F119*G119</f>
        <v>11110.4224304207</v>
      </c>
      <c r="I119" s="1576" t="n">
        <f aca="false">IF(Assm!$L$74=0,VLOOKUP($A119,Curves_Table,Escalation!$D$291),VLOOKUP($A119,Curves_Table,Escalation!$E$291))</f>
        <v>2.47863300690063</v>
      </c>
      <c r="J119" s="1576" t="n">
        <f aca="false">IF($A119&lt;EE_Date,VLOOKUP($A119,Curves_Table,Escalation!$D$291),Exch)</f>
        <v>1.065</v>
      </c>
      <c r="K119" s="1577" t="n">
        <f aca="false">H119*I119/J119</f>
        <v>25857.8964851173</v>
      </c>
      <c r="M119" s="1561" t="n">
        <f aca="false">VLOOKUP($A119,Tariff_Table,Tariff!$F$33)</f>
        <v>0.011000183442332</v>
      </c>
      <c r="N119" s="1575" t="n">
        <f aca="false">$C119*M119</f>
        <v>94.7744217402472</v>
      </c>
      <c r="O119" s="1565" t="n">
        <f aca="false">VLOOKUP($A119,Curves_Table,Escalation!$R$291)</f>
        <v>2.25505985039734</v>
      </c>
      <c r="P119" s="1577" t="n">
        <f aca="false">N119*O119</f>
        <v>213.721993311056</v>
      </c>
      <c r="R119" s="1578" t="n">
        <f aca="false">SUM(K119,P119)</f>
        <v>26071.6184784284</v>
      </c>
      <c r="S119" s="1540" t="n">
        <f aca="false">'Plant Operations'!C119</f>
        <v>480</v>
      </c>
      <c r="T119" s="1575" t="n">
        <f aca="false">R119*S119/1000</f>
        <v>12514.3768696456</v>
      </c>
      <c r="U119" s="1576" t="n">
        <f aca="false">$I119</f>
        <v>2.47863300690063</v>
      </c>
      <c r="V119" s="394" t="n">
        <f aca="false">T119/U119</f>
        <v>5048.90269547973</v>
      </c>
      <c r="W119" s="1579" t="str">
        <f aca="false">IF(MONTH($A119)=12,SUM(V108:V119)," ")</f>
        <v> </v>
      </c>
      <c r="Y119" s="1580" t="n">
        <f aca="false">IF($A119&gt;Endyr,0,VLOOKUP($A119,Tariff_Table,Tariff!$J$33))</f>
        <v>0.19</v>
      </c>
      <c r="Z119" s="1576" t="n">
        <f aca="false">VLOOKUP($A119,Curves_Table,Escalation!$AH$291)</f>
        <v>2.25505985039734</v>
      </c>
      <c r="AA119" s="1576" t="n">
        <f aca="false">Y119*Z119</f>
        <v>0.428461371575495</v>
      </c>
      <c r="AB119" s="397" t="n">
        <f aca="false">'Plant Operations'!$I119+'Plant Operations'!$M119</f>
        <v>298980.864</v>
      </c>
      <c r="AC119" s="1575" t="n">
        <f aca="false">AA119*AB119/1000</f>
        <v>128.101751064267</v>
      </c>
      <c r="AD119" s="1576" t="n">
        <f aca="false">$I119</f>
        <v>2.47863300690063</v>
      </c>
      <c r="AE119" s="1566" t="n">
        <f aca="false">AC119/AD119</f>
        <v>51.6824195867744</v>
      </c>
      <c r="AF119" s="1567" t="str">
        <f aca="false">IF(MONTH($A119)=12,SUM(AE108:AE119)," ")</f>
        <v> </v>
      </c>
    </row>
    <row r="120" customFormat="false" ht="12.75" hidden="false" customHeight="false" outlineLevel="0" collapsed="false">
      <c r="A120" s="1538" t="n">
        <f aca="false">'Plant Operations'!A120</f>
        <v>39539</v>
      </c>
      <c r="C120" s="1574" t="n">
        <f aca="false">IF($A120&gt;Endyr,0,VLOOKUP($A120,Tariff_Table,Tariff!$D$33))</f>
        <v>8615.71284125379</v>
      </c>
      <c r="E120" s="1561" t="n">
        <f aca="false">VLOOKUP($A120,Tariff_Table,Tariff!$E$33)</f>
        <v>0.988999816557668</v>
      </c>
      <c r="F120" s="1575" t="n">
        <f aca="false">$C120*E120</f>
        <v>8520.93841951355</v>
      </c>
      <c r="G120" s="1565" t="n">
        <f aca="false">VLOOKUP($A120,Curves_Table,Escalation!$N$291)</f>
        <v>1.30389657610682</v>
      </c>
      <c r="H120" s="1575" t="n">
        <f aca="false">F120*G120</f>
        <v>11110.4224304207</v>
      </c>
      <c r="I120" s="1576" t="n">
        <f aca="false">IF(Assm!$L$74=0,VLOOKUP($A120,Curves_Table,Escalation!$D$291),VLOOKUP($A120,Curves_Table,Escalation!$E$291))</f>
        <v>2.48387477244777</v>
      </c>
      <c r="J120" s="1576" t="n">
        <f aca="false">IF($A120&lt;EE_Date,VLOOKUP($A120,Curves_Table,Escalation!$D$291),Exch)</f>
        <v>1.065</v>
      </c>
      <c r="K120" s="1577" t="n">
        <f aca="false">H120*I120/J120</f>
        <v>25912.5802686948</v>
      </c>
      <c r="M120" s="1561" t="n">
        <f aca="false">VLOOKUP($A120,Tariff_Table,Tariff!$F$33)</f>
        <v>0.011000183442332</v>
      </c>
      <c r="N120" s="1575" t="n">
        <f aca="false">$C120*M120</f>
        <v>94.7744217402472</v>
      </c>
      <c r="O120" s="1565" t="n">
        <f aca="false">VLOOKUP($A120,Curves_Table,Escalation!$R$291)</f>
        <v>2.25505985039734</v>
      </c>
      <c r="P120" s="1577" t="n">
        <f aca="false">N120*O120</f>
        <v>213.721993311056</v>
      </c>
      <c r="R120" s="1578" t="n">
        <f aca="false">SUM(K120,P120)</f>
        <v>26126.3022620058</v>
      </c>
      <c r="S120" s="1540" t="n">
        <f aca="false">'Plant Operations'!C120</f>
        <v>480</v>
      </c>
      <c r="T120" s="1575" t="n">
        <f aca="false">R120*S120/1000</f>
        <v>12540.6250857628</v>
      </c>
      <c r="U120" s="1576" t="n">
        <f aca="false">$I120</f>
        <v>2.48387477244777</v>
      </c>
      <c r="V120" s="394" t="n">
        <f aca="false">T120/U120</f>
        <v>5048.81535287886</v>
      </c>
      <c r="W120" s="1579" t="str">
        <f aca="false">IF(MONTH($A120)=12,SUM(V109:V120)," ")</f>
        <v> </v>
      </c>
      <c r="Y120" s="1580" t="n">
        <f aca="false">IF($A120&gt;Endyr,0,VLOOKUP($A120,Tariff_Table,Tariff!$J$33))</f>
        <v>0.19</v>
      </c>
      <c r="Z120" s="1576" t="n">
        <f aca="false">VLOOKUP($A120,Curves_Table,Escalation!$AH$291)</f>
        <v>2.25505985039734</v>
      </c>
      <c r="AA120" s="1576" t="n">
        <f aca="false">Y120*Z120</f>
        <v>0.428461371575495</v>
      </c>
      <c r="AB120" s="397" t="n">
        <f aca="false">'Plant Operations'!$I120+'Plant Operations'!$M120</f>
        <v>289336.32</v>
      </c>
      <c r="AC120" s="1575" t="n">
        <f aca="false">AA120*AB120/1000</f>
        <v>123.969436513806</v>
      </c>
      <c r="AD120" s="1576" t="n">
        <f aca="false">$I120</f>
        <v>2.48387477244777</v>
      </c>
      <c r="AE120" s="1566" t="n">
        <f aca="false">AC120/AD120</f>
        <v>49.9096966920111</v>
      </c>
      <c r="AF120" s="1567" t="str">
        <f aca="false">IF(MONTH($A120)=12,SUM(AE109:AE120)," ")</f>
        <v> </v>
      </c>
    </row>
    <row r="121" customFormat="false" ht="12.75" hidden="false" customHeight="false" outlineLevel="0" collapsed="false">
      <c r="A121" s="1538" t="n">
        <f aca="false">'Plant Operations'!A121</f>
        <v>39569</v>
      </c>
      <c r="C121" s="1574" t="n">
        <f aca="false">IF($A121&gt;Endyr,0,VLOOKUP($A121,Tariff_Table,Tariff!$D$33))</f>
        <v>7894.59320288363</v>
      </c>
      <c r="E121" s="1561" t="n">
        <f aca="false">VLOOKUP($A121,Tariff_Table,Tariff!$E$33)</f>
        <v>0.978835618562354</v>
      </c>
      <c r="F121" s="1575" t="n">
        <f aca="false">$C121*E121</f>
        <v>7727.50902104275</v>
      </c>
      <c r="G121" s="1565" t="n">
        <f aca="false">VLOOKUP($A121,Curves_Table,Escalation!$N$291)</f>
        <v>1.33877978058913</v>
      </c>
      <c r="H121" s="1575" t="n">
        <f aca="false">F121*G121</f>
        <v>10345.4328316921</v>
      </c>
      <c r="I121" s="1576" t="n">
        <f aca="false">IF(Assm!$L$74=0,VLOOKUP($A121,Curves_Table,Escalation!$D$291),VLOOKUP($A121,Curves_Table,Escalation!$E$291))</f>
        <v>2.48912762318016</v>
      </c>
      <c r="J121" s="1576" t="n">
        <f aca="false">IF($A121&lt;EE_Date,VLOOKUP($A121,Curves_Table,Escalation!$D$291),Exch)</f>
        <v>1.065</v>
      </c>
      <c r="K121" s="1577" t="n">
        <f aca="false">H121*I121/J121</f>
        <v>24179.4390940092</v>
      </c>
      <c r="M121" s="1561" t="n">
        <f aca="false">VLOOKUP($A121,Tariff_Table,Tariff!$F$33)</f>
        <v>0.0211643814376457</v>
      </c>
      <c r="N121" s="1575" t="n">
        <f aca="false">$C121*M121</f>
        <v>167.084181840874</v>
      </c>
      <c r="O121" s="1565" t="n">
        <f aca="false">VLOOKUP($A121,Curves_Table,Escalation!$R$291)</f>
        <v>2.42418933917714</v>
      </c>
      <c r="P121" s="1577" t="n">
        <f aca="false">N121*O121</f>
        <v>405.043692363781</v>
      </c>
      <c r="R121" s="1578" t="n">
        <f aca="false">SUM(K121,P121)</f>
        <v>24584.482786373</v>
      </c>
      <c r="S121" s="1540" t="n">
        <f aca="false">'Plant Operations'!C121</f>
        <v>480</v>
      </c>
      <c r="T121" s="1575" t="n">
        <f aca="false">R121*S121/1000</f>
        <v>11800.551737459</v>
      </c>
      <c r="U121" s="1576" t="n">
        <f aca="false">$I121</f>
        <v>2.48912762318016</v>
      </c>
      <c r="V121" s="394" t="n">
        <f aca="false">T121/U121</f>
        <v>4740.83836745277</v>
      </c>
      <c r="W121" s="1579" t="str">
        <f aca="false">IF(MONTH($A121)=12,SUM(V110:V121)," ")</f>
        <v> </v>
      </c>
      <c r="Y121" s="1580" t="n">
        <f aca="false">IF($A121&gt;Endyr,0,VLOOKUP($A121,Tariff_Table,Tariff!$J$33))</f>
        <v>0.19</v>
      </c>
      <c r="Z121" s="1576" t="n">
        <f aca="false">VLOOKUP($A121,Curves_Table,Escalation!$AH$291)</f>
        <v>2.42418933917714</v>
      </c>
      <c r="AA121" s="1576" t="n">
        <f aca="false">Y121*Z121</f>
        <v>0.460595974443657</v>
      </c>
      <c r="AB121" s="397" t="n">
        <f aca="false">'Plant Operations'!$I121+'Plant Operations'!$M121</f>
        <v>298980.864</v>
      </c>
      <c r="AC121" s="1575" t="n">
        <f aca="false">AA121*AB121/1000</f>
        <v>137.709382394087</v>
      </c>
      <c r="AD121" s="1576" t="n">
        <f aca="false">$I121</f>
        <v>2.48912762318016</v>
      </c>
      <c r="AE121" s="1566" t="n">
        <f aca="false">AC121/AD121</f>
        <v>55.3243558553041</v>
      </c>
      <c r="AF121" s="1567" t="str">
        <f aca="false">IF(MONTH($A121)=12,SUM(AE110:AE121)," ")</f>
        <v> </v>
      </c>
    </row>
    <row r="122" customFormat="false" ht="12.75" hidden="false" customHeight="false" outlineLevel="0" collapsed="false">
      <c r="A122" s="1538" t="n">
        <f aca="false">'Plant Operations'!A122</f>
        <v>39600</v>
      </c>
      <c r="C122" s="1574" t="n">
        <f aca="false">IF($A122&gt;Endyr,0,VLOOKUP($A122,Tariff_Table,Tariff!$D$33))</f>
        <v>7894.59320288363</v>
      </c>
      <c r="E122" s="1561" t="n">
        <f aca="false">VLOOKUP($A122,Tariff_Table,Tariff!$E$33)</f>
        <v>0.978835618562354</v>
      </c>
      <c r="F122" s="1575" t="n">
        <f aca="false">$C122*E122</f>
        <v>7727.50902104275</v>
      </c>
      <c r="G122" s="1565" t="n">
        <f aca="false">VLOOKUP($A122,Curves_Table,Escalation!$N$291)</f>
        <v>1.33877978058913</v>
      </c>
      <c r="H122" s="1575" t="n">
        <f aca="false">F122*G122</f>
        <v>10345.4328316921</v>
      </c>
      <c r="I122" s="1576" t="n">
        <f aca="false">IF(Assm!$L$74=0,VLOOKUP($A122,Curves_Table,Escalation!$D$291),VLOOKUP($A122,Curves_Table,Escalation!$E$291))</f>
        <v>2.49439158254055</v>
      </c>
      <c r="J122" s="1576" t="n">
        <f aca="false">IF($A122&lt;EE_Date,VLOOKUP($A122,Curves_Table,Escalation!$D$291),Exch)</f>
        <v>1.065</v>
      </c>
      <c r="K122" s="1577" t="n">
        <f aca="false">H122*I122/J122</f>
        <v>24230.5733080858</v>
      </c>
      <c r="M122" s="1561" t="n">
        <f aca="false">VLOOKUP($A122,Tariff_Table,Tariff!$F$33)</f>
        <v>0.0211643814376457</v>
      </c>
      <c r="N122" s="1575" t="n">
        <f aca="false">$C122*M122</f>
        <v>167.084181840874</v>
      </c>
      <c r="O122" s="1565" t="n">
        <f aca="false">VLOOKUP($A122,Curves_Table,Escalation!$R$291)</f>
        <v>2.42418933917714</v>
      </c>
      <c r="P122" s="1577" t="n">
        <f aca="false">N122*O122</f>
        <v>405.043692363781</v>
      </c>
      <c r="R122" s="1578" t="n">
        <f aca="false">SUM(K122,P122)</f>
        <v>24635.6170004496</v>
      </c>
      <c r="S122" s="1540" t="n">
        <f aca="false">'Plant Operations'!C122</f>
        <v>480</v>
      </c>
      <c r="T122" s="1575" t="n">
        <f aca="false">R122*S122/1000</f>
        <v>11825.0961602158</v>
      </c>
      <c r="U122" s="1576" t="n">
        <f aca="false">$I122</f>
        <v>2.49439158254055</v>
      </c>
      <c r="V122" s="394" t="n">
        <f aca="false">T122/U122</f>
        <v>4740.67353457468</v>
      </c>
      <c r="W122" s="1579" t="str">
        <f aca="false">IF(MONTH($A122)=12,SUM(V111:V122)," ")</f>
        <v> </v>
      </c>
      <c r="Y122" s="1580" t="n">
        <f aca="false">IF($A122&gt;Endyr,0,VLOOKUP($A122,Tariff_Table,Tariff!$J$33))</f>
        <v>0.19</v>
      </c>
      <c r="Z122" s="1576" t="n">
        <f aca="false">VLOOKUP($A122,Curves_Table,Escalation!$AH$291)</f>
        <v>2.42418933917714</v>
      </c>
      <c r="AA122" s="1576" t="n">
        <f aca="false">Y122*Z122</f>
        <v>0.460595974443657</v>
      </c>
      <c r="AB122" s="397" t="n">
        <f aca="false">'Plant Operations'!$I122+'Plant Operations'!$M122</f>
        <v>289336.32</v>
      </c>
      <c r="AC122" s="1575" t="n">
        <f aca="false">AA122*AB122/1000</f>
        <v>133.267144252342</v>
      </c>
      <c r="AD122" s="1576" t="n">
        <f aca="false">$I122</f>
        <v>2.49439158254055</v>
      </c>
      <c r="AE122" s="1566" t="n">
        <f aca="false">AC122/AD122</f>
        <v>53.4267134258883</v>
      </c>
      <c r="AF122" s="1567" t="str">
        <f aca="false">IF(MONTH($A122)=12,SUM(AE111:AE122)," ")</f>
        <v> </v>
      </c>
    </row>
    <row r="123" customFormat="false" ht="12.75" hidden="false" customHeight="false" outlineLevel="0" collapsed="false">
      <c r="A123" s="1538" t="n">
        <f aca="false">'Plant Operations'!A123</f>
        <v>39630</v>
      </c>
      <c r="C123" s="1574" t="n">
        <f aca="false">IF($A123&gt;Endyr,0,VLOOKUP($A123,Tariff_Table,Tariff!$D$33))</f>
        <v>7894.59320288363</v>
      </c>
      <c r="E123" s="1561" t="n">
        <f aca="false">VLOOKUP($A123,Tariff_Table,Tariff!$E$33)</f>
        <v>0.978835618562354</v>
      </c>
      <c r="F123" s="1575" t="n">
        <f aca="false">$C123*E123</f>
        <v>7727.50902104275</v>
      </c>
      <c r="G123" s="1565" t="n">
        <f aca="false">VLOOKUP($A123,Curves_Table,Escalation!$N$291)</f>
        <v>1.33877978058913</v>
      </c>
      <c r="H123" s="1575" t="n">
        <f aca="false">F123*G123</f>
        <v>10345.4328316921</v>
      </c>
      <c r="I123" s="1576" t="n">
        <f aca="false">IF(Assm!$L$74=0,VLOOKUP($A123,Curves_Table,Escalation!$D$291),VLOOKUP($A123,Curves_Table,Escalation!$E$291))</f>
        <v>2.49966667402123</v>
      </c>
      <c r="J123" s="1576" t="n">
        <f aca="false">IF($A123&lt;EE_Date,VLOOKUP($A123,Curves_Table,Escalation!$D$291),Exch)</f>
        <v>1.065</v>
      </c>
      <c r="K123" s="1577" t="n">
        <f aca="false">H123*I123/J123</f>
        <v>24281.8156598177</v>
      </c>
      <c r="M123" s="1561" t="n">
        <f aca="false">VLOOKUP($A123,Tariff_Table,Tariff!$F$33)</f>
        <v>0.0211643814376457</v>
      </c>
      <c r="N123" s="1575" t="n">
        <f aca="false">$C123*M123</f>
        <v>167.084181840874</v>
      </c>
      <c r="O123" s="1565" t="n">
        <f aca="false">VLOOKUP($A123,Curves_Table,Escalation!$R$291)</f>
        <v>2.42418933917714</v>
      </c>
      <c r="P123" s="1577" t="n">
        <f aca="false">N123*O123</f>
        <v>405.043692363781</v>
      </c>
      <c r="R123" s="1578" t="n">
        <f aca="false">SUM(K123,P123)</f>
        <v>24686.8593521815</v>
      </c>
      <c r="S123" s="1540" t="n">
        <f aca="false">'Plant Operations'!C123</f>
        <v>480</v>
      </c>
      <c r="T123" s="1575" t="n">
        <f aca="false">R123*S123/1000</f>
        <v>11849.6924890471</v>
      </c>
      <c r="U123" s="1576" t="n">
        <f aca="false">$I123</f>
        <v>2.49966667402123</v>
      </c>
      <c r="V123" s="394" t="n">
        <f aca="false">T123/U123</f>
        <v>4740.50904954637</v>
      </c>
      <c r="W123" s="1579" t="str">
        <f aca="false">IF(MONTH($A123)=12,SUM(V112:V123)," ")</f>
        <v> </v>
      </c>
      <c r="Y123" s="1580" t="n">
        <f aca="false">IF($A123&gt;Endyr,0,VLOOKUP($A123,Tariff_Table,Tariff!$J$33))</f>
        <v>0.19</v>
      </c>
      <c r="Z123" s="1576" t="n">
        <f aca="false">VLOOKUP($A123,Curves_Table,Escalation!$AH$291)</f>
        <v>2.42418933917714</v>
      </c>
      <c r="AA123" s="1576" t="n">
        <f aca="false">Y123*Z123</f>
        <v>0.460595974443657</v>
      </c>
      <c r="AB123" s="397" t="n">
        <f aca="false">'Plant Operations'!$I123+'Plant Operations'!$M123</f>
        <v>298980.864</v>
      </c>
      <c r="AC123" s="1575" t="n">
        <f aca="false">AA123*AB123/1000</f>
        <v>137.709382394087</v>
      </c>
      <c r="AD123" s="1576" t="n">
        <f aca="false">$I123</f>
        <v>2.49966667402123</v>
      </c>
      <c r="AE123" s="1566" t="n">
        <f aca="false">AC123/AD123</f>
        <v>55.0910982753363</v>
      </c>
      <c r="AF123" s="1567" t="str">
        <f aca="false">IF(MONTH($A123)=12,SUM(AE112:AE123)," ")</f>
        <v> </v>
      </c>
    </row>
    <row r="124" customFormat="false" ht="12.75" hidden="false" customHeight="false" outlineLevel="0" collapsed="false">
      <c r="A124" s="1538" t="n">
        <f aca="false">'Plant Operations'!A124</f>
        <v>39661</v>
      </c>
      <c r="C124" s="1574" t="n">
        <f aca="false">IF($A124&gt;Endyr,0,VLOOKUP($A124,Tariff_Table,Tariff!$D$33))</f>
        <v>7894.59320288363</v>
      </c>
      <c r="E124" s="1561" t="n">
        <f aca="false">VLOOKUP($A124,Tariff_Table,Tariff!$E$33)</f>
        <v>0.978835618562354</v>
      </c>
      <c r="F124" s="1575" t="n">
        <f aca="false">$C124*E124</f>
        <v>7727.50902104275</v>
      </c>
      <c r="G124" s="1565" t="n">
        <f aca="false">VLOOKUP($A124,Curves_Table,Escalation!$N$291)</f>
        <v>1.33877978058913</v>
      </c>
      <c r="H124" s="1575" t="n">
        <f aca="false">F124*G124</f>
        <v>10345.4328316921</v>
      </c>
      <c r="I124" s="1576" t="n">
        <f aca="false">IF(Assm!$L$74=0,VLOOKUP($A124,Curves_Table,Escalation!$D$291),VLOOKUP($A124,Curves_Table,Escalation!$E$291))</f>
        <v>2.50495292116421</v>
      </c>
      <c r="J124" s="1576" t="n">
        <f aca="false">IF($A124&lt;EE_Date,VLOOKUP($A124,Curves_Table,Escalation!$D$291),Exch)</f>
        <v>1.065</v>
      </c>
      <c r="K124" s="1577" t="n">
        <f aca="false">H124*I124/J124</f>
        <v>24333.1663778923</v>
      </c>
      <c r="M124" s="1561" t="n">
        <f aca="false">VLOOKUP($A124,Tariff_Table,Tariff!$F$33)</f>
        <v>0.0211643814376457</v>
      </c>
      <c r="N124" s="1575" t="n">
        <f aca="false">$C124*M124</f>
        <v>167.084181840874</v>
      </c>
      <c r="O124" s="1565" t="n">
        <f aca="false">VLOOKUP($A124,Curves_Table,Escalation!$R$291)</f>
        <v>2.42418933917714</v>
      </c>
      <c r="P124" s="1577" t="n">
        <f aca="false">N124*O124</f>
        <v>405.043692363781</v>
      </c>
      <c r="R124" s="1578" t="n">
        <f aca="false">SUM(K124,P124)</f>
        <v>24738.210070256</v>
      </c>
      <c r="S124" s="1540" t="n">
        <f aca="false">'Plant Operations'!C124</f>
        <v>480</v>
      </c>
      <c r="T124" s="1575" t="n">
        <f aca="false">R124*S124/1000</f>
        <v>11874.3408337229</v>
      </c>
      <c r="U124" s="1576" t="n">
        <f aca="false">$I124</f>
        <v>2.50495292116421</v>
      </c>
      <c r="V124" s="394" t="n">
        <f aca="false">T124/U124</f>
        <v>4740.34491163377</v>
      </c>
      <c r="W124" s="1579" t="str">
        <f aca="false">IF(MONTH($A124)=12,SUM(V113:V124)," ")</f>
        <v> </v>
      </c>
      <c r="Y124" s="1580" t="n">
        <f aca="false">IF($A124&gt;Endyr,0,VLOOKUP($A124,Tariff_Table,Tariff!$J$33))</f>
        <v>0.19</v>
      </c>
      <c r="Z124" s="1576" t="n">
        <f aca="false">VLOOKUP($A124,Curves_Table,Escalation!$AH$291)</f>
        <v>2.42418933917714</v>
      </c>
      <c r="AA124" s="1576" t="n">
        <f aca="false">Y124*Z124</f>
        <v>0.460595974443657</v>
      </c>
      <c r="AB124" s="397" t="n">
        <f aca="false">'Plant Operations'!$I124+'Plant Operations'!$M124</f>
        <v>298980.864</v>
      </c>
      <c r="AC124" s="1575" t="n">
        <f aca="false">AA124*AB124/1000</f>
        <v>137.709382394087</v>
      </c>
      <c r="AD124" s="1576" t="n">
        <f aca="false">$I124</f>
        <v>2.50495292116421</v>
      </c>
      <c r="AE124" s="1566" t="n">
        <f aca="false">AC124/AD124</f>
        <v>54.9748385411109</v>
      </c>
      <c r="AF124" s="1567" t="str">
        <f aca="false">IF(MONTH($A124)=12,SUM(AE113:AE124)," ")</f>
        <v> </v>
      </c>
    </row>
    <row r="125" customFormat="false" ht="12.75" hidden="false" customHeight="false" outlineLevel="0" collapsed="false">
      <c r="A125" s="1538" t="n">
        <f aca="false">'Plant Operations'!A125</f>
        <v>39692</v>
      </c>
      <c r="C125" s="1574" t="n">
        <f aca="false">IF($A125&gt;Endyr,0,VLOOKUP($A125,Tariff_Table,Tariff!$D$33))</f>
        <v>7894.59320288363</v>
      </c>
      <c r="E125" s="1561" t="n">
        <f aca="false">VLOOKUP($A125,Tariff_Table,Tariff!$E$33)</f>
        <v>0.978835618562354</v>
      </c>
      <c r="F125" s="1575" t="n">
        <f aca="false">$C125*E125</f>
        <v>7727.50902104275</v>
      </c>
      <c r="G125" s="1565" t="n">
        <f aca="false">VLOOKUP($A125,Curves_Table,Escalation!$N$291)</f>
        <v>1.33877978058913</v>
      </c>
      <c r="H125" s="1575" t="n">
        <f aca="false">F125*G125</f>
        <v>10345.4328316921</v>
      </c>
      <c r="I125" s="1576" t="n">
        <f aca="false">IF(Assm!$L$74=0,VLOOKUP($A125,Curves_Table,Escalation!$D$291),VLOOKUP($A125,Curves_Table,Escalation!$E$291))</f>
        <v>2.51025034756126</v>
      </c>
      <c r="J125" s="1576" t="n">
        <f aca="false">IF($A125&lt;EE_Date,VLOOKUP($A125,Curves_Table,Escalation!$D$291),Exch)</f>
        <v>1.065</v>
      </c>
      <c r="K125" s="1577" t="n">
        <f aca="false">H125*I125/J125</f>
        <v>24384.6256914806</v>
      </c>
      <c r="M125" s="1561" t="n">
        <f aca="false">VLOOKUP($A125,Tariff_Table,Tariff!$F$33)</f>
        <v>0.0211643814376457</v>
      </c>
      <c r="N125" s="1575" t="n">
        <f aca="false">$C125*M125</f>
        <v>167.084181840874</v>
      </c>
      <c r="O125" s="1565" t="n">
        <f aca="false">VLOOKUP($A125,Curves_Table,Escalation!$R$291)</f>
        <v>2.42418933917714</v>
      </c>
      <c r="P125" s="1577" t="n">
        <f aca="false">N125*O125</f>
        <v>405.043692363781</v>
      </c>
      <c r="R125" s="1578" t="n">
        <f aca="false">SUM(K125,P125)</f>
        <v>24789.6693838444</v>
      </c>
      <c r="S125" s="1540" t="n">
        <f aca="false">'Plant Operations'!C125</f>
        <v>480</v>
      </c>
      <c r="T125" s="1575" t="n">
        <f aca="false">R125*S125/1000</f>
        <v>11899.0413042453</v>
      </c>
      <c r="U125" s="1576" t="n">
        <f aca="false">$I125</f>
        <v>2.51025034756126</v>
      </c>
      <c r="V125" s="394" t="n">
        <f aca="false">T125/U125</f>
        <v>4740.18112010435</v>
      </c>
      <c r="W125" s="1579" t="str">
        <f aca="false">IF(MONTH($A125)=12,SUM(V114:V125)," ")</f>
        <v> </v>
      </c>
      <c r="Y125" s="1580" t="n">
        <f aca="false">IF($A125&gt;Endyr,0,VLOOKUP($A125,Tariff_Table,Tariff!$J$33))</f>
        <v>0.19</v>
      </c>
      <c r="Z125" s="1576" t="n">
        <f aca="false">VLOOKUP($A125,Curves_Table,Escalation!$AH$291)</f>
        <v>2.42418933917714</v>
      </c>
      <c r="AA125" s="1576" t="n">
        <f aca="false">Y125*Z125</f>
        <v>0.460595974443657</v>
      </c>
      <c r="AB125" s="397" t="n">
        <f aca="false">'Plant Operations'!$I125+'Plant Operations'!$M125</f>
        <v>289336.32</v>
      </c>
      <c r="AC125" s="1575" t="n">
        <f aca="false">AA125*AB125/1000</f>
        <v>133.267144252342</v>
      </c>
      <c r="AD125" s="1576" t="n">
        <f aca="false">$I125</f>
        <v>2.51025034756126</v>
      </c>
      <c r="AE125" s="1566" t="n">
        <f aca="false">AC125/AD125</f>
        <v>53.0891846631203</v>
      </c>
      <c r="AF125" s="1567" t="str">
        <f aca="false">IF(MONTH($A125)=12,SUM(AE114:AE125)," ")</f>
        <v> </v>
      </c>
    </row>
    <row r="126" customFormat="false" ht="12.75" hidden="false" customHeight="false" outlineLevel="0" collapsed="false">
      <c r="A126" s="1538" t="n">
        <f aca="false">'Plant Operations'!A126</f>
        <v>39722</v>
      </c>
      <c r="C126" s="1574" t="n">
        <f aca="false">IF($A126&gt;Endyr,0,VLOOKUP($A126,Tariff_Table,Tariff!$D$33))</f>
        <v>7894.59320288363</v>
      </c>
      <c r="E126" s="1561" t="n">
        <f aca="false">VLOOKUP($A126,Tariff_Table,Tariff!$E$33)</f>
        <v>0.978835618562354</v>
      </c>
      <c r="F126" s="1575" t="n">
        <f aca="false">$C126*E126</f>
        <v>7727.50902104275</v>
      </c>
      <c r="G126" s="1565" t="n">
        <f aca="false">VLOOKUP($A126,Curves_Table,Escalation!$N$291)</f>
        <v>1.33877978058913</v>
      </c>
      <c r="H126" s="1575" t="n">
        <f aca="false">F126*G126</f>
        <v>10345.4328316921</v>
      </c>
      <c r="I126" s="1576" t="n">
        <f aca="false">IF(Assm!$L$74=0,VLOOKUP($A126,Curves_Table,Escalation!$D$291),VLOOKUP($A126,Curves_Table,Escalation!$E$291))</f>
        <v>2.51555897685407</v>
      </c>
      <c r="J126" s="1576" t="n">
        <f aca="false">IF($A126&lt;EE_Date,VLOOKUP($A126,Curves_Table,Escalation!$D$291),Exch)</f>
        <v>1.065</v>
      </c>
      <c r="K126" s="1577" t="n">
        <f aca="false">H126*I126/J126</f>
        <v>24436.1938302384</v>
      </c>
      <c r="M126" s="1561" t="n">
        <f aca="false">VLOOKUP($A126,Tariff_Table,Tariff!$F$33)</f>
        <v>0.0211643814376457</v>
      </c>
      <c r="N126" s="1575" t="n">
        <f aca="false">$C126*M126</f>
        <v>167.084181840874</v>
      </c>
      <c r="O126" s="1565" t="n">
        <f aca="false">VLOOKUP($A126,Curves_Table,Escalation!$R$291)</f>
        <v>2.42418933917714</v>
      </c>
      <c r="P126" s="1577" t="n">
        <f aca="false">N126*O126</f>
        <v>405.043692363781</v>
      </c>
      <c r="R126" s="1578" t="n">
        <f aca="false">SUM(K126,P126)</f>
        <v>24841.2375226022</v>
      </c>
      <c r="S126" s="1540" t="n">
        <f aca="false">'Plant Operations'!C126</f>
        <v>480</v>
      </c>
      <c r="T126" s="1575" t="n">
        <f aca="false">R126*S126/1000</f>
        <v>11923.7940108491</v>
      </c>
      <c r="U126" s="1576" t="n">
        <f aca="false">$I126</f>
        <v>2.51555897685407</v>
      </c>
      <c r="V126" s="394" t="n">
        <f aca="false">T126/U126</f>
        <v>4740.01767422715</v>
      </c>
      <c r="W126" s="1579" t="str">
        <f aca="false">IF(MONTH($A126)=12,SUM(V115:V126)," ")</f>
        <v> </v>
      </c>
      <c r="Y126" s="1580" t="n">
        <f aca="false">IF($A126&gt;Endyr,0,VLOOKUP($A126,Tariff_Table,Tariff!$J$33))</f>
        <v>0.19</v>
      </c>
      <c r="Z126" s="1576" t="n">
        <f aca="false">VLOOKUP($A126,Curves_Table,Escalation!$AH$291)</f>
        <v>2.42418933917714</v>
      </c>
      <c r="AA126" s="1576" t="n">
        <f aca="false">Y126*Z126</f>
        <v>0.460595974443657</v>
      </c>
      <c r="AB126" s="397" t="n">
        <f aca="false">'Plant Operations'!$I126+'Plant Operations'!$M126</f>
        <v>298980.864</v>
      </c>
      <c r="AC126" s="1575" t="n">
        <f aca="false">AA126*AB126/1000</f>
        <v>137.709382394087</v>
      </c>
      <c r="AD126" s="1576" t="n">
        <f aca="false">$I126</f>
        <v>2.51555897685407</v>
      </c>
      <c r="AE126" s="1566" t="n">
        <f aca="false">AC126/AD126</f>
        <v>54.7430545899204</v>
      </c>
      <c r="AF126" s="1567" t="str">
        <f aca="false">IF(MONTH($A126)=12,SUM(AE115:AE126)," ")</f>
        <v> </v>
      </c>
    </row>
    <row r="127" customFormat="false" ht="12.75" hidden="false" customHeight="false" outlineLevel="0" collapsed="false">
      <c r="A127" s="1538" t="n">
        <f aca="false">'Plant Operations'!A127</f>
        <v>39753</v>
      </c>
      <c r="C127" s="1574" t="n">
        <f aca="false">IF($A127&gt;Endyr,0,VLOOKUP($A127,Tariff_Table,Tariff!$D$33))</f>
        <v>7894.59320288363</v>
      </c>
      <c r="E127" s="1561" t="n">
        <f aca="false">VLOOKUP($A127,Tariff_Table,Tariff!$E$33)</f>
        <v>0.978835618562354</v>
      </c>
      <c r="F127" s="1575" t="n">
        <f aca="false">$C127*E127</f>
        <v>7727.50902104275</v>
      </c>
      <c r="G127" s="1565" t="n">
        <f aca="false">VLOOKUP($A127,Curves_Table,Escalation!$N$291)</f>
        <v>1.33877978058913</v>
      </c>
      <c r="H127" s="1575" t="n">
        <f aca="false">F127*G127</f>
        <v>10345.4328316921</v>
      </c>
      <c r="I127" s="1576" t="n">
        <f aca="false">IF(Assm!$L$74=0,VLOOKUP($A127,Curves_Table,Escalation!$D$291),VLOOKUP($A127,Curves_Table,Escalation!$E$291))</f>
        <v>2.52087883273429</v>
      </c>
      <c r="J127" s="1576" t="n">
        <f aca="false">IF($A127&lt;EE_Date,VLOOKUP($A127,Curves_Table,Escalation!$D$291),Exch)</f>
        <v>1.065</v>
      </c>
      <c r="K127" s="1577" t="n">
        <f aca="false">H127*I127/J127</f>
        <v>24487.8710243071</v>
      </c>
      <c r="M127" s="1561" t="n">
        <f aca="false">VLOOKUP($A127,Tariff_Table,Tariff!$F$33)</f>
        <v>0.0211643814376457</v>
      </c>
      <c r="N127" s="1575" t="n">
        <f aca="false">$C127*M127</f>
        <v>167.084181840874</v>
      </c>
      <c r="O127" s="1565" t="n">
        <f aca="false">VLOOKUP($A127,Curves_Table,Escalation!$R$291)</f>
        <v>2.42418933917714</v>
      </c>
      <c r="P127" s="1577" t="n">
        <f aca="false">N127*O127</f>
        <v>405.043692363781</v>
      </c>
      <c r="R127" s="1578" t="n">
        <f aca="false">SUM(K127,P127)</f>
        <v>24892.9147166709</v>
      </c>
      <c r="S127" s="1540" t="n">
        <f aca="false">'Plant Operations'!C127</f>
        <v>480</v>
      </c>
      <c r="T127" s="1575" t="n">
        <f aca="false">R127*S127/1000</f>
        <v>11948.599064002</v>
      </c>
      <c r="U127" s="1576" t="n">
        <f aca="false">$I127</f>
        <v>2.52087883273429</v>
      </c>
      <c r="V127" s="394" t="n">
        <f aca="false">T127/U127</f>
        <v>4739.85457327271</v>
      </c>
      <c r="W127" s="1579" t="str">
        <f aca="false">IF(MONTH($A127)=12,SUM(V116:V127)," ")</f>
        <v> </v>
      </c>
      <c r="Y127" s="1580" t="n">
        <f aca="false">IF($A127&gt;Endyr,0,VLOOKUP($A127,Tariff_Table,Tariff!$J$33))</f>
        <v>0.19</v>
      </c>
      <c r="Z127" s="1576" t="n">
        <f aca="false">VLOOKUP($A127,Curves_Table,Escalation!$AH$291)</f>
        <v>2.42418933917714</v>
      </c>
      <c r="AA127" s="1576" t="n">
        <f aca="false">Y127*Z127</f>
        <v>0.460595974443657</v>
      </c>
      <c r="AB127" s="397" t="n">
        <f aca="false">'Plant Operations'!$I127+'Plant Operations'!$M127</f>
        <v>289336.32</v>
      </c>
      <c r="AC127" s="1575" t="n">
        <f aca="false">AA127*AB127/1000</f>
        <v>133.267144252342</v>
      </c>
      <c r="AD127" s="1576" t="n">
        <f aca="false">$I127</f>
        <v>2.52087883273429</v>
      </c>
      <c r="AE127" s="1566" t="n">
        <f aca="false">AC127/AD127</f>
        <v>52.8653509727766</v>
      </c>
      <c r="AF127" s="1567" t="str">
        <f aca="false">IF(MONTH($A127)=12,SUM(AE116:AE127)," ")</f>
        <v> </v>
      </c>
    </row>
    <row r="128" customFormat="false" ht="12.75" hidden="false" customHeight="false" outlineLevel="0" collapsed="false">
      <c r="A128" s="1538" t="n">
        <f aca="false">'Plant Operations'!A128</f>
        <v>39783</v>
      </c>
      <c r="C128" s="1574" t="n">
        <f aca="false">IF($A128&gt;Endyr,0,VLOOKUP($A128,Tariff_Table,Tariff!$D$33))</f>
        <v>7894.59320288363</v>
      </c>
      <c r="E128" s="1561" t="n">
        <f aca="false">VLOOKUP($A128,Tariff_Table,Tariff!$E$33)</f>
        <v>0.978835618562354</v>
      </c>
      <c r="F128" s="1575" t="n">
        <f aca="false">$C128*E128</f>
        <v>7727.50902104275</v>
      </c>
      <c r="G128" s="1565" t="n">
        <f aca="false">VLOOKUP($A128,Curves_Table,Escalation!$N$291)</f>
        <v>1.33877978058913</v>
      </c>
      <c r="H128" s="1575" t="n">
        <f aca="false">F128*G128</f>
        <v>10345.4328316921</v>
      </c>
      <c r="I128" s="1576" t="n">
        <f aca="false">IF(Assm!$L$74=0,VLOOKUP($A128,Curves_Table,Escalation!$D$291),VLOOKUP($A128,Curves_Table,Escalation!$E$291))</f>
        <v>2.52620993894371</v>
      </c>
      <c r="J128" s="1576" t="n">
        <f aca="false">IF($A128&lt;EE_Date,VLOOKUP($A128,Curves_Table,Escalation!$D$291),Exch)</f>
        <v>1.065</v>
      </c>
      <c r="K128" s="1577" t="n">
        <f aca="false">H128*I128/J128</f>
        <v>24539.6575043147</v>
      </c>
      <c r="M128" s="1561" t="n">
        <f aca="false">VLOOKUP($A128,Tariff_Table,Tariff!$F$33)</f>
        <v>0.0211643814376457</v>
      </c>
      <c r="N128" s="1575" t="n">
        <f aca="false">$C128*M128</f>
        <v>167.084181840874</v>
      </c>
      <c r="O128" s="1565" t="n">
        <f aca="false">VLOOKUP($A128,Curves_Table,Escalation!$R$291)</f>
        <v>2.42418933917714</v>
      </c>
      <c r="P128" s="1577" t="n">
        <f aca="false">N128*O128</f>
        <v>405.043692363781</v>
      </c>
      <c r="R128" s="1578" t="n">
        <f aca="false">SUM(K128,P128)</f>
        <v>24944.7011966785</v>
      </c>
      <c r="S128" s="1540" t="n">
        <f aca="false">'Plant Operations'!C128</f>
        <v>480</v>
      </c>
      <c r="T128" s="1575" t="n">
        <f aca="false">R128*S128/1000</f>
        <v>11973.4565744057</v>
      </c>
      <c r="U128" s="1576" t="n">
        <f aca="false">$I128</f>
        <v>2.52620993894371</v>
      </c>
      <c r="V128" s="394" t="n">
        <f aca="false">T128/U128</f>
        <v>4739.69181651315</v>
      </c>
      <c r="W128" s="1579" t="n">
        <f aca="false">IF(MONTH($A128)=12,SUM(V117:V128)," ")</f>
        <v>58117.8972536781</v>
      </c>
      <c r="Y128" s="1580" t="n">
        <f aca="false">IF($A128&gt;Endyr,0,VLOOKUP($A128,Tariff_Table,Tariff!$J$33))</f>
        <v>0.19</v>
      </c>
      <c r="Z128" s="1576" t="n">
        <f aca="false">VLOOKUP($A128,Curves_Table,Escalation!$AH$291)</f>
        <v>2.42418933917714</v>
      </c>
      <c r="AA128" s="1576" t="n">
        <f aca="false">Y128*Z128</f>
        <v>0.460595974443657</v>
      </c>
      <c r="AB128" s="397" t="n">
        <f aca="false">'Plant Operations'!$I128+'Plant Operations'!$M128</f>
        <v>298980.864</v>
      </c>
      <c r="AC128" s="1575" t="n">
        <f aca="false">AA128*AB128/1000</f>
        <v>137.709382394087</v>
      </c>
      <c r="AD128" s="1576" t="n">
        <f aca="false">$I128</f>
        <v>2.52620993894371</v>
      </c>
      <c r="AE128" s="1566" t="n">
        <f aca="false">AC128/AD128</f>
        <v>54.5122478821643</v>
      </c>
      <c r="AF128" s="1567" t="n">
        <f aca="false">IF(MONTH($A128)=12,SUM(AE117:AE128)," ")</f>
        <v>635.97052069697</v>
      </c>
    </row>
    <row r="129" customFormat="false" ht="12.75" hidden="false" customHeight="false" outlineLevel="0" collapsed="false">
      <c r="A129" s="1538" t="n">
        <f aca="false">'Plant Operations'!A129</f>
        <v>39814</v>
      </c>
      <c r="C129" s="1574" t="n">
        <f aca="false">IF($A129&gt;Endyr,0,VLOOKUP($A129,Tariff_Table,Tariff!$D$33))</f>
        <v>7894.59320288363</v>
      </c>
      <c r="E129" s="1561" t="n">
        <f aca="false">VLOOKUP($A129,Tariff_Table,Tariff!$E$33)</f>
        <v>0.978835618562354</v>
      </c>
      <c r="F129" s="1575" t="n">
        <f aca="false">$C129*E129</f>
        <v>7727.50902104275</v>
      </c>
      <c r="G129" s="1565" t="n">
        <f aca="false">VLOOKUP($A129,Curves_Table,Escalation!$N$291)</f>
        <v>1.33877978058913</v>
      </c>
      <c r="H129" s="1575" t="n">
        <f aca="false">F129*G129</f>
        <v>10345.4328316921</v>
      </c>
      <c r="I129" s="1576" t="n">
        <f aca="false">IF(Assm!$L$74=0,VLOOKUP($A129,Curves_Table,Escalation!$D$291),VLOOKUP($A129,Curves_Table,Escalation!$E$291))</f>
        <v>2.53141351780118</v>
      </c>
      <c r="J129" s="1576" t="n">
        <f aca="false">IF($A129&lt;EE_Date,VLOOKUP($A129,Curves_Table,Escalation!$D$291),Exch)</f>
        <v>1.065</v>
      </c>
      <c r="K129" s="1577" t="n">
        <f aca="false">H129*I129/J129</f>
        <v>24590.2051808916</v>
      </c>
      <c r="M129" s="1561" t="n">
        <f aca="false">VLOOKUP($A129,Tariff_Table,Tariff!$F$33)</f>
        <v>0.0211643814376457</v>
      </c>
      <c r="N129" s="1575" t="n">
        <f aca="false">$C129*M129</f>
        <v>167.084181840874</v>
      </c>
      <c r="O129" s="1565" t="n">
        <f aca="false">VLOOKUP($A129,Curves_Table,Escalation!$R$291)</f>
        <v>2.42418933917714</v>
      </c>
      <c r="P129" s="1577" t="n">
        <f aca="false">N129*O129</f>
        <v>405.043692363781</v>
      </c>
      <c r="R129" s="1578" t="n">
        <f aca="false">SUM(K129,P129)</f>
        <v>24995.2488732554</v>
      </c>
      <c r="S129" s="1540" t="n">
        <f aca="false">'Plant Operations'!C129</f>
        <v>480</v>
      </c>
      <c r="T129" s="1575" t="n">
        <f aca="false">R129*S129/1000</f>
        <v>11997.7194591626</v>
      </c>
      <c r="U129" s="1576" t="n">
        <f aca="false">$I129</f>
        <v>2.53141351780118</v>
      </c>
      <c r="V129" s="394" t="n">
        <f aca="false">T129/U129</f>
        <v>4739.53361424093</v>
      </c>
      <c r="W129" s="1579" t="str">
        <f aca="false">IF(MONTH($A129)=12,SUM(V118:V129)," ")</f>
        <v> </v>
      </c>
      <c r="Y129" s="1580" t="n">
        <f aca="false">IF($A129&gt;Endyr,0,VLOOKUP($A129,Tariff_Table,Tariff!$J$33))</f>
        <v>0.19</v>
      </c>
      <c r="Z129" s="1576" t="n">
        <f aca="false">VLOOKUP($A129,Curves_Table,Escalation!$AH$291)</f>
        <v>2.42418933917714</v>
      </c>
      <c r="AA129" s="1576" t="n">
        <f aca="false">Y129*Z129</f>
        <v>0.460595974443657</v>
      </c>
      <c r="AB129" s="397" t="n">
        <f aca="false">'Plant Operations'!$I129+'Plant Operations'!$M129</f>
        <v>298980.864</v>
      </c>
      <c r="AC129" s="1575" t="n">
        <f aca="false">AA129*AB129/1000</f>
        <v>137.709382394087</v>
      </c>
      <c r="AD129" s="1576" t="n">
        <f aca="false">$I129</f>
        <v>2.53141351780118</v>
      </c>
      <c r="AE129" s="1566" t="n">
        <f aca="false">AC129/AD129</f>
        <v>54.4001923927873</v>
      </c>
      <c r="AF129" s="1567" t="str">
        <f aca="false">IF(MONTH($A129)=12,SUM(AE118:AE129)," ")</f>
        <v> </v>
      </c>
    </row>
    <row r="130" customFormat="false" ht="12.75" hidden="false" customHeight="false" outlineLevel="0" collapsed="false">
      <c r="A130" s="1538" t="n">
        <f aca="false">'Plant Operations'!A130</f>
        <v>39845</v>
      </c>
      <c r="C130" s="1574" t="n">
        <f aca="false">IF($A130&gt;Endyr,0,VLOOKUP($A130,Tariff_Table,Tariff!$D$33))</f>
        <v>7894.59320288363</v>
      </c>
      <c r="E130" s="1561" t="n">
        <f aca="false">VLOOKUP($A130,Tariff_Table,Tariff!$E$33)</f>
        <v>0.978835618562354</v>
      </c>
      <c r="F130" s="1575" t="n">
        <f aca="false">$C130*E130</f>
        <v>7727.50902104275</v>
      </c>
      <c r="G130" s="1565" t="n">
        <f aca="false">VLOOKUP($A130,Curves_Table,Escalation!$N$291)</f>
        <v>1.33877978058913</v>
      </c>
      <c r="H130" s="1575" t="n">
        <f aca="false">F130*G130</f>
        <v>10345.4328316921</v>
      </c>
      <c r="I130" s="1576" t="n">
        <f aca="false">IF(Assm!$L$74=0,VLOOKUP($A130,Curves_Table,Escalation!$D$291),VLOOKUP($A130,Curves_Table,Escalation!$E$291))</f>
        <v>2.53662781517912</v>
      </c>
      <c r="J130" s="1576" t="n">
        <f aca="false">IF($A130&lt;EE_Date,VLOOKUP($A130,Curves_Table,Escalation!$D$291),Exch)</f>
        <v>1.065</v>
      </c>
      <c r="K130" s="1577" t="n">
        <f aca="false">H130*I130/J130</f>
        <v>24640.8569774061</v>
      </c>
      <c r="M130" s="1561" t="n">
        <f aca="false">VLOOKUP($A130,Tariff_Table,Tariff!$F$33)</f>
        <v>0.0211643814376457</v>
      </c>
      <c r="N130" s="1575" t="n">
        <f aca="false">$C130*M130</f>
        <v>167.084181840874</v>
      </c>
      <c r="O130" s="1565" t="n">
        <f aca="false">VLOOKUP($A130,Curves_Table,Escalation!$R$291)</f>
        <v>2.42418933917714</v>
      </c>
      <c r="P130" s="1577" t="n">
        <f aca="false">N130*O130</f>
        <v>405.043692363781</v>
      </c>
      <c r="R130" s="1578" t="n">
        <f aca="false">SUM(K130,P130)</f>
        <v>25045.9006697698</v>
      </c>
      <c r="S130" s="1540" t="n">
        <f aca="false">'Plant Operations'!C130</f>
        <v>480</v>
      </c>
      <c r="T130" s="1575" t="n">
        <f aca="false">R130*S130/1000</f>
        <v>12022.0323214895</v>
      </c>
      <c r="U130" s="1576" t="n">
        <f aca="false">$I130</f>
        <v>2.53662781517912</v>
      </c>
      <c r="V130" s="394" t="n">
        <f aca="false">T130/U130</f>
        <v>4739.37573716963</v>
      </c>
      <c r="W130" s="1579" t="str">
        <f aca="false">IF(MONTH($A130)=12,SUM(V119:V130)," ")</f>
        <v> </v>
      </c>
      <c r="Y130" s="1580" t="n">
        <f aca="false">IF($A130&gt;Endyr,0,VLOOKUP($A130,Tariff_Table,Tariff!$J$33))</f>
        <v>0.19</v>
      </c>
      <c r="Z130" s="1576" t="n">
        <f aca="false">VLOOKUP($A130,Curves_Table,Escalation!$AH$291)</f>
        <v>2.42418933917714</v>
      </c>
      <c r="AA130" s="1576" t="n">
        <f aca="false">Y130*Z130</f>
        <v>0.460595974443657</v>
      </c>
      <c r="AB130" s="397" t="n">
        <f aca="false">'Plant Operations'!$I130+'Plant Operations'!$M130</f>
        <v>270047.232</v>
      </c>
      <c r="AC130" s="1575" t="n">
        <f aca="false">AA130*AB130/1000</f>
        <v>124.382667968852</v>
      </c>
      <c r="AD130" s="1576" t="n">
        <f aca="false">$I130</f>
        <v>2.53662781517912</v>
      </c>
      <c r="AE130" s="1566" t="n">
        <f aca="false">AC130/AD130</f>
        <v>49.0346542857212</v>
      </c>
      <c r="AF130" s="1567" t="str">
        <f aca="false">IF(MONTH($A130)=12,SUM(AE119:AE130)," ")</f>
        <v> </v>
      </c>
    </row>
    <row r="131" customFormat="false" ht="12.75" hidden="false" customHeight="false" outlineLevel="0" collapsed="false">
      <c r="A131" s="1538" t="n">
        <f aca="false">'Plant Operations'!A131</f>
        <v>39873</v>
      </c>
      <c r="C131" s="1574" t="n">
        <f aca="false">IF($A131&gt;Endyr,0,VLOOKUP($A131,Tariff_Table,Tariff!$D$33))</f>
        <v>7894.59320288363</v>
      </c>
      <c r="E131" s="1561" t="n">
        <f aca="false">VLOOKUP($A131,Tariff_Table,Tariff!$E$33)</f>
        <v>0.978835618562354</v>
      </c>
      <c r="F131" s="1575" t="n">
        <f aca="false">$C131*E131</f>
        <v>7727.50902104275</v>
      </c>
      <c r="G131" s="1565" t="n">
        <f aca="false">VLOOKUP($A131,Curves_Table,Escalation!$N$291)</f>
        <v>1.33877978058913</v>
      </c>
      <c r="H131" s="1575" t="n">
        <f aca="false">F131*G131</f>
        <v>10345.4328316921</v>
      </c>
      <c r="I131" s="1576" t="n">
        <f aca="false">IF(Assm!$L$74=0,VLOOKUP($A131,Curves_Table,Escalation!$D$291),VLOOKUP($A131,Curves_Table,Escalation!$E$291))</f>
        <v>2.54185285315591</v>
      </c>
      <c r="J131" s="1576" t="n">
        <f aca="false">IF($A131&lt;EE_Date,VLOOKUP($A131,Curves_Table,Escalation!$D$291),Exch)</f>
        <v>1.065</v>
      </c>
      <c r="K131" s="1577" t="n">
        <f aca="false">H131*I131/J131</f>
        <v>24691.6131083281</v>
      </c>
      <c r="M131" s="1561" t="n">
        <f aca="false">VLOOKUP($A131,Tariff_Table,Tariff!$F$33)</f>
        <v>0.0211643814376457</v>
      </c>
      <c r="N131" s="1575" t="n">
        <f aca="false">$C131*M131</f>
        <v>167.084181840874</v>
      </c>
      <c r="O131" s="1565" t="n">
        <f aca="false">VLOOKUP($A131,Curves_Table,Escalation!$R$291)</f>
        <v>2.42418933917714</v>
      </c>
      <c r="P131" s="1577" t="n">
        <f aca="false">N131*O131</f>
        <v>405.043692363781</v>
      </c>
      <c r="R131" s="1578" t="n">
        <f aca="false">SUM(K131,P131)</f>
        <v>25096.6568006919</v>
      </c>
      <c r="S131" s="1540" t="n">
        <f aca="false">'Plant Operations'!C131</f>
        <v>480</v>
      </c>
      <c r="T131" s="1575" t="n">
        <f aca="false">R131*S131/1000</f>
        <v>12046.3952643321</v>
      </c>
      <c r="U131" s="1576" t="n">
        <f aca="false">$I131</f>
        <v>2.54185285315591</v>
      </c>
      <c r="V131" s="394" t="n">
        <f aca="false">T131/U131</f>
        <v>4739.21818463077</v>
      </c>
      <c r="W131" s="1579" t="str">
        <f aca="false">IF(MONTH($A131)=12,SUM(V120:V131)," ")</f>
        <v> </v>
      </c>
      <c r="Y131" s="1580" t="n">
        <f aca="false">IF($A131&gt;Endyr,0,VLOOKUP($A131,Tariff_Table,Tariff!$J$33))</f>
        <v>0.19</v>
      </c>
      <c r="Z131" s="1576" t="n">
        <f aca="false">VLOOKUP($A131,Curves_Table,Escalation!$AH$291)</f>
        <v>2.42418933917714</v>
      </c>
      <c r="AA131" s="1576" t="n">
        <f aca="false">Y131*Z131</f>
        <v>0.460595974443657</v>
      </c>
      <c r="AB131" s="397" t="n">
        <f aca="false">'Plant Operations'!$I131+'Plant Operations'!$M131</f>
        <v>298980.864</v>
      </c>
      <c r="AC131" s="1575" t="n">
        <f aca="false">AA131*AB131/1000</f>
        <v>137.709382394087</v>
      </c>
      <c r="AD131" s="1576" t="n">
        <f aca="false">$I131</f>
        <v>2.54185285315591</v>
      </c>
      <c r="AE131" s="1566" t="n">
        <f aca="false">AC131/AD131</f>
        <v>54.1767719650291</v>
      </c>
      <c r="AF131" s="1567" t="str">
        <f aca="false">IF(MONTH($A131)=12,SUM(AE120:AE131)," ")</f>
        <v> </v>
      </c>
    </row>
    <row r="132" customFormat="false" ht="12.75" hidden="false" customHeight="false" outlineLevel="0" collapsed="false">
      <c r="A132" s="1538" t="n">
        <f aca="false">'Plant Operations'!A132</f>
        <v>39904</v>
      </c>
      <c r="C132" s="1574" t="n">
        <f aca="false">IF($A132&gt;Endyr,0,VLOOKUP($A132,Tariff_Table,Tariff!$D$33))</f>
        <v>7894.59320288363</v>
      </c>
      <c r="E132" s="1561" t="n">
        <f aca="false">VLOOKUP($A132,Tariff_Table,Tariff!$E$33)</f>
        <v>0.978835618562354</v>
      </c>
      <c r="F132" s="1575" t="n">
        <f aca="false">$C132*E132</f>
        <v>7727.50902104275</v>
      </c>
      <c r="G132" s="1565" t="n">
        <f aca="false">VLOOKUP($A132,Curves_Table,Escalation!$N$291)</f>
        <v>1.33877978058913</v>
      </c>
      <c r="H132" s="1575" t="n">
        <f aca="false">F132*G132</f>
        <v>10345.4328316921</v>
      </c>
      <c r="I132" s="1576" t="n">
        <f aca="false">IF(Assm!$L$74=0,VLOOKUP($A132,Curves_Table,Escalation!$D$291),VLOOKUP($A132,Curves_Table,Escalation!$E$291))</f>
        <v>2.54708865385545</v>
      </c>
      <c r="J132" s="1576" t="n">
        <f aca="false">IF($A132&lt;EE_Date,VLOOKUP($A132,Curves_Table,Escalation!$D$291),Exch)</f>
        <v>1.065</v>
      </c>
      <c r="K132" s="1577" t="n">
        <f aca="false">H132*I132/J132</f>
        <v>24742.4737885696</v>
      </c>
      <c r="M132" s="1561" t="n">
        <f aca="false">VLOOKUP($A132,Tariff_Table,Tariff!$F$33)</f>
        <v>0.0211643814376457</v>
      </c>
      <c r="N132" s="1575" t="n">
        <f aca="false">$C132*M132</f>
        <v>167.084181840874</v>
      </c>
      <c r="O132" s="1565" t="n">
        <f aca="false">VLOOKUP($A132,Curves_Table,Escalation!$R$291)</f>
        <v>2.42418933917714</v>
      </c>
      <c r="P132" s="1577" t="n">
        <f aca="false">N132*O132</f>
        <v>405.043692363781</v>
      </c>
      <c r="R132" s="1578" t="n">
        <f aca="false">SUM(K132,P132)</f>
        <v>25147.5174809334</v>
      </c>
      <c r="S132" s="1540" t="n">
        <f aca="false">'Plant Operations'!C132</f>
        <v>480</v>
      </c>
      <c r="T132" s="1575" t="n">
        <f aca="false">R132*S132/1000</f>
        <v>12070.808390848</v>
      </c>
      <c r="U132" s="1576" t="n">
        <f aca="false">$I132</f>
        <v>2.54708865385545</v>
      </c>
      <c r="V132" s="394" t="n">
        <f aca="false">T132/U132</f>
        <v>4739.06095595723</v>
      </c>
      <c r="W132" s="1579" t="str">
        <f aca="false">IF(MONTH($A132)=12,SUM(V121:V132)," ")</f>
        <v> </v>
      </c>
      <c r="Y132" s="1580" t="n">
        <f aca="false">IF($A132&gt;Endyr,0,VLOOKUP($A132,Tariff_Table,Tariff!$J$33))</f>
        <v>0.19</v>
      </c>
      <c r="Z132" s="1576" t="n">
        <f aca="false">VLOOKUP($A132,Curves_Table,Escalation!$AH$291)</f>
        <v>2.42418933917714</v>
      </c>
      <c r="AA132" s="1576" t="n">
        <f aca="false">Y132*Z132</f>
        <v>0.460595974443657</v>
      </c>
      <c r="AB132" s="397" t="n">
        <f aca="false">'Plant Operations'!$I132+'Plant Operations'!$M132</f>
        <v>289336.32</v>
      </c>
      <c r="AC132" s="1575" t="n">
        <f aca="false">AA132*AB132/1000</f>
        <v>133.267144252342</v>
      </c>
      <c r="AD132" s="1576" t="n">
        <f aca="false">$I132</f>
        <v>2.54708865385545</v>
      </c>
      <c r="AE132" s="1566" t="n">
        <f aca="false">AC132/AD132</f>
        <v>52.3213607232004</v>
      </c>
      <c r="AF132" s="1567" t="str">
        <f aca="false">IF(MONTH($A132)=12,SUM(AE121:AE132)," ")</f>
        <v> </v>
      </c>
    </row>
    <row r="133" customFormat="false" ht="12.75" hidden="false" customHeight="false" outlineLevel="0" collapsed="false">
      <c r="A133" s="1538" t="n">
        <f aca="false">'Plant Operations'!A133</f>
        <v>39934</v>
      </c>
      <c r="C133" s="1574" t="n">
        <f aca="false">IF($A133&gt;Endyr,0,VLOOKUP($A133,Tariff_Table,Tariff!$D$33))</f>
        <v>7730.96074380165</v>
      </c>
      <c r="E133" s="1561" t="n">
        <f aca="false">VLOOKUP($A133,Tariff_Table,Tariff!$E$33)</f>
        <v>0.967556312059272</v>
      </c>
      <c r="F133" s="1575" t="n">
        <f aca="false">$C133*E133</f>
        <v>7480.13986594773</v>
      </c>
      <c r="G133" s="1565" t="n">
        <f aca="false">VLOOKUP($A133,Curves_Table,Escalation!$N$291)</f>
        <v>1.37395101449367</v>
      </c>
      <c r="H133" s="1575" t="n">
        <f aca="false">F133*G133</f>
        <v>10277.3457573734</v>
      </c>
      <c r="I133" s="1576" t="n">
        <f aca="false">IF(Assm!$L$74=0,VLOOKUP($A133,Curves_Table,Escalation!$D$291),VLOOKUP($A133,Curves_Table,Escalation!$E$291))</f>
        <v>2.55233523944716</v>
      </c>
      <c r="J133" s="1576" t="n">
        <f aca="false">IF($A133&lt;EE_Date,VLOOKUP($A133,Curves_Table,Escalation!$D$291),Exch)</f>
        <v>1.065</v>
      </c>
      <c r="K133" s="1577" t="n">
        <f aca="false">H133*I133/J133</f>
        <v>24630.2645488516</v>
      </c>
      <c r="M133" s="1561" t="n">
        <f aca="false">VLOOKUP($A133,Tariff_Table,Tariff!$F$33)</f>
        <v>0.0324436879407285</v>
      </c>
      <c r="N133" s="1575" t="n">
        <f aca="false">$C133*M133</f>
        <v>250.820877853923</v>
      </c>
      <c r="O133" s="1565" t="n">
        <f aca="false">VLOOKUP($A133,Curves_Table,Escalation!$R$291)</f>
        <v>2.60357709171367</v>
      </c>
      <c r="P133" s="1577" t="n">
        <f aca="false">N133*O133</f>
        <v>653.031491703986</v>
      </c>
      <c r="R133" s="1578" t="n">
        <f aca="false">SUM(K133,P133)</f>
        <v>25283.2960405556</v>
      </c>
      <c r="S133" s="1540" t="n">
        <f aca="false">'Plant Operations'!C133</f>
        <v>480</v>
      </c>
      <c r="T133" s="1575" t="n">
        <f aca="false">R133*S133/1000</f>
        <v>12135.9820994667</v>
      </c>
      <c r="U133" s="1576" t="n">
        <f aca="false">$I133</f>
        <v>2.55233523944716</v>
      </c>
      <c r="V133" s="394" t="n">
        <f aca="false">T133/U133</f>
        <v>4754.85426518475</v>
      </c>
      <c r="W133" s="1579" t="str">
        <f aca="false">IF(MONTH($A133)=12,SUM(V122:V133)," ")</f>
        <v> </v>
      </c>
      <c r="Y133" s="1580" t="n">
        <f aca="false">IF($A133&gt;Endyr,0,VLOOKUP($A133,Tariff_Table,Tariff!$J$33))</f>
        <v>0.19</v>
      </c>
      <c r="Z133" s="1576" t="n">
        <f aca="false">VLOOKUP($A133,Curves_Table,Escalation!$AH$291)</f>
        <v>2.60357709171367</v>
      </c>
      <c r="AA133" s="1576" t="n">
        <f aca="false">Y133*Z133</f>
        <v>0.494679647425597</v>
      </c>
      <c r="AB133" s="397" t="n">
        <f aca="false">'Plant Operations'!$I133+'Plant Operations'!$M133</f>
        <v>298980.864</v>
      </c>
      <c r="AC133" s="1575" t="n">
        <f aca="false">AA133*AB133/1000</f>
        <v>147.89974839052</v>
      </c>
      <c r="AD133" s="1576" t="n">
        <f aca="false">$I133</f>
        <v>2.55233523944716</v>
      </c>
      <c r="AE133" s="1566" t="n">
        <f aca="false">AC133/AD133</f>
        <v>57.9468347671113</v>
      </c>
      <c r="AF133" s="1567" t="str">
        <f aca="false">IF(MONTH($A133)=12,SUM(AE122:AE133)," ")</f>
        <v> </v>
      </c>
    </row>
    <row r="134" customFormat="false" ht="12.75" hidden="false" customHeight="false" outlineLevel="0" collapsed="false">
      <c r="A134" s="1538" t="n">
        <f aca="false">'Plant Operations'!A134</f>
        <v>39965</v>
      </c>
      <c r="C134" s="1574" t="n">
        <f aca="false">IF($A134&gt;Endyr,0,VLOOKUP($A134,Tariff_Table,Tariff!$D$33))</f>
        <v>7730.96074380165</v>
      </c>
      <c r="E134" s="1561" t="n">
        <f aca="false">VLOOKUP($A134,Tariff_Table,Tariff!$E$33)</f>
        <v>0.967556312059272</v>
      </c>
      <c r="F134" s="1575" t="n">
        <f aca="false">$C134*E134</f>
        <v>7480.13986594773</v>
      </c>
      <c r="G134" s="1565" t="n">
        <f aca="false">VLOOKUP($A134,Curves_Table,Escalation!$N$291)</f>
        <v>1.37395101449367</v>
      </c>
      <c r="H134" s="1575" t="n">
        <f aca="false">F134*G134</f>
        <v>10277.3457573734</v>
      </c>
      <c r="I134" s="1576" t="n">
        <f aca="false">IF(Assm!$L$74=0,VLOOKUP($A134,Curves_Table,Escalation!$D$291),VLOOKUP($A134,Curves_Table,Escalation!$E$291))</f>
        <v>2.55759263214617</v>
      </c>
      <c r="J134" s="1576" t="n">
        <f aca="false">IF($A134&lt;EE_Date,VLOOKUP($A134,Curves_Table,Escalation!$D$291),Exch)</f>
        <v>1.065</v>
      </c>
      <c r="K134" s="1577" t="n">
        <f aca="false">H134*I134/J134</f>
        <v>24680.9988611051</v>
      </c>
      <c r="M134" s="1561" t="n">
        <f aca="false">VLOOKUP($A134,Tariff_Table,Tariff!$F$33)</f>
        <v>0.0324436879407285</v>
      </c>
      <c r="N134" s="1575" t="n">
        <f aca="false">$C134*M134</f>
        <v>250.820877853923</v>
      </c>
      <c r="O134" s="1565" t="n">
        <f aca="false">VLOOKUP($A134,Curves_Table,Escalation!$R$291)</f>
        <v>2.60357709171367</v>
      </c>
      <c r="P134" s="1577" t="n">
        <f aca="false">N134*O134</f>
        <v>653.031491703986</v>
      </c>
      <c r="R134" s="1578" t="n">
        <f aca="false">SUM(K134,P134)</f>
        <v>25334.0303528091</v>
      </c>
      <c r="S134" s="1540" t="n">
        <f aca="false">'Plant Operations'!C134</f>
        <v>480</v>
      </c>
      <c r="T134" s="1575" t="n">
        <f aca="false">R134*S134/1000</f>
        <v>12160.3345693484</v>
      </c>
      <c r="U134" s="1576" t="n">
        <f aca="false">$I134</f>
        <v>2.55759263214617</v>
      </c>
      <c r="V134" s="394" t="n">
        <f aca="false">T134/U134</f>
        <v>4754.6018144196</v>
      </c>
      <c r="W134" s="1579" t="str">
        <f aca="false">IF(MONTH($A134)=12,SUM(V123:V134)," ")</f>
        <v> </v>
      </c>
      <c r="Y134" s="1580" t="n">
        <f aca="false">IF($A134&gt;Endyr,0,VLOOKUP($A134,Tariff_Table,Tariff!$J$33))</f>
        <v>0.19</v>
      </c>
      <c r="Z134" s="1576" t="n">
        <f aca="false">VLOOKUP($A134,Curves_Table,Escalation!$AH$291)</f>
        <v>2.60357709171367</v>
      </c>
      <c r="AA134" s="1576" t="n">
        <f aca="false">Y134*Z134</f>
        <v>0.494679647425597</v>
      </c>
      <c r="AB134" s="397" t="n">
        <f aca="false">'Plant Operations'!$I134+'Plant Operations'!$M134</f>
        <v>289336.32</v>
      </c>
      <c r="AC134" s="1575" t="n">
        <f aca="false">AA134*AB134/1000</f>
        <v>143.12878876502</v>
      </c>
      <c r="AD134" s="1576" t="n">
        <f aca="false">$I134</f>
        <v>2.55759263214617</v>
      </c>
      <c r="AE134" s="1566" t="n">
        <f aca="false">AC134/AD134</f>
        <v>55.9623088391973</v>
      </c>
      <c r="AF134" s="1567" t="str">
        <f aca="false">IF(MONTH($A134)=12,SUM(AE123:AE134)," ")</f>
        <v> </v>
      </c>
    </row>
    <row r="135" customFormat="false" ht="12.75" hidden="false" customHeight="false" outlineLevel="0" collapsed="false">
      <c r="A135" s="1538" t="n">
        <f aca="false">'Plant Operations'!A135</f>
        <v>39995</v>
      </c>
      <c r="C135" s="1574" t="n">
        <f aca="false">IF($A135&gt;Endyr,0,VLOOKUP($A135,Tariff_Table,Tariff!$D$33))</f>
        <v>7730.96074380165</v>
      </c>
      <c r="E135" s="1561" t="n">
        <f aca="false">VLOOKUP($A135,Tariff_Table,Tariff!$E$33)</f>
        <v>0.967556312059272</v>
      </c>
      <c r="F135" s="1575" t="n">
        <f aca="false">$C135*E135</f>
        <v>7480.13986594773</v>
      </c>
      <c r="G135" s="1565" t="n">
        <f aca="false">VLOOKUP($A135,Curves_Table,Escalation!$N$291)</f>
        <v>1.37395101449367</v>
      </c>
      <c r="H135" s="1575" t="n">
        <f aca="false">F135*G135</f>
        <v>10277.3457573734</v>
      </c>
      <c r="I135" s="1576" t="n">
        <f aca="false">IF(Assm!$L$74=0,VLOOKUP($A135,Curves_Table,Escalation!$D$291),VLOOKUP($A135,Curves_Table,Escalation!$E$291))</f>
        <v>2.56286085421335</v>
      </c>
      <c r="J135" s="1576" t="n">
        <f aca="false">IF($A135&lt;EE_Date,VLOOKUP($A135,Curves_Table,Escalation!$D$291),Exch)</f>
        <v>1.065</v>
      </c>
      <c r="K135" s="1577" t="n">
        <f aca="false">H135*I135/J135</f>
        <v>24731.8376777352</v>
      </c>
      <c r="M135" s="1561" t="n">
        <f aca="false">VLOOKUP($A135,Tariff_Table,Tariff!$F$33)</f>
        <v>0.0324436879407285</v>
      </c>
      <c r="N135" s="1575" t="n">
        <f aca="false">$C135*M135</f>
        <v>250.820877853923</v>
      </c>
      <c r="O135" s="1565" t="n">
        <f aca="false">VLOOKUP($A135,Curves_Table,Escalation!$R$291)</f>
        <v>2.60357709171367</v>
      </c>
      <c r="P135" s="1577" t="n">
        <f aca="false">N135*O135</f>
        <v>653.031491703986</v>
      </c>
      <c r="R135" s="1578" t="n">
        <f aca="false">SUM(K135,P135)</f>
        <v>25384.8691694392</v>
      </c>
      <c r="S135" s="1540" t="n">
        <f aca="false">'Plant Operations'!C135</f>
        <v>480</v>
      </c>
      <c r="T135" s="1575" t="n">
        <f aca="false">R135*S135/1000</f>
        <v>12184.7372013308</v>
      </c>
      <c r="U135" s="1576" t="n">
        <f aca="false">$I135</f>
        <v>2.56286085421335</v>
      </c>
      <c r="V135" s="394" t="n">
        <f aca="false">T135/U135</f>
        <v>4754.34988259275</v>
      </c>
      <c r="W135" s="1579" t="str">
        <f aca="false">IF(MONTH($A135)=12,SUM(V124:V135)," ")</f>
        <v> </v>
      </c>
      <c r="Y135" s="1580" t="n">
        <f aca="false">IF($A135&gt;Endyr,0,VLOOKUP($A135,Tariff_Table,Tariff!$J$33))</f>
        <v>0.19</v>
      </c>
      <c r="Z135" s="1576" t="n">
        <f aca="false">VLOOKUP($A135,Curves_Table,Escalation!$AH$291)</f>
        <v>2.60357709171367</v>
      </c>
      <c r="AA135" s="1576" t="n">
        <f aca="false">Y135*Z135</f>
        <v>0.494679647425597</v>
      </c>
      <c r="AB135" s="397" t="n">
        <f aca="false">'Plant Operations'!$I135+'Plant Operations'!$M135</f>
        <v>298980.864</v>
      </c>
      <c r="AC135" s="1575" t="n">
        <f aca="false">AA135*AB135/1000</f>
        <v>147.89974839052</v>
      </c>
      <c r="AD135" s="1576" t="n">
        <f aca="false">$I135</f>
        <v>2.56286085421335</v>
      </c>
      <c r="AE135" s="1566" t="n">
        <f aca="false">AC135/AD135</f>
        <v>57.7088483549049</v>
      </c>
      <c r="AF135" s="1567" t="str">
        <f aca="false">IF(MONTH($A135)=12,SUM(AE124:AE135)," ")</f>
        <v> </v>
      </c>
    </row>
    <row r="136" customFormat="false" ht="12.75" hidden="false" customHeight="false" outlineLevel="0" collapsed="false">
      <c r="A136" s="1538" t="n">
        <f aca="false">'Plant Operations'!A136</f>
        <v>40026</v>
      </c>
      <c r="C136" s="1574" t="n">
        <f aca="false">IF($A136&gt;Endyr,0,VLOOKUP($A136,Tariff_Table,Tariff!$D$33))</f>
        <v>7730.96074380165</v>
      </c>
      <c r="E136" s="1561" t="n">
        <f aca="false">VLOOKUP($A136,Tariff_Table,Tariff!$E$33)</f>
        <v>0.967556312059272</v>
      </c>
      <c r="F136" s="1575" t="n">
        <f aca="false">$C136*E136</f>
        <v>7480.13986594773</v>
      </c>
      <c r="G136" s="1565" t="n">
        <f aca="false">VLOOKUP($A136,Curves_Table,Escalation!$N$291)</f>
        <v>1.37395101449367</v>
      </c>
      <c r="H136" s="1575" t="n">
        <f aca="false">F136*G136</f>
        <v>10277.3457573734</v>
      </c>
      <c r="I136" s="1576" t="n">
        <f aca="false">IF(Assm!$L$74=0,VLOOKUP($A136,Curves_Table,Escalation!$D$291),VLOOKUP($A136,Curves_Table,Escalation!$E$291))</f>
        <v>2.56813992795542</v>
      </c>
      <c r="J136" s="1576" t="n">
        <f aca="false">IF($A136&lt;EE_Date,VLOOKUP($A136,Curves_Table,Escalation!$D$291),Exch)</f>
        <v>1.065</v>
      </c>
      <c r="K136" s="1577" t="n">
        <f aca="false">H136*I136/J136</f>
        <v>24782.7812140036</v>
      </c>
      <c r="M136" s="1561" t="n">
        <f aca="false">VLOOKUP($A136,Tariff_Table,Tariff!$F$33)</f>
        <v>0.0324436879407285</v>
      </c>
      <c r="N136" s="1575" t="n">
        <f aca="false">$C136*M136</f>
        <v>250.820877853923</v>
      </c>
      <c r="O136" s="1565" t="n">
        <f aca="false">VLOOKUP($A136,Curves_Table,Escalation!$R$291)</f>
        <v>2.60357709171367</v>
      </c>
      <c r="P136" s="1577" t="n">
        <f aca="false">N136*O136</f>
        <v>653.031491703986</v>
      </c>
      <c r="R136" s="1578" t="n">
        <f aca="false">SUM(K136,P136)</f>
        <v>25435.8127057076</v>
      </c>
      <c r="S136" s="1540" t="n">
        <f aca="false">'Plant Operations'!C136</f>
        <v>480</v>
      </c>
      <c r="T136" s="1575" t="n">
        <f aca="false">R136*S136/1000</f>
        <v>12209.1900987397</v>
      </c>
      <c r="U136" s="1576" t="n">
        <f aca="false">$I136</f>
        <v>2.56813992795542</v>
      </c>
      <c r="V136" s="394" t="n">
        <f aca="false">T136/U136</f>
        <v>4754.0984686375</v>
      </c>
      <c r="W136" s="1579" t="str">
        <f aca="false">IF(MONTH($A136)=12,SUM(V125:V136)," ")</f>
        <v> </v>
      </c>
      <c r="Y136" s="1580" t="n">
        <f aca="false">IF($A136&gt;Endyr,0,VLOOKUP($A136,Tariff_Table,Tariff!$J$33))</f>
        <v>0.19</v>
      </c>
      <c r="Z136" s="1576" t="n">
        <f aca="false">VLOOKUP($A136,Curves_Table,Escalation!$AH$291)</f>
        <v>2.60357709171367</v>
      </c>
      <c r="AA136" s="1576" t="n">
        <f aca="false">Y136*Z136</f>
        <v>0.494679647425597</v>
      </c>
      <c r="AB136" s="397" t="n">
        <f aca="false">'Plant Operations'!$I136+'Plant Operations'!$M136</f>
        <v>298980.864</v>
      </c>
      <c r="AC136" s="1575" t="n">
        <f aca="false">AA136*AB136/1000</f>
        <v>147.89974839052</v>
      </c>
      <c r="AD136" s="1576" t="n">
        <f aca="false">$I136</f>
        <v>2.56813992795542</v>
      </c>
      <c r="AE136" s="1566" t="n">
        <f aca="false">AC136/AD136</f>
        <v>57.5902219269914</v>
      </c>
      <c r="AF136" s="1567" t="str">
        <f aca="false">IF(MONTH($A136)=12,SUM(AE125:AE136)," ")</f>
        <v> </v>
      </c>
    </row>
    <row r="137" customFormat="false" ht="12.75" hidden="false" customHeight="false" outlineLevel="0" collapsed="false">
      <c r="A137" s="1538" t="n">
        <f aca="false">'Plant Operations'!A137</f>
        <v>40057</v>
      </c>
      <c r="C137" s="1574" t="n">
        <f aca="false">IF($A137&gt;Endyr,0,VLOOKUP($A137,Tariff_Table,Tariff!$D$33))</f>
        <v>7730.96074380165</v>
      </c>
      <c r="E137" s="1561" t="n">
        <f aca="false">VLOOKUP($A137,Tariff_Table,Tariff!$E$33)</f>
        <v>0.967556312059272</v>
      </c>
      <c r="F137" s="1575" t="n">
        <f aca="false">$C137*E137</f>
        <v>7480.13986594773</v>
      </c>
      <c r="G137" s="1565" t="n">
        <f aca="false">VLOOKUP($A137,Curves_Table,Escalation!$N$291)</f>
        <v>1.37395101449367</v>
      </c>
      <c r="H137" s="1575" t="n">
        <f aca="false">F137*G137</f>
        <v>10277.3457573734</v>
      </c>
      <c r="I137" s="1576" t="n">
        <f aca="false">IF(Assm!$L$74=0,VLOOKUP($A137,Curves_Table,Escalation!$D$291),VLOOKUP($A137,Curves_Table,Escalation!$E$291))</f>
        <v>2.57342987572505</v>
      </c>
      <c r="J137" s="1576" t="n">
        <f aca="false">IF($A137&lt;EE_Date,VLOOKUP($A137,Curves_Table,Escalation!$D$291),Exch)</f>
        <v>1.065</v>
      </c>
      <c r="K137" s="1577" t="n">
        <f aca="false">H137*I137/J137</f>
        <v>24833.8296856158</v>
      </c>
      <c r="M137" s="1561" t="n">
        <f aca="false">VLOOKUP($A137,Tariff_Table,Tariff!$F$33)</f>
        <v>0.0324436879407285</v>
      </c>
      <c r="N137" s="1575" t="n">
        <f aca="false">$C137*M137</f>
        <v>250.820877853923</v>
      </c>
      <c r="O137" s="1565" t="n">
        <f aca="false">VLOOKUP($A137,Curves_Table,Escalation!$R$291)</f>
        <v>2.60357709171367</v>
      </c>
      <c r="P137" s="1577" t="n">
        <f aca="false">N137*O137</f>
        <v>653.031491703986</v>
      </c>
      <c r="R137" s="1578" t="n">
        <f aca="false">SUM(K137,P137)</f>
        <v>25486.8611773198</v>
      </c>
      <c r="S137" s="1540" t="n">
        <f aca="false">'Plant Operations'!C137</f>
        <v>480</v>
      </c>
      <c r="T137" s="1575" t="n">
        <f aca="false">R137*S137/1000</f>
        <v>12233.6933651135</v>
      </c>
      <c r="U137" s="1576" t="n">
        <f aca="false">$I137</f>
        <v>2.57342987572505</v>
      </c>
      <c r="V137" s="394" t="n">
        <f aca="false">T137/U137</f>
        <v>4753.84757148929</v>
      </c>
      <c r="W137" s="1579" t="str">
        <f aca="false">IF(MONTH($A137)=12,SUM(V126:V137)," ")</f>
        <v> </v>
      </c>
      <c r="Y137" s="1580" t="n">
        <f aca="false">IF($A137&gt;Endyr,0,VLOOKUP($A137,Tariff_Table,Tariff!$J$33))</f>
        <v>0.19</v>
      </c>
      <c r="Z137" s="1576" t="n">
        <f aca="false">VLOOKUP($A137,Curves_Table,Escalation!$AH$291)</f>
        <v>2.60357709171367</v>
      </c>
      <c r="AA137" s="1576" t="n">
        <f aca="false">Y137*Z137</f>
        <v>0.494679647425597</v>
      </c>
      <c r="AB137" s="397" t="n">
        <f aca="false">'Plant Operations'!$I137+'Plant Operations'!$M137</f>
        <v>289336.32</v>
      </c>
      <c r="AC137" s="1575" t="n">
        <f aca="false">AA137*AB137/1000</f>
        <v>143.12878876502</v>
      </c>
      <c r="AD137" s="1576" t="n">
        <f aca="false">$I137</f>
        <v>2.57342987572505</v>
      </c>
      <c r="AE137" s="1566" t="n">
        <f aca="false">AC137/AD137</f>
        <v>55.617909046266</v>
      </c>
      <c r="AF137" s="1567" t="str">
        <f aca="false">IF(MONTH($A137)=12,SUM(AE126:AE137)," ")</f>
        <v> </v>
      </c>
    </row>
    <row r="138" customFormat="false" ht="12.75" hidden="false" customHeight="false" outlineLevel="0" collapsed="false">
      <c r="A138" s="1538" t="n">
        <f aca="false">'Plant Operations'!A138</f>
        <v>40087</v>
      </c>
      <c r="C138" s="1574" t="n">
        <f aca="false">IF($A138&gt;Endyr,0,VLOOKUP($A138,Tariff_Table,Tariff!$D$33))</f>
        <v>7730.96074380165</v>
      </c>
      <c r="E138" s="1561" t="n">
        <f aca="false">VLOOKUP($A138,Tariff_Table,Tariff!$E$33)</f>
        <v>0.967556312059272</v>
      </c>
      <c r="F138" s="1575" t="n">
        <f aca="false">$C138*E138</f>
        <v>7480.13986594773</v>
      </c>
      <c r="G138" s="1565" t="n">
        <f aca="false">VLOOKUP($A138,Curves_Table,Escalation!$N$291)</f>
        <v>1.37395101449367</v>
      </c>
      <c r="H138" s="1575" t="n">
        <f aca="false">F138*G138</f>
        <v>10277.3457573734</v>
      </c>
      <c r="I138" s="1576" t="n">
        <f aca="false">IF(Assm!$L$74=0,VLOOKUP($A138,Curves_Table,Escalation!$D$291),VLOOKUP($A138,Curves_Table,Escalation!$E$291))</f>
        <v>2.57873071992097</v>
      </c>
      <c r="J138" s="1576" t="n">
        <f aca="false">IF($A138&lt;EE_Date,VLOOKUP($A138,Curves_Table,Escalation!$D$291),Exch)</f>
        <v>1.065</v>
      </c>
      <c r="K138" s="1577" t="n">
        <f aca="false">H138*I138/J138</f>
        <v>24884.9833087213</v>
      </c>
      <c r="M138" s="1561" t="n">
        <f aca="false">VLOOKUP($A138,Tariff_Table,Tariff!$F$33)</f>
        <v>0.0324436879407285</v>
      </c>
      <c r="N138" s="1575" t="n">
        <f aca="false">$C138*M138</f>
        <v>250.820877853923</v>
      </c>
      <c r="O138" s="1565" t="n">
        <f aca="false">VLOOKUP($A138,Curves_Table,Escalation!$R$291)</f>
        <v>2.60357709171367</v>
      </c>
      <c r="P138" s="1577" t="n">
        <f aca="false">N138*O138</f>
        <v>653.031491703986</v>
      </c>
      <c r="R138" s="1578" t="n">
        <f aca="false">SUM(K138,P138)</f>
        <v>25538.0148004253</v>
      </c>
      <c r="S138" s="1540" t="n">
        <f aca="false">'Plant Operations'!C138</f>
        <v>480</v>
      </c>
      <c r="T138" s="1575" t="n">
        <f aca="false">R138*S138/1000</f>
        <v>12258.2471042042</v>
      </c>
      <c r="U138" s="1576" t="n">
        <f aca="false">$I138</f>
        <v>2.57873071992097</v>
      </c>
      <c r="V138" s="394" t="n">
        <f aca="false">T138/U138</f>
        <v>4753.59719008577</v>
      </c>
      <c r="W138" s="1579" t="str">
        <f aca="false">IF(MONTH($A138)=12,SUM(V127:V138)," ")</f>
        <v> </v>
      </c>
      <c r="Y138" s="1580" t="n">
        <f aca="false">IF($A138&gt;Endyr,0,VLOOKUP($A138,Tariff_Table,Tariff!$J$33))</f>
        <v>0.19</v>
      </c>
      <c r="Z138" s="1576" t="n">
        <f aca="false">VLOOKUP($A138,Curves_Table,Escalation!$AH$291)</f>
        <v>2.60357709171367</v>
      </c>
      <c r="AA138" s="1576" t="n">
        <f aca="false">Y138*Z138</f>
        <v>0.494679647425597</v>
      </c>
      <c r="AB138" s="397" t="n">
        <f aca="false">'Plant Operations'!$I138+'Plant Operations'!$M138</f>
        <v>298980.864</v>
      </c>
      <c r="AC138" s="1575" t="n">
        <f aca="false">AA138*AB138/1000</f>
        <v>147.89974839052</v>
      </c>
      <c r="AD138" s="1576" t="n">
        <f aca="false">$I138</f>
        <v>2.57873071992097</v>
      </c>
      <c r="AE138" s="1566" t="n">
        <f aca="false">AC138/AD138</f>
        <v>57.3537001160994</v>
      </c>
      <c r="AF138" s="1567" t="str">
        <f aca="false">IF(MONTH($A138)=12,SUM(AE127:AE138)," ")</f>
        <v> </v>
      </c>
    </row>
    <row r="139" customFormat="false" ht="12.75" hidden="false" customHeight="false" outlineLevel="0" collapsed="false">
      <c r="A139" s="1538" t="n">
        <f aca="false">'Plant Operations'!A139</f>
        <v>40118</v>
      </c>
      <c r="C139" s="1574" t="n">
        <f aca="false">IF($A139&gt;Endyr,0,VLOOKUP($A139,Tariff_Table,Tariff!$D$33))</f>
        <v>7730.96074380165</v>
      </c>
      <c r="E139" s="1561" t="n">
        <f aca="false">VLOOKUP($A139,Tariff_Table,Tariff!$E$33)</f>
        <v>0.967556312059272</v>
      </c>
      <c r="F139" s="1575" t="n">
        <f aca="false">$C139*E139</f>
        <v>7480.13986594773</v>
      </c>
      <c r="G139" s="1565" t="n">
        <f aca="false">VLOOKUP($A139,Curves_Table,Escalation!$N$291)</f>
        <v>1.37395101449367</v>
      </c>
      <c r="H139" s="1575" t="n">
        <f aca="false">F139*G139</f>
        <v>10277.3457573734</v>
      </c>
      <c r="I139" s="1576" t="n">
        <f aca="false">IF(Assm!$L$74=0,VLOOKUP($A139,Curves_Table,Escalation!$D$291),VLOOKUP($A139,Curves_Table,Escalation!$E$291))</f>
        <v>2.58404248298802</v>
      </c>
      <c r="J139" s="1576" t="n">
        <f aca="false">IF($A139&lt;EE_Date,VLOOKUP($A139,Curves_Table,Escalation!$D$291),Exch)</f>
        <v>1.065</v>
      </c>
      <c r="K139" s="1577" t="n">
        <f aca="false">H139*I139/J139</f>
        <v>24936.2422999151</v>
      </c>
      <c r="M139" s="1561" t="n">
        <f aca="false">VLOOKUP($A139,Tariff_Table,Tariff!$F$33)</f>
        <v>0.0324436879407285</v>
      </c>
      <c r="N139" s="1575" t="n">
        <f aca="false">$C139*M139</f>
        <v>250.820877853923</v>
      </c>
      <c r="O139" s="1565" t="n">
        <f aca="false">VLOOKUP($A139,Curves_Table,Escalation!$R$291)</f>
        <v>2.60357709171367</v>
      </c>
      <c r="P139" s="1577" t="n">
        <f aca="false">N139*O139</f>
        <v>653.031491703986</v>
      </c>
      <c r="R139" s="1578" t="n">
        <f aca="false">SUM(K139,P139)</f>
        <v>25589.2737916191</v>
      </c>
      <c r="S139" s="1540" t="n">
        <f aca="false">'Plant Operations'!C139</f>
        <v>480</v>
      </c>
      <c r="T139" s="1575" t="n">
        <f aca="false">R139*S139/1000</f>
        <v>12282.8514199771</v>
      </c>
      <c r="U139" s="1576" t="n">
        <f aca="false">$I139</f>
        <v>2.58404248298802</v>
      </c>
      <c r="V139" s="394" t="n">
        <f aca="false">T139/U139</f>
        <v>4753.34732336679</v>
      </c>
      <c r="W139" s="1579" t="str">
        <f aca="false">IF(MONTH($A139)=12,SUM(V128:V139)," ")</f>
        <v> </v>
      </c>
      <c r="Y139" s="1580" t="n">
        <f aca="false">IF($A139&gt;Endyr,0,VLOOKUP($A139,Tariff_Table,Tariff!$J$33))</f>
        <v>0.19</v>
      </c>
      <c r="Z139" s="1576" t="n">
        <f aca="false">VLOOKUP($A139,Curves_Table,Escalation!$AH$291)</f>
        <v>2.60357709171367</v>
      </c>
      <c r="AA139" s="1576" t="n">
        <f aca="false">Y139*Z139</f>
        <v>0.494679647425597</v>
      </c>
      <c r="AB139" s="397" t="n">
        <f aca="false">'Plant Operations'!$I139+'Plant Operations'!$M139</f>
        <v>289336.32</v>
      </c>
      <c r="AC139" s="1575" t="n">
        <f aca="false">AA139*AB139/1000</f>
        <v>143.12878876502</v>
      </c>
      <c r="AD139" s="1576" t="n">
        <f aca="false">$I139</f>
        <v>2.58404248298802</v>
      </c>
      <c r="AE139" s="1566" t="n">
        <f aca="false">AC139/AD139</f>
        <v>55.3894874822317</v>
      </c>
      <c r="AF139" s="1567" t="str">
        <f aca="false">IF(MONTH($A139)=12,SUM(AE128:AE139)," ")</f>
        <v> </v>
      </c>
    </row>
    <row r="140" customFormat="false" ht="12.75" hidden="false" customHeight="false" outlineLevel="0" collapsed="false">
      <c r="A140" s="1538" t="n">
        <f aca="false">'Plant Operations'!A140</f>
        <v>40148</v>
      </c>
      <c r="C140" s="1574" t="n">
        <f aca="false">IF($A140&gt;Endyr,0,VLOOKUP($A140,Tariff_Table,Tariff!$D$33))</f>
        <v>7730.96074380165</v>
      </c>
      <c r="E140" s="1561" t="n">
        <f aca="false">VLOOKUP($A140,Tariff_Table,Tariff!$E$33)</f>
        <v>0.967556312059272</v>
      </c>
      <c r="F140" s="1575" t="n">
        <f aca="false">$C140*E140</f>
        <v>7480.13986594773</v>
      </c>
      <c r="G140" s="1565" t="n">
        <f aca="false">VLOOKUP($A140,Curves_Table,Escalation!$N$291)</f>
        <v>1.37395101449367</v>
      </c>
      <c r="H140" s="1575" t="n">
        <f aca="false">F140*G140</f>
        <v>10277.3457573734</v>
      </c>
      <c r="I140" s="1576" t="n">
        <f aca="false">IF(Assm!$L$74=0,VLOOKUP($A140,Curves_Table,Escalation!$D$291),VLOOKUP($A140,Curves_Table,Escalation!$E$291))</f>
        <v>2.58936518741729</v>
      </c>
      <c r="J140" s="1576" t="n">
        <f aca="false">IF($A140&lt;EE_Date,VLOOKUP($A140,Curves_Table,Escalation!$D$291),Exch)</f>
        <v>1.065</v>
      </c>
      <c r="K140" s="1577" t="n">
        <f aca="false">H140*I140/J140</f>
        <v>24987.606876238</v>
      </c>
      <c r="M140" s="1561" t="n">
        <f aca="false">VLOOKUP($A140,Tariff_Table,Tariff!$F$33)</f>
        <v>0.0324436879407285</v>
      </c>
      <c r="N140" s="1575" t="n">
        <f aca="false">$C140*M140</f>
        <v>250.820877853923</v>
      </c>
      <c r="O140" s="1565" t="n">
        <f aca="false">VLOOKUP($A140,Curves_Table,Escalation!$R$291)</f>
        <v>2.60357709171367</v>
      </c>
      <c r="P140" s="1577" t="n">
        <f aca="false">N140*O140</f>
        <v>653.031491703986</v>
      </c>
      <c r="R140" s="1578" t="n">
        <f aca="false">SUM(K140,P140)</f>
        <v>25640.638367942</v>
      </c>
      <c r="S140" s="1540" t="n">
        <f aca="false">'Plant Operations'!C140</f>
        <v>480</v>
      </c>
      <c r="T140" s="1575" t="n">
        <f aca="false">R140*S140/1000</f>
        <v>12307.5064166122</v>
      </c>
      <c r="U140" s="1576" t="n">
        <f aca="false">$I140</f>
        <v>2.58936518741729</v>
      </c>
      <c r="V140" s="394" t="n">
        <f aca="false">T140/U140</f>
        <v>4753.09797027434</v>
      </c>
      <c r="W140" s="1579" t="n">
        <f aca="false">IF(MONTH($A140)=12,SUM(V129:V140)," ")</f>
        <v>56988.9829780493</v>
      </c>
      <c r="Y140" s="1580" t="n">
        <f aca="false">IF($A140&gt;Endyr,0,VLOOKUP($A140,Tariff_Table,Tariff!$J$33))</f>
        <v>0.19</v>
      </c>
      <c r="Z140" s="1576" t="n">
        <f aca="false">VLOOKUP($A140,Curves_Table,Escalation!$AH$291)</f>
        <v>2.60357709171367</v>
      </c>
      <c r="AA140" s="1576" t="n">
        <f aca="false">Y140*Z140</f>
        <v>0.494679647425597</v>
      </c>
      <c r="AB140" s="397" t="n">
        <f aca="false">'Plant Operations'!$I140+'Plant Operations'!$M140</f>
        <v>298980.864</v>
      </c>
      <c r="AC140" s="1575" t="n">
        <f aca="false">AA140*AB140/1000</f>
        <v>147.89974839052</v>
      </c>
      <c r="AD140" s="1576" t="n">
        <f aca="false">$I140</f>
        <v>2.58936518741729</v>
      </c>
      <c r="AE140" s="1566" t="n">
        <f aca="false">AC140/AD140</f>
        <v>57.1181496952309</v>
      </c>
      <c r="AF140" s="1567" t="n">
        <f aca="false">IF(MONTH($A140)=12,SUM(AE129:AE140)," ")</f>
        <v>664.620439594771</v>
      </c>
    </row>
    <row r="141" customFormat="false" ht="12.75" hidden="false" customHeight="false" outlineLevel="0" collapsed="false">
      <c r="A141" s="1538" t="n">
        <f aca="false">'Plant Operations'!A141</f>
        <v>40179</v>
      </c>
      <c r="C141" s="1574" t="n">
        <f aca="false">IF($A141&gt;Endyr,0,VLOOKUP($A141,Tariff_Table,Tariff!$D$33))</f>
        <v>7730.96074380165</v>
      </c>
      <c r="E141" s="1561" t="n">
        <f aca="false">VLOOKUP($A141,Tariff_Table,Tariff!$E$33)</f>
        <v>0.967556312059272</v>
      </c>
      <c r="F141" s="1575" t="n">
        <f aca="false">$C141*E141</f>
        <v>7480.13986594773</v>
      </c>
      <c r="G141" s="1565" t="n">
        <f aca="false">VLOOKUP($A141,Curves_Table,Escalation!$N$291)</f>
        <v>1.37395101449367</v>
      </c>
      <c r="H141" s="1575" t="n">
        <f aca="false">F141*G141</f>
        <v>10277.3457573734</v>
      </c>
      <c r="I141" s="1576" t="n">
        <f aca="false">IF(Assm!$L$74=0,VLOOKUP($A141,Curves_Table,Escalation!$D$291),VLOOKUP($A141,Curves_Table,Escalation!$E$291))</f>
        <v>2.59440828709463</v>
      </c>
      <c r="J141" s="1576" t="n">
        <f aca="false">IF($A141&lt;EE_Date,VLOOKUP($A141,Curves_Table,Escalation!$D$291),Exch)</f>
        <v>1.065</v>
      </c>
      <c r="K141" s="1577" t="n">
        <f aca="false">H141*I141/J141</f>
        <v>25036.2732415648</v>
      </c>
      <c r="M141" s="1561" t="n">
        <f aca="false">VLOOKUP($A141,Tariff_Table,Tariff!$F$33)</f>
        <v>0.0324436879407285</v>
      </c>
      <c r="N141" s="1575" t="n">
        <f aca="false">$C141*M141</f>
        <v>250.820877853923</v>
      </c>
      <c r="O141" s="1565" t="n">
        <f aca="false">VLOOKUP($A141,Curves_Table,Escalation!$R$291)</f>
        <v>2.60357709171367</v>
      </c>
      <c r="P141" s="1577" t="n">
        <f aca="false">N141*O141</f>
        <v>653.031491703986</v>
      </c>
      <c r="R141" s="1578" t="n">
        <f aca="false">SUM(K141,P141)</f>
        <v>25689.3047332687</v>
      </c>
      <c r="S141" s="1540" t="n">
        <f aca="false">'Plant Operations'!C141</f>
        <v>480</v>
      </c>
      <c r="T141" s="1575" t="n">
        <f aca="false">R141*S141/1000</f>
        <v>12330.866271969</v>
      </c>
      <c r="U141" s="1576" t="n">
        <f aca="false">$I141</f>
        <v>2.59440828709463</v>
      </c>
      <c r="V141" s="394" t="n">
        <f aca="false">T141/U141</f>
        <v>4752.86265978506</v>
      </c>
      <c r="W141" s="1579" t="str">
        <f aca="false">IF(MONTH($A141)=12,SUM(V130:V141)," ")</f>
        <v> </v>
      </c>
      <c r="Y141" s="1580" t="n">
        <f aca="false">IF($A141&gt;Endyr,0,VLOOKUP($A141,Tariff_Table,Tariff!$J$33))</f>
        <v>0.19</v>
      </c>
      <c r="Z141" s="1576" t="n">
        <f aca="false">VLOOKUP($A141,Curves_Table,Escalation!$AH$291)</f>
        <v>2.60357709171367</v>
      </c>
      <c r="AA141" s="1576" t="n">
        <f aca="false">Y141*Z141</f>
        <v>0.494679647425597</v>
      </c>
      <c r="AB141" s="397" t="n">
        <f aca="false">'Plant Operations'!$I141+'Plant Operations'!$M141</f>
        <v>298980.864</v>
      </c>
      <c r="AC141" s="1575" t="n">
        <f aca="false">AA141*AB141/1000</f>
        <v>147.89974839052</v>
      </c>
      <c r="AD141" s="1576" t="n">
        <f aca="false">$I141</f>
        <v>2.59440828709463</v>
      </c>
      <c r="AE141" s="1566" t="n">
        <f aca="false">AC141/AD141</f>
        <v>57.0071214797679</v>
      </c>
      <c r="AF141" s="1567" t="str">
        <f aca="false">IF(MONTH($A141)=12,SUM(AE130:AE141)," ")</f>
        <v> </v>
      </c>
    </row>
    <row r="142" customFormat="false" ht="12.75" hidden="false" customHeight="false" outlineLevel="0" collapsed="false">
      <c r="A142" s="1538" t="n">
        <f aca="false">'Plant Operations'!A142</f>
        <v>40210</v>
      </c>
      <c r="C142" s="1574" t="n">
        <f aca="false">IF($A142&gt;Endyr,0,VLOOKUP($A142,Tariff_Table,Tariff!$D$33))</f>
        <v>7730.96074380165</v>
      </c>
      <c r="E142" s="1561" t="n">
        <f aca="false">VLOOKUP($A142,Tariff_Table,Tariff!$E$33)</f>
        <v>0.967556312059272</v>
      </c>
      <c r="F142" s="1575" t="n">
        <f aca="false">$C142*E142</f>
        <v>7480.13986594773</v>
      </c>
      <c r="G142" s="1565" t="n">
        <f aca="false">VLOOKUP($A142,Curves_Table,Escalation!$N$291)</f>
        <v>1.37395101449367</v>
      </c>
      <c r="H142" s="1575" t="n">
        <f aca="false">F142*G142</f>
        <v>10277.3457573734</v>
      </c>
      <c r="I142" s="1576" t="n">
        <f aca="false">IF(Assm!$L$74=0,VLOOKUP($A142,Curves_Table,Escalation!$D$291),VLOOKUP($A142,Curves_Table,Escalation!$E$291))</f>
        <v>2.59946120881426</v>
      </c>
      <c r="J142" s="1576" t="n">
        <f aca="false">IF($A142&lt;EE_Date,VLOOKUP($A142,Curves_Table,Escalation!$D$291),Exch)</f>
        <v>1.065</v>
      </c>
      <c r="K142" s="1577" t="n">
        <f aca="false">H142*I142/J142</f>
        <v>25085.0343904826</v>
      </c>
      <c r="M142" s="1561" t="n">
        <f aca="false">VLOOKUP($A142,Tariff_Table,Tariff!$F$33)</f>
        <v>0.0324436879407285</v>
      </c>
      <c r="N142" s="1575" t="n">
        <f aca="false">$C142*M142</f>
        <v>250.820877853923</v>
      </c>
      <c r="O142" s="1565" t="n">
        <f aca="false">VLOOKUP($A142,Curves_Table,Escalation!$R$291)</f>
        <v>2.60357709171367</v>
      </c>
      <c r="P142" s="1577" t="n">
        <f aca="false">N142*O142</f>
        <v>653.031491703986</v>
      </c>
      <c r="R142" s="1578" t="n">
        <f aca="false">SUM(K142,P142)</f>
        <v>25738.0658821866</v>
      </c>
      <c r="S142" s="1540" t="n">
        <f aca="false">'Plant Operations'!C142</f>
        <v>480</v>
      </c>
      <c r="T142" s="1575" t="n">
        <f aca="false">R142*S142/1000</f>
        <v>12354.2716234496</v>
      </c>
      <c r="U142" s="1576" t="n">
        <f aca="false">$I142</f>
        <v>2.59946120881426</v>
      </c>
      <c r="V142" s="394" t="n">
        <f aca="false">T142/U142</f>
        <v>4752.62780670036</v>
      </c>
      <c r="W142" s="1579" t="str">
        <f aca="false">IF(MONTH($A142)=12,SUM(V131:V142)," ")</f>
        <v> </v>
      </c>
      <c r="Y142" s="1580" t="n">
        <f aca="false">IF($A142&gt;Endyr,0,VLOOKUP($A142,Tariff_Table,Tariff!$J$33))</f>
        <v>0.19</v>
      </c>
      <c r="Z142" s="1576" t="n">
        <f aca="false">VLOOKUP($A142,Curves_Table,Escalation!$AH$291)</f>
        <v>2.60357709171367</v>
      </c>
      <c r="AA142" s="1576" t="n">
        <f aca="false">Y142*Z142</f>
        <v>0.494679647425597</v>
      </c>
      <c r="AB142" s="397" t="n">
        <f aca="false">'Plant Operations'!$I142+'Plant Operations'!$M142</f>
        <v>270047.232</v>
      </c>
      <c r="AC142" s="1575" t="n">
        <f aca="false">AA142*AB142/1000</f>
        <v>133.586869514018</v>
      </c>
      <c r="AD142" s="1576" t="n">
        <f aca="false">$I142</f>
        <v>2.59946120881426</v>
      </c>
      <c r="AE142" s="1566" t="n">
        <f aca="false">AC142/AD142</f>
        <v>51.3902146571957</v>
      </c>
      <c r="AF142" s="1567" t="str">
        <f aca="false">IF(MONTH($A142)=12,SUM(AE131:AE142)," ")</f>
        <v> </v>
      </c>
    </row>
    <row r="143" customFormat="false" ht="12.75" hidden="false" customHeight="false" outlineLevel="0" collapsed="false">
      <c r="A143" s="1538" t="n">
        <f aca="false">'Plant Operations'!A143</f>
        <v>40238</v>
      </c>
      <c r="C143" s="1574" t="n">
        <f aca="false">IF($A143&gt;Endyr,0,VLOOKUP($A143,Tariff_Table,Tariff!$D$33))</f>
        <v>7730.96074380165</v>
      </c>
      <c r="E143" s="1561" t="n">
        <f aca="false">VLOOKUP($A143,Tariff_Table,Tariff!$E$33)</f>
        <v>0.967556312059272</v>
      </c>
      <c r="F143" s="1575" t="n">
        <f aca="false">$C143*E143</f>
        <v>7480.13986594773</v>
      </c>
      <c r="G143" s="1565" t="n">
        <f aca="false">VLOOKUP($A143,Curves_Table,Escalation!$N$291)</f>
        <v>1.37395101449367</v>
      </c>
      <c r="H143" s="1575" t="n">
        <f aca="false">F143*G143</f>
        <v>10277.3457573734</v>
      </c>
      <c r="I143" s="1576" t="n">
        <f aca="false">IF(Assm!$L$74=0,VLOOKUP($A143,Curves_Table,Escalation!$D$291),VLOOKUP($A143,Curves_Table,Escalation!$E$291))</f>
        <v>2.60452397170578</v>
      </c>
      <c r="J143" s="1576" t="n">
        <f aca="false">IF($A143&lt;EE_Date,VLOOKUP($A143,Curves_Table,Escalation!$D$291),Exch)</f>
        <v>1.065</v>
      </c>
      <c r="K143" s="1577" t="n">
        <f aca="false">H143*I143/J143</f>
        <v>25133.8905075941</v>
      </c>
      <c r="M143" s="1561" t="n">
        <f aca="false">VLOOKUP($A143,Tariff_Table,Tariff!$F$33)</f>
        <v>0.0324436879407285</v>
      </c>
      <c r="N143" s="1575" t="n">
        <f aca="false">$C143*M143</f>
        <v>250.820877853923</v>
      </c>
      <c r="O143" s="1565" t="n">
        <f aca="false">VLOOKUP($A143,Curves_Table,Escalation!$R$291)</f>
        <v>2.60357709171367</v>
      </c>
      <c r="P143" s="1577" t="n">
        <f aca="false">N143*O143</f>
        <v>653.031491703986</v>
      </c>
      <c r="R143" s="1578" t="n">
        <f aca="false">SUM(K143,P143)</f>
        <v>25786.9219992981</v>
      </c>
      <c r="S143" s="1540" t="n">
        <f aca="false">'Plant Operations'!C143</f>
        <v>480</v>
      </c>
      <c r="T143" s="1575" t="n">
        <f aca="false">R143*S143/1000</f>
        <v>12377.7225596631</v>
      </c>
      <c r="U143" s="1576" t="n">
        <f aca="false">$I143</f>
        <v>2.60452397170578</v>
      </c>
      <c r="V143" s="394" t="n">
        <f aca="false">T143/U143</f>
        <v>4752.39341013113</v>
      </c>
      <c r="W143" s="1579" t="str">
        <f aca="false">IF(MONTH($A143)=12,SUM(V132:V143)," ")</f>
        <v> </v>
      </c>
      <c r="Y143" s="1580" t="n">
        <f aca="false">IF($A143&gt;Endyr,0,VLOOKUP($A143,Tariff_Table,Tariff!$J$33))</f>
        <v>0.19</v>
      </c>
      <c r="Z143" s="1576" t="n">
        <f aca="false">VLOOKUP($A143,Curves_Table,Escalation!$AH$291)</f>
        <v>2.60357709171367</v>
      </c>
      <c r="AA143" s="1576" t="n">
        <f aca="false">Y143*Z143</f>
        <v>0.494679647425597</v>
      </c>
      <c r="AB143" s="397" t="n">
        <f aca="false">'Plant Operations'!$I143+'Plant Operations'!$M143</f>
        <v>298980.864</v>
      </c>
      <c r="AC143" s="1575" t="n">
        <f aca="false">AA143*AB143/1000</f>
        <v>147.89974839052</v>
      </c>
      <c r="AD143" s="1576" t="n">
        <f aca="false">$I143</f>
        <v>2.60452397170578</v>
      </c>
      <c r="AE143" s="1566" t="n">
        <f aca="false">AC143/AD143</f>
        <v>56.7857120906652</v>
      </c>
      <c r="AF143" s="1567" t="str">
        <f aca="false">IF(MONTH($A143)=12,SUM(AE132:AE143)," ")</f>
        <v> </v>
      </c>
    </row>
    <row r="144" customFormat="false" ht="12.75" hidden="false" customHeight="false" outlineLevel="0" collapsed="false">
      <c r="A144" s="1538" t="n">
        <f aca="false">'Plant Operations'!A144</f>
        <v>40269</v>
      </c>
      <c r="C144" s="1574" t="n">
        <f aca="false">IF($A144&gt;Endyr,0,VLOOKUP($A144,Tariff_Table,Tariff!$D$33))</f>
        <v>7730.96074380165</v>
      </c>
      <c r="E144" s="1561" t="n">
        <f aca="false">VLOOKUP($A144,Tariff_Table,Tariff!$E$33)</f>
        <v>0.967556312059272</v>
      </c>
      <c r="F144" s="1575" t="n">
        <f aca="false">$C144*E144</f>
        <v>7480.13986594773</v>
      </c>
      <c r="G144" s="1565" t="n">
        <f aca="false">VLOOKUP($A144,Curves_Table,Escalation!$N$291)</f>
        <v>1.37395101449367</v>
      </c>
      <c r="H144" s="1575" t="n">
        <f aca="false">F144*G144</f>
        <v>10277.3457573734</v>
      </c>
      <c r="I144" s="1576" t="n">
        <f aca="false">IF(Assm!$L$74=0,VLOOKUP($A144,Curves_Table,Escalation!$D$291),VLOOKUP($A144,Curves_Table,Escalation!$E$291))</f>
        <v>2.60959659493605</v>
      </c>
      <c r="J144" s="1576" t="n">
        <f aca="false">IF($A144&lt;EE_Date,VLOOKUP($A144,Curves_Table,Escalation!$D$291),Exch)</f>
        <v>1.065</v>
      </c>
      <c r="K144" s="1577" t="n">
        <f aca="false">H144*I144/J144</f>
        <v>25182.8417778611</v>
      </c>
      <c r="M144" s="1561" t="n">
        <f aca="false">VLOOKUP($A144,Tariff_Table,Tariff!$F$33)</f>
        <v>0.0324436879407285</v>
      </c>
      <c r="N144" s="1575" t="n">
        <f aca="false">$C144*M144</f>
        <v>250.820877853923</v>
      </c>
      <c r="O144" s="1565" t="n">
        <f aca="false">VLOOKUP($A144,Curves_Table,Escalation!$R$291)</f>
        <v>2.60357709171367</v>
      </c>
      <c r="P144" s="1577" t="n">
        <f aca="false">N144*O144</f>
        <v>653.031491703986</v>
      </c>
      <c r="R144" s="1578" t="n">
        <f aca="false">SUM(K144,P144)</f>
        <v>25835.8732695651</v>
      </c>
      <c r="S144" s="1540" t="n">
        <f aca="false">'Plant Operations'!C144</f>
        <v>480</v>
      </c>
      <c r="T144" s="1575" t="n">
        <f aca="false">R144*S144/1000</f>
        <v>12401.2191693913</v>
      </c>
      <c r="U144" s="1576" t="n">
        <f aca="false">$I144</f>
        <v>2.60959659493605</v>
      </c>
      <c r="V144" s="394" t="n">
        <f aca="false">T144/U144</f>
        <v>4752.15946918997</v>
      </c>
      <c r="W144" s="1579" t="str">
        <f aca="false">IF(MONTH($A144)=12,SUM(V133:V144)," ")</f>
        <v> </v>
      </c>
      <c r="Y144" s="1580" t="n">
        <f aca="false">IF($A144&gt;Endyr,0,VLOOKUP($A144,Tariff_Table,Tariff!$J$33))</f>
        <v>0.19</v>
      </c>
      <c r="Z144" s="1576" t="n">
        <f aca="false">VLOOKUP($A144,Curves_Table,Escalation!$AH$291)</f>
        <v>2.60357709171367</v>
      </c>
      <c r="AA144" s="1576" t="n">
        <f aca="false">Y144*Z144</f>
        <v>0.494679647425597</v>
      </c>
      <c r="AB144" s="397" t="n">
        <f aca="false">'Plant Operations'!$I144+'Plant Operations'!$M144</f>
        <v>289336.32</v>
      </c>
      <c r="AC144" s="1575" t="n">
        <f aca="false">AA144*AB144/1000</f>
        <v>143.12878876502</v>
      </c>
      <c r="AD144" s="1576" t="n">
        <f aca="false">$I144</f>
        <v>2.60959659493605</v>
      </c>
      <c r="AE144" s="1566" t="n">
        <f aca="false">AC144/AD144</f>
        <v>54.8470936246478</v>
      </c>
      <c r="AF144" s="1567" t="str">
        <f aca="false">IF(MONTH($A144)=12,SUM(AE133:AE144)," ")</f>
        <v> </v>
      </c>
    </row>
    <row r="145" customFormat="false" ht="12.75" hidden="false" customHeight="false" outlineLevel="0" collapsed="false">
      <c r="A145" s="1538" t="n">
        <f aca="false">'Plant Operations'!A145</f>
        <v>40299</v>
      </c>
      <c r="C145" s="1574" t="n">
        <f aca="false">IF($A145&gt;Endyr,0,VLOOKUP($A145,Tariff_Table,Tariff!$D$33))</f>
        <v>7728.38912133891</v>
      </c>
      <c r="E145" s="1561" t="n">
        <f aca="false">VLOOKUP($A145,Tariff_Table,Tariff!$E$33)</f>
        <v>0.969547267535333</v>
      </c>
      <c r="F145" s="1575" t="n">
        <f aca="false">$C145*E145</f>
        <v>7493.03855504394</v>
      </c>
      <c r="G145" s="1565" t="n">
        <f aca="false">VLOOKUP($A145,Curves_Table,Escalation!$N$291)</f>
        <v>1.40945468809218</v>
      </c>
      <c r="H145" s="1575" t="n">
        <f aca="false">F145*G145</f>
        <v>10561.0983194621</v>
      </c>
      <c r="I145" s="1576" t="n">
        <f aca="false">IF(Assm!$L$74=0,VLOOKUP($A145,Curves_Table,Escalation!$D$291),VLOOKUP($A145,Curves_Table,Escalation!$E$291))</f>
        <v>2.61467909770927</v>
      </c>
      <c r="J145" s="1576" t="n">
        <f aca="false">IF($A145&lt;EE_Date,VLOOKUP($A145,Curves_Table,Escalation!$D$291),Exch)</f>
        <v>1.065</v>
      </c>
      <c r="K145" s="1577" t="n">
        <f aca="false">H145*I145/J145</f>
        <v>25928.5286617372</v>
      </c>
      <c r="M145" s="1561" t="n">
        <f aca="false">VLOOKUP($A145,Tariff_Table,Tariff!$F$33)</f>
        <v>0.0304527324646666</v>
      </c>
      <c r="N145" s="1575" t="n">
        <f aca="false">$C145*M145</f>
        <v>235.350566294974</v>
      </c>
      <c r="O145" s="1565" t="n">
        <f aca="false">VLOOKUP($A145,Curves_Table,Escalation!$R$291)</f>
        <v>2.79103464231705</v>
      </c>
      <c r="P145" s="1577" t="n">
        <f aca="false">N145*O145</f>
        <v>656.871583618208</v>
      </c>
      <c r="R145" s="1578" t="n">
        <f aca="false">SUM(K145,P145)</f>
        <v>26585.4002453554</v>
      </c>
      <c r="S145" s="1540" t="n">
        <f aca="false">'Plant Operations'!C145</f>
        <v>480</v>
      </c>
      <c r="T145" s="1575" t="n">
        <f aca="false">R145*S145/1000</f>
        <v>12760.9921177706</v>
      </c>
      <c r="U145" s="1576" t="n">
        <f aca="false">$I145</f>
        <v>2.61467909770927</v>
      </c>
      <c r="V145" s="394" t="n">
        <f aca="false">T145/U145</f>
        <v>4880.51942165696</v>
      </c>
      <c r="W145" s="1579" t="str">
        <f aca="false">IF(MONTH($A145)=12,SUM(V134:V145)," ")</f>
        <v> </v>
      </c>
      <c r="Y145" s="1580" t="n">
        <f aca="false">IF($A145&gt;Endyr,0,VLOOKUP($A145,Tariff_Table,Tariff!$J$33))</f>
        <v>0.19</v>
      </c>
      <c r="Z145" s="1576" t="n">
        <f aca="false">VLOOKUP($A145,Curves_Table,Escalation!$AH$291)</f>
        <v>2.79103464231705</v>
      </c>
      <c r="AA145" s="1576" t="n">
        <f aca="false">Y145*Z145</f>
        <v>0.53029658204024</v>
      </c>
      <c r="AB145" s="397" t="n">
        <f aca="false">'Plant Operations'!$I145+'Plant Operations'!$M145</f>
        <v>298980.864</v>
      </c>
      <c r="AC145" s="1575" t="n">
        <f aca="false">AA145*AB145/1000</f>
        <v>158.548530274638</v>
      </c>
      <c r="AD145" s="1576" t="n">
        <f aca="false">$I145</f>
        <v>2.61467909770927</v>
      </c>
      <c r="AE145" s="1566" t="n">
        <f aca="false">AC145/AD145</f>
        <v>60.6378543407269</v>
      </c>
      <c r="AF145" s="1567" t="str">
        <f aca="false">IF(MONTH($A145)=12,SUM(AE134:AE145)," ")</f>
        <v> </v>
      </c>
    </row>
    <row r="146" customFormat="false" ht="12.75" hidden="false" customHeight="false" outlineLevel="0" collapsed="false">
      <c r="A146" s="1538" t="n">
        <f aca="false">'Plant Operations'!A146</f>
        <v>40330</v>
      </c>
      <c r="C146" s="1574" t="n">
        <f aca="false">IF($A146&gt;Endyr,0,VLOOKUP($A146,Tariff_Table,Tariff!$D$33))</f>
        <v>7728.38912133891</v>
      </c>
      <c r="E146" s="1561" t="n">
        <f aca="false">VLOOKUP($A146,Tariff_Table,Tariff!$E$33)</f>
        <v>0.969547267535333</v>
      </c>
      <c r="F146" s="1575" t="n">
        <f aca="false">$C146*E146</f>
        <v>7493.03855504394</v>
      </c>
      <c r="G146" s="1565" t="n">
        <f aca="false">VLOOKUP($A146,Curves_Table,Escalation!$N$291)</f>
        <v>1.40945468809218</v>
      </c>
      <c r="H146" s="1575" t="n">
        <f aca="false">F146*G146</f>
        <v>10561.0983194621</v>
      </c>
      <c r="I146" s="1576" t="n">
        <f aca="false">IF(Assm!$L$74=0,VLOOKUP($A146,Curves_Table,Escalation!$D$291),VLOOKUP($A146,Curves_Table,Escalation!$E$291))</f>
        <v>2.61977149926703</v>
      </c>
      <c r="J146" s="1576" t="n">
        <f aca="false">IF($A146&lt;EE_Date,VLOOKUP($A146,Curves_Table,Escalation!$D$291),Exch)</f>
        <v>1.065</v>
      </c>
      <c r="K146" s="1577" t="n">
        <f aca="false">H146*I146/J146</f>
        <v>25979.027585243</v>
      </c>
      <c r="M146" s="1561" t="n">
        <f aca="false">VLOOKUP($A146,Tariff_Table,Tariff!$F$33)</f>
        <v>0.0304527324646666</v>
      </c>
      <c r="N146" s="1575" t="n">
        <f aca="false">$C146*M146</f>
        <v>235.350566294974</v>
      </c>
      <c r="O146" s="1565" t="n">
        <f aca="false">VLOOKUP($A146,Curves_Table,Escalation!$R$291)</f>
        <v>2.79103464231705</v>
      </c>
      <c r="P146" s="1577" t="n">
        <f aca="false">N146*O146</f>
        <v>656.871583618208</v>
      </c>
      <c r="R146" s="1578" t="n">
        <f aca="false">SUM(K146,P146)</f>
        <v>26635.8991688612</v>
      </c>
      <c r="S146" s="1540" t="n">
        <f aca="false">'Plant Operations'!C146</f>
        <v>480</v>
      </c>
      <c r="T146" s="1575" t="n">
        <f aca="false">R146*S146/1000</f>
        <v>12785.2316010534</v>
      </c>
      <c r="U146" s="1576" t="n">
        <f aca="false">$I146</f>
        <v>2.61977149926703</v>
      </c>
      <c r="V146" s="394" t="n">
        <f aca="false">T146/U146</f>
        <v>4880.28501899135</v>
      </c>
      <c r="W146" s="1579" t="str">
        <f aca="false">IF(MONTH($A146)=12,SUM(V135:V146)," ")</f>
        <v> </v>
      </c>
      <c r="Y146" s="1580" t="n">
        <f aca="false">IF($A146&gt;Endyr,0,VLOOKUP($A146,Tariff_Table,Tariff!$J$33))</f>
        <v>0.19</v>
      </c>
      <c r="Z146" s="1576" t="n">
        <f aca="false">VLOOKUP($A146,Curves_Table,Escalation!$AH$291)</f>
        <v>2.79103464231705</v>
      </c>
      <c r="AA146" s="1576" t="n">
        <f aca="false">Y146*Z146</f>
        <v>0.53029658204024</v>
      </c>
      <c r="AB146" s="397" t="n">
        <f aca="false">'Plant Operations'!$I146+'Plant Operations'!$M146</f>
        <v>289336.32</v>
      </c>
      <c r="AC146" s="1575" t="n">
        <f aca="false">AA146*AB146/1000</f>
        <v>153.434061556101</v>
      </c>
      <c r="AD146" s="1576" t="n">
        <f aca="false">$I146</f>
        <v>2.61977149926703</v>
      </c>
      <c r="AE146" s="1566" t="n">
        <f aca="false">AC146/AD146</f>
        <v>58.5677268414552</v>
      </c>
      <c r="AF146" s="1567" t="str">
        <f aca="false">IF(MONTH($A146)=12,SUM(AE135:AE146)," ")</f>
        <v> </v>
      </c>
    </row>
    <row r="147" customFormat="false" ht="12.75" hidden="false" customHeight="false" outlineLevel="0" collapsed="false">
      <c r="A147" s="1538" t="n">
        <f aca="false">'Plant Operations'!A147</f>
        <v>40360</v>
      </c>
      <c r="C147" s="1574" t="n">
        <f aca="false">IF($A147&gt;Endyr,0,VLOOKUP($A147,Tariff_Table,Tariff!$D$33))</f>
        <v>7728.38912133891</v>
      </c>
      <c r="E147" s="1561" t="n">
        <f aca="false">VLOOKUP($A147,Tariff_Table,Tariff!$E$33)</f>
        <v>0.969547267535333</v>
      </c>
      <c r="F147" s="1575" t="n">
        <f aca="false">$C147*E147</f>
        <v>7493.03855504394</v>
      </c>
      <c r="G147" s="1565" t="n">
        <f aca="false">VLOOKUP($A147,Curves_Table,Escalation!$N$291)</f>
        <v>1.40945468809218</v>
      </c>
      <c r="H147" s="1575" t="n">
        <f aca="false">F147*G147</f>
        <v>10561.0983194621</v>
      </c>
      <c r="I147" s="1576" t="n">
        <f aca="false">IF(Assm!$L$74=0,VLOOKUP($A147,Curves_Table,Escalation!$D$291),VLOOKUP($A147,Curves_Table,Escalation!$E$291))</f>
        <v>2.62487381888841</v>
      </c>
      <c r="J147" s="1576" t="n">
        <f aca="false">IF($A147&lt;EE_Date,VLOOKUP($A147,Curves_Table,Escalation!$D$291),Exch)</f>
        <v>1.065</v>
      </c>
      <c r="K147" s="1577" t="n">
        <f aca="false">H147*I147/J147</f>
        <v>26029.6248614671</v>
      </c>
      <c r="M147" s="1561" t="n">
        <f aca="false">VLOOKUP($A147,Tariff_Table,Tariff!$F$33)</f>
        <v>0.0304527324646666</v>
      </c>
      <c r="N147" s="1575" t="n">
        <f aca="false">$C147*M147</f>
        <v>235.350566294974</v>
      </c>
      <c r="O147" s="1565" t="n">
        <f aca="false">VLOOKUP($A147,Curves_Table,Escalation!$R$291)</f>
        <v>2.79103464231705</v>
      </c>
      <c r="P147" s="1577" t="n">
        <f aca="false">N147*O147</f>
        <v>656.871583618208</v>
      </c>
      <c r="R147" s="1578" t="n">
        <f aca="false">SUM(K147,P147)</f>
        <v>26686.4964450854</v>
      </c>
      <c r="S147" s="1540" t="n">
        <f aca="false">'Plant Operations'!C147</f>
        <v>480</v>
      </c>
      <c r="T147" s="1575" t="n">
        <f aca="false">R147*S147/1000</f>
        <v>12809.518293641</v>
      </c>
      <c r="U147" s="1576" t="n">
        <f aca="false">$I147</f>
        <v>2.62487381888841</v>
      </c>
      <c r="V147" s="394" t="n">
        <f aca="false">T147/U147</f>
        <v>4880.05107196566</v>
      </c>
      <c r="W147" s="1579" t="str">
        <f aca="false">IF(MONTH($A147)=12,SUM(V136:V147)," ")</f>
        <v> </v>
      </c>
      <c r="Y147" s="1580" t="n">
        <f aca="false">IF($A147&gt;Endyr,0,VLOOKUP($A147,Tariff_Table,Tariff!$J$33))</f>
        <v>0.19</v>
      </c>
      <c r="Z147" s="1576" t="n">
        <f aca="false">VLOOKUP($A147,Curves_Table,Escalation!$AH$291)</f>
        <v>2.79103464231705</v>
      </c>
      <c r="AA147" s="1576" t="n">
        <f aca="false">Y147*Z147</f>
        <v>0.53029658204024</v>
      </c>
      <c r="AB147" s="397" t="n">
        <f aca="false">'Plant Operations'!$I147+'Plant Operations'!$M147</f>
        <v>298980.864</v>
      </c>
      <c r="AC147" s="1575" t="n">
        <f aca="false">AA147*AB147/1000</f>
        <v>158.548530274638</v>
      </c>
      <c r="AD147" s="1576" t="n">
        <f aca="false">$I147</f>
        <v>2.62487381888841</v>
      </c>
      <c r="AE147" s="1566" t="n">
        <f aca="false">AC147/AD147</f>
        <v>60.4023435845691</v>
      </c>
      <c r="AF147" s="1567" t="str">
        <f aca="false">IF(MONTH($A147)=12,SUM(AE136:AE147)," ")</f>
        <v> </v>
      </c>
    </row>
    <row r="148" customFormat="false" ht="12.75" hidden="false" customHeight="false" outlineLevel="0" collapsed="false">
      <c r="A148" s="1538" t="n">
        <f aca="false">'Plant Operations'!A148</f>
        <v>40391</v>
      </c>
      <c r="C148" s="1574" t="n">
        <f aca="false">IF($A148&gt;Endyr,0,VLOOKUP($A148,Tariff_Table,Tariff!$D$33))</f>
        <v>7728.38912133891</v>
      </c>
      <c r="E148" s="1561" t="n">
        <f aca="false">VLOOKUP($A148,Tariff_Table,Tariff!$E$33)</f>
        <v>0.969547267535333</v>
      </c>
      <c r="F148" s="1575" t="n">
        <f aca="false">$C148*E148</f>
        <v>7493.03855504394</v>
      </c>
      <c r="G148" s="1565" t="n">
        <f aca="false">VLOOKUP($A148,Curves_Table,Escalation!$N$291)</f>
        <v>1.40945468809218</v>
      </c>
      <c r="H148" s="1575" t="n">
        <f aca="false">F148*G148</f>
        <v>10561.0983194621</v>
      </c>
      <c r="I148" s="1576" t="n">
        <f aca="false">IF(Assm!$L$74=0,VLOOKUP($A148,Curves_Table,Escalation!$D$291),VLOOKUP($A148,Curves_Table,Escalation!$E$291))</f>
        <v>2.62998607589002</v>
      </c>
      <c r="J148" s="1576" t="n">
        <f aca="false">IF($A148&lt;EE_Date,VLOOKUP($A148,Curves_Table,Escalation!$D$291),Exch)</f>
        <v>1.065</v>
      </c>
      <c r="K148" s="1577" t="n">
        <f aca="false">H148*I148/J148</f>
        <v>26080.3206819633</v>
      </c>
      <c r="M148" s="1561" t="n">
        <f aca="false">VLOOKUP($A148,Tariff_Table,Tariff!$F$33)</f>
        <v>0.0304527324646666</v>
      </c>
      <c r="N148" s="1575" t="n">
        <f aca="false">$C148*M148</f>
        <v>235.350566294974</v>
      </c>
      <c r="O148" s="1565" t="n">
        <f aca="false">VLOOKUP($A148,Curves_Table,Escalation!$R$291)</f>
        <v>2.79103464231705</v>
      </c>
      <c r="P148" s="1577" t="n">
        <f aca="false">N148*O148</f>
        <v>656.871583618208</v>
      </c>
      <c r="R148" s="1578" t="n">
        <f aca="false">SUM(K148,P148)</f>
        <v>26737.1922655815</v>
      </c>
      <c r="S148" s="1540" t="n">
        <f aca="false">'Plant Operations'!C148</f>
        <v>480</v>
      </c>
      <c r="T148" s="1575" t="n">
        <f aca="false">R148*S148/1000</f>
        <v>12833.8522874791</v>
      </c>
      <c r="U148" s="1576" t="n">
        <f aca="false">$I148</f>
        <v>2.62998607589002</v>
      </c>
      <c r="V148" s="394" t="n">
        <f aca="false">T148/U148</f>
        <v>4879.81757969421</v>
      </c>
      <c r="W148" s="1579" t="str">
        <f aca="false">IF(MONTH($A148)=12,SUM(V137:V148)," ")</f>
        <v> </v>
      </c>
      <c r="Y148" s="1580" t="n">
        <f aca="false">IF($A148&gt;Endyr,0,VLOOKUP($A148,Tariff_Table,Tariff!$J$33))</f>
        <v>0.19</v>
      </c>
      <c r="Z148" s="1576" t="n">
        <f aca="false">VLOOKUP($A148,Curves_Table,Escalation!$AH$291)</f>
        <v>2.79103464231705</v>
      </c>
      <c r="AA148" s="1576" t="n">
        <f aca="false">Y148*Z148</f>
        <v>0.53029658204024</v>
      </c>
      <c r="AB148" s="397" t="n">
        <f aca="false">'Plant Operations'!$I148+'Plant Operations'!$M148</f>
        <v>298980.864</v>
      </c>
      <c r="AC148" s="1575" t="n">
        <f aca="false">AA148*AB148/1000</f>
        <v>158.548530274638</v>
      </c>
      <c r="AD148" s="1576" t="n">
        <f aca="false">$I148</f>
        <v>2.62998607589002</v>
      </c>
      <c r="AE148" s="1566" t="n">
        <f aca="false">AC148/AD148</f>
        <v>60.2849314405525</v>
      </c>
      <c r="AF148" s="1567" t="str">
        <f aca="false">IF(MONTH($A148)=12,SUM(AE137:AE148)," ")</f>
        <v> </v>
      </c>
    </row>
    <row r="149" customFormat="false" ht="12.75" hidden="false" customHeight="false" outlineLevel="0" collapsed="false">
      <c r="A149" s="1538" t="n">
        <f aca="false">'Plant Operations'!A149</f>
        <v>40422</v>
      </c>
      <c r="C149" s="1574" t="n">
        <f aca="false">IF($A149&gt;Endyr,0,VLOOKUP($A149,Tariff_Table,Tariff!$D$33))</f>
        <v>7728.38912133891</v>
      </c>
      <c r="E149" s="1561" t="n">
        <f aca="false">VLOOKUP($A149,Tariff_Table,Tariff!$E$33)</f>
        <v>0.969547267535333</v>
      </c>
      <c r="F149" s="1575" t="n">
        <f aca="false">$C149*E149</f>
        <v>7493.03855504394</v>
      </c>
      <c r="G149" s="1565" t="n">
        <f aca="false">VLOOKUP($A149,Curves_Table,Escalation!$N$291)</f>
        <v>1.40945468809218</v>
      </c>
      <c r="H149" s="1575" t="n">
        <f aca="false">F149*G149</f>
        <v>10561.0983194621</v>
      </c>
      <c r="I149" s="1576" t="n">
        <f aca="false">IF(Assm!$L$74=0,VLOOKUP($A149,Curves_Table,Escalation!$D$291),VLOOKUP($A149,Curves_Table,Escalation!$E$291))</f>
        <v>2.63510828962611</v>
      </c>
      <c r="J149" s="1576" t="n">
        <f aca="false">IF($A149&lt;EE_Date,VLOOKUP($A149,Curves_Table,Escalation!$D$291),Exch)</f>
        <v>1.065</v>
      </c>
      <c r="K149" s="1577" t="n">
        <f aca="false">H149*I149/J149</f>
        <v>26131.1152386583</v>
      </c>
      <c r="M149" s="1561" t="n">
        <f aca="false">VLOOKUP($A149,Tariff_Table,Tariff!$F$33)</f>
        <v>0.0304527324646666</v>
      </c>
      <c r="N149" s="1575" t="n">
        <f aca="false">$C149*M149</f>
        <v>235.350566294974</v>
      </c>
      <c r="O149" s="1565" t="n">
        <f aca="false">VLOOKUP($A149,Curves_Table,Escalation!$R$291)</f>
        <v>2.79103464231705</v>
      </c>
      <c r="P149" s="1577" t="n">
        <f aca="false">N149*O149</f>
        <v>656.871583618208</v>
      </c>
      <c r="R149" s="1578" t="n">
        <f aca="false">SUM(K149,P149)</f>
        <v>26787.9868222765</v>
      </c>
      <c r="S149" s="1540" t="n">
        <f aca="false">'Plant Operations'!C149</f>
        <v>480</v>
      </c>
      <c r="T149" s="1575" t="n">
        <f aca="false">R149*S149/1000</f>
        <v>12858.2336746927</v>
      </c>
      <c r="U149" s="1576" t="n">
        <f aca="false">$I149</f>
        <v>2.63510828962611</v>
      </c>
      <c r="V149" s="394" t="n">
        <f aca="false">T149/U149</f>
        <v>4879.58454129304</v>
      </c>
      <c r="W149" s="1579" t="str">
        <f aca="false">IF(MONTH($A149)=12,SUM(V138:V149)," ")</f>
        <v> </v>
      </c>
      <c r="Y149" s="1580" t="n">
        <f aca="false">IF($A149&gt;Endyr,0,VLOOKUP($A149,Tariff_Table,Tariff!$J$33))</f>
        <v>0.19</v>
      </c>
      <c r="Z149" s="1576" t="n">
        <f aca="false">VLOOKUP($A149,Curves_Table,Escalation!$AH$291)</f>
        <v>2.79103464231705</v>
      </c>
      <c r="AA149" s="1576" t="n">
        <f aca="false">Y149*Z149</f>
        <v>0.53029658204024</v>
      </c>
      <c r="AB149" s="397" t="n">
        <f aca="false">'Plant Operations'!$I149+'Plant Operations'!$M149</f>
        <v>289336.32</v>
      </c>
      <c r="AC149" s="1575" t="n">
        <f aca="false">AA149*AB149/1000</f>
        <v>153.434061556101</v>
      </c>
      <c r="AD149" s="1576" t="n">
        <f aca="false">$I149</f>
        <v>2.63510828962611</v>
      </c>
      <c r="AE149" s="1566" t="n">
        <f aca="false">AC149/AD149</f>
        <v>58.2268524447894</v>
      </c>
      <c r="AF149" s="1567" t="str">
        <f aca="false">IF(MONTH($A149)=12,SUM(AE138:AE149)," ")</f>
        <v> </v>
      </c>
    </row>
    <row r="150" customFormat="false" ht="12.75" hidden="false" customHeight="false" outlineLevel="0" collapsed="false">
      <c r="A150" s="1538" t="n">
        <f aca="false">'Plant Operations'!A150</f>
        <v>40452</v>
      </c>
      <c r="C150" s="1574" t="n">
        <f aca="false">IF($A150&gt;Endyr,0,VLOOKUP($A150,Tariff_Table,Tariff!$D$33))</f>
        <v>7728.38912133891</v>
      </c>
      <c r="E150" s="1561" t="n">
        <f aca="false">VLOOKUP($A150,Tariff_Table,Tariff!$E$33)</f>
        <v>0.969547267535333</v>
      </c>
      <c r="F150" s="1575" t="n">
        <f aca="false">$C150*E150</f>
        <v>7493.03855504394</v>
      </c>
      <c r="G150" s="1565" t="n">
        <f aca="false">VLOOKUP($A150,Curves_Table,Escalation!$N$291)</f>
        <v>1.40945468809218</v>
      </c>
      <c r="H150" s="1575" t="n">
        <f aca="false">F150*G150</f>
        <v>10561.0983194621</v>
      </c>
      <c r="I150" s="1576" t="n">
        <f aca="false">IF(Assm!$L$74=0,VLOOKUP($A150,Curves_Table,Escalation!$D$291),VLOOKUP($A150,Curves_Table,Escalation!$E$291))</f>
        <v>2.64024047948862</v>
      </c>
      <c r="J150" s="1576" t="n">
        <f aca="false">IF($A150&lt;EE_Date,VLOOKUP($A150,Curves_Table,Escalation!$D$291),Exch)</f>
        <v>1.065</v>
      </c>
      <c r="K150" s="1577" t="n">
        <f aca="false">H150*I150/J150</f>
        <v>26182.0087238527</v>
      </c>
      <c r="M150" s="1561" t="n">
        <f aca="false">VLOOKUP($A150,Tariff_Table,Tariff!$F$33)</f>
        <v>0.0304527324646666</v>
      </c>
      <c r="N150" s="1575" t="n">
        <f aca="false">$C150*M150</f>
        <v>235.350566294974</v>
      </c>
      <c r="O150" s="1565" t="n">
        <f aca="false">VLOOKUP($A150,Curves_Table,Escalation!$R$291)</f>
        <v>2.79103464231705</v>
      </c>
      <c r="P150" s="1577" t="n">
        <f aca="false">N150*O150</f>
        <v>656.871583618208</v>
      </c>
      <c r="R150" s="1578" t="n">
        <f aca="false">SUM(K150,P150)</f>
        <v>26838.8803074709</v>
      </c>
      <c r="S150" s="1540" t="n">
        <f aca="false">'Plant Operations'!C150</f>
        <v>480</v>
      </c>
      <c r="T150" s="1575" t="n">
        <f aca="false">R150*S150/1000</f>
        <v>12882.662547586</v>
      </c>
      <c r="U150" s="1576" t="n">
        <f aca="false">$I150</f>
        <v>2.64024047948862</v>
      </c>
      <c r="V150" s="394" t="n">
        <f aca="false">T150/U150</f>
        <v>4879.35195587989</v>
      </c>
      <c r="W150" s="1579" t="str">
        <f aca="false">IF(MONTH($A150)=12,SUM(V139:V150)," ")</f>
        <v> </v>
      </c>
      <c r="Y150" s="1580" t="n">
        <f aca="false">IF($A150&gt;Endyr,0,VLOOKUP($A150,Tariff_Table,Tariff!$J$33))</f>
        <v>0.19</v>
      </c>
      <c r="Z150" s="1576" t="n">
        <f aca="false">VLOOKUP($A150,Curves_Table,Escalation!$AH$291)</f>
        <v>2.79103464231705</v>
      </c>
      <c r="AA150" s="1576" t="n">
        <f aca="false">Y150*Z150</f>
        <v>0.53029658204024</v>
      </c>
      <c r="AB150" s="397" t="n">
        <f aca="false">'Plant Operations'!$I150+'Plant Operations'!$M150</f>
        <v>298980.864</v>
      </c>
      <c r="AC150" s="1575" t="n">
        <f aca="false">AA150*AB150/1000</f>
        <v>158.548530274638</v>
      </c>
      <c r="AD150" s="1576" t="n">
        <f aca="false">$I150</f>
        <v>2.64024047948862</v>
      </c>
      <c r="AE150" s="1566" t="n">
        <f aca="false">AC150/AD150</f>
        <v>60.0507913981179</v>
      </c>
      <c r="AF150" s="1567" t="str">
        <f aca="false">IF(MONTH($A150)=12,SUM(AE139:AE150)," ")</f>
        <v> </v>
      </c>
    </row>
    <row r="151" customFormat="false" ht="12.75" hidden="false" customHeight="false" outlineLevel="0" collapsed="false">
      <c r="A151" s="1538" t="n">
        <f aca="false">'Plant Operations'!A151</f>
        <v>40483</v>
      </c>
      <c r="C151" s="1574" t="n">
        <f aca="false">IF($A151&gt;Endyr,0,VLOOKUP($A151,Tariff_Table,Tariff!$D$33))</f>
        <v>7728.38912133891</v>
      </c>
      <c r="E151" s="1561" t="n">
        <f aca="false">VLOOKUP($A151,Tariff_Table,Tariff!$E$33)</f>
        <v>0.969547267535333</v>
      </c>
      <c r="F151" s="1575" t="n">
        <f aca="false">$C151*E151</f>
        <v>7493.03855504394</v>
      </c>
      <c r="G151" s="1565" t="n">
        <f aca="false">VLOOKUP($A151,Curves_Table,Escalation!$N$291)</f>
        <v>1.40945468809218</v>
      </c>
      <c r="H151" s="1575" t="n">
        <f aca="false">F151*G151</f>
        <v>10561.0983194621</v>
      </c>
      <c r="I151" s="1576" t="n">
        <f aca="false">IF(Assm!$L$74=0,VLOOKUP($A151,Curves_Table,Escalation!$D$291),VLOOKUP($A151,Curves_Table,Escalation!$E$291))</f>
        <v>2.64538266490724</v>
      </c>
      <c r="J151" s="1576" t="n">
        <f aca="false">IF($A151&lt;EE_Date,VLOOKUP($A151,Curves_Table,Escalation!$D$291),Exch)</f>
        <v>1.065</v>
      </c>
      <c r="K151" s="1577" t="n">
        <f aca="false">H151*I151/J151</f>
        <v>26233.0013302217</v>
      </c>
      <c r="M151" s="1561" t="n">
        <f aca="false">VLOOKUP($A151,Tariff_Table,Tariff!$F$33)</f>
        <v>0.0304527324646666</v>
      </c>
      <c r="N151" s="1575" t="n">
        <f aca="false">$C151*M151</f>
        <v>235.350566294974</v>
      </c>
      <c r="O151" s="1565" t="n">
        <f aca="false">VLOOKUP($A151,Curves_Table,Escalation!$R$291)</f>
        <v>2.79103464231705</v>
      </c>
      <c r="P151" s="1577" t="n">
        <f aca="false">N151*O151</f>
        <v>656.871583618208</v>
      </c>
      <c r="R151" s="1578" t="n">
        <f aca="false">SUM(K151,P151)</f>
        <v>26889.8729138399</v>
      </c>
      <c r="S151" s="1540" t="n">
        <f aca="false">'Plant Operations'!C151</f>
        <v>480</v>
      </c>
      <c r="T151" s="1575" t="n">
        <f aca="false">R151*S151/1000</f>
        <v>12907.1389986431</v>
      </c>
      <c r="U151" s="1576" t="n">
        <f aca="false">$I151</f>
        <v>2.64538266490724</v>
      </c>
      <c r="V151" s="394" t="n">
        <f aca="false">T151/U151</f>
        <v>4879.11982257423</v>
      </c>
      <c r="W151" s="1579" t="str">
        <f aca="false">IF(MONTH($A151)=12,SUM(V140:V151)," ")</f>
        <v> </v>
      </c>
      <c r="Y151" s="1580" t="n">
        <f aca="false">IF($A151&gt;Endyr,0,VLOOKUP($A151,Tariff_Table,Tariff!$J$33))</f>
        <v>0.19</v>
      </c>
      <c r="Z151" s="1576" t="n">
        <f aca="false">VLOOKUP($A151,Curves_Table,Escalation!$AH$291)</f>
        <v>2.79103464231705</v>
      </c>
      <c r="AA151" s="1576" t="n">
        <f aca="false">Y151*Z151</f>
        <v>0.53029658204024</v>
      </c>
      <c r="AB151" s="397" t="n">
        <f aca="false">'Plant Operations'!$I151+'Plant Operations'!$M151</f>
        <v>289336.32</v>
      </c>
      <c r="AC151" s="1575" t="n">
        <f aca="false">AA151*AB151/1000</f>
        <v>153.434061556101</v>
      </c>
      <c r="AD151" s="1576" t="n">
        <f aca="false">$I151</f>
        <v>2.64538266490724</v>
      </c>
      <c r="AE151" s="1566" t="n">
        <f aca="false">AC151/AD151</f>
        <v>58.0007057547878</v>
      </c>
      <c r="AF151" s="1567" t="str">
        <f aca="false">IF(MONTH($A151)=12,SUM(AE140:AE151)," ")</f>
        <v> </v>
      </c>
    </row>
    <row r="152" customFormat="false" ht="12.75" hidden="false" customHeight="false" outlineLevel="0" collapsed="false">
      <c r="A152" s="1538" t="n">
        <f aca="false">'Plant Operations'!A152</f>
        <v>40513</v>
      </c>
      <c r="C152" s="1574" t="n">
        <f aca="false">IF($A152&gt;Endyr,0,VLOOKUP($A152,Tariff_Table,Tariff!$D$33))</f>
        <v>7728.38912133891</v>
      </c>
      <c r="E152" s="1561" t="n">
        <f aca="false">VLOOKUP($A152,Tariff_Table,Tariff!$E$33)</f>
        <v>0.969547267535333</v>
      </c>
      <c r="F152" s="1575" t="n">
        <f aca="false">$C152*E152</f>
        <v>7493.03855504394</v>
      </c>
      <c r="G152" s="1565" t="n">
        <f aca="false">VLOOKUP($A152,Curves_Table,Escalation!$N$291)</f>
        <v>1.40945468809218</v>
      </c>
      <c r="H152" s="1575" t="n">
        <f aca="false">F152*G152</f>
        <v>10561.0983194621</v>
      </c>
      <c r="I152" s="1576" t="n">
        <f aca="false">IF(Assm!$L$74=0,VLOOKUP($A152,Curves_Table,Escalation!$D$291),VLOOKUP($A152,Curves_Table,Escalation!$E$291))</f>
        <v>2.65053486534952</v>
      </c>
      <c r="J152" s="1576" t="n">
        <f aca="false">IF($A152&lt;EE_Date,VLOOKUP($A152,Curves_Table,Escalation!$D$291),Exch)</f>
        <v>1.065</v>
      </c>
      <c r="K152" s="1577" t="n">
        <f aca="false">H152*I152/J152</f>
        <v>26284.0932508156</v>
      </c>
      <c r="M152" s="1561" t="n">
        <f aca="false">VLOOKUP($A152,Tariff_Table,Tariff!$F$33)</f>
        <v>0.0304527324646666</v>
      </c>
      <c r="N152" s="1575" t="n">
        <f aca="false">$C152*M152</f>
        <v>235.350566294974</v>
      </c>
      <c r="O152" s="1565" t="n">
        <f aca="false">VLOOKUP($A152,Curves_Table,Escalation!$R$291)</f>
        <v>2.79103464231705</v>
      </c>
      <c r="P152" s="1577" t="n">
        <f aca="false">N152*O152</f>
        <v>656.871583618208</v>
      </c>
      <c r="R152" s="1578" t="n">
        <f aca="false">SUM(K152,P152)</f>
        <v>26940.9648344338</v>
      </c>
      <c r="S152" s="1540" t="n">
        <f aca="false">'Plant Operations'!C152</f>
        <v>480</v>
      </c>
      <c r="T152" s="1575" t="n">
        <f aca="false">R152*S152/1000</f>
        <v>12931.6631205282</v>
      </c>
      <c r="U152" s="1576" t="n">
        <f aca="false">$I152</f>
        <v>2.65053486534952</v>
      </c>
      <c r="V152" s="394" t="n">
        <f aca="false">T152/U152</f>
        <v>4878.88814049724</v>
      </c>
      <c r="W152" s="1579" t="n">
        <f aca="false">IF(MONTH($A152)=12,SUM(V141:V152)," ")</f>
        <v>58047.6608983591</v>
      </c>
      <c r="Y152" s="1580" t="n">
        <f aca="false">IF($A152&gt;Endyr,0,VLOOKUP($A152,Tariff_Table,Tariff!$J$33))</f>
        <v>0.19</v>
      </c>
      <c r="Z152" s="1576" t="n">
        <f aca="false">VLOOKUP($A152,Curves_Table,Escalation!$AH$291)</f>
        <v>2.79103464231705</v>
      </c>
      <c r="AA152" s="1576" t="n">
        <f aca="false">Y152*Z152</f>
        <v>0.53029658204024</v>
      </c>
      <c r="AB152" s="397" t="n">
        <f aca="false">'Plant Operations'!$I152+'Plant Operations'!$M152</f>
        <v>298980.864</v>
      </c>
      <c r="AC152" s="1575" t="n">
        <f aca="false">AA152*AB152/1000</f>
        <v>158.548530274638</v>
      </c>
      <c r="AD152" s="1576" t="n">
        <f aca="false">$I152</f>
        <v>2.65053486534952</v>
      </c>
      <c r="AE152" s="1566" t="n">
        <f aca="false">AC152/AD152</f>
        <v>59.817560729853</v>
      </c>
      <c r="AF152" s="1567" t="n">
        <f aca="false">IF(MONTH($A152)=12,SUM(AE141:AE152)," ")</f>
        <v>696.018908387129</v>
      </c>
    </row>
    <row r="153" customFormat="false" ht="12.75" hidden="false" customHeight="false" outlineLevel="0" collapsed="false">
      <c r="A153" s="1538" t="n">
        <f aca="false">'Plant Operations'!A153</f>
        <v>40544</v>
      </c>
      <c r="C153" s="1574" t="n">
        <f aca="false">IF($A153&gt;Endyr,0,VLOOKUP($A153,Tariff_Table,Tariff!$D$33))</f>
        <v>7728.38912133891</v>
      </c>
      <c r="E153" s="1561" t="n">
        <f aca="false">VLOOKUP($A153,Tariff_Table,Tariff!$E$33)</f>
        <v>0.969547267535333</v>
      </c>
      <c r="F153" s="1575" t="n">
        <f aca="false">$C153*E153</f>
        <v>7493.03855504394</v>
      </c>
      <c r="G153" s="1565" t="n">
        <f aca="false">VLOOKUP($A153,Curves_Table,Escalation!$N$291)</f>
        <v>1.40945468809218</v>
      </c>
      <c r="H153" s="1575" t="n">
        <f aca="false">F153*G153</f>
        <v>10561.0983194621</v>
      </c>
      <c r="I153" s="1576" t="n">
        <f aca="false">IF(Assm!$L$74=0,VLOOKUP($A153,Curves_Table,Escalation!$D$291),VLOOKUP($A153,Curves_Table,Escalation!$E$291))</f>
        <v>2.65513335215341</v>
      </c>
      <c r="J153" s="1576" t="n">
        <f aca="false">IF($A153&lt;EE_Date,VLOOKUP($A153,Curves_Table,Escalation!$D$291),Exch)</f>
        <v>1.065</v>
      </c>
      <c r="K153" s="1577" t="n">
        <f aca="false">H153*I153/J153</f>
        <v>26329.6942566903</v>
      </c>
      <c r="M153" s="1561" t="n">
        <f aca="false">VLOOKUP($A153,Tariff_Table,Tariff!$F$33)</f>
        <v>0.0304527324646666</v>
      </c>
      <c r="N153" s="1575" t="n">
        <f aca="false">$C153*M153</f>
        <v>235.350566294974</v>
      </c>
      <c r="O153" s="1565" t="n">
        <f aca="false">VLOOKUP($A153,Curves_Table,Escalation!$R$291)</f>
        <v>2.79103464231705</v>
      </c>
      <c r="P153" s="1577" t="n">
        <f aca="false">N153*O153</f>
        <v>656.871583618208</v>
      </c>
      <c r="R153" s="1578" t="n">
        <f aca="false">SUM(K153,P153)</f>
        <v>26986.5658403085</v>
      </c>
      <c r="S153" s="1540" t="n">
        <f aca="false">'Plant Operations'!C153</f>
        <v>480</v>
      </c>
      <c r="T153" s="1575" t="n">
        <f aca="false">R153*S153/1000</f>
        <v>12953.5516033481</v>
      </c>
      <c r="U153" s="1576" t="n">
        <f aca="false">$I153</f>
        <v>2.65513335215341</v>
      </c>
      <c r="V153" s="394" t="n">
        <f aca="false">T153/U153</f>
        <v>4878.68211698004</v>
      </c>
      <c r="W153" s="1579" t="str">
        <f aca="false">IF(MONTH($A153)=12,SUM(V142:V153)," ")</f>
        <v> </v>
      </c>
      <c r="Y153" s="1580" t="n">
        <f aca="false">IF($A153&gt;Endyr,0,VLOOKUP($A153,Tariff_Table,Tariff!$J$33))</f>
        <v>0.19</v>
      </c>
      <c r="Z153" s="1576" t="n">
        <f aca="false">VLOOKUP($A153,Curves_Table,Escalation!$AH$291)</f>
        <v>2.79103464231705</v>
      </c>
      <c r="AA153" s="1576" t="n">
        <f aca="false">Y153*Z153</f>
        <v>0.53029658204024</v>
      </c>
      <c r="AB153" s="397" t="n">
        <f aca="false">'Plant Operations'!$I153+'Plant Operations'!$M153</f>
        <v>298980.864</v>
      </c>
      <c r="AC153" s="1575" t="n">
        <f aca="false">AA153*AB153/1000</f>
        <v>158.548530274638</v>
      </c>
      <c r="AD153" s="1576" t="n">
        <f aca="false">$I153</f>
        <v>2.65513335215341</v>
      </c>
      <c r="AE153" s="1566" t="n">
        <f aca="false">AC153/AD153</f>
        <v>59.7139613142403</v>
      </c>
      <c r="AF153" s="1567" t="str">
        <f aca="false">IF(MONTH($A153)=12,SUM(AE142:AE153)," ")</f>
        <v> </v>
      </c>
    </row>
    <row r="154" customFormat="false" ht="12.75" hidden="false" customHeight="false" outlineLevel="0" collapsed="false">
      <c r="A154" s="1538" t="n">
        <f aca="false">'Plant Operations'!A154</f>
        <v>40575</v>
      </c>
      <c r="C154" s="1574" t="n">
        <f aca="false">IF($A154&gt;Endyr,0,VLOOKUP($A154,Tariff_Table,Tariff!$D$33))</f>
        <v>7728.38912133891</v>
      </c>
      <c r="E154" s="1561" t="n">
        <f aca="false">VLOOKUP($A154,Tariff_Table,Tariff!$E$33)</f>
        <v>0.969547267535333</v>
      </c>
      <c r="F154" s="1575" t="n">
        <f aca="false">$C154*E154</f>
        <v>7493.03855504394</v>
      </c>
      <c r="G154" s="1565" t="n">
        <f aca="false">VLOOKUP($A154,Curves_Table,Escalation!$N$291)</f>
        <v>1.40945468809218</v>
      </c>
      <c r="H154" s="1575" t="n">
        <f aca="false">F154*G154</f>
        <v>10561.0983194621</v>
      </c>
      <c r="I154" s="1576" t="n">
        <f aca="false">IF(Assm!$L$74=0,VLOOKUP($A154,Curves_Table,Escalation!$D$291),VLOOKUP($A154,Curves_Table,Escalation!$E$291))</f>
        <v>2.6597398170002</v>
      </c>
      <c r="J154" s="1576" t="n">
        <f aca="false">IF($A154&lt;EE_Date,VLOOKUP($A154,Curves_Table,Escalation!$D$291),Exch)</f>
        <v>1.065</v>
      </c>
      <c r="K154" s="1577" t="n">
        <f aca="false">H154*I154/J154</f>
        <v>26375.374377021</v>
      </c>
      <c r="M154" s="1561" t="n">
        <f aca="false">VLOOKUP($A154,Tariff_Table,Tariff!$F$33)</f>
        <v>0.0304527324646666</v>
      </c>
      <c r="N154" s="1575" t="n">
        <f aca="false">$C154*M154</f>
        <v>235.350566294974</v>
      </c>
      <c r="O154" s="1565" t="n">
        <f aca="false">VLOOKUP($A154,Curves_Table,Escalation!$R$291)</f>
        <v>2.79103464231705</v>
      </c>
      <c r="P154" s="1577" t="n">
        <f aca="false">N154*O154</f>
        <v>656.871583618208</v>
      </c>
      <c r="R154" s="1578" t="n">
        <f aca="false">SUM(K154,P154)</f>
        <v>27032.2459606392</v>
      </c>
      <c r="S154" s="1540" t="n">
        <f aca="false">'Plant Operations'!C154</f>
        <v>480</v>
      </c>
      <c r="T154" s="1575" t="n">
        <f aca="false">R154*S154/1000</f>
        <v>12975.4780611068</v>
      </c>
      <c r="U154" s="1576" t="n">
        <f aca="false">$I154</f>
        <v>2.6597398170002</v>
      </c>
      <c r="V154" s="394" t="n">
        <f aca="false">T154/U154</f>
        <v>4878.47645027973</v>
      </c>
      <c r="W154" s="1579" t="str">
        <f aca="false">IF(MONTH($A154)=12,SUM(V143:V154)," ")</f>
        <v> </v>
      </c>
      <c r="Y154" s="1580" t="n">
        <f aca="false">IF($A154&gt;Endyr,0,VLOOKUP($A154,Tariff_Table,Tariff!$J$33))</f>
        <v>0.19</v>
      </c>
      <c r="Z154" s="1576" t="n">
        <f aca="false">VLOOKUP($A154,Curves_Table,Escalation!$AH$291)</f>
        <v>2.79103464231705</v>
      </c>
      <c r="AA154" s="1576" t="n">
        <f aca="false">Y154*Z154</f>
        <v>0.53029658204024</v>
      </c>
      <c r="AB154" s="397" t="n">
        <f aca="false">'Plant Operations'!$I154+'Plant Operations'!$M154</f>
        <v>270047.232</v>
      </c>
      <c r="AC154" s="1575" t="n">
        <f aca="false">AA154*AB154/1000</f>
        <v>143.205124119028</v>
      </c>
      <c r="AD154" s="1576" t="n">
        <f aca="false">$I154</f>
        <v>2.6597398170002</v>
      </c>
      <c r="AE154" s="1566" t="n">
        <f aca="false">AC154/AD154</f>
        <v>53.8417792611543</v>
      </c>
      <c r="AF154" s="1567" t="str">
        <f aca="false">IF(MONTH($A154)=12,SUM(AE143:AE154)," ")</f>
        <v> </v>
      </c>
    </row>
    <row r="155" customFormat="false" ht="12.75" hidden="false" customHeight="false" outlineLevel="0" collapsed="false">
      <c r="A155" s="1538" t="n">
        <f aca="false">'Plant Operations'!A155</f>
        <v>40603</v>
      </c>
      <c r="C155" s="1574" t="n">
        <f aca="false">IF($A155&gt;Endyr,0,VLOOKUP($A155,Tariff_Table,Tariff!$D$33))</f>
        <v>7728.38912133891</v>
      </c>
      <c r="E155" s="1561" t="n">
        <f aca="false">VLOOKUP($A155,Tariff_Table,Tariff!$E$33)</f>
        <v>0.969547267535333</v>
      </c>
      <c r="F155" s="1575" t="n">
        <f aca="false">$C155*E155</f>
        <v>7493.03855504394</v>
      </c>
      <c r="G155" s="1565" t="n">
        <f aca="false">VLOOKUP($A155,Curves_Table,Escalation!$N$291)</f>
        <v>1.40945468809218</v>
      </c>
      <c r="H155" s="1575" t="n">
        <f aca="false">F155*G155</f>
        <v>10561.0983194621</v>
      </c>
      <c r="I155" s="1576" t="n">
        <f aca="false">IF(Assm!$L$74=0,VLOOKUP($A155,Curves_Table,Escalation!$D$291),VLOOKUP($A155,Curves_Table,Escalation!$E$291))</f>
        <v>2.66435427373123</v>
      </c>
      <c r="J155" s="1576" t="n">
        <f aca="false">IF($A155&lt;EE_Date,VLOOKUP($A155,Curves_Table,Escalation!$D$291),Exch)</f>
        <v>1.065</v>
      </c>
      <c r="K155" s="1577" t="n">
        <f aca="false">H155*I155/J155</f>
        <v>26421.1337490654</v>
      </c>
      <c r="M155" s="1561" t="n">
        <f aca="false">VLOOKUP($A155,Tariff_Table,Tariff!$F$33)</f>
        <v>0.0304527324646666</v>
      </c>
      <c r="N155" s="1575" t="n">
        <f aca="false">$C155*M155</f>
        <v>235.350566294974</v>
      </c>
      <c r="O155" s="1565" t="n">
        <f aca="false">VLOOKUP($A155,Curves_Table,Escalation!$R$291)</f>
        <v>2.79103464231705</v>
      </c>
      <c r="P155" s="1577" t="n">
        <f aca="false">N155*O155</f>
        <v>656.871583618208</v>
      </c>
      <c r="R155" s="1578" t="n">
        <f aca="false">SUM(K155,P155)</f>
        <v>27078.0053326836</v>
      </c>
      <c r="S155" s="1540" t="n">
        <f aca="false">'Plant Operations'!C155</f>
        <v>480</v>
      </c>
      <c r="T155" s="1575" t="n">
        <f aca="false">R155*S155/1000</f>
        <v>12997.4425596881</v>
      </c>
      <c r="U155" s="1576" t="n">
        <f aca="false">$I155</f>
        <v>2.66435427373123</v>
      </c>
      <c r="V155" s="394" t="n">
        <f aca="false">T155/U155</f>
        <v>4878.27113977833</v>
      </c>
      <c r="W155" s="1579" t="str">
        <f aca="false">IF(MONTH($A155)=12,SUM(V144:V155)," ")</f>
        <v> </v>
      </c>
      <c r="Y155" s="1580" t="n">
        <f aca="false">IF($A155&gt;Endyr,0,VLOOKUP($A155,Tariff_Table,Tariff!$J$33))</f>
        <v>0.19</v>
      </c>
      <c r="Z155" s="1576" t="n">
        <f aca="false">VLOOKUP($A155,Curves_Table,Escalation!$AH$291)</f>
        <v>2.79103464231705</v>
      </c>
      <c r="AA155" s="1576" t="n">
        <f aca="false">Y155*Z155</f>
        <v>0.53029658204024</v>
      </c>
      <c r="AB155" s="397" t="n">
        <f aca="false">'Plant Operations'!$I155+'Plant Operations'!$M155</f>
        <v>298980.864</v>
      </c>
      <c r="AC155" s="1575" t="n">
        <f aca="false">AA155*AB155/1000</f>
        <v>158.548530274638</v>
      </c>
      <c r="AD155" s="1576" t="n">
        <f aca="false">$I155</f>
        <v>2.66435427373123</v>
      </c>
      <c r="AE155" s="1566" t="n">
        <f aca="false">AC155/AD155</f>
        <v>59.5073004509278</v>
      </c>
      <c r="AF155" s="1567" t="str">
        <f aca="false">IF(MONTH($A155)=12,SUM(AE144:AE155)," ")</f>
        <v> </v>
      </c>
    </row>
    <row r="156" customFormat="false" ht="12.75" hidden="false" customHeight="false" outlineLevel="0" collapsed="false">
      <c r="A156" s="1538" t="n">
        <f aca="false">'Plant Operations'!A156</f>
        <v>40634</v>
      </c>
      <c r="C156" s="1574" t="n">
        <f aca="false">IF($A156&gt;Endyr,0,VLOOKUP($A156,Tariff_Table,Tariff!$D$33))</f>
        <v>7728.38912133891</v>
      </c>
      <c r="E156" s="1561" t="n">
        <f aca="false">VLOOKUP($A156,Tariff_Table,Tariff!$E$33)</f>
        <v>0.969547267535333</v>
      </c>
      <c r="F156" s="1575" t="n">
        <f aca="false">$C156*E156</f>
        <v>7493.03855504394</v>
      </c>
      <c r="G156" s="1565" t="n">
        <f aca="false">VLOOKUP($A156,Curves_Table,Escalation!$N$291)</f>
        <v>1.40945468809218</v>
      </c>
      <c r="H156" s="1575" t="n">
        <f aca="false">F156*G156</f>
        <v>10561.0983194621</v>
      </c>
      <c r="I156" s="1576" t="n">
        <f aca="false">IF(Assm!$L$74=0,VLOOKUP($A156,Curves_Table,Escalation!$D$291),VLOOKUP($A156,Curves_Table,Escalation!$E$291))</f>
        <v>2.66897673621184</v>
      </c>
      <c r="J156" s="1576" t="n">
        <f aca="false">IF($A156&lt;EE_Date,VLOOKUP($A156,Curves_Table,Escalation!$D$291),Exch)</f>
        <v>1.065</v>
      </c>
      <c r="K156" s="1577" t="n">
        <f aca="false">H156*I156/J156</f>
        <v>26466.9725103196</v>
      </c>
      <c r="M156" s="1561" t="n">
        <f aca="false">VLOOKUP($A156,Tariff_Table,Tariff!$F$33)</f>
        <v>0.0304527324646666</v>
      </c>
      <c r="N156" s="1575" t="n">
        <f aca="false">$C156*M156</f>
        <v>235.350566294974</v>
      </c>
      <c r="O156" s="1565" t="n">
        <f aca="false">VLOOKUP($A156,Curves_Table,Escalation!$R$291)</f>
        <v>2.79103464231705</v>
      </c>
      <c r="P156" s="1577" t="n">
        <f aca="false">N156*O156</f>
        <v>656.871583618208</v>
      </c>
      <c r="R156" s="1578" t="n">
        <f aca="false">SUM(K156,P156)</f>
        <v>27123.8440939378</v>
      </c>
      <c r="S156" s="1540" t="n">
        <f aca="false">'Plant Operations'!C156</f>
        <v>480</v>
      </c>
      <c r="T156" s="1575" t="n">
        <f aca="false">R156*S156/1000</f>
        <v>13019.4451650902</v>
      </c>
      <c r="U156" s="1576" t="n">
        <f aca="false">$I156</f>
        <v>2.66897673621184</v>
      </c>
      <c r="V156" s="394" t="n">
        <f aca="false">T156/U156</f>
        <v>4878.06618485894</v>
      </c>
      <c r="W156" s="1579" t="str">
        <f aca="false">IF(MONTH($A156)=12,SUM(V145:V156)," ")</f>
        <v> </v>
      </c>
      <c r="Y156" s="1580" t="n">
        <f aca="false">IF($A156&gt;Endyr,0,VLOOKUP($A156,Tariff_Table,Tariff!$J$33))</f>
        <v>0.19</v>
      </c>
      <c r="Z156" s="1576" t="n">
        <f aca="false">VLOOKUP($A156,Curves_Table,Escalation!$AH$291)</f>
        <v>2.79103464231705</v>
      </c>
      <c r="AA156" s="1576" t="n">
        <f aca="false">Y156*Z156</f>
        <v>0.53029658204024</v>
      </c>
      <c r="AB156" s="397" t="n">
        <f aca="false">'Plant Operations'!$I156+'Plant Operations'!$M156</f>
        <v>289336.32</v>
      </c>
      <c r="AC156" s="1575" t="n">
        <f aca="false">AA156*AB156/1000</f>
        <v>153.434061556101</v>
      </c>
      <c r="AD156" s="1576" t="n">
        <f aca="false">$I156</f>
        <v>2.66897673621184</v>
      </c>
      <c r="AE156" s="1566" t="n">
        <f aca="false">AC156/AD156</f>
        <v>57.4879726279948</v>
      </c>
      <c r="AF156" s="1567" t="str">
        <f aca="false">IF(MONTH($A156)=12,SUM(AE145:AE156)," ")</f>
        <v> </v>
      </c>
    </row>
    <row r="157" customFormat="false" ht="12.75" hidden="false" customHeight="false" outlineLevel="0" collapsed="false">
      <c r="A157" s="1538" t="n">
        <f aca="false">'Plant Operations'!A157</f>
        <v>40664</v>
      </c>
      <c r="C157" s="1574" t="n">
        <f aca="false">IF($A157&gt;Endyr,0,VLOOKUP($A157,Tariff_Table,Tariff!$D$33))</f>
        <v>7277.27848101266</v>
      </c>
      <c r="E157" s="1561" t="n">
        <f aca="false">VLOOKUP($A157,Tariff_Table,Tariff!$E$33)</f>
        <v>0.971735079059143</v>
      </c>
      <c r="F157" s="1575" t="n">
        <f aca="false">$C157*E157</f>
        <v>7071.58678008224</v>
      </c>
      <c r="G157" s="1565" t="n">
        <f aca="false">VLOOKUP($A157,Curves_Table,Escalation!$N$291)</f>
        <v>1.44536293026781</v>
      </c>
      <c r="H157" s="1575" t="n">
        <f aca="false">F157*G157</f>
        <v>10221.0093901028</v>
      </c>
      <c r="I157" s="1576" t="n">
        <f aca="false">IF(Assm!$L$74=0,VLOOKUP($A157,Curves_Table,Escalation!$D$291),VLOOKUP($A157,Curves_Table,Escalation!$E$291))</f>
        <v>2.67360721833143</v>
      </c>
      <c r="J157" s="1576" t="n">
        <f aca="false">IF($A157&lt;EE_Date,VLOOKUP($A157,Curves_Table,Escalation!$D$291),Exch)</f>
        <v>1.065</v>
      </c>
      <c r="K157" s="1577" t="n">
        <f aca="false">H157*I157/J157</f>
        <v>25659.121581232</v>
      </c>
      <c r="M157" s="1561" t="n">
        <f aca="false">VLOOKUP($A157,Tariff_Table,Tariff!$F$33)</f>
        <v>0.0282649209408569</v>
      </c>
      <c r="N157" s="1575" t="n">
        <f aca="false">$C157*M157</f>
        <v>205.691700930422</v>
      </c>
      <c r="O157" s="1565" t="n">
        <f aca="false">VLOOKUP($A157,Curves_Table,Escalation!$R$291)</f>
        <v>2.99198913656388</v>
      </c>
      <c r="P157" s="1577" t="n">
        <f aca="false">N157*O157</f>
        <v>615.427334665169</v>
      </c>
      <c r="R157" s="1578" t="n">
        <f aca="false">SUM(K157,P157)</f>
        <v>26274.5489158971</v>
      </c>
      <c r="S157" s="1540" t="n">
        <f aca="false">'Plant Operations'!C157</f>
        <v>480</v>
      </c>
      <c r="T157" s="1575" t="n">
        <f aca="false">R157*S157/1000</f>
        <v>12611.7834796306</v>
      </c>
      <c r="U157" s="1576" t="n">
        <f aca="false">$I157</f>
        <v>2.67360721833143</v>
      </c>
      <c r="V157" s="394" t="n">
        <f aca="false">T157/U157</f>
        <v>4717.14146833487</v>
      </c>
      <c r="W157" s="1579" t="str">
        <f aca="false">IF(MONTH($A157)=12,SUM(V146:V157)," ")</f>
        <v> </v>
      </c>
      <c r="Y157" s="1580" t="n">
        <f aca="false">IF($A157&gt;Endyr,0,VLOOKUP($A157,Tariff_Table,Tariff!$J$33))</f>
        <v>0.19</v>
      </c>
      <c r="Z157" s="1576" t="n">
        <f aca="false">VLOOKUP($A157,Curves_Table,Escalation!$AH$291)</f>
        <v>2.99198913656388</v>
      </c>
      <c r="AA157" s="1576" t="n">
        <f aca="false">Y157*Z157</f>
        <v>0.568477935947138</v>
      </c>
      <c r="AB157" s="397" t="n">
        <f aca="false">'Plant Operations'!$I157+'Plant Operations'!$M157</f>
        <v>298980.864</v>
      </c>
      <c r="AC157" s="1575" t="n">
        <f aca="false">AA157*AB157/1000</f>
        <v>169.964024454412</v>
      </c>
      <c r="AD157" s="1576" t="n">
        <f aca="false">$I157</f>
        <v>2.67360721833143</v>
      </c>
      <c r="AE157" s="1566" t="n">
        <f aca="false">AC157/AD157</f>
        <v>63.5710523554334</v>
      </c>
      <c r="AF157" s="1567" t="str">
        <f aca="false">IF(MONTH($A157)=12,SUM(AE146:AE157)," ")</f>
        <v> </v>
      </c>
    </row>
    <row r="158" customFormat="false" ht="12.75" hidden="false" customHeight="false" outlineLevel="0" collapsed="false">
      <c r="A158" s="1538" t="n">
        <f aca="false">'Plant Operations'!A158</f>
        <v>40695</v>
      </c>
      <c r="C158" s="1574" t="n">
        <f aca="false">IF($A158&gt;Endyr,0,VLOOKUP($A158,Tariff_Table,Tariff!$D$33))</f>
        <v>7277.27848101266</v>
      </c>
      <c r="E158" s="1561" t="n">
        <f aca="false">VLOOKUP($A158,Tariff_Table,Tariff!$E$33)</f>
        <v>0.971735079059143</v>
      </c>
      <c r="F158" s="1575" t="n">
        <f aca="false">$C158*E158</f>
        <v>7071.58678008224</v>
      </c>
      <c r="G158" s="1565" t="n">
        <f aca="false">VLOOKUP($A158,Curves_Table,Escalation!$N$291)</f>
        <v>1.44536293026781</v>
      </c>
      <c r="H158" s="1575" t="n">
        <f aca="false">F158*G158</f>
        <v>10221.0093901028</v>
      </c>
      <c r="I158" s="1576" t="n">
        <f aca="false">IF(Assm!$L$74=0,VLOOKUP($A158,Curves_Table,Escalation!$D$291),VLOOKUP($A158,Curves_Table,Escalation!$E$291))</f>
        <v>2.67824573400349</v>
      </c>
      <c r="J158" s="1576" t="n">
        <f aca="false">IF($A158&lt;EE_Date,VLOOKUP($A158,Curves_Table,Escalation!$D$291),Exch)</f>
        <v>1.065</v>
      </c>
      <c r="K158" s="1577" t="n">
        <f aca="false">H158*I158/J158</f>
        <v>25703.6383063402</v>
      </c>
      <c r="M158" s="1561" t="n">
        <f aca="false">VLOOKUP($A158,Tariff_Table,Tariff!$F$33)</f>
        <v>0.0282649209408569</v>
      </c>
      <c r="N158" s="1575" t="n">
        <f aca="false">$C158*M158</f>
        <v>205.691700930422</v>
      </c>
      <c r="O158" s="1565" t="n">
        <f aca="false">VLOOKUP($A158,Curves_Table,Escalation!$R$291)</f>
        <v>2.99198913656388</v>
      </c>
      <c r="P158" s="1577" t="n">
        <f aca="false">N158*O158</f>
        <v>615.427334665169</v>
      </c>
      <c r="R158" s="1578" t="n">
        <f aca="false">SUM(K158,P158)</f>
        <v>26319.0656410054</v>
      </c>
      <c r="S158" s="1540" t="n">
        <f aca="false">'Plant Operations'!C158</f>
        <v>480</v>
      </c>
      <c r="T158" s="1575" t="n">
        <f aca="false">R158*S158/1000</f>
        <v>12633.1515076826</v>
      </c>
      <c r="U158" s="1576" t="n">
        <f aca="false">$I158</f>
        <v>2.67824573400349</v>
      </c>
      <c r="V158" s="394" t="n">
        <f aca="false">T158/U158</f>
        <v>4716.95010927855</v>
      </c>
      <c r="W158" s="1579" t="str">
        <f aca="false">IF(MONTH($A158)=12,SUM(V147:V158)," ")</f>
        <v> </v>
      </c>
      <c r="Y158" s="1580" t="n">
        <f aca="false">IF($A158&gt;Endyr,0,VLOOKUP($A158,Tariff_Table,Tariff!$J$33))</f>
        <v>0.19</v>
      </c>
      <c r="Z158" s="1576" t="n">
        <f aca="false">VLOOKUP($A158,Curves_Table,Escalation!$AH$291)</f>
        <v>2.99198913656388</v>
      </c>
      <c r="AA158" s="1576" t="n">
        <f aca="false">Y158*Z158</f>
        <v>0.568477935947138</v>
      </c>
      <c r="AB158" s="397" t="n">
        <f aca="false">'Plant Operations'!$I158+'Plant Operations'!$M158</f>
        <v>289336.32</v>
      </c>
      <c r="AC158" s="1575" t="n">
        <f aca="false">AA158*AB158/1000</f>
        <v>164.48131398814</v>
      </c>
      <c r="AD158" s="1576" t="n">
        <f aca="false">$I158</f>
        <v>2.67824573400349</v>
      </c>
      <c r="AE158" s="1566" t="n">
        <f aca="false">AC158/AD158</f>
        <v>61.4138246912358</v>
      </c>
      <c r="AF158" s="1567" t="str">
        <f aca="false">IF(MONTH($A158)=12,SUM(AE147:AE158)," ")</f>
        <v> </v>
      </c>
    </row>
    <row r="159" customFormat="false" ht="12.75" hidden="false" customHeight="false" outlineLevel="0" collapsed="false">
      <c r="A159" s="1538" t="n">
        <f aca="false">'Plant Operations'!A159</f>
        <v>40725</v>
      </c>
      <c r="C159" s="1574" t="n">
        <f aca="false">IF($A159&gt;Endyr,0,VLOOKUP($A159,Tariff_Table,Tariff!$D$33))</f>
        <v>7277.27848101266</v>
      </c>
      <c r="E159" s="1561" t="n">
        <f aca="false">VLOOKUP($A159,Tariff_Table,Tariff!$E$33)</f>
        <v>0.971735079059143</v>
      </c>
      <c r="F159" s="1575" t="n">
        <f aca="false">$C159*E159</f>
        <v>7071.58678008224</v>
      </c>
      <c r="G159" s="1565" t="n">
        <f aca="false">VLOOKUP($A159,Curves_Table,Escalation!$N$291)</f>
        <v>1.44536293026781</v>
      </c>
      <c r="H159" s="1575" t="n">
        <f aca="false">F159*G159</f>
        <v>10221.0093901028</v>
      </c>
      <c r="I159" s="1576" t="n">
        <f aca="false">IF(Assm!$L$74=0,VLOOKUP($A159,Curves_Table,Escalation!$D$291),VLOOKUP($A159,Curves_Table,Escalation!$E$291))</f>
        <v>2.68289229716566</v>
      </c>
      <c r="J159" s="1576" t="n">
        <f aca="false">IF($A159&lt;EE_Date,VLOOKUP($A159,Curves_Table,Escalation!$D$291),Exch)</f>
        <v>1.065</v>
      </c>
      <c r="K159" s="1577" t="n">
        <f aca="false">H159*I159/J159</f>
        <v>25748.2322647554</v>
      </c>
      <c r="M159" s="1561" t="n">
        <f aca="false">VLOOKUP($A159,Tariff_Table,Tariff!$F$33)</f>
        <v>0.0282649209408569</v>
      </c>
      <c r="N159" s="1575" t="n">
        <f aca="false">$C159*M159</f>
        <v>205.691700930422</v>
      </c>
      <c r="O159" s="1565" t="n">
        <f aca="false">VLOOKUP($A159,Curves_Table,Escalation!$R$291)</f>
        <v>2.99198913656388</v>
      </c>
      <c r="P159" s="1577" t="n">
        <f aca="false">N159*O159</f>
        <v>615.427334665169</v>
      </c>
      <c r="R159" s="1578" t="n">
        <f aca="false">SUM(K159,P159)</f>
        <v>26363.6595994206</v>
      </c>
      <c r="S159" s="1540" t="n">
        <f aca="false">'Plant Operations'!C159</f>
        <v>480</v>
      </c>
      <c r="T159" s="1575" t="n">
        <f aca="false">R159*S159/1000</f>
        <v>12654.5566077219</v>
      </c>
      <c r="U159" s="1576" t="n">
        <f aca="false">$I159</f>
        <v>2.68289229716566</v>
      </c>
      <c r="V159" s="394" t="n">
        <f aca="false">T159/U159</f>
        <v>4716.7590816414</v>
      </c>
      <c r="W159" s="1579" t="str">
        <f aca="false">IF(MONTH($A159)=12,SUM(V148:V159)," ")</f>
        <v> </v>
      </c>
      <c r="Y159" s="1580" t="n">
        <f aca="false">IF($A159&gt;Endyr,0,VLOOKUP($A159,Tariff_Table,Tariff!$J$33))</f>
        <v>0.19</v>
      </c>
      <c r="Z159" s="1576" t="n">
        <f aca="false">VLOOKUP($A159,Curves_Table,Escalation!$AH$291)</f>
        <v>2.99198913656388</v>
      </c>
      <c r="AA159" s="1576" t="n">
        <f aca="false">Y159*Z159</f>
        <v>0.568477935947138</v>
      </c>
      <c r="AB159" s="397" t="n">
        <f aca="false">'Plant Operations'!$I159+'Plant Operations'!$M159</f>
        <v>298980.864</v>
      </c>
      <c r="AC159" s="1575" t="n">
        <f aca="false">AA159*AB159/1000</f>
        <v>169.964024454412</v>
      </c>
      <c r="AD159" s="1576" t="n">
        <f aca="false">$I159</f>
        <v>2.68289229716566</v>
      </c>
      <c r="AE159" s="1566" t="n">
        <f aca="false">AC159/AD159</f>
        <v>63.3510426914902</v>
      </c>
      <c r="AF159" s="1567" t="str">
        <f aca="false">IF(MONTH($A159)=12,SUM(AE148:AE159)," ")</f>
        <v> </v>
      </c>
    </row>
    <row r="160" customFormat="false" ht="12.75" hidden="false" customHeight="false" outlineLevel="0" collapsed="false">
      <c r="A160" s="1538" t="n">
        <f aca="false">'Plant Operations'!A160</f>
        <v>40756</v>
      </c>
      <c r="C160" s="1574" t="n">
        <f aca="false">IF($A160&gt;Endyr,0,VLOOKUP($A160,Tariff_Table,Tariff!$D$33))</f>
        <v>7277.27848101266</v>
      </c>
      <c r="E160" s="1561" t="n">
        <f aca="false">VLOOKUP($A160,Tariff_Table,Tariff!$E$33)</f>
        <v>0.971735079059143</v>
      </c>
      <c r="F160" s="1575" t="n">
        <f aca="false">$C160*E160</f>
        <v>7071.58678008224</v>
      </c>
      <c r="G160" s="1565" t="n">
        <f aca="false">VLOOKUP($A160,Curves_Table,Escalation!$N$291)</f>
        <v>1.44536293026781</v>
      </c>
      <c r="H160" s="1575" t="n">
        <f aca="false">F160*G160</f>
        <v>10221.0093901028</v>
      </c>
      <c r="I160" s="1576" t="n">
        <f aca="false">IF(Assm!$L$74=0,VLOOKUP($A160,Curves_Table,Escalation!$D$291),VLOOKUP($A160,Curves_Table,Escalation!$E$291))</f>
        <v>2.68754692177975</v>
      </c>
      <c r="J160" s="1576" t="n">
        <f aca="false">IF($A160&lt;EE_Date,VLOOKUP($A160,Curves_Table,Escalation!$D$291),Exch)</f>
        <v>1.065</v>
      </c>
      <c r="K160" s="1577" t="n">
        <f aca="false">H160*I160/J160</f>
        <v>25792.9035904719</v>
      </c>
      <c r="M160" s="1561" t="n">
        <f aca="false">VLOOKUP($A160,Tariff_Table,Tariff!$F$33)</f>
        <v>0.0282649209408569</v>
      </c>
      <c r="N160" s="1575" t="n">
        <f aca="false">$C160*M160</f>
        <v>205.691700930422</v>
      </c>
      <c r="O160" s="1565" t="n">
        <f aca="false">VLOOKUP($A160,Curves_Table,Escalation!$R$291)</f>
        <v>2.99198913656388</v>
      </c>
      <c r="P160" s="1577" t="n">
        <f aca="false">N160*O160</f>
        <v>615.427334665169</v>
      </c>
      <c r="R160" s="1578" t="n">
        <f aca="false">SUM(K160,P160)</f>
        <v>26408.330925137</v>
      </c>
      <c r="S160" s="1540" t="n">
        <f aca="false">'Plant Operations'!C160</f>
        <v>480</v>
      </c>
      <c r="T160" s="1575" t="n">
        <f aca="false">R160*S160/1000</f>
        <v>12675.9988440658</v>
      </c>
      <c r="U160" s="1576" t="n">
        <f aca="false">$I160</f>
        <v>2.68754692177975</v>
      </c>
      <c r="V160" s="394" t="n">
        <f aca="false">T160/U160</f>
        <v>4716.56838484944</v>
      </c>
      <c r="W160" s="1579" t="str">
        <f aca="false">IF(MONTH($A160)=12,SUM(V149:V160)," ")</f>
        <v> </v>
      </c>
      <c r="Y160" s="1580" t="n">
        <f aca="false">IF($A160&gt;Endyr,0,VLOOKUP($A160,Tariff_Table,Tariff!$J$33))</f>
        <v>0.19</v>
      </c>
      <c r="Z160" s="1576" t="n">
        <f aca="false">VLOOKUP($A160,Curves_Table,Escalation!$AH$291)</f>
        <v>2.99198913656388</v>
      </c>
      <c r="AA160" s="1576" t="n">
        <f aca="false">Y160*Z160</f>
        <v>0.568477935947138</v>
      </c>
      <c r="AB160" s="397" t="n">
        <f aca="false">'Plant Operations'!$I160+'Plant Operations'!$M160</f>
        <v>298980.864</v>
      </c>
      <c r="AC160" s="1575" t="n">
        <f aca="false">AA160*AB160/1000</f>
        <v>169.964024454412</v>
      </c>
      <c r="AD160" s="1576" t="n">
        <f aca="false">$I160</f>
        <v>2.68754692177975</v>
      </c>
      <c r="AE160" s="1566" t="n">
        <f aca="false">AC160/AD160</f>
        <v>63.2413235568212</v>
      </c>
      <c r="AF160" s="1567" t="str">
        <f aca="false">IF(MONTH($A160)=12,SUM(AE149:AE160)," ")</f>
        <v> </v>
      </c>
    </row>
    <row r="161" customFormat="false" ht="12.75" hidden="false" customHeight="false" outlineLevel="0" collapsed="false">
      <c r="A161" s="1538" t="n">
        <f aca="false">'Plant Operations'!A161</f>
        <v>40787</v>
      </c>
      <c r="C161" s="1574" t="n">
        <f aca="false">IF($A161&gt;Endyr,0,VLOOKUP($A161,Tariff_Table,Tariff!$D$33))</f>
        <v>7277.27848101266</v>
      </c>
      <c r="E161" s="1561" t="n">
        <f aca="false">VLOOKUP($A161,Tariff_Table,Tariff!$E$33)</f>
        <v>0.971735079059143</v>
      </c>
      <c r="F161" s="1575" t="n">
        <f aca="false">$C161*E161</f>
        <v>7071.58678008224</v>
      </c>
      <c r="G161" s="1565" t="n">
        <f aca="false">VLOOKUP($A161,Curves_Table,Escalation!$N$291)</f>
        <v>1.44536293026781</v>
      </c>
      <c r="H161" s="1575" t="n">
        <f aca="false">F161*G161</f>
        <v>10221.0093901028</v>
      </c>
      <c r="I161" s="1576" t="n">
        <f aca="false">IF(Assm!$L$74=0,VLOOKUP($A161,Curves_Table,Escalation!$D$291),VLOOKUP($A161,Curves_Table,Escalation!$E$291))</f>
        <v>2.6922096218318</v>
      </c>
      <c r="J161" s="1576" t="n">
        <f aca="false">IF($A161&lt;EE_Date,VLOOKUP($A161,Curves_Table,Escalation!$D$291),Exch)</f>
        <v>1.065</v>
      </c>
      <c r="K161" s="1577" t="n">
        <f aca="false">H161*I161/J161</f>
        <v>25837.6524177162</v>
      </c>
      <c r="M161" s="1561" t="n">
        <f aca="false">VLOOKUP($A161,Tariff_Table,Tariff!$F$33)</f>
        <v>0.0282649209408569</v>
      </c>
      <c r="N161" s="1575" t="n">
        <f aca="false">$C161*M161</f>
        <v>205.691700930422</v>
      </c>
      <c r="O161" s="1565" t="n">
        <f aca="false">VLOOKUP($A161,Curves_Table,Escalation!$R$291)</f>
        <v>2.99198913656388</v>
      </c>
      <c r="P161" s="1577" t="n">
        <f aca="false">N161*O161</f>
        <v>615.427334665169</v>
      </c>
      <c r="R161" s="1578" t="n">
        <f aca="false">SUM(K161,P161)</f>
        <v>26453.0797523814</v>
      </c>
      <c r="S161" s="1540" t="n">
        <f aca="false">'Plant Operations'!C161</f>
        <v>480</v>
      </c>
      <c r="T161" s="1575" t="n">
        <f aca="false">R161*S161/1000</f>
        <v>12697.4782811431</v>
      </c>
      <c r="U161" s="1576" t="n">
        <f aca="false">$I161</f>
        <v>2.6922096218318</v>
      </c>
      <c r="V161" s="394" t="n">
        <f aca="false">T161/U161</f>
        <v>4716.37801832965</v>
      </c>
      <c r="W161" s="1579" t="str">
        <f aca="false">IF(MONTH($A161)=12,SUM(V150:V161)," ")</f>
        <v> </v>
      </c>
      <c r="Y161" s="1580" t="n">
        <f aca="false">IF($A161&gt;Endyr,0,VLOOKUP($A161,Tariff_Table,Tariff!$J$33))</f>
        <v>0.19</v>
      </c>
      <c r="Z161" s="1576" t="n">
        <f aca="false">VLOOKUP($A161,Curves_Table,Escalation!$AH$291)</f>
        <v>2.99198913656388</v>
      </c>
      <c r="AA161" s="1576" t="n">
        <f aca="false">Y161*Z161</f>
        <v>0.568477935947138</v>
      </c>
      <c r="AB161" s="397" t="n">
        <f aca="false">'Plant Operations'!$I161+'Plant Operations'!$M161</f>
        <v>289336.32</v>
      </c>
      <c r="AC161" s="1575" t="n">
        <f aca="false">AA161*AB161/1000</f>
        <v>164.48131398814</v>
      </c>
      <c r="AD161" s="1576" t="n">
        <f aca="false">$I161</f>
        <v>2.6922096218318</v>
      </c>
      <c r="AE161" s="1566" t="n">
        <f aca="false">AC161/AD161</f>
        <v>61.0952849489581</v>
      </c>
      <c r="AF161" s="1567" t="str">
        <f aca="false">IF(MONTH($A161)=12,SUM(AE150:AE161)," ")</f>
        <v> </v>
      </c>
    </row>
    <row r="162" customFormat="false" ht="12.75" hidden="false" customHeight="false" outlineLevel="0" collapsed="false">
      <c r="A162" s="1538" t="n">
        <f aca="false">'Plant Operations'!A162</f>
        <v>40817</v>
      </c>
      <c r="C162" s="1574" t="n">
        <f aca="false">IF($A162&gt;Endyr,0,VLOOKUP($A162,Tariff_Table,Tariff!$D$33))</f>
        <v>7277.27848101266</v>
      </c>
      <c r="E162" s="1561" t="n">
        <f aca="false">VLOOKUP($A162,Tariff_Table,Tariff!$E$33)</f>
        <v>0.971735079059143</v>
      </c>
      <c r="F162" s="1575" t="n">
        <f aca="false">$C162*E162</f>
        <v>7071.58678008224</v>
      </c>
      <c r="G162" s="1565" t="n">
        <f aca="false">VLOOKUP($A162,Curves_Table,Escalation!$N$291)</f>
        <v>1.44536293026781</v>
      </c>
      <c r="H162" s="1575" t="n">
        <f aca="false">F162*G162</f>
        <v>10221.0093901028</v>
      </c>
      <c r="I162" s="1576" t="n">
        <f aca="false">IF(Assm!$L$74=0,VLOOKUP($A162,Curves_Table,Escalation!$D$291),VLOOKUP($A162,Curves_Table,Escalation!$E$291))</f>
        <v>2.69688041133211</v>
      </c>
      <c r="J162" s="1576" t="n">
        <f aca="false">IF($A162&lt;EE_Date,VLOOKUP($A162,Curves_Table,Escalation!$D$291),Exch)</f>
        <v>1.065</v>
      </c>
      <c r="K162" s="1577" t="n">
        <f aca="false">H162*I162/J162</f>
        <v>25882.478880948</v>
      </c>
      <c r="M162" s="1561" t="n">
        <f aca="false">VLOOKUP($A162,Tariff_Table,Tariff!$F$33)</f>
        <v>0.0282649209408569</v>
      </c>
      <c r="N162" s="1575" t="n">
        <f aca="false">$C162*M162</f>
        <v>205.691700930422</v>
      </c>
      <c r="O162" s="1565" t="n">
        <f aca="false">VLOOKUP($A162,Curves_Table,Escalation!$R$291)</f>
        <v>2.99198913656388</v>
      </c>
      <c r="P162" s="1577" t="n">
        <f aca="false">N162*O162</f>
        <v>615.427334665169</v>
      </c>
      <c r="R162" s="1578" t="n">
        <f aca="false">SUM(K162,P162)</f>
        <v>26497.9062156132</v>
      </c>
      <c r="S162" s="1540" t="n">
        <f aca="false">'Plant Operations'!C162</f>
        <v>480</v>
      </c>
      <c r="T162" s="1575" t="n">
        <f aca="false">R162*S162/1000</f>
        <v>12718.9949834943</v>
      </c>
      <c r="U162" s="1576" t="n">
        <f aca="false">$I162</f>
        <v>2.69688041133211</v>
      </c>
      <c r="V162" s="394" t="n">
        <f aca="false">T162/U162</f>
        <v>4716.18798151004</v>
      </c>
      <c r="W162" s="1579" t="str">
        <f aca="false">IF(MONTH($A162)=12,SUM(V151:V162)," ")</f>
        <v> </v>
      </c>
      <c r="Y162" s="1580" t="n">
        <f aca="false">IF($A162&gt;Endyr,0,VLOOKUP($A162,Tariff_Table,Tariff!$J$33))</f>
        <v>0.19</v>
      </c>
      <c r="Z162" s="1576" t="n">
        <f aca="false">VLOOKUP($A162,Curves_Table,Escalation!$AH$291)</f>
        <v>2.99198913656388</v>
      </c>
      <c r="AA162" s="1576" t="n">
        <f aca="false">Y162*Z162</f>
        <v>0.568477935947138</v>
      </c>
      <c r="AB162" s="397" t="n">
        <f aca="false">'Plant Operations'!$I162+'Plant Operations'!$M162</f>
        <v>298980.864</v>
      </c>
      <c r="AC162" s="1575" t="n">
        <f aca="false">AA162*AB162/1000</f>
        <v>169.964024454412</v>
      </c>
      <c r="AD162" s="1576" t="n">
        <f aca="false">$I162</f>
        <v>2.69688041133211</v>
      </c>
      <c r="AE162" s="1566" t="n">
        <f aca="false">AC162/AD162</f>
        <v>63.022455033688</v>
      </c>
      <c r="AF162" s="1567" t="str">
        <f aca="false">IF(MONTH($A162)=12,SUM(AE151:AE162)," ")</f>
        <v> </v>
      </c>
    </row>
    <row r="163" customFormat="false" ht="12.75" hidden="false" customHeight="false" outlineLevel="0" collapsed="false">
      <c r="A163" s="1538" t="n">
        <f aca="false">'Plant Operations'!A163</f>
        <v>40848</v>
      </c>
      <c r="C163" s="1574" t="n">
        <f aca="false">IF($A163&gt;Endyr,0,VLOOKUP($A163,Tariff_Table,Tariff!$D$33))</f>
        <v>7277.27848101266</v>
      </c>
      <c r="E163" s="1561" t="n">
        <f aca="false">VLOOKUP($A163,Tariff_Table,Tariff!$E$33)</f>
        <v>0.971735079059143</v>
      </c>
      <c r="F163" s="1575" t="n">
        <f aca="false">$C163*E163</f>
        <v>7071.58678008224</v>
      </c>
      <c r="G163" s="1565" t="n">
        <f aca="false">VLOOKUP($A163,Curves_Table,Escalation!$N$291)</f>
        <v>1.44536293026781</v>
      </c>
      <c r="H163" s="1575" t="n">
        <f aca="false">F163*G163</f>
        <v>10221.0093901028</v>
      </c>
      <c r="I163" s="1576" t="n">
        <f aca="false">IF(Assm!$L$74=0,VLOOKUP($A163,Curves_Table,Escalation!$D$291),VLOOKUP($A163,Curves_Table,Escalation!$E$291))</f>
        <v>2.70155930431529</v>
      </c>
      <c r="J163" s="1576" t="n">
        <f aca="false">IF($A163&lt;EE_Date,VLOOKUP($A163,Curves_Table,Escalation!$D$291),Exch)</f>
        <v>1.065</v>
      </c>
      <c r="K163" s="1577" t="n">
        <f aca="false">H163*I163/J163</f>
        <v>25927.3831148602</v>
      </c>
      <c r="M163" s="1561" t="n">
        <f aca="false">VLOOKUP($A163,Tariff_Table,Tariff!$F$33)</f>
        <v>0.0282649209408569</v>
      </c>
      <c r="N163" s="1575" t="n">
        <f aca="false">$C163*M163</f>
        <v>205.691700930422</v>
      </c>
      <c r="O163" s="1565" t="n">
        <f aca="false">VLOOKUP($A163,Curves_Table,Escalation!$R$291)</f>
        <v>2.99198913656388</v>
      </c>
      <c r="P163" s="1577" t="n">
        <f aca="false">N163*O163</f>
        <v>615.427334665169</v>
      </c>
      <c r="R163" s="1578" t="n">
        <f aca="false">SUM(K163,P163)</f>
        <v>26542.8104495253</v>
      </c>
      <c r="S163" s="1540" t="n">
        <f aca="false">'Plant Operations'!C163</f>
        <v>480</v>
      </c>
      <c r="T163" s="1575" t="n">
        <f aca="false">R163*S163/1000</f>
        <v>12740.5490157722</v>
      </c>
      <c r="U163" s="1576" t="n">
        <f aca="false">$I163</f>
        <v>2.70155930431529</v>
      </c>
      <c r="V163" s="394" t="n">
        <f aca="false">T163/U163</f>
        <v>4715.99827381958</v>
      </c>
      <c r="W163" s="1579" t="str">
        <f aca="false">IF(MONTH($A163)=12,SUM(V152:V163)," ")</f>
        <v> </v>
      </c>
      <c r="Y163" s="1580" t="n">
        <f aca="false">IF($A163&gt;Endyr,0,VLOOKUP($A163,Tariff_Table,Tariff!$J$33))</f>
        <v>0.19</v>
      </c>
      <c r="Z163" s="1576" t="n">
        <f aca="false">VLOOKUP($A163,Curves_Table,Escalation!$AH$291)</f>
        <v>2.99198913656388</v>
      </c>
      <c r="AA163" s="1576" t="n">
        <f aca="false">Y163*Z163</f>
        <v>0.568477935947138</v>
      </c>
      <c r="AB163" s="397" t="n">
        <f aca="false">'Plant Operations'!$I163+'Plant Operations'!$M163</f>
        <v>289336.32</v>
      </c>
      <c r="AC163" s="1575" t="n">
        <f aca="false">AA163*AB163/1000</f>
        <v>164.48131398814</v>
      </c>
      <c r="AD163" s="1576" t="n">
        <f aca="false">$I163</f>
        <v>2.70155930431529</v>
      </c>
      <c r="AE163" s="1566" t="n">
        <f aca="false">AC163/AD163</f>
        <v>60.8838435363639</v>
      </c>
      <c r="AF163" s="1567" t="str">
        <f aca="false">IF(MONTH($A163)=12,SUM(AE152:AE163)," ")</f>
        <v> </v>
      </c>
    </row>
    <row r="164" customFormat="false" ht="12.75" hidden="false" customHeight="false" outlineLevel="0" collapsed="false">
      <c r="A164" s="1538" t="n">
        <f aca="false">'Plant Operations'!A164</f>
        <v>40878</v>
      </c>
      <c r="C164" s="1574" t="n">
        <f aca="false">IF($A164&gt;Endyr,0,VLOOKUP($A164,Tariff_Table,Tariff!$D$33))</f>
        <v>7277.27848101266</v>
      </c>
      <c r="E164" s="1561" t="n">
        <f aca="false">VLOOKUP($A164,Tariff_Table,Tariff!$E$33)</f>
        <v>0.971735079059143</v>
      </c>
      <c r="F164" s="1575" t="n">
        <f aca="false">$C164*E164</f>
        <v>7071.58678008224</v>
      </c>
      <c r="G164" s="1565" t="n">
        <f aca="false">VLOOKUP($A164,Curves_Table,Escalation!$N$291)</f>
        <v>1.44536293026781</v>
      </c>
      <c r="H164" s="1575" t="n">
        <f aca="false">F164*G164</f>
        <v>10221.0093901028</v>
      </c>
      <c r="I164" s="1576" t="n">
        <f aca="false">IF(Assm!$L$74=0,VLOOKUP($A164,Curves_Table,Escalation!$D$291),VLOOKUP($A164,Curves_Table,Escalation!$E$291))</f>
        <v>2.70624631484031</v>
      </c>
      <c r="J164" s="1576" t="n">
        <f aca="false">IF($A164&lt;EE_Date,VLOOKUP($A164,Curves_Table,Escalation!$D$291),Exch)</f>
        <v>1.065</v>
      </c>
      <c r="K164" s="1577" t="n">
        <f aca="false">H164*I164/J164</f>
        <v>25972.3652543791</v>
      </c>
      <c r="M164" s="1561" t="n">
        <f aca="false">VLOOKUP($A164,Tariff_Table,Tariff!$F$33)</f>
        <v>0.0282649209408569</v>
      </c>
      <c r="N164" s="1575" t="n">
        <f aca="false">$C164*M164</f>
        <v>205.691700930422</v>
      </c>
      <c r="O164" s="1565" t="n">
        <f aca="false">VLOOKUP($A164,Curves_Table,Escalation!$R$291)</f>
        <v>2.99198913656388</v>
      </c>
      <c r="P164" s="1577" t="n">
        <f aca="false">N164*O164</f>
        <v>615.427334665169</v>
      </c>
      <c r="R164" s="1578" t="n">
        <f aca="false">SUM(K164,P164)</f>
        <v>26587.7925890443</v>
      </c>
      <c r="S164" s="1540" t="n">
        <f aca="false">'Plant Operations'!C164</f>
        <v>480</v>
      </c>
      <c r="T164" s="1575" t="n">
        <f aca="false">R164*S164/1000</f>
        <v>12762.1404427413</v>
      </c>
      <c r="U164" s="1576" t="n">
        <f aca="false">$I164</f>
        <v>2.70624631484031</v>
      </c>
      <c r="V164" s="394" t="n">
        <f aca="false">T164/U164</f>
        <v>4715.80889468826</v>
      </c>
      <c r="W164" s="1579" t="n">
        <f aca="false">IF(MONTH($A164)=12,SUM(V153:V164)," ")</f>
        <v>57245.2881043488</v>
      </c>
      <c r="Y164" s="1580" t="n">
        <f aca="false">IF($A164&gt;Endyr,0,VLOOKUP($A164,Tariff_Table,Tariff!$J$33))</f>
        <v>0.19</v>
      </c>
      <c r="Z164" s="1576" t="n">
        <f aca="false">VLOOKUP($A164,Curves_Table,Escalation!$AH$291)</f>
        <v>2.99198913656388</v>
      </c>
      <c r="AA164" s="1576" t="n">
        <f aca="false">Y164*Z164</f>
        <v>0.568477935947138</v>
      </c>
      <c r="AB164" s="397" t="n">
        <f aca="false">'Plant Operations'!$I164+'Plant Operations'!$M164</f>
        <v>298980.864</v>
      </c>
      <c r="AC164" s="1575" t="n">
        <f aca="false">AA164*AB164/1000</f>
        <v>169.964024454412</v>
      </c>
      <c r="AD164" s="1576" t="n">
        <f aca="false">$I164</f>
        <v>2.70624631484031</v>
      </c>
      <c r="AE164" s="1566" t="n">
        <f aca="false">AC164/AD164</f>
        <v>62.8043439809511</v>
      </c>
      <c r="AF164" s="1567" t="n">
        <f aca="false">IF(MONTH($A164)=12,SUM(AE153:AE164)," ")</f>
        <v>729.934184449259</v>
      </c>
    </row>
    <row r="165" customFormat="false" ht="12.75" hidden="false" customHeight="false" outlineLevel="0" collapsed="false">
      <c r="A165" s="1538" t="n">
        <f aca="false">'Plant Operations'!A165</f>
        <v>40909</v>
      </c>
      <c r="C165" s="1574" t="n">
        <f aca="false">IF($A165&gt;Endyr,0,VLOOKUP($A165,Tariff_Table,Tariff!$D$33))</f>
        <v>7277.27848101266</v>
      </c>
      <c r="E165" s="1561" t="n">
        <f aca="false">VLOOKUP($A165,Tariff_Table,Tariff!$E$33)</f>
        <v>0.971735079059143</v>
      </c>
      <c r="F165" s="1575" t="n">
        <f aca="false">$C165*E165</f>
        <v>7071.58678008224</v>
      </c>
      <c r="G165" s="1565" t="n">
        <f aca="false">VLOOKUP($A165,Curves_Table,Escalation!$N$291)</f>
        <v>1.44536293026781</v>
      </c>
      <c r="H165" s="917"/>
      <c r="I165" s="917"/>
      <c r="J165" s="917"/>
      <c r="K165" s="917"/>
      <c r="L165" s="917"/>
      <c r="M165" s="917"/>
      <c r="N165" s="917"/>
      <c r="O165" s="917"/>
      <c r="P165" s="917"/>
      <c r="Q165" s="917"/>
      <c r="R165" s="917"/>
      <c r="S165" s="917"/>
      <c r="T165" s="917"/>
      <c r="U165" s="917"/>
      <c r="V165" s="917"/>
      <c r="W165" s="917"/>
      <c r="X165" s="917"/>
      <c r="Y165" s="917"/>
      <c r="Z165" s="917"/>
      <c r="AA165" s="917"/>
      <c r="AB165" s="917"/>
      <c r="AC165" s="917"/>
      <c r="AD165" s="917"/>
      <c r="AE165" s="917"/>
      <c r="AF165" s="917"/>
    </row>
    <row r="166" customFormat="false" ht="12.75" hidden="false" customHeight="false" outlineLevel="0" collapsed="false">
      <c r="A166" s="1538" t="n">
        <f aca="false">'Plant Operations'!A166</f>
        <v>40940</v>
      </c>
      <c r="C166" s="1574" t="n">
        <f aca="false">IF($A166&gt;Endyr,0,VLOOKUP($A166,Tariff_Table,Tariff!$D$33))</f>
        <v>7277.27848101266</v>
      </c>
      <c r="E166" s="1561" t="n">
        <f aca="false">VLOOKUP($A166,Tariff_Table,Tariff!$E$33)</f>
        <v>0.971735079059143</v>
      </c>
      <c r="F166" s="1575" t="n">
        <f aca="false">$C166*E166</f>
        <v>7071.58678008224</v>
      </c>
      <c r="G166" s="1565" t="n">
        <f aca="false">VLOOKUP($A166,Curves_Table,Escalation!$N$291)</f>
        <v>1.44536293026781</v>
      </c>
      <c r="H166" s="1575" t="n">
        <f aca="false">F166*G166</f>
        <v>10221.0093901028</v>
      </c>
      <c r="I166" s="1576" t="n">
        <f aca="false">IF(Assm!$L$74=0,VLOOKUP($A166,Curves_Table,Escalation!$D$291),VLOOKUP($A166,Curves_Table,Escalation!$E$291))</f>
        <v>2.71518781003473</v>
      </c>
      <c r="J166" s="1576" t="n">
        <f aca="false">IF($A166&lt;EE_Date,VLOOKUP($A166,Curves_Table,Escalation!$D$291),Exch)</f>
        <v>1.065</v>
      </c>
      <c r="K166" s="1577" t="n">
        <f aca="false">H166*I166/J166</f>
        <v>26058.1784997723</v>
      </c>
      <c r="M166" s="1561" t="n">
        <f aca="false">VLOOKUP($A166,Tariff_Table,Tariff!$F$33)</f>
        <v>0.0282649209408569</v>
      </c>
      <c r="N166" s="1575" t="n">
        <f aca="false">$C166*M166</f>
        <v>205.691700930422</v>
      </c>
      <c r="O166" s="1565" t="n">
        <f aca="false">VLOOKUP($A166,Curves_Table,Escalation!$R$291)</f>
        <v>2.99198913656388</v>
      </c>
      <c r="P166" s="1577" t="n">
        <f aca="false">N166*O166</f>
        <v>615.427334665169</v>
      </c>
      <c r="R166" s="1578" t="n">
        <f aca="false">SUM(K166,P166)</f>
        <v>26673.6058344375</v>
      </c>
      <c r="S166" s="1540" t="n">
        <f aca="false">'Plant Operations'!C166</f>
        <v>480</v>
      </c>
      <c r="T166" s="1575" t="n">
        <f aca="false">R166*S166/1000</f>
        <v>12803.33080053</v>
      </c>
      <c r="U166" s="1576" t="n">
        <f aca="false">$I166</f>
        <v>2.71518781003473</v>
      </c>
      <c r="V166" s="394" t="n">
        <f aca="false">T166/U166</f>
        <v>4715.44942608085</v>
      </c>
      <c r="W166" s="1579" t="str">
        <f aca="false">IF(MONTH($A166)=12,SUM(V155:V166)," ")</f>
        <v> </v>
      </c>
      <c r="Y166" s="1580" t="n">
        <f aca="false">IF($A166&gt;Endyr,0,VLOOKUP($A166,Tariff_Table,Tariff!$J$33))</f>
        <v>0.19</v>
      </c>
      <c r="Z166" s="1576" t="n">
        <f aca="false">VLOOKUP($A166,Curves_Table,Escalation!$AH$291)</f>
        <v>2.99198913656388</v>
      </c>
      <c r="AA166" s="1576" t="n">
        <f aca="false">Y166*Z166</f>
        <v>0.568477935947138</v>
      </c>
      <c r="AB166" s="397" t="n">
        <f aca="false">'Plant Operations'!$I166+'Plant Operations'!$M166</f>
        <v>279691.776</v>
      </c>
      <c r="AC166" s="1575" t="n">
        <f aca="false">AA166*AB166/1000</f>
        <v>158.998603521869</v>
      </c>
      <c r="AD166" s="1576" t="n">
        <f aca="false">$I166</f>
        <v>2.71518781003473</v>
      </c>
      <c r="AE166" s="1566" t="n">
        <f aca="false">AC166/AD166</f>
        <v>58.5589707401623</v>
      </c>
      <c r="AF166" s="1567" t="str">
        <f aca="false">IF(MONTH($A166)=12,SUM(AE155:AE166)," ")</f>
        <v> </v>
      </c>
    </row>
    <row r="167" customFormat="false" ht="12.75" hidden="false" customHeight="false" outlineLevel="0" collapsed="false">
      <c r="A167" s="1538" t="n">
        <f aca="false">'Plant Operations'!A167</f>
        <v>40969</v>
      </c>
      <c r="C167" s="1574" t="n">
        <f aca="false">IF($A167&gt;Endyr,0,VLOOKUP($A167,Tariff_Table,Tariff!$D$33))</f>
        <v>7277.27848101266</v>
      </c>
      <c r="E167" s="1561" t="n">
        <f aca="false">VLOOKUP($A167,Tariff_Table,Tariff!$E$33)</f>
        <v>0.971735079059143</v>
      </c>
      <c r="F167" s="1575" t="n">
        <f aca="false">$C167*E167</f>
        <v>7071.58678008224</v>
      </c>
      <c r="G167" s="1565" t="n">
        <f aca="false">VLOOKUP($A167,Curves_Table,Escalation!$N$291)</f>
        <v>1.44536293026781</v>
      </c>
      <c r="H167" s="1575" t="n">
        <f aca="false">F167*G167</f>
        <v>10221.0093901028</v>
      </c>
      <c r="I167" s="1576" t="n">
        <f aca="false">IF(Assm!$L$74=0,VLOOKUP($A167,Curves_Table,Escalation!$D$291),VLOOKUP($A167,Curves_Table,Escalation!$E$291))</f>
        <v>2.71966963012247</v>
      </c>
      <c r="J167" s="1576" t="n">
        <f aca="false">IF($A167&lt;EE_Date,VLOOKUP($A167,Curves_Table,Escalation!$D$291),Exch)</f>
        <v>1.065</v>
      </c>
      <c r="K167" s="1577" t="n">
        <f aca="false">H167*I167/J167</f>
        <v>26101.1913872855</v>
      </c>
      <c r="M167" s="1561" t="n">
        <f aca="false">VLOOKUP($A167,Tariff_Table,Tariff!$F$33)</f>
        <v>0.0282649209408569</v>
      </c>
      <c r="N167" s="1575" t="n">
        <f aca="false">$C167*M167</f>
        <v>205.691700930422</v>
      </c>
      <c r="O167" s="1565" t="n">
        <f aca="false">VLOOKUP($A167,Curves_Table,Escalation!$R$291)</f>
        <v>2.99198913656388</v>
      </c>
      <c r="P167" s="1577" t="n">
        <f aca="false">N167*O167</f>
        <v>615.427334665169</v>
      </c>
      <c r="R167" s="1578" t="n">
        <f aca="false">SUM(K167,P167)</f>
        <v>26716.6187219507</v>
      </c>
      <c r="S167" s="1540" t="n">
        <f aca="false">'Plant Operations'!C167</f>
        <v>480</v>
      </c>
      <c r="T167" s="1575" t="n">
        <f aca="false">R167*S167/1000</f>
        <v>12823.9769865363</v>
      </c>
      <c r="U167" s="1576" t="n">
        <f aca="false">$I167</f>
        <v>2.71966963012247</v>
      </c>
      <c r="V167" s="394" t="n">
        <f aca="false">T167/U167</f>
        <v>4715.27013593884</v>
      </c>
      <c r="W167" s="1579" t="str">
        <f aca="false">IF(MONTH($A167)=12,SUM(V156:V167)," ")</f>
        <v> </v>
      </c>
      <c r="Y167" s="1580" t="n">
        <f aca="false">IF($A167&gt;Endyr,0,VLOOKUP($A167,Tariff_Table,Tariff!$J$33))</f>
        <v>0.19</v>
      </c>
      <c r="Z167" s="1576" t="n">
        <f aca="false">VLOOKUP($A167,Curves_Table,Escalation!$AH$291)</f>
        <v>2.99198913656388</v>
      </c>
      <c r="AA167" s="1576" t="n">
        <f aca="false">Y167*Z167</f>
        <v>0.568477935947138</v>
      </c>
      <c r="AB167" s="397" t="n">
        <f aca="false">'Plant Operations'!$I167+'Plant Operations'!$M167</f>
        <v>298980.864</v>
      </c>
      <c r="AC167" s="1575" t="n">
        <f aca="false">AA167*AB167/1000</f>
        <v>169.964024454412</v>
      </c>
      <c r="AD167" s="1576" t="n">
        <f aca="false">$I167</f>
        <v>2.71966963012247</v>
      </c>
      <c r="AE167" s="1566" t="n">
        <f aca="false">AC167/AD167</f>
        <v>62.4943642315695</v>
      </c>
      <c r="AF167" s="1567" t="str">
        <f aca="false">IF(MONTH($A167)=12,SUM(AE156:AE167)," ")</f>
        <v> </v>
      </c>
    </row>
    <row r="168" customFormat="false" ht="12.75" hidden="false" customHeight="false" outlineLevel="0" collapsed="false">
      <c r="A168" s="1538" t="n">
        <f aca="false">'Plant Operations'!A168</f>
        <v>41000</v>
      </c>
      <c r="C168" s="1574" t="n">
        <f aca="false">IF($A168&gt;Endyr,0,VLOOKUP($A168,Tariff_Table,Tariff!$D$33))</f>
        <v>7277.27848101266</v>
      </c>
      <c r="E168" s="1561" t="n">
        <f aca="false">VLOOKUP($A168,Tariff_Table,Tariff!$E$33)</f>
        <v>0.971735079059143</v>
      </c>
      <c r="F168" s="1575" t="n">
        <f aca="false">$C168*E168</f>
        <v>7071.58678008224</v>
      </c>
      <c r="G168" s="1565" t="n">
        <f aca="false">VLOOKUP($A168,Curves_Table,Escalation!$N$291)</f>
        <v>1.44536293026781</v>
      </c>
      <c r="H168" s="1575" t="n">
        <f aca="false">F168*G168</f>
        <v>10221.0093901028</v>
      </c>
      <c r="I168" s="1576" t="n">
        <f aca="false">IF(Assm!$L$74=0,VLOOKUP($A168,Curves_Table,Escalation!$D$291),VLOOKUP($A168,Curves_Table,Escalation!$E$291))</f>
        <v>2.72415884811883</v>
      </c>
      <c r="J168" s="1576" t="n">
        <f aca="false">IF($A168&lt;EE_Date,VLOOKUP($A168,Curves_Table,Escalation!$D$291),Exch)</f>
        <v>1.065</v>
      </c>
      <c r="K168" s="1577" t="n">
        <f aca="false">H168*I168/J168</f>
        <v>26144.2752739475</v>
      </c>
      <c r="M168" s="1561" t="n">
        <f aca="false">VLOOKUP($A168,Tariff_Table,Tariff!$F$33)</f>
        <v>0.0282649209408569</v>
      </c>
      <c r="N168" s="1575" t="n">
        <f aca="false">$C168*M168</f>
        <v>205.691700930422</v>
      </c>
      <c r="O168" s="1565" t="n">
        <f aca="false">VLOOKUP($A168,Curves_Table,Escalation!$R$291)</f>
        <v>2.99198913656388</v>
      </c>
      <c r="P168" s="1577" t="n">
        <f aca="false">N168*O168</f>
        <v>615.427334665169</v>
      </c>
      <c r="R168" s="1578" t="n">
        <f aca="false">SUM(K168,P168)</f>
        <v>26759.7026086127</v>
      </c>
      <c r="S168" s="1540" t="n">
        <f aca="false">'Plant Operations'!C168</f>
        <v>480</v>
      </c>
      <c r="T168" s="1575" t="n">
        <f aca="false">R168*S168/1000</f>
        <v>12844.6572521341</v>
      </c>
      <c r="U168" s="1576" t="n">
        <f aca="false">$I168</f>
        <v>2.72415884811883</v>
      </c>
      <c r="V168" s="394" t="n">
        <f aca="false">T168/U168</f>
        <v>4715.0911412541</v>
      </c>
      <c r="W168" s="1579" t="str">
        <f aca="false">IF(MONTH($A168)=12,SUM(V157:V168)," ")</f>
        <v> </v>
      </c>
      <c r="Y168" s="1580" t="n">
        <f aca="false">IF($A168&gt;Endyr,0,VLOOKUP($A168,Tariff_Table,Tariff!$J$33))</f>
        <v>0.19</v>
      </c>
      <c r="Z168" s="1576" t="n">
        <f aca="false">VLOOKUP($A168,Curves_Table,Escalation!$AH$291)</f>
        <v>2.99198913656388</v>
      </c>
      <c r="AA168" s="1576" t="n">
        <f aca="false">Y168*Z168</f>
        <v>0.568477935947138</v>
      </c>
      <c r="AB168" s="397" t="n">
        <f aca="false">'Plant Operations'!$I168+'Plant Operations'!$M168</f>
        <v>289336.32</v>
      </c>
      <c r="AC168" s="1575" t="n">
        <f aca="false">AA168*AB168/1000</f>
        <v>164.48131398814</v>
      </c>
      <c r="AD168" s="1576" t="n">
        <f aca="false">$I168</f>
        <v>2.72415884811883</v>
      </c>
      <c r="AE168" s="1566" t="n">
        <f aca="false">AC168/AD168</f>
        <v>60.3787529136647</v>
      </c>
      <c r="AF168" s="1567" t="str">
        <f aca="false">IF(MONTH($A168)=12,SUM(AE157:AE168)," ")</f>
        <v> </v>
      </c>
    </row>
    <row r="169" customFormat="false" ht="12.75" hidden="false" customHeight="false" outlineLevel="0" collapsed="false">
      <c r="A169" s="1538" t="n">
        <f aca="false">'Plant Operations'!A169</f>
        <v>41030</v>
      </c>
      <c r="C169" s="1574" t="n">
        <f aca="false">IF($A169&gt;Endyr,0,VLOOKUP($A169,Tariff_Table,Tariff!$D$33))</f>
        <v>6768.8424437299</v>
      </c>
      <c r="E169" s="1561" t="n">
        <f aca="false">VLOOKUP($A169,Tariff_Table,Tariff!$E$33)</f>
        <v>0.941583069706537</v>
      </c>
      <c r="F169" s="1575" t="n">
        <f aca="false">$C169*E169</f>
        <v>6373.4274465271</v>
      </c>
      <c r="G169" s="1565" t="n">
        <f aca="false">VLOOKUP($A169,Curves_Table,Escalation!$N$291)</f>
        <v>1.48180861051097</v>
      </c>
      <c r="H169" s="1575" t="n">
        <f aca="false">F169*G169</f>
        <v>9444.19966873081</v>
      </c>
      <c r="I169" s="1576" t="n">
        <f aca="false">IF(Assm!$L$74=0,VLOOKUP($A169,Curves_Table,Escalation!$D$291),VLOOKUP($A169,Curves_Table,Escalation!$E$291))</f>
        <v>2.72865547623515</v>
      </c>
      <c r="J169" s="1576" t="n">
        <f aca="false">IF($A169&lt;EE_Date,VLOOKUP($A169,Curves_Table,Escalation!$D$291),Exch)</f>
        <v>1.065</v>
      </c>
      <c r="K169" s="1577" t="n">
        <f aca="false">H169*I169/J169</f>
        <v>24197.1522485827</v>
      </c>
      <c r="M169" s="1561" t="n">
        <f aca="false">VLOOKUP($A169,Tariff_Table,Tariff!$F$33)</f>
        <v>0.058416930293463</v>
      </c>
      <c r="N169" s="1575" t="n">
        <f aca="false">$C169*M169</f>
        <v>395.414997202803</v>
      </c>
      <c r="O169" s="1565" t="n">
        <f aca="false">VLOOKUP($A169,Curves_Table,Escalation!$R$291)</f>
        <v>3.20741235439648</v>
      </c>
      <c r="P169" s="1577" t="n">
        <f aca="false">N169*O169</f>
        <v>1268.25894714192</v>
      </c>
      <c r="R169" s="1578" t="n">
        <f aca="false">SUM(K169,P169)</f>
        <v>25465.4111957246</v>
      </c>
      <c r="S169" s="1540" t="n">
        <f aca="false">'Plant Operations'!C169</f>
        <v>480</v>
      </c>
      <c r="T169" s="1575" t="n">
        <f aca="false">R169*S169/1000</f>
        <v>12223.3973739478</v>
      </c>
      <c r="U169" s="1576" t="n">
        <f aca="false">$I169</f>
        <v>2.72865547623515</v>
      </c>
      <c r="V169" s="394" t="n">
        <f aca="false">T169/U169</f>
        <v>4479.64115675496</v>
      </c>
      <c r="W169" s="1579" t="str">
        <f aca="false">IF(MONTH($A169)=12,SUM(V158:V169)," ")</f>
        <v> </v>
      </c>
      <c r="Y169" s="1580" t="n">
        <f aca="false">IF($A169&gt;Endyr,0,VLOOKUP($A169,Tariff_Table,Tariff!$J$33))</f>
        <v>0.19</v>
      </c>
      <c r="Z169" s="1576" t="n">
        <f aca="false">VLOOKUP($A169,Curves_Table,Escalation!$AH$291)</f>
        <v>3.20741235439648</v>
      </c>
      <c r="AA169" s="1576" t="n">
        <f aca="false">Y169*Z169</f>
        <v>0.609408347335332</v>
      </c>
      <c r="AB169" s="397" t="n">
        <f aca="false">'Plant Operations'!$I169+'Plant Operations'!$M169</f>
        <v>298980.864</v>
      </c>
      <c r="AC169" s="1575" t="n">
        <f aca="false">AA169*AB169/1000</f>
        <v>182.20143421513</v>
      </c>
      <c r="AD169" s="1576" t="n">
        <f aca="false">$I169</f>
        <v>2.72865547623515</v>
      </c>
      <c r="AE169" s="1566" t="n">
        <f aca="false">AC169/AD169</f>
        <v>66.7733379321749</v>
      </c>
      <c r="AF169" s="1567" t="str">
        <f aca="false">IF(MONTH($A169)=12,SUM(AE158:AE169)," ")</f>
        <v> </v>
      </c>
    </row>
    <row r="170" customFormat="false" ht="12.75" hidden="false" customHeight="false" outlineLevel="0" collapsed="false">
      <c r="A170" s="1538" t="n">
        <f aca="false">'Plant Operations'!A170</f>
        <v>41061</v>
      </c>
      <c r="C170" s="1574" t="n">
        <f aca="false">IF($A170&gt;Endyr,0,VLOOKUP($A170,Tariff_Table,Tariff!$D$33))</f>
        <v>6768.8424437299</v>
      </c>
      <c r="E170" s="1561" t="n">
        <f aca="false">VLOOKUP($A170,Tariff_Table,Tariff!$E$33)</f>
        <v>0.941583069706537</v>
      </c>
      <c r="F170" s="1575" t="n">
        <f aca="false">$C170*E170</f>
        <v>6373.4274465271</v>
      </c>
      <c r="G170" s="1565" t="n">
        <f aca="false">VLOOKUP($A170,Curves_Table,Escalation!$N$291)</f>
        <v>1.48180861051097</v>
      </c>
      <c r="H170" s="1575" t="n">
        <f aca="false">F170*G170</f>
        <v>9444.19966873081</v>
      </c>
      <c r="I170" s="1576" t="n">
        <f aca="false">IF(Assm!$L$74=0,VLOOKUP($A170,Curves_Table,Escalation!$D$291),VLOOKUP($A170,Curves_Table,Escalation!$E$291))</f>
        <v>2.73315952670294</v>
      </c>
      <c r="J170" s="1576" t="n">
        <f aca="false">IF($A170&lt;EE_Date,VLOOKUP($A170,Curves_Table,Escalation!$D$291),Exch)</f>
        <v>1.065</v>
      </c>
      <c r="K170" s="1577" t="n">
        <f aca="false">H170*I170/J170</f>
        <v>24237.0932363158</v>
      </c>
      <c r="M170" s="1561" t="n">
        <f aca="false">VLOOKUP($A170,Tariff_Table,Tariff!$F$33)</f>
        <v>0.058416930293463</v>
      </c>
      <c r="N170" s="1575" t="n">
        <f aca="false">$C170*M170</f>
        <v>395.414997202803</v>
      </c>
      <c r="O170" s="1565" t="n">
        <f aca="false">VLOOKUP($A170,Curves_Table,Escalation!$R$291)</f>
        <v>3.20741235439648</v>
      </c>
      <c r="P170" s="1577" t="n">
        <f aca="false">N170*O170</f>
        <v>1268.25894714192</v>
      </c>
      <c r="R170" s="1578" t="n">
        <f aca="false">SUM(K170,P170)</f>
        <v>25505.3521834578</v>
      </c>
      <c r="S170" s="1540" t="n">
        <f aca="false">'Plant Operations'!C170</f>
        <v>480</v>
      </c>
      <c r="T170" s="1575" t="n">
        <f aca="false">R170*S170/1000</f>
        <v>12242.5690480597</v>
      </c>
      <c r="U170" s="1576" t="n">
        <f aca="false">$I170</f>
        <v>2.73315952670294</v>
      </c>
      <c r="V170" s="394" t="n">
        <f aca="false">T170/U170</f>
        <v>4479.27350322949</v>
      </c>
      <c r="W170" s="1579" t="str">
        <f aca="false">IF(MONTH($A170)=12,SUM(V159:V170)," ")</f>
        <v> </v>
      </c>
      <c r="Y170" s="1580" t="n">
        <f aca="false">IF($A170&gt;Endyr,0,VLOOKUP($A170,Tariff_Table,Tariff!$J$33))</f>
        <v>0.19</v>
      </c>
      <c r="Z170" s="1576" t="n">
        <f aca="false">VLOOKUP($A170,Curves_Table,Escalation!$AH$291)</f>
        <v>3.20741235439648</v>
      </c>
      <c r="AA170" s="1576" t="n">
        <f aca="false">Y170*Z170</f>
        <v>0.609408347335332</v>
      </c>
      <c r="AB170" s="397" t="n">
        <f aca="false">'Plant Operations'!$I170+'Plant Operations'!$M170</f>
        <v>289336.32</v>
      </c>
      <c r="AC170" s="1575" t="n">
        <f aca="false">AA170*AB170/1000</f>
        <v>176.323968595287</v>
      </c>
      <c r="AD170" s="1576" t="n">
        <f aca="false">$I170</f>
        <v>2.73315952670294</v>
      </c>
      <c r="AE170" s="1566" t="n">
        <f aca="false">AC170/AD170</f>
        <v>64.5128712292873</v>
      </c>
      <c r="AF170" s="1567" t="str">
        <f aca="false">IF(MONTH($A170)=12,SUM(AE159:AE170)," ")</f>
        <v> </v>
      </c>
    </row>
    <row r="171" customFormat="false" ht="12.75" hidden="false" customHeight="false" outlineLevel="0" collapsed="false">
      <c r="A171" s="1538" t="n">
        <f aca="false">'Plant Operations'!A171</f>
        <v>41091</v>
      </c>
      <c r="C171" s="1574" t="n">
        <f aca="false">IF($A171&gt;Endyr,0,VLOOKUP($A171,Tariff_Table,Tariff!$D$33))</f>
        <v>6768.8424437299</v>
      </c>
      <c r="E171" s="1561" t="n">
        <f aca="false">VLOOKUP($A171,Tariff_Table,Tariff!$E$33)</f>
        <v>0.941583069706537</v>
      </c>
      <c r="F171" s="1575" t="n">
        <f aca="false">$C171*E171</f>
        <v>6373.4274465271</v>
      </c>
      <c r="G171" s="1565" t="n">
        <f aca="false">VLOOKUP($A171,Curves_Table,Escalation!$N$291)</f>
        <v>1.48180861051097</v>
      </c>
      <c r="H171" s="1575" t="n">
        <f aca="false">F171*G171</f>
        <v>9444.19966873081</v>
      </c>
      <c r="I171" s="1576" t="n">
        <f aca="false">IF(Assm!$L$74=0,VLOOKUP($A171,Curves_Table,Escalation!$D$291),VLOOKUP($A171,Curves_Table,Escalation!$E$291))</f>
        <v>2.73767101177388</v>
      </c>
      <c r="J171" s="1576" t="n">
        <f aca="false">IF($A171&lt;EE_Date,VLOOKUP($A171,Curves_Table,Escalation!$D$291),Exch)</f>
        <v>1.065</v>
      </c>
      <c r="K171" s="1577" t="n">
        <f aca="false">H171*I171/J171</f>
        <v>24277.1001525717</v>
      </c>
      <c r="M171" s="1561" t="n">
        <f aca="false">VLOOKUP($A171,Tariff_Table,Tariff!$F$33)</f>
        <v>0.058416930293463</v>
      </c>
      <c r="N171" s="1575" t="n">
        <f aca="false">$C171*M171</f>
        <v>395.414997202803</v>
      </c>
      <c r="O171" s="1565" t="n">
        <f aca="false">VLOOKUP($A171,Curves_Table,Escalation!$R$291)</f>
        <v>3.20741235439648</v>
      </c>
      <c r="P171" s="1577" t="n">
        <f aca="false">N171*O171</f>
        <v>1268.25894714192</v>
      </c>
      <c r="R171" s="1578" t="n">
        <f aca="false">SUM(K171,P171)</f>
        <v>25545.3590997136</v>
      </c>
      <c r="S171" s="1540" t="n">
        <f aca="false">'Plant Operations'!C171</f>
        <v>480</v>
      </c>
      <c r="T171" s="1575" t="n">
        <f aca="false">R171*S171/1000</f>
        <v>12261.7723678625</v>
      </c>
      <c r="U171" s="1576" t="n">
        <f aca="false">$I171</f>
        <v>2.73767101177388</v>
      </c>
      <c r="V171" s="394" t="n">
        <f aca="false">T171/U171</f>
        <v>4478.9064555706</v>
      </c>
      <c r="W171" s="1579" t="str">
        <f aca="false">IF(MONTH($A171)=12,SUM(V160:V171)," ")</f>
        <v> </v>
      </c>
      <c r="Y171" s="1580" t="n">
        <f aca="false">IF($A171&gt;Endyr,0,VLOOKUP($A171,Tariff_Table,Tariff!$J$33))</f>
        <v>0.19</v>
      </c>
      <c r="Z171" s="1576" t="n">
        <f aca="false">VLOOKUP($A171,Curves_Table,Escalation!$AH$291)</f>
        <v>3.20741235439648</v>
      </c>
      <c r="AA171" s="1576" t="n">
        <f aca="false">Y171*Z171</f>
        <v>0.609408347335332</v>
      </c>
      <c r="AB171" s="397" t="n">
        <f aca="false">'Plant Operations'!$I171+'Plant Operations'!$M171</f>
        <v>298980.864</v>
      </c>
      <c r="AC171" s="1575" t="n">
        <f aca="false">AA171*AB171/1000</f>
        <v>182.20143421513</v>
      </c>
      <c r="AD171" s="1576" t="n">
        <f aca="false">$I171</f>
        <v>2.73767101177388</v>
      </c>
      <c r="AE171" s="1566" t="n">
        <f aca="false">AC171/AD171</f>
        <v>66.5534439425106</v>
      </c>
      <c r="AF171" s="1567" t="str">
        <f aca="false">IF(MONTH($A171)=12,SUM(AE160:AE171)," ")</f>
        <v> </v>
      </c>
    </row>
    <row r="172" customFormat="false" ht="12.75" hidden="false" customHeight="false" outlineLevel="0" collapsed="false">
      <c r="A172" s="1538" t="n">
        <f aca="false">'Plant Operations'!A172</f>
        <v>41122</v>
      </c>
      <c r="C172" s="1574" t="n">
        <f aca="false">IF($A172&gt;Endyr,0,VLOOKUP($A172,Tariff_Table,Tariff!$D$33))</f>
        <v>6768.8424437299</v>
      </c>
      <c r="E172" s="1561" t="n">
        <f aca="false">VLOOKUP($A172,Tariff_Table,Tariff!$E$33)</f>
        <v>0.941583069706537</v>
      </c>
      <c r="F172" s="1575" t="n">
        <f aca="false">$C172*E172</f>
        <v>6373.4274465271</v>
      </c>
      <c r="G172" s="1565" t="n">
        <f aca="false">VLOOKUP($A172,Curves_Table,Escalation!$N$291)</f>
        <v>1.48180861051097</v>
      </c>
      <c r="H172" s="1575" t="n">
        <f aca="false">F172*G172</f>
        <v>9444.19966873081</v>
      </c>
      <c r="I172" s="1576" t="n">
        <f aca="false">IF(Assm!$L$74=0,VLOOKUP($A172,Curves_Table,Escalation!$D$291),VLOOKUP($A172,Curves_Table,Escalation!$E$291))</f>
        <v>2.7421899437199</v>
      </c>
      <c r="J172" s="1576" t="n">
        <f aca="false">IF($A172&lt;EE_Date,VLOOKUP($A172,Curves_Table,Escalation!$D$291),Exch)</f>
        <v>1.065</v>
      </c>
      <c r="K172" s="1577" t="n">
        <f aca="false">H172*I172/J172</f>
        <v>24317.173106175</v>
      </c>
      <c r="M172" s="1561" t="n">
        <f aca="false">VLOOKUP($A172,Tariff_Table,Tariff!$F$33)</f>
        <v>0.058416930293463</v>
      </c>
      <c r="N172" s="1575" t="n">
        <f aca="false">$C172*M172</f>
        <v>395.414997202803</v>
      </c>
      <c r="O172" s="1565" t="n">
        <f aca="false">VLOOKUP($A172,Curves_Table,Escalation!$R$291)</f>
        <v>3.20741235439648</v>
      </c>
      <c r="P172" s="1577" t="n">
        <f aca="false">N172*O172</f>
        <v>1268.25894714192</v>
      </c>
      <c r="R172" s="1578" t="n">
        <f aca="false">SUM(K172,P172)</f>
        <v>25585.432053317</v>
      </c>
      <c r="S172" s="1540" t="n">
        <f aca="false">'Plant Operations'!C172</f>
        <v>480</v>
      </c>
      <c r="T172" s="1575" t="n">
        <f aca="false">R172*S172/1000</f>
        <v>12281.0073855921</v>
      </c>
      <c r="U172" s="1576" t="n">
        <f aca="false">$I172</f>
        <v>2.7421899437199</v>
      </c>
      <c r="V172" s="394" t="n">
        <f aca="false">T172/U172</f>
        <v>4478.54001277987</v>
      </c>
      <c r="W172" s="1579" t="str">
        <f aca="false">IF(MONTH($A172)=12,SUM(V161:V172)," ")</f>
        <v> </v>
      </c>
      <c r="Y172" s="1580" t="n">
        <f aca="false">IF($A172&gt;Endyr,0,VLOOKUP($A172,Tariff_Table,Tariff!$J$33))</f>
        <v>0.19</v>
      </c>
      <c r="Z172" s="1576" t="n">
        <f aca="false">VLOOKUP($A172,Curves_Table,Escalation!$AH$291)</f>
        <v>3.20741235439648</v>
      </c>
      <c r="AA172" s="1576" t="n">
        <f aca="false">Y172*Z172</f>
        <v>0.609408347335332</v>
      </c>
      <c r="AB172" s="397" t="n">
        <f aca="false">'Plant Operations'!$I172+'Plant Operations'!$M172</f>
        <v>298980.864</v>
      </c>
      <c r="AC172" s="1575" t="n">
        <f aca="false">AA172*AB172/1000</f>
        <v>182.20143421513</v>
      </c>
      <c r="AD172" s="1576" t="n">
        <f aca="false">$I172</f>
        <v>2.7421899437199</v>
      </c>
      <c r="AE172" s="1566" t="n">
        <f aca="false">AC172/AD172</f>
        <v>66.4437686500905</v>
      </c>
      <c r="AF172" s="1567" t="str">
        <f aca="false">IF(MONTH($A172)=12,SUM(AE161:AE172)," ")</f>
        <v> </v>
      </c>
    </row>
    <row r="173" customFormat="false" ht="12.75" hidden="false" customHeight="false" outlineLevel="0" collapsed="false">
      <c r="A173" s="1538" t="n">
        <f aca="false">'Plant Operations'!A173</f>
        <v>41153</v>
      </c>
      <c r="C173" s="1574" t="n">
        <f aca="false">IF($A173&gt;Endyr,0,VLOOKUP($A173,Tariff_Table,Tariff!$D$33))</f>
        <v>6768.8424437299</v>
      </c>
      <c r="E173" s="1561" t="n">
        <f aca="false">VLOOKUP($A173,Tariff_Table,Tariff!$E$33)</f>
        <v>0.941583069706537</v>
      </c>
      <c r="F173" s="1575" t="n">
        <f aca="false">$C173*E173</f>
        <v>6373.4274465271</v>
      </c>
      <c r="G173" s="1565" t="n">
        <f aca="false">VLOOKUP($A173,Curves_Table,Escalation!$N$291)</f>
        <v>1.48180861051097</v>
      </c>
      <c r="H173" s="1575" t="n">
        <f aca="false">F173*G173</f>
        <v>9444.19966873081</v>
      </c>
      <c r="I173" s="1576" t="n">
        <f aca="false">IF(Assm!$L$74=0,VLOOKUP($A173,Curves_Table,Escalation!$D$291),VLOOKUP($A173,Curves_Table,Escalation!$E$291))</f>
        <v>2.74671633483315</v>
      </c>
      <c r="J173" s="1576" t="n">
        <f aca="false">IF($A173&lt;EE_Date,VLOOKUP($A173,Curves_Table,Escalation!$D$291),Exch)</f>
        <v>1.065</v>
      </c>
      <c r="K173" s="1577" t="n">
        <f aca="false">H173*I173/J173</f>
        <v>24357.3122061303</v>
      </c>
      <c r="M173" s="1561" t="n">
        <f aca="false">VLOOKUP($A173,Tariff_Table,Tariff!$F$33)</f>
        <v>0.058416930293463</v>
      </c>
      <c r="N173" s="1575" t="n">
        <f aca="false">$C173*M173</f>
        <v>395.414997202803</v>
      </c>
      <c r="O173" s="1565" t="n">
        <f aca="false">VLOOKUP($A173,Curves_Table,Escalation!$R$291)</f>
        <v>3.20741235439648</v>
      </c>
      <c r="P173" s="1577" t="n">
        <f aca="false">N173*O173</f>
        <v>1268.25894714192</v>
      </c>
      <c r="R173" s="1578" t="n">
        <f aca="false">SUM(K173,P173)</f>
        <v>25625.5711532722</v>
      </c>
      <c r="S173" s="1540" t="n">
        <f aca="false">'Plant Operations'!C173</f>
        <v>480</v>
      </c>
      <c r="T173" s="1575" t="n">
        <f aca="false">R173*S173/1000</f>
        <v>12300.2741535707</v>
      </c>
      <c r="U173" s="1576" t="n">
        <f aca="false">$I173</f>
        <v>2.74671633483315</v>
      </c>
      <c r="V173" s="394" t="n">
        <f aca="false">T173/U173</f>
        <v>4478.17417386053</v>
      </c>
      <c r="W173" s="1579" t="str">
        <f aca="false">IF(MONTH($A173)=12,SUM(V162:V173)," ")</f>
        <v> </v>
      </c>
      <c r="Y173" s="1580" t="n">
        <f aca="false">IF($A173&gt;Endyr,0,VLOOKUP($A173,Tariff_Table,Tariff!$J$33))</f>
        <v>0.19</v>
      </c>
      <c r="Z173" s="1576" t="n">
        <f aca="false">VLOOKUP($A173,Curves_Table,Escalation!$AH$291)</f>
        <v>3.20741235439648</v>
      </c>
      <c r="AA173" s="1576" t="n">
        <f aca="false">Y173*Z173</f>
        <v>0.609408347335332</v>
      </c>
      <c r="AB173" s="397" t="n">
        <f aca="false">'Plant Operations'!$I173+'Plant Operations'!$M173</f>
        <v>289336.32</v>
      </c>
      <c r="AC173" s="1575" t="n">
        <f aca="false">AA173*AB173/1000</f>
        <v>176.323968595287</v>
      </c>
      <c r="AD173" s="1576" t="n">
        <f aca="false">$I173</f>
        <v>2.74671633483315</v>
      </c>
      <c r="AE173" s="1566" t="n">
        <f aca="false">AC173/AD173</f>
        <v>64.1944588012934</v>
      </c>
      <c r="AF173" s="1567" t="str">
        <f aca="false">IF(MONTH($A173)=12,SUM(AE162:AE173)," ")</f>
        <v> </v>
      </c>
    </row>
    <row r="174" customFormat="false" ht="12.75" hidden="false" customHeight="false" outlineLevel="0" collapsed="false">
      <c r="A174" s="1538" t="n">
        <f aca="false">'Plant Operations'!A174</f>
        <v>41183</v>
      </c>
      <c r="C174" s="1574" t="n">
        <f aca="false">IF($A174&gt;Endyr,0,VLOOKUP($A174,Tariff_Table,Tariff!$D$33))</f>
        <v>6768.8424437299</v>
      </c>
      <c r="E174" s="1561" t="n">
        <f aca="false">VLOOKUP($A174,Tariff_Table,Tariff!$E$33)</f>
        <v>0.941583069706537</v>
      </c>
      <c r="F174" s="1575" t="n">
        <f aca="false">$C174*E174</f>
        <v>6373.4274465271</v>
      </c>
      <c r="G174" s="1565" t="n">
        <f aca="false">VLOOKUP($A174,Curves_Table,Escalation!$N$291)</f>
        <v>1.48180861051097</v>
      </c>
      <c r="H174" s="1575" t="n">
        <f aca="false">F174*G174</f>
        <v>9444.19966873081</v>
      </c>
      <c r="I174" s="1576" t="n">
        <f aca="false">IF(Assm!$L$74=0,VLOOKUP($A174,Curves_Table,Escalation!$D$291),VLOOKUP($A174,Curves_Table,Escalation!$E$291))</f>
        <v>2.75125019742612</v>
      </c>
      <c r="J174" s="1576" t="n">
        <f aca="false">IF($A174&lt;EE_Date,VLOOKUP($A174,Curves_Table,Escalation!$D$291),Exch)</f>
        <v>1.065</v>
      </c>
      <c r="K174" s="1577" t="n">
        <f aca="false">H174*I174/J174</f>
        <v>24397.5175616219</v>
      </c>
      <c r="M174" s="1561" t="n">
        <f aca="false">VLOOKUP($A174,Tariff_Table,Tariff!$F$33)</f>
        <v>0.058416930293463</v>
      </c>
      <c r="N174" s="1575" t="n">
        <f aca="false">$C174*M174</f>
        <v>395.414997202803</v>
      </c>
      <c r="O174" s="1565" t="n">
        <f aca="false">VLOOKUP($A174,Curves_Table,Escalation!$R$291)</f>
        <v>3.20741235439648</v>
      </c>
      <c r="P174" s="1577" t="n">
        <f aca="false">N174*O174</f>
        <v>1268.25894714192</v>
      </c>
      <c r="R174" s="1578" t="n">
        <f aca="false">SUM(K174,P174)</f>
        <v>25665.7765087638</v>
      </c>
      <c r="S174" s="1540" t="n">
        <f aca="false">'Plant Operations'!C174</f>
        <v>480</v>
      </c>
      <c r="T174" s="1575" t="n">
        <f aca="false">R174*S174/1000</f>
        <v>12319.5727242066</v>
      </c>
      <c r="U174" s="1576" t="n">
        <f aca="false">$I174</f>
        <v>2.75125019742612</v>
      </c>
      <c r="V174" s="394" t="n">
        <f aca="false">T174/U174</f>
        <v>4477.80893781743</v>
      </c>
      <c r="W174" s="1579" t="str">
        <f aca="false">IF(MONTH($A174)=12,SUM(V163:V174)," ")</f>
        <v> </v>
      </c>
      <c r="Y174" s="1580" t="n">
        <f aca="false">IF($A174&gt;Endyr,0,VLOOKUP($A174,Tariff_Table,Tariff!$J$33))</f>
        <v>0.19</v>
      </c>
      <c r="Z174" s="1576" t="n">
        <f aca="false">VLOOKUP($A174,Curves_Table,Escalation!$AH$291)</f>
        <v>3.20741235439648</v>
      </c>
      <c r="AA174" s="1576" t="n">
        <f aca="false">Y174*Z174</f>
        <v>0.609408347335332</v>
      </c>
      <c r="AB174" s="397" t="n">
        <f aca="false">'Plant Operations'!$I174+'Plant Operations'!$M174</f>
        <v>298980.864</v>
      </c>
      <c r="AC174" s="1575" t="n">
        <f aca="false">AA174*AB174/1000</f>
        <v>182.20143421513</v>
      </c>
      <c r="AD174" s="1576" t="n">
        <f aca="false">$I174</f>
        <v>2.75125019742612</v>
      </c>
      <c r="AE174" s="1566" t="n">
        <f aca="false">AC174/AD174</f>
        <v>66.2249599784072</v>
      </c>
      <c r="AF174" s="1567" t="str">
        <f aca="false">IF(MONTH($A174)=12,SUM(AE163:AE174)," ")</f>
        <v> </v>
      </c>
    </row>
    <row r="175" customFormat="false" ht="12.75" hidden="false" customHeight="false" outlineLevel="0" collapsed="false">
      <c r="A175" s="1538" t="n">
        <f aca="false">'Plant Operations'!A175</f>
        <v>41214</v>
      </c>
      <c r="C175" s="1574" t="n">
        <f aca="false">IF($A175&gt;Endyr,0,VLOOKUP($A175,Tariff_Table,Tariff!$D$33))</f>
        <v>6768.8424437299</v>
      </c>
      <c r="E175" s="1561" t="n">
        <f aca="false">VLOOKUP($A175,Tariff_Table,Tariff!$E$33)</f>
        <v>0.941583069706537</v>
      </c>
      <c r="F175" s="1575" t="n">
        <f aca="false">$C175*E175</f>
        <v>6373.4274465271</v>
      </c>
      <c r="G175" s="1565" t="n">
        <f aca="false">VLOOKUP($A175,Curves_Table,Escalation!$N$291)</f>
        <v>1.48180861051097</v>
      </c>
      <c r="H175" s="1575" t="n">
        <f aca="false">F175*G175</f>
        <v>9444.19966873081</v>
      </c>
      <c r="I175" s="1576" t="n">
        <f aca="false">IF(Assm!$L$74=0,VLOOKUP($A175,Curves_Table,Escalation!$D$291),VLOOKUP($A175,Curves_Table,Escalation!$E$291))</f>
        <v>2.75579154383157</v>
      </c>
      <c r="J175" s="1576" t="n">
        <f aca="false">IF($A175&lt;EE_Date,VLOOKUP($A175,Curves_Table,Escalation!$D$291),Exch)</f>
        <v>1.065</v>
      </c>
      <c r="K175" s="1577" t="n">
        <f aca="false">H175*I175/J175</f>
        <v>24437.7892820143</v>
      </c>
      <c r="M175" s="1561" t="n">
        <f aca="false">VLOOKUP($A175,Tariff_Table,Tariff!$F$33)</f>
        <v>0.058416930293463</v>
      </c>
      <c r="N175" s="1575" t="n">
        <f aca="false">$C175*M175</f>
        <v>395.414997202803</v>
      </c>
      <c r="O175" s="1565" t="n">
        <f aca="false">VLOOKUP($A175,Curves_Table,Escalation!$R$291)</f>
        <v>3.20741235439648</v>
      </c>
      <c r="P175" s="1577" t="n">
        <f aca="false">N175*O175</f>
        <v>1268.25894714192</v>
      </c>
      <c r="R175" s="1578" t="n">
        <f aca="false">SUM(K175,P175)</f>
        <v>25706.0482291562</v>
      </c>
      <c r="S175" s="1540" t="n">
        <f aca="false">'Plant Operations'!C175</f>
        <v>480</v>
      </c>
      <c r="T175" s="1575" t="n">
        <f aca="false">R175*S175/1000</f>
        <v>12338.903149995</v>
      </c>
      <c r="U175" s="1576" t="n">
        <f aca="false">$I175</f>
        <v>2.75579154383157</v>
      </c>
      <c r="V175" s="394" t="n">
        <f aca="false">T175/U175</f>
        <v>4477.44430365708</v>
      </c>
      <c r="W175" s="1579" t="str">
        <f aca="false">IF(MONTH($A175)=12,SUM(V164:V175)," ")</f>
        <v> </v>
      </c>
      <c r="Y175" s="1580" t="n">
        <f aca="false">IF($A175&gt;Endyr,0,VLOOKUP($A175,Tariff_Table,Tariff!$J$33))</f>
        <v>0.19</v>
      </c>
      <c r="Z175" s="1576" t="n">
        <f aca="false">VLOOKUP($A175,Curves_Table,Escalation!$AH$291)</f>
        <v>3.20741235439648</v>
      </c>
      <c r="AA175" s="1576" t="n">
        <f aca="false">Y175*Z175</f>
        <v>0.609408347335332</v>
      </c>
      <c r="AB175" s="397" t="n">
        <f aca="false">'Plant Operations'!$I175+'Plant Operations'!$M175</f>
        <v>289336.32</v>
      </c>
      <c r="AC175" s="1575" t="n">
        <f aca="false">AA175*AB175/1000</f>
        <v>176.323968595287</v>
      </c>
      <c r="AD175" s="1576" t="n">
        <f aca="false">$I175</f>
        <v>2.75579154383157</v>
      </c>
      <c r="AE175" s="1566" t="n">
        <f aca="false">AC175/AD175</f>
        <v>63.9830574231791</v>
      </c>
      <c r="AF175" s="1567" t="str">
        <f aca="false">IF(MONTH($A175)=12,SUM(AE164:AE175)," ")</f>
        <v> </v>
      </c>
    </row>
    <row r="176" customFormat="false" ht="12.75" hidden="false" customHeight="false" outlineLevel="0" collapsed="false">
      <c r="A176" s="1538" t="n">
        <f aca="false">'Plant Operations'!A176</f>
        <v>41244</v>
      </c>
      <c r="C176" s="1574" t="n">
        <f aca="false">IF($A176&gt;Endyr,0,VLOOKUP($A176,Tariff_Table,Tariff!$D$33))</f>
        <v>6768.8424437299</v>
      </c>
      <c r="E176" s="1561" t="n">
        <f aca="false">VLOOKUP($A176,Tariff_Table,Tariff!$E$33)</f>
        <v>0.941583069706537</v>
      </c>
      <c r="F176" s="1575" t="n">
        <f aca="false">$C176*E176</f>
        <v>6373.4274465271</v>
      </c>
      <c r="G176" s="1565" t="n">
        <f aca="false">VLOOKUP($A176,Curves_Table,Escalation!$N$291)</f>
        <v>1.48180861051097</v>
      </c>
      <c r="H176" s="1575" t="n">
        <f aca="false">F176*G176</f>
        <v>9444.19966873081</v>
      </c>
      <c r="I176" s="1576" t="n">
        <f aca="false">IF(Assm!$L$74=0,VLOOKUP($A176,Curves_Table,Escalation!$D$291),VLOOKUP($A176,Curves_Table,Escalation!$E$291))</f>
        <v>2.76034038640265</v>
      </c>
      <c r="J176" s="1576" t="n">
        <f aca="false">IF($A176&lt;EE_Date,VLOOKUP($A176,Curves_Table,Escalation!$D$291),Exch)</f>
        <v>1.065</v>
      </c>
      <c r="K176" s="1577" t="n">
        <f aca="false">H176*I176/J176</f>
        <v>24478.1274768528</v>
      </c>
      <c r="M176" s="1561" t="n">
        <f aca="false">VLOOKUP($A176,Tariff_Table,Tariff!$F$33)</f>
        <v>0.058416930293463</v>
      </c>
      <c r="N176" s="1575" t="n">
        <f aca="false">$C176*M176</f>
        <v>395.414997202803</v>
      </c>
      <c r="O176" s="1565" t="n">
        <f aca="false">VLOOKUP($A176,Curves_Table,Escalation!$R$291)</f>
        <v>3.20741235439648</v>
      </c>
      <c r="P176" s="1577" t="n">
        <f aca="false">N176*O176</f>
        <v>1268.25894714192</v>
      </c>
      <c r="R176" s="1578" t="n">
        <f aca="false">SUM(K176,P176)</f>
        <v>25746.3864239947</v>
      </c>
      <c r="S176" s="1540" t="n">
        <f aca="false">'Plant Operations'!C176</f>
        <v>480</v>
      </c>
      <c r="T176" s="1575" t="n">
        <f aca="false">R176*S176/1000</f>
        <v>12358.2654835174</v>
      </c>
      <c r="U176" s="1576" t="n">
        <f aca="false">$I176</f>
        <v>2.76034038640265</v>
      </c>
      <c r="V176" s="394" t="n">
        <f aca="false">T176/U176</f>
        <v>4477.08027038762</v>
      </c>
      <c r="W176" s="1579" t="n">
        <f aca="false">IF(MONTH($A176)=12,SUM(V165:V176)," ")</f>
        <v>49972.6795173314</v>
      </c>
      <c r="Y176" s="1580" t="n">
        <f aca="false">IF($A176&gt;Endyr,0,VLOOKUP($A176,Tariff_Table,Tariff!$J$33))</f>
        <v>0.19</v>
      </c>
      <c r="Z176" s="1576" t="n">
        <f aca="false">VLOOKUP($A176,Curves_Table,Escalation!$AH$291)</f>
        <v>3.20741235439648</v>
      </c>
      <c r="AA176" s="1576" t="n">
        <f aca="false">Y176*Z176</f>
        <v>0.609408347335332</v>
      </c>
      <c r="AB176" s="397" t="n">
        <f aca="false">'Plant Operations'!$I176+'Plant Operations'!$M176</f>
        <v>298980.864</v>
      </c>
      <c r="AC176" s="1575" t="n">
        <f aca="false">AA176*AB176/1000</f>
        <v>182.20143421513</v>
      </c>
      <c r="AD176" s="1576" t="n">
        <f aca="false">$I176</f>
        <v>2.76034038640265</v>
      </c>
      <c r="AE176" s="1566" t="n">
        <f aca="false">AC176/AD176</f>
        <v>66.0068718744428</v>
      </c>
      <c r="AF176" s="1567" t="n">
        <f aca="false">IF(MONTH($A176)=12,SUM(AE165:AE176)," ")</f>
        <v>706.124857716782</v>
      </c>
    </row>
    <row r="177" customFormat="false" ht="12.75" hidden="false" customHeight="false" outlineLevel="0" collapsed="false">
      <c r="A177" s="1538" t="n">
        <f aca="false">'Plant Operations'!A177</f>
        <v>41275</v>
      </c>
      <c r="C177" s="1574" t="n">
        <f aca="false">IF($A177&gt;Endyr,0,VLOOKUP($A177,Tariff_Table,Tariff!$D$33))</f>
        <v>6768.8424437299</v>
      </c>
      <c r="E177" s="1561" t="n">
        <f aca="false">VLOOKUP($A177,Tariff_Table,Tariff!$E$33)</f>
        <v>0.941583069706537</v>
      </c>
      <c r="F177" s="1575" t="n">
        <f aca="false">$C177*E177</f>
        <v>6373.4274465271</v>
      </c>
      <c r="G177" s="1565" t="n">
        <f aca="false">VLOOKUP($A177,Curves_Table,Escalation!$N$291)</f>
        <v>1.48180861051097</v>
      </c>
      <c r="H177" s="1575" t="n">
        <f aca="false">F177*G177</f>
        <v>9444.19966873081</v>
      </c>
      <c r="I177" s="1576" t="n">
        <f aca="false">IF(Assm!$L$74=0,VLOOKUP($A177,Curves_Table,Escalation!$D$291),VLOOKUP($A177,Curves_Table,Escalation!$E$291))</f>
        <v>2.76492823407979</v>
      </c>
      <c r="J177" s="1576" t="n">
        <f aca="false">IF($A177&lt;EE_Date,VLOOKUP($A177,Curves_Table,Escalation!$D$291),Exch)</f>
        <v>1.065</v>
      </c>
      <c r="K177" s="1577" t="n">
        <f aca="false">H177*I177/J177</f>
        <v>24518.8115609021</v>
      </c>
      <c r="M177" s="1561" t="n">
        <f aca="false">VLOOKUP($A177,Tariff_Table,Tariff!$F$33)</f>
        <v>0.058416930293463</v>
      </c>
      <c r="N177" s="1575" t="n">
        <f aca="false">$C177*M177</f>
        <v>395.414997202803</v>
      </c>
      <c r="O177" s="1565" t="n">
        <f aca="false">VLOOKUP($A177,Curves_Table,Escalation!$R$291)</f>
        <v>3.20741235439648</v>
      </c>
      <c r="P177" s="1577" t="n">
        <f aca="false">N177*O177</f>
        <v>1268.25894714192</v>
      </c>
      <c r="R177" s="1578" t="n">
        <f aca="false">SUM(K177,P177)</f>
        <v>25787.0705080441</v>
      </c>
      <c r="S177" s="1540" t="n">
        <f aca="false">'Plant Operations'!C177</f>
        <v>480</v>
      </c>
      <c r="T177" s="1575" t="n">
        <f aca="false">R177*S177/1000</f>
        <v>12377.7938438612</v>
      </c>
      <c r="U177" s="1576" t="n">
        <f aca="false">$I177</f>
        <v>2.76492823407979</v>
      </c>
      <c r="V177" s="394" t="n">
        <f aca="false">T177/U177</f>
        <v>4476.71432889132</v>
      </c>
      <c r="W177" s="1579" t="str">
        <f aca="false">IF(MONTH($A177)=12,SUM(V166:V177)," ")</f>
        <v> </v>
      </c>
      <c r="Y177" s="1580" t="n">
        <f aca="false">IF($A177&gt;Endyr,0,VLOOKUP($A177,Tariff_Table,Tariff!$J$33))</f>
        <v>0.19</v>
      </c>
      <c r="Z177" s="1576" t="n">
        <f aca="false">VLOOKUP($A177,Curves_Table,Escalation!$AH$291)</f>
        <v>3.20741235439648</v>
      </c>
      <c r="AA177" s="1576" t="n">
        <f aca="false">Y177*Z177</f>
        <v>0.609408347335332</v>
      </c>
      <c r="AB177" s="397" t="n">
        <f aca="false">'Plant Operations'!$I177+'Plant Operations'!$M177</f>
        <v>298980.864</v>
      </c>
      <c r="AC177" s="1575" t="n">
        <f aca="false">AA177*AB177/1000</f>
        <v>182.20143421513</v>
      </c>
      <c r="AD177" s="1576" t="n">
        <f aca="false">$I177</f>
        <v>2.76492823407979</v>
      </c>
      <c r="AE177" s="1566" t="n">
        <f aca="false">AC177/AD177</f>
        <v>65.8973466180287</v>
      </c>
      <c r="AF177" s="1567" t="str">
        <f aca="false">IF(MONTH($A177)=12,SUM(AE166:AE177)," ")</f>
        <v> </v>
      </c>
    </row>
    <row r="178" customFormat="false" ht="12.75" hidden="false" customHeight="false" outlineLevel="0" collapsed="false">
      <c r="A178" s="1538" t="n">
        <f aca="false">'Plant Operations'!A178</f>
        <v>41306</v>
      </c>
      <c r="C178" s="1574" t="n">
        <f aca="false">IF($A178&gt;Endyr,0,VLOOKUP($A178,Tariff_Table,Tariff!$D$33))</f>
        <v>6768.8424437299</v>
      </c>
      <c r="E178" s="1561" t="n">
        <f aca="false">VLOOKUP($A178,Tariff_Table,Tariff!$E$33)</f>
        <v>0.941583069706537</v>
      </c>
      <c r="F178" s="1575" t="n">
        <f aca="false">$C178*E178</f>
        <v>6373.4274465271</v>
      </c>
      <c r="G178" s="1565" t="n">
        <f aca="false">VLOOKUP($A178,Curves_Table,Escalation!$N$291)</f>
        <v>1.48180861051097</v>
      </c>
      <c r="H178" s="1575" t="n">
        <f aca="false">F178*G178</f>
        <v>9444.19966873081</v>
      </c>
      <c r="I178" s="1576" t="n">
        <f aca="false">IF(Assm!$L$74=0,VLOOKUP($A178,Curves_Table,Escalation!$D$291),VLOOKUP($A178,Curves_Table,Escalation!$E$291))</f>
        <v>2.76952370702894</v>
      </c>
      <c r="J178" s="1576" t="n">
        <f aca="false">IF($A178&lt;EE_Date,VLOOKUP($A178,Curves_Table,Escalation!$D$291),Exch)</f>
        <v>1.065</v>
      </c>
      <c r="K178" s="1577" t="n">
        <f aca="false">H178*I178/J178</f>
        <v>24559.5632642862</v>
      </c>
      <c r="M178" s="1561" t="n">
        <f aca="false">VLOOKUP($A178,Tariff_Table,Tariff!$F$33)</f>
        <v>0.058416930293463</v>
      </c>
      <c r="N178" s="1575" t="n">
        <f aca="false">$C178*M178</f>
        <v>395.414997202803</v>
      </c>
      <c r="O178" s="1565" t="n">
        <f aca="false">VLOOKUP($A178,Curves_Table,Escalation!$R$291)</f>
        <v>3.20741235439648</v>
      </c>
      <c r="P178" s="1577" t="n">
        <f aca="false">N178*O178</f>
        <v>1268.25894714192</v>
      </c>
      <c r="R178" s="1578" t="n">
        <f aca="false">SUM(K178,P178)</f>
        <v>25827.8222114282</v>
      </c>
      <c r="S178" s="1540" t="n">
        <f aca="false">'Plant Operations'!C178</f>
        <v>480</v>
      </c>
      <c r="T178" s="1575" t="n">
        <f aca="false">R178*S178/1000</f>
        <v>12397.3546614855</v>
      </c>
      <c r="U178" s="1576" t="n">
        <f aca="false">$I178</f>
        <v>2.76952370702894</v>
      </c>
      <c r="V178" s="394" t="n">
        <f aca="false">T178/U178</f>
        <v>4476.34899460204</v>
      </c>
      <c r="W178" s="1579" t="str">
        <f aca="false">IF(MONTH($A178)=12,SUM(V167:V178)," ")</f>
        <v> </v>
      </c>
      <c r="Y178" s="1580" t="n">
        <f aca="false">IF($A178&gt;Endyr,0,VLOOKUP($A178,Tariff_Table,Tariff!$J$33))</f>
        <v>0.19</v>
      </c>
      <c r="Z178" s="1576" t="n">
        <f aca="false">VLOOKUP($A178,Curves_Table,Escalation!$AH$291)</f>
        <v>3.20741235439648</v>
      </c>
      <c r="AA178" s="1576" t="n">
        <f aca="false">Y178*Z178</f>
        <v>0.609408347335332</v>
      </c>
      <c r="AB178" s="397" t="n">
        <f aca="false">'Plant Operations'!$I178+'Plant Operations'!$M178</f>
        <v>270047.232</v>
      </c>
      <c r="AC178" s="1575" t="n">
        <f aca="false">AA178*AB178/1000</f>
        <v>164.569037355601</v>
      </c>
      <c r="AD178" s="1576" t="n">
        <f aca="false">$I178</f>
        <v>2.76952370702894</v>
      </c>
      <c r="AE178" s="1566" t="n">
        <f aca="false">AC178/AD178</f>
        <v>59.4214221520947</v>
      </c>
      <c r="AF178" s="1567" t="str">
        <f aca="false">IF(MONTH($A178)=12,SUM(AE167:AE178)," ")</f>
        <v> </v>
      </c>
    </row>
    <row r="179" customFormat="false" ht="12.75" hidden="false" customHeight="false" outlineLevel="0" collapsed="false">
      <c r="A179" s="1538" t="n">
        <f aca="false">'Plant Operations'!A179</f>
        <v>41334</v>
      </c>
      <c r="C179" s="1574" t="n">
        <f aca="false">IF($A179&gt;Endyr,0,VLOOKUP($A179,Tariff_Table,Tariff!$D$33))</f>
        <v>6768.8424437299</v>
      </c>
      <c r="E179" s="1561" t="n">
        <f aca="false">VLOOKUP($A179,Tariff_Table,Tariff!$E$33)</f>
        <v>0.941583069706537</v>
      </c>
      <c r="F179" s="1575" t="n">
        <f aca="false">$C179*E179</f>
        <v>6373.4274465271</v>
      </c>
      <c r="G179" s="1565" t="n">
        <f aca="false">VLOOKUP($A179,Curves_Table,Escalation!$N$291)</f>
        <v>1.48180861051097</v>
      </c>
      <c r="H179" s="1575" t="n">
        <f aca="false">F179*G179</f>
        <v>9444.19966873081</v>
      </c>
      <c r="I179" s="1576" t="n">
        <f aca="false">IF(Assm!$L$74=0,VLOOKUP($A179,Curves_Table,Escalation!$D$291),VLOOKUP($A179,Curves_Table,Escalation!$E$291))</f>
        <v>2.77412681792376</v>
      </c>
      <c r="J179" s="1576" t="n">
        <f aca="false">IF($A179&lt;EE_Date,VLOOKUP($A179,Curves_Table,Escalation!$D$291),Exch)</f>
        <v>1.065</v>
      </c>
      <c r="K179" s="1577" t="n">
        <f aca="false">H179*I179/J179</f>
        <v>24600.3826993924</v>
      </c>
      <c r="M179" s="1561" t="n">
        <f aca="false">VLOOKUP($A179,Tariff_Table,Tariff!$F$33)</f>
        <v>0.058416930293463</v>
      </c>
      <c r="N179" s="1575" t="n">
        <f aca="false">$C179*M179</f>
        <v>395.414997202803</v>
      </c>
      <c r="O179" s="1565" t="n">
        <f aca="false">VLOOKUP($A179,Curves_Table,Escalation!$R$291)</f>
        <v>3.20741235439648</v>
      </c>
      <c r="P179" s="1577" t="n">
        <f aca="false">N179*O179</f>
        <v>1268.25894714192</v>
      </c>
      <c r="R179" s="1578" t="n">
        <f aca="false">SUM(K179,P179)</f>
        <v>25868.6416465343</v>
      </c>
      <c r="S179" s="1540" t="n">
        <f aca="false">'Plant Operations'!C179</f>
        <v>480</v>
      </c>
      <c r="T179" s="1575" t="n">
        <f aca="false">R179*S179/1000</f>
        <v>12416.9479903365</v>
      </c>
      <c r="U179" s="1576" t="n">
        <f aca="false">$I179</f>
        <v>2.77412681792376</v>
      </c>
      <c r="V179" s="394" t="n">
        <f aca="false">T179/U179</f>
        <v>4475.98426651225</v>
      </c>
      <c r="W179" s="1579" t="str">
        <f aca="false">IF(MONTH($A179)=12,SUM(V168:V179)," ")</f>
        <v> </v>
      </c>
      <c r="Y179" s="1580" t="n">
        <f aca="false">IF($A179&gt;Endyr,0,VLOOKUP($A179,Tariff_Table,Tariff!$J$33))</f>
        <v>0.19</v>
      </c>
      <c r="Z179" s="1576" t="n">
        <f aca="false">VLOOKUP($A179,Curves_Table,Escalation!$AH$291)</f>
        <v>3.20741235439648</v>
      </c>
      <c r="AA179" s="1576" t="n">
        <f aca="false">Y179*Z179</f>
        <v>0.609408347335332</v>
      </c>
      <c r="AB179" s="397" t="n">
        <f aca="false">'Plant Operations'!$I179+'Plant Operations'!$M179</f>
        <v>298980.864</v>
      </c>
      <c r="AC179" s="1575" t="n">
        <f aca="false">AA179*AB179/1000</f>
        <v>182.20143421513</v>
      </c>
      <c r="AD179" s="1576" t="n">
        <f aca="false">$I179</f>
        <v>2.77412681792376</v>
      </c>
      <c r="AE179" s="1566" t="n">
        <f aca="false">AC179/AD179</f>
        <v>65.6788410096891</v>
      </c>
      <c r="AF179" s="1567" t="str">
        <f aca="false">IF(MONTH($A179)=12,SUM(AE168:AE179)," ")</f>
        <v> </v>
      </c>
    </row>
    <row r="180" customFormat="false" ht="12.75" hidden="false" customHeight="false" outlineLevel="0" collapsed="false">
      <c r="A180" s="1538" t="n">
        <f aca="false">'Plant Operations'!A180</f>
        <v>41365</v>
      </c>
      <c r="C180" s="1574" t="n">
        <f aca="false">IF($A180&gt;Endyr,0,VLOOKUP($A180,Tariff_Table,Tariff!$D$33))</f>
        <v>6768.8424437299</v>
      </c>
      <c r="E180" s="1561" t="n">
        <f aca="false">VLOOKUP($A180,Tariff_Table,Tariff!$E$33)</f>
        <v>0.941583069706537</v>
      </c>
      <c r="F180" s="1575" t="n">
        <f aca="false">$C180*E180</f>
        <v>6373.4274465271</v>
      </c>
      <c r="G180" s="1565" t="n">
        <f aca="false">VLOOKUP($A180,Curves_Table,Escalation!$N$291)</f>
        <v>1.48180861051097</v>
      </c>
      <c r="H180" s="1575" t="n">
        <f aca="false">F180*G180</f>
        <v>9444.19966873081</v>
      </c>
      <c r="I180" s="1576" t="n">
        <f aca="false">IF(Assm!$L$74=0,VLOOKUP($A180,Curves_Table,Escalation!$D$291),VLOOKUP($A180,Curves_Table,Escalation!$E$291))</f>
        <v>2.77873757945897</v>
      </c>
      <c r="J180" s="1576" t="n">
        <f aca="false">IF($A180&lt;EE_Date,VLOOKUP($A180,Curves_Table,Escalation!$D$291),Exch)</f>
        <v>1.065</v>
      </c>
      <c r="K180" s="1577" t="n">
        <f aca="false">H180*I180/J180</f>
        <v>24641.2699787946</v>
      </c>
      <c r="M180" s="1561" t="n">
        <f aca="false">VLOOKUP($A180,Tariff_Table,Tariff!$F$33)</f>
        <v>0.058416930293463</v>
      </c>
      <c r="N180" s="1575" t="n">
        <f aca="false">$C180*M180</f>
        <v>395.414997202803</v>
      </c>
      <c r="O180" s="1565" t="n">
        <f aca="false">VLOOKUP($A180,Curves_Table,Escalation!$R$291)</f>
        <v>3.20741235439648</v>
      </c>
      <c r="P180" s="1577" t="n">
        <f aca="false">N180*O180</f>
        <v>1268.25894714192</v>
      </c>
      <c r="R180" s="1578" t="n">
        <f aca="false">SUM(K180,P180)</f>
        <v>25909.5289259365</v>
      </c>
      <c r="S180" s="1540" t="n">
        <f aca="false">'Plant Operations'!C180</f>
        <v>480</v>
      </c>
      <c r="T180" s="1575" t="n">
        <f aca="false">R180*S180/1000</f>
        <v>12436.5738844495</v>
      </c>
      <c r="U180" s="1576" t="n">
        <f aca="false">$I180</f>
        <v>2.77873757945897</v>
      </c>
      <c r="V180" s="394" t="n">
        <f aca="false">T180/U180</f>
        <v>4475.62014361607</v>
      </c>
      <c r="W180" s="1579" t="str">
        <f aca="false">IF(MONTH($A180)=12,SUM(V169:V180)," ")</f>
        <v> </v>
      </c>
      <c r="Y180" s="1580" t="n">
        <f aca="false">IF($A180&gt;Endyr,0,VLOOKUP($A180,Tariff_Table,Tariff!$J$33))</f>
        <v>0.19</v>
      </c>
      <c r="Z180" s="1576" t="n">
        <f aca="false">VLOOKUP($A180,Curves_Table,Escalation!$AH$291)</f>
        <v>3.20741235439648</v>
      </c>
      <c r="AA180" s="1576" t="n">
        <f aca="false">Y180*Z180</f>
        <v>0.609408347335332</v>
      </c>
      <c r="AB180" s="397" t="n">
        <f aca="false">'Plant Operations'!$I180+'Plant Operations'!$M180</f>
        <v>289336.32</v>
      </c>
      <c r="AC180" s="1575" t="n">
        <f aca="false">AA180*AB180/1000</f>
        <v>176.323968595287</v>
      </c>
      <c r="AD180" s="1576" t="n">
        <f aca="false">$I180</f>
        <v>2.77873757945897</v>
      </c>
      <c r="AE180" s="1566" t="n">
        <f aca="false">AC180/AD180</f>
        <v>63.454703279184</v>
      </c>
      <c r="AF180" s="1567" t="str">
        <f aca="false">IF(MONTH($A180)=12,SUM(AE169:AE180)," ")</f>
        <v> </v>
      </c>
    </row>
    <row r="181" customFormat="false" ht="12.75" hidden="false" customHeight="false" outlineLevel="0" collapsed="false">
      <c r="A181" s="1538" t="n">
        <f aca="false">'Plant Operations'!A181</f>
        <v>41395</v>
      </c>
      <c r="C181" s="1574" t="n">
        <f aca="false">IF($A181&gt;Endyr,0,VLOOKUP($A181,Tariff_Table,Tariff!$D$33))</f>
        <v>6530.38420490929</v>
      </c>
      <c r="E181" s="1561" t="n">
        <f aca="false">VLOOKUP($A181,Tariff_Table,Tariff!$E$33)</f>
        <v>0.936999948444192</v>
      </c>
      <c r="F181" s="1575" t="n">
        <f aca="false">$C181*E181</f>
        <v>6118.96966332077</v>
      </c>
      <c r="G181" s="1565" t="n">
        <f aca="false">VLOOKUP($A181,Curves_Table,Escalation!$N$291)</f>
        <v>1.51901070889322</v>
      </c>
      <c r="H181" s="1575" t="n">
        <f aca="false">F181*G181</f>
        <v>9294.780445977</v>
      </c>
      <c r="I181" s="1576" t="n">
        <f aca="false">IF(Assm!$L$74=0,VLOOKUP($A181,Curves_Table,Escalation!$D$291),VLOOKUP($A181,Curves_Table,Escalation!$E$291))</f>
        <v>2.78335600435036</v>
      </c>
      <c r="J181" s="1576" t="n">
        <f aca="false">IF($A181&lt;EE_Date,VLOOKUP($A181,Curves_Table,Escalation!$D$291),Exch)</f>
        <v>1.065</v>
      </c>
      <c r="K181" s="1577" t="n">
        <f aca="false">H181*I181/J181</f>
        <v>24291.7210924211</v>
      </c>
      <c r="M181" s="1561" t="n">
        <f aca="false">VLOOKUP($A181,Tariff_Table,Tariff!$F$33)</f>
        <v>0.0630000515558078</v>
      </c>
      <c r="N181" s="1575" t="n">
        <f aca="false">$C181*M181</f>
        <v>411.414541588518</v>
      </c>
      <c r="O181" s="1565" t="n">
        <f aca="false">VLOOKUP($A181,Curves_Table,Escalation!$R$291)</f>
        <v>3.43620643785714</v>
      </c>
      <c r="P181" s="1577" t="n">
        <f aca="false">N181*O181</f>
        <v>1413.70529643451</v>
      </c>
      <c r="R181" s="1578" t="n">
        <f aca="false">SUM(K181,P181)</f>
        <v>25705.4263888556</v>
      </c>
      <c r="S181" s="1540" t="n">
        <f aca="false">'Plant Operations'!C181</f>
        <v>480</v>
      </c>
      <c r="T181" s="1575" t="n">
        <f aca="false">R181*S181/1000</f>
        <v>12338.6046666507</v>
      </c>
      <c r="U181" s="1576" t="n">
        <f aca="false">$I181</f>
        <v>2.78335600435036</v>
      </c>
      <c r="V181" s="394" t="n">
        <f aca="false">T181/U181</f>
        <v>4432.99550879066</v>
      </c>
      <c r="W181" s="1579" t="str">
        <f aca="false">IF(MONTH($A181)=12,SUM(V170:V181)," ")</f>
        <v> </v>
      </c>
      <c r="Y181" s="1580" t="n">
        <f aca="false">IF($A181&gt;Endyr,0,VLOOKUP($A181,Tariff_Table,Tariff!$J$33))</f>
        <v>0.19</v>
      </c>
      <c r="Z181" s="1576" t="n">
        <f aca="false">VLOOKUP($A181,Curves_Table,Escalation!$AH$291)</f>
        <v>3.43620643785714</v>
      </c>
      <c r="AA181" s="1576" t="n">
        <f aca="false">Y181*Z181</f>
        <v>0.652879223192857</v>
      </c>
      <c r="AB181" s="397" t="n">
        <f aca="false">'Plant Operations'!$I181+'Plant Operations'!$M181</f>
        <v>298980.864</v>
      </c>
      <c r="AC181" s="1575" t="n">
        <f aca="false">AA181*AB181/1000</f>
        <v>195.198394237849</v>
      </c>
      <c r="AD181" s="1576" t="n">
        <f aca="false">$I181</f>
        <v>2.78335600435036</v>
      </c>
      <c r="AE181" s="1566" t="n">
        <f aca="false">AC181/AD181</f>
        <v>70.1305883734441</v>
      </c>
      <c r="AF181" s="1567" t="str">
        <f aca="false">IF(MONTH($A181)=12,SUM(AE170:AE181)," ")</f>
        <v> </v>
      </c>
    </row>
    <row r="182" customFormat="false" ht="12.75" hidden="false" customHeight="false" outlineLevel="0" collapsed="false">
      <c r="A182" s="1538" t="n">
        <f aca="false">'Plant Operations'!A182</f>
        <v>41426</v>
      </c>
      <c r="C182" s="1574" t="n">
        <f aca="false">IF($A182&gt;Endyr,0,VLOOKUP($A182,Tariff_Table,Tariff!$D$33))</f>
        <v>6530.38420490929</v>
      </c>
      <c r="E182" s="1561" t="n">
        <f aca="false">VLOOKUP($A182,Tariff_Table,Tariff!$E$33)</f>
        <v>0.936999948444192</v>
      </c>
      <c r="F182" s="1575" t="n">
        <f aca="false">$C182*E182</f>
        <v>6118.96966332077</v>
      </c>
      <c r="G182" s="1565" t="n">
        <f aca="false">VLOOKUP($A182,Curves_Table,Escalation!$N$291)</f>
        <v>1.51901070889322</v>
      </c>
      <c r="H182" s="1575" t="n">
        <f aca="false">F182*G182</f>
        <v>9294.780445977</v>
      </c>
      <c r="I182" s="1576" t="n">
        <f aca="false">IF(Assm!$L$74=0,VLOOKUP($A182,Curves_Table,Escalation!$D$291),VLOOKUP($A182,Curves_Table,Escalation!$E$291))</f>
        <v>2.7879821053349</v>
      </c>
      <c r="J182" s="1576" t="n">
        <f aca="false">IF($A182&lt;EE_Date,VLOOKUP($A182,Curves_Table,Escalation!$D$291),Exch)</f>
        <v>1.065</v>
      </c>
      <c r="K182" s="1577" t="n">
        <f aca="false">H182*I182/J182</f>
        <v>24332.0953581227</v>
      </c>
      <c r="M182" s="1561" t="n">
        <f aca="false">VLOOKUP($A182,Tariff_Table,Tariff!$F$33)</f>
        <v>0.0630000515558078</v>
      </c>
      <c r="N182" s="1575" t="n">
        <f aca="false">$C182*M182</f>
        <v>411.414541588518</v>
      </c>
      <c r="O182" s="1565" t="n">
        <f aca="false">VLOOKUP($A182,Curves_Table,Escalation!$R$291)</f>
        <v>3.43620643785714</v>
      </c>
      <c r="P182" s="1577" t="n">
        <f aca="false">N182*O182</f>
        <v>1413.70529643451</v>
      </c>
      <c r="R182" s="1578" t="n">
        <f aca="false">SUM(K182,P182)</f>
        <v>25745.8006545572</v>
      </c>
      <c r="S182" s="1540" t="n">
        <f aca="false">'Plant Operations'!C182</f>
        <v>480</v>
      </c>
      <c r="T182" s="1575" t="n">
        <f aca="false">R182*S182/1000</f>
        <v>12357.9843141874</v>
      </c>
      <c r="U182" s="1576" t="n">
        <f aca="false">$I182</f>
        <v>2.7879821053349</v>
      </c>
      <c r="V182" s="394" t="n">
        <f aca="false">T182/U182</f>
        <v>4432.59097342842</v>
      </c>
      <c r="W182" s="1579" t="str">
        <f aca="false">IF(MONTH($A182)=12,SUM(V171:V182)," ")</f>
        <v> </v>
      </c>
      <c r="Y182" s="1580" t="n">
        <f aca="false">IF($A182&gt;Endyr,0,VLOOKUP($A182,Tariff_Table,Tariff!$J$33))</f>
        <v>0.19</v>
      </c>
      <c r="Z182" s="1576" t="n">
        <f aca="false">VLOOKUP($A182,Curves_Table,Escalation!$AH$291)</f>
        <v>3.43620643785714</v>
      </c>
      <c r="AA182" s="1576" t="n">
        <f aca="false">Y182*Z182</f>
        <v>0.652879223192857</v>
      </c>
      <c r="AB182" s="397" t="n">
        <f aca="false">'Plant Operations'!$I182+'Plant Operations'!$M182</f>
        <v>289336.32</v>
      </c>
      <c r="AC182" s="1575" t="n">
        <f aca="false">AA182*AB182/1000</f>
        <v>188.90167184308</v>
      </c>
      <c r="AD182" s="1576" t="n">
        <f aca="false">$I182</f>
        <v>2.7879821053349</v>
      </c>
      <c r="AE182" s="1566" t="n">
        <f aca="false">AC182/AD182</f>
        <v>67.7556973847178</v>
      </c>
      <c r="AF182" s="1567" t="str">
        <f aca="false">IF(MONTH($A182)=12,SUM(AE171:AE182)," ")</f>
        <v> </v>
      </c>
    </row>
    <row r="183" customFormat="false" ht="12.75" hidden="false" customHeight="false" outlineLevel="0" collapsed="false">
      <c r="A183" s="1538" t="n">
        <f aca="false">'Plant Operations'!A183</f>
        <v>41456</v>
      </c>
      <c r="C183" s="1574" t="n">
        <f aca="false">IF($A183&gt;Endyr,0,VLOOKUP($A183,Tariff_Table,Tariff!$D$33))</f>
        <v>6530.38420490929</v>
      </c>
      <c r="E183" s="1561" t="n">
        <f aca="false">VLOOKUP($A183,Tariff_Table,Tariff!$E$33)</f>
        <v>0.936999948444192</v>
      </c>
      <c r="F183" s="1575" t="n">
        <f aca="false">$C183*E183</f>
        <v>6118.96966332077</v>
      </c>
      <c r="G183" s="1565" t="n">
        <f aca="false">VLOOKUP($A183,Curves_Table,Escalation!$N$291)</f>
        <v>1.51901070889322</v>
      </c>
      <c r="H183" s="1575" t="n">
        <f aca="false">F183*G183</f>
        <v>9294.780445977</v>
      </c>
      <c r="I183" s="1576" t="n">
        <f aca="false">IF(Assm!$L$74=0,VLOOKUP($A183,Curves_Table,Escalation!$D$291),VLOOKUP($A183,Curves_Table,Escalation!$E$291))</f>
        <v>2.7926158951707</v>
      </c>
      <c r="J183" s="1576" t="n">
        <f aca="false">IF($A183&lt;EE_Date,VLOOKUP($A183,Curves_Table,Escalation!$D$291),Exch)</f>
        <v>1.065</v>
      </c>
      <c r="K183" s="1577" t="n">
        <f aca="false">H183*I183/J183</f>
        <v>24372.5367282227</v>
      </c>
      <c r="M183" s="1561" t="n">
        <f aca="false">VLOOKUP($A183,Tariff_Table,Tariff!$F$33)</f>
        <v>0.0630000515558078</v>
      </c>
      <c r="N183" s="1575" t="n">
        <f aca="false">$C183*M183</f>
        <v>411.414541588518</v>
      </c>
      <c r="O183" s="1565" t="n">
        <f aca="false">VLOOKUP($A183,Curves_Table,Escalation!$R$291)</f>
        <v>3.43620643785714</v>
      </c>
      <c r="P183" s="1577" t="n">
        <f aca="false">N183*O183</f>
        <v>1413.70529643451</v>
      </c>
      <c r="R183" s="1578" t="n">
        <f aca="false">SUM(K183,P183)</f>
        <v>25786.2420246572</v>
      </c>
      <c r="S183" s="1540" t="n">
        <f aca="false">'Plant Operations'!C183</f>
        <v>480</v>
      </c>
      <c r="T183" s="1575" t="n">
        <f aca="false">R183*S183/1000</f>
        <v>12377.3961718355</v>
      </c>
      <c r="U183" s="1576" t="n">
        <f aca="false">$I183</f>
        <v>2.7926158951707</v>
      </c>
      <c r="V183" s="394" t="n">
        <f aca="false">T183/U183</f>
        <v>4432.18710931204</v>
      </c>
      <c r="W183" s="1579" t="str">
        <f aca="false">IF(MONTH($A183)=12,SUM(V172:V183)," ")</f>
        <v> </v>
      </c>
      <c r="Y183" s="1580" t="n">
        <f aca="false">IF($A183&gt;Endyr,0,VLOOKUP($A183,Tariff_Table,Tariff!$J$33))</f>
        <v>0.19</v>
      </c>
      <c r="Z183" s="1576" t="n">
        <f aca="false">VLOOKUP($A183,Curves_Table,Escalation!$AH$291)</f>
        <v>3.43620643785714</v>
      </c>
      <c r="AA183" s="1576" t="n">
        <f aca="false">Y183*Z183</f>
        <v>0.652879223192857</v>
      </c>
      <c r="AB183" s="397" t="n">
        <f aca="false">'Plant Operations'!$I183+'Plant Operations'!$M183</f>
        <v>298980.864</v>
      </c>
      <c r="AC183" s="1575" t="n">
        <f aca="false">AA183*AB183/1000</f>
        <v>195.198394237849</v>
      </c>
      <c r="AD183" s="1576" t="n">
        <f aca="false">$I183</f>
        <v>2.7926158951707</v>
      </c>
      <c r="AE183" s="1566" t="n">
        <f aca="false">AC183/AD183</f>
        <v>69.8980459773963</v>
      </c>
      <c r="AF183" s="1567" t="str">
        <f aca="false">IF(MONTH($A183)=12,SUM(AE172:AE183)," ")</f>
        <v> </v>
      </c>
    </row>
    <row r="184" customFormat="false" ht="12.75" hidden="false" customHeight="false" outlineLevel="0" collapsed="false">
      <c r="A184" s="1538" t="n">
        <f aca="false">'Plant Operations'!A184</f>
        <v>41487</v>
      </c>
      <c r="C184" s="1574" t="n">
        <f aca="false">IF($A184&gt;Endyr,0,VLOOKUP($A184,Tariff_Table,Tariff!$D$33))</f>
        <v>6530.38420490929</v>
      </c>
      <c r="E184" s="1561" t="n">
        <f aca="false">VLOOKUP($A184,Tariff_Table,Tariff!$E$33)</f>
        <v>0.936999948444192</v>
      </c>
      <c r="F184" s="1575" t="n">
        <f aca="false">$C184*E184</f>
        <v>6118.96966332077</v>
      </c>
      <c r="G184" s="1565" t="n">
        <f aca="false">VLOOKUP($A184,Curves_Table,Escalation!$N$291)</f>
        <v>1.51901070889322</v>
      </c>
      <c r="H184" s="1575" t="n">
        <f aca="false">F184*G184</f>
        <v>9294.780445977</v>
      </c>
      <c r="I184" s="1576" t="n">
        <f aca="false">IF(Assm!$L$74=0,VLOOKUP($A184,Curves_Table,Escalation!$D$291),VLOOKUP($A184,Curves_Table,Escalation!$E$291))</f>
        <v>2.79725738663708</v>
      </c>
      <c r="J184" s="1576" t="n">
        <f aca="false">IF($A184&lt;EE_Date,VLOOKUP($A184,Curves_Table,Escalation!$D$291),Exch)</f>
        <v>1.065</v>
      </c>
      <c r="K184" s="1577" t="n">
        <f aca="false">H184*I184/J184</f>
        <v>24413.0453142527</v>
      </c>
      <c r="M184" s="1561" t="n">
        <f aca="false">VLOOKUP($A184,Tariff_Table,Tariff!$F$33)</f>
        <v>0.0630000515558078</v>
      </c>
      <c r="N184" s="1575" t="n">
        <f aca="false">$C184*M184</f>
        <v>411.414541588518</v>
      </c>
      <c r="O184" s="1565" t="n">
        <f aca="false">VLOOKUP($A184,Curves_Table,Escalation!$R$291)</f>
        <v>3.43620643785714</v>
      </c>
      <c r="P184" s="1577" t="n">
        <f aca="false">N184*O184</f>
        <v>1413.70529643451</v>
      </c>
      <c r="R184" s="1578" t="n">
        <f aca="false">SUM(K184,P184)</f>
        <v>25826.7506106872</v>
      </c>
      <c r="S184" s="1540" t="n">
        <f aca="false">'Plant Operations'!C184</f>
        <v>480</v>
      </c>
      <c r="T184" s="1575" t="n">
        <f aca="false">R184*S184/1000</f>
        <v>12396.8402931298</v>
      </c>
      <c r="U184" s="1576" t="n">
        <f aca="false">$I184</f>
        <v>2.79725738663708</v>
      </c>
      <c r="V184" s="394" t="n">
        <f aca="false">T184/U184</f>
        <v>4431.78391532771</v>
      </c>
      <c r="W184" s="1579" t="str">
        <f aca="false">IF(MONTH($A184)=12,SUM(V173:V184)," ")</f>
        <v> </v>
      </c>
      <c r="Y184" s="1580" t="n">
        <f aca="false">IF($A184&gt;Endyr,0,VLOOKUP($A184,Tariff_Table,Tariff!$J$33))</f>
        <v>0.19</v>
      </c>
      <c r="Z184" s="1576" t="n">
        <f aca="false">VLOOKUP($A184,Curves_Table,Escalation!$AH$291)</f>
        <v>3.43620643785714</v>
      </c>
      <c r="AA184" s="1576" t="n">
        <f aca="false">Y184*Z184</f>
        <v>0.652879223192857</v>
      </c>
      <c r="AB184" s="397" t="n">
        <f aca="false">'Plant Operations'!$I184+'Plant Operations'!$M184</f>
        <v>298980.864</v>
      </c>
      <c r="AC184" s="1575" t="n">
        <f aca="false">AA184*AB184/1000</f>
        <v>195.198394237849</v>
      </c>
      <c r="AD184" s="1576" t="n">
        <f aca="false">$I184</f>
        <v>2.79725738663708</v>
      </c>
      <c r="AE184" s="1566" t="n">
        <f aca="false">AC184/AD184</f>
        <v>69.7820640926149</v>
      </c>
      <c r="AF184" s="1567" t="str">
        <f aca="false">IF(MONTH($A184)=12,SUM(AE173:AE184)," ")</f>
        <v> </v>
      </c>
    </row>
    <row r="185" customFormat="false" ht="12.75" hidden="false" customHeight="false" outlineLevel="0" collapsed="false">
      <c r="A185" s="1538" t="n">
        <f aca="false">'Plant Operations'!A185</f>
        <v>41518</v>
      </c>
      <c r="C185" s="1574" t="n">
        <f aca="false">IF($A185&gt;Endyr,0,VLOOKUP($A185,Tariff_Table,Tariff!$D$33))</f>
        <v>6530.38420490929</v>
      </c>
      <c r="E185" s="1561" t="n">
        <f aca="false">VLOOKUP($A185,Tariff_Table,Tariff!$E$33)</f>
        <v>0.936999948444192</v>
      </c>
      <c r="F185" s="1575" t="n">
        <f aca="false">$C185*E185</f>
        <v>6118.96966332077</v>
      </c>
      <c r="G185" s="1565" t="n">
        <f aca="false">VLOOKUP($A185,Curves_Table,Escalation!$N$291)</f>
        <v>1.51901070889322</v>
      </c>
      <c r="H185" s="1575" t="n">
        <f aca="false">F185*G185</f>
        <v>9294.780445977</v>
      </c>
      <c r="I185" s="1576" t="n">
        <f aca="false">IF(Assm!$L$74=0,VLOOKUP($A185,Curves_Table,Escalation!$D$291),VLOOKUP($A185,Curves_Table,Escalation!$E$291))</f>
        <v>2.8019065925346</v>
      </c>
      <c r="J185" s="1576" t="n">
        <f aca="false">IF($A185&lt;EE_Date,VLOOKUP($A185,Curves_Table,Escalation!$D$291),Exch)</f>
        <v>1.065</v>
      </c>
      <c r="K185" s="1577" t="n">
        <f aca="false">H185*I185/J185</f>
        <v>24453.6212279293</v>
      </c>
      <c r="M185" s="1561" t="n">
        <f aca="false">VLOOKUP($A185,Tariff_Table,Tariff!$F$33)</f>
        <v>0.0630000515558078</v>
      </c>
      <c r="N185" s="1575" t="n">
        <f aca="false">$C185*M185</f>
        <v>411.414541588518</v>
      </c>
      <c r="O185" s="1565" t="n">
        <f aca="false">VLOOKUP($A185,Curves_Table,Escalation!$R$291)</f>
        <v>3.43620643785714</v>
      </c>
      <c r="P185" s="1577" t="n">
        <f aca="false">N185*O185</f>
        <v>1413.70529643451</v>
      </c>
      <c r="R185" s="1578" t="n">
        <f aca="false">SUM(K185,P185)</f>
        <v>25867.3265243638</v>
      </c>
      <c r="S185" s="1540" t="n">
        <f aca="false">'Plant Operations'!C185</f>
        <v>480</v>
      </c>
      <c r="T185" s="1575" t="n">
        <f aca="false">R185*S185/1000</f>
        <v>12416.3167316946</v>
      </c>
      <c r="U185" s="1576" t="n">
        <f aca="false">$I185</f>
        <v>2.8019065925346</v>
      </c>
      <c r="V185" s="394" t="n">
        <f aca="false">T185/U185</f>
        <v>4431.38139036349</v>
      </c>
      <c r="W185" s="1579" t="str">
        <f aca="false">IF(MONTH($A185)=12,SUM(V174:V185)," ")</f>
        <v> </v>
      </c>
      <c r="Y185" s="1580" t="n">
        <f aca="false">IF($A185&gt;Endyr,0,VLOOKUP($A185,Tariff_Table,Tariff!$J$33))</f>
        <v>0.19</v>
      </c>
      <c r="Z185" s="1576" t="n">
        <f aca="false">VLOOKUP($A185,Curves_Table,Escalation!$AH$291)</f>
        <v>3.43620643785714</v>
      </c>
      <c r="AA185" s="1576" t="n">
        <f aca="false">Y185*Z185</f>
        <v>0.652879223192857</v>
      </c>
      <c r="AB185" s="397" t="n">
        <f aca="false">'Plant Operations'!$I185+'Plant Operations'!$M185</f>
        <v>289336.32</v>
      </c>
      <c r="AC185" s="1575" t="n">
        <f aca="false">AA185*AB185/1000</f>
        <v>188.90167184308</v>
      </c>
      <c r="AD185" s="1576" t="n">
        <f aca="false">$I185</f>
        <v>2.8019065925346</v>
      </c>
      <c r="AE185" s="1566" t="n">
        <f aca="false">AC185/AD185</f>
        <v>67.4189754741965</v>
      </c>
      <c r="AF185" s="1567" t="str">
        <f aca="false">IF(MONTH($A185)=12,SUM(AE174:AE185)," ")</f>
        <v> </v>
      </c>
    </row>
    <row r="186" customFormat="false" ht="12.75" hidden="false" customHeight="false" outlineLevel="0" collapsed="false">
      <c r="A186" s="1538" t="n">
        <f aca="false">'Plant Operations'!A186</f>
        <v>41548</v>
      </c>
      <c r="C186" s="1574" t="n">
        <f aca="false">IF($A186&gt;Endyr,0,VLOOKUP($A186,Tariff_Table,Tariff!$D$33))</f>
        <v>6530.38420490929</v>
      </c>
      <c r="E186" s="1561" t="n">
        <f aca="false">VLOOKUP($A186,Tariff_Table,Tariff!$E$33)</f>
        <v>0.936999948444192</v>
      </c>
      <c r="F186" s="1575" t="n">
        <f aca="false">$C186*E186</f>
        <v>6118.96966332077</v>
      </c>
      <c r="G186" s="1565" t="n">
        <f aca="false">VLOOKUP($A186,Curves_Table,Escalation!$N$291)</f>
        <v>1.51901070889322</v>
      </c>
      <c r="H186" s="1575" t="n">
        <f aca="false">F186*G186</f>
        <v>9294.780445977</v>
      </c>
      <c r="I186" s="1576" t="n">
        <f aca="false">IF(Assm!$L$74=0,VLOOKUP($A186,Curves_Table,Escalation!$D$291),VLOOKUP($A186,Curves_Table,Escalation!$E$291))</f>
        <v>2.80656352568511</v>
      </c>
      <c r="J186" s="1576" t="n">
        <f aca="false">IF($A186&lt;EE_Date,VLOOKUP($A186,Curves_Table,Escalation!$D$291),Exch)</f>
        <v>1.065</v>
      </c>
      <c r="K186" s="1577" t="n">
        <f aca="false">H186*I186/J186</f>
        <v>24494.2645811551</v>
      </c>
      <c r="M186" s="1561" t="n">
        <f aca="false">VLOOKUP($A186,Tariff_Table,Tariff!$F$33)</f>
        <v>0.0630000515558078</v>
      </c>
      <c r="N186" s="1575" t="n">
        <f aca="false">$C186*M186</f>
        <v>411.414541588518</v>
      </c>
      <c r="O186" s="1565" t="n">
        <f aca="false">VLOOKUP($A186,Curves_Table,Escalation!$R$291)</f>
        <v>3.43620643785714</v>
      </c>
      <c r="P186" s="1577" t="n">
        <f aca="false">N186*O186</f>
        <v>1413.70529643451</v>
      </c>
      <c r="R186" s="1578" t="n">
        <f aca="false">SUM(K186,P186)</f>
        <v>25907.9698775896</v>
      </c>
      <c r="S186" s="1540" t="n">
        <f aca="false">'Plant Operations'!C186</f>
        <v>480</v>
      </c>
      <c r="T186" s="1575" t="n">
        <f aca="false">R186*S186/1000</f>
        <v>12435.825541243</v>
      </c>
      <c r="U186" s="1576" t="n">
        <f aca="false">$I186</f>
        <v>2.80656352568511</v>
      </c>
      <c r="V186" s="394" t="n">
        <f aca="false">T186/U186</f>
        <v>4430.97953330927</v>
      </c>
      <c r="W186" s="1579" t="str">
        <f aca="false">IF(MONTH($A186)=12,SUM(V175:V186)," ")</f>
        <v> </v>
      </c>
      <c r="Y186" s="1580" t="n">
        <f aca="false">IF($A186&gt;Endyr,0,VLOOKUP($A186,Tariff_Table,Tariff!$J$33))</f>
        <v>0.19</v>
      </c>
      <c r="Z186" s="1576" t="n">
        <f aca="false">VLOOKUP($A186,Curves_Table,Escalation!$AH$291)</f>
        <v>3.43620643785714</v>
      </c>
      <c r="AA186" s="1576" t="n">
        <f aca="false">Y186*Z186</f>
        <v>0.652879223192857</v>
      </c>
      <c r="AB186" s="397" t="n">
        <f aca="false">'Plant Operations'!$I186+'Plant Operations'!$M186</f>
        <v>298980.864</v>
      </c>
      <c r="AC186" s="1575" t="n">
        <f aca="false">AA186*AB186/1000</f>
        <v>195.198394237849</v>
      </c>
      <c r="AD186" s="1576" t="n">
        <f aca="false">$I186</f>
        <v>2.80656352568511</v>
      </c>
      <c r="AE186" s="1566" t="n">
        <f aca="false">AC186/AD186</f>
        <v>69.5506773502301</v>
      </c>
      <c r="AF186" s="1567" t="str">
        <f aca="false">IF(MONTH($A186)=12,SUM(AE175:AE186)," ")</f>
        <v> </v>
      </c>
    </row>
    <row r="187" customFormat="false" ht="12.75" hidden="false" customHeight="false" outlineLevel="0" collapsed="false">
      <c r="A187" s="1538" t="n">
        <f aca="false">'Plant Operations'!A187</f>
        <v>41579</v>
      </c>
      <c r="C187" s="1574" t="n">
        <f aca="false">IF($A187&gt;Endyr,0,VLOOKUP($A187,Tariff_Table,Tariff!$D$33))</f>
        <v>6530.38420490929</v>
      </c>
      <c r="E187" s="1561" t="n">
        <f aca="false">VLOOKUP($A187,Tariff_Table,Tariff!$E$33)</f>
        <v>0.936999948444192</v>
      </c>
      <c r="F187" s="1575" t="n">
        <f aca="false">$C187*E187</f>
        <v>6118.96966332077</v>
      </c>
      <c r="G187" s="1565" t="n">
        <f aca="false">VLOOKUP($A187,Curves_Table,Escalation!$N$291)</f>
        <v>1.51901070889322</v>
      </c>
      <c r="H187" s="1575" t="n">
        <f aca="false">F187*G187</f>
        <v>9294.780445977</v>
      </c>
      <c r="I187" s="1576" t="n">
        <f aca="false">IF(Assm!$L$74=0,VLOOKUP($A187,Curves_Table,Escalation!$D$291),VLOOKUP($A187,Curves_Table,Escalation!$E$291))</f>
        <v>2.81122819893174</v>
      </c>
      <c r="J187" s="1576" t="n">
        <f aca="false">IF($A187&lt;EE_Date,VLOOKUP($A187,Curves_Table,Escalation!$D$291),Exch)</f>
        <v>1.065</v>
      </c>
      <c r="K187" s="1577" t="n">
        <f aca="false">H187*I187/J187</f>
        <v>24534.9754860187</v>
      </c>
      <c r="M187" s="1561" t="n">
        <f aca="false">VLOOKUP($A187,Tariff_Table,Tariff!$F$33)</f>
        <v>0.0630000515558078</v>
      </c>
      <c r="N187" s="1575" t="n">
        <f aca="false">$C187*M187</f>
        <v>411.414541588518</v>
      </c>
      <c r="O187" s="1565" t="n">
        <f aca="false">VLOOKUP($A187,Curves_Table,Escalation!$R$291)</f>
        <v>3.43620643785714</v>
      </c>
      <c r="P187" s="1577" t="n">
        <f aca="false">N187*O187</f>
        <v>1413.70529643451</v>
      </c>
      <c r="R187" s="1578" t="n">
        <f aca="false">SUM(K187,P187)</f>
        <v>25948.6807824532</v>
      </c>
      <c r="S187" s="1540" t="n">
        <f aca="false">'Plant Operations'!C187</f>
        <v>480</v>
      </c>
      <c r="T187" s="1575" t="n">
        <f aca="false">R187*S187/1000</f>
        <v>12455.3667755775</v>
      </c>
      <c r="U187" s="1576" t="n">
        <f aca="false">$I187</f>
        <v>2.81122819893174</v>
      </c>
      <c r="V187" s="394" t="n">
        <f aca="false">T187/U187</f>
        <v>4430.5783430568</v>
      </c>
      <c r="W187" s="1579" t="str">
        <f aca="false">IF(MONTH($A187)=12,SUM(V176:V187)," ")</f>
        <v> </v>
      </c>
      <c r="Y187" s="1580" t="n">
        <f aca="false">IF($A187&gt;Endyr,0,VLOOKUP($A187,Tariff_Table,Tariff!$J$33))</f>
        <v>0.19</v>
      </c>
      <c r="Z187" s="1576" t="n">
        <f aca="false">VLOOKUP($A187,Curves_Table,Escalation!$AH$291)</f>
        <v>3.43620643785714</v>
      </c>
      <c r="AA187" s="1576" t="n">
        <f aca="false">Y187*Z187</f>
        <v>0.652879223192857</v>
      </c>
      <c r="AB187" s="397" t="n">
        <f aca="false">'Plant Operations'!$I187+'Plant Operations'!$M187</f>
        <v>289336.32</v>
      </c>
      <c r="AC187" s="1575" t="n">
        <f aca="false">AA187*AB187/1000</f>
        <v>188.90167184308</v>
      </c>
      <c r="AD187" s="1576" t="n">
        <f aca="false">$I187</f>
        <v>2.81122819893174</v>
      </c>
      <c r="AE187" s="1566" t="n">
        <f aca="false">AC187/AD187</f>
        <v>67.1954243753183</v>
      </c>
      <c r="AF187" s="1567" t="str">
        <f aca="false">IF(MONTH($A187)=12,SUM(AE176:AE187)," ")</f>
        <v> </v>
      </c>
    </row>
    <row r="188" customFormat="false" ht="12.75" hidden="false" customHeight="false" outlineLevel="0" collapsed="false">
      <c r="A188" s="1538" t="n">
        <f aca="false">'Plant Operations'!A188</f>
        <v>41609</v>
      </c>
      <c r="C188" s="1574" t="n">
        <f aca="false">IF($A188&gt;Endyr,0,VLOOKUP($A188,Tariff_Table,Tariff!$D$33))</f>
        <v>6530.38420490929</v>
      </c>
      <c r="E188" s="1561" t="n">
        <f aca="false">VLOOKUP($A188,Tariff_Table,Tariff!$E$33)</f>
        <v>0.936999948444192</v>
      </c>
      <c r="F188" s="1575" t="n">
        <f aca="false">$C188*E188</f>
        <v>6118.96966332077</v>
      </c>
      <c r="G188" s="1565" t="n">
        <f aca="false">VLOOKUP($A188,Curves_Table,Escalation!$N$291)</f>
        <v>1.51901070889322</v>
      </c>
      <c r="H188" s="1575" t="n">
        <f aca="false">F188*G188</f>
        <v>9294.780445977</v>
      </c>
      <c r="I188" s="1576" t="n">
        <f aca="false">IF(Assm!$L$74=0,VLOOKUP($A188,Curves_Table,Escalation!$D$291),VLOOKUP($A188,Curves_Table,Escalation!$E$291))</f>
        <v>2.81590062513899</v>
      </c>
      <c r="J188" s="1576" t="n">
        <f aca="false">IF($A188&lt;EE_Date,VLOOKUP($A188,Curves_Table,Escalation!$D$291),Exch)</f>
        <v>1.065</v>
      </c>
      <c r="K188" s="1577" t="n">
        <f aca="false">H188*I188/J188</f>
        <v>24575.7540547947</v>
      </c>
      <c r="M188" s="1561" t="n">
        <f aca="false">VLOOKUP($A188,Tariff_Table,Tariff!$F$33)</f>
        <v>0.0630000515558078</v>
      </c>
      <c r="N188" s="1575" t="n">
        <f aca="false">$C188*M188</f>
        <v>411.414541588518</v>
      </c>
      <c r="O188" s="1565" t="n">
        <f aca="false">VLOOKUP($A188,Curves_Table,Escalation!$R$291)</f>
        <v>3.43620643785714</v>
      </c>
      <c r="P188" s="1577" t="n">
        <f aca="false">N188*O188</f>
        <v>1413.70529643451</v>
      </c>
      <c r="R188" s="1578" t="n">
        <f aca="false">SUM(K188,P188)</f>
        <v>25989.4593512292</v>
      </c>
      <c r="S188" s="1540" t="n">
        <f aca="false">'Plant Operations'!C188</f>
        <v>480</v>
      </c>
      <c r="T188" s="1575" t="n">
        <f aca="false">R188*S188/1000</f>
        <v>12474.94048859</v>
      </c>
      <c r="U188" s="1576" t="n">
        <f aca="false">$I188</f>
        <v>2.81590062513899</v>
      </c>
      <c r="V188" s="394" t="n">
        <f aca="false">T188/U188</f>
        <v>4430.17781849963</v>
      </c>
      <c r="W188" s="1579" t="n">
        <f aca="false">IF(MONTH($A188)=12,SUM(V177:V188)," ")</f>
        <v>53357.3423257097</v>
      </c>
      <c r="Y188" s="1580" t="n">
        <f aca="false">IF($A188&gt;Endyr,0,VLOOKUP($A188,Tariff_Table,Tariff!$J$33))</f>
        <v>0.19</v>
      </c>
      <c r="Z188" s="1576" t="n">
        <f aca="false">VLOOKUP($A188,Curves_Table,Escalation!$AH$291)</f>
        <v>3.43620643785714</v>
      </c>
      <c r="AA188" s="1576" t="n">
        <f aca="false">Y188*Z188</f>
        <v>0.652879223192857</v>
      </c>
      <c r="AB188" s="397" t="n">
        <f aca="false">'Plant Operations'!$I188+'Plant Operations'!$M188</f>
        <v>298980.864</v>
      </c>
      <c r="AC188" s="1575" t="n">
        <f aca="false">AA188*AB188/1000</f>
        <v>195.198394237849</v>
      </c>
      <c r="AD188" s="1576" t="n">
        <f aca="false">$I188</f>
        <v>2.81590062513899</v>
      </c>
      <c r="AE188" s="1566" t="n">
        <f aca="false">AC188/AD188</f>
        <v>69.3200578511944</v>
      </c>
      <c r="AF188" s="1567" t="n">
        <f aca="false">IF(MONTH($A188)=12,SUM(AE177:AE188)," ")</f>
        <v>805.503843938109</v>
      </c>
    </row>
    <row r="189" customFormat="false" ht="12.75" hidden="false" customHeight="false" outlineLevel="0" collapsed="false">
      <c r="A189" s="1538" t="n">
        <f aca="false">'Plant Operations'!A189</f>
        <v>41640</v>
      </c>
      <c r="C189" s="1574" t="n">
        <f aca="false">IF($A189&gt;Endyr,0,VLOOKUP($A189,Tariff_Table,Tariff!$D$33))</f>
        <v>6530.38420490929</v>
      </c>
      <c r="E189" s="1561" t="n">
        <f aca="false">VLOOKUP($A189,Tariff_Table,Tariff!$E$33)</f>
        <v>0.936999948444192</v>
      </c>
      <c r="F189" s="1575" t="n">
        <f aca="false">$C189*E189</f>
        <v>6118.96966332077</v>
      </c>
      <c r="G189" s="1565" t="n">
        <f aca="false">VLOOKUP($A189,Curves_Table,Escalation!$N$291)</f>
        <v>1.51901070889322</v>
      </c>
      <c r="H189" s="1575" t="n">
        <f aca="false">F189*G189</f>
        <v>9294.780445977</v>
      </c>
      <c r="I189" s="1576" t="n">
        <f aca="false">IF(Assm!$L$74=0,VLOOKUP($A189,Curves_Table,Escalation!$D$291),VLOOKUP($A189,Curves_Table,Escalation!$E$291))</f>
        <v>2.82055022749078</v>
      </c>
      <c r="J189" s="1576" t="n">
        <f aca="false">IF($A189&lt;EE_Date,VLOOKUP($A189,Curves_Table,Escalation!$D$291),Exch)</f>
        <v>1.065</v>
      </c>
      <c r="K189" s="1577" t="n">
        <f aca="false">H189*I189/J189</f>
        <v>24616.3334285233</v>
      </c>
      <c r="M189" s="1561" t="n">
        <f aca="false">VLOOKUP($A189,Tariff_Table,Tariff!$F$33)</f>
        <v>0.0630000515558078</v>
      </c>
      <c r="N189" s="1575" t="n">
        <f aca="false">$C189*M189</f>
        <v>411.414541588518</v>
      </c>
      <c r="O189" s="1565" t="n">
        <f aca="false">VLOOKUP($A189,Curves_Table,Escalation!$R$291)</f>
        <v>3.43620643785714</v>
      </c>
      <c r="P189" s="1577" t="n">
        <f aca="false">N189*O189</f>
        <v>1413.70529643451</v>
      </c>
      <c r="R189" s="1578" t="n">
        <f aca="false">SUM(K189,P189)</f>
        <v>26030.0387249578</v>
      </c>
      <c r="S189" s="1540" t="n">
        <f aca="false">'Plant Operations'!C189</f>
        <v>480</v>
      </c>
      <c r="T189" s="1575" t="n">
        <f aca="false">R189*S189/1000</f>
        <v>12494.4185879798</v>
      </c>
      <c r="U189" s="1576" t="n">
        <f aca="false">$I189</f>
        <v>2.82055022749078</v>
      </c>
      <c r="V189" s="394" t="n">
        <f aca="false">T189/U189</f>
        <v>4429.78056770683</v>
      </c>
      <c r="W189" s="1579" t="str">
        <f aca="false">IF(MONTH($A189)=12,SUM(V178:V189)," ")</f>
        <v> </v>
      </c>
      <c r="Y189" s="1580" t="n">
        <f aca="false">IF($A189&gt;Endyr,0,VLOOKUP($A189,Tariff_Table,Tariff!$J$33))</f>
        <v>0.19</v>
      </c>
      <c r="Z189" s="1576" t="n">
        <f aca="false">VLOOKUP($A189,Curves_Table,Escalation!$AH$291)</f>
        <v>3.43620643785714</v>
      </c>
      <c r="AA189" s="1576" t="n">
        <f aca="false">Y189*Z189</f>
        <v>0.652879223192857</v>
      </c>
      <c r="AB189" s="397" t="n">
        <f aca="false">'Plant Operations'!$I189+'Plant Operations'!$M189</f>
        <v>298980.864</v>
      </c>
      <c r="AC189" s="1575" t="n">
        <f aca="false">AA189*AB189/1000</f>
        <v>195.198394237849</v>
      </c>
      <c r="AD189" s="1576" t="n">
        <f aca="false">$I189</f>
        <v>2.82055022749078</v>
      </c>
      <c r="AE189" s="1566" t="n">
        <f aca="false">AC189/AD189</f>
        <v>69.205785571669</v>
      </c>
      <c r="AF189" s="1567" t="str">
        <f aca="false">IF(MONTH($A189)=12,SUM(AE178:AE189)," ")</f>
        <v> </v>
      </c>
    </row>
    <row r="190" customFormat="false" ht="12.75" hidden="false" customHeight="false" outlineLevel="0" collapsed="false">
      <c r="A190" s="1538" t="n">
        <f aca="false">'Plant Operations'!A190</f>
        <v>41671</v>
      </c>
      <c r="C190" s="1574" t="n">
        <f aca="false">IF($A190&gt;Endyr,0,VLOOKUP($A190,Tariff_Table,Tariff!$D$33))</f>
        <v>6530.38420490929</v>
      </c>
      <c r="E190" s="1561" t="n">
        <f aca="false">VLOOKUP($A190,Tariff_Table,Tariff!$E$33)</f>
        <v>0.936999948444192</v>
      </c>
      <c r="F190" s="1575" t="n">
        <f aca="false">$C190*E190</f>
        <v>6118.96966332077</v>
      </c>
      <c r="G190" s="1565" t="n">
        <f aca="false">VLOOKUP($A190,Curves_Table,Escalation!$N$291)</f>
        <v>1.51901070889322</v>
      </c>
      <c r="H190" s="1575" t="n">
        <f aca="false">F190*G190</f>
        <v>9294.780445977</v>
      </c>
      <c r="I190" s="1576" t="n">
        <f aca="false">IF(Assm!$L$74=0,VLOOKUP($A190,Curves_Table,Escalation!$D$291),VLOOKUP($A190,Curves_Table,Escalation!$E$291))</f>
        <v>2.82520750724491</v>
      </c>
      <c r="J190" s="1576" t="n">
        <f aca="false">IF($A190&lt;EE_Date,VLOOKUP($A190,Curves_Table,Escalation!$D$291),Exch)</f>
        <v>1.065</v>
      </c>
      <c r="K190" s="1577" t="n">
        <f aca="false">H190*I190/J190</f>
        <v>24656.97980673</v>
      </c>
      <c r="M190" s="1561" t="n">
        <f aca="false">VLOOKUP($A190,Tariff_Table,Tariff!$F$33)</f>
        <v>0.0630000515558078</v>
      </c>
      <c r="N190" s="1575" t="n">
        <f aca="false">$C190*M190</f>
        <v>411.414541588518</v>
      </c>
      <c r="O190" s="1565" t="n">
        <f aca="false">VLOOKUP($A190,Curves_Table,Escalation!$R$291)</f>
        <v>3.43620643785714</v>
      </c>
      <c r="P190" s="1577" t="n">
        <f aca="false">N190*O190</f>
        <v>1413.70529643451</v>
      </c>
      <c r="R190" s="1578" t="n">
        <f aca="false">SUM(K190,P190)</f>
        <v>26070.6851031645</v>
      </c>
      <c r="S190" s="1540" t="n">
        <f aca="false">'Plant Operations'!C190</f>
        <v>480</v>
      </c>
      <c r="T190" s="1575" t="n">
        <f aca="false">R190*S190/1000</f>
        <v>12513.9288495189</v>
      </c>
      <c r="U190" s="1576" t="n">
        <f aca="false">$I190</f>
        <v>2.82520750724491</v>
      </c>
      <c r="V190" s="394" t="n">
        <f aca="false">T190/U190</f>
        <v>4429.38397177144</v>
      </c>
      <c r="W190" s="1579" t="str">
        <f aca="false">IF(MONTH($A190)=12,SUM(V179:V190)," ")</f>
        <v> </v>
      </c>
      <c r="Y190" s="1580" t="n">
        <f aca="false">IF($A190&gt;Endyr,0,VLOOKUP($A190,Tariff_Table,Tariff!$J$33))</f>
        <v>0.19</v>
      </c>
      <c r="Z190" s="1576" t="n">
        <f aca="false">VLOOKUP($A190,Curves_Table,Escalation!$AH$291)</f>
        <v>3.43620643785714</v>
      </c>
      <c r="AA190" s="1576" t="n">
        <f aca="false">Y190*Z190</f>
        <v>0.652879223192857</v>
      </c>
      <c r="AB190" s="397" t="n">
        <f aca="false">'Plant Operations'!$I190+'Plant Operations'!$M190</f>
        <v>270047.232</v>
      </c>
      <c r="AC190" s="1575" t="n">
        <f aca="false">AA190*AB190/1000</f>
        <v>176.308227053541</v>
      </c>
      <c r="AD190" s="1576" t="n">
        <f aca="false">$I190</f>
        <v>2.82520750724491</v>
      </c>
      <c r="AE190" s="1566" t="n">
        <f aca="false">AC190/AD190</f>
        <v>62.4054079572633</v>
      </c>
      <c r="AF190" s="1567" t="str">
        <f aca="false">IF(MONTH($A190)=12,SUM(AE179:AE190)," ")</f>
        <v> </v>
      </c>
    </row>
    <row r="191" customFormat="false" ht="12.75" hidden="false" customHeight="false" outlineLevel="0" collapsed="false">
      <c r="A191" s="1538" t="n">
        <f aca="false">'Plant Operations'!A191</f>
        <v>41699</v>
      </c>
      <c r="C191" s="1574" t="n">
        <f aca="false">IF($A191&gt;Endyr,0,VLOOKUP($A191,Tariff_Table,Tariff!$D$33))</f>
        <v>6530.38420490929</v>
      </c>
      <c r="E191" s="1561" t="n">
        <f aca="false">VLOOKUP($A191,Tariff_Table,Tariff!$E$33)</f>
        <v>0.936999948444192</v>
      </c>
      <c r="F191" s="1575" t="n">
        <f aca="false">$C191*E191</f>
        <v>6118.96966332077</v>
      </c>
      <c r="G191" s="1565" t="n">
        <f aca="false">VLOOKUP($A191,Curves_Table,Escalation!$N$291)</f>
        <v>1.51901070889322</v>
      </c>
      <c r="H191" s="1575" t="n">
        <f aca="false">F191*G191</f>
        <v>9294.780445977</v>
      </c>
      <c r="I191" s="1576" t="n">
        <f aca="false">IF(Assm!$L$74=0,VLOOKUP($A191,Curves_Table,Escalation!$D$291),VLOOKUP($A191,Curves_Table,Escalation!$E$291))</f>
        <v>2.82987247707826</v>
      </c>
      <c r="J191" s="1576" t="n">
        <f aca="false">IF($A191&lt;EE_Date,VLOOKUP($A191,Curves_Table,Escalation!$D$291),Exch)</f>
        <v>1.065</v>
      </c>
      <c r="K191" s="1577" t="n">
        <f aca="false">H191*I191/J191</f>
        <v>24697.6933000521</v>
      </c>
      <c r="M191" s="1561" t="n">
        <f aca="false">VLOOKUP($A191,Tariff_Table,Tariff!$F$33)</f>
        <v>0.0630000515558078</v>
      </c>
      <c r="N191" s="1575" t="n">
        <f aca="false">$C191*M191</f>
        <v>411.414541588518</v>
      </c>
      <c r="O191" s="1565" t="n">
        <f aca="false">VLOOKUP($A191,Curves_Table,Escalation!$R$291)</f>
        <v>3.43620643785714</v>
      </c>
      <c r="P191" s="1577" t="n">
        <f aca="false">N191*O191</f>
        <v>1413.70529643451</v>
      </c>
      <c r="R191" s="1578" t="n">
        <f aca="false">SUM(K191,P191)</f>
        <v>26111.3985964866</v>
      </c>
      <c r="S191" s="1540" t="n">
        <f aca="false">'Plant Operations'!C191</f>
        <v>480</v>
      </c>
      <c r="T191" s="1575" t="n">
        <f aca="false">R191*S191/1000</f>
        <v>12533.4713263136</v>
      </c>
      <c r="U191" s="1576" t="n">
        <f aca="false">$I191</f>
        <v>2.82987247707826</v>
      </c>
      <c r="V191" s="394" t="n">
        <f aca="false">T191/U191</f>
        <v>4428.98802961395</v>
      </c>
      <c r="W191" s="1579" t="str">
        <f aca="false">IF(MONTH($A191)=12,SUM(V180:V191)," ")</f>
        <v> </v>
      </c>
      <c r="Y191" s="1580" t="n">
        <f aca="false">IF($A191&gt;Endyr,0,VLOOKUP($A191,Tariff_Table,Tariff!$J$33))</f>
        <v>0.19</v>
      </c>
      <c r="Z191" s="1576" t="n">
        <f aca="false">VLOOKUP($A191,Curves_Table,Escalation!$AH$291)</f>
        <v>3.43620643785714</v>
      </c>
      <c r="AA191" s="1576" t="n">
        <f aca="false">Y191*Z191</f>
        <v>0.652879223192857</v>
      </c>
      <c r="AB191" s="397" t="n">
        <f aca="false">'Plant Operations'!$I191+'Plant Operations'!$M191</f>
        <v>298980.864</v>
      </c>
      <c r="AC191" s="1575" t="n">
        <f aca="false">AA191*AB191/1000</f>
        <v>195.198394237849</v>
      </c>
      <c r="AD191" s="1576" t="n">
        <f aca="false">$I191</f>
        <v>2.82987247707826</v>
      </c>
      <c r="AE191" s="1566" t="n">
        <f aca="false">AC191/AD191</f>
        <v>68.9778058265667</v>
      </c>
      <c r="AF191" s="1567" t="str">
        <f aca="false">IF(MONTH($A191)=12,SUM(AE180:AE191)," ")</f>
        <v> </v>
      </c>
    </row>
    <row r="192" customFormat="false" ht="12.75" hidden="false" customHeight="false" outlineLevel="0" collapsed="false">
      <c r="A192" s="1538" t="n">
        <f aca="false">'Plant Operations'!A192</f>
        <v>41730</v>
      </c>
      <c r="C192" s="1574" t="n">
        <f aca="false">IF($A192&gt;Endyr,0,VLOOKUP($A192,Tariff_Table,Tariff!$D$33))</f>
        <v>6530.38420490929</v>
      </c>
      <c r="E192" s="1561" t="n">
        <f aca="false">VLOOKUP($A192,Tariff_Table,Tariff!$E$33)</f>
        <v>0.936999948444192</v>
      </c>
      <c r="F192" s="1575" t="n">
        <f aca="false">$C192*E192</f>
        <v>6118.96966332077</v>
      </c>
      <c r="G192" s="1565" t="n">
        <f aca="false">VLOOKUP($A192,Curves_Table,Escalation!$N$291)</f>
        <v>1.51901070889322</v>
      </c>
      <c r="H192" s="1575" t="n">
        <f aca="false">F192*G192</f>
        <v>9294.780445977</v>
      </c>
      <c r="I192" s="1576" t="n">
        <f aca="false">IF(Assm!$L$74=0,VLOOKUP($A192,Curves_Table,Escalation!$D$291),VLOOKUP($A192,Curves_Table,Escalation!$E$291))</f>
        <v>2.83454514968866</v>
      </c>
      <c r="J192" s="1576" t="n">
        <f aca="false">IF($A192&lt;EE_Date,VLOOKUP($A192,Curves_Table,Escalation!$D$291),Exch)</f>
        <v>1.065</v>
      </c>
      <c r="K192" s="1577" t="n">
        <f aca="false">H192*I192/J192</f>
        <v>24738.4740193099</v>
      </c>
      <c r="M192" s="1561" t="n">
        <f aca="false">VLOOKUP($A192,Tariff_Table,Tariff!$F$33)</f>
        <v>0.0630000515558078</v>
      </c>
      <c r="N192" s="1575" t="n">
        <f aca="false">$C192*M192</f>
        <v>411.414541588518</v>
      </c>
      <c r="O192" s="1565" t="n">
        <f aca="false">VLOOKUP($A192,Curves_Table,Escalation!$R$291)</f>
        <v>3.43620643785714</v>
      </c>
      <c r="P192" s="1577" t="n">
        <f aca="false">N192*O192</f>
        <v>1413.70529643451</v>
      </c>
      <c r="R192" s="1578" t="n">
        <f aca="false">SUM(K192,P192)</f>
        <v>26152.1793157445</v>
      </c>
      <c r="S192" s="1540" t="n">
        <f aca="false">'Plant Operations'!C192</f>
        <v>480</v>
      </c>
      <c r="T192" s="1575" t="n">
        <f aca="false">R192*S192/1000</f>
        <v>12553.0460715573</v>
      </c>
      <c r="U192" s="1576" t="n">
        <f aca="false">$I192</f>
        <v>2.83454514968866</v>
      </c>
      <c r="V192" s="394" t="n">
        <f aca="false">T192/U192</f>
        <v>4428.59274015662</v>
      </c>
      <c r="W192" s="1579" t="str">
        <f aca="false">IF(MONTH($A192)=12,SUM(V181:V192)," ")</f>
        <v> </v>
      </c>
      <c r="Y192" s="1580" t="n">
        <f aca="false">IF($A192&gt;Endyr,0,VLOOKUP($A192,Tariff_Table,Tariff!$J$33))</f>
        <v>0.19</v>
      </c>
      <c r="Z192" s="1576" t="n">
        <f aca="false">VLOOKUP($A192,Curves_Table,Escalation!$AH$291)</f>
        <v>3.43620643785714</v>
      </c>
      <c r="AA192" s="1576" t="n">
        <f aca="false">Y192*Z192</f>
        <v>0.652879223192857</v>
      </c>
      <c r="AB192" s="397" t="n">
        <f aca="false">'Plant Operations'!$I192+'Plant Operations'!$M192</f>
        <v>289336.32</v>
      </c>
      <c r="AC192" s="1575" t="n">
        <f aca="false">AA192*AB192/1000</f>
        <v>188.90167184308</v>
      </c>
      <c r="AD192" s="1576" t="n">
        <f aca="false">$I192</f>
        <v>2.83454514968866</v>
      </c>
      <c r="AE192" s="1566" t="n">
        <f aca="false">AC192/AD192</f>
        <v>66.6426752326837</v>
      </c>
      <c r="AF192" s="1567" t="str">
        <f aca="false">IF(MONTH($A192)=12,SUM(AE181:AE192)," ")</f>
        <v> </v>
      </c>
    </row>
    <row r="193" customFormat="false" ht="12.75" hidden="false" customHeight="false" outlineLevel="0" collapsed="false">
      <c r="A193" s="1538" t="n">
        <f aca="false">'Plant Operations'!A193</f>
        <v>41760</v>
      </c>
      <c r="C193" s="1574" t="n">
        <f aca="false">IF($A193&gt;Endyr,0,VLOOKUP($A193,Tariff_Table,Tariff!$D$33))</f>
        <v>4167.65616933402</v>
      </c>
      <c r="E193" s="1561" t="n">
        <f aca="false">VLOOKUP($A193,Tariff_Table,Tariff!$E$33)</f>
        <v>0.909052195906484</v>
      </c>
      <c r="F193" s="1575" t="n">
        <f aca="false">$C193*E193</f>
        <v>3788.6169925163</v>
      </c>
      <c r="G193" s="1565" t="n">
        <f aca="false">VLOOKUP($A193,Curves_Table,Escalation!$N$291)</f>
        <v>1.55739783154092</v>
      </c>
      <c r="H193" s="1575" t="n">
        <f aca="false">F193*G193</f>
        <v>5900.38388868396</v>
      </c>
      <c r="I193" s="1576" t="n">
        <f aca="false">IF(Assm!$L$74=0,VLOOKUP($A193,Curves_Table,Escalation!$D$291),VLOOKUP($A193,Curves_Table,Escalation!$E$291))</f>
        <v>2.8392255377949</v>
      </c>
      <c r="J193" s="1576" t="n">
        <f aca="false">IF($A193&lt;EE_Date,VLOOKUP($A193,Curves_Table,Escalation!$D$291),Exch)</f>
        <v>1.065</v>
      </c>
      <c r="K193" s="1577" t="n">
        <f aca="false">H193*I193/J193</f>
        <v>15730.066309432</v>
      </c>
      <c r="M193" s="1561" t="n">
        <f aca="false">VLOOKUP($A193,Tariff_Table,Tariff!$F$33)</f>
        <v>0.0909478040935158</v>
      </c>
      <c r="N193" s="1575" t="n">
        <f aca="false">$C193*M193</f>
        <v>379.039176817723</v>
      </c>
      <c r="O193" s="1565" t="n">
        <f aca="false">VLOOKUP($A193,Curves_Table,Escalation!$R$291)</f>
        <v>3.67674088850714</v>
      </c>
      <c r="P193" s="1577" t="n">
        <f aca="false">N193*O193</f>
        <v>1393.62883975181</v>
      </c>
      <c r="R193" s="1578" t="n">
        <f aca="false">SUM(K193,P193)</f>
        <v>17123.6951491838</v>
      </c>
      <c r="S193" s="1540" t="n">
        <f aca="false">'Plant Operations'!C193</f>
        <v>480</v>
      </c>
      <c r="T193" s="1575" t="n">
        <f aca="false">R193*S193/1000</f>
        <v>8219.37367160822</v>
      </c>
      <c r="U193" s="1576" t="n">
        <f aca="false">$I193</f>
        <v>2.8392255377949</v>
      </c>
      <c r="V193" s="394" t="n">
        <f aca="false">T193/U193</f>
        <v>2894.93510191228</v>
      </c>
      <c r="W193" s="1579" t="str">
        <f aca="false">IF(MONTH($A193)=12,SUM(V182:V193)," ")</f>
        <v> </v>
      </c>
      <c r="Y193" s="1580" t="n">
        <f aca="false">IF($A193&gt;Endyr,0,VLOOKUP($A193,Tariff_Table,Tariff!$J$33))</f>
        <v>0.19</v>
      </c>
      <c r="Z193" s="1576" t="n">
        <f aca="false">VLOOKUP($A193,Curves_Table,Escalation!$AH$291)</f>
        <v>3.67674088850714</v>
      </c>
      <c r="AA193" s="1576" t="n">
        <f aca="false">Y193*Z193</f>
        <v>0.698580768816357</v>
      </c>
      <c r="AB193" s="397" t="n">
        <f aca="false">'Plant Operations'!$I193+'Plant Operations'!$M193</f>
        <v>298980.864</v>
      </c>
      <c r="AC193" s="1575" t="n">
        <f aca="false">AA193*AB193/1000</f>
        <v>208.862281834499</v>
      </c>
      <c r="AD193" s="1576" t="n">
        <f aca="false">$I193</f>
        <v>2.8392255377949</v>
      </c>
      <c r="AE193" s="1566" t="n">
        <f aca="false">AC193/AD193</f>
        <v>73.5631174960172</v>
      </c>
      <c r="AF193" s="1567" t="str">
        <f aca="false">IF(MONTH($A193)=12,SUM(AE182:AE193)," ")</f>
        <v> </v>
      </c>
    </row>
    <row r="194" customFormat="false" ht="12.75" hidden="false" customHeight="false" outlineLevel="0" collapsed="false">
      <c r="A194" s="1538" t="n">
        <f aca="false">'Plant Operations'!A194</f>
        <v>41791</v>
      </c>
      <c r="C194" s="1574" t="n">
        <f aca="false">IF($A194&gt;Endyr,0,VLOOKUP($A194,Tariff_Table,Tariff!$D$33))</f>
        <v>4167.65616933402</v>
      </c>
      <c r="E194" s="1561" t="n">
        <f aca="false">VLOOKUP($A194,Tariff_Table,Tariff!$E$33)</f>
        <v>0.909052195906484</v>
      </c>
      <c r="F194" s="1575" t="n">
        <f aca="false">$C194*E194</f>
        <v>3788.6169925163</v>
      </c>
      <c r="G194" s="1565" t="n">
        <f aca="false">VLOOKUP($A194,Curves_Table,Escalation!$N$291)</f>
        <v>1.55739783154092</v>
      </c>
      <c r="H194" s="1575" t="n">
        <f aca="false">F194*G194</f>
        <v>5900.38388868396</v>
      </c>
      <c r="I194" s="1576" t="n">
        <f aca="false">IF(Assm!$L$74=0,VLOOKUP($A194,Curves_Table,Escalation!$D$291),VLOOKUP($A194,Curves_Table,Escalation!$E$291))</f>
        <v>2.84391365413677</v>
      </c>
      <c r="J194" s="1576" t="n">
        <f aca="false">IF($A194&lt;EE_Date,VLOOKUP($A194,Curves_Table,Escalation!$D$291),Exch)</f>
        <v>1.065</v>
      </c>
      <c r="K194" s="1577" t="n">
        <f aca="false">H194*I194/J194</f>
        <v>15756.0397236403</v>
      </c>
      <c r="M194" s="1561" t="n">
        <f aca="false">VLOOKUP($A194,Tariff_Table,Tariff!$F$33)</f>
        <v>0.0909478040935158</v>
      </c>
      <c r="N194" s="1575" t="n">
        <f aca="false">$C194*M194</f>
        <v>379.039176817723</v>
      </c>
      <c r="O194" s="1565" t="n">
        <f aca="false">VLOOKUP($A194,Curves_Table,Escalation!$R$291)</f>
        <v>3.67674088850714</v>
      </c>
      <c r="P194" s="1577" t="n">
        <f aca="false">N194*O194</f>
        <v>1393.62883975181</v>
      </c>
      <c r="R194" s="1578" t="n">
        <f aca="false">SUM(K194,P194)</f>
        <v>17149.6685633921</v>
      </c>
      <c r="S194" s="1540" t="n">
        <f aca="false">'Plant Operations'!C194</f>
        <v>480</v>
      </c>
      <c r="T194" s="1575" t="n">
        <f aca="false">R194*S194/1000</f>
        <v>8231.8409104282</v>
      </c>
      <c r="U194" s="1576" t="n">
        <f aca="false">$I194</f>
        <v>2.84391365413677</v>
      </c>
      <c r="V194" s="394" t="n">
        <f aca="false">T194/U194</f>
        <v>2894.54670976179</v>
      </c>
      <c r="W194" s="1579" t="str">
        <f aca="false">IF(MONTH($A194)=12,SUM(V183:V194)," ")</f>
        <v> </v>
      </c>
      <c r="Y194" s="1580" t="n">
        <f aca="false">IF($A194&gt;Endyr,0,VLOOKUP($A194,Tariff_Table,Tariff!$J$33))</f>
        <v>0.19</v>
      </c>
      <c r="Z194" s="1576" t="n">
        <f aca="false">VLOOKUP($A194,Curves_Table,Escalation!$AH$291)</f>
        <v>3.67674088850714</v>
      </c>
      <c r="AA194" s="1576" t="n">
        <f aca="false">Y194*Z194</f>
        <v>0.698580768816357</v>
      </c>
      <c r="AB194" s="397" t="n">
        <f aca="false">'Plant Operations'!$I194+'Plant Operations'!$M194</f>
        <v>289336.32</v>
      </c>
      <c r="AC194" s="1575" t="n">
        <f aca="false">AA194*AB194/1000</f>
        <v>202.124788872096</v>
      </c>
      <c r="AD194" s="1576" t="n">
        <f aca="false">$I194</f>
        <v>2.84391365413677</v>
      </c>
      <c r="AE194" s="1566" t="n">
        <f aca="false">AC194/AD194</f>
        <v>71.0727586887471</v>
      </c>
      <c r="AF194" s="1567" t="str">
        <f aca="false">IF(MONTH($A194)=12,SUM(AE183:AE194)," ")</f>
        <v> </v>
      </c>
    </row>
    <row r="195" customFormat="false" ht="12.75" hidden="false" customHeight="false" outlineLevel="0" collapsed="false">
      <c r="A195" s="1538" t="n">
        <f aca="false">'Plant Operations'!A195</f>
        <v>41821</v>
      </c>
      <c r="C195" s="1574" t="n">
        <f aca="false">IF($A195&gt;Endyr,0,VLOOKUP($A195,Tariff_Table,Tariff!$D$33))</f>
        <v>4167.65616933402</v>
      </c>
      <c r="E195" s="1561" t="n">
        <f aca="false">VLOOKUP($A195,Tariff_Table,Tariff!$E$33)</f>
        <v>0.909052195906484</v>
      </c>
      <c r="F195" s="1575" t="n">
        <f aca="false">$C195*E195</f>
        <v>3788.6169925163</v>
      </c>
      <c r="G195" s="1565" t="n">
        <f aca="false">VLOOKUP($A195,Curves_Table,Escalation!$N$291)</f>
        <v>1.55739783154092</v>
      </c>
      <c r="H195" s="1575" t="n">
        <f aca="false">F195*G195</f>
        <v>5900.38388868396</v>
      </c>
      <c r="I195" s="1576" t="n">
        <f aca="false">IF(Assm!$L$74=0,VLOOKUP($A195,Curves_Table,Escalation!$D$291),VLOOKUP($A195,Curves_Table,Escalation!$E$291))</f>
        <v>2.8486095114751</v>
      </c>
      <c r="J195" s="1576" t="n">
        <f aca="false">IF($A195&lt;EE_Date,VLOOKUP($A195,Curves_Table,Escalation!$D$291),Exch)</f>
        <v>1.065</v>
      </c>
      <c r="K195" s="1577" t="n">
        <f aca="false">H195*I195/J195</f>
        <v>15782.0560250324</v>
      </c>
      <c r="M195" s="1561" t="n">
        <f aca="false">VLOOKUP($A195,Tariff_Table,Tariff!$F$33)</f>
        <v>0.0909478040935158</v>
      </c>
      <c r="N195" s="1575" t="n">
        <f aca="false">$C195*M195</f>
        <v>379.039176817723</v>
      </c>
      <c r="O195" s="1565" t="n">
        <f aca="false">VLOOKUP($A195,Curves_Table,Escalation!$R$291)</f>
        <v>3.67674088850714</v>
      </c>
      <c r="P195" s="1577" t="n">
        <f aca="false">N195*O195</f>
        <v>1393.62883975181</v>
      </c>
      <c r="R195" s="1578" t="n">
        <f aca="false">SUM(K195,P195)</f>
        <v>17175.6848647842</v>
      </c>
      <c r="S195" s="1540" t="n">
        <f aca="false">'Plant Operations'!C195</f>
        <v>480</v>
      </c>
      <c r="T195" s="1575" t="n">
        <f aca="false">R195*S195/1000</f>
        <v>8244.32873509644</v>
      </c>
      <c r="U195" s="1576" t="n">
        <f aca="false">$I195</f>
        <v>2.8486095114751</v>
      </c>
      <c r="V195" s="394" t="n">
        <f aca="false">T195/U195</f>
        <v>2894.15895786547</v>
      </c>
      <c r="W195" s="1579" t="str">
        <f aca="false">IF(MONTH($A195)=12,SUM(V184:V195)," ")</f>
        <v> </v>
      </c>
      <c r="Y195" s="1580" t="n">
        <f aca="false">IF($A195&gt;Endyr,0,VLOOKUP($A195,Tariff_Table,Tariff!$J$33))</f>
        <v>0.19</v>
      </c>
      <c r="Z195" s="1576" t="n">
        <f aca="false">VLOOKUP($A195,Curves_Table,Escalation!$AH$291)</f>
        <v>3.67674088850714</v>
      </c>
      <c r="AA195" s="1576" t="n">
        <f aca="false">Y195*Z195</f>
        <v>0.698580768816357</v>
      </c>
      <c r="AB195" s="397" t="n">
        <f aca="false">'Plant Operations'!$I195+'Plant Operations'!$M195</f>
        <v>298980.864</v>
      </c>
      <c r="AC195" s="1575" t="n">
        <f aca="false">AA195*AB195/1000</f>
        <v>208.862281834499</v>
      </c>
      <c r="AD195" s="1576" t="n">
        <f aca="false">$I195</f>
        <v>2.8486095114751</v>
      </c>
      <c r="AE195" s="1566" t="n">
        <f aca="false">AC195/AD195</f>
        <v>73.3207836992524</v>
      </c>
      <c r="AF195" s="1567" t="str">
        <f aca="false">IF(MONTH($A195)=12,SUM(AE184:AE195)," ")</f>
        <v> </v>
      </c>
    </row>
    <row r="196" customFormat="false" ht="12.75" hidden="false" customHeight="false" outlineLevel="0" collapsed="false">
      <c r="A196" s="1538" t="n">
        <f aca="false">'Plant Operations'!A196</f>
        <v>41852</v>
      </c>
      <c r="C196" s="1574" t="n">
        <f aca="false">IF($A196&gt;Endyr,0,VLOOKUP($A196,Tariff_Table,Tariff!$D$33))</f>
        <v>4167.65616933402</v>
      </c>
      <c r="E196" s="1561" t="n">
        <f aca="false">VLOOKUP($A196,Tariff_Table,Tariff!$E$33)</f>
        <v>0.909052195906484</v>
      </c>
      <c r="F196" s="1575" t="n">
        <f aca="false">$C196*E196</f>
        <v>3788.6169925163</v>
      </c>
      <c r="G196" s="1565" t="n">
        <f aca="false">VLOOKUP($A196,Curves_Table,Escalation!$N$291)</f>
        <v>1.55739783154092</v>
      </c>
      <c r="H196" s="1575" t="n">
        <f aca="false">F196*G196</f>
        <v>5900.38388868396</v>
      </c>
      <c r="I196" s="1576" t="n">
        <f aca="false">IF(Assm!$L$74=0,VLOOKUP($A196,Curves_Table,Escalation!$D$291),VLOOKUP($A196,Curves_Table,Escalation!$E$291))</f>
        <v>2.85331312259178</v>
      </c>
      <c r="J196" s="1576" t="n">
        <f aca="false">IF($A196&lt;EE_Date,VLOOKUP($A196,Curves_Table,Escalation!$D$291),Exch)</f>
        <v>1.065</v>
      </c>
      <c r="K196" s="1577" t="n">
        <f aca="false">H196*I196/J196</f>
        <v>15808.1152844235</v>
      </c>
      <c r="M196" s="1561" t="n">
        <f aca="false">VLOOKUP($A196,Tariff_Table,Tariff!$F$33)</f>
        <v>0.0909478040935158</v>
      </c>
      <c r="N196" s="1575" t="n">
        <f aca="false">$C196*M196</f>
        <v>379.039176817723</v>
      </c>
      <c r="O196" s="1565" t="n">
        <f aca="false">VLOOKUP($A196,Curves_Table,Escalation!$R$291)</f>
        <v>3.67674088850714</v>
      </c>
      <c r="P196" s="1577" t="n">
        <f aca="false">N196*O196</f>
        <v>1393.62883975181</v>
      </c>
      <c r="R196" s="1578" t="n">
        <f aca="false">SUM(K196,P196)</f>
        <v>17201.7441241754</v>
      </c>
      <c r="S196" s="1540" t="n">
        <f aca="false">'Plant Operations'!C196</f>
        <v>480</v>
      </c>
      <c r="T196" s="1575" t="n">
        <f aca="false">R196*S196/1000</f>
        <v>8256.83717960417</v>
      </c>
      <c r="U196" s="1576" t="n">
        <f aca="false">$I196</f>
        <v>2.85331312259178</v>
      </c>
      <c r="V196" s="394" t="n">
        <f aca="false">T196/U196</f>
        <v>2893.77184516789</v>
      </c>
      <c r="W196" s="1579" t="str">
        <f aca="false">IF(MONTH($A196)=12,SUM(V185:V196)," ")</f>
        <v> </v>
      </c>
      <c r="Y196" s="1580" t="n">
        <f aca="false">IF($A196&gt;Endyr,0,VLOOKUP($A196,Tariff_Table,Tariff!$J$33))</f>
        <v>0.19</v>
      </c>
      <c r="Z196" s="1576" t="n">
        <f aca="false">VLOOKUP($A196,Curves_Table,Escalation!$AH$291)</f>
        <v>3.67674088850714</v>
      </c>
      <c r="AA196" s="1576" t="n">
        <f aca="false">Y196*Z196</f>
        <v>0.698580768816357</v>
      </c>
      <c r="AB196" s="397" t="n">
        <f aca="false">'Plant Operations'!$I196+'Plant Operations'!$M196</f>
        <v>298980.864</v>
      </c>
      <c r="AC196" s="1575" t="n">
        <f aca="false">AA196*AB196/1000</f>
        <v>208.862281834499</v>
      </c>
      <c r="AD196" s="1576" t="n">
        <f aca="false">$I196</f>
        <v>2.85331312259178</v>
      </c>
      <c r="AE196" s="1566" t="n">
        <f aca="false">AC196/AD196</f>
        <v>73.19991632912</v>
      </c>
      <c r="AF196" s="1567" t="str">
        <f aca="false">IF(MONTH($A196)=12,SUM(AE185:AE196)," ")</f>
        <v> </v>
      </c>
    </row>
    <row r="197" customFormat="false" ht="12.75" hidden="false" customHeight="false" outlineLevel="0" collapsed="false">
      <c r="A197" s="1538" t="n">
        <f aca="false">'Plant Operations'!A197</f>
        <v>41883</v>
      </c>
      <c r="C197" s="1574" t="n">
        <f aca="false">IF($A197&gt;Endyr,0,VLOOKUP($A197,Tariff_Table,Tariff!$D$33))</f>
        <v>4167.65616933402</v>
      </c>
      <c r="E197" s="1561" t="n">
        <f aca="false">VLOOKUP($A197,Tariff_Table,Tariff!$E$33)</f>
        <v>0.909052195906484</v>
      </c>
      <c r="F197" s="1575" t="n">
        <f aca="false">$C197*E197</f>
        <v>3788.6169925163</v>
      </c>
      <c r="G197" s="1565" t="n">
        <f aca="false">VLOOKUP($A197,Curves_Table,Escalation!$N$291)</f>
        <v>1.55739783154092</v>
      </c>
      <c r="H197" s="1575" t="n">
        <f aca="false">F197*G197</f>
        <v>5900.38388868396</v>
      </c>
      <c r="I197" s="1576" t="n">
        <f aca="false">IF(Assm!$L$74=0,VLOOKUP($A197,Curves_Table,Escalation!$D$291),VLOOKUP($A197,Curves_Table,Escalation!$E$291))</f>
        <v>2.85802450028983</v>
      </c>
      <c r="J197" s="1576" t="n">
        <f aca="false">IF($A197&lt;EE_Date,VLOOKUP($A197,Curves_Table,Escalation!$D$291),Exch)</f>
        <v>1.065</v>
      </c>
      <c r="K197" s="1577" t="n">
        <f aca="false">H197*I197/J197</f>
        <v>15834.2175727457</v>
      </c>
      <c r="M197" s="1561" t="n">
        <f aca="false">VLOOKUP($A197,Tariff_Table,Tariff!$F$33)</f>
        <v>0.0909478040935158</v>
      </c>
      <c r="N197" s="1575" t="n">
        <f aca="false">$C197*M197</f>
        <v>379.039176817723</v>
      </c>
      <c r="O197" s="1565" t="n">
        <f aca="false">VLOOKUP($A197,Curves_Table,Escalation!$R$291)</f>
        <v>3.67674088850714</v>
      </c>
      <c r="P197" s="1577" t="n">
        <f aca="false">N197*O197</f>
        <v>1393.62883975181</v>
      </c>
      <c r="R197" s="1578" t="n">
        <f aca="false">SUM(K197,P197)</f>
        <v>17227.8464124975</v>
      </c>
      <c r="S197" s="1540" t="n">
        <f aca="false">'Plant Operations'!C197</f>
        <v>480</v>
      </c>
      <c r="T197" s="1575" t="n">
        <f aca="false">R197*S197/1000</f>
        <v>8269.3662779988</v>
      </c>
      <c r="U197" s="1576" t="n">
        <f aca="false">$I197</f>
        <v>2.85802450028983</v>
      </c>
      <c r="V197" s="394" t="n">
        <f aca="false">T197/U197</f>
        <v>2893.38537061533</v>
      </c>
      <c r="W197" s="1579" t="str">
        <f aca="false">IF(MONTH($A197)=12,SUM(V186:V197)," ")</f>
        <v> </v>
      </c>
      <c r="Y197" s="1580" t="n">
        <f aca="false">IF($A197&gt;Endyr,0,VLOOKUP($A197,Tariff_Table,Tariff!$J$33))</f>
        <v>0.19</v>
      </c>
      <c r="Z197" s="1576" t="n">
        <f aca="false">VLOOKUP($A197,Curves_Table,Escalation!$AH$291)</f>
        <v>3.67674088850714</v>
      </c>
      <c r="AA197" s="1576" t="n">
        <f aca="false">Y197*Z197</f>
        <v>0.698580768816357</v>
      </c>
      <c r="AB197" s="397" t="n">
        <f aca="false">'Plant Operations'!$I197+'Plant Operations'!$M197</f>
        <v>289336.32</v>
      </c>
      <c r="AC197" s="1575" t="n">
        <f aca="false">AA197*AB197/1000</f>
        <v>202.124788872096</v>
      </c>
      <c r="AD197" s="1576" t="n">
        <f aca="false">$I197</f>
        <v>2.85802450028983</v>
      </c>
      <c r="AE197" s="1566" t="n">
        <f aca="false">AC197/AD197</f>
        <v>70.7218531022383</v>
      </c>
      <c r="AF197" s="1567" t="str">
        <f aca="false">IF(MONTH($A197)=12,SUM(AE186:AE197)," ")</f>
        <v> </v>
      </c>
    </row>
    <row r="198" customFormat="false" ht="12.75" hidden="false" customHeight="false" outlineLevel="0" collapsed="false">
      <c r="A198" s="1538" t="n">
        <f aca="false">'Plant Operations'!A198</f>
        <v>41913</v>
      </c>
      <c r="C198" s="1574" t="n">
        <f aca="false">IF($A198&gt;Endyr,0,VLOOKUP($A198,Tariff_Table,Tariff!$D$33))</f>
        <v>4167.65616933402</v>
      </c>
      <c r="E198" s="1561" t="n">
        <f aca="false">VLOOKUP($A198,Tariff_Table,Tariff!$E$33)</f>
        <v>0.909052195906484</v>
      </c>
      <c r="F198" s="1575" t="n">
        <f aca="false">$C198*E198</f>
        <v>3788.6169925163</v>
      </c>
      <c r="G198" s="1565" t="n">
        <f aca="false">VLOOKUP($A198,Curves_Table,Escalation!$N$291)</f>
        <v>1.55739783154092</v>
      </c>
      <c r="H198" s="1575" t="n">
        <f aca="false">F198*G198</f>
        <v>5900.38388868396</v>
      </c>
      <c r="I198" s="1576" t="n">
        <f aca="false">IF(Assm!$L$74=0,VLOOKUP($A198,Curves_Table,Escalation!$D$291),VLOOKUP($A198,Curves_Table,Escalation!$E$291))</f>
        <v>2.86274365739339</v>
      </c>
      <c r="J198" s="1576" t="n">
        <f aca="false">IF($A198&lt;EE_Date,VLOOKUP($A198,Curves_Table,Escalation!$D$291),Exch)</f>
        <v>1.065</v>
      </c>
      <c r="K198" s="1577" t="n">
        <f aca="false">H198*I198/J198</f>
        <v>15860.362961048</v>
      </c>
      <c r="M198" s="1561" t="n">
        <f aca="false">VLOOKUP($A198,Tariff_Table,Tariff!$F$33)</f>
        <v>0.0909478040935158</v>
      </c>
      <c r="N198" s="1575" t="n">
        <f aca="false">$C198*M198</f>
        <v>379.039176817723</v>
      </c>
      <c r="O198" s="1565" t="n">
        <f aca="false">VLOOKUP($A198,Curves_Table,Escalation!$R$291)</f>
        <v>3.67674088850714</v>
      </c>
      <c r="P198" s="1577" t="n">
        <f aca="false">N198*O198</f>
        <v>1393.62883975181</v>
      </c>
      <c r="R198" s="1578" t="n">
        <f aca="false">SUM(K198,P198)</f>
        <v>17253.9918007998</v>
      </c>
      <c r="S198" s="1540" t="n">
        <f aca="false">'Plant Operations'!C198</f>
        <v>480</v>
      </c>
      <c r="T198" s="1575" t="n">
        <f aca="false">R198*S198/1000</f>
        <v>8281.91606438391</v>
      </c>
      <c r="U198" s="1576" t="n">
        <f aca="false">$I198</f>
        <v>2.86274365739339</v>
      </c>
      <c r="V198" s="394" t="n">
        <f aca="false">T198/U198</f>
        <v>2892.99953315584</v>
      </c>
      <c r="W198" s="1579" t="str">
        <f aca="false">IF(MONTH($A198)=12,SUM(V187:V198)," ")</f>
        <v> </v>
      </c>
      <c r="Y198" s="1580" t="n">
        <f aca="false">IF($A198&gt;Endyr,0,VLOOKUP($A198,Tariff_Table,Tariff!$J$33))</f>
        <v>0.19</v>
      </c>
      <c r="Z198" s="1576" t="n">
        <f aca="false">VLOOKUP($A198,Curves_Table,Escalation!$AH$291)</f>
        <v>3.67674088850714</v>
      </c>
      <c r="AA198" s="1576" t="n">
        <f aca="false">Y198*Z198</f>
        <v>0.698580768816357</v>
      </c>
      <c r="AB198" s="397" t="n">
        <f aca="false">'Plant Operations'!$I198+'Plant Operations'!$M198</f>
        <v>298980.864</v>
      </c>
      <c r="AC198" s="1575" t="n">
        <f aca="false">AA198*AB198/1000</f>
        <v>208.862281834499</v>
      </c>
      <c r="AD198" s="1576" t="n">
        <f aca="false">$I198</f>
        <v>2.86274365739339</v>
      </c>
      <c r="AE198" s="1566" t="n">
        <f aca="false">AC198/AD198</f>
        <v>72.9587790003782</v>
      </c>
      <c r="AF198" s="1567" t="str">
        <f aca="false">IF(MONTH($A198)=12,SUM(AE187:AE198)," ")</f>
        <v> </v>
      </c>
    </row>
    <row r="199" customFormat="false" ht="12.75" hidden="false" customHeight="false" outlineLevel="0" collapsed="false">
      <c r="A199" s="1538" t="n">
        <f aca="false">'Plant Operations'!A199</f>
        <v>41944</v>
      </c>
      <c r="C199" s="1574" t="n">
        <f aca="false">IF($A199&gt;Endyr,0,VLOOKUP($A199,Tariff_Table,Tariff!$D$33))</f>
        <v>4167.65616933402</v>
      </c>
      <c r="E199" s="1561" t="n">
        <f aca="false">VLOOKUP($A199,Tariff_Table,Tariff!$E$33)</f>
        <v>0.909052195906484</v>
      </c>
      <c r="F199" s="1575" t="n">
        <f aca="false">$C199*E199</f>
        <v>3788.6169925163</v>
      </c>
      <c r="G199" s="1565" t="n">
        <f aca="false">VLOOKUP($A199,Curves_Table,Escalation!$N$291)</f>
        <v>1.55739783154092</v>
      </c>
      <c r="H199" s="1575" t="n">
        <f aca="false">F199*G199</f>
        <v>5900.38388868396</v>
      </c>
      <c r="I199" s="1576" t="n">
        <f aca="false">IF(Assm!$L$74=0,VLOOKUP($A199,Curves_Table,Escalation!$D$291),VLOOKUP($A199,Curves_Table,Escalation!$E$291))</f>
        <v>2.86747060674777</v>
      </c>
      <c r="J199" s="1576" t="n">
        <f aca="false">IF($A199&lt;EE_Date,VLOOKUP($A199,Curves_Table,Escalation!$D$291),Exch)</f>
        <v>1.065</v>
      </c>
      <c r="K199" s="1577" t="n">
        <f aca="false">H199*I199/J199</f>
        <v>15886.551520497</v>
      </c>
      <c r="M199" s="1561" t="n">
        <f aca="false">VLOOKUP($A199,Tariff_Table,Tariff!$F$33)</f>
        <v>0.0909478040935158</v>
      </c>
      <c r="N199" s="1575" t="n">
        <f aca="false">$C199*M199</f>
        <v>379.039176817723</v>
      </c>
      <c r="O199" s="1565" t="n">
        <f aca="false">VLOOKUP($A199,Curves_Table,Escalation!$R$291)</f>
        <v>3.67674088850714</v>
      </c>
      <c r="P199" s="1577" t="n">
        <f aca="false">N199*O199</f>
        <v>1393.62883975181</v>
      </c>
      <c r="R199" s="1578" t="n">
        <f aca="false">SUM(K199,P199)</f>
        <v>17280.1803602488</v>
      </c>
      <c r="S199" s="1540" t="n">
        <f aca="false">'Plant Operations'!C199</f>
        <v>480</v>
      </c>
      <c r="T199" s="1575" t="n">
        <f aca="false">R199*S199/1000</f>
        <v>8294.48657291944</v>
      </c>
      <c r="U199" s="1576" t="n">
        <f aca="false">$I199</f>
        <v>2.86747060674777</v>
      </c>
      <c r="V199" s="394" t="n">
        <f aca="false">T199/U199</f>
        <v>2892.61433173918</v>
      </c>
      <c r="W199" s="1579" t="str">
        <f aca="false">IF(MONTH($A199)=12,SUM(V188:V199)," ")</f>
        <v> </v>
      </c>
      <c r="Y199" s="1580" t="n">
        <f aca="false">IF($A199&gt;Endyr,0,VLOOKUP($A199,Tariff_Table,Tariff!$J$33))</f>
        <v>0.19</v>
      </c>
      <c r="Z199" s="1576" t="n">
        <f aca="false">VLOOKUP($A199,Curves_Table,Escalation!$AH$291)</f>
        <v>3.67674088850714</v>
      </c>
      <c r="AA199" s="1576" t="n">
        <f aca="false">Y199*Z199</f>
        <v>0.698580768816357</v>
      </c>
      <c r="AB199" s="397" t="n">
        <f aca="false">'Plant Operations'!$I199+'Plant Operations'!$M199</f>
        <v>289336.32</v>
      </c>
      <c r="AC199" s="1575" t="n">
        <f aca="false">AA199*AB199/1000</f>
        <v>202.124788872096</v>
      </c>
      <c r="AD199" s="1576" t="n">
        <f aca="false">$I199</f>
        <v>2.86747060674777</v>
      </c>
      <c r="AE199" s="1566" t="n">
        <f aca="false">AC199/AD199</f>
        <v>70.4888790826497</v>
      </c>
      <c r="AF199" s="1567" t="str">
        <f aca="false">IF(MONTH($A199)=12,SUM(AE188:AE199)," ")</f>
        <v> </v>
      </c>
    </row>
    <row r="200" customFormat="false" ht="12.75" hidden="false" customHeight="false" outlineLevel="0" collapsed="false">
      <c r="A200" s="1538" t="n">
        <f aca="false">'Plant Operations'!A200</f>
        <v>41974</v>
      </c>
      <c r="C200" s="1574" t="n">
        <f aca="false">IF($A200&gt;Endyr,0,VLOOKUP($A200,Tariff_Table,Tariff!$D$33))</f>
        <v>4167.65616933402</v>
      </c>
      <c r="E200" s="1561" t="n">
        <f aca="false">VLOOKUP($A200,Tariff_Table,Tariff!$E$33)</f>
        <v>0.909052195906484</v>
      </c>
      <c r="F200" s="1575" t="n">
        <f aca="false">$C200*E200</f>
        <v>3788.6169925163</v>
      </c>
      <c r="G200" s="1565" t="n">
        <f aca="false">VLOOKUP($A200,Curves_Table,Escalation!$N$291)</f>
        <v>1.55739783154092</v>
      </c>
      <c r="H200" s="1575" t="n">
        <f aca="false">F200*G200</f>
        <v>5900.38388868396</v>
      </c>
      <c r="I200" s="1576" t="n">
        <f aca="false">IF(Assm!$L$74=0,VLOOKUP($A200,Curves_Table,Escalation!$D$291),VLOOKUP($A200,Curves_Table,Escalation!$E$291))</f>
        <v>2.8722053612195</v>
      </c>
      <c r="J200" s="1576" t="n">
        <f aca="false">IF($A200&lt;EE_Date,VLOOKUP($A200,Curves_Table,Escalation!$D$291),Exch)</f>
        <v>1.065</v>
      </c>
      <c r="K200" s="1577" t="n">
        <f aca="false">H200*I200/J200</f>
        <v>15912.7833223767</v>
      </c>
      <c r="M200" s="1561" t="n">
        <f aca="false">VLOOKUP($A200,Tariff_Table,Tariff!$F$33)</f>
        <v>0.0909478040935158</v>
      </c>
      <c r="N200" s="1575" t="n">
        <f aca="false">$C200*M200</f>
        <v>379.039176817723</v>
      </c>
      <c r="O200" s="1565" t="n">
        <f aca="false">VLOOKUP($A200,Curves_Table,Escalation!$R$291)</f>
        <v>3.67674088850714</v>
      </c>
      <c r="P200" s="1577" t="n">
        <f aca="false">N200*O200</f>
        <v>1393.62883975181</v>
      </c>
      <c r="R200" s="1578" t="n">
        <f aca="false">SUM(K200,P200)</f>
        <v>17306.4121621285</v>
      </c>
      <c r="S200" s="1540" t="n">
        <f aca="false">'Plant Operations'!C200</f>
        <v>480</v>
      </c>
      <c r="T200" s="1575" t="n">
        <f aca="false">R200*S200/1000</f>
        <v>8307.07783782169</v>
      </c>
      <c r="U200" s="1576" t="n">
        <f aca="false">$I200</f>
        <v>2.8722053612195</v>
      </c>
      <c r="V200" s="394" t="n">
        <f aca="false">T200/U200</f>
        <v>2892.22976531686</v>
      </c>
      <c r="W200" s="1579" t="n">
        <f aca="false">IF(MONTH($A200)=12,SUM(V189:V200)," ")</f>
        <v>40865.3869247835</v>
      </c>
      <c r="Y200" s="1580" t="n">
        <f aca="false">IF($A200&gt;Endyr,0,VLOOKUP($A200,Tariff_Table,Tariff!$J$33))</f>
        <v>0.19</v>
      </c>
      <c r="Z200" s="1576" t="n">
        <f aca="false">VLOOKUP($A200,Curves_Table,Escalation!$AH$291)</f>
        <v>3.67674088850714</v>
      </c>
      <c r="AA200" s="1576" t="n">
        <f aca="false">Y200*Z200</f>
        <v>0.698580768816357</v>
      </c>
      <c r="AB200" s="397" t="n">
        <f aca="false">'Plant Operations'!$I200+'Plant Operations'!$M200</f>
        <v>298980.864</v>
      </c>
      <c r="AC200" s="1575" t="n">
        <f aca="false">AA200*AB200/1000</f>
        <v>208.862281834499</v>
      </c>
      <c r="AD200" s="1576" t="n">
        <f aca="false">$I200</f>
        <v>2.8722053612195</v>
      </c>
      <c r="AE200" s="1566" t="n">
        <f aca="false">AC200/AD200</f>
        <v>72.7184360333549</v>
      </c>
      <c r="AF200" s="1567" t="n">
        <f aca="false">IF(MONTH($A200)=12,SUM(AE189:AE200)," ")</f>
        <v>845.27619801994</v>
      </c>
    </row>
    <row r="201" customFormat="false" ht="12.75" hidden="false" customHeight="false" outlineLevel="0" collapsed="false">
      <c r="A201" s="1538" t="n">
        <f aca="false">'Plant Operations'!A201</f>
        <v>42005</v>
      </c>
      <c r="C201" s="1574" t="n">
        <f aca="false">IF($A201&gt;Endyr,0,VLOOKUP($A201,Tariff_Table,Tariff!$D$33))</f>
        <v>4167.65616933402</v>
      </c>
      <c r="E201" s="1561" t="n">
        <f aca="false">VLOOKUP($A201,Tariff_Table,Tariff!$E$33)</f>
        <v>0.909052195906484</v>
      </c>
      <c r="F201" s="1575" t="n">
        <f aca="false">$C201*E201</f>
        <v>3788.6169925163</v>
      </c>
      <c r="G201" s="1565" t="n">
        <f aca="false">VLOOKUP($A201,Curves_Table,Escalation!$N$291)</f>
        <v>1.55739783154092</v>
      </c>
      <c r="H201" s="1575" t="n">
        <f aca="false">F201*G201</f>
        <v>5900.38388868396</v>
      </c>
      <c r="I201" s="1576" t="n">
        <f aca="false">IF(Assm!$L$74=0,VLOOKUP($A201,Curves_Table,Escalation!$D$291),VLOOKUP($A201,Curves_Table,Escalation!$E$291))</f>
        <v>2.87694237018618</v>
      </c>
      <c r="J201" s="1576" t="n">
        <f aca="false">IF($A201&lt;EE_Date,VLOOKUP($A201,Curves_Table,Escalation!$D$291),Exch)</f>
        <v>1.065</v>
      </c>
      <c r="K201" s="1577" t="n">
        <f aca="false">H201*I201/J201</f>
        <v>15939.0276147594</v>
      </c>
      <c r="M201" s="1561" t="n">
        <f aca="false">VLOOKUP($A201,Tariff_Table,Tariff!$F$33)</f>
        <v>0.0909478040935158</v>
      </c>
      <c r="N201" s="1575" t="n">
        <f aca="false">$C201*M201</f>
        <v>379.039176817723</v>
      </c>
      <c r="O201" s="1565" t="n">
        <f aca="false">VLOOKUP($A201,Curves_Table,Escalation!$R$291)</f>
        <v>3.67674088850714</v>
      </c>
      <c r="P201" s="1577" t="n">
        <f aca="false">N201*O201</f>
        <v>1393.62883975181</v>
      </c>
      <c r="R201" s="1578" t="n">
        <f aca="false">SUM(K201,P201)</f>
        <v>17332.6564545112</v>
      </c>
      <c r="S201" s="1540" t="n">
        <f aca="false">'Plant Operations'!C201</f>
        <v>480</v>
      </c>
      <c r="T201" s="1575" t="n">
        <f aca="false">R201*S201/1000</f>
        <v>8319.67509816539</v>
      </c>
      <c r="U201" s="1576" t="n">
        <f aca="false">$I201</f>
        <v>2.87694237018618</v>
      </c>
      <c r="V201" s="394" t="n">
        <f aca="false">T201/U201</f>
        <v>2891.84628249157</v>
      </c>
      <c r="W201" s="1579" t="str">
        <f aca="false">IF(MONTH($A201)=12,SUM(V190:V201)," ")</f>
        <v> </v>
      </c>
      <c r="Y201" s="1580" t="n">
        <f aca="false">IF($A201&gt;Endyr,0,VLOOKUP($A201,Tariff_Table,Tariff!$J$33))</f>
        <v>0.19</v>
      </c>
      <c r="Z201" s="1576" t="n">
        <f aca="false">VLOOKUP($A201,Curves_Table,Escalation!$AH$291)</f>
        <v>3.67674088850714</v>
      </c>
      <c r="AA201" s="1576" t="n">
        <f aca="false">Y201*Z201</f>
        <v>0.698580768816357</v>
      </c>
      <c r="AB201" s="397" t="n">
        <f aca="false">'Plant Operations'!$I201+'Plant Operations'!$M201</f>
        <v>298980.864</v>
      </c>
      <c r="AC201" s="1575" t="n">
        <f aca="false">AA201*AB201/1000</f>
        <v>208.862281834499</v>
      </c>
      <c r="AD201" s="1576" t="n">
        <f aca="false">$I201</f>
        <v>2.87694237018618</v>
      </c>
      <c r="AE201" s="1566" t="n">
        <f aca="false">AC201/AD201</f>
        <v>72.5987020104897</v>
      </c>
      <c r="AF201" s="1567" t="str">
        <f aca="false">IF(MONTH($A201)=12,SUM(AE190:AE201)," ")</f>
        <v> </v>
      </c>
    </row>
    <row r="202" customFormat="false" ht="12.75" hidden="false" customHeight="false" outlineLevel="0" collapsed="false">
      <c r="A202" s="1538" t="n">
        <f aca="false">'Plant Operations'!A202</f>
        <v>42036</v>
      </c>
      <c r="C202" s="1574" t="n">
        <f aca="false">IF($A202&gt;Endyr,0,VLOOKUP($A202,Tariff_Table,Tariff!$D$33))</f>
        <v>4167.65616933402</v>
      </c>
      <c r="E202" s="1561" t="n">
        <f aca="false">VLOOKUP($A202,Tariff_Table,Tariff!$E$33)</f>
        <v>0.909052195906484</v>
      </c>
      <c r="F202" s="1575" t="n">
        <f aca="false">$C202*E202</f>
        <v>3788.6169925163</v>
      </c>
      <c r="G202" s="1565" t="n">
        <f aca="false">VLOOKUP($A202,Curves_Table,Escalation!$N$291)</f>
        <v>1.55739783154092</v>
      </c>
      <c r="H202" s="1575" t="n">
        <f aca="false">F202*G202</f>
        <v>5900.38388868396</v>
      </c>
      <c r="I202" s="1576" t="n">
        <f aca="false">IF(Assm!$L$74=0,VLOOKUP($A202,Curves_Table,Escalation!$D$291),VLOOKUP($A202,Curves_Table,Escalation!$E$291))</f>
        <v>2.88168719170494</v>
      </c>
      <c r="J202" s="1576" t="n">
        <f aca="false">IF($A202&lt;EE_Date,VLOOKUP($A202,Curves_Table,Escalation!$D$291),Exch)</f>
        <v>1.065</v>
      </c>
      <c r="K202" s="1577" t="n">
        <f aca="false">H202*I202/J202</f>
        <v>15965.3151907632</v>
      </c>
      <c r="M202" s="1561" t="n">
        <f aca="false">VLOOKUP($A202,Tariff_Table,Tariff!$F$33)</f>
        <v>0.0909478040935158</v>
      </c>
      <c r="N202" s="1575" t="n">
        <f aca="false">$C202*M202</f>
        <v>379.039176817723</v>
      </c>
      <c r="O202" s="1565" t="n">
        <f aca="false">VLOOKUP($A202,Curves_Table,Escalation!$R$291)</f>
        <v>3.67674088850714</v>
      </c>
      <c r="P202" s="1577" t="n">
        <f aca="false">N202*O202</f>
        <v>1393.62883975181</v>
      </c>
      <c r="R202" s="1578" t="n">
        <f aca="false">SUM(K202,P202)</f>
        <v>17358.944030515</v>
      </c>
      <c r="S202" s="1540" t="n">
        <f aca="false">'Plant Operations'!C202</f>
        <v>480</v>
      </c>
      <c r="T202" s="1575" t="n">
        <f aca="false">R202*S202/1000</f>
        <v>8332.29313464718</v>
      </c>
      <c r="U202" s="1576" t="n">
        <f aca="false">$I202</f>
        <v>2.88168719170494</v>
      </c>
      <c r="V202" s="394" t="n">
        <f aca="false">T202/U202</f>
        <v>2891.46343108719</v>
      </c>
      <c r="W202" s="1579" t="str">
        <f aca="false">IF(MONTH($A202)=12,SUM(V191:V202)," ")</f>
        <v> </v>
      </c>
      <c r="Y202" s="1580" t="n">
        <f aca="false">IF($A202&gt;Endyr,0,VLOOKUP($A202,Tariff_Table,Tariff!$J$33))</f>
        <v>0.19</v>
      </c>
      <c r="Z202" s="1576" t="n">
        <f aca="false">VLOOKUP($A202,Curves_Table,Escalation!$AH$291)</f>
        <v>3.67674088850714</v>
      </c>
      <c r="AA202" s="1576" t="n">
        <f aca="false">Y202*Z202</f>
        <v>0.698580768816357</v>
      </c>
      <c r="AB202" s="397" t="n">
        <f aca="false">'Plant Operations'!$I202+'Plant Operations'!$M202</f>
        <v>270047.232</v>
      </c>
      <c r="AC202" s="1575" t="n">
        <f aca="false">AA202*AB202/1000</f>
        <v>188.649802947289</v>
      </c>
      <c r="AD202" s="1576" t="n">
        <f aca="false">$I202</f>
        <v>2.88168719170494</v>
      </c>
      <c r="AE202" s="1566" t="n">
        <f aca="false">AC202/AD202</f>
        <v>65.4650523798438</v>
      </c>
      <c r="AF202" s="1567" t="str">
        <f aca="false">IF(MONTH($A202)=12,SUM(AE191:AE202)," ")</f>
        <v> </v>
      </c>
    </row>
    <row r="203" customFormat="false" ht="12.75" hidden="false" customHeight="false" outlineLevel="0" collapsed="false">
      <c r="A203" s="1538" t="n">
        <f aca="false">'Plant Operations'!A203</f>
        <v>42064</v>
      </c>
      <c r="C203" s="1574" t="n">
        <f aca="false">IF($A203&gt;Endyr,0,VLOOKUP($A203,Tariff_Table,Tariff!$D$33))</f>
        <v>4167.65616933402</v>
      </c>
      <c r="E203" s="1561" t="n">
        <f aca="false">VLOOKUP($A203,Tariff_Table,Tariff!$E$33)</f>
        <v>0.909052195906484</v>
      </c>
      <c r="F203" s="1575" t="n">
        <f aca="false">$C203*E203</f>
        <v>3788.6169925163</v>
      </c>
      <c r="G203" s="1565" t="n">
        <f aca="false">VLOOKUP($A203,Curves_Table,Escalation!$N$291)</f>
        <v>1.55739783154092</v>
      </c>
      <c r="H203" s="1575" t="n">
        <f aca="false">F203*G203</f>
        <v>5900.38388868396</v>
      </c>
      <c r="I203" s="1576" t="n">
        <f aca="false">IF(Assm!$L$74=0,VLOOKUP($A203,Curves_Table,Escalation!$D$291),VLOOKUP($A203,Curves_Table,Escalation!$E$291))</f>
        <v>2.8864398386607</v>
      </c>
      <c r="J203" s="1576" t="n">
        <f aca="false">IF($A203&lt;EE_Date,VLOOKUP($A203,Curves_Table,Escalation!$D$291),Exch)</f>
        <v>1.065</v>
      </c>
      <c r="K203" s="1577" t="n">
        <f aca="false">H203*I203/J203</f>
        <v>15991.6461217738</v>
      </c>
      <c r="M203" s="1561" t="n">
        <f aca="false">VLOOKUP($A203,Tariff_Table,Tariff!$F$33)</f>
        <v>0.0909478040935158</v>
      </c>
      <c r="N203" s="1575" t="n">
        <f aca="false">$C203*M203</f>
        <v>379.039176817723</v>
      </c>
      <c r="O203" s="1565" t="n">
        <f aca="false">VLOOKUP($A203,Curves_Table,Escalation!$R$291)</f>
        <v>3.67674088850714</v>
      </c>
      <c r="P203" s="1577" t="n">
        <f aca="false">N203*O203</f>
        <v>1393.62883975181</v>
      </c>
      <c r="R203" s="1578" t="n">
        <f aca="false">SUM(K203,P203)</f>
        <v>17385.2749615256</v>
      </c>
      <c r="S203" s="1540" t="n">
        <f aca="false">'Plant Operations'!C203</f>
        <v>480</v>
      </c>
      <c r="T203" s="1575" t="n">
        <f aca="false">R203*S203/1000</f>
        <v>8344.93198153229</v>
      </c>
      <c r="U203" s="1576" t="n">
        <f aca="false">$I203</f>
        <v>2.8864398386607</v>
      </c>
      <c r="V203" s="394" t="n">
        <f aca="false">T203/U203</f>
        <v>2891.08121006406</v>
      </c>
      <c r="W203" s="1579" t="str">
        <f aca="false">IF(MONTH($A203)=12,SUM(V192:V203)," ")</f>
        <v> </v>
      </c>
      <c r="Y203" s="1580" t="n">
        <f aca="false">IF($A203&gt;Endyr,0,VLOOKUP($A203,Tariff_Table,Tariff!$J$33))</f>
        <v>0.19</v>
      </c>
      <c r="Z203" s="1576" t="n">
        <f aca="false">VLOOKUP($A203,Curves_Table,Escalation!$AH$291)</f>
        <v>3.67674088850714</v>
      </c>
      <c r="AA203" s="1576" t="n">
        <f aca="false">Y203*Z203</f>
        <v>0.698580768816357</v>
      </c>
      <c r="AB203" s="397" t="n">
        <f aca="false">'Plant Operations'!$I203+'Plant Operations'!$M203</f>
        <v>298980.864</v>
      </c>
      <c r="AC203" s="1575" t="n">
        <f aca="false">AA203*AB203/1000</f>
        <v>208.862281834499</v>
      </c>
      <c r="AD203" s="1576" t="n">
        <f aca="false">$I203</f>
        <v>2.8864398386607</v>
      </c>
      <c r="AE203" s="1566" t="n">
        <f aca="false">AC203/AD203</f>
        <v>72.3598250817556</v>
      </c>
      <c r="AF203" s="1567" t="str">
        <f aca="false">IF(MONTH($A203)=12,SUM(AE192:AE203)," ")</f>
        <v> </v>
      </c>
    </row>
    <row r="204" customFormat="false" ht="12.75" hidden="false" customHeight="false" outlineLevel="0" collapsed="false">
      <c r="A204" s="1538" t="n">
        <f aca="false">'Plant Operations'!A204</f>
        <v>42095</v>
      </c>
      <c r="C204" s="1574" t="n">
        <f aca="false">IF($A204&gt;Endyr,0,VLOOKUP($A204,Tariff_Table,Tariff!$D$33))</f>
        <v>4167.65616933402</v>
      </c>
      <c r="E204" s="1561" t="n">
        <f aca="false">VLOOKUP($A204,Tariff_Table,Tariff!$E$33)</f>
        <v>0.909052195906484</v>
      </c>
      <c r="F204" s="1575" t="n">
        <f aca="false">$C204*E204</f>
        <v>3788.6169925163</v>
      </c>
      <c r="G204" s="1565" t="n">
        <f aca="false">VLOOKUP($A204,Curves_Table,Escalation!$N$291)</f>
        <v>1.55739783154092</v>
      </c>
      <c r="H204" s="1575" t="n">
        <f aca="false">F204*G204</f>
        <v>5900.38388868396</v>
      </c>
      <c r="I204" s="1576" t="n">
        <f aca="false">IF(Assm!$L$74=0,VLOOKUP($A204,Curves_Table,Escalation!$D$291),VLOOKUP($A204,Curves_Table,Escalation!$E$291))</f>
        <v>2.89120032395961</v>
      </c>
      <c r="J204" s="1576" t="n">
        <f aca="false">IF($A204&lt;EE_Date,VLOOKUP($A204,Curves_Table,Escalation!$D$291),Exch)</f>
        <v>1.065</v>
      </c>
      <c r="K204" s="1577" t="n">
        <f aca="false">H204*I204/J204</f>
        <v>16018.0204792949</v>
      </c>
      <c r="M204" s="1561" t="n">
        <f aca="false">VLOOKUP($A204,Tariff_Table,Tariff!$F$33)</f>
        <v>0.0909478040935158</v>
      </c>
      <c r="N204" s="1575" t="n">
        <f aca="false">$C204*M204</f>
        <v>379.039176817723</v>
      </c>
      <c r="O204" s="1565" t="n">
        <f aca="false">VLOOKUP($A204,Curves_Table,Escalation!$R$291)</f>
        <v>3.67674088850714</v>
      </c>
      <c r="P204" s="1577" t="n">
        <f aca="false">N204*O204</f>
        <v>1393.62883975181</v>
      </c>
      <c r="R204" s="1578" t="n">
        <f aca="false">SUM(K204,P204)</f>
        <v>17411.6493190467</v>
      </c>
      <c r="S204" s="1540" t="n">
        <f aca="false">'Plant Operations'!C204</f>
        <v>480</v>
      </c>
      <c r="T204" s="1575" t="n">
        <f aca="false">R204*S204/1000</f>
        <v>8357.59167314244</v>
      </c>
      <c r="U204" s="1576" t="n">
        <f aca="false">$I204</f>
        <v>2.89120032395961</v>
      </c>
      <c r="V204" s="394" t="n">
        <f aca="false">T204/U204</f>
        <v>2890.69961838424</v>
      </c>
      <c r="W204" s="1579" t="str">
        <f aca="false">IF(MONTH($A204)=12,SUM(V193:V204)," ")</f>
        <v> </v>
      </c>
      <c r="Y204" s="1580" t="n">
        <f aca="false">IF($A204&gt;Endyr,0,VLOOKUP($A204,Tariff_Table,Tariff!$J$33))</f>
        <v>0.19</v>
      </c>
      <c r="Z204" s="1576" t="n">
        <f aca="false">VLOOKUP($A204,Curves_Table,Escalation!$AH$291)</f>
        <v>3.67674088850714</v>
      </c>
      <c r="AA204" s="1576" t="n">
        <f aca="false">Y204*Z204</f>
        <v>0.698580768816357</v>
      </c>
      <c r="AB204" s="397" t="n">
        <f aca="false">'Plant Operations'!$I204+'Plant Operations'!$M204</f>
        <v>289336.32</v>
      </c>
      <c r="AC204" s="1575" t="n">
        <f aca="false">AA204*AB204/1000</f>
        <v>202.124788872096</v>
      </c>
      <c r="AD204" s="1576" t="n">
        <f aca="false">$I204</f>
        <v>2.89120032395961</v>
      </c>
      <c r="AE204" s="1566" t="n">
        <f aca="false">AC204/AD204</f>
        <v>69.9103369618049</v>
      </c>
      <c r="AF204" s="1567" t="str">
        <f aca="false">IF(MONTH($A204)=12,SUM(AE193:AE204)," ")</f>
        <v> </v>
      </c>
    </row>
    <row r="205" customFormat="false" ht="12.75" hidden="false" customHeight="false" outlineLevel="0" collapsed="false">
      <c r="A205" s="1538" t="n">
        <f aca="false">'Plant Operations'!A205</f>
        <v>42125</v>
      </c>
      <c r="C205" s="1574" t="n">
        <f aca="false">IF($A205&gt;Endyr,0,VLOOKUP($A205,Tariff_Table,Tariff!$D$33))</f>
        <v>2290.32496307238</v>
      </c>
      <c r="E205" s="1561" t="n">
        <f aca="false">VLOOKUP($A205,Tariff_Table,Tariff!$E$33)</f>
        <v>0.677002126350678</v>
      </c>
      <c r="F205" s="1575" t="n">
        <f aca="false">$C205*E205</f>
        <v>1550.55487003404</v>
      </c>
      <c r="G205" s="1565" t="n">
        <f aca="false">VLOOKUP($A205,Curves_Table,Escalation!$N$291)</f>
        <v>1.59733039824151</v>
      </c>
      <c r="H205" s="1575" t="n">
        <f aca="false">F205*G205</f>
        <v>2476.74842804678</v>
      </c>
      <c r="I205" s="1576" t="n">
        <f aca="false">IF(Assm!$L$74=0,VLOOKUP($A205,Curves_Table,Escalation!$D$291),VLOOKUP($A205,Curves_Table,Escalation!$E$291))</f>
        <v>2.89596866052913</v>
      </c>
      <c r="J205" s="1576" t="n">
        <f aca="false">IF($A205&lt;EE_Date,VLOOKUP($A205,Curves_Table,Escalation!$D$291),Exch)</f>
        <v>1.065</v>
      </c>
      <c r="K205" s="1577" t="n">
        <f aca="false">H205*I205/J205</f>
        <v>6734.82237336926</v>
      </c>
      <c r="M205" s="1561" t="n">
        <f aca="false">VLOOKUP($A205,Tariff_Table,Tariff!$F$33)</f>
        <v>0.322997873649323</v>
      </c>
      <c r="N205" s="1575" t="n">
        <f aca="false">$C205*M205</f>
        <v>739.770093038341</v>
      </c>
      <c r="O205" s="1565" t="n">
        <f aca="false">VLOOKUP($A205,Curves_Table,Escalation!$R$291)</f>
        <v>3.9328867884074</v>
      </c>
      <c r="P205" s="1577" t="n">
        <f aca="false">N205*O205</f>
        <v>2909.4320253694</v>
      </c>
      <c r="R205" s="1578" t="n">
        <f aca="false">SUM(K205,P205)</f>
        <v>9644.25439873866</v>
      </c>
      <c r="S205" s="1540" t="n">
        <f aca="false">'Plant Operations'!C205</f>
        <v>480</v>
      </c>
      <c r="T205" s="1575" t="n">
        <f aca="false">R205*S205/1000</f>
        <v>4629.24211139456</v>
      </c>
      <c r="U205" s="1576" t="n">
        <f aca="false">$I205</f>
        <v>2.89596866052913</v>
      </c>
      <c r="V205" s="394" t="n">
        <f aca="false">T205/U205</f>
        <v>1598.51250273846</v>
      </c>
      <c r="W205" s="1579" t="str">
        <f aca="false">IF(MONTH($A205)=12,SUM(V194:V205)," ")</f>
        <v> </v>
      </c>
      <c r="Y205" s="1580" t="n">
        <f aca="false">IF($A205&gt;Endyr,0,VLOOKUP($A205,Tariff_Table,Tariff!$J$33))</f>
        <v>0.19</v>
      </c>
      <c r="Z205" s="1576" t="n">
        <f aca="false">VLOOKUP($A205,Curves_Table,Escalation!$AH$291)</f>
        <v>3.9328867884074</v>
      </c>
      <c r="AA205" s="1576" t="n">
        <f aca="false">Y205*Z205</f>
        <v>0.747248489797406</v>
      </c>
      <c r="AB205" s="397" t="n">
        <f aca="false">'Plant Operations'!$I205+'Plant Operations'!$M205</f>
        <v>298980.864</v>
      </c>
      <c r="AC205" s="1575" t="n">
        <f aca="false">AA205*AB205/1000</f>
        <v>223.412999102324</v>
      </c>
      <c r="AD205" s="1576" t="n">
        <f aca="false">$I205</f>
        <v>2.89596866052913</v>
      </c>
      <c r="AE205" s="1566" t="n">
        <f aca="false">AC205/AD205</f>
        <v>77.1462074667283</v>
      </c>
      <c r="AF205" s="1567" t="str">
        <f aca="false">IF(MONTH($A205)=12,SUM(AE194:AE205)," ")</f>
        <v> </v>
      </c>
    </row>
    <row r="206" customFormat="false" ht="12.75" hidden="false" customHeight="false" outlineLevel="0" collapsed="false">
      <c r="A206" s="1538" t="n">
        <f aca="false">'Plant Operations'!A206</f>
        <v>42156</v>
      </c>
      <c r="C206" s="1574" t="n">
        <f aca="false">IF($A206&gt;Endyr,0,VLOOKUP($A206,Tariff_Table,Tariff!$D$33))</f>
        <v>2290.32496307238</v>
      </c>
      <c r="E206" s="1561" t="n">
        <f aca="false">VLOOKUP($A206,Tariff_Table,Tariff!$E$33)</f>
        <v>0.677002126350678</v>
      </c>
      <c r="F206" s="1575" t="n">
        <f aca="false">$C206*E206</f>
        <v>1550.55487003404</v>
      </c>
      <c r="G206" s="1565" t="n">
        <f aca="false">VLOOKUP($A206,Curves_Table,Escalation!$N$291)</f>
        <v>1.59733039824151</v>
      </c>
      <c r="H206" s="1575" t="n">
        <f aca="false">F206*G206</f>
        <v>2476.74842804678</v>
      </c>
      <c r="I206" s="1576" t="n">
        <f aca="false">IF(Assm!$L$74=0,VLOOKUP($A206,Curves_Table,Escalation!$D$291),VLOOKUP($A206,Curves_Table,Escalation!$E$291))</f>
        <v>2.90074486131804</v>
      </c>
      <c r="J206" s="1576" t="n">
        <f aca="false">IF($A206&lt;EE_Date,VLOOKUP($A206,Curves_Table,Escalation!$D$291),Exch)</f>
        <v>1.065</v>
      </c>
      <c r="K206" s="1577" t="n">
        <f aca="false">H206*I206/J206</f>
        <v>6745.92983608848</v>
      </c>
      <c r="M206" s="1561" t="n">
        <f aca="false">VLOOKUP($A206,Tariff_Table,Tariff!$F$33)</f>
        <v>0.322997873649323</v>
      </c>
      <c r="N206" s="1575" t="n">
        <f aca="false">$C206*M206</f>
        <v>739.770093038341</v>
      </c>
      <c r="O206" s="1565" t="n">
        <f aca="false">VLOOKUP($A206,Curves_Table,Escalation!$R$291)</f>
        <v>3.9328867884074</v>
      </c>
      <c r="P206" s="1577" t="n">
        <f aca="false">N206*O206</f>
        <v>2909.4320253694</v>
      </c>
      <c r="R206" s="1578" t="n">
        <f aca="false">SUM(K206,P206)</f>
        <v>9655.36186145788</v>
      </c>
      <c r="S206" s="1540" t="n">
        <f aca="false">'Plant Operations'!C206</f>
        <v>480</v>
      </c>
      <c r="T206" s="1575" t="n">
        <f aca="false">R206*S206/1000</f>
        <v>4634.57369349978</v>
      </c>
      <c r="U206" s="1576" t="n">
        <f aca="false">$I206</f>
        <v>2.90074486131804</v>
      </c>
      <c r="V206" s="394" t="n">
        <f aca="false">T206/U206</f>
        <v>1597.71848786243</v>
      </c>
      <c r="W206" s="1579" t="str">
        <f aca="false">IF(MONTH($A206)=12,SUM(V195:V206)," ")</f>
        <v> </v>
      </c>
      <c r="Y206" s="1580" t="n">
        <f aca="false">IF($A206&gt;Endyr,0,VLOOKUP($A206,Tariff_Table,Tariff!$J$33))</f>
        <v>0.19</v>
      </c>
      <c r="Z206" s="1576" t="n">
        <f aca="false">VLOOKUP($A206,Curves_Table,Escalation!$AH$291)</f>
        <v>3.9328867884074</v>
      </c>
      <c r="AA206" s="1576" t="n">
        <f aca="false">Y206*Z206</f>
        <v>0.747248489797406</v>
      </c>
      <c r="AB206" s="397" t="n">
        <f aca="false">'Plant Operations'!$I206+'Plant Operations'!$M206</f>
        <v>289336.32</v>
      </c>
      <c r="AC206" s="1575" t="n">
        <f aca="false">AA206*AB206/1000</f>
        <v>216.206128163539</v>
      </c>
      <c r="AD206" s="1576" t="n">
        <f aca="false">$I206</f>
        <v>2.90074486131804</v>
      </c>
      <c r="AE206" s="1566" t="n">
        <f aca="false">AC206/AD206</f>
        <v>74.5346931564671</v>
      </c>
      <c r="AF206" s="1567" t="str">
        <f aca="false">IF(MONTH($A206)=12,SUM(AE195:AE206)," ")</f>
        <v> </v>
      </c>
    </row>
    <row r="207" customFormat="false" ht="12.75" hidden="false" customHeight="false" outlineLevel="0" collapsed="false">
      <c r="A207" s="1538" t="n">
        <f aca="false">'Plant Operations'!A207</f>
        <v>42186</v>
      </c>
      <c r="C207" s="1574" t="n">
        <f aca="false">IF($A207&gt;Endyr,0,VLOOKUP($A207,Tariff_Table,Tariff!$D$33))</f>
        <v>2290.32496307238</v>
      </c>
      <c r="E207" s="1561" t="n">
        <f aca="false">VLOOKUP($A207,Tariff_Table,Tariff!$E$33)</f>
        <v>0.677002126350678</v>
      </c>
      <c r="F207" s="1575" t="n">
        <f aca="false">$C207*E207</f>
        <v>1550.55487003404</v>
      </c>
      <c r="G207" s="1565" t="n">
        <f aca="false">VLOOKUP($A207,Curves_Table,Escalation!$N$291)</f>
        <v>1.59733039824151</v>
      </c>
      <c r="H207" s="1575" t="n">
        <f aca="false">F207*G207</f>
        <v>2476.74842804678</v>
      </c>
      <c r="I207" s="1576" t="n">
        <f aca="false">IF(Assm!$L$74=0,VLOOKUP($A207,Curves_Table,Escalation!$D$291),VLOOKUP($A207,Curves_Table,Escalation!$E$291))</f>
        <v>2.90552893929647</v>
      </c>
      <c r="J207" s="1576" t="n">
        <f aca="false">IF($A207&lt;EE_Date,VLOOKUP($A207,Curves_Table,Escalation!$D$291),Exch)</f>
        <v>1.065</v>
      </c>
      <c r="K207" s="1577" t="n">
        <f aca="false">H207*I207/J207</f>
        <v>6757.05561788447</v>
      </c>
      <c r="M207" s="1561" t="n">
        <f aca="false">VLOOKUP($A207,Tariff_Table,Tariff!$F$33)</f>
        <v>0.322997873649323</v>
      </c>
      <c r="N207" s="1575" t="n">
        <f aca="false">$C207*M207</f>
        <v>739.770093038341</v>
      </c>
      <c r="O207" s="1565" t="n">
        <f aca="false">VLOOKUP($A207,Curves_Table,Escalation!$R$291)</f>
        <v>3.9328867884074</v>
      </c>
      <c r="P207" s="1577" t="n">
        <f aca="false">N207*O207</f>
        <v>2909.4320253694</v>
      </c>
      <c r="R207" s="1578" t="n">
        <f aca="false">SUM(K207,P207)</f>
        <v>9666.48764325387</v>
      </c>
      <c r="S207" s="1540" t="n">
        <f aca="false">'Plant Operations'!C207</f>
        <v>480</v>
      </c>
      <c r="T207" s="1575" t="n">
        <f aca="false">R207*S207/1000</f>
        <v>4639.91406876186</v>
      </c>
      <c r="U207" s="1576" t="n">
        <f aca="false">$I207</f>
        <v>2.90552893929647</v>
      </c>
      <c r="V207" s="394" t="n">
        <f aca="false">T207/U207</f>
        <v>1596.92578036595</v>
      </c>
      <c r="W207" s="1579" t="str">
        <f aca="false">IF(MONTH($A207)=12,SUM(V196:V207)," ")</f>
        <v> </v>
      </c>
      <c r="Y207" s="1580" t="n">
        <f aca="false">IF($A207&gt;Endyr,0,VLOOKUP($A207,Tariff_Table,Tariff!$J$33))</f>
        <v>0.19</v>
      </c>
      <c r="Z207" s="1576" t="n">
        <f aca="false">VLOOKUP($A207,Curves_Table,Escalation!$AH$291)</f>
        <v>3.9328867884074</v>
      </c>
      <c r="AA207" s="1576" t="n">
        <f aca="false">Y207*Z207</f>
        <v>0.747248489797406</v>
      </c>
      <c r="AB207" s="397" t="n">
        <f aca="false">'Plant Operations'!$I207+'Plant Operations'!$M207</f>
        <v>298980.864</v>
      </c>
      <c r="AC207" s="1575" t="n">
        <f aca="false">AA207*AB207/1000</f>
        <v>223.412999102324</v>
      </c>
      <c r="AD207" s="1576" t="n">
        <f aca="false">$I207</f>
        <v>2.90552893929647</v>
      </c>
      <c r="AE207" s="1566" t="n">
        <f aca="false">AC207/AD207</f>
        <v>76.8923675413192</v>
      </c>
      <c r="AF207" s="1567" t="str">
        <f aca="false">IF(MONTH($A207)=12,SUM(AE196:AE207)," ")</f>
        <v> </v>
      </c>
    </row>
    <row r="208" customFormat="false" ht="12.75" hidden="false" customHeight="false" outlineLevel="0" collapsed="false">
      <c r="A208" s="1538" t="n">
        <f aca="false">'Plant Operations'!A208</f>
        <v>42217</v>
      </c>
      <c r="C208" s="1574" t="n">
        <f aca="false">IF($A208&gt;Endyr,0,VLOOKUP($A208,Tariff_Table,Tariff!$D$33))</f>
        <v>2290.32496307238</v>
      </c>
      <c r="E208" s="1561" t="n">
        <f aca="false">VLOOKUP($A208,Tariff_Table,Tariff!$E$33)</f>
        <v>0.677002126350678</v>
      </c>
      <c r="F208" s="1575" t="n">
        <f aca="false">$C208*E208</f>
        <v>1550.55487003404</v>
      </c>
      <c r="G208" s="1565" t="n">
        <f aca="false">VLOOKUP($A208,Curves_Table,Escalation!$N$291)</f>
        <v>1.59733039824151</v>
      </c>
      <c r="H208" s="1575" t="n">
        <f aca="false">F208*G208</f>
        <v>2476.74842804678</v>
      </c>
      <c r="I208" s="1576" t="n">
        <f aca="false">IF(Assm!$L$74=0,VLOOKUP($A208,Curves_Table,Escalation!$D$291),VLOOKUP($A208,Curves_Table,Escalation!$E$291))</f>
        <v>2.91032090745594</v>
      </c>
      <c r="J208" s="1576" t="n">
        <f aca="false">IF($A208&lt;EE_Date,VLOOKUP($A208,Curves_Table,Escalation!$D$291),Exch)</f>
        <v>1.065</v>
      </c>
      <c r="K208" s="1577" t="n">
        <f aca="false">H208*I208/J208</f>
        <v>6768.19974897011</v>
      </c>
      <c r="M208" s="1561" t="n">
        <f aca="false">VLOOKUP($A208,Tariff_Table,Tariff!$F$33)</f>
        <v>0.322997873649323</v>
      </c>
      <c r="N208" s="1575" t="n">
        <f aca="false">$C208*M208</f>
        <v>739.770093038341</v>
      </c>
      <c r="O208" s="1565" t="n">
        <f aca="false">VLOOKUP($A208,Curves_Table,Escalation!$R$291)</f>
        <v>3.9328867884074</v>
      </c>
      <c r="P208" s="1577" t="n">
        <f aca="false">N208*O208</f>
        <v>2909.4320253694</v>
      </c>
      <c r="R208" s="1578" t="n">
        <f aca="false">SUM(K208,P208)</f>
        <v>9677.63177433952</v>
      </c>
      <c r="S208" s="1540" t="n">
        <f aca="false">'Plant Operations'!C208</f>
        <v>480</v>
      </c>
      <c r="T208" s="1575" t="n">
        <f aca="false">R208*S208/1000</f>
        <v>4645.26325168297</v>
      </c>
      <c r="U208" s="1576" t="n">
        <f aca="false">$I208</f>
        <v>2.91032090745594</v>
      </c>
      <c r="V208" s="394" t="n">
        <f aca="false">T208/U208</f>
        <v>1596.13437809634</v>
      </c>
      <c r="W208" s="1579" t="str">
        <f aca="false">IF(MONTH($A208)=12,SUM(V197:V208)," ")</f>
        <v> </v>
      </c>
      <c r="Y208" s="1580" t="n">
        <f aca="false">IF($A208&gt;Endyr,0,VLOOKUP($A208,Tariff_Table,Tariff!$J$33))</f>
        <v>0.19</v>
      </c>
      <c r="Z208" s="1576" t="n">
        <f aca="false">VLOOKUP($A208,Curves_Table,Escalation!$AH$291)</f>
        <v>3.9328867884074</v>
      </c>
      <c r="AA208" s="1576" t="n">
        <f aca="false">Y208*Z208</f>
        <v>0.747248489797406</v>
      </c>
      <c r="AB208" s="397" t="n">
        <f aca="false">'Plant Operations'!$I208+'Plant Operations'!$M208</f>
        <v>298980.864</v>
      </c>
      <c r="AC208" s="1575" t="n">
        <f aca="false">AA208*AB208/1000</f>
        <v>223.412999102324</v>
      </c>
      <c r="AD208" s="1576" t="n">
        <f aca="false">$I208</f>
        <v>2.91032090745594</v>
      </c>
      <c r="AE208" s="1566" t="n">
        <f aca="false">AC208/AD208</f>
        <v>76.7657609612612</v>
      </c>
      <c r="AF208" s="1567" t="str">
        <f aca="false">IF(MONTH($A208)=12,SUM(AE197:AE208)," ")</f>
        <v> </v>
      </c>
    </row>
    <row r="209" customFormat="false" ht="12.75" hidden="false" customHeight="false" outlineLevel="0" collapsed="false">
      <c r="A209" s="1538" t="n">
        <f aca="false">'Plant Operations'!A209</f>
        <v>42248</v>
      </c>
      <c r="C209" s="1574" t="n">
        <f aca="false">IF($A209&gt;Endyr,0,VLOOKUP($A209,Tariff_Table,Tariff!$D$33))</f>
        <v>2290.32496307238</v>
      </c>
      <c r="E209" s="1561" t="n">
        <f aca="false">VLOOKUP($A209,Tariff_Table,Tariff!$E$33)</f>
        <v>0.677002126350678</v>
      </c>
      <c r="F209" s="1575" t="n">
        <f aca="false">$C209*E209</f>
        <v>1550.55487003404</v>
      </c>
      <c r="G209" s="1565" t="n">
        <f aca="false">VLOOKUP($A209,Curves_Table,Escalation!$N$291)</f>
        <v>1.59733039824151</v>
      </c>
      <c r="H209" s="1575" t="n">
        <f aca="false">F209*G209</f>
        <v>2476.74842804678</v>
      </c>
      <c r="I209" s="1576" t="n">
        <f aca="false">IF(Assm!$L$74=0,VLOOKUP($A209,Curves_Table,Escalation!$D$291),VLOOKUP($A209,Curves_Table,Escalation!$E$291))</f>
        <v>2.91512077880939</v>
      </c>
      <c r="J209" s="1576" t="n">
        <f aca="false">IF($A209&lt;EE_Date,VLOOKUP($A209,Curves_Table,Escalation!$D$291),Exch)</f>
        <v>1.065</v>
      </c>
      <c r="K209" s="1577" t="n">
        <f aca="false">H209*I209/J209</f>
        <v>6779.36225960814</v>
      </c>
      <c r="M209" s="1561" t="n">
        <f aca="false">VLOOKUP($A209,Tariff_Table,Tariff!$F$33)</f>
        <v>0.322997873649323</v>
      </c>
      <c r="N209" s="1575" t="n">
        <f aca="false">$C209*M209</f>
        <v>739.770093038341</v>
      </c>
      <c r="O209" s="1565" t="n">
        <f aca="false">VLOOKUP($A209,Curves_Table,Escalation!$R$291)</f>
        <v>3.9328867884074</v>
      </c>
      <c r="P209" s="1577" t="n">
        <f aca="false">N209*O209</f>
        <v>2909.4320253694</v>
      </c>
      <c r="R209" s="1578" t="n">
        <f aca="false">SUM(K209,P209)</f>
        <v>9688.79428497754</v>
      </c>
      <c r="S209" s="1540" t="n">
        <f aca="false">'Plant Operations'!C209</f>
        <v>480</v>
      </c>
      <c r="T209" s="1575" t="n">
        <f aca="false">R209*S209/1000</f>
        <v>4650.62125678922</v>
      </c>
      <c r="U209" s="1576" t="n">
        <f aca="false">$I209</f>
        <v>2.91512077880939</v>
      </c>
      <c r="V209" s="394" t="n">
        <f aca="false">T209/U209</f>
        <v>1595.34427890451</v>
      </c>
      <c r="W209" s="1579" t="str">
        <f aca="false">IF(MONTH($A209)=12,SUM(V198:V209)," ")</f>
        <v> </v>
      </c>
      <c r="Y209" s="1580" t="n">
        <f aca="false">IF($A209&gt;Endyr,0,VLOOKUP($A209,Tariff_Table,Tariff!$J$33))</f>
        <v>0.19</v>
      </c>
      <c r="Z209" s="1576" t="n">
        <f aca="false">VLOOKUP($A209,Curves_Table,Escalation!$AH$291)</f>
        <v>3.9328867884074</v>
      </c>
      <c r="AA209" s="1576" t="n">
        <f aca="false">Y209*Z209</f>
        <v>0.747248489797406</v>
      </c>
      <c r="AB209" s="397" t="n">
        <f aca="false">'Plant Operations'!$I209+'Plant Operations'!$M209</f>
        <v>289336.32</v>
      </c>
      <c r="AC209" s="1575" t="n">
        <f aca="false">AA209*AB209/1000</f>
        <v>216.206128163539</v>
      </c>
      <c r="AD209" s="1576" t="n">
        <f aca="false">$I209</f>
        <v>2.91512077880939</v>
      </c>
      <c r="AE209" s="1566" t="n">
        <f aca="false">AC209/AD209</f>
        <v>74.1671253332573</v>
      </c>
      <c r="AF209" s="1567" t="str">
        <f aca="false">IF(MONTH($A209)=12,SUM(AE198:AE209)," ")</f>
        <v> </v>
      </c>
    </row>
    <row r="210" customFormat="false" ht="12.75" hidden="false" customHeight="false" outlineLevel="0" collapsed="false">
      <c r="A210" s="1538" t="n">
        <f aca="false">'Plant Operations'!A210</f>
        <v>42278</v>
      </c>
      <c r="C210" s="1574" t="n">
        <f aca="false">IF($A210&gt;Endyr,0,VLOOKUP($A210,Tariff_Table,Tariff!$D$33))</f>
        <v>2290.32496307238</v>
      </c>
      <c r="E210" s="1561" t="n">
        <f aca="false">VLOOKUP($A210,Tariff_Table,Tariff!$E$33)</f>
        <v>0.677002126350678</v>
      </c>
      <c r="F210" s="1575" t="n">
        <f aca="false">$C210*E210</f>
        <v>1550.55487003404</v>
      </c>
      <c r="G210" s="1565" t="n">
        <f aca="false">VLOOKUP($A210,Curves_Table,Escalation!$N$291)</f>
        <v>1.59733039824151</v>
      </c>
      <c r="H210" s="1575" t="n">
        <f aca="false">F210*G210</f>
        <v>2476.74842804678</v>
      </c>
      <c r="I210" s="1576" t="n">
        <f aca="false">IF(Assm!$L$74=0,VLOOKUP($A210,Curves_Table,Escalation!$D$291),VLOOKUP($A210,Curves_Table,Escalation!$E$291))</f>
        <v>2.91992856639125</v>
      </c>
      <c r="J210" s="1576" t="n">
        <f aca="false">IF($A210&lt;EE_Date,VLOOKUP($A210,Curves_Table,Escalation!$D$291),Exch)</f>
        <v>1.065</v>
      </c>
      <c r="K210" s="1577" t="n">
        <f aca="false">H210*I210/J210</f>
        <v>6790.54318011117</v>
      </c>
      <c r="M210" s="1561" t="n">
        <f aca="false">VLOOKUP($A210,Tariff_Table,Tariff!$F$33)</f>
        <v>0.322997873649323</v>
      </c>
      <c r="N210" s="1575" t="n">
        <f aca="false">$C210*M210</f>
        <v>739.770093038341</v>
      </c>
      <c r="O210" s="1565" t="n">
        <f aca="false">VLOOKUP($A210,Curves_Table,Escalation!$R$291)</f>
        <v>3.9328867884074</v>
      </c>
      <c r="P210" s="1577" t="n">
        <f aca="false">N210*O210</f>
        <v>2909.4320253694</v>
      </c>
      <c r="R210" s="1578" t="n">
        <f aca="false">SUM(K210,P210)</f>
        <v>9699.97520548058</v>
      </c>
      <c r="S210" s="1540" t="n">
        <f aca="false">'Plant Operations'!C210</f>
        <v>480</v>
      </c>
      <c r="T210" s="1575" t="n">
        <f aca="false">R210*S210/1000</f>
        <v>4655.98809863068</v>
      </c>
      <c r="U210" s="1576" t="n">
        <f aca="false">$I210</f>
        <v>2.91992856639125</v>
      </c>
      <c r="V210" s="394" t="n">
        <f aca="false">T210/U210</f>
        <v>1594.55548064487</v>
      </c>
      <c r="W210" s="1579" t="str">
        <f aca="false">IF(MONTH($A210)=12,SUM(V199:V210)," ")</f>
        <v> </v>
      </c>
      <c r="Y210" s="1580" t="n">
        <f aca="false">IF($A210&gt;Endyr,0,VLOOKUP($A210,Tariff_Table,Tariff!$J$33))</f>
        <v>0.19</v>
      </c>
      <c r="Z210" s="1576" t="n">
        <f aca="false">VLOOKUP($A210,Curves_Table,Escalation!$AH$291)</f>
        <v>3.9328867884074</v>
      </c>
      <c r="AA210" s="1576" t="n">
        <f aca="false">Y210*Z210</f>
        <v>0.747248489797406</v>
      </c>
      <c r="AB210" s="397" t="n">
        <f aca="false">'Plant Operations'!$I210+'Plant Operations'!$M210</f>
        <v>298980.864</v>
      </c>
      <c r="AC210" s="1575" t="n">
        <f aca="false">AA210*AB210/1000</f>
        <v>223.412999102324</v>
      </c>
      <c r="AD210" s="1576" t="n">
        <f aca="false">$I210</f>
        <v>2.91992856639125</v>
      </c>
      <c r="AE210" s="1566" t="n">
        <f aca="false">AC210/AD210</f>
        <v>76.5131728473895</v>
      </c>
      <c r="AF210" s="1567" t="str">
        <f aca="false">IF(MONTH($A210)=12,SUM(AE199:AE210)," ")</f>
        <v> </v>
      </c>
    </row>
    <row r="211" customFormat="false" ht="12.75" hidden="false" customHeight="false" outlineLevel="0" collapsed="false">
      <c r="A211" s="1538" t="n">
        <f aca="false">'Plant Operations'!A211</f>
        <v>42309</v>
      </c>
      <c r="C211" s="1574" t="n">
        <f aca="false">IF($A211&gt;Endyr,0,VLOOKUP($A211,Tariff_Table,Tariff!$D$33))</f>
        <v>2290.32496307238</v>
      </c>
      <c r="E211" s="1561" t="n">
        <f aca="false">VLOOKUP($A211,Tariff_Table,Tariff!$E$33)</f>
        <v>0.677002126350678</v>
      </c>
      <c r="F211" s="1575" t="n">
        <f aca="false">$C211*E211</f>
        <v>1550.55487003404</v>
      </c>
      <c r="G211" s="1565" t="n">
        <f aca="false">VLOOKUP($A211,Curves_Table,Escalation!$N$291)</f>
        <v>1.59733039824151</v>
      </c>
      <c r="H211" s="1575" t="n">
        <f aca="false">F211*G211</f>
        <v>2476.74842804678</v>
      </c>
      <c r="I211" s="1576" t="n">
        <f aca="false">IF(Assm!$L$74=0,VLOOKUP($A211,Curves_Table,Escalation!$D$291),VLOOKUP($A211,Curves_Table,Escalation!$E$291))</f>
        <v>2.9247442832574</v>
      </c>
      <c r="J211" s="1576" t="n">
        <f aca="false">IF($A211&lt;EE_Date,VLOOKUP($A211,Curves_Table,Escalation!$D$291),Exch)</f>
        <v>1.065</v>
      </c>
      <c r="K211" s="1577" t="n">
        <f aca="false">H211*I211/J211</f>
        <v>6801.74254084184</v>
      </c>
      <c r="M211" s="1561" t="n">
        <f aca="false">VLOOKUP($A211,Tariff_Table,Tariff!$F$33)</f>
        <v>0.322997873649323</v>
      </c>
      <c r="N211" s="1575" t="n">
        <f aca="false">$C211*M211</f>
        <v>739.770093038341</v>
      </c>
      <c r="O211" s="1565" t="n">
        <f aca="false">VLOOKUP($A211,Curves_Table,Escalation!$R$291)</f>
        <v>3.9328867884074</v>
      </c>
      <c r="P211" s="1577" t="n">
        <f aca="false">N211*O211</f>
        <v>2909.4320253694</v>
      </c>
      <c r="R211" s="1578" t="n">
        <f aca="false">SUM(K211,P211)</f>
        <v>9711.17456621125</v>
      </c>
      <c r="S211" s="1540" t="n">
        <f aca="false">'Plant Operations'!C211</f>
        <v>480</v>
      </c>
      <c r="T211" s="1575" t="n">
        <f aca="false">R211*S211/1000</f>
        <v>4661.3637917814</v>
      </c>
      <c r="U211" s="1576" t="n">
        <f aca="false">$I211</f>
        <v>2.9247442832574</v>
      </c>
      <c r="V211" s="394" t="n">
        <f aca="false">T211/U211</f>
        <v>1593.76798117539</v>
      </c>
      <c r="W211" s="1579" t="str">
        <f aca="false">IF(MONTH($A211)=12,SUM(V200:V211)," ")</f>
        <v> </v>
      </c>
      <c r="Y211" s="1580" t="n">
        <f aca="false">IF($A211&gt;Endyr,0,VLOOKUP($A211,Tariff_Table,Tariff!$J$33))</f>
        <v>0.19</v>
      </c>
      <c r="Z211" s="1576" t="n">
        <f aca="false">VLOOKUP($A211,Curves_Table,Escalation!$AH$291)</f>
        <v>3.9328867884074</v>
      </c>
      <c r="AA211" s="1576" t="n">
        <f aca="false">Y211*Z211</f>
        <v>0.747248489797406</v>
      </c>
      <c r="AB211" s="397" t="n">
        <f aca="false">'Plant Operations'!$I211+'Plant Operations'!$M211</f>
        <v>289336.32</v>
      </c>
      <c r="AC211" s="1575" t="n">
        <f aca="false">AA211*AB211/1000</f>
        <v>216.206128163539</v>
      </c>
      <c r="AD211" s="1576" t="n">
        <f aca="false">$I211</f>
        <v>2.9247442832574</v>
      </c>
      <c r="AE211" s="1566" t="n">
        <f aca="false">AC211/AD211</f>
        <v>73.9230877041811</v>
      </c>
      <c r="AF211" s="1567" t="str">
        <f aca="false">IF(MONTH($A211)=12,SUM(AE200:AE211)," ")</f>
        <v> </v>
      </c>
    </row>
    <row r="212" customFormat="false" ht="12.75" hidden="false" customHeight="false" outlineLevel="0" collapsed="false">
      <c r="A212" s="1538" t="n">
        <f aca="false">'Plant Operations'!A212</f>
        <v>42339</v>
      </c>
      <c r="C212" s="1574" t="n">
        <f aca="false">IF($A212&gt;Endyr,0,VLOOKUP($A212,Tariff_Table,Tariff!$D$33))</f>
        <v>2290.32496307238</v>
      </c>
      <c r="E212" s="1561" t="n">
        <f aca="false">VLOOKUP($A212,Tariff_Table,Tariff!$E$33)</f>
        <v>0.677002126350678</v>
      </c>
      <c r="F212" s="1575" t="n">
        <f aca="false">$C212*E212</f>
        <v>1550.55487003404</v>
      </c>
      <c r="G212" s="1565" t="n">
        <f aca="false">VLOOKUP($A212,Curves_Table,Escalation!$N$291)</f>
        <v>1.59733039824151</v>
      </c>
      <c r="H212" s="1575" t="n">
        <f aca="false">F212*G212</f>
        <v>2476.74842804678</v>
      </c>
      <c r="I212" s="1576" t="n">
        <f aca="false">IF(Assm!$L$74=0,VLOOKUP($A212,Curves_Table,Escalation!$D$291),VLOOKUP($A212,Curves_Table,Escalation!$E$291))</f>
        <v>2.9295679424853</v>
      </c>
      <c r="J212" s="1576" t="n">
        <f aca="false">IF($A212&lt;EE_Date,VLOOKUP($A212,Curves_Table,Escalation!$D$291),Exch)</f>
        <v>1.065</v>
      </c>
      <c r="K212" s="1577" t="n">
        <f aca="false">H212*I212/J212</f>
        <v>6812.96037221285</v>
      </c>
      <c r="M212" s="1561" t="n">
        <f aca="false">VLOOKUP($A212,Tariff_Table,Tariff!$F$33)</f>
        <v>0.322997873649323</v>
      </c>
      <c r="N212" s="1575" t="n">
        <f aca="false">$C212*M212</f>
        <v>739.770093038341</v>
      </c>
      <c r="O212" s="1565" t="n">
        <f aca="false">VLOOKUP($A212,Curves_Table,Escalation!$R$291)</f>
        <v>3.9328867884074</v>
      </c>
      <c r="P212" s="1577" t="n">
        <f aca="false">N212*O212</f>
        <v>2909.4320253694</v>
      </c>
      <c r="R212" s="1578" t="n">
        <f aca="false">SUM(K212,P212)</f>
        <v>9722.39239758226</v>
      </c>
      <c r="S212" s="1540" t="n">
        <f aca="false">'Plant Operations'!C212</f>
        <v>480</v>
      </c>
      <c r="T212" s="1575" t="n">
        <f aca="false">R212*S212/1000</f>
        <v>4666.74835083948</v>
      </c>
      <c r="U212" s="1576" t="n">
        <f aca="false">$I212</f>
        <v>2.9295679424853</v>
      </c>
      <c r="V212" s="394" t="n">
        <f aca="false">T212/U212</f>
        <v>1592.98177835755</v>
      </c>
      <c r="W212" s="1579" t="n">
        <f aca="false">IF(MONTH($A212)=12,SUM(V201:V212)," ")</f>
        <v>24331.0312101726</v>
      </c>
      <c r="Y212" s="1580" t="n">
        <f aca="false">IF($A212&gt;Endyr,0,VLOOKUP($A212,Tariff_Table,Tariff!$J$33))</f>
        <v>0.19</v>
      </c>
      <c r="Z212" s="1576" t="n">
        <f aca="false">VLOOKUP($A212,Curves_Table,Escalation!$AH$291)</f>
        <v>3.9328867884074</v>
      </c>
      <c r="AA212" s="1576" t="n">
        <f aca="false">Y212*Z212</f>
        <v>0.747248489797406</v>
      </c>
      <c r="AB212" s="397" t="n">
        <f aca="false">'Plant Operations'!$I212+'Plant Operations'!$M212</f>
        <v>298980.864</v>
      </c>
      <c r="AC212" s="1575" t="n">
        <f aca="false">AA212*AB212/1000</f>
        <v>223.412999102324</v>
      </c>
      <c r="AD212" s="1576" t="n">
        <f aca="false">$I212</f>
        <v>2.9295679424853</v>
      </c>
      <c r="AE212" s="1566" t="n">
        <f aca="false">AC212/AD212</f>
        <v>76.2614158430445</v>
      </c>
      <c r="AF212" s="1567" t="n">
        <f aca="false">IF(MONTH($A212)=12,SUM(AE201:AE212)," ")</f>
        <v>886.537747287542</v>
      </c>
    </row>
    <row r="213" customFormat="false" ht="12.75" hidden="false" customHeight="false" outlineLevel="0" collapsed="false">
      <c r="A213" s="1538" t="n">
        <f aca="false">'Plant Operations'!A213</f>
        <v>42370</v>
      </c>
      <c r="C213" s="1574" t="n">
        <f aca="false">IF($A213&gt;Endyr,0,VLOOKUP($A213,Tariff_Table,Tariff!$D$33))</f>
        <v>2290.32496307238</v>
      </c>
      <c r="E213" s="1561" t="n">
        <f aca="false">VLOOKUP($A213,Tariff_Table,Tariff!$E$33)</f>
        <v>0.677002126350678</v>
      </c>
      <c r="F213" s="1575" t="n">
        <f aca="false">$C213*E213</f>
        <v>1550.55487003404</v>
      </c>
      <c r="G213" s="1565" t="n">
        <f aca="false">VLOOKUP($A213,Curves_Table,Escalation!$N$291)</f>
        <v>1.59733039824151</v>
      </c>
      <c r="H213" s="1575" t="n">
        <f aca="false">F213*G213</f>
        <v>2476.74842804678</v>
      </c>
      <c r="I213" s="1576" t="n">
        <f aca="false">IF(Assm!$L$74=0,VLOOKUP($A213,Curves_Table,Escalation!$D$291),VLOOKUP($A213,Curves_Table,Escalation!$E$291))</f>
        <v>2.9344084151188</v>
      </c>
      <c r="J213" s="1576" t="n">
        <f aca="false">IF($A213&lt;EE_Date,VLOOKUP($A213,Curves_Table,Escalation!$D$291),Exch)</f>
        <v>1.065</v>
      </c>
      <c r="K213" s="1577" t="n">
        <f aca="false">H213*I213/J213</f>
        <v>6824.21730459411</v>
      </c>
      <c r="M213" s="1561" t="n">
        <f aca="false">VLOOKUP($A213,Tariff_Table,Tariff!$F$33)</f>
        <v>0.322997873649323</v>
      </c>
      <c r="N213" s="1575" t="n">
        <f aca="false">$C213*M213</f>
        <v>739.770093038341</v>
      </c>
      <c r="O213" s="1565" t="n">
        <f aca="false">VLOOKUP($A213,Curves_Table,Escalation!$R$291)</f>
        <v>3.9328867884074</v>
      </c>
      <c r="P213" s="1577" t="n">
        <f aca="false">N213*O213</f>
        <v>2909.4320253694</v>
      </c>
      <c r="R213" s="1578" t="n">
        <f aca="false">SUM(K213,P213)</f>
        <v>9733.64932996352</v>
      </c>
      <c r="S213" s="1540" t="n">
        <f aca="false">'Plant Operations'!C213</f>
        <v>480</v>
      </c>
      <c r="T213" s="1575" t="n">
        <f aca="false">R213*S213/1000</f>
        <v>4672.15167838249</v>
      </c>
      <c r="U213" s="1576" t="n">
        <f aca="false">$I213</f>
        <v>2.9344084151188</v>
      </c>
      <c r="V213" s="394" t="n">
        <f aca="false">T213/U213</f>
        <v>1592.19543343401</v>
      </c>
      <c r="W213" s="1579" t="str">
        <f aca="false">IF(MONTH($A213)=12,SUM(V202:V213)," ")</f>
        <v> </v>
      </c>
      <c r="Y213" s="1580" t="n">
        <f aca="false">IF($A213&gt;Endyr,0,VLOOKUP($A213,Tariff_Table,Tariff!$J$33))</f>
        <v>0.19</v>
      </c>
      <c r="Z213" s="1576" t="n">
        <f aca="false">VLOOKUP($A213,Curves_Table,Escalation!$AH$291)</f>
        <v>3.9328867884074</v>
      </c>
      <c r="AA213" s="1576" t="n">
        <f aca="false">Y213*Z213</f>
        <v>0.747248489797406</v>
      </c>
      <c r="AB213" s="397" t="n">
        <f aca="false">'Plant Operations'!$I213+'Plant Operations'!$M213</f>
        <v>298980.864</v>
      </c>
      <c r="AC213" s="1575" t="n">
        <f aca="false">AA213*AB213/1000</f>
        <v>223.412999102324</v>
      </c>
      <c r="AD213" s="1576" t="n">
        <f aca="false">$I213</f>
        <v>2.9344084151188</v>
      </c>
      <c r="AE213" s="1566" t="n">
        <f aca="false">AC213/AD213</f>
        <v>76.1356183247172</v>
      </c>
      <c r="AF213" s="1567" t="str">
        <f aca="false">IF(MONTH($A213)=12,SUM(AE202:AE213)," ")</f>
        <v> </v>
      </c>
    </row>
    <row r="214" customFormat="false" ht="12.75" hidden="false" customHeight="false" outlineLevel="0" collapsed="false">
      <c r="A214" s="1538" t="n">
        <f aca="false">'Plant Operations'!A214</f>
        <v>42401</v>
      </c>
      <c r="C214" s="1574" t="n">
        <f aca="false">IF($A214&gt;Endyr,0,VLOOKUP($A214,Tariff_Table,Tariff!$D$33))</f>
        <v>2290.32496307238</v>
      </c>
      <c r="E214" s="1561" t="n">
        <f aca="false">VLOOKUP($A214,Tariff_Table,Tariff!$E$33)</f>
        <v>0.677002126350678</v>
      </c>
      <c r="F214" s="1575" t="n">
        <f aca="false">$C214*E214</f>
        <v>1550.55487003404</v>
      </c>
      <c r="G214" s="1565" t="n">
        <f aca="false">VLOOKUP($A214,Curves_Table,Escalation!$N$291)</f>
        <v>1.59733039824151</v>
      </c>
      <c r="H214" s="1575" t="n">
        <f aca="false">F214*G214</f>
        <v>2476.74842804678</v>
      </c>
      <c r="I214" s="1576" t="n">
        <f aca="false">IF(Assm!$L$74=0,VLOOKUP($A214,Curves_Table,Escalation!$D$291),VLOOKUP($A214,Curves_Table,Escalation!$E$291))</f>
        <v>2.93925688557853</v>
      </c>
      <c r="J214" s="1576" t="n">
        <f aca="false">IF($A214&lt;EE_Date,VLOOKUP($A214,Curves_Table,Escalation!$D$291),Exch)</f>
        <v>1.065</v>
      </c>
      <c r="K214" s="1577" t="n">
        <f aca="false">H214*I214/J214</f>
        <v>6835.4928366031</v>
      </c>
      <c r="M214" s="1561" t="n">
        <f aca="false">VLOOKUP($A214,Tariff_Table,Tariff!$F$33)</f>
        <v>0.322997873649323</v>
      </c>
      <c r="N214" s="1575" t="n">
        <f aca="false">$C214*M214</f>
        <v>739.770093038341</v>
      </c>
      <c r="O214" s="1565" t="n">
        <f aca="false">VLOOKUP($A214,Curves_Table,Escalation!$R$291)</f>
        <v>3.9328867884074</v>
      </c>
      <c r="P214" s="1577" t="n">
        <f aca="false">N214*O214</f>
        <v>2909.4320253694</v>
      </c>
      <c r="R214" s="1578" t="n">
        <f aca="false">SUM(K214,P214)</f>
        <v>9744.9248619725</v>
      </c>
      <c r="S214" s="1540" t="n">
        <f aca="false">'Plant Operations'!C214</f>
        <v>480</v>
      </c>
      <c r="T214" s="1575" t="n">
        <f aca="false">R214*S214/1000</f>
        <v>4677.5639337468</v>
      </c>
      <c r="U214" s="1576" t="n">
        <f aca="false">$I214</f>
        <v>2.93925688557853</v>
      </c>
      <c r="V214" s="394" t="n">
        <f aca="false">T214/U214</f>
        <v>1591.4103856309</v>
      </c>
      <c r="W214" s="1579" t="str">
        <f aca="false">IF(MONTH($A214)=12,SUM(V203:V214)," ")</f>
        <v> </v>
      </c>
      <c r="Y214" s="1580" t="n">
        <f aca="false">IF($A214&gt;Endyr,0,VLOOKUP($A214,Tariff_Table,Tariff!$J$33))</f>
        <v>0.19</v>
      </c>
      <c r="Z214" s="1576" t="n">
        <f aca="false">VLOOKUP($A214,Curves_Table,Escalation!$AH$291)</f>
        <v>3.9328867884074</v>
      </c>
      <c r="AA214" s="1576" t="n">
        <f aca="false">Y214*Z214</f>
        <v>0.747248489797406</v>
      </c>
      <c r="AB214" s="397" t="n">
        <f aca="false">'Plant Operations'!$I214+'Plant Operations'!$M214</f>
        <v>279691.776</v>
      </c>
      <c r="AC214" s="1575" t="n">
        <f aca="false">AA214*AB214/1000</f>
        <v>208.999257224754</v>
      </c>
      <c r="AD214" s="1576" t="n">
        <f aca="false">$I214</f>
        <v>2.93925688557853</v>
      </c>
      <c r="AE214" s="1566" t="n">
        <f aca="false">AC214/AD214</f>
        <v>71.1061555218972</v>
      </c>
      <c r="AF214" s="1567" t="str">
        <f aca="false">IF(MONTH($A214)=12,SUM(AE203:AE214)," ")</f>
        <v> </v>
      </c>
    </row>
    <row r="215" customFormat="false" ht="12.75" hidden="false" customHeight="false" outlineLevel="0" collapsed="false">
      <c r="A215" s="1538" t="n">
        <f aca="false">'Plant Operations'!A215</f>
        <v>42430</v>
      </c>
      <c r="C215" s="1574" t="n">
        <f aca="false">IF($A215&gt;Endyr,0,VLOOKUP($A215,Tariff_Table,Tariff!$D$33))</f>
        <v>2290.32496307238</v>
      </c>
      <c r="E215" s="1561" t="n">
        <f aca="false">VLOOKUP($A215,Tariff_Table,Tariff!$E$33)</f>
        <v>0.677002126350678</v>
      </c>
      <c r="F215" s="1575" t="n">
        <f aca="false">$C215*E215</f>
        <v>1550.55487003404</v>
      </c>
      <c r="G215" s="1565" t="n">
        <f aca="false">VLOOKUP($A215,Curves_Table,Escalation!$N$291)</f>
        <v>1.59733039824151</v>
      </c>
      <c r="H215" s="1575" t="n">
        <f aca="false">F215*G215</f>
        <v>2476.74842804678</v>
      </c>
      <c r="I215" s="1576" t="n">
        <f aca="false">IF(Assm!$L$74=0,VLOOKUP($A215,Curves_Table,Escalation!$D$291),VLOOKUP($A215,Curves_Table,Escalation!$E$291))</f>
        <v>2.94411336707915</v>
      </c>
      <c r="J215" s="1576" t="n">
        <f aca="false">IF($A215&lt;EE_Date,VLOOKUP($A215,Curves_Table,Escalation!$D$291),Exch)</f>
        <v>1.065</v>
      </c>
      <c r="K215" s="1577" t="n">
        <f aca="false">H215*I215/J215</f>
        <v>6846.78699897164</v>
      </c>
      <c r="M215" s="1561" t="n">
        <f aca="false">VLOOKUP($A215,Tariff_Table,Tariff!$F$33)</f>
        <v>0.322997873649323</v>
      </c>
      <c r="N215" s="1575" t="n">
        <f aca="false">$C215*M215</f>
        <v>739.770093038341</v>
      </c>
      <c r="O215" s="1565" t="n">
        <f aca="false">VLOOKUP($A215,Curves_Table,Escalation!$R$291)</f>
        <v>3.9328867884074</v>
      </c>
      <c r="P215" s="1577" t="n">
        <f aca="false">N215*O215</f>
        <v>2909.4320253694</v>
      </c>
      <c r="R215" s="1578" t="n">
        <f aca="false">SUM(K215,P215)</f>
        <v>9756.21902434104</v>
      </c>
      <c r="S215" s="1540" t="n">
        <f aca="false">'Plant Operations'!C215</f>
        <v>480</v>
      </c>
      <c r="T215" s="1575" t="n">
        <f aca="false">R215*S215/1000</f>
        <v>4682.9851316837</v>
      </c>
      <c r="U215" s="1576" t="n">
        <f aca="false">$I215</f>
        <v>2.94411336707915</v>
      </c>
      <c r="V215" s="394" t="n">
        <f aca="false">T215/U215</f>
        <v>1590.62663280853</v>
      </c>
      <c r="W215" s="1579" t="str">
        <f aca="false">IF(MONTH($A215)=12,SUM(V204:V215)," ")</f>
        <v> </v>
      </c>
      <c r="Y215" s="1580" t="n">
        <f aca="false">IF($A215&gt;Endyr,0,VLOOKUP($A215,Tariff_Table,Tariff!$J$33))</f>
        <v>0.19</v>
      </c>
      <c r="Z215" s="1576" t="n">
        <f aca="false">VLOOKUP($A215,Curves_Table,Escalation!$AH$291)</f>
        <v>3.9328867884074</v>
      </c>
      <c r="AA215" s="1576" t="n">
        <f aca="false">Y215*Z215</f>
        <v>0.747248489797406</v>
      </c>
      <c r="AB215" s="397" t="n">
        <f aca="false">'Plant Operations'!$I215+'Plant Operations'!$M215</f>
        <v>298980.864</v>
      </c>
      <c r="AC215" s="1575" t="n">
        <f aca="false">AA215*AB215/1000</f>
        <v>223.412999102324</v>
      </c>
      <c r="AD215" s="1576" t="n">
        <f aca="false">$I215</f>
        <v>2.94411336707915</v>
      </c>
      <c r="AE215" s="1566" t="n">
        <f aca="false">AC215/AD215</f>
        <v>75.8846454761255</v>
      </c>
      <c r="AF215" s="1567" t="str">
        <f aca="false">IF(MONTH($A215)=12,SUM(AE204:AE215)," ")</f>
        <v> </v>
      </c>
    </row>
    <row r="216" customFormat="false" ht="12.75" hidden="false" customHeight="false" outlineLevel="0" collapsed="false">
      <c r="A216" s="1538" t="n">
        <f aca="false">'Plant Operations'!A216</f>
        <v>42461</v>
      </c>
      <c r="C216" s="1574" t="n">
        <f aca="false">IF($A216&gt;Endyr,0,VLOOKUP($A216,Tariff_Table,Tariff!$D$33))</f>
        <v>2290.32496307238</v>
      </c>
      <c r="E216" s="1561" t="n">
        <f aca="false">VLOOKUP($A216,Tariff_Table,Tariff!$E$33)</f>
        <v>0.677002126350678</v>
      </c>
      <c r="F216" s="1575" t="n">
        <f aca="false">$C216*E216</f>
        <v>1550.55487003404</v>
      </c>
      <c r="G216" s="1565" t="n">
        <f aca="false">VLOOKUP($A216,Curves_Table,Escalation!$N$291)</f>
        <v>1.59733039824151</v>
      </c>
      <c r="H216" s="1575" t="n">
        <f aca="false">F216*G216</f>
        <v>2476.74842804678</v>
      </c>
      <c r="I216" s="1576" t="n">
        <f aca="false">IF(Assm!$L$74=0,VLOOKUP($A216,Curves_Table,Escalation!$D$291),VLOOKUP($A216,Curves_Table,Escalation!$E$291))</f>
        <v>2.94897787285716</v>
      </c>
      <c r="J216" s="1576" t="n">
        <f aca="false">IF($A216&lt;EE_Date,VLOOKUP($A216,Curves_Table,Escalation!$D$291),Exch)</f>
        <v>1.065</v>
      </c>
      <c r="K216" s="1577" t="n">
        <f aca="false">H216*I216/J216</f>
        <v>6858.09982248235</v>
      </c>
      <c r="M216" s="1561" t="n">
        <f aca="false">VLOOKUP($A216,Tariff_Table,Tariff!$F$33)</f>
        <v>0.322997873649323</v>
      </c>
      <c r="N216" s="1575" t="n">
        <f aca="false">$C216*M216</f>
        <v>739.770093038341</v>
      </c>
      <c r="O216" s="1565" t="n">
        <f aca="false">VLOOKUP($A216,Curves_Table,Escalation!$R$291)</f>
        <v>3.9328867884074</v>
      </c>
      <c r="P216" s="1577" t="n">
        <f aca="false">N216*O216</f>
        <v>2909.4320253694</v>
      </c>
      <c r="R216" s="1578" t="n">
        <f aca="false">SUM(K216,P216)</f>
        <v>9767.53184785176</v>
      </c>
      <c r="S216" s="1540" t="n">
        <f aca="false">'Plant Operations'!C216</f>
        <v>480</v>
      </c>
      <c r="T216" s="1575" t="n">
        <f aca="false">R216*S216/1000</f>
        <v>4688.41528696884</v>
      </c>
      <c r="U216" s="1576" t="n">
        <f aca="false">$I216</f>
        <v>2.94897787285716</v>
      </c>
      <c r="V216" s="394" t="n">
        <f aca="false">T216/U216</f>
        <v>1589.84417283077</v>
      </c>
      <c r="W216" s="1579" t="str">
        <f aca="false">IF(MONTH($A216)=12,SUM(V205:V216)," ")</f>
        <v> </v>
      </c>
      <c r="Y216" s="1580" t="n">
        <f aca="false">IF($A216&gt;Endyr,0,VLOOKUP($A216,Tariff_Table,Tariff!$J$33))</f>
        <v>0.19</v>
      </c>
      <c r="Z216" s="1576" t="n">
        <f aca="false">VLOOKUP($A216,Curves_Table,Escalation!$AH$291)</f>
        <v>3.9328867884074</v>
      </c>
      <c r="AA216" s="1576" t="n">
        <f aca="false">Y216*Z216</f>
        <v>0.747248489797406</v>
      </c>
      <c r="AB216" s="397" t="n">
        <f aca="false">'Plant Operations'!$I216+'Plant Operations'!$M216</f>
        <v>289336.32</v>
      </c>
      <c r="AC216" s="1575" t="n">
        <f aca="false">AA216*AB216/1000</f>
        <v>216.206128163539</v>
      </c>
      <c r="AD216" s="1576" t="n">
        <f aca="false">$I216</f>
        <v>2.94897787285716</v>
      </c>
      <c r="AE216" s="1566" t="n">
        <f aca="false">AC216/AD216</f>
        <v>73.315615608219</v>
      </c>
      <c r="AF216" s="1567" t="str">
        <f aca="false">IF(MONTH($A216)=12,SUM(AE205:AE216)," ")</f>
        <v> </v>
      </c>
    </row>
    <row r="217" customFormat="false" ht="12.75" hidden="false" customHeight="false" outlineLevel="0" collapsed="false">
      <c r="A217" s="1538" t="n">
        <f aca="false">'Plant Operations'!A217</f>
        <v>42491</v>
      </c>
      <c r="C217" s="1574" t="n">
        <f aca="false">IF($A217&gt;Endyr,0,VLOOKUP($A217,Tariff_Table,Tariff!$D$33))</f>
        <v>2290.32496307238</v>
      </c>
      <c r="E217" s="1561" t="n">
        <f aca="false">VLOOKUP($A217,Tariff_Table,Tariff!$E$33)</f>
        <v>0.677002126350678</v>
      </c>
      <c r="F217" s="1575" t="n">
        <f aca="false">$C217*E217</f>
        <v>1550.55487003404</v>
      </c>
      <c r="G217" s="1565" t="n">
        <f aca="false">VLOOKUP($A217,Curves_Table,Escalation!$N$291)</f>
        <v>1.63898344452994</v>
      </c>
      <c r="H217" s="1575" t="n">
        <f aca="false">F217*G217</f>
        <v>2541.33376182106</v>
      </c>
      <c r="I217" s="1576" t="n">
        <f aca="false">IF(Assm!$L$74=0,VLOOKUP($A217,Curves_Table,Escalation!$D$291),VLOOKUP($A217,Curves_Table,Escalation!$E$291))</f>
        <v>2.95385041617093</v>
      </c>
      <c r="J217" s="1576" t="n">
        <f aca="false">IF($A217&lt;EE_Date,VLOOKUP($A217,Curves_Table,Escalation!$D$291),Exch)</f>
        <v>1.065</v>
      </c>
      <c r="K217" s="1577" t="n">
        <f aca="false">H217*I217/J217</f>
        <v>7048.56318308392</v>
      </c>
      <c r="M217" s="1561" t="n">
        <f aca="false">VLOOKUP($A217,Tariff_Table,Tariff!$F$33)</f>
        <v>0.322997873649323</v>
      </c>
      <c r="N217" s="1575" t="n">
        <f aca="false">$C217*M217</f>
        <v>739.770093038341</v>
      </c>
      <c r="O217" s="1565" t="n">
        <f aca="false">VLOOKUP($A217,Curves_Table,Escalation!$R$291)</f>
        <v>4.2042559768075</v>
      </c>
      <c r="P217" s="1577" t="n">
        <f aca="false">N217*O217</f>
        <v>3110.18283511989</v>
      </c>
      <c r="R217" s="1578" t="n">
        <f aca="false">SUM(K217,P217)</f>
        <v>10158.7460182038</v>
      </c>
      <c r="S217" s="1540" t="n">
        <f aca="false">'Plant Operations'!C217</f>
        <v>480</v>
      </c>
      <c r="T217" s="1575" t="n">
        <f aca="false">R217*S217/1000</f>
        <v>4876.19808873783</v>
      </c>
      <c r="U217" s="1576" t="n">
        <f aca="false">$I217</f>
        <v>2.95385041617093</v>
      </c>
      <c r="V217" s="394" t="n">
        <f aca="false">T217/U217</f>
        <v>1650.79384590464</v>
      </c>
      <c r="W217" s="1579" t="str">
        <f aca="false">IF(MONTH($A217)=12,SUM(V206:V217)," ")</f>
        <v> </v>
      </c>
      <c r="Y217" s="1580" t="n">
        <f aca="false">IF($A217&gt;Endyr,0,VLOOKUP($A217,Tariff_Table,Tariff!$J$33))</f>
        <v>0.19</v>
      </c>
      <c r="Z217" s="1576" t="n">
        <f aca="false">VLOOKUP($A217,Curves_Table,Escalation!$AH$291)</f>
        <v>4.2042559768075</v>
      </c>
      <c r="AA217" s="1576" t="n">
        <f aca="false">Y217*Z217</f>
        <v>0.798808635593426</v>
      </c>
      <c r="AB217" s="397" t="n">
        <f aca="false">'Plant Operations'!$I217+'Plant Operations'!$M217</f>
        <v>298980.864</v>
      </c>
      <c r="AC217" s="1575" t="n">
        <f aca="false">AA217*AB217/1000</f>
        <v>238.828496040384</v>
      </c>
      <c r="AD217" s="1576" t="n">
        <f aca="false">$I217</f>
        <v>2.95385041617093</v>
      </c>
      <c r="AE217" s="1566" t="n">
        <f aca="false">AC217/AD217</f>
        <v>80.8532804277803</v>
      </c>
      <c r="AF217" s="1567" t="str">
        <f aca="false">IF(MONTH($A217)=12,SUM(AE206:AE217)," ")</f>
        <v> </v>
      </c>
    </row>
    <row r="218" customFormat="false" ht="12.75" hidden="false" customHeight="false" outlineLevel="0" collapsed="false">
      <c r="A218" s="1538" t="n">
        <f aca="false">'Plant Operations'!A218</f>
        <v>42522</v>
      </c>
      <c r="C218" s="1574" t="n">
        <f aca="false">IF($A218&gt;Endyr,0,VLOOKUP($A218,Tariff_Table,Tariff!$D$33))</f>
        <v>2290.32496307238</v>
      </c>
      <c r="E218" s="1561" t="n">
        <f aca="false">VLOOKUP($A218,Tariff_Table,Tariff!$E$33)</f>
        <v>0.677002126350678</v>
      </c>
      <c r="F218" s="1575" t="n">
        <f aca="false">$C218*E218</f>
        <v>1550.55487003404</v>
      </c>
      <c r="G218" s="1565" t="n">
        <f aca="false">VLOOKUP($A218,Curves_Table,Escalation!$N$291)</f>
        <v>1.63898344452994</v>
      </c>
      <c r="H218" s="1575" t="n">
        <f aca="false">F218*G218</f>
        <v>2541.33376182106</v>
      </c>
      <c r="I218" s="1576" t="n">
        <f aca="false">IF(Assm!$L$74=0,VLOOKUP($A218,Curves_Table,Escalation!$D$291),VLOOKUP($A218,Curves_Table,Escalation!$E$291))</f>
        <v>2.95873101030073</v>
      </c>
      <c r="J218" s="1576" t="n">
        <f aca="false">IF($A218&lt;EE_Date,VLOOKUP($A218,Curves_Table,Escalation!$D$291),Exch)</f>
        <v>1.065</v>
      </c>
      <c r="K218" s="1577" t="n">
        <f aca="false">H218*I218/J218</f>
        <v>7060.20939776919</v>
      </c>
      <c r="M218" s="1561" t="n">
        <f aca="false">VLOOKUP($A218,Tariff_Table,Tariff!$F$33)</f>
        <v>0.322997873649323</v>
      </c>
      <c r="N218" s="1575" t="n">
        <f aca="false">$C218*M218</f>
        <v>739.770093038341</v>
      </c>
      <c r="O218" s="1565" t="n">
        <f aca="false">VLOOKUP($A218,Curves_Table,Escalation!$R$291)</f>
        <v>4.2042559768075</v>
      </c>
      <c r="P218" s="1577" t="n">
        <f aca="false">N218*O218</f>
        <v>3110.18283511989</v>
      </c>
      <c r="R218" s="1578" t="n">
        <f aca="false">SUM(K218,P218)</f>
        <v>10170.3922328891</v>
      </c>
      <c r="S218" s="1540" t="n">
        <f aca="false">'Plant Operations'!C218</f>
        <v>480</v>
      </c>
      <c r="T218" s="1575" t="n">
        <f aca="false">R218*S218/1000</f>
        <v>4881.78827178676</v>
      </c>
      <c r="U218" s="1576" t="n">
        <f aca="false">$I218</f>
        <v>2.95873101030073</v>
      </c>
      <c r="V218" s="394" t="n">
        <f aca="false">T218/U218</f>
        <v>1649.96015345463</v>
      </c>
      <c r="W218" s="1579" t="str">
        <f aca="false">IF(MONTH($A218)=12,SUM(V207:V218)," ")</f>
        <v> </v>
      </c>
      <c r="Y218" s="1580" t="n">
        <f aca="false">IF($A218&gt;Endyr,0,VLOOKUP($A218,Tariff_Table,Tariff!$J$33))</f>
        <v>0.19</v>
      </c>
      <c r="Z218" s="1576" t="n">
        <f aca="false">VLOOKUP($A218,Curves_Table,Escalation!$AH$291)</f>
        <v>4.2042559768075</v>
      </c>
      <c r="AA218" s="1576" t="n">
        <f aca="false">Y218*Z218</f>
        <v>0.798808635593426</v>
      </c>
      <c r="AB218" s="397" t="n">
        <f aca="false">'Plant Operations'!$I218+'Plant Operations'!$M218</f>
        <v>289336.32</v>
      </c>
      <c r="AC218" s="1575" t="n">
        <f aca="false">AA218*AB218/1000</f>
        <v>231.124351006823</v>
      </c>
      <c r="AD218" s="1576" t="n">
        <f aca="false">$I218</f>
        <v>2.95873101030073</v>
      </c>
      <c r="AE218" s="1566" t="n">
        <f aca="false">AC218/AD218</f>
        <v>78.1160403572243</v>
      </c>
      <c r="AF218" s="1567" t="str">
        <f aca="false">IF(MONTH($A218)=12,SUM(AE207:AE218)," ")</f>
        <v> </v>
      </c>
    </row>
    <row r="219" customFormat="false" ht="12.75" hidden="false" customHeight="false" outlineLevel="0" collapsed="false">
      <c r="A219" s="1538" t="n">
        <f aca="false">'Plant Operations'!A219</f>
        <v>42552</v>
      </c>
      <c r="C219" s="1574" t="n">
        <f aca="false">IF($A219&gt;Endyr,0,VLOOKUP($A219,Tariff_Table,Tariff!$D$33))</f>
        <v>2290.32496307238</v>
      </c>
      <c r="E219" s="1561" t="n">
        <f aca="false">VLOOKUP($A219,Tariff_Table,Tariff!$E$33)</f>
        <v>0.677002126350678</v>
      </c>
      <c r="F219" s="1575" t="n">
        <f aca="false">$C219*E219</f>
        <v>1550.55487003404</v>
      </c>
      <c r="G219" s="1565" t="n">
        <f aca="false">VLOOKUP($A219,Curves_Table,Escalation!$N$291)</f>
        <v>1.63898344452994</v>
      </c>
      <c r="H219" s="1575" t="n">
        <f aca="false">F219*G219</f>
        <v>2541.33376182106</v>
      </c>
      <c r="I219" s="1576" t="n">
        <f aca="false">IF(Assm!$L$74=0,VLOOKUP($A219,Curves_Table,Escalation!$D$291),VLOOKUP($A219,Curves_Table,Escalation!$E$291))</f>
        <v>2.96361966854878</v>
      </c>
      <c r="J219" s="1576" t="n">
        <f aca="false">IF($A219&lt;EE_Date,VLOOKUP($A219,Curves_Table,Escalation!$D$291),Exch)</f>
        <v>1.065</v>
      </c>
      <c r="K219" s="1577" t="n">
        <f aca="false">H219*I219/J219</f>
        <v>7071.87485528636</v>
      </c>
      <c r="M219" s="1561" t="n">
        <f aca="false">VLOOKUP($A219,Tariff_Table,Tariff!$F$33)</f>
        <v>0.322997873649323</v>
      </c>
      <c r="N219" s="1575" t="n">
        <f aca="false">$C219*M219</f>
        <v>739.770093038341</v>
      </c>
      <c r="O219" s="1565" t="n">
        <f aca="false">VLOOKUP($A219,Curves_Table,Escalation!$R$291)</f>
        <v>4.2042559768075</v>
      </c>
      <c r="P219" s="1577" t="n">
        <f aca="false">N219*O219</f>
        <v>3110.18283511989</v>
      </c>
      <c r="R219" s="1578" t="n">
        <f aca="false">SUM(K219,P219)</f>
        <v>10182.0576904063</v>
      </c>
      <c r="S219" s="1540" t="n">
        <f aca="false">'Plant Operations'!C219</f>
        <v>480</v>
      </c>
      <c r="T219" s="1575" t="n">
        <f aca="false">R219*S219/1000</f>
        <v>4887.387691395</v>
      </c>
      <c r="U219" s="1576" t="n">
        <f aca="false">$I219</f>
        <v>2.96361966854878</v>
      </c>
      <c r="V219" s="394" t="n">
        <f aca="false">T219/U219</f>
        <v>1649.12783622746</v>
      </c>
      <c r="W219" s="1579" t="str">
        <f aca="false">IF(MONTH($A219)=12,SUM(V208:V219)," ")</f>
        <v> </v>
      </c>
      <c r="Y219" s="1580" t="n">
        <f aca="false">IF($A219&gt;Endyr,0,VLOOKUP($A219,Tariff_Table,Tariff!$J$33))</f>
        <v>0.19</v>
      </c>
      <c r="Z219" s="1576" t="n">
        <f aca="false">VLOOKUP($A219,Curves_Table,Escalation!$AH$291)</f>
        <v>4.2042559768075</v>
      </c>
      <c r="AA219" s="1576" t="n">
        <f aca="false">Y219*Z219</f>
        <v>0.798808635593426</v>
      </c>
      <c r="AB219" s="397" t="n">
        <f aca="false">'Plant Operations'!$I219+'Plant Operations'!$M219</f>
        <v>298980.864</v>
      </c>
      <c r="AC219" s="1575" t="n">
        <f aca="false">AA219*AB219/1000</f>
        <v>238.828496040384</v>
      </c>
      <c r="AD219" s="1576" t="n">
        <f aca="false">$I219</f>
        <v>2.96361966854878</v>
      </c>
      <c r="AE219" s="1566" t="n">
        <f aca="false">AC219/AD219</f>
        <v>80.5867563152368</v>
      </c>
      <c r="AF219" s="1567" t="str">
        <f aca="false">IF(MONTH($A219)=12,SUM(AE208:AE219)," ")</f>
        <v> </v>
      </c>
    </row>
    <row r="220" customFormat="false" ht="12.75" hidden="false" customHeight="false" outlineLevel="0" collapsed="false">
      <c r="A220" s="1538" t="n">
        <f aca="false">'Plant Operations'!A220</f>
        <v>42583</v>
      </c>
      <c r="C220" s="1574" t="n">
        <f aca="false">IF($A220&gt;Endyr,0,VLOOKUP($A220,Tariff_Table,Tariff!$D$33))</f>
        <v>2290.32496307238</v>
      </c>
      <c r="E220" s="1561" t="n">
        <f aca="false">VLOOKUP($A220,Tariff_Table,Tariff!$E$33)</f>
        <v>0.677002126350678</v>
      </c>
      <c r="F220" s="1575" t="n">
        <f aca="false">$C220*E220</f>
        <v>1550.55487003404</v>
      </c>
      <c r="G220" s="1565" t="n">
        <f aca="false">VLOOKUP($A220,Curves_Table,Escalation!$N$291)</f>
        <v>1.63898344452994</v>
      </c>
      <c r="H220" s="1575" t="n">
        <f aca="false">F220*G220</f>
        <v>2541.33376182106</v>
      </c>
      <c r="I220" s="1576" t="n">
        <f aca="false">IF(Assm!$L$74=0,VLOOKUP($A220,Curves_Table,Escalation!$D$291),VLOOKUP($A220,Curves_Table,Escalation!$E$291))</f>
        <v>2.96851640423929</v>
      </c>
      <c r="J220" s="1576" t="n">
        <f aca="false">IF($A220&lt;EE_Date,VLOOKUP($A220,Curves_Table,Escalation!$D$291),Exch)</f>
        <v>1.065</v>
      </c>
      <c r="K220" s="1577" t="n">
        <f aca="false">H220*I220/J220</f>
        <v>7083.55958743002</v>
      </c>
      <c r="M220" s="1561" t="n">
        <f aca="false">VLOOKUP($A220,Tariff_Table,Tariff!$F$33)</f>
        <v>0.322997873649323</v>
      </c>
      <c r="N220" s="1575" t="n">
        <f aca="false">$C220*M220</f>
        <v>739.770093038341</v>
      </c>
      <c r="O220" s="1565" t="n">
        <f aca="false">VLOOKUP($A220,Curves_Table,Escalation!$R$291)</f>
        <v>4.2042559768075</v>
      </c>
      <c r="P220" s="1577" t="n">
        <f aca="false">N220*O220</f>
        <v>3110.18283511989</v>
      </c>
      <c r="R220" s="1578" t="n">
        <f aca="false">SUM(K220,P220)</f>
        <v>10193.7424225499</v>
      </c>
      <c r="S220" s="1540" t="n">
        <f aca="false">'Plant Operations'!C220</f>
        <v>480</v>
      </c>
      <c r="T220" s="1575" t="n">
        <f aca="false">R220*S220/1000</f>
        <v>4892.99636282396</v>
      </c>
      <c r="U220" s="1576" t="n">
        <f aca="false">$I220</f>
        <v>2.96851640423929</v>
      </c>
      <c r="V220" s="394" t="n">
        <f aca="false">T220/U220</f>
        <v>1648.29689195463</v>
      </c>
      <c r="W220" s="1579" t="str">
        <f aca="false">IF(MONTH($A220)=12,SUM(V209:V220)," ")</f>
        <v> </v>
      </c>
      <c r="Y220" s="1580" t="n">
        <f aca="false">IF($A220&gt;Endyr,0,VLOOKUP($A220,Tariff_Table,Tariff!$J$33))</f>
        <v>0.19</v>
      </c>
      <c r="Z220" s="1576" t="n">
        <f aca="false">VLOOKUP($A220,Curves_Table,Escalation!$AH$291)</f>
        <v>4.2042559768075</v>
      </c>
      <c r="AA220" s="1576" t="n">
        <f aca="false">Y220*Z220</f>
        <v>0.798808635593426</v>
      </c>
      <c r="AB220" s="397" t="n">
        <f aca="false">'Plant Operations'!$I220+'Plant Operations'!$M220</f>
        <v>298980.864</v>
      </c>
      <c r="AC220" s="1575" t="n">
        <f aca="false">AA220*AB220/1000</f>
        <v>238.828496040384</v>
      </c>
      <c r="AD220" s="1576" t="n">
        <f aca="false">$I220</f>
        <v>2.96851640423929</v>
      </c>
      <c r="AE220" s="1566" t="n">
        <f aca="false">AC220/AD220</f>
        <v>80.4538239031849</v>
      </c>
      <c r="AF220" s="1567" t="str">
        <f aca="false">IF(MONTH($A220)=12,SUM(AE209:AE220)," ")</f>
        <v> </v>
      </c>
    </row>
    <row r="221" customFormat="false" ht="12.75" hidden="false" customHeight="false" outlineLevel="0" collapsed="false">
      <c r="A221" s="1538" t="n">
        <f aca="false">'Plant Operations'!A221</f>
        <v>42614</v>
      </c>
      <c r="C221" s="1574" t="n">
        <f aca="false">IF($A221&gt;Endyr,0,VLOOKUP($A221,Tariff_Table,Tariff!$D$33))</f>
        <v>2290.32496307238</v>
      </c>
      <c r="E221" s="1561" t="n">
        <f aca="false">VLOOKUP($A221,Tariff_Table,Tariff!$E$33)</f>
        <v>0.677002126350678</v>
      </c>
      <c r="F221" s="1575" t="n">
        <f aca="false">$C221*E221</f>
        <v>1550.55487003404</v>
      </c>
      <c r="G221" s="1565" t="n">
        <f aca="false">VLOOKUP($A221,Curves_Table,Escalation!$N$291)</f>
        <v>1.63898344452994</v>
      </c>
      <c r="H221" s="1575" t="n">
        <f aca="false">F221*G221</f>
        <v>2541.33376182106</v>
      </c>
      <c r="I221" s="1576" t="n">
        <f aca="false">IF(Assm!$L$74=0,VLOOKUP($A221,Curves_Table,Escalation!$D$291),VLOOKUP($A221,Curves_Table,Escalation!$E$291))</f>
        <v>2.97342123071846</v>
      </c>
      <c r="J221" s="1576" t="n">
        <f aca="false">IF($A221&lt;EE_Date,VLOOKUP($A221,Curves_Table,Escalation!$D$291),Exch)</f>
        <v>1.065</v>
      </c>
      <c r="K221" s="1577" t="n">
        <f aca="false">H221*I221/J221</f>
        <v>7095.26362604729</v>
      </c>
      <c r="M221" s="1561" t="n">
        <f aca="false">VLOOKUP($A221,Tariff_Table,Tariff!$F$33)</f>
        <v>0.322997873649323</v>
      </c>
      <c r="N221" s="1575" t="n">
        <f aca="false">$C221*M221</f>
        <v>739.770093038341</v>
      </c>
      <c r="O221" s="1565" t="n">
        <f aca="false">VLOOKUP($A221,Curves_Table,Escalation!$R$291)</f>
        <v>4.2042559768075</v>
      </c>
      <c r="P221" s="1577" t="n">
        <f aca="false">N221*O221</f>
        <v>3110.18283511989</v>
      </c>
      <c r="R221" s="1578" t="n">
        <f aca="false">SUM(K221,P221)</f>
        <v>10205.4464611672</v>
      </c>
      <c r="S221" s="1540" t="n">
        <f aca="false">'Plant Operations'!C221</f>
        <v>480</v>
      </c>
      <c r="T221" s="1575" t="n">
        <f aca="false">R221*S221/1000</f>
        <v>4898.61430136025</v>
      </c>
      <c r="U221" s="1576" t="n">
        <f aca="false">$I221</f>
        <v>2.97342123071846</v>
      </c>
      <c r="V221" s="394" t="n">
        <f aca="false">T221/U221</f>
        <v>1647.46731837137</v>
      </c>
      <c r="W221" s="1579" t="str">
        <f aca="false">IF(MONTH($A221)=12,SUM(V210:V221)," ")</f>
        <v> </v>
      </c>
      <c r="Y221" s="1580" t="n">
        <f aca="false">IF($A221&gt;Endyr,0,VLOOKUP($A221,Tariff_Table,Tariff!$J$33))</f>
        <v>0.19</v>
      </c>
      <c r="Z221" s="1576" t="n">
        <f aca="false">VLOOKUP($A221,Curves_Table,Escalation!$AH$291)</f>
        <v>4.2042559768075</v>
      </c>
      <c r="AA221" s="1576" t="n">
        <f aca="false">Y221*Z221</f>
        <v>0.798808635593426</v>
      </c>
      <c r="AB221" s="397" t="n">
        <f aca="false">'Plant Operations'!$I221+'Plant Operations'!$M221</f>
        <v>289336.32</v>
      </c>
      <c r="AC221" s="1575" t="n">
        <f aca="false">AA221*AB221/1000</f>
        <v>231.124351006823</v>
      </c>
      <c r="AD221" s="1576" t="n">
        <f aca="false">$I221</f>
        <v>2.97342123071846</v>
      </c>
      <c r="AE221" s="1566" t="n">
        <f aca="false">AC221/AD221</f>
        <v>77.7301071974174</v>
      </c>
      <c r="AF221" s="1567" t="str">
        <f aca="false">IF(MONTH($A221)=12,SUM(AE210:AE221)," ")</f>
        <v> </v>
      </c>
    </row>
    <row r="222" customFormat="false" ht="12.75" hidden="false" customHeight="false" outlineLevel="0" collapsed="false">
      <c r="A222" s="1538" t="n">
        <f aca="false">'Plant Operations'!A222</f>
        <v>42644</v>
      </c>
      <c r="C222" s="1574" t="n">
        <f aca="false">IF($A222&gt;Endyr,0,VLOOKUP($A222,Tariff_Table,Tariff!$D$33))</f>
        <v>2290.32496307238</v>
      </c>
      <c r="E222" s="1561" t="n">
        <f aca="false">VLOOKUP($A222,Tariff_Table,Tariff!$E$33)</f>
        <v>0.677002126350678</v>
      </c>
      <c r="F222" s="1575" t="n">
        <f aca="false">$C222*E222</f>
        <v>1550.55487003404</v>
      </c>
      <c r="G222" s="1565" t="n">
        <f aca="false">VLOOKUP($A222,Curves_Table,Escalation!$N$291)</f>
        <v>1.63898344452994</v>
      </c>
      <c r="H222" s="1575" t="n">
        <f aca="false">F222*G222</f>
        <v>2541.33376182106</v>
      </c>
      <c r="I222" s="1576" t="n">
        <f aca="false">IF(Assm!$L$74=0,VLOOKUP($A222,Curves_Table,Escalation!$D$291),VLOOKUP($A222,Curves_Table,Escalation!$E$291))</f>
        <v>2.97833416135456</v>
      </c>
      <c r="J222" s="1576" t="n">
        <f aca="false">IF($A222&lt;EE_Date,VLOOKUP($A222,Curves_Table,Escalation!$D$291),Exch)</f>
        <v>1.065</v>
      </c>
      <c r="K222" s="1577" t="n">
        <f aca="false">H222*I222/J222</f>
        <v>7106.98700303792</v>
      </c>
      <c r="M222" s="1561" t="n">
        <f aca="false">VLOOKUP($A222,Tariff_Table,Tariff!$F$33)</f>
        <v>0.322997873649323</v>
      </c>
      <c r="N222" s="1575" t="n">
        <f aca="false">$C222*M222</f>
        <v>739.770093038341</v>
      </c>
      <c r="O222" s="1565" t="n">
        <f aca="false">VLOOKUP($A222,Curves_Table,Escalation!$R$291)</f>
        <v>4.2042559768075</v>
      </c>
      <c r="P222" s="1577" t="n">
        <f aca="false">N222*O222</f>
        <v>3110.18283511989</v>
      </c>
      <c r="R222" s="1578" t="n">
        <f aca="false">SUM(K222,P222)</f>
        <v>10217.1698381578</v>
      </c>
      <c r="S222" s="1540" t="n">
        <f aca="false">'Plant Operations'!C222</f>
        <v>480</v>
      </c>
      <c r="T222" s="1575" t="n">
        <f aca="false">R222*S222/1000</f>
        <v>4904.24152231575</v>
      </c>
      <c r="U222" s="1576" t="n">
        <f aca="false">$I222</f>
        <v>2.97833416135456</v>
      </c>
      <c r="V222" s="394" t="n">
        <f aca="false">T222/U222</f>
        <v>1646.63911321665</v>
      </c>
      <c r="W222" s="1579" t="str">
        <f aca="false">IF(MONTH($A222)=12,SUM(V211:V222)," ")</f>
        <v> </v>
      </c>
      <c r="Y222" s="1580" t="n">
        <f aca="false">IF($A222&gt;Endyr,0,VLOOKUP($A222,Tariff_Table,Tariff!$J$33))</f>
        <v>0.19</v>
      </c>
      <c r="Z222" s="1576" t="n">
        <f aca="false">VLOOKUP($A222,Curves_Table,Escalation!$AH$291)</f>
        <v>4.2042559768075</v>
      </c>
      <c r="AA222" s="1576" t="n">
        <f aca="false">Y222*Z222</f>
        <v>0.798808635593426</v>
      </c>
      <c r="AB222" s="397" t="n">
        <f aca="false">'Plant Operations'!$I222+'Plant Operations'!$M222</f>
        <v>298980.864</v>
      </c>
      <c r="AC222" s="1575" t="n">
        <f aca="false">AA222*AB222/1000</f>
        <v>238.828496040384</v>
      </c>
      <c r="AD222" s="1576" t="n">
        <f aca="false">$I222</f>
        <v>2.97833416135456</v>
      </c>
      <c r="AE222" s="1566" t="n">
        <f aca="false">AC222/AD222</f>
        <v>80.1886165559619</v>
      </c>
      <c r="AF222" s="1567" t="str">
        <f aca="false">IF(MONTH($A222)=12,SUM(AE211:AE222)," ")</f>
        <v> </v>
      </c>
    </row>
    <row r="223" customFormat="false" ht="12.75" hidden="false" customHeight="false" outlineLevel="0" collapsed="false">
      <c r="A223" s="1538" t="n">
        <f aca="false">'Plant Operations'!A223</f>
        <v>42675</v>
      </c>
      <c r="C223" s="1574" t="n">
        <f aca="false">IF($A223&gt;Endyr,0,VLOOKUP($A223,Tariff_Table,Tariff!$D$33))</f>
        <v>2290.32496307238</v>
      </c>
      <c r="E223" s="1561" t="n">
        <f aca="false">VLOOKUP($A223,Tariff_Table,Tariff!$E$33)</f>
        <v>0.677002126350678</v>
      </c>
      <c r="F223" s="1575" t="n">
        <f aca="false">$C223*E223</f>
        <v>1550.55487003404</v>
      </c>
      <c r="G223" s="1565" t="n">
        <f aca="false">VLOOKUP($A223,Curves_Table,Escalation!$N$291)</f>
        <v>1.63898344452994</v>
      </c>
      <c r="H223" s="1575" t="n">
        <f aca="false">F223*G223</f>
        <v>2541.33376182106</v>
      </c>
      <c r="I223" s="1576" t="n">
        <f aca="false">IF(Assm!$L$74=0,VLOOKUP($A223,Curves_Table,Escalation!$D$291),VLOOKUP($A223,Curves_Table,Escalation!$E$291))</f>
        <v>2.98325520953795</v>
      </c>
      <c r="J223" s="1576" t="n">
        <f aca="false">IF($A223&lt;EE_Date,VLOOKUP($A223,Curves_Table,Escalation!$D$291),Exch)</f>
        <v>1.065</v>
      </c>
      <c r="K223" s="1577" t="n">
        <f aca="false">H223*I223/J223</f>
        <v>7118.72975035434</v>
      </c>
      <c r="M223" s="1561" t="n">
        <f aca="false">VLOOKUP($A223,Tariff_Table,Tariff!$F$33)</f>
        <v>0.322997873649323</v>
      </c>
      <c r="N223" s="1575" t="n">
        <f aca="false">$C223*M223</f>
        <v>739.770093038341</v>
      </c>
      <c r="O223" s="1565" t="n">
        <f aca="false">VLOOKUP($A223,Curves_Table,Escalation!$R$291)</f>
        <v>4.2042559768075</v>
      </c>
      <c r="P223" s="1577" t="n">
        <f aca="false">N223*O223</f>
        <v>3110.18283511989</v>
      </c>
      <c r="R223" s="1578" t="n">
        <f aca="false">SUM(K223,P223)</f>
        <v>10228.9125854742</v>
      </c>
      <c r="S223" s="1540" t="n">
        <f aca="false">'Plant Operations'!C223</f>
        <v>480</v>
      </c>
      <c r="T223" s="1575" t="n">
        <f aca="false">R223*S223/1000</f>
        <v>4909.87804102763</v>
      </c>
      <c r="U223" s="1576" t="n">
        <f aca="false">$I223</f>
        <v>2.98325520953795</v>
      </c>
      <c r="V223" s="394" t="n">
        <f aca="false">T223/U223</f>
        <v>1645.81227423318</v>
      </c>
      <c r="W223" s="1579" t="str">
        <f aca="false">IF(MONTH($A223)=12,SUM(V212:V223)," ")</f>
        <v> </v>
      </c>
      <c r="Y223" s="1580" t="n">
        <f aca="false">IF($A223&gt;Endyr,0,VLOOKUP($A223,Tariff_Table,Tariff!$J$33))</f>
        <v>0.19</v>
      </c>
      <c r="Z223" s="1576" t="n">
        <f aca="false">VLOOKUP($A223,Curves_Table,Escalation!$AH$291)</f>
        <v>4.2042559768075</v>
      </c>
      <c r="AA223" s="1576" t="n">
        <f aca="false">Y223*Z223</f>
        <v>0.798808635593426</v>
      </c>
      <c r="AB223" s="397" t="n">
        <f aca="false">'Plant Operations'!$I223+'Plant Operations'!$M223</f>
        <v>289336.32</v>
      </c>
      <c r="AC223" s="1575" t="n">
        <f aca="false">AA223*AB223/1000</f>
        <v>231.124351006823</v>
      </c>
      <c r="AD223" s="1576" t="n">
        <f aca="false">$I223</f>
        <v>2.98325520953795</v>
      </c>
      <c r="AE223" s="1566" t="n">
        <f aca="false">AC223/AD223</f>
        <v>77.4738782883478</v>
      </c>
      <c r="AF223" s="1567" t="str">
        <f aca="false">IF(MONTH($A223)=12,SUM(AE212:AE223)," ")</f>
        <v> </v>
      </c>
    </row>
    <row r="224" customFormat="false" ht="12.75" hidden="false" customHeight="false" outlineLevel="0" collapsed="false">
      <c r="A224" s="1538" t="n">
        <f aca="false">'Plant Operations'!A224</f>
        <v>42705</v>
      </c>
      <c r="C224" s="1574" t="n">
        <f aca="false">IF($A224&gt;Endyr,0,VLOOKUP($A224,Tariff_Table,Tariff!$D$33))</f>
        <v>2290.32496307238</v>
      </c>
      <c r="E224" s="1561" t="n">
        <f aca="false">VLOOKUP($A224,Tariff_Table,Tariff!$E$33)</f>
        <v>0.677002126350678</v>
      </c>
      <c r="F224" s="1575" t="n">
        <f aca="false">$C224*E224</f>
        <v>1550.55487003404</v>
      </c>
      <c r="G224" s="1565" t="n">
        <f aca="false">VLOOKUP($A224,Curves_Table,Escalation!$N$291)</f>
        <v>1.63898344452994</v>
      </c>
      <c r="H224" s="1575" t="n">
        <f aca="false">F224*G224</f>
        <v>2541.33376182106</v>
      </c>
      <c r="I224" s="1576" t="n">
        <f aca="false">IF(Assm!$L$74=0,VLOOKUP($A224,Curves_Table,Escalation!$D$291),VLOOKUP($A224,Curves_Table,Escalation!$E$291))</f>
        <v>2.9881843886811</v>
      </c>
      <c r="J224" s="1576" t="n">
        <f aca="false">IF($A224&lt;EE_Date,VLOOKUP($A224,Curves_Table,Escalation!$D$291),Exch)</f>
        <v>1.065</v>
      </c>
      <c r="K224" s="1577" t="n">
        <f aca="false">H224*I224/J224</f>
        <v>7130.49190000179</v>
      </c>
      <c r="M224" s="1561" t="n">
        <f aca="false">VLOOKUP($A224,Tariff_Table,Tariff!$F$33)</f>
        <v>0.322997873649323</v>
      </c>
      <c r="N224" s="1575" t="n">
        <f aca="false">$C224*M224</f>
        <v>739.770093038341</v>
      </c>
      <c r="O224" s="1565" t="n">
        <f aca="false">VLOOKUP($A224,Curves_Table,Escalation!$R$291)</f>
        <v>4.2042559768075</v>
      </c>
      <c r="P224" s="1577" t="n">
        <f aca="false">N224*O224</f>
        <v>3110.18283511989</v>
      </c>
      <c r="R224" s="1578" t="n">
        <f aca="false">SUM(K224,P224)</f>
        <v>10240.6747351217</v>
      </c>
      <c r="S224" s="1540" t="n">
        <f aca="false">'Plant Operations'!C224</f>
        <v>480</v>
      </c>
      <c r="T224" s="1575" t="n">
        <f aca="false">R224*S224/1000</f>
        <v>4915.52387285841</v>
      </c>
      <c r="U224" s="1576" t="n">
        <f aca="false">$I224</f>
        <v>2.9881843886811</v>
      </c>
      <c r="V224" s="394" t="n">
        <f aca="false">T224/U224</f>
        <v>1644.98679916737</v>
      </c>
      <c r="W224" s="1579" t="n">
        <f aca="false">IF(MONTH($A224)=12,SUM(V213:V224)," ")</f>
        <v>19547.1608572341</v>
      </c>
      <c r="Y224" s="1580" t="n">
        <f aca="false">IF($A224&gt;Endyr,0,VLOOKUP($A224,Tariff_Table,Tariff!$J$33))</f>
        <v>0.19</v>
      </c>
      <c r="Z224" s="1576" t="n">
        <f aca="false">VLOOKUP($A224,Curves_Table,Escalation!$AH$291)</f>
        <v>4.2042559768075</v>
      </c>
      <c r="AA224" s="1576" t="n">
        <f aca="false">Y224*Z224</f>
        <v>0.798808635593426</v>
      </c>
      <c r="AB224" s="397" t="n">
        <f aca="false">'Plant Operations'!$I224+'Plant Operations'!$M224</f>
        <v>298980.864</v>
      </c>
      <c r="AC224" s="1575" t="n">
        <f aca="false">AA224*AB224/1000</f>
        <v>238.828496040384</v>
      </c>
      <c r="AD224" s="1576" t="n">
        <f aca="false">$I224</f>
        <v>2.9881843886811</v>
      </c>
      <c r="AE224" s="1566" t="n">
        <f aca="false">AC224/AD224</f>
        <v>79.9242834361356</v>
      </c>
      <c r="AF224" s="1567" t="n">
        <f aca="false">IF(MONTH($A224)=12,SUM(AE213:AE224)," ")</f>
        <v>931.768821412248</v>
      </c>
    </row>
    <row r="225" customFormat="false" ht="12.75" hidden="false" customHeight="false" outlineLevel="0" collapsed="false">
      <c r="A225" s="1538" t="n">
        <f aca="false">'Plant Operations'!A225</f>
        <v>42736</v>
      </c>
      <c r="C225" s="1574" t="n">
        <f aca="false">IF($A225&gt;Endyr,0,VLOOKUP($A225,Tariff_Table,Tariff!$D$33))</f>
        <v>2290.32496307238</v>
      </c>
      <c r="E225" s="1561" t="n">
        <f aca="false">VLOOKUP($A225,Tariff_Table,Tariff!$E$33)</f>
        <v>0.677002126350678</v>
      </c>
      <c r="F225" s="1575" t="n">
        <f aca="false">$C225*E225</f>
        <v>1550.55487003404</v>
      </c>
      <c r="G225" s="1565" t="n">
        <f aca="false">VLOOKUP($A225,Curves_Table,Escalation!$N$291)</f>
        <v>1.63898344452994</v>
      </c>
      <c r="H225" s="1575" t="n">
        <f aca="false">F225*G225</f>
        <v>2541.33376182106</v>
      </c>
      <c r="I225" s="1576" t="n">
        <f aca="false">IF(Assm!$L$74=0,VLOOKUP($A225,Curves_Table,Escalation!$D$291),VLOOKUP($A225,Curves_Table,Escalation!$E$291))</f>
        <v>2.99310910169973</v>
      </c>
      <c r="J225" s="1576" t="n">
        <f aca="false">IF($A225&lt;EE_Date,VLOOKUP($A225,Curves_Table,Escalation!$D$291),Exch)</f>
        <v>1.065</v>
      </c>
      <c r="K225" s="1577" t="n">
        <f aca="false">H225*I225/J225</f>
        <v>7142.24339245393</v>
      </c>
      <c r="M225" s="1561" t="n">
        <f aca="false">VLOOKUP($A225,Tariff_Table,Tariff!$F$33)</f>
        <v>0.322997873649323</v>
      </c>
      <c r="N225" s="1575" t="n">
        <f aca="false">$C225*M225</f>
        <v>739.770093038341</v>
      </c>
      <c r="O225" s="1565" t="n">
        <f aca="false">VLOOKUP($A225,Curves_Table,Escalation!$R$291)</f>
        <v>4.2042559768075</v>
      </c>
      <c r="P225" s="1577" t="n">
        <f aca="false">N225*O225</f>
        <v>3110.18283511989</v>
      </c>
      <c r="R225" s="1578" t="n">
        <f aca="false">SUM(K225,P225)</f>
        <v>10252.4262275738</v>
      </c>
      <c r="S225" s="1540" t="n">
        <f aca="false">'Plant Operations'!C225</f>
        <v>480</v>
      </c>
      <c r="T225" s="1575" t="n">
        <f aca="false">R225*S225/1000</f>
        <v>4921.16458923543</v>
      </c>
      <c r="U225" s="1576" t="n">
        <f aca="false">$I225</f>
        <v>2.99310910169973</v>
      </c>
      <c r="V225" s="394" t="n">
        <f aca="false">T225/U225</f>
        <v>1644.16478719095</v>
      </c>
      <c r="W225" s="1579" t="str">
        <f aca="false">IF(MONTH($A225)=12,SUM(V214:V225)," ")</f>
        <v> </v>
      </c>
      <c r="Y225" s="1580" t="n">
        <f aca="false">IF($A225&gt;Endyr,0,VLOOKUP($A225,Tariff_Table,Tariff!$J$33))</f>
        <v>0.19</v>
      </c>
      <c r="Z225" s="1576" t="n">
        <f aca="false">VLOOKUP($A225,Curves_Table,Escalation!$AH$291)</f>
        <v>4.2042559768075</v>
      </c>
      <c r="AA225" s="1576" t="n">
        <f aca="false">Y225*Z225</f>
        <v>0.798808635593426</v>
      </c>
      <c r="AB225" s="397" t="n">
        <f aca="false">'Plant Operations'!$I225+'Plant Operations'!$M225</f>
        <v>298980.864</v>
      </c>
      <c r="AC225" s="1575" t="n">
        <f aca="false">AA225*AB225/1000</f>
        <v>238.828496040384</v>
      </c>
      <c r="AD225" s="1576" t="n">
        <f aca="false">$I225</f>
        <v>2.99310910169973</v>
      </c>
      <c r="AE225" s="1566" t="n">
        <f aca="false">AC225/AD225</f>
        <v>79.7927799907987</v>
      </c>
      <c r="AF225" s="1567" t="str">
        <f aca="false">IF(MONTH($A225)=12,SUM(AE214:AE225)," ")</f>
        <v> </v>
      </c>
    </row>
    <row r="226" customFormat="false" ht="12.75" hidden="false" customHeight="false" outlineLevel="0" collapsed="false">
      <c r="A226" s="1538" t="n">
        <f aca="false">'Plant Operations'!A226</f>
        <v>42767</v>
      </c>
      <c r="C226" s="1574" t="n">
        <f aca="false">IF($A226&gt;Endyr,0,VLOOKUP($A226,Tariff_Table,Tariff!$D$33))</f>
        <v>2290.32496307238</v>
      </c>
      <c r="E226" s="1561" t="n">
        <f aca="false">VLOOKUP($A226,Tariff_Table,Tariff!$E$33)</f>
        <v>0.677002126350678</v>
      </c>
      <c r="F226" s="1575" t="n">
        <f aca="false">$C226*E226</f>
        <v>1550.55487003404</v>
      </c>
      <c r="G226" s="1565" t="n">
        <f aca="false">VLOOKUP($A226,Curves_Table,Escalation!$N$291)</f>
        <v>1.63898344452994</v>
      </c>
      <c r="H226" s="1575" t="n">
        <f aca="false">F226*G226</f>
        <v>2541.33376182106</v>
      </c>
      <c r="I226" s="1576" t="n">
        <f aca="false">IF(Assm!$L$74=0,VLOOKUP($A226,Curves_Table,Escalation!$D$291),VLOOKUP($A226,Curves_Table,Escalation!$E$291))</f>
        <v>2.99804193095055</v>
      </c>
      <c r="J226" s="1576" t="n">
        <f aca="false">IF($A226&lt;EE_Date,VLOOKUP($A226,Curves_Table,Escalation!$D$291),Exch)</f>
        <v>1.065</v>
      </c>
      <c r="K226" s="1577" t="n">
        <f aca="false">H226*I226/J226</f>
        <v>7154.01425209375</v>
      </c>
      <c r="M226" s="1561" t="n">
        <f aca="false">VLOOKUP($A226,Tariff_Table,Tariff!$F$33)</f>
        <v>0.322997873649323</v>
      </c>
      <c r="N226" s="1575" t="n">
        <f aca="false">$C226*M226</f>
        <v>739.770093038341</v>
      </c>
      <c r="O226" s="1565" t="n">
        <f aca="false">VLOOKUP($A226,Curves_Table,Escalation!$R$291)</f>
        <v>4.2042559768075</v>
      </c>
      <c r="P226" s="1577" t="n">
        <f aca="false">N226*O226</f>
        <v>3110.18283511989</v>
      </c>
      <c r="R226" s="1578" t="n">
        <f aca="false">SUM(K226,P226)</f>
        <v>10264.1970872136</v>
      </c>
      <c r="S226" s="1540" t="n">
        <f aca="false">'Plant Operations'!C226</f>
        <v>480</v>
      </c>
      <c r="T226" s="1575" t="n">
        <f aca="false">R226*S226/1000</f>
        <v>4926.81460186255</v>
      </c>
      <c r="U226" s="1576" t="n">
        <f aca="false">$I226</f>
        <v>2.99804193095055</v>
      </c>
      <c r="V226" s="394" t="n">
        <f aca="false">T226/U226</f>
        <v>1643.34412771221</v>
      </c>
      <c r="W226" s="1579" t="str">
        <f aca="false">IF(MONTH($A226)=12,SUM(V215:V226)," ")</f>
        <v> </v>
      </c>
      <c r="Y226" s="1580" t="n">
        <f aca="false">IF($A226&gt;Endyr,0,VLOOKUP($A226,Tariff_Table,Tariff!$J$33))</f>
        <v>0.19</v>
      </c>
      <c r="Z226" s="1576" t="n">
        <f aca="false">VLOOKUP($A226,Curves_Table,Escalation!$AH$291)</f>
        <v>4.2042559768075</v>
      </c>
      <c r="AA226" s="1576" t="n">
        <f aca="false">Y226*Z226</f>
        <v>0.798808635593426</v>
      </c>
      <c r="AB226" s="397" t="n">
        <f aca="false">'Plant Operations'!$I226+'Plant Operations'!$M226</f>
        <v>270047.232</v>
      </c>
      <c r="AC226" s="1575" t="n">
        <f aca="false">AA226*AB226/1000</f>
        <v>215.716060939701</v>
      </c>
      <c r="AD226" s="1576" t="n">
        <f aca="false">$I226</f>
        <v>2.99804193095055</v>
      </c>
      <c r="AE226" s="1566" t="n">
        <f aca="false">AC226/AD226</f>
        <v>71.9523161810172</v>
      </c>
      <c r="AF226" s="1567" t="str">
        <f aca="false">IF(MONTH($A226)=12,SUM(AE215:AE226)," ")</f>
        <v> </v>
      </c>
    </row>
    <row r="227" customFormat="false" ht="12.75" hidden="false" customHeight="false" outlineLevel="0" collapsed="false">
      <c r="A227" s="1538" t="n">
        <f aca="false">'Plant Operations'!A227</f>
        <v>42795</v>
      </c>
      <c r="C227" s="1574" t="n">
        <f aca="false">IF($A227&gt;Endyr,0,VLOOKUP($A227,Tariff_Table,Tariff!$D$33))</f>
        <v>2290.32496307238</v>
      </c>
      <c r="E227" s="1561" t="n">
        <f aca="false">VLOOKUP($A227,Tariff_Table,Tariff!$E$33)</f>
        <v>0.677002126350678</v>
      </c>
      <c r="F227" s="1575" t="n">
        <f aca="false">$C227*E227</f>
        <v>1550.55487003404</v>
      </c>
      <c r="G227" s="1565" t="n">
        <f aca="false">VLOOKUP($A227,Curves_Table,Escalation!$N$291)</f>
        <v>1.63898344452994</v>
      </c>
      <c r="H227" s="1575" t="n">
        <f aca="false">F227*G227</f>
        <v>2541.33376182106</v>
      </c>
      <c r="I227" s="1576" t="n">
        <f aca="false">IF(Assm!$L$74=0,VLOOKUP($A227,Curves_Table,Escalation!$D$291),VLOOKUP($A227,Curves_Table,Escalation!$E$291))</f>
        <v>3.00298288980961</v>
      </c>
      <c r="J227" s="1576" t="n">
        <f aca="false">IF($A227&lt;EE_Date,VLOOKUP($A227,Curves_Table,Escalation!$D$291),Exch)</f>
        <v>1.065</v>
      </c>
      <c r="K227" s="1577" t="n">
        <f aca="false">H227*I227/J227</f>
        <v>7165.80451083957</v>
      </c>
      <c r="M227" s="1561" t="n">
        <f aca="false">VLOOKUP($A227,Tariff_Table,Tariff!$F$33)</f>
        <v>0.322997873649323</v>
      </c>
      <c r="N227" s="1575" t="n">
        <f aca="false">$C227*M227</f>
        <v>739.770093038341</v>
      </c>
      <c r="O227" s="1565" t="n">
        <f aca="false">VLOOKUP($A227,Curves_Table,Escalation!$R$291)</f>
        <v>4.2042559768075</v>
      </c>
      <c r="P227" s="1577" t="n">
        <f aca="false">N227*O227</f>
        <v>3110.18283511989</v>
      </c>
      <c r="R227" s="1578" t="n">
        <f aca="false">SUM(K227,P227)</f>
        <v>10275.9873459595</v>
      </c>
      <c r="S227" s="1540" t="n">
        <f aca="false">'Plant Operations'!C227</f>
        <v>480</v>
      </c>
      <c r="T227" s="1575" t="n">
        <f aca="false">R227*S227/1000</f>
        <v>4932.47392606054</v>
      </c>
      <c r="U227" s="1576" t="n">
        <f aca="false">$I227</f>
        <v>3.00298288980961</v>
      </c>
      <c r="V227" s="394" t="n">
        <f aca="false">T227/U227</f>
        <v>1642.5248185058</v>
      </c>
      <c r="W227" s="1579" t="str">
        <f aca="false">IF(MONTH($A227)=12,SUM(V216:V227)," ")</f>
        <v> </v>
      </c>
      <c r="Y227" s="1580" t="n">
        <f aca="false">IF($A227&gt;Endyr,0,VLOOKUP($A227,Tariff_Table,Tariff!$J$33))</f>
        <v>0.19</v>
      </c>
      <c r="Z227" s="1576" t="n">
        <f aca="false">VLOOKUP($A227,Curves_Table,Escalation!$AH$291)</f>
        <v>4.2042559768075</v>
      </c>
      <c r="AA227" s="1576" t="n">
        <f aca="false">Y227*Z227</f>
        <v>0.798808635593426</v>
      </c>
      <c r="AB227" s="397" t="n">
        <f aca="false">'Plant Operations'!$I227+'Plant Operations'!$M227</f>
        <v>298980.864</v>
      </c>
      <c r="AC227" s="1575" t="n">
        <f aca="false">AA227*AB227/1000</f>
        <v>238.828496040384</v>
      </c>
      <c r="AD227" s="1576" t="n">
        <f aca="false">$I227</f>
        <v>3.00298288980961</v>
      </c>
      <c r="AE227" s="1566" t="n">
        <f aca="false">AC227/AD227</f>
        <v>79.5304218518293</v>
      </c>
      <c r="AF227" s="1567" t="str">
        <f aca="false">IF(MONTH($A227)=12,SUM(AE216:AE227)," ")</f>
        <v> </v>
      </c>
    </row>
    <row r="228" customFormat="false" ht="12.75" hidden="false" customHeight="false" outlineLevel="0" collapsed="false">
      <c r="A228" s="1538" t="n">
        <f aca="false">'Plant Operations'!A228</f>
        <v>42826</v>
      </c>
      <c r="C228" s="1574" t="n">
        <f aca="false">IF($A228&gt;Endyr,0,VLOOKUP($A228,Tariff_Table,Tariff!$D$33))</f>
        <v>2290.32496307238</v>
      </c>
      <c r="E228" s="1561" t="n">
        <f aca="false">VLOOKUP($A228,Tariff_Table,Tariff!$E$33)</f>
        <v>0.677002126350678</v>
      </c>
      <c r="F228" s="1575" t="n">
        <f aca="false">$C228*E228</f>
        <v>1550.55487003404</v>
      </c>
      <c r="G228" s="1565" t="n">
        <f aca="false">VLOOKUP($A228,Curves_Table,Escalation!$N$291)</f>
        <v>1.63898344452994</v>
      </c>
      <c r="H228" s="1575" t="n">
        <f aca="false">F228*G228</f>
        <v>2541.33376182106</v>
      </c>
      <c r="I228" s="1576" t="n">
        <f aca="false">IF(Assm!$L$74=0,VLOOKUP($A228,Curves_Table,Escalation!$D$291),VLOOKUP($A228,Curves_Table,Escalation!$E$291))</f>
        <v>3.00793199167501</v>
      </c>
      <c r="J228" s="1576" t="n">
        <f aca="false">IF($A228&lt;EE_Date,VLOOKUP($A228,Curves_Table,Escalation!$D$291),Exch)</f>
        <v>1.065</v>
      </c>
      <c r="K228" s="1577" t="n">
        <f aca="false">H228*I228/J228</f>
        <v>7177.61420066232</v>
      </c>
      <c r="M228" s="1561" t="n">
        <f aca="false">VLOOKUP($A228,Tariff_Table,Tariff!$F$33)</f>
        <v>0.322997873649323</v>
      </c>
      <c r="N228" s="1575" t="n">
        <f aca="false">$C228*M228</f>
        <v>739.770093038341</v>
      </c>
      <c r="O228" s="1565" t="n">
        <f aca="false">VLOOKUP($A228,Curves_Table,Escalation!$R$291)</f>
        <v>4.2042559768075</v>
      </c>
      <c r="P228" s="1577" t="n">
        <f aca="false">N228*O228</f>
        <v>3110.18283511989</v>
      </c>
      <c r="R228" s="1578" t="n">
        <f aca="false">SUM(K228,P228)</f>
        <v>10287.7970357822</v>
      </c>
      <c r="S228" s="1540" t="n">
        <f aca="false">'Plant Operations'!C228</f>
        <v>480</v>
      </c>
      <c r="T228" s="1575" t="n">
        <f aca="false">R228*S228/1000</f>
        <v>4938.14257717546</v>
      </c>
      <c r="U228" s="1576" t="n">
        <f aca="false">$I228</f>
        <v>3.00793199167501</v>
      </c>
      <c r="V228" s="394" t="n">
        <f aca="false">T228/U228</f>
        <v>1641.70685735005</v>
      </c>
      <c r="W228" s="1579" t="str">
        <f aca="false">IF(MONTH($A228)=12,SUM(V217:V228)," ")</f>
        <v> </v>
      </c>
      <c r="Y228" s="1580" t="n">
        <f aca="false">IF($A228&gt;Endyr,0,VLOOKUP($A228,Tariff_Table,Tariff!$J$33))</f>
        <v>0.19</v>
      </c>
      <c r="Z228" s="1576" t="n">
        <f aca="false">VLOOKUP($A228,Curves_Table,Escalation!$AH$291)</f>
        <v>4.2042559768075</v>
      </c>
      <c r="AA228" s="1576" t="n">
        <f aca="false">Y228*Z228</f>
        <v>0.798808635593426</v>
      </c>
      <c r="AB228" s="397" t="n">
        <f aca="false">'Plant Operations'!$I228+'Plant Operations'!$M228</f>
        <v>289336.32</v>
      </c>
      <c r="AC228" s="1575" t="n">
        <f aca="false">AA228*AB228/1000</f>
        <v>231.124351006823</v>
      </c>
      <c r="AD228" s="1576" t="n">
        <f aca="false">$I228</f>
        <v>3.00793199167501</v>
      </c>
      <c r="AE228" s="1566" t="n">
        <f aca="false">AC228/AD228</f>
        <v>76.8382901097834</v>
      </c>
      <c r="AF228" s="1567" t="str">
        <f aca="false">IF(MONTH($A228)=12,SUM(AE217:AE228)," ")</f>
        <v> </v>
      </c>
    </row>
    <row r="229" customFormat="false" ht="12.75" hidden="false" customHeight="false" outlineLevel="0" collapsed="false">
      <c r="A229" s="1538" t="n">
        <f aca="false">'Plant Operations'!A229</f>
        <v>42856</v>
      </c>
      <c r="C229" s="1574" t="n">
        <f aca="false">IF($A229&gt;Endyr,0,VLOOKUP($A229,Tariff_Table,Tariff!$D$33))</f>
        <v>2089.04912836767</v>
      </c>
      <c r="E229" s="1561" t="n">
        <f aca="false">VLOOKUP($A229,Tariff_Table,Tariff!$E$33)</f>
        <v>0.630998953124194</v>
      </c>
      <c r="F229" s="1575" t="n">
        <f aca="false">$C229*E229</f>
        <v>1318.18781302501</v>
      </c>
      <c r="G229" s="1565" t="n">
        <f aca="false">VLOOKUP($A229,Curves_Table,Escalation!$N$291)</f>
        <v>1.68254669873615</v>
      </c>
      <c r="H229" s="1575" t="n">
        <f aca="false">F229*G229</f>
        <v>2217.91255311946</v>
      </c>
      <c r="I229" s="1576" t="n">
        <f aca="false">IF(Assm!$L$74=0,VLOOKUP($A229,Curves_Table,Escalation!$D$291),VLOOKUP($A229,Curves_Table,Escalation!$E$291))</f>
        <v>3.01288924996692</v>
      </c>
      <c r="J229" s="1576" t="n">
        <f aca="false">IF($A229&lt;EE_Date,VLOOKUP($A229,Curves_Table,Escalation!$D$291),Exch)</f>
        <v>1.065</v>
      </c>
      <c r="K229" s="1577" t="n">
        <f aca="false">H229*I229/J229</f>
        <v>6274.4834635308</v>
      </c>
      <c r="M229" s="1561" t="n">
        <f aca="false">VLOOKUP($A229,Tariff_Table,Tariff!$F$33)</f>
        <v>0.369001046875806</v>
      </c>
      <c r="N229" s="1575" t="n">
        <f aca="false">$C229*M229</f>
        <v>770.86131534266</v>
      </c>
      <c r="O229" s="1565" t="n">
        <f aca="false">VLOOKUP($A229,Curves_Table,Escalation!$R$291)</f>
        <v>4.49294778333362</v>
      </c>
      <c r="P229" s="1577" t="n">
        <f aca="false">N229*O229</f>
        <v>3463.43963802644</v>
      </c>
      <c r="R229" s="1578" t="n">
        <f aca="false">SUM(K229,P229)</f>
        <v>9737.92310155724</v>
      </c>
      <c r="S229" s="1540" t="n">
        <f aca="false">'Plant Operations'!C229</f>
        <v>480</v>
      </c>
      <c r="T229" s="1575" t="n">
        <f aca="false">R229*S229/1000</f>
        <v>4674.20308874748</v>
      </c>
      <c r="U229" s="1576" t="n">
        <f aca="false">$I229</f>
        <v>3.01288924996692</v>
      </c>
      <c r="V229" s="394" t="n">
        <f aca="false">T229/U229</f>
        <v>1551.40222588626</v>
      </c>
      <c r="W229" s="1579" t="str">
        <f aca="false">IF(MONTH($A229)=12,SUM(V218:V229)," ")</f>
        <v> </v>
      </c>
      <c r="Y229" s="1580" t="n">
        <f aca="false">IF($A229&gt;Endyr,0,VLOOKUP($A229,Tariff_Table,Tariff!$J$33))</f>
        <v>0.19</v>
      </c>
      <c r="Z229" s="1576" t="n">
        <f aca="false">VLOOKUP($A229,Curves_Table,Escalation!$AH$291)</f>
        <v>4.49294778333362</v>
      </c>
      <c r="AA229" s="1576" t="n">
        <f aca="false">Y229*Z229</f>
        <v>0.853660078833388</v>
      </c>
      <c r="AB229" s="397" t="n">
        <f aca="false">'Plant Operations'!$I229+'Plant Operations'!$M229</f>
        <v>298980.864</v>
      </c>
      <c r="AC229" s="1575" t="n">
        <f aca="false">AA229*AB229/1000</f>
        <v>255.228027931914</v>
      </c>
      <c r="AD229" s="1576" t="n">
        <f aca="false">$I229</f>
        <v>3.01288924996692</v>
      </c>
      <c r="AE229" s="1566" t="n">
        <f aca="false">AC229/AD229</f>
        <v>84.7120510436009</v>
      </c>
      <c r="AF229" s="1567" t="str">
        <f aca="false">IF(MONTH($A229)=12,SUM(AE218:AE229)," ")</f>
        <v> </v>
      </c>
    </row>
    <row r="230" customFormat="false" ht="12.75" hidden="false" customHeight="false" outlineLevel="0" collapsed="false">
      <c r="A230" s="1538" t="n">
        <f aca="false">'Plant Operations'!A230</f>
        <v>42887</v>
      </c>
      <c r="C230" s="1574" t="n">
        <f aca="false">IF($A230&gt;Endyr,0,VLOOKUP($A230,Tariff_Table,Tariff!$D$33))</f>
        <v>2089.04912836767</v>
      </c>
      <c r="E230" s="1561" t="n">
        <f aca="false">VLOOKUP($A230,Tariff_Table,Tariff!$E$33)</f>
        <v>0.630998953124194</v>
      </c>
      <c r="F230" s="1575" t="n">
        <f aca="false">$C230*E230</f>
        <v>1318.18781302501</v>
      </c>
      <c r="G230" s="1565" t="n">
        <f aca="false">VLOOKUP($A230,Curves_Table,Escalation!$N$291)</f>
        <v>1.68254669873615</v>
      </c>
      <c r="H230" s="1575" t="n">
        <f aca="false">F230*G230</f>
        <v>2217.91255311946</v>
      </c>
      <c r="I230" s="1576" t="n">
        <f aca="false">IF(Assm!$L$74=0,VLOOKUP($A230,Curves_Table,Escalation!$D$291),VLOOKUP($A230,Curves_Table,Escalation!$E$291))</f>
        <v>3.01785467812765</v>
      </c>
      <c r="J230" s="1576" t="n">
        <f aca="false">IF($A230&lt;EE_Date,VLOOKUP($A230,Curves_Table,Escalation!$D$291),Exch)</f>
        <v>1.065</v>
      </c>
      <c r="K230" s="1577" t="n">
        <f aca="false">H230*I230/J230</f>
        <v>6284.82420104187</v>
      </c>
      <c r="M230" s="1561" t="n">
        <f aca="false">VLOOKUP($A230,Tariff_Table,Tariff!$F$33)</f>
        <v>0.369001046875806</v>
      </c>
      <c r="N230" s="1575" t="n">
        <f aca="false">$C230*M230</f>
        <v>770.86131534266</v>
      </c>
      <c r="O230" s="1565" t="n">
        <f aca="false">VLOOKUP($A230,Curves_Table,Escalation!$R$291)</f>
        <v>4.49294778333362</v>
      </c>
      <c r="P230" s="1577" t="n">
        <f aca="false">N230*O230</f>
        <v>3463.43963802644</v>
      </c>
      <c r="R230" s="1578" t="n">
        <f aca="false">SUM(K230,P230)</f>
        <v>9748.26383906832</v>
      </c>
      <c r="S230" s="1540" t="n">
        <f aca="false">'Plant Operations'!C230</f>
        <v>480</v>
      </c>
      <c r="T230" s="1575" t="n">
        <f aca="false">R230*S230/1000</f>
        <v>4679.16664275279</v>
      </c>
      <c r="U230" s="1576" t="n">
        <f aca="false">$I230</f>
        <v>3.01785467812765</v>
      </c>
      <c r="V230" s="394" t="n">
        <f aca="false">T230/U230</f>
        <v>1550.49435503497</v>
      </c>
      <c r="W230" s="1579" t="str">
        <f aca="false">IF(MONTH($A230)=12,SUM(V219:V230)," ")</f>
        <v> </v>
      </c>
      <c r="Y230" s="1580" t="n">
        <f aca="false">IF($A230&gt;Endyr,0,VLOOKUP($A230,Tariff_Table,Tariff!$J$33))</f>
        <v>0.19</v>
      </c>
      <c r="Z230" s="1576" t="n">
        <f aca="false">VLOOKUP($A230,Curves_Table,Escalation!$AH$291)</f>
        <v>4.49294778333362</v>
      </c>
      <c r="AA230" s="1576" t="n">
        <f aca="false">Y230*Z230</f>
        <v>0.853660078833388</v>
      </c>
      <c r="AB230" s="397" t="n">
        <f aca="false">'Plant Operations'!$I230+'Plant Operations'!$M230</f>
        <v>289336.32</v>
      </c>
      <c r="AC230" s="1575" t="n">
        <f aca="false">AA230*AB230/1000</f>
        <v>246.994865740562</v>
      </c>
      <c r="AD230" s="1576" t="n">
        <f aca="false">$I230</f>
        <v>3.01785467812765</v>
      </c>
      <c r="AE230" s="1566" t="n">
        <f aca="false">AC230/AD230</f>
        <v>81.8445193967404</v>
      </c>
      <c r="AF230" s="1567" t="str">
        <f aca="false">IF(MONTH($A230)=12,SUM(AE219:AE230)," ")</f>
        <v> </v>
      </c>
    </row>
    <row r="231" customFormat="false" ht="12.75" hidden="false" customHeight="false" outlineLevel="0" collapsed="false">
      <c r="A231" s="1538" t="n">
        <f aca="false">'Plant Operations'!A231</f>
        <v>42917</v>
      </c>
      <c r="C231" s="1574" t="n">
        <f aca="false">IF($A231&gt;Endyr,0,VLOOKUP($A231,Tariff_Table,Tariff!$D$33))</f>
        <v>2089.04912836767</v>
      </c>
      <c r="E231" s="1561" t="n">
        <f aca="false">VLOOKUP($A231,Tariff_Table,Tariff!$E$33)</f>
        <v>0.630998953124194</v>
      </c>
      <c r="F231" s="1575" t="n">
        <f aca="false">$C231*E231</f>
        <v>1318.18781302501</v>
      </c>
      <c r="G231" s="1565" t="n">
        <f aca="false">VLOOKUP($A231,Curves_Table,Escalation!$N$291)</f>
        <v>1.68254669873615</v>
      </c>
      <c r="H231" s="1575" t="n">
        <f aca="false">F231*G231</f>
        <v>2217.91255311946</v>
      </c>
      <c r="I231" s="1576" t="n">
        <f aca="false">IF(Assm!$L$74=0,VLOOKUP($A231,Curves_Table,Escalation!$D$291),VLOOKUP($A231,Curves_Table,Escalation!$E$291))</f>
        <v>3.02282828962165</v>
      </c>
      <c r="J231" s="1576" t="n">
        <f aca="false">IF($A231&lt;EE_Date,VLOOKUP($A231,Curves_Table,Escalation!$D$291),Exch)</f>
        <v>1.065</v>
      </c>
      <c r="K231" s="1577" t="n">
        <f aca="false">H231*I231/J231</f>
        <v>6295.18198072907</v>
      </c>
      <c r="M231" s="1561" t="n">
        <f aca="false">VLOOKUP($A231,Tariff_Table,Tariff!$F$33)</f>
        <v>0.369001046875806</v>
      </c>
      <c r="N231" s="1575" t="n">
        <f aca="false">$C231*M231</f>
        <v>770.86131534266</v>
      </c>
      <c r="O231" s="1565" t="n">
        <f aca="false">VLOOKUP($A231,Curves_Table,Escalation!$R$291)</f>
        <v>4.49294778333362</v>
      </c>
      <c r="P231" s="1577" t="n">
        <f aca="false">N231*O231</f>
        <v>3463.43963802644</v>
      </c>
      <c r="R231" s="1578" t="n">
        <f aca="false">SUM(K231,P231)</f>
        <v>9758.62161875552</v>
      </c>
      <c r="S231" s="1540" t="n">
        <f aca="false">'Plant Operations'!C231</f>
        <v>480</v>
      </c>
      <c r="T231" s="1575" t="n">
        <f aca="false">R231*S231/1000</f>
        <v>4684.13837700265</v>
      </c>
      <c r="U231" s="1576" t="n">
        <f aca="false">$I231</f>
        <v>3.02282828962165</v>
      </c>
      <c r="V231" s="394" t="n">
        <f aca="false">T231/U231</f>
        <v>1549.58797794927</v>
      </c>
      <c r="W231" s="1579" t="str">
        <f aca="false">IF(MONTH($A231)=12,SUM(V220:V231)," ")</f>
        <v> </v>
      </c>
      <c r="Y231" s="1580" t="n">
        <f aca="false">IF($A231&gt;Endyr,0,VLOOKUP($A231,Tariff_Table,Tariff!$J$33))</f>
        <v>0.19</v>
      </c>
      <c r="Z231" s="1576" t="n">
        <f aca="false">VLOOKUP($A231,Curves_Table,Escalation!$AH$291)</f>
        <v>4.49294778333362</v>
      </c>
      <c r="AA231" s="1576" t="n">
        <f aca="false">Y231*Z231</f>
        <v>0.853660078833388</v>
      </c>
      <c r="AB231" s="397" t="n">
        <f aca="false">'Plant Operations'!$I231+'Plant Operations'!$M231</f>
        <v>298980.864</v>
      </c>
      <c r="AC231" s="1575" t="n">
        <f aca="false">AA231*AB231/1000</f>
        <v>255.228027931914</v>
      </c>
      <c r="AD231" s="1576" t="n">
        <f aca="false">$I231</f>
        <v>3.02282828962165</v>
      </c>
      <c r="AE231" s="1566" t="n">
        <f aca="false">AC231/AD231</f>
        <v>84.4335183735693</v>
      </c>
      <c r="AF231" s="1567" t="str">
        <f aca="false">IF(MONTH($A231)=12,SUM(AE220:AE231)," ")</f>
        <v> </v>
      </c>
    </row>
    <row r="232" customFormat="false" ht="12.75" hidden="false" customHeight="false" outlineLevel="0" collapsed="false">
      <c r="A232" s="1538" t="n">
        <f aca="false">'Plant Operations'!A232</f>
        <v>42948</v>
      </c>
      <c r="C232" s="1574" t="n">
        <f aca="false">IF($A232&gt;Endyr,0,VLOOKUP($A232,Tariff_Table,Tariff!$D$33))</f>
        <v>2089.04912836767</v>
      </c>
      <c r="E232" s="1561" t="n">
        <f aca="false">VLOOKUP($A232,Tariff_Table,Tariff!$E$33)</f>
        <v>0.630998953124194</v>
      </c>
      <c r="F232" s="1575" t="n">
        <f aca="false">$C232*E232</f>
        <v>1318.18781302501</v>
      </c>
      <c r="G232" s="1565" t="n">
        <f aca="false">VLOOKUP($A232,Curves_Table,Escalation!$N$291)</f>
        <v>1.68254669873615</v>
      </c>
      <c r="H232" s="1575" t="n">
        <f aca="false">F232*G232</f>
        <v>2217.91255311946</v>
      </c>
      <c r="I232" s="1576" t="n">
        <f aca="false">IF(Assm!$L$74=0,VLOOKUP($A232,Curves_Table,Escalation!$D$291),VLOOKUP($A232,Curves_Table,Escalation!$E$291))</f>
        <v>3.02781009793555</v>
      </c>
      <c r="J232" s="1576" t="n">
        <f aca="false">IF($A232&lt;EE_Date,VLOOKUP($A232,Curves_Table,Escalation!$D$291),Exch)</f>
        <v>1.065</v>
      </c>
      <c r="K232" s="1577" t="n">
        <f aca="false">H232*I232/J232</f>
        <v>6305.55683067896</v>
      </c>
      <c r="M232" s="1561" t="n">
        <f aca="false">VLOOKUP($A232,Tariff_Table,Tariff!$F$33)</f>
        <v>0.369001046875806</v>
      </c>
      <c r="N232" s="1575" t="n">
        <f aca="false">$C232*M232</f>
        <v>770.86131534266</v>
      </c>
      <c r="O232" s="1565" t="n">
        <f aca="false">VLOOKUP($A232,Curves_Table,Escalation!$R$291)</f>
        <v>4.49294778333362</v>
      </c>
      <c r="P232" s="1577" t="n">
        <f aca="false">N232*O232</f>
        <v>3463.43963802644</v>
      </c>
      <c r="R232" s="1578" t="n">
        <f aca="false">SUM(K232,P232)</f>
        <v>9768.99646870541</v>
      </c>
      <c r="S232" s="1540" t="n">
        <f aca="false">'Plant Operations'!C232</f>
        <v>480</v>
      </c>
      <c r="T232" s="1575" t="n">
        <f aca="false">R232*S232/1000</f>
        <v>4689.11830497859</v>
      </c>
      <c r="U232" s="1576" t="n">
        <f aca="false">$I232</f>
        <v>3.02781009793555</v>
      </c>
      <c r="V232" s="394" t="n">
        <f aca="false">T232/U232</f>
        <v>1548.68309217139</v>
      </c>
      <c r="W232" s="1579" t="str">
        <f aca="false">IF(MONTH($A232)=12,SUM(V221:V232)," ")</f>
        <v> </v>
      </c>
      <c r="Y232" s="1580" t="n">
        <f aca="false">IF($A232&gt;Endyr,0,VLOOKUP($A232,Tariff_Table,Tariff!$J$33))</f>
        <v>0.19</v>
      </c>
      <c r="Z232" s="1576" t="n">
        <f aca="false">VLOOKUP($A232,Curves_Table,Escalation!$AH$291)</f>
        <v>4.49294778333362</v>
      </c>
      <c r="AA232" s="1576" t="n">
        <f aca="false">Y232*Z232</f>
        <v>0.853660078833388</v>
      </c>
      <c r="AB232" s="397" t="n">
        <f aca="false">'Plant Operations'!$I232+'Plant Operations'!$M232</f>
        <v>298980.864</v>
      </c>
      <c r="AC232" s="1575" t="n">
        <f aca="false">AA232*AB232/1000</f>
        <v>255.228027931914</v>
      </c>
      <c r="AD232" s="1576" t="n">
        <f aca="false">$I232</f>
        <v>3.02781009793555</v>
      </c>
      <c r="AE232" s="1566" t="n">
        <f aca="false">AC232/AD232</f>
        <v>84.2945956570846</v>
      </c>
      <c r="AF232" s="1567" t="str">
        <f aca="false">IF(MONTH($A232)=12,SUM(AE221:AE232)," ")</f>
        <v> </v>
      </c>
    </row>
    <row r="233" customFormat="false" ht="12.75" hidden="false" customHeight="false" outlineLevel="0" collapsed="false">
      <c r="A233" s="1538" t="n">
        <f aca="false">'Plant Operations'!A233</f>
        <v>42979</v>
      </c>
      <c r="C233" s="1574" t="n">
        <f aca="false">IF($A233&gt;Endyr,0,VLOOKUP($A233,Tariff_Table,Tariff!$D$33))</f>
        <v>2089.04912836767</v>
      </c>
      <c r="E233" s="1561" t="n">
        <f aca="false">VLOOKUP($A233,Tariff_Table,Tariff!$E$33)</f>
        <v>0.630998953124194</v>
      </c>
      <c r="F233" s="1575" t="n">
        <f aca="false">$C233*E233</f>
        <v>1318.18781302501</v>
      </c>
      <c r="G233" s="1565" t="n">
        <f aca="false">VLOOKUP($A233,Curves_Table,Escalation!$N$291)</f>
        <v>1.68254669873615</v>
      </c>
      <c r="H233" s="1575" t="n">
        <f aca="false">F233*G233</f>
        <v>2217.91255311946</v>
      </c>
      <c r="I233" s="1576" t="n">
        <f aca="false">IF(Assm!$L$74=0,VLOOKUP($A233,Curves_Table,Escalation!$D$291),VLOOKUP($A233,Curves_Table,Escalation!$E$291))</f>
        <v>3.03280011657821</v>
      </c>
      <c r="J233" s="1576" t="n">
        <f aca="false">IF($A233&lt;EE_Date,VLOOKUP($A233,Curves_Table,Escalation!$D$291),Exch)</f>
        <v>1.065</v>
      </c>
      <c r="K233" s="1577" t="n">
        <f aca="false">H233*I233/J233</f>
        <v>6315.94877902438</v>
      </c>
      <c r="M233" s="1561" t="n">
        <f aca="false">VLOOKUP($A233,Tariff_Table,Tariff!$F$33)</f>
        <v>0.369001046875806</v>
      </c>
      <c r="N233" s="1575" t="n">
        <f aca="false">$C233*M233</f>
        <v>770.86131534266</v>
      </c>
      <c r="O233" s="1565" t="n">
        <f aca="false">VLOOKUP($A233,Curves_Table,Escalation!$R$291)</f>
        <v>4.49294778333362</v>
      </c>
      <c r="P233" s="1577" t="n">
        <f aca="false">N233*O233</f>
        <v>3463.43963802644</v>
      </c>
      <c r="R233" s="1578" t="n">
        <f aca="false">SUM(K233,P233)</f>
        <v>9779.38841705083</v>
      </c>
      <c r="S233" s="1540" t="n">
        <f aca="false">'Plant Operations'!C233</f>
        <v>480</v>
      </c>
      <c r="T233" s="1575" t="n">
        <f aca="false">R233*S233/1000</f>
        <v>4694.1064401844</v>
      </c>
      <c r="U233" s="1576" t="n">
        <f aca="false">$I233</f>
        <v>3.03280011657821</v>
      </c>
      <c r="V233" s="394" t="n">
        <f aca="false">T233/U233</f>
        <v>1547.77969524763</v>
      </c>
      <c r="W233" s="1579" t="str">
        <f aca="false">IF(MONTH($A233)=12,SUM(V222:V233)," ")</f>
        <v> </v>
      </c>
      <c r="Y233" s="1580" t="n">
        <f aca="false">IF($A233&gt;Endyr,0,VLOOKUP($A233,Tariff_Table,Tariff!$J$33))</f>
        <v>0.19</v>
      </c>
      <c r="Z233" s="1576" t="n">
        <f aca="false">VLOOKUP($A233,Curves_Table,Escalation!$AH$291)</f>
        <v>4.49294778333362</v>
      </c>
      <c r="AA233" s="1576" t="n">
        <f aca="false">Y233*Z233</f>
        <v>0.853660078833388</v>
      </c>
      <c r="AB233" s="397" t="n">
        <f aca="false">'Plant Operations'!$I233+'Plant Operations'!$M233</f>
        <v>289336.32</v>
      </c>
      <c r="AC233" s="1575" t="n">
        <f aca="false">AA233*AB233/1000</f>
        <v>246.994865740562</v>
      </c>
      <c r="AD233" s="1576" t="n">
        <f aca="false">$I233</f>
        <v>3.03280011657821</v>
      </c>
      <c r="AE233" s="1566" t="n">
        <f aca="false">AC233/AD233</f>
        <v>81.4411950165831</v>
      </c>
      <c r="AF233" s="1567" t="str">
        <f aca="false">IF(MONTH($A233)=12,SUM(AE222:AE233)," ")</f>
        <v> </v>
      </c>
    </row>
    <row r="234" customFormat="false" ht="12.75" hidden="false" customHeight="false" outlineLevel="0" collapsed="false">
      <c r="A234" s="1538" t="n">
        <f aca="false">'Plant Operations'!A234</f>
        <v>43009</v>
      </c>
      <c r="C234" s="1574" t="n">
        <f aca="false">IF($A234&gt;Endyr,0,VLOOKUP($A234,Tariff_Table,Tariff!$D$33))</f>
        <v>2089.04912836767</v>
      </c>
      <c r="E234" s="1561" t="n">
        <f aca="false">VLOOKUP($A234,Tariff_Table,Tariff!$E$33)</f>
        <v>0.630998953124194</v>
      </c>
      <c r="F234" s="1575" t="n">
        <f aca="false">$C234*E234</f>
        <v>1318.18781302501</v>
      </c>
      <c r="G234" s="1565" t="n">
        <f aca="false">VLOOKUP($A234,Curves_Table,Escalation!$N$291)</f>
        <v>1.68254669873615</v>
      </c>
      <c r="H234" s="1575" t="n">
        <f aca="false">F234*G234</f>
        <v>2217.91255311946</v>
      </c>
      <c r="I234" s="1576" t="n">
        <f aca="false">IF(Assm!$L$74=0,VLOOKUP($A234,Curves_Table,Escalation!$D$291),VLOOKUP($A234,Curves_Table,Escalation!$E$291))</f>
        <v>3.03779835908079</v>
      </c>
      <c r="J234" s="1576" t="n">
        <f aca="false">IF($A234&lt;EE_Date,VLOOKUP($A234,Curves_Table,Escalation!$D$291),Exch)</f>
        <v>1.065</v>
      </c>
      <c r="K234" s="1577" t="n">
        <f aca="false">H234*I234/J234</f>
        <v>6326.35785394456</v>
      </c>
      <c r="M234" s="1561" t="n">
        <f aca="false">VLOOKUP($A234,Tariff_Table,Tariff!$F$33)</f>
        <v>0.369001046875806</v>
      </c>
      <c r="N234" s="1575" t="n">
        <f aca="false">$C234*M234</f>
        <v>770.86131534266</v>
      </c>
      <c r="O234" s="1565" t="n">
        <f aca="false">VLOOKUP($A234,Curves_Table,Escalation!$R$291)</f>
        <v>4.49294778333362</v>
      </c>
      <c r="P234" s="1577" t="n">
        <f aca="false">N234*O234</f>
        <v>3463.43963802644</v>
      </c>
      <c r="R234" s="1578" t="n">
        <f aca="false">SUM(K234,P234)</f>
        <v>9789.797491971</v>
      </c>
      <c r="S234" s="1540" t="n">
        <f aca="false">'Plant Operations'!C234</f>
        <v>480</v>
      </c>
      <c r="T234" s="1575" t="n">
        <f aca="false">R234*S234/1000</f>
        <v>4699.10279614608</v>
      </c>
      <c r="U234" s="1576" t="n">
        <f aca="false">$I234</f>
        <v>3.03779835908079</v>
      </c>
      <c r="V234" s="394" t="n">
        <f aca="false">T234/U234</f>
        <v>1546.87778472828</v>
      </c>
      <c r="W234" s="1579" t="str">
        <f aca="false">IF(MONTH($A234)=12,SUM(V223:V234)," ")</f>
        <v> </v>
      </c>
      <c r="Y234" s="1580" t="n">
        <f aca="false">IF($A234&gt;Endyr,0,VLOOKUP($A234,Tariff_Table,Tariff!$J$33))</f>
        <v>0.19</v>
      </c>
      <c r="Z234" s="1576" t="n">
        <f aca="false">VLOOKUP($A234,Curves_Table,Escalation!$AH$291)</f>
        <v>4.49294778333362</v>
      </c>
      <c r="AA234" s="1576" t="n">
        <f aca="false">Y234*Z234</f>
        <v>0.853660078833388</v>
      </c>
      <c r="AB234" s="397" t="n">
        <f aca="false">'Plant Operations'!$I234+'Plant Operations'!$M234</f>
        <v>298980.864</v>
      </c>
      <c r="AC234" s="1575" t="n">
        <f aca="false">AA234*AB234/1000</f>
        <v>255.228027931914</v>
      </c>
      <c r="AD234" s="1576" t="n">
        <f aca="false">$I234</f>
        <v>3.03779835908079</v>
      </c>
      <c r="AE234" s="1566" t="n">
        <f aca="false">AC234/AD234</f>
        <v>84.0174355776348</v>
      </c>
      <c r="AF234" s="1567" t="str">
        <f aca="false">IF(MONTH($A234)=12,SUM(AE223:AE234)," ")</f>
        <v> </v>
      </c>
    </row>
    <row r="235" customFormat="false" ht="12.75" hidden="false" customHeight="false" outlineLevel="0" collapsed="false">
      <c r="A235" s="1538" t="n">
        <f aca="false">'Plant Operations'!A235</f>
        <v>43040</v>
      </c>
      <c r="C235" s="1574" t="n">
        <f aca="false">IF($A235&gt;Endyr,0,VLOOKUP($A235,Tariff_Table,Tariff!$D$33))</f>
        <v>2089.04912836767</v>
      </c>
      <c r="E235" s="1561" t="n">
        <f aca="false">VLOOKUP($A235,Tariff_Table,Tariff!$E$33)</f>
        <v>0.630998953124194</v>
      </c>
      <c r="F235" s="1575" t="n">
        <f aca="false">$C235*E235</f>
        <v>1318.18781302501</v>
      </c>
      <c r="G235" s="1565" t="n">
        <f aca="false">VLOOKUP($A235,Curves_Table,Escalation!$N$291)</f>
        <v>1.68254669873615</v>
      </c>
      <c r="H235" s="1575" t="n">
        <f aca="false">F235*G235</f>
        <v>2217.91255311946</v>
      </c>
      <c r="I235" s="1576" t="n">
        <f aca="false">IF(Assm!$L$74=0,VLOOKUP($A235,Curves_Table,Escalation!$D$291),VLOOKUP($A235,Curves_Table,Escalation!$E$291))</f>
        <v>3.04280483899669</v>
      </c>
      <c r="J235" s="1576" t="n">
        <f aca="false">IF($A235&lt;EE_Date,VLOOKUP($A235,Curves_Table,Escalation!$D$291),Exch)</f>
        <v>1.065</v>
      </c>
      <c r="K235" s="1577" t="n">
        <f aca="false">H235*I235/J235</f>
        <v>6336.78408366514</v>
      </c>
      <c r="M235" s="1561" t="n">
        <f aca="false">VLOOKUP($A235,Tariff_Table,Tariff!$F$33)</f>
        <v>0.369001046875806</v>
      </c>
      <c r="N235" s="1575" t="n">
        <f aca="false">$C235*M235</f>
        <v>770.86131534266</v>
      </c>
      <c r="O235" s="1565" t="n">
        <f aca="false">VLOOKUP($A235,Curves_Table,Escalation!$R$291)</f>
        <v>4.49294778333362</v>
      </c>
      <c r="P235" s="1577" t="n">
        <f aca="false">N235*O235</f>
        <v>3463.43963802644</v>
      </c>
      <c r="R235" s="1578" t="n">
        <f aca="false">SUM(K235,P235)</f>
        <v>9800.22372169159</v>
      </c>
      <c r="S235" s="1540" t="n">
        <f aca="false">'Plant Operations'!C235</f>
        <v>480</v>
      </c>
      <c r="T235" s="1575" t="n">
        <f aca="false">R235*S235/1000</f>
        <v>4704.10738641196</v>
      </c>
      <c r="U235" s="1576" t="n">
        <f aca="false">$I235</f>
        <v>3.04280483899669</v>
      </c>
      <c r="V235" s="394" t="n">
        <f aca="false">T235/U235</f>
        <v>1545.97735816769</v>
      </c>
      <c r="W235" s="1579" t="str">
        <f aca="false">IF(MONTH($A235)=12,SUM(V224:V235)," ")</f>
        <v> </v>
      </c>
      <c r="Y235" s="1580" t="n">
        <f aca="false">IF($A235&gt;Endyr,0,VLOOKUP($A235,Tariff_Table,Tariff!$J$33))</f>
        <v>0.19</v>
      </c>
      <c r="Z235" s="1576" t="n">
        <f aca="false">VLOOKUP($A235,Curves_Table,Escalation!$AH$291)</f>
        <v>4.49294778333362</v>
      </c>
      <c r="AA235" s="1576" t="n">
        <f aca="false">Y235*Z235</f>
        <v>0.853660078833388</v>
      </c>
      <c r="AB235" s="397" t="n">
        <f aca="false">'Plant Operations'!$I235+'Plant Operations'!$M235</f>
        <v>289336.32</v>
      </c>
      <c r="AC235" s="1575" t="n">
        <f aca="false">AA235*AB235/1000</f>
        <v>246.994865740562</v>
      </c>
      <c r="AD235" s="1576" t="n">
        <f aca="false">$I235</f>
        <v>3.04280483899669</v>
      </c>
      <c r="AE235" s="1566" t="n">
        <f aca="false">AC235/AD235</f>
        <v>81.1734168997853</v>
      </c>
      <c r="AF235" s="1567" t="str">
        <f aca="false">IF(MONTH($A235)=12,SUM(AE224:AE235)," ")</f>
        <v> </v>
      </c>
    </row>
    <row r="236" customFormat="false" ht="12.75" hidden="false" customHeight="false" outlineLevel="0" collapsed="false">
      <c r="A236" s="1538" t="n">
        <f aca="false">'Plant Operations'!A236</f>
        <v>43070</v>
      </c>
      <c r="C236" s="1574" t="n">
        <f aca="false">IF($A236&gt;Endyr,0,VLOOKUP($A236,Tariff_Table,Tariff!$D$33))</f>
        <v>2089.04912836767</v>
      </c>
      <c r="E236" s="1561" t="n">
        <f aca="false">VLOOKUP($A236,Tariff_Table,Tariff!$E$33)</f>
        <v>0.630998953124194</v>
      </c>
      <c r="F236" s="1575" t="n">
        <f aca="false">$C236*E236</f>
        <v>1318.18781302501</v>
      </c>
      <c r="G236" s="1565" t="n">
        <f aca="false">VLOOKUP($A236,Curves_Table,Escalation!$N$291)</f>
        <v>1.68254669873615</v>
      </c>
      <c r="H236" s="1575" t="n">
        <f aca="false">F236*G236</f>
        <v>2217.91255311946</v>
      </c>
      <c r="I236" s="1576" t="n">
        <f aca="false">IF(Assm!$L$74=0,VLOOKUP($A236,Curves_Table,Escalation!$D$291),VLOOKUP($A236,Curves_Table,Escalation!$E$291))</f>
        <v>3.04781956990169</v>
      </c>
      <c r="J236" s="1576" t="n">
        <f aca="false">IF($A236&lt;EE_Date,VLOOKUP($A236,Curves_Table,Escalation!$D$291),Exch)</f>
        <v>1.065</v>
      </c>
      <c r="K236" s="1577" t="n">
        <f aca="false">H236*I236/J236</f>
        <v>6347.22749645831</v>
      </c>
      <c r="M236" s="1561" t="n">
        <f aca="false">VLOOKUP($A236,Tariff_Table,Tariff!$F$33)</f>
        <v>0.369001046875806</v>
      </c>
      <c r="N236" s="1575" t="n">
        <f aca="false">$C236*M236</f>
        <v>770.86131534266</v>
      </c>
      <c r="O236" s="1565" t="n">
        <f aca="false">VLOOKUP($A236,Curves_Table,Escalation!$R$291)</f>
        <v>4.49294778333362</v>
      </c>
      <c r="P236" s="1577" t="n">
        <f aca="false">N236*O236</f>
        <v>3463.43963802644</v>
      </c>
      <c r="R236" s="1578" t="n">
        <f aca="false">SUM(K236,P236)</f>
        <v>9810.66713448476</v>
      </c>
      <c r="S236" s="1540" t="n">
        <f aca="false">'Plant Operations'!C236</f>
        <v>480</v>
      </c>
      <c r="T236" s="1575" t="n">
        <f aca="false">R236*S236/1000</f>
        <v>4709.12022455268</v>
      </c>
      <c r="U236" s="1576" t="n">
        <f aca="false">$I236</f>
        <v>3.04781956990169</v>
      </c>
      <c r="V236" s="394" t="n">
        <f aca="false">T236/U236</f>
        <v>1545.07841312423</v>
      </c>
      <c r="W236" s="1579" t="n">
        <f aca="false">IF(MONTH($A236)=12,SUM(V225:V236)," ")</f>
        <v>18957.6214930687</v>
      </c>
      <c r="Y236" s="1580" t="n">
        <f aca="false">IF($A236&gt;Endyr,0,VLOOKUP($A236,Tariff_Table,Tariff!$J$33))</f>
        <v>0.19</v>
      </c>
      <c r="Z236" s="1576" t="n">
        <f aca="false">VLOOKUP($A236,Curves_Table,Escalation!$AH$291)</f>
        <v>4.49294778333362</v>
      </c>
      <c r="AA236" s="1576" t="n">
        <f aca="false">Y236*Z236</f>
        <v>0.853660078833388</v>
      </c>
      <c r="AB236" s="397" t="n">
        <f aca="false">'Plant Operations'!$I236+'Plant Operations'!$M236</f>
        <v>298980.864</v>
      </c>
      <c r="AC236" s="1575" t="n">
        <f aca="false">AA236*AB236/1000</f>
        <v>255.228027931914</v>
      </c>
      <c r="AD236" s="1576" t="n">
        <f aca="false">$I236</f>
        <v>3.04781956990169</v>
      </c>
      <c r="AE236" s="1566" t="n">
        <f aca="false">AC236/AD236</f>
        <v>83.7411867987142</v>
      </c>
      <c r="AF236" s="1567" t="n">
        <f aca="false">IF(MONTH($A236)=12,SUM(AE225:AE236)," ")</f>
        <v>973.771726897141</v>
      </c>
    </row>
    <row r="237" customFormat="false" ht="12.75" hidden="false" customHeight="false" outlineLevel="0" collapsed="false">
      <c r="A237" s="1538" t="n">
        <f aca="false">'Plant Operations'!A237</f>
        <v>43101</v>
      </c>
      <c r="C237" s="1574" t="n">
        <f aca="false">IF($A237&gt;Endyr,0,VLOOKUP($A237,Tariff_Table,Tariff!$D$33))</f>
        <v>2089.04912836767</v>
      </c>
      <c r="E237" s="1561" t="n">
        <f aca="false">VLOOKUP($A237,Tariff_Table,Tariff!$E$33)</f>
        <v>0.630998953124194</v>
      </c>
      <c r="F237" s="1575" t="n">
        <f aca="false">$C237*E237</f>
        <v>1318.18781302501</v>
      </c>
      <c r="G237" s="1565" t="n">
        <f aca="false">VLOOKUP($A237,Curves_Table,Escalation!$N$291)</f>
        <v>1.68254669873615</v>
      </c>
      <c r="H237" s="1575" t="n">
        <f aca="false">F237*G237</f>
        <v>2217.91255311946</v>
      </c>
      <c r="I237" s="1576" t="n">
        <f aca="false">IF(Assm!$L$74=0,VLOOKUP($A237,Curves_Table,Escalation!$D$291),VLOOKUP($A237,Curves_Table,Escalation!$E$291))</f>
        <v>3.05285098115965</v>
      </c>
      <c r="J237" s="1576" t="n">
        <f aca="false">IF($A237&lt;EE_Date,VLOOKUP($A237,Curves_Table,Escalation!$D$291),Exch)</f>
        <v>1.065</v>
      </c>
      <c r="K237" s="1577" t="n">
        <f aca="false">H237*I237/J237</f>
        <v>6357.70564687045</v>
      </c>
      <c r="M237" s="1561" t="n">
        <f aca="false">VLOOKUP($A237,Tariff_Table,Tariff!$F$33)</f>
        <v>0.369001046875806</v>
      </c>
      <c r="N237" s="1575" t="n">
        <f aca="false">$C237*M237</f>
        <v>770.86131534266</v>
      </c>
      <c r="O237" s="1565" t="n">
        <f aca="false">VLOOKUP($A237,Curves_Table,Escalation!$R$291)</f>
        <v>4.49294778333362</v>
      </c>
      <c r="P237" s="1577" t="n">
        <f aca="false">N237*O237</f>
        <v>3463.43963802644</v>
      </c>
      <c r="R237" s="1578" t="n">
        <f aca="false">SUM(K237,P237)</f>
        <v>9821.14528489689</v>
      </c>
      <c r="S237" s="1540" t="n">
        <f aca="false">'Plant Operations'!C237</f>
        <v>480</v>
      </c>
      <c r="T237" s="1575" t="n">
        <f aca="false">R237*S237/1000</f>
        <v>4714.14973675051</v>
      </c>
      <c r="U237" s="1576" t="n">
        <f aca="false">$I237</f>
        <v>3.05285098115965</v>
      </c>
      <c r="V237" s="394" t="n">
        <f aca="false">T237/U237</f>
        <v>1544.17944598128</v>
      </c>
      <c r="W237" s="1579" t="str">
        <f aca="false">IF(MONTH($A237)=12,SUM(V226:V237)," ")</f>
        <v> </v>
      </c>
      <c r="Y237" s="1580" t="n">
        <f aca="false">IF($A237&gt;Endyr,0,VLOOKUP($A237,Tariff_Table,Tariff!$J$33))</f>
        <v>0.19</v>
      </c>
      <c r="Z237" s="1576" t="n">
        <f aca="false">VLOOKUP($A237,Curves_Table,Escalation!$AH$291)</f>
        <v>4.49294778333362</v>
      </c>
      <c r="AA237" s="1576" t="n">
        <f aca="false">Y237*Z237</f>
        <v>0.853660078833388</v>
      </c>
      <c r="AB237" s="397" t="n">
        <f aca="false">'Plant Operations'!$I237+'Plant Operations'!$M237</f>
        <v>298980.864</v>
      </c>
      <c r="AC237" s="1575" t="n">
        <f aca="false">AA237*AB237/1000</f>
        <v>255.228027931914</v>
      </c>
      <c r="AD237" s="1576" t="n">
        <f aca="false">$I237</f>
        <v>3.05285098115965</v>
      </c>
      <c r="AE237" s="1566" t="n">
        <f aca="false">AC237/AD237</f>
        <v>83.6031727414891</v>
      </c>
      <c r="AF237" s="1567" t="str">
        <f aca="false">IF(MONTH($A237)=12,SUM(AE226:AE237)," ")</f>
        <v> </v>
      </c>
    </row>
    <row r="238" customFormat="false" ht="12.75" hidden="false" customHeight="false" outlineLevel="0" collapsed="false">
      <c r="A238" s="1538" t="n">
        <f aca="false">'Plant Operations'!A238</f>
        <v>43132</v>
      </c>
      <c r="C238" s="1574" t="n">
        <f aca="false">IF($A238&gt;Endyr,0,VLOOKUP($A238,Tariff_Table,Tariff!$D$33))</f>
        <v>2089.04912836767</v>
      </c>
      <c r="E238" s="1561" t="n">
        <f aca="false">VLOOKUP($A238,Tariff_Table,Tariff!$E$33)</f>
        <v>0.630998953124194</v>
      </c>
      <c r="F238" s="1575" t="n">
        <f aca="false">$C238*E238</f>
        <v>1318.18781302501</v>
      </c>
      <c r="G238" s="1565" t="n">
        <f aca="false">VLOOKUP($A238,Curves_Table,Escalation!$N$291)</f>
        <v>1.68254669873615</v>
      </c>
      <c r="H238" s="1575" t="n">
        <f aca="false">F238*G238</f>
        <v>2217.91255311946</v>
      </c>
      <c r="I238" s="1576" t="n">
        <f aca="false">IF(Assm!$L$74=0,VLOOKUP($A238,Curves_Table,Escalation!$D$291),VLOOKUP($A238,Curves_Table,Escalation!$E$291))</f>
        <v>3.05789069838804</v>
      </c>
      <c r="J238" s="1576" t="n">
        <f aca="false">IF($A238&lt;EE_Date,VLOOKUP($A238,Curves_Table,Escalation!$D$291),Exch)</f>
        <v>1.065</v>
      </c>
      <c r="K238" s="1577" t="n">
        <f aca="false">H238*I238/J238</f>
        <v>6368.20109485638</v>
      </c>
      <c r="M238" s="1561" t="n">
        <f aca="false">VLOOKUP($A238,Tariff_Table,Tariff!$F$33)</f>
        <v>0.369001046875806</v>
      </c>
      <c r="N238" s="1575" t="n">
        <f aca="false">$C238*M238</f>
        <v>770.86131534266</v>
      </c>
      <c r="O238" s="1565" t="n">
        <f aca="false">VLOOKUP($A238,Curves_Table,Escalation!$R$291)</f>
        <v>4.49294778333362</v>
      </c>
      <c r="P238" s="1577" t="n">
        <f aca="false">N238*O238</f>
        <v>3463.43963802644</v>
      </c>
      <c r="R238" s="1578" t="n">
        <f aca="false">SUM(K238,P238)</f>
        <v>9831.64073288283</v>
      </c>
      <c r="S238" s="1540" t="n">
        <f aca="false">'Plant Operations'!C238</f>
        <v>480</v>
      </c>
      <c r="T238" s="1575" t="n">
        <f aca="false">R238*S238/1000</f>
        <v>4719.18755178376</v>
      </c>
      <c r="U238" s="1576" t="n">
        <f aca="false">$I238</f>
        <v>3.05789069838804</v>
      </c>
      <c r="V238" s="394" t="n">
        <f aca="false">T238/U238</f>
        <v>1543.2819604283</v>
      </c>
      <c r="W238" s="1579" t="str">
        <f aca="false">IF(MONTH($A238)=12,SUM(V227:V238)," ")</f>
        <v> </v>
      </c>
      <c r="Y238" s="1580" t="n">
        <f aca="false">IF($A238&gt;Endyr,0,VLOOKUP($A238,Tariff_Table,Tariff!$J$33))</f>
        <v>0.19</v>
      </c>
      <c r="Z238" s="1576" t="n">
        <f aca="false">VLOOKUP($A238,Curves_Table,Escalation!$AH$291)</f>
        <v>4.49294778333362</v>
      </c>
      <c r="AA238" s="1576" t="n">
        <f aca="false">Y238*Z238</f>
        <v>0.853660078833388</v>
      </c>
      <c r="AB238" s="397" t="n">
        <f aca="false">'Plant Operations'!$I238+'Plant Operations'!$M238</f>
        <v>270047.232</v>
      </c>
      <c r="AC238" s="1575" t="n">
        <f aca="false">AA238*AB238/1000</f>
        <v>230.528541357858</v>
      </c>
      <c r="AD238" s="1576" t="n">
        <f aca="false">$I238</f>
        <v>3.05789069838804</v>
      </c>
      <c r="AE238" s="1566" t="n">
        <f aca="false">AC238/AD238</f>
        <v>75.3880907121307</v>
      </c>
      <c r="AF238" s="1567" t="str">
        <f aca="false">IF(MONTH($A238)=12,SUM(AE227:AE238)," ")</f>
        <v> </v>
      </c>
    </row>
    <row r="239" customFormat="false" ht="12.75" hidden="false" customHeight="false" outlineLevel="0" collapsed="false">
      <c r="A239" s="1538" t="n">
        <f aca="false">'Plant Operations'!A239</f>
        <v>43160</v>
      </c>
      <c r="C239" s="1574" t="n">
        <f aca="false">IF($A239&gt;Endyr,0,VLOOKUP($A239,Tariff_Table,Tariff!$D$33))</f>
        <v>2089.04912836767</v>
      </c>
      <c r="E239" s="1561" t="n">
        <f aca="false">VLOOKUP($A239,Tariff_Table,Tariff!$E$33)</f>
        <v>0.630998953124194</v>
      </c>
      <c r="F239" s="1575" t="n">
        <f aca="false">$C239*E239</f>
        <v>1318.18781302501</v>
      </c>
      <c r="G239" s="1565" t="n">
        <f aca="false">VLOOKUP($A239,Curves_Table,Escalation!$N$291)</f>
        <v>1.68254669873615</v>
      </c>
      <c r="H239" s="1575" t="n">
        <f aca="false">F239*G239</f>
        <v>2217.91255311946</v>
      </c>
      <c r="I239" s="1576" t="n">
        <f aca="false">IF(Assm!$L$74=0,VLOOKUP($A239,Curves_Table,Escalation!$D$291),VLOOKUP($A239,Curves_Table,Escalation!$E$291))</f>
        <v>3.06293873529856</v>
      </c>
      <c r="J239" s="1576" t="n">
        <f aca="false">IF($A239&lt;EE_Date,VLOOKUP($A239,Curves_Table,Escalation!$D$291),Exch)</f>
        <v>1.065</v>
      </c>
      <c r="K239" s="1577" t="n">
        <f aca="false">H239*I239/J239</f>
        <v>6378.71386897136</v>
      </c>
      <c r="M239" s="1561" t="n">
        <f aca="false">VLOOKUP($A239,Tariff_Table,Tariff!$F$33)</f>
        <v>0.369001046875806</v>
      </c>
      <c r="N239" s="1575" t="n">
        <f aca="false">$C239*M239</f>
        <v>770.86131534266</v>
      </c>
      <c r="O239" s="1565" t="n">
        <f aca="false">VLOOKUP($A239,Curves_Table,Escalation!$R$291)</f>
        <v>4.49294778333362</v>
      </c>
      <c r="P239" s="1577" t="n">
        <f aca="false">N239*O239</f>
        <v>3463.43963802644</v>
      </c>
      <c r="R239" s="1578" t="n">
        <f aca="false">SUM(K239,P239)</f>
        <v>9842.15350699781</v>
      </c>
      <c r="S239" s="1540" t="n">
        <f aca="false">'Plant Operations'!C239</f>
        <v>480</v>
      </c>
      <c r="T239" s="1575" t="n">
        <f aca="false">R239*S239/1000</f>
        <v>4724.23368335895</v>
      </c>
      <c r="U239" s="1576" t="n">
        <f aca="false">$I239</f>
        <v>3.06293873529856</v>
      </c>
      <c r="V239" s="394" t="n">
        <f aca="false">T239/U239</f>
        <v>1542.38595402348</v>
      </c>
      <c r="W239" s="1579" t="str">
        <f aca="false">IF(MONTH($A239)=12,SUM(V228:V239)," ")</f>
        <v> </v>
      </c>
      <c r="Y239" s="1580" t="n">
        <f aca="false">IF($A239&gt;Endyr,0,VLOOKUP($A239,Tariff_Table,Tariff!$J$33))</f>
        <v>0.19</v>
      </c>
      <c r="Z239" s="1576" t="n">
        <f aca="false">VLOOKUP($A239,Curves_Table,Escalation!$AH$291)</f>
        <v>4.49294778333362</v>
      </c>
      <c r="AA239" s="1576" t="n">
        <f aca="false">Y239*Z239</f>
        <v>0.853660078833388</v>
      </c>
      <c r="AB239" s="397" t="n">
        <f aca="false">'Plant Operations'!$I239+'Plant Operations'!$M239</f>
        <v>298980.864</v>
      </c>
      <c r="AC239" s="1575" t="n">
        <f aca="false">AA239*AB239/1000</f>
        <v>255.228027931914</v>
      </c>
      <c r="AD239" s="1576" t="n">
        <f aca="false">$I239</f>
        <v>3.06293873529856</v>
      </c>
      <c r="AE239" s="1566" t="n">
        <f aca="false">AC239/AD239</f>
        <v>83.3278266360872</v>
      </c>
      <c r="AF239" s="1567" t="str">
        <f aca="false">IF(MONTH($A239)=12,SUM(AE228:AE239)," ")</f>
        <v> </v>
      </c>
    </row>
    <row r="240" customFormat="false" ht="12.75" hidden="false" customHeight="false" outlineLevel="0" collapsed="false">
      <c r="A240" s="1538" t="n">
        <f aca="false">'Plant Operations'!A240</f>
        <v>43191</v>
      </c>
      <c r="C240" s="1574" t="n">
        <f aca="false">IF($A240&gt;Endyr,0,VLOOKUP($A240,Tariff_Table,Tariff!$D$33))</f>
        <v>2089.04912836767</v>
      </c>
      <c r="E240" s="1561" t="n">
        <f aca="false">VLOOKUP($A240,Tariff_Table,Tariff!$E$33)</f>
        <v>0.630998953124194</v>
      </c>
      <c r="F240" s="1575" t="n">
        <f aca="false">$C240*E240</f>
        <v>1318.18781302501</v>
      </c>
      <c r="G240" s="1565" t="n">
        <f aca="false">VLOOKUP($A240,Curves_Table,Escalation!$N$291)</f>
        <v>1.68254669873615</v>
      </c>
      <c r="H240" s="1575" t="n">
        <f aca="false">F240*G240</f>
        <v>2217.91255311946</v>
      </c>
      <c r="I240" s="1576" t="n">
        <f aca="false">IF(Assm!$L$74=0,VLOOKUP($A240,Curves_Table,Escalation!$D$291),VLOOKUP($A240,Curves_Table,Escalation!$E$291))</f>
        <v>3.06799510562553</v>
      </c>
      <c r="J240" s="1576" t="n">
        <f aca="false">IF($A240&lt;EE_Date,VLOOKUP($A240,Curves_Table,Escalation!$D$291),Exch)</f>
        <v>1.065</v>
      </c>
      <c r="K240" s="1577" t="n">
        <f aca="false">H240*I240/J240</f>
        <v>6389.24399781775</v>
      </c>
      <c r="M240" s="1561" t="n">
        <f aca="false">VLOOKUP($A240,Tariff_Table,Tariff!$F$33)</f>
        <v>0.369001046875806</v>
      </c>
      <c r="N240" s="1575" t="n">
        <f aca="false">$C240*M240</f>
        <v>770.86131534266</v>
      </c>
      <c r="O240" s="1565" t="n">
        <f aca="false">VLOOKUP($A240,Curves_Table,Escalation!$R$291)</f>
        <v>4.49294778333362</v>
      </c>
      <c r="P240" s="1577" t="n">
        <f aca="false">N240*O240</f>
        <v>3463.43963802644</v>
      </c>
      <c r="R240" s="1578" t="n">
        <f aca="false">SUM(K240,P240)</f>
        <v>9852.68363584419</v>
      </c>
      <c r="S240" s="1540" t="n">
        <f aca="false">'Plant Operations'!C240</f>
        <v>480</v>
      </c>
      <c r="T240" s="1575" t="n">
        <f aca="false">R240*S240/1000</f>
        <v>4729.28814520521</v>
      </c>
      <c r="U240" s="1576" t="n">
        <f aca="false">$I240</f>
        <v>3.06799510562553</v>
      </c>
      <c r="V240" s="394" t="n">
        <f aca="false">T240/U240</f>
        <v>1541.49142432904</v>
      </c>
      <c r="W240" s="1579" t="str">
        <f aca="false">IF(MONTH($A240)=12,SUM(V229:V240)," ")</f>
        <v> </v>
      </c>
      <c r="Y240" s="1580" t="n">
        <f aca="false">IF($A240&gt;Endyr,0,VLOOKUP($A240,Tariff_Table,Tariff!$J$33))</f>
        <v>0.19</v>
      </c>
      <c r="Z240" s="1576" t="n">
        <f aca="false">VLOOKUP($A240,Curves_Table,Escalation!$AH$291)</f>
        <v>4.49294778333362</v>
      </c>
      <c r="AA240" s="1576" t="n">
        <f aca="false">Y240*Z240</f>
        <v>0.853660078833388</v>
      </c>
      <c r="AB240" s="397" t="n">
        <f aca="false">'Plant Operations'!$I240+'Plant Operations'!$M240</f>
        <v>289336.32</v>
      </c>
      <c r="AC240" s="1575" t="n">
        <f aca="false">AA240*AB240/1000</f>
        <v>246.994865740562</v>
      </c>
      <c r="AD240" s="1576" t="n">
        <f aca="false">$I240</f>
        <v>3.06799510562553</v>
      </c>
      <c r="AE240" s="1566" t="n">
        <f aca="false">AC240/AD240</f>
        <v>80.5069295213896</v>
      </c>
      <c r="AF240" s="1567" t="str">
        <f aca="false">IF(MONTH($A240)=12,SUM(AE229:AE240)," ")</f>
        <v> </v>
      </c>
    </row>
    <row r="241" customFormat="false" ht="12.75" hidden="false" customHeight="false" outlineLevel="0" collapsed="false">
      <c r="A241" s="1538" t="n">
        <f aca="false">'Plant Operations'!A241</f>
        <v>43221</v>
      </c>
      <c r="C241" s="1574" t="n">
        <f aca="false">IF($A241&gt;Endyr,0,VLOOKUP($A241,Tariff_Table,Tariff!$D$33))</f>
        <v>1291.01851851852</v>
      </c>
      <c r="E241" s="1561" t="n">
        <f aca="false">VLOOKUP($A241,Tariff_Table,Tariff!$E$33)</f>
        <v>0.540003288019106</v>
      </c>
      <c r="F241" s="1575" t="n">
        <f aca="false">$C241*E241</f>
        <v>697.154244893555</v>
      </c>
      <c r="G241" s="1565" t="n">
        <f aca="false">VLOOKUP($A241,Curves_Table,Escalation!$N$291)</f>
        <v>1.72801332733687</v>
      </c>
      <c r="H241" s="1575" t="n">
        <f aca="false">F241*G241</f>
        <v>1204.69182638553</v>
      </c>
      <c r="I241" s="1576" t="n">
        <f aca="false">IF(Assm!$L$74=0,VLOOKUP($A241,Curves_Table,Escalation!$D$291),VLOOKUP($A241,Curves_Table,Escalation!$E$291))</f>
        <v>3.07305982312594</v>
      </c>
      <c r="J241" s="1576" t="n">
        <f aca="false">IF($A241&lt;EE_Date,VLOOKUP($A241,Curves_Table,Escalation!$D$291),Exch)</f>
        <v>1.065</v>
      </c>
      <c r="K241" s="1577" t="n">
        <f aca="false">H241*I241/J241</f>
        <v>3476.14089287662</v>
      </c>
      <c r="M241" s="1561" t="n">
        <f aca="false">VLOOKUP($A241,Tariff_Table,Tariff!$F$33)</f>
        <v>0.459996711980894</v>
      </c>
      <c r="N241" s="1575" t="n">
        <f aca="false">$C241*M241</f>
        <v>593.864273624964</v>
      </c>
      <c r="O241" s="1565" t="n">
        <f aca="false">VLOOKUP($A241,Curves_Table,Escalation!$R$291)</f>
        <v>4.79846823260031</v>
      </c>
      <c r="P241" s="1577" t="n">
        <f aca="false">N241*O241</f>
        <v>2849.63885146565</v>
      </c>
      <c r="R241" s="1578" t="n">
        <f aca="false">SUM(K241,P241)</f>
        <v>6325.77974434226</v>
      </c>
      <c r="S241" s="1540" t="n">
        <f aca="false">'Plant Operations'!C241</f>
        <v>480</v>
      </c>
      <c r="T241" s="1575" t="n">
        <f aca="false">R241*S241/1000</f>
        <v>3036.37427728429</v>
      </c>
      <c r="U241" s="1576" t="n">
        <f aca="false">$I241</f>
        <v>3.07305982312594</v>
      </c>
      <c r="V241" s="394" t="n">
        <f aca="false">T241/U241</f>
        <v>988.062209018652</v>
      </c>
      <c r="W241" s="1579" t="str">
        <f aca="false">IF(MONTH($A241)=12,SUM(V230:V241)," ")</f>
        <v> </v>
      </c>
      <c r="Y241" s="1580" t="n">
        <f aca="false">IF($A241&gt;Endyr,0,VLOOKUP($A241,Tariff_Table,Tariff!$J$33))</f>
        <v>0.19</v>
      </c>
      <c r="Z241" s="1576" t="n">
        <f aca="false">VLOOKUP($A241,Curves_Table,Escalation!$AH$291)</f>
        <v>4.79846823260031</v>
      </c>
      <c r="AA241" s="1576" t="n">
        <f aca="false">Y241*Z241</f>
        <v>0.911708964194059</v>
      </c>
      <c r="AB241" s="397" t="n">
        <f aca="false">'Plant Operations'!$I241+'Plant Operations'!$M241</f>
        <v>298980.864</v>
      </c>
      <c r="AC241" s="1575" t="n">
        <f aca="false">AA241*AB241/1000</f>
        <v>272.583533831285</v>
      </c>
      <c r="AD241" s="1576" t="n">
        <f aca="false">$I241</f>
        <v>3.07305982312594</v>
      </c>
      <c r="AE241" s="1566" t="n">
        <f aca="false">AC241/AD241</f>
        <v>88.7010177218127</v>
      </c>
      <c r="AF241" s="1567" t="str">
        <f aca="false">IF(MONTH($A241)=12,SUM(AE230:AE241)," ")</f>
        <v> </v>
      </c>
    </row>
    <row r="242" customFormat="false" ht="12.75" hidden="false" customHeight="false" outlineLevel="0" collapsed="false">
      <c r="A242" s="1538" t="n">
        <f aca="false">'Plant Operations'!A242</f>
        <v>43252</v>
      </c>
      <c r="C242" s="1574" t="n">
        <f aca="false">IF($A242&gt;Endyr,0,VLOOKUP($A242,Tariff_Table,Tariff!$D$33))</f>
        <v>1291.01851851852</v>
      </c>
      <c r="E242" s="1561" t="n">
        <f aca="false">VLOOKUP($A242,Tariff_Table,Tariff!$E$33)</f>
        <v>0.540003288019106</v>
      </c>
      <c r="F242" s="1575" t="n">
        <f aca="false">$C242*E242</f>
        <v>697.154244893555</v>
      </c>
      <c r="G242" s="1565" t="n">
        <f aca="false">VLOOKUP($A242,Curves_Table,Escalation!$N$291)</f>
        <v>1.72801332733687</v>
      </c>
      <c r="H242" s="1575" t="n">
        <f aca="false">F242*G242</f>
        <v>1204.69182638553</v>
      </c>
      <c r="I242" s="1576" t="n">
        <f aca="false">IF(Assm!$L$74=0,VLOOKUP($A242,Curves_Table,Escalation!$D$291),VLOOKUP($A242,Curves_Table,Escalation!$E$291))</f>
        <v>3.07813290157952</v>
      </c>
      <c r="J242" s="1576" t="n">
        <f aca="false">IF($A242&lt;EE_Date,VLOOKUP($A242,Curves_Table,Escalation!$D$291),Exch)</f>
        <v>1.065</v>
      </c>
      <c r="K242" s="1577" t="n">
        <f aca="false">H242*I242/J242</f>
        <v>3481.87938691195</v>
      </c>
      <c r="M242" s="1561" t="n">
        <f aca="false">VLOOKUP($A242,Tariff_Table,Tariff!$F$33)</f>
        <v>0.459996711980894</v>
      </c>
      <c r="N242" s="1575" t="n">
        <f aca="false">$C242*M242</f>
        <v>593.864273624964</v>
      </c>
      <c r="O242" s="1565" t="n">
        <f aca="false">VLOOKUP($A242,Curves_Table,Escalation!$R$291)</f>
        <v>4.79846823260031</v>
      </c>
      <c r="P242" s="1577" t="n">
        <f aca="false">N242*O242</f>
        <v>2849.63885146565</v>
      </c>
      <c r="R242" s="1578" t="n">
        <f aca="false">SUM(K242,P242)</f>
        <v>6331.5182383776</v>
      </c>
      <c r="S242" s="1540" t="n">
        <f aca="false">'Plant Operations'!C242</f>
        <v>480</v>
      </c>
      <c r="T242" s="1575" t="n">
        <f aca="false">R242*S242/1000</f>
        <v>3039.12875442125</v>
      </c>
      <c r="U242" s="1576" t="n">
        <f aca="false">$I242</f>
        <v>3.07813290157952</v>
      </c>
      <c r="V242" s="394" t="n">
        <f aca="false">T242/U242</f>
        <v>987.32863446596</v>
      </c>
      <c r="W242" s="1579" t="str">
        <f aca="false">IF(MONTH($A242)=12,SUM(V231:V242)," ")</f>
        <v> </v>
      </c>
      <c r="Y242" s="1580" t="n">
        <f aca="false">IF($A242&gt;Endyr,0,VLOOKUP($A242,Tariff_Table,Tariff!$J$33))</f>
        <v>0.19</v>
      </c>
      <c r="Z242" s="1576" t="n">
        <f aca="false">VLOOKUP($A242,Curves_Table,Escalation!$AH$291)</f>
        <v>4.79846823260031</v>
      </c>
      <c r="AA242" s="1576" t="n">
        <f aca="false">Y242*Z242</f>
        <v>0.911708964194059</v>
      </c>
      <c r="AB242" s="397" t="n">
        <f aca="false">'Plant Operations'!$I242+'Plant Operations'!$M242</f>
        <v>289336.32</v>
      </c>
      <c r="AC242" s="1575" t="n">
        <f aca="false">AA242*AB242/1000</f>
        <v>263.790516610921</v>
      </c>
      <c r="AD242" s="1576" t="n">
        <f aca="false">$I242</f>
        <v>3.07813290157952</v>
      </c>
      <c r="AE242" s="1566" t="n">
        <f aca="false">AC242/AD242</f>
        <v>85.6982219564201</v>
      </c>
      <c r="AF242" s="1567" t="str">
        <f aca="false">IF(MONTH($A242)=12,SUM(AE231:AE242)," ")</f>
        <v> </v>
      </c>
    </row>
    <row r="243" customFormat="false" ht="12.75" hidden="false" customHeight="false" outlineLevel="0" collapsed="false">
      <c r="A243" s="1538" t="n">
        <f aca="false">'Plant Operations'!A243</f>
        <v>43282</v>
      </c>
      <c r="C243" s="1574" t="n">
        <f aca="false">IF($A243&gt;Endyr,0,VLOOKUP($A243,Tariff_Table,Tariff!$D$33))</f>
        <v>1291.01851851852</v>
      </c>
      <c r="E243" s="1561" t="n">
        <f aca="false">VLOOKUP($A243,Tariff_Table,Tariff!$E$33)</f>
        <v>0.540003288019106</v>
      </c>
      <c r="F243" s="1575" t="n">
        <f aca="false">$C243*E243</f>
        <v>697.154244893555</v>
      </c>
      <c r="G243" s="1565" t="n">
        <f aca="false">VLOOKUP($A243,Curves_Table,Escalation!$N$291)</f>
        <v>1.72801332733687</v>
      </c>
      <c r="H243" s="1575" t="n">
        <f aca="false">F243*G243</f>
        <v>1204.69182638553</v>
      </c>
      <c r="I243" s="1576" t="n">
        <f aca="false">IF(Assm!$L$74=0,VLOOKUP($A243,Curves_Table,Escalation!$D$291),VLOOKUP($A243,Curves_Table,Escalation!$E$291))</f>
        <v>3.0832143547887</v>
      </c>
      <c r="J243" s="1576" t="n">
        <f aca="false">IF($A243&lt;EE_Date,VLOOKUP($A243,Curves_Table,Escalation!$D$291),Exch)</f>
        <v>1.065</v>
      </c>
      <c r="K243" s="1577" t="n">
        <f aca="false">H243*I243/J243</f>
        <v>3487.62735418638</v>
      </c>
      <c r="M243" s="1561" t="n">
        <f aca="false">VLOOKUP($A243,Tariff_Table,Tariff!$F$33)</f>
        <v>0.459996711980894</v>
      </c>
      <c r="N243" s="1575" t="n">
        <f aca="false">$C243*M243</f>
        <v>593.864273624964</v>
      </c>
      <c r="O243" s="1565" t="n">
        <f aca="false">VLOOKUP($A243,Curves_Table,Escalation!$R$291)</f>
        <v>4.79846823260031</v>
      </c>
      <c r="P243" s="1577" t="n">
        <f aca="false">N243*O243</f>
        <v>2849.63885146565</v>
      </c>
      <c r="R243" s="1578" t="n">
        <f aca="false">SUM(K243,P243)</f>
        <v>6337.26620565202</v>
      </c>
      <c r="S243" s="1540" t="n">
        <f aca="false">'Plant Operations'!C243</f>
        <v>480</v>
      </c>
      <c r="T243" s="1575" t="n">
        <f aca="false">R243*S243/1000</f>
        <v>3041.88777871297</v>
      </c>
      <c r="U243" s="1576" t="n">
        <f aca="false">$I243</f>
        <v>3.0832143547887</v>
      </c>
      <c r="V243" s="394" t="n">
        <f aca="false">T243/U243</f>
        <v>986.596268919305</v>
      </c>
      <c r="W243" s="1579" t="str">
        <f aca="false">IF(MONTH($A243)=12,SUM(V232:V243)," ")</f>
        <v> </v>
      </c>
      <c r="Y243" s="1580" t="n">
        <f aca="false">IF($A243&gt;Endyr,0,VLOOKUP($A243,Tariff_Table,Tariff!$J$33))</f>
        <v>0.19</v>
      </c>
      <c r="Z243" s="1576" t="n">
        <f aca="false">VLOOKUP($A243,Curves_Table,Escalation!$AH$291)</f>
        <v>4.79846823260031</v>
      </c>
      <c r="AA243" s="1576" t="n">
        <f aca="false">Y243*Z243</f>
        <v>0.911708964194059</v>
      </c>
      <c r="AB243" s="397" t="n">
        <f aca="false">'Plant Operations'!$I243+'Plant Operations'!$M243</f>
        <v>298980.864</v>
      </c>
      <c r="AC243" s="1575" t="n">
        <f aca="false">AA243*AB243/1000</f>
        <v>272.583533831285</v>
      </c>
      <c r="AD243" s="1576" t="n">
        <f aca="false">$I243</f>
        <v>3.0832143547887</v>
      </c>
      <c r="AE243" s="1566" t="n">
        <f aca="false">AC243/AD243</f>
        <v>88.4088819215315</v>
      </c>
      <c r="AF243" s="1567" t="str">
        <f aca="false">IF(MONTH($A243)=12,SUM(AE232:AE243)," ")</f>
        <v> </v>
      </c>
    </row>
    <row r="244" customFormat="false" ht="12.75" hidden="false" customHeight="false" outlineLevel="0" collapsed="false">
      <c r="A244" s="1538" t="n">
        <f aca="false">'Plant Operations'!A244</f>
        <v>43313</v>
      </c>
      <c r="C244" s="1574" t="n">
        <f aca="false">IF($A244&gt;Endyr,0,VLOOKUP($A244,Tariff_Table,Tariff!$D$33))</f>
        <v>1291.01851851852</v>
      </c>
      <c r="E244" s="1561" t="n">
        <f aca="false">VLOOKUP($A244,Tariff_Table,Tariff!$E$33)</f>
        <v>0.540003288019106</v>
      </c>
      <c r="F244" s="1575" t="n">
        <f aca="false">$C244*E244</f>
        <v>697.154244893555</v>
      </c>
      <c r="G244" s="1565" t="n">
        <f aca="false">VLOOKUP($A244,Curves_Table,Escalation!$N$291)</f>
        <v>1.72801332733687</v>
      </c>
      <c r="H244" s="1575" t="n">
        <f aca="false">F244*G244</f>
        <v>1204.69182638553</v>
      </c>
      <c r="I244" s="1576" t="n">
        <f aca="false">IF(Assm!$L$74=0,VLOOKUP($A244,Curves_Table,Escalation!$D$291),VLOOKUP($A244,Curves_Table,Escalation!$E$291))</f>
        <v>3.08830419657873</v>
      </c>
      <c r="J244" s="1576" t="n">
        <f aca="false">IF($A244&lt;EE_Date,VLOOKUP($A244,Curves_Table,Escalation!$D$291),Exch)</f>
        <v>1.065</v>
      </c>
      <c r="K244" s="1577" t="n">
        <f aca="false">H244*I244/J244</f>
        <v>3493.38481033854</v>
      </c>
      <c r="M244" s="1561" t="n">
        <f aca="false">VLOOKUP($A244,Tariff_Table,Tariff!$F$33)</f>
        <v>0.459996711980894</v>
      </c>
      <c r="N244" s="1575" t="n">
        <f aca="false">$C244*M244</f>
        <v>593.864273624964</v>
      </c>
      <c r="O244" s="1565" t="n">
        <f aca="false">VLOOKUP($A244,Curves_Table,Escalation!$R$291)</f>
        <v>4.79846823260031</v>
      </c>
      <c r="P244" s="1577" t="n">
        <f aca="false">N244*O244</f>
        <v>2849.63885146565</v>
      </c>
      <c r="R244" s="1578" t="n">
        <f aca="false">SUM(K244,P244)</f>
        <v>6343.02366180418</v>
      </c>
      <c r="S244" s="1540" t="n">
        <f aca="false">'Plant Operations'!C244</f>
        <v>480</v>
      </c>
      <c r="T244" s="1575" t="n">
        <f aca="false">R244*S244/1000</f>
        <v>3044.65135766601</v>
      </c>
      <c r="U244" s="1576" t="n">
        <f aca="false">$I244</f>
        <v>3.08830419657873</v>
      </c>
      <c r="V244" s="394" t="n">
        <f aca="false">T244/U244</f>
        <v>985.865110386119</v>
      </c>
      <c r="W244" s="1579" t="str">
        <f aca="false">IF(MONTH($A244)=12,SUM(V233:V244)," ")</f>
        <v> </v>
      </c>
      <c r="Y244" s="1580" t="n">
        <f aca="false">IF($A244&gt;Endyr,0,VLOOKUP($A244,Tariff_Table,Tariff!$J$33))</f>
        <v>0.19</v>
      </c>
      <c r="Z244" s="1576" t="n">
        <f aca="false">VLOOKUP($A244,Curves_Table,Escalation!$AH$291)</f>
        <v>4.79846823260031</v>
      </c>
      <c r="AA244" s="1576" t="n">
        <f aca="false">Y244*Z244</f>
        <v>0.911708964194059</v>
      </c>
      <c r="AB244" s="397" t="n">
        <f aca="false">'Plant Operations'!$I244+'Plant Operations'!$M244</f>
        <v>298980.864</v>
      </c>
      <c r="AC244" s="1575" t="n">
        <f aca="false">AA244*AB244/1000</f>
        <v>272.583533831285</v>
      </c>
      <c r="AD244" s="1576" t="n">
        <f aca="false">$I244</f>
        <v>3.08830419657873</v>
      </c>
      <c r="AE244" s="1566" t="n">
        <f aca="false">AC244/AD244</f>
        <v>88.2631750244217</v>
      </c>
      <c r="AF244" s="1567" t="str">
        <f aca="false">IF(MONTH($A244)=12,SUM(AE233:AE244)," ")</f>
        <v> </v>
      </c>
    </row>
    <row r="245" customFormat="false" ht="12.75" hidden="false" customHeight="false" outlineLevel="0" collapsed="false">
      <c r="A245" s="1538" t="n">
        <f aca="false">'Plant Operations'!A245</f>
        <v>43344</v>
      </c>
      <c r="C245" s="1574" t="n">
        <f aca="false">IF($A245&gt;Endyr,0,VLOOKUP($A245,Tariff_Table,Tariff!$D$33))</f>
        <v>1291.01851851852</v>
      </c>
      <c r="E245" s="1561" t="n">
        <f aca="false">VLOOKUP($A245,Tariff_Table,Tariff!$E$33)</f>
        <v>0.540003288019106</v>
      </c>
      <c r="F245" s="1575" t="n">
        <f aca="false">$C245*E245</f>
        <v>697.154244893555</v>
      </c>
      <c r="G245" s="1565" t="n">
        <f aca="false">VLOOKUP($A245,Curves_Table,Escalation!$N$291)</f>
        <v>1.72801332733687</v>
      </c>
      <c r="H245" s="1575" t="n">
        <f aca="false">F245*G245</f>
        <v>1204.69182638553</v>
      </c>
      <c r="I245" s="1576" t="n">
        <f aca="false">IF(Assm!$L$74=0,VLOOKUP($A245,Curves_Table,Escalation!$D$291),VLOOKUP($A245,Curves_Table,Escalation!$E$291))</f>
        <v>3.09340244079768</v>
      </c>
      <c r="J245" s="1576" t="n">
        <f aca="false">IF($A245&lt;EE_Date,VLOOKUP($A245,Curves_Table,Escalation!$D$291),Exch)</f>
        <v>1.065</v>
      </c>
      <c r="K245" s="1577" t="n">
        <f aca="false">H245*I245/J245</f>
        <v>3499.15177103289</v>
      </c>
      <c r="M245" s="1561" t="n">
        <f aca="false">VLOOKUP($A245,Tariff_Table,Tariff!$F$33)</f>
        <v>0.459996711980894</v>
      </c>
      <c r="N245" s="1575" t="n">
        <f aca="false">$C245*M245</f>
        <v>593.864273624964</v>
      </c>
      <c r="O245" s="1565" t="n">
        <f aca="false">VLOOKUP($A245,Curves_Table,Escalation!$R$291)</f>
        <v>4.79846823260031</v>
      </c>
      <c r="P245" s="1577" t="n">
        <f aca="false">N245*O245</f>
        <v>2849.63885146565</v>
      </c>
      <c r="R245" s="1578" t="n">
        <f aca="false">SUM(K245,P245)</f>
        <v>6348.79062249854</v>
      </c>
      <c r="S245" s="1540" t="n">
        <f aca="false">'Plant Operations'!C245</f>
        <v>480</v>
      </c>
      <c r="T245" s="1575" t="n">
        <f aca="false">R245*S245/1000</f>
        <v>3047.4194987993</v>
      </c>
      <c r="U245" s="1576" t="n">
        <f aca="false">$I245</f>
        <v>3.09340244079768</v>
      </c>
      <c r="V245" s="394" t="n">
        <f aca="false">T245/U245</f>
        <v>985.135156877122</v>
      </c>
      <c r="W245" s="1579" t="str">
        <f aca="false">IF(MONTH($A245)=12,SUM(V234:V245)," ")</f>
        <v> </v>
      </c>
      <c r="Y245" s="1580" t="n">
        <f aca="false">IF($A245&gt;Endyr,0,VLOOKUP($A245,Tariff_Table,Tariff!$J$33))</f>
        <v>0.19</v>
      </c>
      <c r="Z245" s="1576" t="n">
        <f aca="false">VLOOKUP($A245,Curves_Table,Escalation!$AH$291)</f>
        <v>4.79846823260031</v>
      </c>
      <c r="AA245" s="1576" t="n">
        <f aca="false">Y245*Z245</f>
        <v>0.911708964194059</v>
      </c>
      <c r="AB245" s="397" t="n">
        <f aca="false">'Plant Operations'!$I245+'Plant Operations'!$M245</f>
        <v>289336.32</v>
      </c>
      <c r="AC245" s="1575" t="n">
        <f aca="false">AA245*AB245/1000</f>
        <v>263.790516610921</v>
      </c>
      <c r="AD245" s="1576" t="n">
        <f aca="false">$I245</f>
        <v>3.09340244079768</v>
      </c>
      <c r="AE245" s="1566" t="n">
        <f aca="false">AC245/AD245</f>
        <v>85.2752015489127</v>
      </c>
      <c r="AF245" s="1567" t="str">
        <f aca="false">IF(MONTH($A245)=12,SUM(AE234:AE245)," ")</f>
        <v> </v>
      </c>
    </row>
    <row r="246" customFormat="false" ht="12.75" hidden="false" customHeight="false" outlineLevel="0" collapsed="false">
      <c r="A246" s="1538" t="n">
        <f aca="false">'Plant Operations'!A246</f>
        <v>43374</v>
      </c>
      <c r="C246" s="1574" t="n">
        <f aca="false">IF($A246&gt;Endyr,0,VLOOKUP($A246,Tariff_Table,Tariff!$D$33))</f>
        <v>1291.01851851852</v>
      </c>
      <c r="E246" s="1561" t="n">
        <f aca="false">VLOOKUP($A246,Tariff_Table,Tariff!$E$33)</f>
        <v>0.540003288019106</v>
      </c>
      <c r="F246" s="1575" t="n">
        <f aca="false">$C246*E246</f>
        <v>697.154244893555</v>
      </c>
      <c r="G246" s="1565" t="n">
        <f aca="false">VLOOKUP($A246,Curves_Table,Escalation!$N$291)</f>
        <v>1.72801332733687</v>
      </c>
      <c r="H246" s="1575" t="n">
        <f aca="false">F246*G246</f>
        <v>1204.69182638553</v>
      </c>
      <c r="I246" s="1576" t="n">
        <f aca="false">IF(Assm!$L$74=0,VLOOKUP($A246,Curves_Table,Escalation!$D$291),VLOOKUP($A246,Curves_Table,Escalation!$E$291))</f>
        <v>3.09850910131647</v>
      </c>
      <c r="J246" s="1576" t="n">
        <f aca="false">IF($A246&lt;EE_Date,VLOOKUP($A246,Curves_Table,Escalation!$D$291),Exch)</f>
        <v>1.065</v>
      </c>
      <c r="K246" s="1577" t="n">
        <f aca="false">H246*I246/J246</f>
        <v>3504.92825195976</v>
      </c>
      <c r="M246" s="1561" t="n">
        <f aca="false">VLOOKUP($A246,Tariff_Table,Tariff!$F$33)</f>
        <v>0.459996711980894</v>
      </c>
      <c r="N246" s="1575" t="n">
        <f aca="false">$C246*M246</f>
        <v>593.864273624964</v>
      </c>
      <c r="O246" s="1565" t="n">
        <f aca="false">VLOOKUP($A246,Curves_Table,Escalation!$R$291)</f>
        <v>4.79846823260031</v>
      </c>
      <c r="P246" s="1577" t="n">
        <f aca="false">N246*O246</f>
        <v>2849.63885146565</v>
      </c>
      <c r="R246" s="1578" t="n">
        <f aca="false">SUM(K246,P246)</f>
        <v>6354.5671034254</v>
      </c>
      <c r="S246" s="1540" t="n">
        <f aca="false">'Plant Operations'!C246</f>
        <v>480</v>
      </c>
      <c r="T246" s="1575" t="n">
        <f aca="false">R246*S246/1000</f>
        <v>3050.19220964419</v>
      </c>
      <c r="U246" s="1576" t="n">
        <f aca="false">$I246</f>
        <v>3.09850910131647</v>
      </c>
      <c r="V246" s="394" t="n">
        <f aca="false">T246/U246</f>
        <v>984.406406406309</v>
      </c>
      <c r="W246" s="1579" t="str">
        <f aca="false">IF(MONTH($A246)=12,SUM(V235:V246)," ")</f>
        <v> </v>
      </c>
      <c r="Y246" s="1580" t="n">
        <f aca="false">IF($A246&gt;Endyr,0,VLOOKUP($A246,Tariff_Table,Tariff!$J$33))</f>
        <v>0.19</v>
      </c>
      <c r="Z246" s="1576" t="n">
        <f aca="false">VLOOKUP($A246,Curves_Table,Escalation!$AH$291)</f>
        <v>4.79846823260031</v>
      </c>
      <c r="AA246" s="1576" t="n">
        <f aca="false">Y246*Z246</f>
        <v>0.911708964194059</v>
      </c>
      <c r="AB246" s="397" t="n">
        <f aca="false">'Plant Operations'!$I246+'Plant Operations'!$M246</f>
        <v>298980.864</v>
      </c>
      <c r="AC246" s="1575" t="n">
        <f aca="false">AA246*AB246/1000</f>
        <v>272.583533831285</v>
      </c>
      <c r="AD246" s="1576" t="n">
        <f aca="false">$I246</f>
        <v>3.09850910131647</v>
      </c>
      <c r="AE246" s="1566" t="n">
        <f aca="false">AC246/AD246</f>
        <v>87.9724812541204</v>
      </c>
      <c r="AF246" s="1567" t="str">
        <f aca="false">IF(MONTH($A246)=12,SUM(AE235:AE246)," ")</f>
        <v> </v>
      </c>
    </row>
    <row r="247" customFormat="false" ht="12.75" hidden="false" customHeight="false" outlineLevel="0" collapsed="false">
      <c r="A247" s="1538" t="n">
        <f aca="false">'Plant Operations'!A247</f>
        <v>43405</v>
      </c>
      <c r="C247" s="1574" t="n">
        <f aca="false">IF($A247&gt;Endyr,0,VLOOKUP($A247,Tariff_Table,Tariff!$D$33))</f>
        <v>1291.01851851852</v>
      </c>
      <c r="E247" s="1561" t="n">
        <f aca="false">VLOOKUP($A247,Tariff_Table,Tariff!$E$33)</f>
        <v>0.540003288019106</v>
      </c>
      <c r="F247" s="1575" t="n">
        <f aca="false">$C247*E247</f>
        <v>697.154244893555</v>
      </c>
      <c r="G247" s="1565" t="n">
        <f aca="false">VLOOKUP($A247,Curves_Table,Escalation!$N$291)</f>
        <v>1.72801332733687</v>
      </c>
      <c r="H247" s="1575" t="n">
        <f aca="false">F247*G247</f>
        <v>1204.69182638553</v>
      </c>
      <c r="I247" s="1576" t="n">
        <f aca="false">IF(Assm!$L$74=0,VLOOKUP($A247,Curves_Table,Escalation!$D$291),VLOOKUP($A247,Curves_Table,Escalation!$E$291))</f>
        <v>3.10362419202893</v>
      </c>
      <c r="J247" s="1576" t="n">
        <f aca="false">IF($A247&lt;EE_Date,VLOOKUP($A247,Curves_Table,Escalation!$D$291),Exch)</f>
        <v>1.065</v>
      </c>
      <c r="K247" s="1577" t="n">
        <f aca="false">H247*I247/J247</f>
        <v>3510.71426883536</v>
      </c>
      <c r="M247" s="1561" t="n">
        <f aca="false">VLOOKUP($A247,Tariff_Table,Tariff!$F$33)</f>
        <v>0.459996711980894</v>
      </c>
      <c r="N247" s="1575" t="n">
        <f aca="false">$C247*M247</f>
        <v>593.864273624964</v>
      </c>
      <c r="O247" s="1565" t="n">
        <f aca="false">VLOOKUP($A247,Curves_Table,Escalation!$R$291)</f>
        <v>4.79846823260031</v>
      </c>
      <c r="P247" s="1577" t="n">
        <f aca="false">N247*O247</f>
        <v>2849.63885146565</v>
      </c>
      <c r="R247" s="1578" t="n">
        <f aca="false">SUM(K247,P247)</f>
        <v>6360.353120301</v>
      </c>
      <c r="S247" s="1540" t="n">
        <f aca="false">'Plant Operations'!C247</f>
        <v>480</v>
      </c>
      <c r="T247" s="1575" t="n">
        <f aca="false">R247*S247/1000</f>
        <v>3052.96949774448</v>
      </c>
      <c r="U247" s="1576" t="n">
        <f aca="false">$I247</f>
        <v>3.10362419202893</v>
      </c>
      <c r="V247" s="394" t="n">
        <f aca="false">T247/U247</f>
        <v>983.678856990951</v>
      </c>
      <c r="W247" s="1579" t="str">
        <f aca="false">IF(MONTH($A247)=12,SUM(V236:V247)," ")</f>
        <v> </v>
      </c>
      <c r="Y247" s="1580" t="n">
        <f aca="false">IF($A247&gt;Endyr,0,VLOOKUP($A247,Tariff_Table,Tariff!$J$33))</f>
        <v>0.19</v>
      </c>
      <c r="Z247" s="1576" t="n">
        <f aca="false">VLOOKUP($A247,Curves_Table,Escalation!$AH$291)</f>
        <v>4.79846823260031</v>
      </c>
      <c r="AA247" s="1576" t="n">
        <f aca="false">Y247*Z247</f>
        <v>0.911708964194059</v>
      </c>
      <c r="AB247" s="397" t="n">
        <f aca="false">'Plant Operations'!$I247+'Plant Operations'!$M247</f>
        <v>289336.32</v>
      </c>
      <c r="AC247" s="1575" t="n">
        <f aca="false">AA247*AB247/1000</f>
        <v>263.790516610921</v>
      </c>
      <c r="AD247" s="1576" t="n">
        <f aca="false">$I247</f>
        <v>3.10362419202893</v>
      </c>
      <c r="AE247" s="1566" t="n">
        <f aca="false">AC247/AD247</f>
        <v>84.9943486355136</v>
      </c>
      <c r="AF247" s="1567" t="str">
        <f aca="false">IF(MONTH($A247)=12,SUM(AE236:AE247)," ")</f>
        <v> </v>
      </c>
    </row>
    <row r="248" customFormat="false" ht="12.75" hidden="false" customHeight="false" outlineLevel="0" collapsed="false">
      <c r="A248" s="1538" t="n">
        <f aca="false">'Plant Operations'!A248</f>
        <v>43435</v>
      </c>
      <c r="C248" s="1574" t="n">
        <f aca="false">IF($A248&gt;Endyr,0,VLOOKUP($A248,Tariff_Table,Tariff!$D$33))</f>
        <v>1291.01851851852</v>
      </c>
      <c r="E248" s="1561" t="n">
        <f aca="false">VLOOKUP($A248,Tariff_Table,Tariff!$E$33)</f>
        <v>0.540003288019106</v>
      </c>
      <c r="F248" s="1575" t="n">
        <f aca="false">$C248*E248</f>
        <v>697.154244893555</v>
      </c>
      <c r="G248" s="1565" t="n">
        <f aca="false">VLOOKUP($A248,Curves_Table,Escalation!$N$291)</f>
        <v>1.72801332733687</v>
      </c>
      <c r="H248" s="1575" t="n">
        <f aca="false">F248*G248</f>
        <v>1204.69182638553</v>
      </c>
      <c r="I248" s="1576" t="n">
        <f aca="false">IF(Assm!$L$74=0,VLOOKUP($A248,Curves_Table,Escalation!$D$291),VLOOKUP($A248,Curves_Table,Escalation!$E$291))</f>
        <v>3.10874772685181</v>
      </c>
      <c r="J248" s="1576" t="n">
        <f aca="false">IF($A248&lt;EE_Date,VLOOKUP($A248,Curves_Table,Escalation!$D$291),Exch)</f>
        <v>1.065</v>
      </c>
      <c r="K248" s="1577" t="n">
        <f aca="false">H248*I248/J248</f>
        <v>3516.50983740186</v>
      </c>
      <c r="M248" s="1561" t="n">
        <f aca="false">VLOOKUP($A248,Tariff_Table,Tariff!$F$33)</f>
        <v>0.459996711980894</v>
      </c>
      <c r="N248" s="1575" t="n">
        <f aca="false">$C248*M248</f>
        <v>593.864273624964</v>
      </c>
      <c r="O248" s="1565" t="n">
        <f aca="false">VLOOKUP($A248,Curves_Table,Escalation!$R$291)</f>
        <v>4.79846823260031</v>
      </c>
      <c r="P248" s="1577" t="n">
        <f aca="false">N248*O248</f>
        <v>2849.63885146565</v>
      </c>
      <c r="R248" s="1578" t="n">
        <f aca="false">SUM(K248,P248)</f>
        <v>6366.1486888675</v>
      </c>
      <c r="S248" s="1540" t="n">
        <f aca="false">'Plant Operations'!C248</f>
        <v>480</v>
      </c>
      <c r="T248" s="1575" t="n">
        <f aca="false">R248*S248/1000</f>
        <v>3055.7513706564</v>
      </c>
      <c r="U248" s="1576" t="n">
        <f aca="false">$I248</f>
        <v>3.10874772685181</v>
      </c>
      <c r="V248" s="394" t="n">
        <f aca="false">T248/U248</f>
        <v>982.952506651586</v>
      </c>
      <c r="W248" s="1579" t="n">
        <f aca="false">IF(MONTH($A248)=12,SUM(V237:V248)," ")</f>
        <v>14055.3639344781</v>
      </c>
      <c r="Y248" s="1580" t="n">
        <f aca="false">IF($A248&gt;Endyr,0,VLOOKUP($A248,Tariff_Table,Tariff!$J$33))</f>
        <v>0.19</v>
      </c>
      <c r="Z248" s="1576" t="n">
        <f aca="false">VLOOKUP($A248,Curves_Table,Escalation!$AH$291)</f>
        <v>4.79846823260031</v>
      </c>
      <c r="AA248" s="1576" t="n">
        <f aca="false">Y248*Z248</f>
        <v>0.911708964194059</v>
      </c>
      <c r="AB248" s="397" t="n">
        <f aca="false">'Plant Operations'!$I248+'Plant Operations'!$M248</f>
        <v>298980.864</v>
      </c>
      <c r="AC248" s="1575" t="n">
        <f aca="false">AA248*AB248/1000</f>
        <v>272.583533831285</v>
      </c>
      <c r="AD248" s="1576" t="n">
        <f aca="false">$I248</f>
        <v>3.10874772685181</v>
      </c>
      <c r="AE248" s="1566" t="n">
        <f aca="false">AC248/AD248</f>
        <v>87.682744880469</v>
      </c>
      <c r="AF248" s="1567" t="n">
        <f aca="false">IF(MONTH($A248)=12,SUM(AE237:AE248)," ")</f>
        <v>1019.8220925543</v>
      </c>
    </row>
    <row r="249" customFormat="false" ht="12.75" hidden="false" customHeight="false" outlineLevel="0" collapsed="false">
      <c r="A249" s="1538" t="n">
        <f aca="false">'Plant Operations'!A249</f>
        <v>43466</v>
      </c>
      <c r="C249" s="1574" t="n">
        <f aca="false">IF($A249&gt;Endyr,0,VLOOKUP($A249,Tariff_Table,Tariff!$D$33))</f>
        <v>1291.01851851852</v>
      </c>
      <c r="E249" s="1561" t="n">
        <f aca="false">VLOOKUP($A249,Tariff_Table,Tariff!$E$33)</f>
        <v>0.540003288019106</v>
      </c>
      <c r="F249" s="1575" t="n">
        <f aca="false">$C249*E249</f>
        <v>697.154244893555</v>
      </c>
      <c r="G249" s="1565" t="n">
        <f aca="false">VLOOKUP($A249,Curves_Table,Escalation!$N$291)</f>
        <v>1.72801332733687</v>
      </c>
      <c r="H249" s="1575" t="n">
        <f aca="false">F249*G249</f>
        <v>1204.69182638553</v>
      </c>
      <c r="I249" s="1576" t="n">
        <f aca="false">IF(Assm!$L$74=0,VLOOKUP($A249,Curves_Table,Escalation!$D$291),VLOOKUP($A249,Curves_Table,Escalation!$E$291))</f>
        <v>3.11389218833154</v>
      </c>
      <c r="J249" s="1576" t="n">
        <f aca="false">IF($A249&lt;EE_Date,VLOOKUP($A249,Curves_Table,Escalation!$D$291),Exch)</f>
        <v>1.065</v>
      </c>
      <c r="K249" s="1577" t="n">
        <f aca="false">H249*I249/J249</f>
        <v>3522.3290774918</v>
      </c>
      <c r="M249" s="1561" t="n">
        <f aca="false">VLOOKUP($A249,Tariff_Table,Tariff!$F$33)</f>
        <v>0.459996711980894</v>
      </c>
      <c r="N249" s="1575" t="n">
        <f aca="false">$C249*M249</f>
        <v>593.864273624964</v>
      </c>
      <c r="O249" s="1565" t="n">
        <f aca="false">VLOOKUP($A249,Curves_Table,Escalation!$R$291)</f>
        <v>4.79846823260031</v>
      </c>
      <c r="P249" s="1577" t="n">
        <f aca="false">N249*O249</f>
        <v>2849.63885146565</v>
      </c>
      <c r="R249" s="1578" t="n">
        <f aca="false">SUM(K249,P249)</f>
        <v>6371.96792895745</v>
      </c>
      <c r="S249" s="1540" t="n">
        <f aca="false">'Plant Operations'!C249</f>
        <v>480</v>
      </c>
      <c r="T249" s="1575" t="n">
        <f aca="false">R249*S249/1000</f>
        <v>3058.54460589958</v>
      </c>
      <c r="U249" s="1576" t="n">
        <f aca="false">$I249</f>
        <v>3.11389218833154</v>
      </c>
      <c r="V249" s="394" t="n">
        <f aca="false">T249/U249</f>
        <v>982.225594502159</v>
      </c>
      <c r="W249" s="1579" t="str">
        <f aca="false">IF(MONTH($A249)=12,SUM(V238:V249)," ")</f>
        <v> </v>
      </c>
      <c r="Y249" s="1580" t="n">
        <f aca="false">IF($A249&gt;Endyr,0,VLOOKUP($A249,Tariff_Table,Tariff!$J$33))</f>
        <v>0.19</v>
      </c>
      <c r="Z249" s="1576" t="n">
        <f aca="false">VLOOKUP($A249,Curves_Table,Escalation!$AH$291)</f>
        <v>4.79846823260031</v>
      </c>
      <c r="AA249" s="1576" t="n">
        <f aca="false">Y249*Z249</f>
        <v>0.911708964194059</v>
      </c>
      <c r="AB249" s="397" t="n">
        <f aca="false">'Plant Operations'!$I249+'Plant Operations'!$M249</f>
        <v>298980.864</v>
      </c>
      <c r="AC249" s="1575" t="n">
        <f aca="false">AA249*AB249/1000</f>
        <v>272.583533831285</v>
      </c>
      <c r="AD249" s="1576" t="n">
        <f aca="false">$I249</f>
        <v>3.11389218833154</v>
      </c>
      <c r="AE249" s="1566" t="n">
        <f aca="false">AC249/AD249</f>
        <v>87.5378842121501</v>
      </c>
      <c r="AF249" s="1567" t="str">
        <f aca="false">IF(MONTH($A249)=12,SUM(AE238:AE249)," ")</f>
        <v> </v>
      </c>
    </row>
    <row r="250" customFormat="false" ht="12.75" hidden="false" customHeight="false" outlineLevel="0" collapsed="false">
      <c r="A250" s="1538" t="n">
        <f aca="false">'Plant Operations'!A250</f>
        <v>43497</v>
      </c>
      <c r="C250" s="1574" t="n">
        <f aca="false">IF($A250&gt;Endyr,0,VLOOKUP($A250,Tariff_Table,Tariff!$D$33))</f>
        <v>1291.01851851852</v>
      </c>
      <c r="E250" s="1561" t="n">
        <f aca="false">VLOOKUP($A250,Tariff_Table,Tariff!$E$33)</f>
        <v>0.540003288019106</v>
      </c>
      <c r="F250" s="1575" t="n">
        <f aca="false">$C250*E250</f>
        <v>697.154244893555</v>
      </c>
      <c r="G250" s="1565" t="n">
        <f aca="false">VLOOKUP($A250,Curves_Table,Escalation!$N$291)</f>
        <v>1.72801332733687</v>
      </c>
      <c r="H250" s="1575" t="n">
        <f aca="false">F250*G250</f>
        <v>1204.69182638553</v>
      </c>
      <c r="I250" s="1576" t="n">
        <f aca="false">IF(Assm!$L$74=0,VLOOKUP($A250,Curves_Table,Escalation!$D$291),VLOOKUP($A250,Curves_Table,Escalation!$E$291))</f>
        <v>3.11904516304111</v>
      </c>
      <c r="J250" s="1576" t="n">
        <f aca="false">IF($A250&lt;EE_Date,VLOOKUP($A250,Curves_Table,Escalation!$D$291),Exch)</f>
        <v>1.065</v>
      </c>
      <c r="K250" s="1577" t="n">
        <f aca="false">H250*I250/J250</f>
        <v>3528.15794745818</v>
      </c>
      <c r="M250" s="1561" t="n">
        <f aca="false">VLOOKUP($A250,Tariff_Table,Tariff!$F$33)</f>
        <v>0.459996711980894</v>
      </c>
      <c r="N250" s="1575" t="n">
        <f aca="false">$C250*M250</f>
        <v>593.864273624964</v>
      </c>
      <c r="O250" s="1565" t="n">
        <f aca="false">VLOOKUP($A250,Curves_Table,Escalation!$R$291)</f>
        <v>4.79846823260031</v>
      </c>
      <c r="P250" s="1577" t="n">
        <f aca="false">N250*O250</f>
        <v>2849.63885146565</v>
      </c>
      <c r="R250" s="1578" t="n">
        <f aca="false">SUM(K250,P250)</f>
        <v>6377.79679892383</v>
      </c>
      <c r="S250" s="1540" t="n">
        <f aca="false">'Plant Operations'!C250</f>
        <v>480</v>
      </c>
      <c r="T250" s="1575" t="n">
        <f aca="false">R250*S250/1000</f>
        <v>3061.34246348344</v>
      </c>
      <c r="U250" s="1576" t="n">
        <f aca="false">$I250</f>
        <v>3.11904516304111</v>
      </c>
      <c r="V250" s="394" t="n">
        <f aca="false">T250/U250</f>
        <v>981.49988328434</v>
      </c>
      <c r="W250" s="1579" t="str">
        <f aca="false">IF(MONTH($A250)=12,SUM(V239:V250)," ")</f>
        <v> </v>
      </c>
      <c r="Y250" s="1580" t="n">
        <f aca="false">IF($A250&gt;Endyr,0,VLOOKUP($A250,Tariff_Table,Tariff!$J$33))</f>
        <v>0.19</v>
      </c>
      <c r="Z250" s="1576" t="n">
        <f aca="false">VLOOKUP($A250,Curves_Table,Escalation!$AH$291)</f>
        <v>4.79846823260031</v>
      </c>
      <c r="AA250" s="1576" t="n">
        <f aca="false">Y250*Z250</f>
        <v>0.911708964194059</v>
      </c>
      <c r="AB250" s="397" t="n">
        <f aca="false">'Plant Operations'!$I250+'Plant Operations'!$M250</f>
        <v>270047.232</v>
      </c>
      <c r="AC250" s="1575" t="n">
        <f aca="false">AA250*AB250/1000</f>
        <v>246.204482170193</v>
      </c>
      <c r="AD250" s="1576" t="n">
        <f aca="false">$I250</f>
        <v>3.11904516304111</v>
      </c>
      <c r="AE250" s="1566" t="n">
        <f aca="false">AC250/AD250</f>
        <v>78.9358503325229</v>
      </c>
      <c r="AF250" s="1567" t="str">
        <f aca="false">IF(MONTH($A250)=12,SUM(AE239:AE250)," ")</f>
        <v> </v>
      </c>
    </row>
    <row r="251" customFormat="false" ht="12.75" hidden="false" customHeight="false" outlineLevel="0" collapsed="false">
      <c r="A251" s="1538" t="n">
        <f aca="false">'Plant Operations'!A251</f>
        <v>43525</v>
      </c>
      <c r="C251" s="1574" t="n">
        <f aca="false">IF($A251&gt;Endyr,0,VLOOKUP($A251,Tariff_Table,Tariff!$D$33))</f>
        <v>1291.01851851852</v>
      </c>
      <c r="E251" s="1561" t="n">
        <f aca="false">VLOOKUP($A251,Tariff_Table,Tariff!$E$33)</f>
        <v>0.540003288019106</v>
      </c>
      <c r="F251" s="1575" t="n">
        <f aca="false">$C251*E251</f>
        <v>697.154244893555</v>
      </c>
      <c r="G251" s="1565" t="n">
        <f aca="false">VLOOKUP($A251,Curves_Table,Escalation!$N$291)</f>
        <v>1.72801332733687</v>
      </c>
      <c r="H251" s="1575" t="n">
        <f aca="false">F251*G251</f>
        <v>1204.69182638553</v>
      </c>
      <c r="I251" s="1576" t="n">
        <f aca="false">IF(Assm!$L$74=0,VLOOKUP($A251,Curves_Table,Escalation!$D$291),VLOOKUP($A251,Curves_Table,Escalation!$E$291))</f>
        <v>3.12420666506851</v>
      </c>
      <c r="J251" s="1576" t="n">
        <f aca="false">IF($A251&lt;EE_Date,VLOOKUP($A251,Curves_Table,Escalation!$D$291),Exch)</f>
        <v>1.065</v>
      </c>
      <c r="K251" s="1577" t="n">
        <f aca="false">H251*I251/J251</f>
        <v>3533.99646323685</v>
      </c>
      <c r="M251" s="1561" t="n">
        <f aca="false">VLOOKUP($A251,Tariff_Table,Tariff!$F$33)</f>
        <v>0.459996711980894</v>
      </c>
      <c r="N251" s="1575" t="n">
        <f aca="false">$C251*M251</f>
        <v>593.864273624964</v>
      </c>
      <c r="O251" s="1565" t="n">
        <f aca="false">VLOOKUP($A251,Curves_Table,Escalation!$R$291)</f>
        <v>4.79846823260031</v>
      </c>
      <c r="P251" s="1577" t="n">
        <f aca="false">N251*O251</f>
        <v>2849.63885146565</v>
      </c>
      <c r="R251" s="1578" t="n">
        <f aca="false">SUM(K251,P251)</f>
        <v>6383.6353147025</v>
      </c>
      <c r="S251" s="1540" t="n">
        <f aca="false">'Plant Operations'!C251</f>
        <v>480</v>
      </c>
      <c r="T251" s="1575" t="n">
        <f aca="false">R251*S251/1000</f>
        <v>3064.1449510572</v>
      </c>
      <c r="U251" s="1576" t="n">
        <f aca="false">$I251</f>
        <v>3.12420666506851</v>
      </c>
      <c r="V251" s="394" t="n">
        <f aca="false">T251/U251</f>
        <v>980.775371014069</v>
      </c>
      <c r="W251" s="1579" t="str">
        <f aca="false">IF(MONTH($A251)=12,SUM(V240:V251)," ")</f>
        <v> </v>
      </c>
      <c r="Y251" s="1580" t="n">
        <f aca="false">IF($A251&gt;Endyr,0,VLOOKUP($A251,Tariff_Table,Tariff!$J$33))</f>
        <v>0.19</v>
      </c>
      <c r="Z251" s="1576" t="n">
        <f aca="false">VLOOKUP($A251,Curves_Table,Escalation!$AH$291)</f>
        <v>4.79846823260031</v>
      </c>
      <c r="AA251" s="1576" t="n">
        <f aca="false">Y251*Z251</f>
        <v>0.911708964194059</v>
      </c>
      <c r="AB251" s="397" t="n">
        <f aca="false">'Plant Operations'!$I251+'Plant Operations'!$M251</f>
        <v>298980.864</v>
      </c>
      <c r="AC251" s="1575" t="n">
        <f aca="false">AA251*AB251/1000</f>
        <v>272.583533831285</v>
      </c>
      <c r="AD251" s="1576" t="n">
        <f aca="false">$I251</f>
        <v>3.12420666506851</v>
      </c>
      <c r="AE251" s="1566" t="n">
        <f aca="false">AC251/AD251</f>
        <v>87.2488804530821</v>
      </c>
      <c r="AF251" s="1567" t="str">
        <f aca="false">IF(MONTH($A251)=12,SUM(AE240:AE251)," ")</f>
        <v> </v>
      </c>
    </row>
    <row r="252" customFormat="false" ht="12.75" hidden="false" customHeight="false" outlineLevel="0" collapsed="false">
      <c r="A252" s="1538" t="n">
        <f aca="false">'Plant Operations'!A252</f>
        <v>43556</v>
      </c>
      <c r="C252" s="1574" t="n">
        <f aca="false">IF($A252&gt;Endyr,0,VLOOKUP($A252,Tariff_Table,Tariff!$D$33))</f>
        <v>1291.01851851852</v>
      </c>
      <c r="E252" s="1561" t="n">
        <f aca="false">VLOOKUP($A252,Tariff_Table,Tariff!$E$33)</f>
        <v>0.540003288019106</v>
      </c>
      <c r="F252" s="1575" t="n">
        <f aca="false">$C252*E252</f>
        <v>697.154244893555</v>
      </c>
      <c r="G252" s="1565" t="n">
        <f aca="false">VLOOKUP($A252,Curves_Table,Escalation!$N$291)</f>
        <v>1.72801332733687</v>
      </c>
      <c r="H252" s="1575" t="n">
        <f aca="false">F252*G252</f>
        <v>1204.69182638553</v>
      </c>
      <c r="I252" s="1576" t="n">
        <f aca="false">IF(Assm!$L$74=0,VLOOKUP($A252,Curves_Table,Escalation!$D$291),VLOOKUP($A252,Curves_Table,Escalation!$E$291))</f>
        <v>3.12937670852503</v>
      </c>
      <c r="J252" s="1576" t="n">
        <f aca="false">IF($A252&lt;EE_Date,VLOOKUP($A252,Curves_Table,Escalation!$D$291),Exch)</f>
        <v>1.065</v>
      </c>
      <c r="K252" s="1577" t="n">
        <f aca="false">H252*I252/J252</f>
        <v>3539.84464079002</v>
      </c>
      <c r="M252" s="1561" t="n">
        <f aca="false">VLOOKUP($A252,Tariff_Table,Tariff!$F$33)</f>
        <v>0.459996711980894</v>
      </c>
      <c r="N252" s="1575" t="n">
        <f aca="false">$C252*M252</f>
        <v>593.864273624964</v>
      </c>
      <c r="O252" s="1565" t="n">
        <f aca="false">VLOOKUP($A252,Curves_Table,Escalation!$R$291)</f>
        <v>4.79846823260031</v>
      </c>
      <c r="P252" s="1577" t="n">
        <f aca="false">N252*O252</f>
        <v>2849.63885146565</v>
      </c>
      <c r="R252" s="1578" t="n">
        <f aca="false">SUM(K252,P252)</f>
        <v>6389.48349225566</v>
      </c>
      <c r="S252" s="1540" t="n">
        <f aca="false">'Plant Operations'!C252</f>
        <v>480</v>
      </c>
      <c r="T252" s="1575" t="n">
        <f aca="false">R252*S252/1000</f>
        <v>3066.95207628272</v>
      </c>
      <c r="U252" s="1576" t="n">
        <f aca="false">$I252</f>
        <v>3.12937670852503</v>
      </c>
      <c r="V252" s="394" t="n">
        <f aca="false">T252/U252</f>
        <v>980.052055710565</v>
      </c>
      <c r="W252" s="1579" t="str">
        <f aca="false">IF(MONTH($A252)=12,SUM(V241:V252)," ")</f>
        <v> </v>
      </c>
      <c r="Y252" s="1580" t="n">
        <f aca="false">IF($A252&gt;Endyr,0,VLOOKUP($A252,Tariff_Table,Tariff!$J$33))</f>
        <v>0.19</v>
      </c>
      <c r="Z252" s="1576" t="n">
        <f aca="false">VLOOKUP($A252,Curves_Table,Escalation!$AH$291)</f>
        <v>4.79846823260031</v>
      </c>
      <c r="AA252" s="1576" t="n">
        <f aca="false">Y252*Z252</f>
        <v>0.911708964194059</v>
      </c>
      <c r="AB252" s="397" t="n">
        <f aca="false">'Plant Operations'!$I252+'Plant Operations'!$M252</f>
        <v>289336.32</v>
      </c>
      <c r="AC252" s="1575" t="n">
        <f aca="false">AA252*AB252/1000</f>
        <v>263.790516610921</v>
      </c>
      <c r="AD252" s="1576" t="n">
        <f aca="false">$I252</f>
        <v>3.12937670852503</v>
      </c>
      <c r="AE252" s="1566" t="n">
        <f aca="false">AC252/AD252</f>
        <v>84.294906360204</v>
      </c>
      <c r="AF252" s="1567" t="str">
        <f aca="false">IF(MONTH($A252)=12,SUM(AE241:AE252)," ")</f>
        <v> </v>
      </c>
    </row>
    <row r="253" customFormat="false" ht="12.75" hidden="false" customHeight="false" outlineLevel="0" collapsed="false">
      <c r="A253" s="1538" t="n">
        <f aca="false">'Plant Operations'!A253</f>
        <v>43586</v>
      </c>
      <c r="C253" s="1574" t="n">
        <f aca="false">IF($A253&gt;Endyr,0,VLOOKUP($A253,Tariff_Table,Tariff!$D$33))</f>
        <v>0</v>
      </c>
      <c r="E253" s="1561" t="n">
        <f aca="false">VLOOKUP($A253,Tariff_Table,Tariff!$E$33)</f>
        <v>0.540003288019106</v>
      </c>
      <c r="F253" s="1575" t="n">
        <f aca="false">$C253*E253</f>
        <v>0</v>
      </c>
      <c r="G253" s="1565" t="n">
        <f aca="false">VLOOKUP($A253,Curves_Table,Escalation!$N$291)</f>
        <v>1.77543572910631</v>
      </c>
      <c r="H253" s="1575" t="n">
        <f aca="false">F253*G253</f>
        <v>0</v>
      </c>
      <c r="I253" s="1576" t="n">
        <f aca="false">IF(Assm!$L$74=0,VLOOKUP($A253,Curves_Table,Escalation!$D$291),VLOOKUP($A253,Curves_Table,Escalation!$E$291))</f>
        <v>3.13455530754531</v>
      </c>
      <c r="J253" s="1576" t="n">
        <f aca="false">IF($A253&lt;EE_Date,VLOOKUP($A253,Curves_Table,Escalation!$D$291),Exch)</f>
        <v>1.065</v>
      </c>
      <c r="K253" s="1577" t="n">
        <f aca="false">H253*I253/J253</f>
        <v>0</v>
      </c>
      <c r="M253" s="1561" t="n">
        <f aca="false">VLOOKUP($A253,Tariff_Table,Tariff!$F$33)</f>
        <v>0.459996711980894</v>
      </c>
      <c r="N253" s="1575" t="n">
        <f aca="false">$C253*M253</f>
        <v>0</v>
      </c>
      <c r="O253" s="1565" t="n">
        <f aca="false">VLOOKUP($A253,Curves_Table,Escalation!$R$291)</f>
        <v>5.12476407241713</v>
      </c>
      <c r="P253" s="1577" t="n">
        <f aca="false">N253*O253</f>
        <v>0</v>
      </c>
      <c r="R253" s="1578" t="n">
        <f aca="false">SUM(K253,P253)</f>
        <v>0</v>
      </c>
      <c r="S253" s="1540" t="n">
        <f aca="false">'Plant Operations'!C253</f>
        <v>0</v>
      </c>
      <c r="T253" s="1575" t="n">
        <f aca="false">R253*S253/1000</f>
        <v>0</v>
      </c>
      <c r="U253" s="1576" t="n">
        <f aca="false">$I253</f>
        <v>3.13455530754531</v>
      </c>
      <c r="V253" s="394" t="n">
        <f aca="false">T253/U253</f>
        <v>0</v>
      </c>
      <c r="W253" s="1579" t="str">
        <f aca="false">IF(MONTH($A253)=12,SUM(V242:V253)," ")</f>
        <v> </v>
      </c>
      <c r="Y253" s="1580" t="n">
        <f aca="false">IF($A253&gt;Endyr,0,VLOOKUP($A253,Tariff_Table,Tariff!$J$33))</f>
        <v>0</v>
      </c>
      <c r="Z253" s="1576" t="n">
        <f aca="false">VLOOKUP($A253,Curves_Table,Escalation!$AH$291)</f>
        <v>5.12476407241713</v>
      </c>
      <c r="AA253" s="1576" t="n">
        <f aca="false">Y253*Z253</f>
        <v>0</v>
      </c>
      <c r="AB253" s="397" t="n">
        <f aca="false">'Plant Operations'!$I253+'Plant Operations'!$M253</f>
        <v>0</v>
      </c>
      <c r="AC253" s="1575" t="n">
        <f aca="false">AA253*AB253/1000</f>
        <v>0</v>
      </c>
      <c r="AD253" s="1576" t="n">
        <f aca="false">$I253</f>
        <v>3.13455530754531</v>
      </c>
      <c r="AE253" s="1566" t="n">
        <f aca="false">AC253/AD253</f>
        <v>0</v>
      </c>
      <c r="AF253" s="1567" t="str">
        <f aca="false">IF(MONTH($A253)=12,SUM(AE242:AE253)," ")</f>
        <v> </v>
      </c>
    </row>
    <row r="254" customFormat="false" ht="12.75" hidden="false" customHeight="false" outlineLevel="0" collapsed="false">
      <c r="A254" s="1538" t="n">
        <f aca="false">'Plant Operations'!A254</f>
        <v>43617</v>
      </c>
      <c r="C254" s="1574" t="n">
        <f aca="false">IF($A254&gt;Endyr,0,VLOOKUP($A254,Tariff_Table,Tariff!$D$33))</f>
        <v>0</v>
      </c>
      <c r="E254" s="1561" t="n">
        <f aca="false">VLOOKUP($A254,Tariff_Table,Tariff!$E$33)</f>
        <v>0.540003288019106</v>
      </c>
      <c r="F254" s="1575" t="n">
        <f aca="false">$C254*E254</f>
        <v>0</v>
      </c>
      <c r="G254" s="1565" t="n">
        <f aca="false">VLOOKUP($A254,Curves_Table,Escalation!$N$291)</f>
        <v>1.77543572910631</v>
      </c>
      <c r="H254" s="1575" t="n">
        <f aca="false">F254*G254</f>
        <v>0</v>
      </c>
      <c r="I254" s="1576" t="n">
        <f aca="false">IF(Assm!$L$74=0,VLOOKUP($A254,Curves_Table,Escalation!$D$291),VLOOKUP($A254,Curves_Table,Escalation!$E$291))</f>
        <v>3.13455530754531</v>
      </c>
      <c r="J254" s="1576" t="n">
        <f aca="false">IF($A254&lt;EE_Date,VLOOKUP($A254,Curves_Table,Escalation!$D$291),Exch)</f>
        <v>1.065</v>
      </c>
      <c r="K254" s="1577" t="n">
        <f aca="false">H254*I254/J254</f>
        <v>0</v>
      </c>
      <c r="M254" s="1561" t="n">
        <f aca="false">VLOOKUP($A254,Tariff_Table,Tariff!$F$33)</f>
        <v>0.459996711980894</v>
      </c>
      <c r="N254" s="1575" t="n">
        <f aca="false">$C254*M254</f>
        <v>0</v>
      </c>
      <c r="O254" s="1565" t="n">
        <f aca="false">VLOOKUP($A254,Curves_Table,Escalation!$R$291)</f>
        <v>5.12476407241713</v>
      </c>
      <c r="P254" s="1577" t="n">
        <f aca="false">N254*O254</f>
        <v>0</v>
      </c>
      <c r="R254" s="1578" t="n">
        <f aca="false">SUM(K254,P254)</f>
        <v>0</v>
      </c>
      <c r="S254" s="1540" t="n">
        <f aca="false">'Plant Operations'!C254</f>
        <v>0</v>
      </c>
      <c r="T254" s="1575" t="n">
        <f aca="false">R254*S254/1000</f>
        <v>0</v>
      </c>
      <c r="U254" s="1576" t="n">
        <f aca="false">$I254</f>
        <v>3.13455530754531</v>
      </c>
      <c r="V254" s="394" t="n">
        <f aca="false">T254/U254</f>
        <v>0</v>
      </c>
      <c r="W254" s="1579" t="str">
        <f aca="false">IF(MONTH($A254)=12,SUM(V243:V254)," ")</f>
        <v> </v>
      </c>
      <c r="Y254" s="1580" t="n">
        <f aca="false">IF($A254&gt;Endyr,0,VLOOKUP($A254,Tariff_Table,Tariff!$J$33))</f>
        <v>0</v>
      </c>
      <c r="Z254" s="1576" t="n">
        <f aca="false">VLOOKUP($A254,Curves_Table,Escalation!$AH$291)</f>
        <v>5.12476407241713</v>
      </c>
      <c r="AA254" s="1576" t="n">
        <f aca="false">Y254*Z254</f>
        <v>0</v>
      </c>
      <c r="AB254" s="397" t="n">
        <f aca="false">'Plant Operations'!$I254+'Plant Operations'!$M254</f>
        <v>0</v>
      </c>
      <c r="AC254" s="1575" t="n">
        <f aca="false">AA254*AB254/1000</f>
        <v>0</v>
      </c>
      <c r="AD254" s="1576" t="n">
        <f aca="false">$I254</f>
        <v>3.13455530754531</v>
      </c>
      <c r="AE254" s="1566" t="n">
        <f aca="false">AC254/AD254</f>
        <v>0</v>
      </c>
      <c r="AF254" s="1567" t="str">
        <f aca="false">IF(MONTH($A254)=12,SUM(AE243:AE254)," ")</f>
        <v> </v>
      </c>
    </row>
    <row r="255" customFormat="false" ht="12.75" hidden="false" customHeight="false" outlineLevel="0" collapsed="false">
      <c r="A255" s="1538" t="n">
        <f aca="false">'Plant Operations'!A255</f>
        <v>43647</v>
      </c>
      <c r="C255" s="1574" t="n">
        <f aca="false">IF($A255&gt;Endyr,0,VLOOKUP($A255,Tariff_Table,Tariff!$D$33))</f>
        <v>0</v>
      </c>
      <c r="E255" s="1561" t="n">
        <f aca="false">VLOOKUP($A255,Tariff_Table,Tariff!$E$33)</f>
        <v>0.540003288019106</v>
      </c>
      <c r="F255" s="1575" t="n">
        <f aca="false">$C255*E255</f>
        <v>0</v>
      </c>
      <c r="G255" s="1565" t="n">
        <f aca="false">VLOOKUP($A255,Curves_Table,Escalation!$N$291)</f>
        <v>1.77543572910631</v>
      </c>
      <c r="H255" s="1575" t="n">
        <f aca="false">F255*G255</f>
        <v>0</v>
      </c>
      <c r="I255" s="1576" t="n">
        <f aca="false">IF(Assm!$L$74=0,VLOOKUP($A255,Curves_Table,Escalation!$D$291),VLOOKUP($A255,Curves_Table,Escalation!$E$291))</f>
        <v>3.13455530754531</v>
      </c>
      <c r="J255" s="1576" t="n">
        <f aca="false">IF($A255&lt;EE_Date,VLOOKUP($A255,Curves_Table,Escalation!$D$291),Exch)</f>
        <v>1.065</v>
      </c>
      <c r="K255" s="1577" t="n">
        <f aca="false">H255*I255/J255</f>
        <v>0</v>
      </c>
      <c r="M255" s="1561" t="n">
        <f aca="false">VLOOKUP($A255,Tariff_Table,Tariff!$F$33)</f>
        <v>0.459996711980894</v>
      </c>
      <c r="N255" s="1575" t="n">
        <f aca="false">$C255*M255</f>
        <v>0</v>
      </c>
      <c r="O255" s="1565" t="n">
        <f aca="false">VLOOKUP($A255,Curves_Table,Escalation!$R$291)</f>
        <v>5.12476407241713</v>
      </c>
      <c r="P255" s="1577" t="n">
        <f aca="false">N255*O255</f>
        <v>0</v>
      </c>
      <c r="R255" s="1578" t="n">
        <f aca="false">SUM(K255,P255)</f>
        <v>0</v>
      </c>
      <c r="S255" s="1540" t="n">
        <f aca="false">'Plant Operations'!C255</f>
        <v>0</v>
      </c>
      <c r="T255" s="1575" t="n">
        <f aca="false">R255*S255/1000</f>
        <v>0</v>
      </c>
      <c r="U255" s="1576" t="n">
        <f aca="false">$I255</f>
        <v>3.13455530754531</v>
      </c>
      <c r="V255" s="394" t="n">
        <f aca="false">T255/U255</f>
        <v>0</v>
      </c>
      <c r="W255" s="1579" t="str">
        <f aca="false">IF(MONTH($A255)=12,SUM(V244:V255)," ")</f>
        <v> </v>
      </c>
      <c r="Y255" s="1580" t="n">
        <f aca="false">IF($A255&gt;Endyr,0,VLOOKUP($A255,Tariff_Table,Tariff!$J$33))</f>
        <v>0</v>
      </c>
      <c r="Z255" s="1576" t="n">
        <f aca="false">VLOOKUP($A255,Curves_Table,Escalation!$AH$291)</f>
        <v>5.12476407241713</v>
      </c>
      <c r="AA255" s="1576" t="n">
        <f aca="false">Y255*Z255</f>
        <v>0</v>
      </c>
      <c r="AB255" s="397" t="n">
        <f aca="false">'Plant Operations'!$I255+'Plant Operations'!$M255</f>
        <v>0</v>
      </c>
      <c r="AC255" s="1575" t="n">
        <f aca="false">AA255*AB255/1000</f>
        <v>0</v>
      </c>
      <c r="AD255" s="1576" t="n">
        <f aca="false">$I255</f>
        <v>3.13455530754531</v>
      </c>
      <c r="AE255" s="1566" t="n">
        <f aca="false">AC255/AD255</f>
        <v>0</v>
      </c>
      <c r="AF255" s="1567" t="str">
        <f aca="false">IF(MONTH($A255)=12,SUM(AE244:AE255)," ")</f>
        <v> </v>
      </c>
    </row>
    <row r="256" customFormat="false" ht="12.75" hidden="false" customHeight="false" outlineLevel="0" collapsed="false">
      <c r="A256" s="1538" t="n">
        <f aca="false">'Plant Operations'!A256</f>
        <v>43678</v>
      </c>
      <c r="C256" s="1574" t="n">
        <f aca="false">IF($A256&gt;Endyr,0,VLOOKUP($A256,Tariff_Table,Tariff!$D$33))</f>
        <v>0</v>
      </c>
      <c r="E256" s="1561" t="n">
        <f aca="false">VLOOKUP($A256,Tariff_Table,Tariff!$E$33)</f>
        <v>0.540003288019106</v>
      </c>
      <c r="F256" s="1575" t="n">
        <f aca="false">$C256*E256</f>
        <v>0</v>
      </c>
      <c r="G256" s="1565" t="n">
        <f aca="false">VLOOKUP($A256,Curves_Table,Escalation!$N$291)</f>
        <v>1.77543572910631</v>
      </c>
      <c r="H256" s="1575" t="n">
        <f aca="false">F256*G256</f>
        <v>0</v>
      </c>
      <c r="I256" s="1576" t="n">
        <f aca="false">IF(Assm!$L$74=0,VLOOKUP($A256,Curves_Table,Escalation!$D$291),VLOOKUP($A256,Curves_Table,Escalation!$E$291))</f>
        <v>3.13455530754531</v>
      </c>
      <c r="J256" s="1576" t="n">
        <f aca="false">IF($A256&lt;EE_Date,VLOOKUP($A256,Curves_Table,Escalation!$D$291),Exch)</f>
        <v>1.065</v>
      </c>
      <c r="K256" s="1577" t="n">
        <f aca="false">H256*I256/J256</f>
        <v>0</v>
      </c>
      <c r="M256" s="1561" t="n">
        <f aca="false">VLOOKUP($A256,Tariff_Table,Tariff!$F$33)</f>
        <v>0.459996711980894</v>
      </c>
      <c r="N256" s="1575" t="n">
        <f aca="false">$C256*M256</f>
        <v>0</v>
      </c>
      <c r="O256" s="1565" t="n">
        <f aca="false">VLOOKUP($A256,Curves_Table,Escalation!$R$291)</f>
        <v>5.12476407241713</v>
      </c>
      <c r="P256" s="1577" t="n">
        <f aca="false">N256*O256</f>
        <v>0</v>
      </c>
      <c r="R256" s="1578" t="n">
        <f aca="false">SUM(K256,P256)</f>
        <v>0</v>
      </c>
      <c r="S256" s="1540" t="n">
        <f aca="false">'Plant Operations'!C256</f>
        <v>0</v>
      </c>
      <c r="T256" s="1575" t="n">
        <f aca="false">R256*S256/1000</f>
        <v>0</v>
      </c>
      <c r="U256" s="1576" t="n">
        <f aca="false">$I256</f>
        <v>3.13455530754531</v>
      </c>
      <c r="V256" s="394" t="n">
        <f aca="false">T256/U256</f>
        <v>0</v>
      </c>
      <c r="W256" s="1579" t="str">
        <f aca="false">IF(MONTH($A256)=12,SUM(V245:V256)," ")</f>
        <v> </v>
      </c>
      <c r="Y256" s="1580" t="n">
        <f aca="false">IF($A256&gt;Endyr,0,VLOOKUP($A256,Tariff_Table,Tariff!$J$33))</f>
        <v>0</v>
      </c>
      <c r="Z256" s="1576" t="n">
        <f aca="false">VLOOKUP($A256,Curves_Table,Escalation!$AH$291)</f>
        <v>5.12476407241713</v>
      </c>
      <c r="AA256" s="1576" t="n">
        <f aca="false">Y256*Z256</f>
        <v>0</v>
      </c>
      <c r="AB256" s="397" t="n">
        <f aca="false">'Plant Operations'!$I256+'Plant Operations'!$M256</f>
        <v>0</v>
      </c>
      <c r="AC256" s="1575" t="n">
        <f aca="false">AA256*AB256/1000</f>
        <v>0</v>
      </c>
      <c r="AD256" s="1576" t="n">
        <f aca="false">$I256</f>
        <v>3.13455530754531</v>
      </c>
      <c r="AE256" s="1566" t="n">
        <f aca="false">AC256/AD256</f>
        <v>0</v>
      </c>
      <c r="AF256" s="1567" t="str">
        <f aca="false">IF(MONTH($A256)=12,SUM(AE245:AE256)," ")</f>
        <v> </v>
      </c>
    </row>
    <row r="257" customFormat="false" ht="12.75" hidden="false" customHeight="false" outlineLevel="0" collapsed="false">
      <c r="A257" s="1538" t="n">
        <f aca="false">'Plant Operations'!A257</f>
        <v>43709</v>
      </c>
      <c r="C257" s="1574" t="n">
        <f aca="false">IF($A257&gt;Endyr,0,VLOOKUP($A257,Tariff_Table,Tariff!$D$33))</f>
        <v>0</v>
      </c>
      <c r="E257" s="1561" t="n">
        <f aca="false">VLOOKUP($A257,Tariff_Table,Tariff!$E$33)</f>
        <v>0.540003288019106</v>
      </c>
      <c r="F257" s="1575" t="n">
        <f aca="false">$C257*E257</f>
        <v>0</v>
      </c>
      <c r="G257" s="1565" t="n">
        <f aca="false">VLOOKUP($A257,Curves_Table,Escalation!$N$291)</f>
        <v>1.77543572910631</v>
      </c>
      <c r="H257" s="1575" t="n">
        <f aca="false">F257*G257</f>
        <v>0</v>
      </c>
      <c r="I257" s="1576" t="n">
        <f aca="false">IF(Assm!$L$74=0,VLOOKUP($A257,Curves_Table,Escalation!$D$291),VLOOKUP($A257,Curves_Table,Escalation!$E$291))</f>
        <v>3.13455530754531</v>
      </c>
      <c r="J257" s="1576" t="n">
        <f aca="false">IF($A257&lt;EE_Date,VLOOKUP($A257,Curves_Table,Escalation!$D$291),Exch)</f>
        <v>1.065</v>
      </c>
      <c r="K257" s="1577" t="n">
        <f aca="false">H257*I257/J257</f>
        <v>0</v>
      </c>
      <c r="M257" s="1561" t="n">
        <f aca="false">VLOOKUP($A257,Tariff_Table,Tariff!$F$33)</f>
        <v>0.459996711980894</v>
      </c>
      <c r="N257" s="1575" t="n">
        <f aca="false">$C257*M257</f>
        <v>0</v>
      </c>
      <c r="O257" s="1565" t="n">
        <f aca="false">VLOOKUP($A257,Curves_Table,Escalation!$R$291)</f>
        <v>5.12476407241713</v>
      </c>
      <c r="P257" s="1577" t="n">
        <f aca="false">N257*O257</f>
        <v>0</v>
      </c>
      <c r="R257" s="1578" t="n">
        <f aca="false">SUM(K257,P257)</f>
        <v>0</v>
      </c>
      <c r="S257" s="1540" t="n">
        <f aca="false">'Plant Operations'!C257</f>
        <v>0</v>
      </c>
      <c r="T257" s="1575" t="n">
        <f aca="false">R257*S257/1000</f>
        <v>0</v>
      </c>
      <c r="U257" s="1576" t="n">
        <f aca="false">$I257</f>
        <v>3.13455530754531</v>
      </c>
      <c r="V257" s="394" t="n">
        <f aca="false">T257/U257</f>
        <v>0</v>
      </c>
      <c r="W257" s="1579" t="str">
        <f aca="false">IF(MONTH($A257)=12,SUM(V246:V257)," ")</f>
        <v> </v>
      </c>
      <c r="Y257" s="1580" t="n">
        <f aca="false">IF($A257&gt;Endyr,0,VLOOKUP($A257,Tariff_Table,Tariff!$J$33))</f>
        <v>0</v>
      </c>
      <c r="Z257" s="1576" t="n">
        <f aca="false">VLOOKUP($A257,Curves_Table,Escalation!$AH$291)</f>
        <v>5.12476407241713</v>
      </c>
      <c r="AA257" s="1576" t="n">
        <f aca="false">Y257*Z257</f>
        <v>0</v>
      </c>
      <c r="AB257" s="397" t="n">
        <f aca="false">'Plant Operations'!$I257+'Plant Operations'!$M257</f>
        <v>0</v>
      </c>
      <c r="AC257" s="1575" t="n">
        <f aca="false">AA257*AB257/1000</f>
        <v>0</v>
      </c>
      <c r="AD257" s="1576" t="n">
        <f aca="false">$I257</f>
        <v>3.13455530754531</v>
      </c>
      <c r="AE257" s="1566" t="n">
        <f aca="false">AC257/AD257</f>
        <v>0</v>
      </c>
      <c r="AF257" s="1567" t="str">
        <f aca="false">IF(MONTH($A257)=12,SUM(AE246:AE257)," ")</f>
        <v> </v>
      </c>
    </row>
    <row r="258" customFormat="false" ht="12.75" hidden="false" customHeight="false" outlineLevel="0" collapsed="false">
      <c r="A258" s="1538" t="n">
        <f aca="false">'Plant Operations'!A258</f>
        <v>43739</v>
      </c>
      <c r="C258" s="1574" t="n">
        <f aca="false">IF($A258&gt;Endyr,0,VLOOKUP($A258,Tariff_Table,Tariff!$D$33))</f>
        <v>0</v>
      </c>
      <c r="E258" s="1561" t="n">
        <f aca="false">VLOOKUP($A258,Tariff_Table,Tariff!$E$33)</f>
        <v>0.540003288019106</v>
      </c>
      <c r="F258" s="1575" t="n">
        <f aca="false">$C258*E258</f>
        <v>0</v>
      </c>
      <c r="G258" s="1565" t="n">
        <f aca="false">VLOOKUP($A258,Curves_Table,Escalation!$N$291)</f>
        <v>1.77543572910631</v>
      </c>
      <c r="H258" s="1575" t="n">
        <f aca="false">F258*G258</f>
        <v>0</v>
      </c>
      <c r="I258" s="1576" t="n">
        <f aca="false">IF(Assm!$L$74=0,VLOOKUP($A258,Curves_Table,Escalation!$D$291),VLOOKUP($A258,Curves_Table,Escalation!$E$291))</f>
        <v>3.13455530754531</v>
      </c>
      <c r="J258" s="1576" t="n">
        <f aca="false">IF($A258&lt;EE_Date,VLOOKUP($A258,Curves_Table,Escalation!$D$291),Exch)</f>
        <v>1.065</v>
      </c>
      <c r="K258" s="1577" t="n">
        <f aca="false">H258*I258/J258</f>
        <v>0</v>
      </c>
      <c r="M258" s="1561" t="n">
        <f aca="false">VLOOKUP($A258,Tariff_Table,Tariff!$F$33)</f>
        <v>0.459996711980894</v>
      </c>
      <c r="N258" s="1575" t="n">
        <f aca="false">$C258*M258</f>
        <v>0</v>
      </c>
      <c r="O258" s="1565" t="n">
        <f aca="false">VLOOKUP($A258,Curves_Table,Escalation!$R$291)</f>
        <v>5.12476407241713</v>
      </c>
      <c r="P258" s="1577" t="n">
        <f aca="false">N258*O258</f>
        <v>0</v>
      </c>
      <c r="R258" s="1578" t="n">
        <f aca="false">SUM(K258,P258)</f>
        <v>0</v>
      </c>
      <c r="S258" s="1540" t="n">
        <f aca="false">'Plant Operations'!C258</f>
        <v>0</v>
      </c>
      <c r="T258" s="1575" t="n">
        <f aca="false">R258*S258/1000</f>
        <v>0</v>
      </c>
      <c r="U258" s="1576" t="n">
        <f aca="false">$I258</f>
        <v>3.13455530754531</v>
      </c>
      <c r="V258" s="394" t="n">
        <f aca="false">T258/U258</f>
        <v>0</v>
      </c>
      <c r="W258" s="1579" t="str">
        <f aca="false">IF(MONTH($A258)=12,SUM(V247:V258)," ")</f>
        <v> </v>
      </c>
      <c r="Y258" s="1580" t="n">
        <f aca="false">IF($A258&gt;Endyr,0,VLOOKUP($A258,Tariff_Table,Tariff!$J$33))</f>
        <v>0</v>
      </c>
      <c r="Z258" s="1576" t="n">
        <f aca="false">VLOOKUP($A258,Curves_Table,Escalation!$AH$291)</f>
        <v>5.12476407241713</v>
      </c>
      <c r="AA258" s="1576" t="n">
        <f aca="false">Y258*Z258</f>
        <v>0</v>
      </c>
      <c r="AB258" s="397" t="n">
        <f aca="false">'Plant Operations'!$I258+'Plant Operations'!$M258</f>
        <v>0</v>
      </c>
      <c r="AC258" s="1575" t="n">
        <f aca="false">AA258*AB258/1000</f>
        <v>0</v>
      </c>
      <c r="AD258" s="1576" t="n">
        <f aca="false">$I258</f>
        <v>3.13455530754531</v>
      </c>
      <c r="AE258" s="1566" t="n">
        <f aca="false">AC258/AD258</f>
        <v>0</v>
      </c>
      <c r="AF258" s="1567" t="str">
        <f aca="false">IF(MONTH($A258)=12,SUM(AE247:AE258)," ")</f>
        <v> </v>
      </c>
    </row>
    <row r="259" customFormat="false" ht="12.75" hidden="false" customHeight="false" outlineLevel="0" collapsed="false">
      <c r="A259" s="1538" t="n">
        <f aca="false">'Plant Operations'!A259</f>
        <v>43770</v>
      </c>
      <c r="C259" s="1574" t="n">
        <f aca="false">IF($A259&gt;Endyr,0,VLOOKUP($A259,Tariff_Table,Tariff!$D$33))</f>
        <v>0</v>
      </c>
      <c r="E259" s="1561" t="n">
        <f aca="false">VLOOKUP($A259,Tariff_Table,Tariff!$E$33)</f>
        <v>0.540003288019106</v>
      </c>
      <c r="F259" s="1575" t="n">
        <f aca="false">$C259*E259</f>
        <v>0</v>
      </c>
      <c r="G259" s="1565" t="n">
        <f aca="false">VLOOKUP($A259,Curves_Table,Escalation!$N$291)</f>
        <v>1.77543572910631</v>
      </c>
      <c r="H259" s="1575" t="n">
        <f aca="false">F259*G259</f>
        <v>0</v>
      </c>
      <c r="I259" s="1576" t="n">
        <f aca="false">IF(Assm!$L$74=0,VLOOKUP($A259,Curves_Table,Escalation!$D$291),VLOOKUP($A259,Curves_Table,Escalation!$E$291))</f>
        <v>3.13455530754531</v>
      </c>
      <c r="J259" s="1576" t="n">
        <f aca="false">IF($A259&lt;EE_Date,VLOOKUP($A259,Curves_Table,Escalation!$D$291),Exch)</f>
        <v>1.065</v>
      </c>
      <c r="K259" s="1577" t="n">
        <f aca="false">H259*I259/J259</f>
        <v>0</v>
      </c>
      <c r="M259" s="1561" t="n">
        <f aca="false">VLOOKUP($A259,Tariff_Table,Tariff!$F$33)</f>
        <v>0.459996711980894</v>
      </c>
      <c r="N259" s="1575" t="n">
        <f aca="false">$C259*M259</f>
        <v>0</v>
      </c>
      <c r="O259" s="1565" t="n">
        <f aca="false">VLOOKUP($A259,Curves_Table,Escalation!$R$291)</f>
        <v>5.12476407241713</v>
      </c>
      <c r="P259" s="1577" t="n">
        <f aca="false">N259*O259</f>
        <v>0</v>
      </c>
      <c r="R259" s="1578" t="n">
        <f aca="false">SUM(K259,P259)</f>
        <v>0</v>
      </c>
      <c r="S259" s="1540" t="n">
        <f aca="false">'Plant Operations'!C259</f>
        <v>0</v>
      </c>
      <c r="T259" s="1575" t="n">
        <f aca="false">R259*S259/1000</f>
        <v>0</v>
      </c>
      <c r="U259" s="1576" t="n">
        <f aca="false">$I259</f>
        <v>3.13455530754531</v>
      </c>
      <c r="V259" s="394" t="n">
        <f aca="false">T259/U259</f>
        <v>0</v>
      </c>
      <c r="W259" s="1579" t="str">
        <f aca="false">IF(MONTH($A259)=12,SUM(V248:V259)," ")</f>
        <v> </v>
      </c>
      <c r="Y259" s="1580" t="n">
        <f aca="false">IF($A259&gt;Endyr,0,VLOOKUP($A259,Tariff_Table,Tariff!$J$33))</f>
        <v>0</v>
      </c>
      <c r="Z259" s="1576" t="n">
        <f aca="false">VLOOKUP($A259,Curves_Table,Escalation!$AH$291)</f>
        <v>5.12476407241713</v>
      </c>
      <c r="AA259" s="1576" t="n">
        <f aca="false">Y259*Z259</f>
        <v>0</v>
      </c>
      <c r="AB259" s="397" t="n">
        <f aca="false">'Plant Operations'!$I259+'Plant Operations'!$M259</f>
        <v>0</v>
      </c>
      <c r="AC259" s="1575" t="n">
        <f aca="false">AA259*AB259/1000</f>
        <v>0</v>
      </c>
      <c r="AD259" s="1576" t="n">
        <f aca="false">$I259</f>
        <v>3.13455530754531</v>
      </c>
      <c r="AE259" s="1566" t="n">
        <f aca="false">AC259/AD259</f>
        <v>0</v>
      </c>
      <c r="AF259" s="1567" t="str">
        <f aca="false">IF(MONTH($A259)=12,SUM(AE248:AE259)," ")</f>
        <v> </v>
      </c>
    </row>
    <row r="260" customFormat="false" ht="12.75" hidden="false" customHeight="false" outlineLevel="0" collapsed="false">
      <c r="A260" s="1538" t="n">
        <f aca="false">'Plant Operations'!A260</f>
        <v>43800</v>
      </c>
      <c r="C260" s="1574" t="n">
        <f aca="false">IF($A260&gt;Endyr,0,VLOOKUP($A260,Tariff_Table,Tariff!$D$33))</f>
        <v>0</v>
      </c>
      <c r="E260" s="1561" t="n">
        <f aca="false">VLOOKUP($A260,Tariff_Table,Tariff!$E$33)</f>
        <v>0.540003288019106</v>
      </c>
      <c r="F260" s="1575" t="n">
        <f aca="false">$C260*E260</f>
        <v>0</v>
      </c>
      <c r="G260" s="1565" t="n">
        <f aca="false">VLOOKUP($A260,Curves_Table,Escalation!$N$291)</f>
        <v>1.77543572910631</v>
      </c>
      <c r="H260" s="1575" t="n">
        <f aca="false">F260*G260</f>
        <v>0</v>
      </c>
      <c r="I260" s="1576" t="n">
        <f aca="false">IF(Assm!$L$74=0,VLOOKUP($A260,Curves_Table,Escalation!$D$291),VLOOKUP($A260,Curves_Table,Escalation!$E$291))</f>
        <v>3.13455530754531</v>
      </c>
      <c r="J260" s="1576" t="n">
        <f aca="false">IF($A260&lt;EE_Date,VLOOKUP($A260,Curves_Table,Escalation!$D$291),Exch)</f>
        <v>1.065</v>
      </c>
      <c r="K260" s="1577" t="n">
        <f aca="false">H260*I260/J260</f>
        <v>0</v>
      </c>
      <c r="M260" s="1561" t="n">
        <f aca="false">VLOOKUP($A260,Tariff_Table,Tariff!$F$33)</f>
        <v>0.459996711980894</v>
      </c>
      <c r="N260" s="1575" t="n">
        <f aca="false">$C260*M260</f>
        <v>0</v>
      </c>
      <c r="O260" s="1565" t="n">
        <f aca="false">VLOOKUP($A260,Curves_Table,Escalation!$R$291)</f>
        <v>5.12476407241713</v>
      </c>
      <c r="P260" s="1577" t="n">
        <f aca="false">N260*O260</f>
        <v>0</v>
      </c>
      <c r="R260" s="1578" t="n">
        <f aca="false">SUM(K260,P260)</f>
        <v>0</v>
      </c>
      <c r="S260" s="1540" t="n">
        <f aca="false">'Plant Operations'!C260</f>
        <v>0</v>
      </c>
      <c r="T260" s="1575" t="n">
        <f aca="false">R260*S260/1000</f>
        <v>0</v>
      </c>
      <c r="U260" s="1576" t="n">
        <f aca="false">$I260</f>
        <v>3.13455530754531</v>
      </c>
      <c r="V260" s="394" t="n">
        <f aca="false">T260/U260</f>
        <v>0</v>
      </c>
      <c r="W260" s="1579" t="n">
        <f aca="false">IF(MONTH($A260)=12,SUM(V249:V260)," ")</f>
        <v>3924.55290451113</v>
      </c>
      <c r="Y260" s="1580" t="n">
        <f aca="false">IF($A260&gt;Endyr,0,VLOOKUP($A260,Tariff_Table,Tariff!$J$33))</f>
        <v>0</v>
      </c>
      <c r="Z260" s="1576" t="n">
        <f aca="false">VLOOKUP($A260,Curves_Table,Escalation!$AH$291)</f>
        <v>5.12476407241713</v>
      </c>
      <c r="AA260" s="1576" t="n">
        <f aca="false">Y260*Z260</f>
        <v>0</v>
      </c>
      <c r="AB260" s="397" t="n">
        <f aca="false">'Plant Operations'!$I260+'Plant Operations'!$M260</f>
        <v>0</v>
      </c>
      <c r="AC260" s="1575" t="n">
        <f aca="false">AA260*AB260/1000</f>
        <v>0</v>
      </c>
      <c r="AD260" s="1576" t="n">
        <f aca="false">$I260</f>
        <v>3.13455530754531</v>
      </c>
      <c r="AE260" s="1566" t="n">
        <f aca="false">AC260/AD260</f>
        <v>0</v>
      </c>
      <c r="AF260" s="1567" t="n">
        <f aca="false">IF(MONTH($A260)=12,SUM(AE249:AE260)," ")</f>
        <v>338.017521357959</v>
      </c>
    </row>
    <row r="261" customFormat="false" ht="12.75" hidden="false" customHeight="false" outlineLevel="0" collapsed="false">
      <c r="A261" s="1538" t="n">
        <f aca="false">'Plant Operations'!A261</f>
        <v>43831</v>
      </c>
      <c r="C261" s="1574" t="n">
        <f aca="false">IF($A261&gt;Endyr,0,VLOOKUP($A261,Tariff_Table,Tariff!$D$33))</f>
        <v>0</v>
      </c>
      <c r="E261" s="1561" t="n">
        <f aca="false">VLOOKUP($A261,Tariff_Table,Tariff!$E$33)</f>
        <v>0.540003288019106</v>
      </c>
      <c r="F261" s="1575" t="n">
        <f aca="false">$C261*E261</f>
        <v>0</v>
      </c>
      <c r="G261" s="1565" t="n">
        <f aca="false">VLOOKUP($A261,Curves_Table,Escalation!$N$291)</f>
        <v>1.77543572910631</v>
      </c>
      <c r="H261" s="1575" t="n">
        <f aca="false">F261*G261</f>
        <v>0</v>
      </c>
      <c r="I261" s="1576" t="n">
        <f aca="false">IF(Assm!$L$74=0,VLOOKUP($A261,Curves_Table,Escalation!$D$291),VLOOKUP($A261,Curves_Table,Escalation!$E$291))</f>
        <v>3.13455530754531</v>
      </c>
      <c r="J261" s="1576" t="n">
        <f aca="false">IF($A261&lt;EE_Date,VLOOKUP($A261,Curves_Table,Escalation!$D$291),Exch)</f>
        <v>1.065</v>
      </c>
      <c r="K261" s="1577" t="n">
        <f aca="false">H261*I261/J261</f>
        <v>0</v>
      </c>
      <c r="M261" s="1561" t="n">
        <f aca="false">VLOOKUP($A261,Tariff_Table,Tariff!$F$33)</f>
        <v>0.459996711980894</v>
      </c>
      <c r="N261" s="1575" t="n">
        <f aca="false">$C261*M261</f>
        <v>0</v>
      </c>
      <c r="O261" s="1565" t="n">
        <f aca="false">VLOOKUP($A261,Curves_Table,Escalation!$R$291)</f>
        <v>5.12476407241713</v>
      </c>
      <c r="P261" s="1577" t="n">
        <f aca="false">N261*O261</f>
        <v>0</v>
      </c>
      <c r="R261" s="1578" t="n">
        <f aca="false">SUM(K261,P261)</f>
        <v>0</v>
      </c>
      <c r="S261" s="1540" t="n">
        <f aca="false">'Plant Operations'!C261</f>
        <v>0</v>
      </c>
      <c r="T261" s="1575" t="n">
        <f aca="false">R261*S261/1000</f>
        <v>0</v>
      </c>
      <c r="U261" s="1576" t="n">
        <f aca="false">$I261</f>
        <v>3.13455530754531</v>
      </c>
      <c r="V261" s="394" t="n">
        <f aca="false">T261/U261</f>
        <v>0</v>
      </c>
      <c r="W261" s="1579" t="str">
        <f aca="false">IF(MONTH($A261)=12,SUM(V250:V261)," ")</f>
        <v> </v>
      </c>
      <c r="Y261" s="1580" t="n">
        <f aca="false">IF($A261&gt;Endyr,0,VLOOKUP($A261,Tariff_Table,Tariff!$J$33))</f>
        <v>0</v>
      </c>
      <c r="Z261" s="1576" t="n">
        <f aca="false">VLOOKUP($A261,Curves_Table,Escalation!$AH$291)</f>
        <v>5.12476407241713</v>
      </c>
      <c r="AA261" s="1576" t="n">
        <f aca="false">Y261*Z261</f>
        <v>0</v>
      </c>
      <c r="AB261" s="397" t="n">
        <f aca="false">'Plant Operations'!$I261+'Plant Operations'!$M261</f>
        <v>0</v>
      </c>
      <c r="AC261" s="1575" t="n">
        <f aca="false">AA261*AB261/1000</f>
        <v>0</v>
      </c>
      <c r="AD261" s="1576" t="n">
        <f aca="false">$I261</f>
        <v>3.13455530754531</v>
      </c>
      <c r="AE261" s="1566" t="n">
        <f aca="false">AC261/AD261</f>
        <v>0</v>
      </c>
      <c r="AF261" s="1567" t="str">
        <f aca="false">IF(MONTH($A261)=12,SUM(AE250:AE261)," ")</f>
        <v> </v>
      </c>
    </row>
    <row r="262" customFormat="false" ht="12.75" hidden="false" customHeight="false" outlineLevel="0" collapsed="false">
      <c r="A262" s="1538" t="n">
        <f aca="false">'Plant Operations'!A262</f>
        <v>43862</v>
      </c>
      <c r="C262" s="1574" t="n">
        <f aca="false">IF($A262&gt;Endyr,0,VLOOKUP($A262,Tariff_Table,Tariff!$D$33))</f>
        <v>0</v>
      </c>
      <c r="E262" s="1561" t="n">
        <f aca="false">VLOOKUP($A262,Tariff_Table,Tariff!$E$33)</f>
        <v>0.540003288019106</v>
      </c>
      <c r="F262" s="1575" t="n">
        <f aca="false">$C262*E262</f>
        <v>0</v>
      </c>
      <c r="G262" s="1565" t="n">
        <f aca="false">VLOOKUP($A262,Curves_Table,Escalation!$N$291)</f>
        <v>1.77543572910631</v>
      </c>
      <c r="H262" s="1575" t="n">
        <f aca="false">F262*G262</f>
        <v>0</v>
      </c>
      <c r="I262" s="1576" t="n">
        <f aca="false">IF(Assm!$L$74=0,VLOOKUP($A262,Curves_Table,Escalation!$D$291),VLOOKUP($A262,Curves_Table,Escalation!$E$291))</f>
        <v>3.13455530754531</v>
      </c>
      <c r="J262" s="1576" t="n">
        <f aca="false">IF($A262&lt;EE_Date,VLOOKUP($A262,Curves_Table,Escalation!$D$291),Exch)</f>
        <v>1.065</v>
      </c>
      <c r="K262" s="1577" t="n">
        <f aca="false">H262*I262/J262</f>
        <v>0</v>
      </c>
      <c r="M262" s="1561" t="n">
        <f aca="false">VLOOKUP($A262,Tariff_Table,Tariff!$F$33)</f>
        <v>0.459996711980894</v>
      </c>
      <c r="N262" s="1575" t="n">
        <f aca="false">$C262*M262</f>
        <v>0</v>
      </c>
      <c r="O262" s="1565" t="n">
        <f aca="false">VLOOKUP($A262,Curves_Table,Escalation!$R$291)</f>
        <v>5.12476407241713</v>
      </c>
      <c r="P262" s="1577" t="n">
        <f aca="false">N262*O262</f>
        <v>0</v>
      </c>
      <c r="R262" s="1578" t="n">
        <f aca="false">SUM(K262,P262)</f>
        <v>0</v>
      </c>
      <c r="S262" s="1540" t="n">
        <f aca="false">'Plant Operations'!C262</f>
        <v>0</v>
      </c>
      <c r="T262" s="1575" t="n">
        <f aca="false">R262*S262/1000</f>
        <v>0</v>
      </c>
      <c r="U262" s="1576" t="n">
        <f aca="false">$I262</f>
        <v>3.13455530754531</v>
      </c>
      <c r="V262" s="394" t="n">
        <f aca="false">T262/U262</f>
        <v>0</v>
      </c>
      <c r="W262" s="1579" t="str">
        <f aca="false">IF(MONTH($A262)=12,SUM(V251:V262)," ")</f>
        <v> </v>
      </c>
      <c r="Y262" s="1580" t="n">
        <f aca="false">IF($A262&gt;Endyr,0,VLOOKUP($A262,Tariff_Table,Tariff!$J$33))</f>
        <v>0</v>
      </c>
      <c r="Z262" s="1576" t="n">
        <f aca="false">VLOOKUP($A262,Curves_Table,Escalation!$AH$291)</f>
        <v>5.12476407241713</v>
      </c>
      <c r="AA262" s="1576" t="n">
        <f aca="false">Y262*Z262</f>
        <v>0</v>
      </c>
      <c r="AB262" s="397" t="n">
        <f aca="false">'Plant Operations'!$I262+'Plant Operations'!$M262</f>
        <v>0</v>
      </c>
      <c r="AC262" s="1575" t="n">
        <f aca="false">AA262*AB262/1000</f>
        <v>0</v>
      </c>
      <c r="AD262" s="1576" t="n">
        <f aca="false">$I262</f>
        <v>3.13455530754531</v>
      </c>
      <c r="AE262" s="1566" t="n">
        <f aca="false">AC262/AD262</f>
        <v>0</v>
      </c>
      <c r="AF262" s="1567" t="str">
        <f aca="false">IF(MONTH($A262)=12,SUM(AE251:AE262)," ")</f>
        <v> </v>
      </c>
    </row>
    <row r="263" customFormat="false" ht="12.75" hidden="false" customHeight="false" outlineLevel="0" collapsed="false">
      <c r="A263" s="1538" t="n">
        <f aca="false">'Plant Operations'!A263</f>
        <v>43891</v>
      </c>
      <c r="C263" s="1574" t="n">
        <f aca="false">IF($A263&gt;Endyr,0,VLOOKUP($A263,Tariff_Table,Tariff!$D$33))</f>
        <v>0</v>
      </c>
      <c r="E263" s="1561" t="n">
        <f aca="false">VLOOKUP($A263,Tariff_Table,Tariff!$E$33)</f>
        <v>0.540003288019106</v>
      </c>
      <c r="F263" s="1575" t="n">
        <f aca="false">$C263*E263</f>
        <v>0</v>
      </c>
      <c r="G263" s="1565" t="n">
        <f aca="false">VLOOKUP($A263,Curves_Table,Escalation!$N$291)</f>
        <v>1.77543572910631</v>
      </c>
      <c r="H263" s="1575" t="n">
        <f aca="false">F263*G263</f>
        <v>0</v>
      </c>
      <c r="I263" s="1576" t="n">
        <f aca="false">IF(Assm!$L$74=0,VLOOKUP($A263,Curves_Table,Escalation!$D$291),VLOOKUP($A263,Curves_Table,Escalation!$E$291))</f>
        <v>3.13455530754531</v>
      </c>
      <c r="J263" s="1576" t="n">
        <f aca="false">IF($A263&lt;EE_Date,VLOOKUP($A263,Curves_Table,Escalation!$D$291),Exch)</f>
        <v>1.065</v>
      </c>
      <c r="K263" s="1577" t="n">
        <f aca="false">H263*I263/J263</f>
        <v>0</v>
      </c>
      <c r="M263" s="1561" t="n">
        <f aca="false">VLOOKUP($A263,Tariff_Table,Tariff!$F$33)</f>
        <v>0.459996711980894</v>
      </c>
      <c r="N263" s="1575" t="n">
        <f aca="false">$C263*M263</f>
        <v>0</v>
      </c>
      <c r="O263" s="1565" t="n">
        <f aca="false">VLOOKUP($A263,Curves_Table,Escalation!$R$291)</f>
        <v>5.12476407241713</v>
      </c>
      <c r="P263" s="1577" t="n">
        <f aca="false">N263*O263</f>
        <v>0</v>
      </c>
      <c r="R263" s="1578" t="n">
        <f aca="false">SUM(K263,P263)</f>
        <v>0</v>
      </c>
      <c r="S263" s="1540" t="n">
        <f aca="false">'Plant Operations'!C263</f>
        <v>0</v>
      </c>
      <c r="T263" s="1575" t="n">
        <f aca="false">R263*S263/1000</f>
        <v>0</v>
      </c>
      <c r="U263" s="1576" t="n">
        <f aca="false">$I263</f>
        <v>3.13455530754531</v>
      </c>
      <c r="V263" s="394" t="n">
        <f aca="false">T263/U263</f>
        <v>0</v>
      </c>
      <c r="W263" s="1579" t="str">
        <f aca="false">IF(MONTH($A263)=12,SUM(V252:V263)," ")</f>
        <v> </v>
      </c>
      <c r="Y263" s="1580" t="n">
        <f aca="false">IF($A263&gt;Endyr,0,VLOOKUP($A263,Tariff_Table,Tariff!$J$33))</f>
        <v>0</v>
      </c>
      <c r="Z263" s="1576" t="n">
        <f aca="false">VLOOKUP($A263,Curves_Table,Escalation!$AH$291)</f>
        <v>5.12476407241713</v>
      </c>
      <c r="AA263" s="1576" t="n">
        <f aca="false">Y263*Z263</f>
        <v>0</v>
      </c>
      <c r="AB263" s="397" t="n">
        <f aca="false">'Plant Operations'!$I263+'Plant Operations'!$M263</f>
        <v>0</v>
      </c>
      <c r="AC263" s="1575" t="n">
        <f aca="false">AA263*AB263/1000</f>
        <v>0</v>
      </c>
      <c r="AD263" s="1576" t="n">
        <f aca="false">$I263</f>
        <v>3.13455530754531</v>
      </c>
      <c r="AE263" s="1566" t="n">
        <f aca="false">AC263/AD263</f>
        <v>0</v>
      </c>
      <c r="AF263" s="1567" t="str">
        <f aca="false">IF(MONTH($A263)=12,SUM(AE252:AE263)," ")</f>
        <v> </v>
      </c>
    </row>
    <row r="264" customFormat="false" ht="12.75" hidden="false" customHeight="false" outlineLevel="0" collapsed="false">
      <c r="A264" s="1538" t="n">
        <f aca="false">'Plant Operations'!A264</f>
        <v>43922</v>
      </c>
      <c r="C264" s="1574" t="n">
        <f aca="false">IF($A264&gt;Endyr,0,VLOOKUP($A264,Tariff_Table,Tariff!$D$33))</f>
        <v>0</v>
      </c>
      <c r="E264" s="1561" t="n">
        <f aca="false">VLOOKUP($A264,Tariff_Table,Tariff!$E$33)</f>
        <v>0.540003288019106</v>
      </c>
      <c r="F264" s="1575" t="n">
        <f aca="false">$C264*E264</f>
        <v>0</v>
      </c>
      <c r="G264" s="1565" t="n">
        <f aca="false">VLOOKUP($A264,Curves_Table,Escalation!$N$291)</f>
        <v>1.77543572910631</v>
      </c>
      <c r="H264" s="1575" t="n">
        <f aca="false">F264*G264</f>
        <v>0</v>
      </c>
      <c r="I264" s="1576" t="n">
        <f aca="false">IF(Assm!$L$74=0,VLOOKUP($A264,Curves_Table,Escalation!$D$291),VLOOKUP($A264,Curves_Table,Escalation!$E$291))</f>
        <v>3.13455530754531</v>
      </c>
      <c r="J264" s="1576" t="n">
        <f aca="false">IF($A264&lt;EE_Date,VLOOKUP($A264,Curves_Table,Escalation!$D$291),Exch)</f>
        <v>1.065</v>
      </c>
      <c r="K264" s="1577" t="n">
        <f aca="false">H264*I264/J264</f>
        <v>0</v>
      </c>
      <c r="M264" s="1561" t="n">
        <f aca="false">VLOOKUP($A264,Tariff_Table,Tariff!$F$33)</f>
        <v>0.459996711980894</v>
      </c>
      <c r="N264" s="1575" t="n">
        <f aca="false">$C264*M264</f>
        <v>0</v>
      </c>
      <c r="O264" s="1565" t="n">
        <f aca="false">VLOOKUP($A264,Curves_Table,Escalation!$R$291)</f>
        <v>5.12476407241713</v>
      </c>
      <c r="P264" s="1577" t="n">
        <f aca="false">N264*O264</f>
        <v>0</v>
      </c>
      <c r="R264" s="1578" t="n">
        <f aca="false">SUM(K264,P264)</f>
        <v>0</v>
      </c>
      <c r="S264" s="1540" t="n">
        <f aca="false">'Plant Operations'!C264</f>
        <v>0</v>
      </c>
      <c r="T264" s="1575" t="n">
        <f aca="false">R264*S264/1000</f>
        <v>0</v>
      </c>
      <c r="U264" s="1576" t="n">
        <f aca="false">$I264</f>
        <v>3.13455530754531</v>
      </c>
      <c r="V264" s="394" t="n">
        <f aca="false">T264/U264</f>
        <v>0</v>
      </c>
      <c r="W264" s="1579" t="str">
        <f aca="false">IF(MONTH($A264)=12,SUM(V253:V264)," ")</f>
        <v> </v>
      </c>
      <c r="Y264" s="1580" t="n">
        <f aca="false">IF($A264&gt;Endyr,0,VLOOKUP($A264,Tariff_Table,Tariff!$J$33))</f>
        <v>0</v>
      </c>
      <c r="Z264" s="1576" t="n">
        <f aca="false">VLOOKUP($A264,Curves_Table,Escalation!$AH$291)</f>
        <v>5.12476407241713</v>
      </c>
      <c r="AA264" s="1576" t="n">
        <f aca="false">Y264*Z264</f>
        <v>0</v>
      </c>
      <c r="AB264" s="397" t="n">
        <f aca="false">'Plant Operations'!$I264+'Plant Operations'!$M264</f>
        <v>0</v>
      </c>
      <c r="AC264" s="1575" t="n">
        <f aca="false">AA264*AB264/1000</f>
        <v>0</v>
      </c>
      <c r="AD264" s="1576" t="n">
        <f aca="false">$I264</f>
        <v>3.13455530754531</v>
      </c>
      <c r="AE264" s="1566" t="n">
        <f aca="false">AC264/AD264</f>
        <v>0</v>
      </c>
      <c r="AF264" s="1567" t="str">
        <f aca="false">IF(MONTH($A264)=12,SUM(AE253:AE264)," ")</f>
        <v> </v>
      </c>
    </row>
    <row r="265" customFormat="false" ht="12.75" hidden="false" customHeight="false" outlineLevel="0" collapsed="false">
      <c r="A265" s="1538" t="n">
        <f aca="false">'Plant Operations'!A265</f>
        <v>43952</v>
      </c>
      <c r="C265" s="1574" t="n">
        <f aca="false">IF($A265&gt;Endyr,0,VLOOKUP($A265,Tariff_Table,Tariff!$D$33))</f>
        <v>0</v>
      </c>
      <c r="E265" s="1561" t="n">
        <f aca="false">VLOOKUP($A265,Tariff_Table,Tariff!$E$33)</f>
        <v>0.540003288019106</v>
      </c>
      <c r="F265" s="1575" t="n">
        <f aca="false">$C265*E265</f>
        <v>0</v>
      </c>
      <c r="G265" s="1565" t="n">
        <f aca="false">VLOOKUP($A265,Curves_Table,Escalation!$N$291)</f>
        <v>1.77543572910631</v>
      </c>
      <c r="H265" s="1575" t="n">
        <f aca="false">F265*G265</f>
        <v>0</v>
      </c>
      <c r="I265" s="1576" t="n">
        <f aca="false">IF(Assm!$L$74=0,VLOOKUP($A265,Curves_Table,Escalation!$D$291),VLOOKUP($A265,Curves_Table,Escalation!$E$291))</f>
        <v>3.13455530754531</v>
      </c>
      <c r="J265" s="1576" t="n">
        <f aca="false">IF($A265&lt;EE_Date,VLOOKUP($A265,Curves_Table,Escalation!$D$291),Exch)</f>
        <v>1.065</v>
      </c>
      <c r="K265" s="1577" t="n">
        <f aca="false">H265*I265/J265</f>
        <v>0</v>
      </c>
      <c r="M265" s="1561" t="n">
        <f aca="false">VLOOKUP($A265,Tariff_Table,Tariff!$F$33)</f>
        <v>0.459996711980894</v>
      </c>
      <c r="N265" s="1575" t="n">
        <f aca="false">$C265*M265</f>
        <v>0</v>
      </c>
      <c r="O265" s="1565" t="n">
        <f aca="false">VLOOKUP($A265,Curves_Table,Escalation!$R$291)</f>
        <v>5.12476407241713</v>
      </c>
      <c r="P265" s="1577" t="n">
        <f aca="false">N265*O265</f>
        <v>0</v>
      </c>
      <c r="R265" s="1578" t="n">
        <f aca="false">SUM(K265,P265)</f>
        <v>0</v>
      </c>
      <c r="S265" s="1540" t="n">
        <f aca="false">'Plant Operations'!C265</f>
        <v>0</v>
      </c>
      <c r="T265" s="1575" t="n">
        <f aca="false">R265*S265/1000</f>
        <v>0</v>
      </c>
      <c r="U265" s="1576" t="n">
        <f aca="false">$I265</f>
        <v>3.13455530754531</v>
      </c>
      <c r="V265" s="394" t="n">
        <f aca="false">T265/U265</f>
        <v>0</v>
      </c>
      <c r="W265" s="1579" t="str">
        <f aca="false">IF(MONTH($A265)=12,SUM(V254:V265)," ")</f>
        <v> </v>
      </c>
      <c r="Y265" s="1580" t="n">
        <f aca="false">IF($A265&gt;Endyr,0,VLOOKUP($A265,Tariff_Table,Tariff!$J$33))</f>
        <v>0</v>
      </c>
      <c r="Z265" s="1576" t="n">
        <f aca="false">VLOOKUP($A265,Curves_Table,Escalation!$AH$291)</f>
        <v>5.12476407241713</v>
      </c>
      <c r="AA265" s="1576" t="n">
        <f aca="false">Y265*Z265</f>
        <v>0</v>
      </c>
      <c r="AB265" s="397" t="n">
        <f aca="false">'Plant Operations'!$I265+'Plant Operations'!$M265</f>
        <v>0</v>
      </c>
      <c r="AC265" s="1575" t="n">
        <f aca="false">AA265*AB265/1000</f>
        <v>0</v>
      </c>
      <c r="AD265" s="1576" t="n">
        <f aca="false">$I265</f>
        <v>3.13455530754531</v>
      </c>
      <c r="AE265" s="1566" t="n">
        <f aca="false">AC265/AD265</f>
        <v>0</v>
      </c>
      <c r="AF265" s="1567" t="str">
        <f aca="false">IF(MONTH($A265)=12,SUM(AE254:AE265)," ")</f>
        <v> </v>
      </c>
    </row>
    <row r="266" customFormat="false" ht="12.75" hidden="false" customHeight="false" outlineLevel="0" collapsed="false">
      <c r="A266" s="1538" t="n">
        <f aca="false">'Plant Operations'!A266</f>
        <v>43983</v>
      </c>
      <c r="C266" s="1574" t="n">
        <f aca="false">IF($A266&gt;Endyr,0,VLOOKUP($A266,Tariff_Table,Tariff!$D$33))</f>
        <v>0</v>
      </c>
      <c r="E266" s="1561" t="n">
        <f aca="false">VLOOKUP($A266,Tariff_Table,Tariff!$E$33)</f>
        <v>0.540003288019106</v>
      </c>
      <c r="F266" s="1575" t="n">
        <f aca="false">$C266*E266</f>
        <v>0</v>
      </c>
      <c r="G266" s="1565" t="n">
        <f aca="false">VLOOKUP($A266,Curves_Table,Escalation!$N$291)</f>
        <v>1.77543572910631</v>
      </c>
      <c r="H266" s="1575" t="n">
        <f aca="false">F266*G266</f>
        <v>0</v>
      </c>
      <c r="I266" s="1576" t="n">
        <f aca="false">IF(Assm!$L$74=0,VLOOKUP($A266,Curves_Table,Escalation!$D$291),VLOOKUP($A266,Curves_Table,Escalation!$E$291))</f>
        <v>3.13455530754531</v>
      </c>
      <c r="J266" s="1576" t="n">
        <f aca="false">IF($A266&lt;EE_Date,VLOOKUP($A266,Curves_Table,Escalation!$D$291),Exch)</f>
        <v>1.065</v>
      </c>
      <c r="K266" s="1577" t="n">
        <f aca="false">H266*I266/J266</f>
        <v>0</v>
      </c>
      <c r="M266" s="1561" t="n">
        <f aca="false">VLOOKUP($A266,Tariff_Table,Tariff!$F$33)</f>
        <v>0.459996711980894</v>
      </c>
      <c r="N266" s="1575" t="n">
        <f aca="false">$C266*M266</f>
        <v>0</v>
      </c>
      <c r="O266" s="1565" t="n">
        <f aca="false">VLOOKUP($A266,Curves_Table,Escalation!$R$291)</f>
        <v>5.12476407241713</v>
      </c>
      <c r="P266" s="1577" t="n">
        <f aca="false">N266*O266</f>
        <v>0</v>
      </c>
      <c r="R266" s="1578" t="n">
        <f aca="false">SUM(K266,P266)</f>
        <v>0</v>
      </c>
      <c r="S266" s="1540" t="n">
        <f aca="false">'Plant Operations'!C266</f>
        <v>0</v>
      </c>
      <c r="T266" s="1575" t="n">
        <f aca="false">R266*S266/1000</f>
        <v>0</v>
      </c>
      <c r="U266" s="1576" t="n">
        <f aca="false">$I266</f>
        <v>3.13455530754531</v>
      </c>
      <c r="V266" s="394" t="n">
        <f aca="false">T266/U266</f>
        <v>0</v>
      </c>
      <c r="W266" s="1579" t="str">
        <f aca="false">IF(MONTH($A266)=12,SUM(V255:V266)," ")</f>
        <v> </v>
      </c>
      <c r="Y266" s="1580" t="n">
        <f aca="false">IF($A266&gt;Endyr,0,VLOOKUP($A266,Tariff_Table,Tariff!$J$33))</f>
        <v>0</v>
      </c>
      <c r="Z266" s="1576" t="n">
        <f aca="false">VLOOKUP($A266,Curves_Table,Escalation!$AH$291)</f>
        <v>5.12476407241713</v>
      </c>
      <c r="AA266" s="1576" t="n">
        <f aca="false">Y266*Z266</f>
        <v>0</v>
      </c>
      <c r="AB266" s="397" t="n">
        <f aca="false">'Plant Operations'!$I266+'Plant Operations'!$M266</f>
        <v>0</v>
      </c>
      <c r="AC266" s="1575" t="n">
        <f aca="false">AA266*AB266/1000</f>
        <v>0</v>
      </c>
      <c r="AD266" s="1576" t="n">
        <f aca="false">$I266</f>
        <v>3.13455530754531</v>
      </c>
      <c r="AE266" s="1566" t="n">
        <f aca="false">AC266/AD266</f>
        <v>0</v>
      </c>
      <c r="AF266" s="1567" t="str">
        <f aca="false">IF(MONTH($A266)=12,SUM(AE255:AE266)," ")</f>
        <v> </v>
      </c>
    </row>
    <row r="267" customFormat="false" ht="13.5" hidden="false" customHeight="false" outlineLevel="0" collapsed="false">
      <c r="A267" s="1538"/>
      <c r="C267" s="614"/>
      <c r="E267" s="744"/>
      <c r="F267" s="388"/>
      <c r="G267" s="388"/>
      <c r="H267" s="388"/>
      <c r="I267" s="388"/>
      <c r="J267" s="388"/>
      <c r="K267" s="1537"/>
      <c r="M267" s="744"/>
      <c r="N267" s="388"/>
      <c r="O267" s="388"/>
      <c r="P267" s="1537"/>
      <c r="R267" s="744"/>
      <c r="S267" s="388"/>
      <c r="T267" s="388"/>
      <c r="U267" s="388"/>
      <c r="V267" s="388"/>
      <c r="W267" s="1537"/>
      <c r="Y267" s="744"/>
      <c r="AA267" s="388"/>
      <c r="AB267" s="388"/>
      <c r="AC267" s="388"/>
      <c r="AD267" s="388"/>
      <c r="AE267" s="388"/>
      <c r="AF267" s="1537"/>
    </row>
    <row r="268" customFormat="false" ht="13.5" hidden="false" customHeight="false" outlineLevel="0" collapsed="false">
      <c r="A268" s="1549"/>
      <c r="C268" s="1549"/>
      <c r="E268" s="1587"/>
      <c r="F268" s="373"/>
      <c r="G268" s="373"/>
      <c r="H268" s="373"/>
      <c r="I268" s="373"/>
      <c r="J268" s="373"/>
      <c r="K268" s="1588"/>
      <c r="L268" s="388"/>
      <c r="M268" s="1587"/>
      <c r="N268" s="373"/>
      <c r="O268" s="373"/>
      <c r="P268" s="1588"/>
      <c r="R268" s="1550"/>
      <c r="S268" s="1551"/>
      <c r="T268" s="1551"/>
      <c r="U268" s="1551"/>
      <c r="V268" s="1589" t="s">
        <v>1843</v>
      </c>
      <c r="W268" s="1590" t="n">
        <f aca="false">SUM(W12:W266)</f>
        <v>883177.672718054</v>
      </c>
      <c r="Y268" s="1550"/>
      <c r="Z268" s="1551"/>
      <c r="AA268" s="1551"/>
      <c r="AB268" s="1551"/>
      <c r="AC268" s="1551"/>
      <c r="AD268" s="1551"/>
      <c r="AE268" s="1589" t="s">
        <v>1844</v>
      </c>
      <c r="AF268" s="1590" t="n">
        <f aca="false">SUM(AF12:AF266)</f>
        <v>12827.8029974101</v>
      </c>
    </row>
    <row r="270" customFormat="false" ht="12.75" hidden="false" customHeight="false" outlineLevel="0" collapsed="false">
      <c r="A270" s="1556" t="n">
        <v>1</v>
      </c>
      <c r="B270" s="1556" t="n">
        <f aca="false">A270+1</f>
        <v>2</v>
      </c>
      <c r="C270" s="1556" t="n">
        <f aca="false">B270+1</f>
        <v>3</v>
      </c>
      <c r="D270" s="1556" t="n">
        <f aca="false">C270+1</f>
        <v>4</v>
      </c>
      <c r="E270" s="1556" t="n">
        <f aca="false">D270+1</f>
        <v>5</v>
      </c>
      <c r="F270" s="1556" t="n">
        <f aca="false">E270+1</f>
        <v>6</v>
      </c>
      <c r="G270" s="1556" t="n">
        <f aca="false">F270+1</f>
        <v>7</v>
      </c>
      <c r="H270" s="1556" t="n">
        <f aca="false">G270+1</f>
        <v>8</v>
      </c>
      <c r="I270" s="1556" t="n">
        <f aca="false">H270+1</f>
        <v>9</v>
      </c>
      <c r="J270" s="1556" t="n">
        <f aca="false">I270+1</f>
        <v>10</v>
      </c>
      <c r="K270" s="1556" t="n">
        <f aca="false">J270+1</f>
        <v>11</v>
      </c>
      <c r="L270" s="1556" t="n">
        <f aca="false">K270+1</f>
        <v>12</v>
      </c>
      <c r="M270" s="1556" t="n">
        <f aca="false">L270+1</f>
        <v>13</v>
      </c>
      <c r="N270" s="1556" t="n">
        <f aca="false">M270+1</f>
        <v>14</v>
      </c>
      <c r="O270" s="1556" t="n">
        <f aca="false">N270+1</f>
        <v>15</v>
      </c>
      <c r="P270" s="1556" t="n">
        <f aca="false">O270+1</f>
        <v>16</v>
      </c>
      <c r="Q270" s="1556" t="n">
        <f aca="false">P270+1</f>
        <v>17</v>
      </c>
      <c r="R270" s="1556" t="n">
        <f aca="false">Q270+1</f>
        <v>18</v>
      </c>
      <c r="S270" s="1556" t="n">
        <f aca="false">R270+1</f>
        <v>19</v>
      </c>
      <c r="T270" s="1556" t="n">
        <f aca="false">S270+1</f>
        <v>20</v>
      </c>
      <c r="U270" s="1556" t="n">
        <f aca="false">T270+1</f>
        <v>21</v>
      </c>
      <c r="V270" s="1556" t="n">
        <f aca="false">U270+1</f>
        <v>22</v>
      </c>
      <c r="W270" s="1591" t="n">
        <f aca="false">V270+1</f>
        <v>23</v>
      </c>
      <c r="X270" s="1556" t="n">
        <f aca="false">W270+1</f>
        <v>24</v>
      </c>
      <c r="Y270" s="1556" t="n">
        <f aca="false">X270+1</f>
        <v>25</v>
      </c>
      <c r="Z270" s="1556" t="n">
        <f aca="false">Y270+1</f>
        <v>26</v>
      </c>
      <c r="AA270" s="1556" t="n">
        <f aca="false">Z270+1</f>
        <v>27</v>
      </c>
      <c r="AB270" s="1556" t="n">
        <f aca="false">AA270+1</f>
        <v>28</v>
      </c>
      <c r="AC270" s="1556" t="n">
        <f aca="false">AB270+1</f>
        <v>29</v>
      </c>
      <c r="AD270" s="1556" t="n">
        <f aca="false">AC270+1</f>
        <v>30</v>
      </c>
      <c r="AE270" s="1556" t="n">
        <f aca="false">AD270+1</f>
        <v>31</v>
      </c>
      <c r="AF270" s="1556" t="n">
        <f aca="false">AE270+1</f>
        <v>32</v>
      </c>
    </row>
  </sheetData>
  <mergeCells count="2">
    <mergeCell ref="C6:W6"/>
    <mergeCell ref="Y6:AF6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270"/>
  <sheetViews>
    <sheetView showFormulas="false" showGridLines="false" showRowColHeaders="true" showZeros="true" rightToLeft="false" tabSelected="false" showOutlineSymbols="true" defaultGridColor="true" view="normal" topLeftCell="M1" colorId="64" zoomScale="90" zoomScaleNormal="90" zoomScalePageLayoutView="100" workbookViewId="0">
      <selection pane="topLeft" activeCell="O33" activeCellId="0" sqref="O3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.7"/>
    <col collapsed="false" customWidth="true" hidden="false" outlineLevel="0" max="3" min="3" style="0" width="13.7"/>
    <col collapsed="false" customWidth="true" hidden="false" outlineLevel="0" max="4" min="4" style="0" width="10.71"/>
    <col collapsed="false" customWidth="true" hidden="false" outlineLevel="0" max="5" min="5" style="0" width="13.7"/>
    <col collapsed="false" customWidth="true" hidden="false" outlineLevel="0" max="7" min="6" style="388" width="10.71"/>
    <col collapsed="false" customWidth="true" hidden="false" outlineLevel="0" max="8" min="8" style="0" width="13.7"/>
    <col collapsed="false" customWidth="true" hidden="false" outlineLevel="0" max="9" min="9" style="0" width="10.71"/>
    <col collapsed="false" customWidth="true" hidden="false" outlineLevel="0" max="10" min="10" style="0" width="12.42"/>
    <col collapsed="false" customWidth="true" hidden="false" outlineLevel="0" max="11" min="11" style="388" width="10.71"/>
    <col collapsed="false" customWidth="true" hidden="false" outlineLevel="0" max="12" min="12" style="0" width="10.71"/>
    <col collapsed="false" customWidth="true" hidden="false" outlineLevel="0" max="13" min="13" style="0" width="12.7"/>
    <col collapsed="false" customWidth="true" hidden="false" outlineLevel="0" max="14" min="14" style="0" width="2.7"/>
    <col collapsed="false" customWidth="true" hidden="false" outlineLevel="0" max="15" min="15" style="0" width="13.7"/>
    <col collapsed="false" customWidth="true" hidden="false" outlineLevel="0" max="16" min="16" style="0" width="10.71"/>
    <col collapsed="false" customWidth="true" hidden="false" outlineLevel="0" max="17" min="17" style="0" width="13.7"/>
    <col collapsed="false" customWidth="true" hidden="false" outlineLevel="0" max="19" min="18" style="388" width="10.71"/>
    <col collapsed="false" customWidth="true" hidden="false" outlineLevel="0" max="20" min="20" style="0" width="13.7"/>
    <col collapsed="false" customWidth="true" hidden="false" outlineLevel="0" max="22" min="21" style="0" width="10.71"/>
    <col collapsed="false" customWidth="true" hidden="false" outlineLevel="0" max="23" min="23" style="388" width="10.71"/>
    <col collapsed="false" customWidth="true" hidden="false" outlineLevel="0" max="24" min="24" style="0" width="10.71"/>
    <col collapsed="false" customWidth="true" hidden="false" outlineLevel="0" max="25" min="25" style="0" width="12.7"/>
    <col collapsed="false" customWidth="true" hidden="false" outlineLevel="0" max="26" min="26" style="0" width="2.7"/>
    <col collapsed="false" customWidth="true" hidden="false" outlineLevel="0" max="29" min="27" style="0" width="10.71"/>
    <col collapsed="false" customWidth="true" hidden="false" outlineLevel="0" max="31" min="30" style="388" width="10.71"/>
    <col collapsed="false" customWidth="true" hidden="false" outlineLevel="0" max="34" min="32" style="0" width="10.71"/>
    <col collapsed="false" customWidth="true" hidden="false" outlineLevel="0" max="35" min="35" style="388" width="10.71"/>
    <col collapsed="false" customWidth="true" hidden="false" outlineLevel="0" max="36" min="36" style="0" width="10.71"/>
    <col collapsed="false" customWidth="true" hidden="false" outlineLevel="0" max="37" min="37" style="0" width="12.7"/>
    <col collapsed="false" customWidth="true" hidden="false" outlineLevel="0" max="38" min="38" style="0" width="2.7"/>
    <col collapsed="false" customWidth="true" hidden="false" outlineLevel="0" max="39" min="39" style="388" width="10.71"/>
    <col collapsed="false" customWidth="true" hidden="false" outlineLevel="0" max="45" min="40" style="0" width="10.71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1522"/>
      <c r="C1" s="388"/>
      <c r="D1" s="388"/>
      <c r="E1" s="388"/>
      <c r="H1" s="388"/>
      <c r="I1" s="388"/>
      <c r="J1" s="388"/>
      <c r="L1" s="388"/>
      <c r="M1" s="388"/>
      <c r="N1" s="1522"/>
      <c r="O1" s="388"/>
      <c r="P1" s="388"/>
      <c r="Q1" s="388"/>
      <c r="T1" s="388"/>
      <c r="U1" s="388"/>
      <c r="V1" s="388"/>
      <c r="X1" s="388"/>
      <c r="Y1" s="388"/>
      <c r="Z1" s="1522"/>
      <c r="AA1" s="388"/>
      <c r="AB1" s="388"/>
      <c r="AC1" s="388"/>
      <c r="AF1" s="388"/>
      <c r="AG1" s="388"/>
      <c r="AH1" s="388"/>
      <c r="AJ1" s="388"/>
      <c r="AK1" s="388"/>
      <c r="AL1" s="388"/>
      <c r="AN1" s="388"/>
      <c r="AO1" s="388"/>
      <c r="AP1" s="388"/>
      <c r="AQ1" s="388"/>
      <c r="AR1" s="388"/>
      <c r="AS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1522"/>
      <c r="C2" s="388"/>
      <c r="D2" s="388"/>
      <c r="E2" s="388"/>
      <c r="H2" s="388"/>
      <c r="I2" s="388"/>
      <c r="J2" s="388"/>
      <c r="L2" s="388"/>
      <c r="M2" s="388"/>
      <c r="N2" s="1522"/>
      <c r="O2" s="388"/>
      <c r="P2" s="388"/>
      <c r="Q2" s="388"/>
      <c r="T2" s="388"/>
      <c r="U2" s="388"/>
      <c r="V2" s="388"/>
      <c r="X2" s="388"/>
      <c r="Y2" s="388"/>
      <c r="Z2" s="1522"/>
      <c r="AA2" s="388"/>
      <c r="AB2" s="388"/>
      <c r="AC2" s="388"/>
      <c r="AF2" s="388"/>
      <c r="AG2" s="388"/>
      <c r="AH2" s="388"/>
      <c r="AJ2" s="388"/>
      <c r="AK2" s="388"/>
      <c r="AL2" s="388"/>
      <c r="AN2" s="388"/>
      <c r="AO2" s="388"/>
      <c r="AP2" s="388"/>
      <c r="AQ2" s="388"/>
      <c r="AR2" s="388"/>
      <c r="AS2" s="388"/>
    </row>
    <row r="3" customFormat="false" ht="15" hidden="false" customHeight="false" outlineLevel="0" collapsed="false">
      <c r="A3" s="19" t="str">
        <f aca="false">TOC!B4</f>
        <v>ENRON INTERNATIONAL</v>
      </c>
      <c r="B3" s="19"/>
      <c r="C3" s="388"/>
      <c r="D3" s="388"/>
      <c r="E3" s="388"/>
      <c r="H3" s="388"/>
      <c r="I3" s="388"/>
      <c r="J3" s="388"/>
      <c r="L3" s="388"/>
      <c r="M3" s="388"/>
      <c r="N3" s="19"/>
      <c r="O3" s="388"/>
      <c r="P3" s="388"/>
      <c r="Q3" s="388"/>
      <c r="T3" s="388"/>
      <c r="U3" s="388"/>
      <c r="V3" s="388"/>
      <c r="X3" s="388"/>
      <c r="Y3" s="388"/>
      <c r="Z3" s="19"/>
      <c r="AA3" s="388"/>
      <c r="AB3" s="388"/>
      <c r="AC3" s="388"/>
      <c r="AF3" s="388"/>
      <c r="AG3" s="388"/>
      <c r="AH3" s="388"/>
      <c r="AJ3" s="388"/>
      <c r="AK3" s="388"/>
      <c r="AL3" s="388"/>
      <c r="AN3" s="388"/>
      <c r="AO3" s="388"/>
      <c r="AP3" s="388"/>
      <c r="AQ3" s="388"/>
      <c r="AR3" s="388"/>
      <c r="AS3" s="388"/>
    </row>
    <row r="4" customFormat="false" ht="15" hidden="false" customHeight="false" outlineLevel="0" collapsed="false">
      <c r="A4" s="21" t="s">
        <v>1845</v>
      </c>
      <c r="B4" s="21"/>
      <c r="C4" s="632"/>
      <c r="D4" s="632"/>
      <c r="E4" s="632"/>
      <c r="H4" s="388"/>
      <c r="I4" s="388"/>
      <c r="J4" s="388"/>
      <c r="L4" s="388"/>
      <c r="M4" s="388"/>
      <c r="N4" s="1572"/>
      <c r="O4" s="388"/>
      <c r="P4" s="388"/>
      <c r="Q4" s="388"/>
      <c r="T4" s="388"/>
      <c r="U4" s="388"/>
      <c r="V4" s="388"/>
      <c r="X4" s="388"/>
      <c r="Y4" s="388"/>
      <c r="Z4" s="19"/>
      <c r="AA4" s="388"/>
      <c r="AB4" s="388"/>
      <c r="AC4" s="388"/>
      <c r="AF4" s="388"/>
      <c r="AG4" s="388"/>
      <c r="AH4" s="388"/>
      <c r="AJ4" s="388"/>
      <c r="AK4" s="388"/>
      <c r="AL4" s="388"/>
      <c r="AN4" s="388"/>
      <c r="AO4" s="388"/>
      <c r="AP4" s="388"/>
      <c r="AQ4" s="388"/>
      <c r="AR4" s="388"/>
      <c r="AS4" s="388"/>
    </row>
    <row r="5" customFormat="false" ht="12.75" hidden="false" customHeight="false" outlineLevel="0" collapsed="false">
      <c r="A5" s="1523"/>
      <c r="B5" s="1523"/>
      <c r="C5" s="1523"/>
      <c r="D5" s="388"/>
      <c r="E5" s="388"/>
      <c r="F5" s="1523"/>
      <c r="G5" s="1523"/>
      <c r="H5" s="388"/>
      <c r="I5" s="388"/>
      <c r="J5" s="388"/>
      <c r="K5" s="1523"/>
      <c r="L5" s="388"/>
      <c r="M5" s="388"/>
      <c r="N5" s="1523"/>
      <c r="O5" s="1523"/>
      <c r="P5" s="388"/>
      <c r="Q5" s="388"/>
      <c r="R5" s="1523"/>
      <c r="S5" s="1523"/>
      <c r="T5" s="388"/>
      <c r="U5" s="388"/>
      <c r="V5" s="388"/>
      <c r="W5" s="1523"/>
      <c r="X5" s="388"/>
      <c r="Y5" s="388"/>
      <c r="Z5" s="1523"/>
      <c r="AA5" s="1523"/>
      <c r="AB5" s="388"/>
      <c r="AC5" s="388"/>
      <c r="AD5" s="1523"/>
      <c r="AE5" s="1523"/>
      <c r="AF5" s="388"/>
      <c r="AG5" s="388"/>
      <c r="AH5" s="388"/>
      <c r="AI5" s="1523"/>
      <c r="AJ5" s="388"/>
      <c r="AK5" s="388"/>
      <c r="AL5" s="1523"/>
      <c r="AM5" s="1523"/>
      <c r="AN5" s="388"/>
      <c r="AO5" s="388"/>
      <c r="AP5" s="388"/>
      <c r="AQ5" s="388"/>
      <c r="AR5" s="388"/>
      <c r="AS5" s="388"/>
    </row>
    <row r="6" customFormat="false" ht="12.75" hidden="false" customHeight="false" outlineLevel="0" collapsed="false">
      <c r="C6" s="1524" t="s">
        <v>1846</v>
      </c>
      <c r="D6" s="1524"/>
      <c r="E6" s="1524"/>
      <c r="F6" s="1524"/>
      <c r="G6" s="1524"/>
      <c r="H6" s="1524"/>
      <c r="I6" s="1524"/>
      <c r="J6" s="1524"/>
      <c r="K6" s="1524"/>
      <c r="L6" s="1524"/>
      <c r="M6" s="1524"/>
      <c r="O6" s="1524" t="s">
        <v>1847</v>
      </c>
      <c r="P6" s="1524"/>
      <c r="Q6" s="1524"/>
      <c r="R6" s="1524"/>
      <c r="S6" s="1524"/>
      <c r="T6" s="1524"/>
      <c r="U6" s="1524"/>
      <c r="V6" s="1524"/>
      <c r="W6" s="1524"/>
      <c r="X6" s="1524"/>
      <c r="Y6" s="1524"/>
      <c r="AA6" s="1524" t="s">
        <v>1848</v>
      </c>
      <c r="AB6" s="1524"/>
      <c r="AC6" s="1524"/>
      <c r="AD6" s="1524"/>
      <c r="AE6" s="1524"/>
      <c r="AF6" s="1524"/>
      <c r="AG6" s="1524"/>
      <c r="AH6" s="1524"/>
      <c r="AI6" s="1524"/>
      <c r="AJ6" s="1524"/>
      <c r="AK6" s="1524"/>
      <c r="AM6" s="1524" t="s">
        <v>1849</v>
      </c>
      <c r="AN6" s="1524"/>
      <c r="AO6" s="1524"/>
      <c r="AP6" s="1524"/>
      <c r="AQ6" s="1524"/>
      <c r="AR6" s="1524"/>
      <c r="AS6" s="1524"/>
    </row>
    <row r="7" customFormat="false" ht="13.5" hidden="false" customHeight="false" outlineLevel="0" collapsed="false"/>
    <row r="8" customFormat="false" ht="12.75" hidden="false" customHeight="false" outlineLevel="0" collapsed="false">
      <c r="A8" s="1525"/>
      <c r="C8" s="545"/>
      <c r="D8" s="1527"/>
      <c r="E8" s="1527" t="s">
        <v>1828</v>
      </c>
      <c r="F8" s="1527" t="s">
        <v>1817</v>
      </c>
      <c r="G8" s="1527" t="s">
        <v>1829</v>
      </c>
      <c r="H8" s="1527" t="s">
        <v>1830</v>
      </c>
      <c r="I8" s="1527" t="s">
        <v>709</v>
      </c>
      <c r="J8" s="1527" t="s">
        <v>1796</v>
      </c>
      <c r="K8" s="1527" t="s">
        <v>1829</v>
      </c>
      <c r="L8" s="1527" t="s">
        <v>1796</v>
      </c>
      <c r="M8" s="1530" t="s">
        <v>1797</v>
      </c>
      <c r="O8" s="545"/>
      <c r="P8" s="1527" t="s">
        <v>719</v>
      </c>
      <c r="Q8" s="1527" t="s">
        <v>1828</v>
      </c>
      <c r="R8" s="1527" t="s">
        <v>1817</v>
      </c>
      <c r="S8" s="1527" t="s">
        <v>1829</v>
      </c>
      <c r="T8" s="1527" t="s">
        <v>1830</v>
      </c>
      <c r="U8" s="1527" t="s">
        <v>709</v>
      </c>
      <c r="V8" s="1527" t="s">
        <v>1796</v>
      </c>
      <c r="W8" s="1527" t="s">
        <v>1829</v>
      </c>
      <c r="X8" s="1527" t="s">
        <v>1796</v>
      </c>
      <c r="Y8" s="1530" t="s">
        <v>1797</v>
      </c>
      <c r="AA8" s="545"/>
      <c r="AB8" s="1527" t="s">
        <v>719</v>
      </c>
      <c r="AC8" s="1527" t="s">
        <v>1828</v>
      </c>
      <c r="AD8" s="1527" t="s">
        <v>1817</v>
      </c>
      <c r="AE8" s="1527" t="s">
        <v>1829</v>
      </c>
      <c r="AF8" s="1527" t="s">
        <v>1830</v>
      </c>
      <c r="AG8" s="1527" t="s">
        <v>732</v>
      </c>
      <c r="AH8" s="1527" t="s">
        <v>1796</v>
      </c>
      <c r="AI8" s="1527" t="s">
        <v>1829</v>
      </c>
      <c r="AJ8" s="1527" t="s">
        <v>1796</v>
      </c>
      <c r="AK8" s="1530" t="s">
        <v>1797</v>
      </c>
      <c r="AM8" s="1526" t="s">
        <v>1850</v>
      </c>
      <c r="AN8" s="1527"/>
      <c r="AO8" s="1527" t="s">
        <v>1828</v>
      </c>
      <c r="AP8" s="1527"/>
      <c r="AQ8" s="1527" t="s">
        <v>66</v>
      </c>
      <c r="AR8" s="1527" t="s">
        <v>1180</v>
      </c>
      <c r="AS8" s="1530" t="s">
        <v>719</v>
      </c>
    </row>
    <row r="9" customFormat="false" ht="12.75" hidden="false" customHeight="false" outlineLevel="0" collapsed="false">
      <c r="A9" s="614"/>
      <c r="C9" s="264" t="s">
        <v>1851</v>
      </c>
      <c r="D9" s="229" t="str">
        <f aca="false">Escalation!U14</f>
        <v>US</v>
      </c>
      <c r="E9" s="427" t="s">
        <v>1851</v>
      </c>
      <c r="F9" s="79" t="s">
        <v>1621</v>
      </c>
      <c r="G9" s="79" t="s">
        <v>1835</v>
      </c>
      <c r="H9" s="427" t="s">
        <v>1851</v>
      </c>
      <c r="I9" s="427" t="s">
        <v>64</v>
      </c>
      <c r="J9" s="427" t="s">
        <v>782</v>
      </c>
      <c r="K9" s="79" t="s">
        <v>1621</v>
      </c>
      <c r="L9" s="427" t="s">
        <v>782</v>
      </c>
      <c r="M9" s="1533" t="s">
        <v>782</v>
      </c>
      <c r="O9" s="264" t="s">
        <v>1852</v>
      </c>
      <c r="P9" s="229" t="s">
        <v>732</v>
      </c>
      <c r="Q9" s="427" t="s">
        <v>1852</v>
      </c>
      <c r="R9" s="79" t="s">
        <v>1621</v>
      </c>
      <c r="S9" s="79" t="s">
        <v>1835</v>
      </c>
      <c r="T9" s="427" t="s">
        <v>1852</v>
      </c>
      <c r="U9" s="427" t="s">
        <v>64</v>
      </c>
      <c r="V9" s="427" t="s">
        <v>782</v>
      </c>
      <c r="W9" s="79" t="s">
        <v>1621</v>
      </c>
      <c r="X9" s="427" t="s">
        <v>782</v>
      </c>
      <c r="Y9" s="1533" t="s">
        <v>782</v>
      </c>
      <c r="AA9" s="264" t="s">
        <v>1853</v>
      </c>
      <c r="AB9" s="229" t="s">
        <v>732</v>
      </c>
      <c r="AC9" s="427" t="s">
        <v>1853</v>
      </c>
      <c r="AD9" s="79" t="s">
        <v>1621</v>
      </c>
      <c r="AE9" s="79" t="s">
        <v>1835</v>
      </c>
      <c r="AF9" s="427" t="s">
        <v>1853</v>
      </c>
      <c r="AG9" s="427" t="s">
        <v>1854</v>
      </c>
      <c r="AH9" s="427" t="s">
        <v>782</v>
      </c>
      <c r="AI9" s="79" t="s">
        <v>1621</v>
      </c>
      <c r="AJ9" s="427" t="s">
        <v>782</v>
      </c>
      <c r="AK9" s="1533" t="s">
        <v>782</v>
      </c>
      <c r="AM9" s="264" t="s">
        <v>1855</v>
      </c>
      <c r="AN9" s="229" t="str">
        <f aca="false">Escalation!$Y14</f>
        <v>CPI Less</v>
      </c>
      <c r="AO9" s="427" t="s">
        <v>1855</v>
      </c>
      <c r="AP9" s="79" t="s">
        <v>720</v>
      </c>
      <c r="AQ9" s="79" t="s">
        <v>713</v>
      </c>
      <c r="AR9" s="79" t="s">
        <v>1856</v>
      </c>
      <c r="AS9" s="1592" t="s">
        <v>732</v>
      </c>
    </row>
    <row r="10" customFormat="false" ht="12.75" hidden="false" customHeight="false" outlineLevel="0" collapsed="false">
      <c r="A10" s="1534" t="s">
        <v>1802</v>
      </c>
      <c r="C10" s="472" t="s">
        <v>1840</v>
      </c>
      <c r="D10" s="303" t="str">
        <f aca="false">Escalation!V14</f>
        <v>CPI</v>
      </c>
      <c r="E10" s="303" t="s">
        <v>1840</v>
      </c>
      <c r="F10" s="303" t="s">
        <v>1822</v>
      </c>
      <c r="G10" s="303" t="s">
        <v>1822</v>
      </c>
      <c r="H10" s="303" t="s">
        <v>1840</v>
      </c>
      <c r="I10" s="303" t="s">
        <v>63</v>
      </c>
      <c r="J10" s="303" t="s">
        <v>1857</v>
      </c>
      <c r="K10" s="303" t="s">
        <v>1822</v>
      </c>
      <c r="L10" s="303" t="s">
        <v>1841</v>
      </c>
      <c r="M10" s="475" t="s">
        <v>1841</v>
      </c>
      <c r="O10" s="472" t="s">
        <v>1840</v>
      </c>
      <c r="P10" s="303" t="s">
        <v>1858</v>
      </c>
      <c r="Q10" s="303" t="s">
        <v>1840</v>
      </c>
      <c r="R10" s="303" t="s">
        <v>1822</v>
      </c>
      <c r="S10" s="303" t="s">
        <v>1822</v>
      </c>
      <c r="T10" s="303" t="s">
        <v>1840</v>
      </c>
      <c r="U10" s="303" t="s">
        <v>63</v>
      </c>
      <c r="V10" s="303" t="s">
        <v>1857</v>
      </c>
      <c r="W10" s="303" t="s">
        <v>1822</v>
      </c>
      <c r="X10" s="303" t="s">
        <v>1841</v>
      </c>
      <c r="Y10" s="475" t="s">
        <v>1841</v>
      </c>
      <c r="AA10" s="472" t="s">
        <v>1842</v>
      </c>
      <c r="AB10" s="303" t="s">
        <v>1858</v>
      </c>
      <c r="AC10" s="303" t="s">
        <v>1842</v>
      </c>
      <c r="AD10" s="303" t="s">
        <v>1822</v>
      </c>
      <c r="AE10" s="303" t="s">
        <v>1822</v>
      </c>
      <c r="AF10" s="303" t="s">
        <v>1842</v>
      </c>
      <c r="AG10" s="303" t="s">
        <v>1859</v>
      </c>
      <c r="AH10" s="303" t="s">
        <v>1857</v>
      </c>
      <c r="AI10" s="303" t="s">
        <v>1822</v>
      </c>
      <c r="AJ10" s="303" t="s">
        <v>1841</v>
      </c>
      <c r="AK10" s="475" t="s">
        <v>1841</v>
      </c>
      <c r="AM10" s="1593" t="s">
        <v>223</v>
      </c>
      <c r="AN10" s="303" t="n">
        <f aca="false">Escalation!$Z14</f>
        <v>0.0025</v>
      </c>
      <c r="AO10" s="303" t="s">
        <v>223</v>
      </c>
      <c r="AP10" s="303" t="s">
        <v>223</v>
      </c>
      <c r="AQ10" s="303" t="s">
        <v>223</v>
      </c>
      <c r="AR10" s="1594" t="s">
        <v>713</v>
      </c>
      <c r="AS10" s="475" t="s">
        <v>1858</v>
      </c>
    </row>
    <row r="11" customFormat="false" ht="12.75" hidden="false" customHeight="false" outlineLevel="0" collapsed="false">
      <c r="A11" s="614"/>
      <c r="C11" s="744"/>
      <c r="D11" s="388"/>
      <c r="E11" s="388"/>
      <c r="H11" s="388"/>
      <c r="I11" s="388"/>
      <c r="J11" s="388"/>
      <c r="L11" s="388"/>
      <c r="M11" s="1537"/>
      <c r="O11" s="744"/>
      <c r="P11" s="388"/>
      <c r="Q11" s="388"/>
      <c r="T11" s="388"/>
      <c r="U11" s="388"/>
      <c r="V11" s="388"/>
      <c r="X11" s="388"/>
      <c r="Y11" s="1537"/>
      <c r="AA11" s="744"/>
      <c r="AB11" s="388"/>
      <c r="AC11" s="388"/>
      <c r="AF11" s="388"/>
      <c r="AG11" s="388"/>
      <c r="AH11" s="388"/>
      <c r="AJ11" s="388"/>
      <c r="AK11" s="1537"/>
      <c r="AM11" s="744"/>
      <c r="AN11" s="388"/>
      <c r="AO11" s="388"/>
      <c r="AP11" s="388"/>
      <c r="AQ11" s="388"/>
      <c r="AR11" s="388"/>
      <c r="AS11" s="1537"/>
    </row>
    <row r="12" customFormat="false" ht="12.75" hidden="false" customHeight="false" outlineLevel="0" collapsed="false">
      <c r="A12" s="1538" t="n">
        <f aca="false">Startops2</f>
        <v>36951</v>
      </c>
      <c r="C12" s="1595" t="n">
        <f aca="false">IF($A12&gt;Endyr,0,VLOOKUP($A12,Tariff_Table,Tariff!$G$33))</f>
        <v>11645.56</v>
      </c>
      <c r="D12" s="1565" t="n">
        <f aca="false">VLOOKUP($A12,Curves_Table,Escalation!$V$291)</f>
        <v>1.06207999503397</v>
      </c>
      <c r="E12" s="1596" t="n">
        <f aca="false">C12*D12</f>
        <v>12368.5163069678</v>
      </c>
      <c r="F12" s="1565" t="n">
        <f aca="false">IF(Assm!$L$74=0,VLOOKUP($A12,Curves_Table,Escalation!$D$291),VLOOKUP($A12,Curves_Table,Escalation!$E$291))</f>
        <v>1.84910127002989</v>
      </c>
      <c r="G12" s="427" t="n">
        <f aca="false">IF($A12&lt;EE_Date,VLOOKUP($A12,Curves_Table,Escalation!$D$291),Exch)</f>
        <v>1.065</v>
      </c>
      <c r="H12" s="1596" t="n">
        <f aca="false">E12*F12/G12</f>
        <v>21474.7786024409</v>
      </c>
      <c r="I12" s="1540" t="n">
        <f aca="false">VLOOKUP($A12,Plant_Table,'Plant Operations'!$C$270)</f>
        <v>150</v>
      </c>
      <c r="J12" s="1575" t="n">
        <f aca="false">H12*I12/1000</f>
        <v>3221.21679036614</v>
      </c>
      <c r="K12" s="1565" t="n">
        <f aca="false">F12</f>
        <v>1.84910127002989</v>
      </c>
      <c r="L12" s="394" t="n">
        <f aca="false">J12/K12</f>
        <v>1742.04455027715</v>
      </c>
      <c r="M12" s="1579" t="str">
        <f aca="false">IF(MONTH($A12)=12,SUM(L1:L12)," ")</f>
        <v> </v>
      </c>
      <c r="O12" s="1597" t="n">
        <f aca="false">IF($A12&gt;Endyr,0,VLOOKUP($A12,Tariff_Table,Tariff!$H$33))</f>
        <v>9025.02</v>
      </c>
      <c r="P12" s="1565" t="n">
        <f aca="false">$AS12</f>
        <v>1.05202685891138</v>
      </c>
      <c r="Q12" s="1575" t="n">
        <f aca="false">O12*P12</f>
        <v>9494.56344221239</v>
      </c>
      <c r="R12" s="1565" t="n">
        <f aca="false">$F12</f>
        <v>1.84910127002989</v>
      </c>
      <c r="S12" s="427" t="n">
        <f aca="false">$G12</f>
        <v>1.065</v>
      </c>
      <c r="T12" s="1575" t="n">
        <f aca="false">Q12*R12/S12</f>
        <v>16484.8913796942</v>
      </c>
      <c r="U12" s="1540" t="n">
        <f aca="false">$I12</f>
        <v>150</v>
      </c>
      <c r="V12" s="1575" t="n">
        <f aca="false">T12*U12/1000</f>
        <v>2472.73370695413</v>
      </c>
      <c r="W12" s="1565" t="n">
        <f aca="false">R12</f>
        <v>1.84910127002989</v>
      </c>
      <c r="X12" s="394" t="n">
        <f aca="false">V12/W12</f>
        <v>1337.26245664963</v>
      </c>
      <c r="Y12" s="1579" t="str">
        <f aca="false">IF(MONTH($A12)=12,SUM(X1:X12)," ")</f>
        <v> </v>
      </c>
      <c r="AA12" s="1595" t="n">
        <f aca="false">IF($A12&gt;Endyr,0,VLOOKUP($A12,Tariff_Table,Tariff!$I$33))</f>
        <v>3.2802</v>
      </c>
      <c r="AB12" s="1565" t="n">
        <f aca="false">$AS12</f>
        <v>1.05202685891138</v>
      </c>
      <c r="AC12" s="1596" t="n">
        <f aca="false">AA12*AB12</f>
        <v>3.45085850260111</v>
      </c>
      <c r="AD12" s="1565" t="n">
        <f aca="false">$F12</f>
        <v>1.84910127002989</v>
      </c>
      <c r="AE12" s="427" t="n">
        <f aca="false">$G12</f>
        <v>1.065</v>
      </c>
      <c r="AF12" s="1596" t="n">
        <f aca="false">AC12*AD12/AE12</f>
        <v>5.99153693882927</v>
      </c>
      <c r="AG12" s="397" t="n">
        <f aca="false">VLOOKUP($A12,Plant_Table,'Plant Operations'!$M$270)</f>
        <v>12600</v>
      </c>
      <c r="AH12" s="1575" t="n">
        <f aca="false">AF12*AG12/1000</f>
        <v>75.4933654292488</v>
      </c>
      <c r="AI12" s="1565" t="n">
        <f aca="false">AD12</f>
        <v>1.84910127002989</v>
      </c>
      <c r="AJ12" s="1566" t="n">
        <f aca="false">AH12/AI12</f>
        <v>40.8270583406329</v>
      </c>
      <c r="AK12" s="1567" t="str">
        <f aca="false">IF(MONTH($A12)=12,SUM(AJ1:AJ12)," ")</f>
        <v> </v>
      </c>
      <c r="AM12" s="488" t="n">
        <f aca="false">IF($A12&gt;Endyr,0,VLOOKUP($A12,Tariff_Table,Tariff!$L$33))</f>
        <v>1.21</v>
      </c>
      <c r="AN12" s="1576" t="n">
        <f aca="false">VLOOKUP($A12,Curves_Table,Escalation!$Z$291)</f>
        <v>1.06277620992613</v>
      </c>
      <c r="AO12" s="1314" t="n">
        <f aca="false">AM12*AN12</f>
        <v>1.28595921401062</v>
      </c>
      <c r="AP12" s="1314" t="n">
        <f aca="false">IF($A12&gt;Endyr,0,VLOOKUP($A12,Tariff_Table,Tariff!$M$33))</f>
        <v>0.25</v>
      </c>
      <c r="AQ12" s="1314" t="n">
        <f aca="false">SUM(AO12,AP12)</f>
        <v>1.53595921401062</v>
      </c>
      <c r="AR12" s="1314" t="n">
        <f aca="false">SUM(AM12,AP12)</f>
        <v>1.46</v>
      </c>
      <c r="AS12" s="1598" t="n">
        <f aca="false">IF(AR12=0,0,AQ12/AR12)</f>
        <v>1.05202685891138</v>
      </c>
    </row>
    <row r="13" customFormat="false" ht="12.75" hidden="false" customHeight="false" outlineLevel="0" collapsed="false">
      <c r="A13" s="1538" t="n">
        <f aca="false">EDATE(A12,1)</f>
        <v>36982</v>
      </c>
      <c r="C13" s="1595" t="n">
        <f aca="false">IF($A13&gt;Endyr,0,VLOOKUP($A13,Tariff_Table,Tariff!$G$33))</f>
        <v>11645.56</v>
      </c>
      <c r="D13" s="1565" t="n">
        <f aca="false">VLOOKUP($A13,Curves_Table,Escalation!$V$291)</f>
        <v>1.06207999503397</v>
      </c>
      <c r="E13" s="1596" t="n">
        <f aca="false">C13*D13</f>
        <v>12368.5163069678</v>
      </c>
      <c r="F13" s="1565" t="n">
        <f aca="false">IF(Assm!$L$74=0,VLOOKUP($A13,Curves_Table,Escalation!$D$291),VLOOKUP($A13,Curves_Table,Escalation!$E$291))</f>
        <v>1.8644297889368</v>
      </c>
      <c r="G13" s="427" t="n">
        <f aca="false">IF($A13&lt;EE_Date,VLOOKUP($A13,Curves_Table,Escalation!$D$291),Exch)</f>
        <v>1.065</v>
      </c>
      <c r="H13" s="1596" t="n">
        <f aca="false">E13*F13/G13</f>
        <v>21652.7983546115</v>
      </c>
      <c r="I13" s="1540" t="n">
        <f aca="false">VLOOKUP($A13,Plant_Table,'Plant Operations'!$C$270)</f>
        <v>237.779371584699</v>
      </c>
      <c r="J13" s="1575" t="n">
        <f aca="false">H13*I13/1000</f>
        <v>5148.58878580974</v>
      </c>
      <c r="K13" s="1565" t="n">
        <f aca="false">F13</f>
        <v>1.8644297889368</v>
      </c>
      <c r="L13" s="394" t="n">
        <f aca="false">J13/K13</f>
        <v>2761.48172291634</v>
      </c>
      <c r="M13" s="1579" t="str">
        <f aca="false">IF(MONTH($A13)=12,SUM(L2:L13)," ")</f>
        <v> </v>
      </c>
      <c r="O13" s="1597" t="n">
        <f aca="false">IF($A13&gt;Endyr,0,VLOOKUP($A13,Tariff_Table,Tariff!$H$33))</f>
        <v>9025.02</v>
      </c>
      <c r="P13" s="1565" t="n">
        <f aca="false">$AS13</f>
        <v>1.05202685891138</v>
      </c>
      <c r="Q13" s="1575" t="n">
        <f aca="false">O13*P13</f>
        <v>9494.56344221239</v>
      </c>
      <c r="R13" s="1565" t="n">
        <f aca="false">$F13</f>
        <v>1.8644297889368</v>
      </c>
      <c r="S13" s="427" t="n">
        <f aca="false">$G13</f>
        <v>1.065</v>
      </c>
      <c r="T13" s="1575" t="n">
        <f aca="false">Q13*R13/S13</f>
        <v>16621.5463986959</v>
      </c>
      <c r="U13" s="1540" t="n">
        <f aca="false">$I13</f>
        <v>237.779371584699</v>
      </c>
      <c r="V13" s="1575" t="n">
        <f aca="false">T13*U13/1000</f>
        <v>3952.26085744782</v>
      </c>
      <c r="W13" s="1565" t="n">
        <f aca="false">R13</f>
        <v>1.8644297889368</v>
      </c>
      <c r="X13" s="394" t="n">
        <f aca="false">V13/W13</f>
        <v>2119.82284390641</v>
      </c>
      <c r="Y13" s="1579" t="str">
        <f aca="false">IF(MONTH($A13)=12,SUM(X2:X13)," ")</f>
        <v> </v>
      </c>
      <c r="AA13" s="1595" t="n">
        <f aca="false">IF($A13&gt;Endyr,0,VLOOKUP($A13,Tariff_Table,Tariff!$I$33))</f>
        <v>3.2802</v>
      </c>
      <c r="AB13" s="1565" t="n">
        <f aca="false">$AS13</f>
        <v>1.05202685891138</v>
      </c>
      <c r="AC13" s="1596" t="n">
        <f aca="false">AA13*AB13</f>
        <v>3.45085850260111</v>
      </c>
      <c r="AD13" s="1565" t="n">
        <f aca="false">$F13</f>
        <v>1.8644297889368</v>
      </c>
      <c r="AE13" s="427" t="n">
        <f aca="false">$G13</f>
        <v>1.065</v>
      </c>
      <c r="AF13" s="1596" t="n">
        <f aca="false">AC13*AD13/AE13</f>
        <v>6.04120506070924</v>
      </c>
      <c r="AG13" s="397" t="n">
        <f aca="false">VLOOKUP($A13,Plant_Table,'Plant Operations'!$M$270)</f>
        <v>70200</v>
      </c>
      <c r="AH13" s="1575" t="n">
        <f aca="false">AF13*AG13/1000</f>
        <v>424.092595261789</v>
      </c>
      <c r="AI13" s="1565" t="n">
        <f aca="false">AD13</f>
        <v>1.8644297889368</v>
      </c>
      <c r="AJ13" s="1566" t="n">
        <f aca="false">AH13/AI13</f>
        <v>227.465039326383</v>
      </c>
      <c r="AK13" s="1567" t="str">
        <f aca="false">IF(MONTH($A13)=12,SUM(AJ2:AJ13)," ")</f>
        <v> </v>
      </c>
      <c r="AM13" s="488" t="n">
        <f aca="false">IF($A13&gt;Endyr,0,VLOOKUP($A13,Tariff_Table,Tariff!$L$33))</f>
        <v>1.21</v>
      </c>
      <c r="AN13" s="1576" t="n">
        <f aca="false">VLOOKUP($A13,Curves_Table,Escalation!$Z$291)</f>
        <v>1.06277620992613</v>
      </c>
      <c r="AO13" s="1314" t="n">
        <f aca="false">AM13*AN13</f>
        <v>1.28595921401062</v>
      </c>
      <c r="AP13" s="1314" t="n">
        <f aca="false">IF($A13&gt;Endyr,0,VLOOKUP($A13,Tariff_Table,Tariff!$M$33))</f>
        <v>0.25</v>
      </c>
      <c r="AQ13" s="1314" t="n">
        <f aca="false">SUM(AO13,AP13)</f>
        <v>1.53595921401062</v>
      </c>
      <c r="AR13" s="1314" t="n">
        <f aca="false">SUM(AM13,AP13)</f>
        <v>1.46</v>
      </c>
      <c r="AS13" s="1598" t="n">
        <f aca="false">IF(AR13=0,0,AQ13/AR13)</f>
        <v>1.05202685891138</v>
      </c>
    </row>
    <row r="14" customFormat="false" ht="12.75" hidden="false" customHeight="false" outlineLevel="0" collapsed="false">
      <c r="A14" s="1538" t="n">
        <f aca="false">EDATE(A13,1)</f>
        <v>37012</v>
      </c>
      <c r="C14" s="1595" t="n">
        <f aca="false">IF($A14&gt;Endyr,0,VLOOKUP($A14,Tariff_Table,Tariff!$G$33))</f>
        <v>11645.56</v>
      </c>
      <c r="D14" s="1565" t="n">
        <f aca="false">VLOOKUP($A14,Curves_Table,Escalation!$V$291)</f>
        <v>1.09718061747934</v>
      </c>
      <c r="E14" s="1596" t="n">
        <f aca="false">C14*D14</f>
        <v>12777.2827116927</v>
      </c>
      <c r="F14" s="1565" t="n">
        <f aca="false">IF(Assm!$L$74=0,VLOOKUP($A14,Curves_Table,Escalation!$D$291),VLOOKUP($A14,Curves_Table,Escalation!$E$291))</f>
        <v>1.87988537686674</v>
      </c>
      <c r="G14" s="427" t="n">
        <f aca="false">IF($A14&lt;EE_Date,VLOOKUP($A14,Curves_Table,Escalation!$D$291),Exch)</f>
        <v>1.065</v>
      </c>
      <c r="H14" s="1596" t="n">
        <f aca="false">E14*F14/G14</f>
        <v>22553.8280993458</v>
      </c>
      <c r="I14" s="1540" t="n">
        <f aca="false">VLOOKUP($A14,Plant_Table,'Plant Operations'!$C$270)</f>
        <v>237.779371584699</v>
      </c>
      <c r="J14" s="1575" t="n">
        <f aca="false">H14*I14/1000</f>
        <v>5362.83507229179</v>
      </c>
      <c r="K14" s="1565" t="n">
        <f aca="false">F14</f>
        <v>1.87988537686674</v>
      </c>
      <c r="L14" s="394" t="n">
        <f aca="false">J14/K14</f>
        <v>2852.74577816558</v>
      </c>
      <c r="M14" s="1579" t="str">
        <f aca="false">IF(MONTH($A14)=12,SUM(L3:L14)," ")</f>
        <v> </v>
      </c>
      <c r="O14" s="1597" t="n">
        <f aca="false">IF($A14&gt;Endyr,0,VLOOKUP($A14,Tariff_Table,Tariff!$H$33))</f>
        <v>9025.02</v>
      </c>
      <c r="P14" s="1565" t="n">
        <f aca="false">$AS14</f>
        <v>1.07893418508676</v>
      </c>
      <c r="Q14" s="1575" t="n">
        <f aca="false">O14*P14</f>
        <v>9737.40259909173</v>
      </c>
      <c r="R14" s="1565" t="n">
        <f aca="false">$F14</f>
        <v>1.87988537686674</v>
      </c>
      <c r="S14" s="427" t="n">
        <f aca="false">$G14</f>
        <v>1.065</v>
      </c>
      <c r="T14" s="1575" t="n">
        <f aca="false">Q14*R14/S14</f>
        <v>17187.9819292927</v>
      </c>
      <c r="U14" s="1540" t="n">
        <f aca="false">$I14</f>
        <v>237.779371584699</v>
      </c>
      <c r="V14" s="1575" t="n">
        <f aca="false">T14*U14/1000</f>
        <v>4086.94754195639</v>
      </c>
      <c r="W14" s="1565" t="n">
        <f aca="false">R14</f>
        <v>1.87988537686674</v>
      </c>
      <c r="X14" s="394" t="n">
        <f aca="false">V14/W14</f>
        <v>2174.040817727</v>
      </c>
      <c r="Y14" s="1579" t="str">
        <f aca="false">IF(MONTH($A14)=12,SUM(X3:X14)," ")</f>
        <v> </v>
      </c>
      <c r="AA14" s="1595" t="n">
        <f aca="false">IF($A14&gt;Endyr,0,VLOOKUP($A14,Tariff_Table,Tariff!$I$33))</f>
        <v>3.2802</v>
      </c>
      <c r="AB14" s="1565" t="n">
        <f aca="false">$AS14</f>
        <v>1.07893418508676</v>
      </c>
      <c r="AC14" s="1596" t="n">
        <f aca="false">AA14*AB14</f>
        <v>3.53911991392159</v>
      </c>
      <c r="AD14" s="1565" t="n">
        <f aca="false">$F14</f>
        <v>1.87988537686674</v>
      </c>
      <c r="AE14" s="427" t="n">
        <f aca="false">$G14</f>
        <v>1.065</v>
      </c>
      <c r="AF14" s="1596" t="n">
        <f aca="false">AC14*AD14/AE14</f>
        <v>6.2470795992104</v>
      </c>
      <c r="AG14" s="397" t="n">
        <f aca="false">VLOOKUP($A14,Plant_Table,'Plant Operations'!$M$270)</f>
        <v>146880</v>
      </c>
      <c r="AH14" s="1575" t="n">
        <f aca="false">AF14*AG14/1000</f>
        <v>917.571051532024</v>
      </c>
      <c r="AI14" s="1565" t="n">
        <f aca="false">AD14</f>
        <v>1.87988537686674</v>
      </c>
      <c r="AJ14" s="1566" t="n">
        <f aca="false">AH14/AI14</f>
        <v>488.099467565074</v>
      </c>
      <c r="AK14" s="1567" t="str">
        <f aca="false">IF(MONTH($A14)=12,SUM(AJ3:AJ14)," ")</f>
        <v> </v>
      </c>
      <c r="AM14" s="488" t="n">
        <f aca="false">IF($A14&gt;Endyr,0,VLOOKUP($A14,Tariff_Table,Tariff!$L$33))</f>
        <v>1.21</v>
      </c>
      <c r="AN14" s="1576" t="n">
        <f aca="false">VLOOKUP($A14,Curves_Table,Escalation!$Z$291)</f>
        <v>1.09524290101378</v>
      </c>
      <c r="AO14" s="1314" t="n">
        <f aca="false">AM14*AN14</f>
        <v>1.32524391022667</v>
      </c>
      <c r="AP14" s="1314" t="n">
        <f aca="false">IF($A14&gt;Endyr,0,VLOOKUP($A14,Tariff_Table,Tariff!$M$33))</f>
        <v>0.25</v>
      </c>
      <c r="AQ14" s="1314" t="n">
        <f aca="false">SUM(AO14,AP14)</f>
        <v>1.57524391022667</v>
      </c>
      <c r="AR14" s="1314" t="n">
        <f aca="false">SUM(AM14,AP14)</f>
        <v>1.46</v>
      </c>
      <c r="AS14" s="1598" t="n">
        <f aca="false">IF(AR14=0,0,AQ14/AR14)</f>
        <v>1.07893418508676</v>
      </c>
    </row>
    <row r="15" customFormat="false" ht="12.75" hidden="false" customHeight="false" outlineLevel="0" collapsed="false">
      <c r="A15" s="1538" t="n">
        <f aca="false">EDATE(A14,1)</f>
        <v>37043</v>
      </c>
      <c r="C15" s="1595" t="n">
        <f aca="false">IF($A15&gt;Endyr,0,VLOOKUP($A15,Tariff_Table,Tariff!$G$33))</f>
        <v>11645.56</v>
      </c>
      <c r="D15" s="1565" t="n">
        <f aca="false">VLOOKUP($A15,Curves_Table,Escalation!$V$291)</f>
        <v>1.09718061747934</v>
      </c>
      <c r="E15" s="1596" t="n">
        <f aca="false">C15*D15</f>
        <v>12777.2827116927</v>
      </c>
      <c r="F15" s="1565" t="n">
        <f aca="false">IF(Assm!$L$74=0,VLOOKUP($A15,Curves_Table,Escalation!$D$291),VLOOKUP($A15,Curves_Table,Escalation!$E$291))</f>
        <v>1.89546908718545</v>
      </c>
      <c r="G15" s="427" t="n">
        <f aca="false">IF($A15&lt;EE_Date,VLOOKUP($A15,Curves_Table,Escalation!$D$291),Exch)</f>
        <v>1.065</v>
      </c>
      <c r="H15" s="1596" t="n">
        <f aca="false">E15*F15/G15</f>
        <v>22740.7928621997</v>
      </c>
      <c r="I15" s="1540" t="n">
        <f aca="false">VLOOKUP($A15,Plant_Table,'Plant Operations'!$C$270)</f>
        <v>237.779371584699</v>
      </c>
      <c r="J15" s="1575" t="n">
        <f aca="false">H15*I15/1000</f>
        <v>5407.29143611166</v>
      </c>
      <c r="K15" s="1565" t="n">
        <f aca="false">F15</f>
        <v>1.89546908718545</v>
      </c>
      <c r="L15" s="394" t="n">
        <f aca="false">J15/K15</f>
        <v>2852.74577816558</v>
      </c>
      <c r="M15" s="1579" t="str">
        <f aca="false">IF(MONTH($A15)=12,SUM(L4:L15)," ")</f>
        <v> </v>
      </c>
      <c r="O15" s="1597" t="n">
        <f aca="false">IF($A15&gt;Endyr,0,VLOOKUP($A15,Tariff_Table,Tariff!$H$33))</f>
        <v>9025.02</v>
      </c>
      <c r="P15" s="1565" t="n">
        <f aca="false">$AS15</f>
        <v>1.07893418508676</v>
      </c>
      <c r="Q15" s="1575" t="n">
        <f aca="false">O15*P15</f>
        <v>9737.40259909173</v>
      </c>
      <c r="R15" s="1565" t="n">
        <f aca="false">$F15</f>
        <v>1.89546908718545</v>
      </c>
      <c r="S15" s="427" t="n">
        <f aca="false">$G15</f>
        <v>1.065</v>
      </c>
      <c r="T15" s="1575" t="n">
        <f aca="false">Q15*R15/S15</f>
        <v>17330.4653671903</v>
      </c>
      <c r="U15" s="1540" t="n">
        <f aca="false">$I15</f>
        <v>237.779371584699</v>
      </c>
      <c r="V15" s="1575" t="n">
        <f aca="false">T15*U15/1000</f>
        <v>4120.82716428091</v>
      </c>
      <c r="W15" s="1565" t="n">
        <f aca="false">R15</f>
        <v>1.89546908718545</v>
      </c>
      <c r="X15" s="394" t="n">
        <f aca="false">V15/W15</f>
        <v>2174.040817727</v>
      </c>
      <c r="Y15" s="1579" t="str">
        <f aca="false">IF(MONTH($A15)=12,SUM(X4:X15)," ")</f>
        <v> </v>
      </c>
      <c r="AA15" s="1595" t="n">
        <f aca="false">IF($A15&gt;Endyr,0,VLOOKUP($A15,Tariff_Table,Tariff!$I$33))</f>
        <v>3.2802</v>
      </c>
      <c r="AB15" s="1565" t="n">
        <f aca="false">$AS15</f>
        <v>1.07893418508676</v>
      </c>
      <c r="AC15" s="1596" t="n">
        <f aca="false">AA15*AB15</f>
        <v>3.53911991392159</v>
      </c>
      <c r="AD15" s="1565" t="n">
        <f aca="false">$F15</f>
        <v>1.89546908718545</v>
      </c>
      <c r="AE15" s="427" t="n">
        <f aca="false">$G15</f>
        <v>1.065</v>
      </c>
      <c r="AF15" s="1596" t="n">
        <f aca="false">AC15*AD15/AE15</f>
        <v>6.29886609641392</v>
      </c>
      <c r="AG15" s="397" t="n">
        <f aca="false">VLOOKUP($A15,Plant_Table,'Plant Operations'!$M$270)</f>
        <v>232128</v>
      </c>
      <c r="AH15" s="1575" t="n">
        <f aca="false">AF15*AG15/1000</f>
        <v>1462.14318922837</v>
      </c>
      <c r="AI15" s="1565" t="n">
        <f aca="false">AD15</f>
        <v>1.89546908718545</v>
      </c>
      <c r="AJ15" s="1566" t="n">
        <f aca="false">AH15/AI15</f>
        <v>771.388570308725</v>
      </c>
      <c r="AK15" s="1567" t="str">
        <f aca="false">IF(MONTH($A15)=12,SUM(AJ4:AJ15)," ")</f>
        <v> </v>
      </c>
      <c r="AM15" s="488" t="n">
        <f aca="false">IF($A15&gt;Endyr,0,VLOOKUP($A15,Tariff_Table,Tariff!$L$33))</f>
        <v>1.21</v>
      </c>
      <c r="AN15" s="1576" t="n">
        <f aca="false">VLOOKUP($A15,Curves_Table,Escalation!$Z$291)</f>
        <v>1.09524290101378</v>
      </c>
      <c r="AO15" s="1314" t="n">
        <f aca="false">AM15*AN15</f>
        <v>1.32524391022667</v>
      </c>
      <c r="AP15" s="1314" t="n">
        <f aca="false">IF($A15&gt;Endyr,0,VLOOKUP($A15,Tariff_Table,Tariff!$M$33))</f>
        <v>0.25</v>
      </c>
      <c r="AQ15" s="1314" t="n">
        <f aca="false">SUM(AO15,AP15)</f>
        <v>1.57524391022667</v>
      </c>
      <c r="AR15" s="1314" t="n">
        <f aca="false">SUM(AM15,AP15)</f>
        <v>1.46</v>
      </c>
      <c r="AS15" s="1598" t="n">
        <f aca="false">IF(AR15=0,0,AQ15/AR15)</f>
        <v>1.07893418508676</v>
      </c>
    </row>
    <row r="16" customFormat="false" ht="12.75" hidden="false" customHeight="false" outlineLevel="0" collapsed="false">
      <c r="A16" s="1538" t="n">
        <f aca="false">EDATE(A15,1)</f>
        <v>37073</v>
      </c>
      <c r="C16" s="1595" t="n">
        <f aca="false">IF($A16&gt;Endyr,0,VLOOKUP($A16,Tariff_Table,Tariff!$G$33))</f>
        <v>11645.56</v>
      </c>
      <c r="D16" s="1565" t="n">
        <f aca="false">VLOOKUP($A16,Curves_Table,Escalation!$V$291)</f>
        <v>1.09718061747934</v>
      </c>
      <c r="E16" s="1596" t="n">
        <f aca="false">C16*D16</f>
        <v>12777.2827116927</v>
      </c>
      <c r="F16" s="1565" t="n">
        <f aca="false">IF(Assm!$L$74=0,VLOOKUP($A16,Curves_Table,Escalation!$D$291),VLOOKUP($A16,Curves_Table,Escalation!$E$291))</f>
        <v>1.91118198199078</v>
      </c>
      <c r="G16" s="427" t="n">
        <f aca="false">IF($A16&lt;EE_Date,VLOOKUP($A16,Curves_Table,Escalation!$D$291),Exch)</f>
        <v>1.065</v>
      </c>
      <c r="H16" s="1596" t="n">
        <f aca="false">E16*F16/G16</f>
        <v>22929.3075092858</v>
      </c>
      <c r="I16" s="1540" t="n">
        <f aca="false">VLOOKUP($A16,Plant_Table,'Plant Operations'!$C$270)</f>
        <v>237.779371584699</v>
      </c>
      <c r="J16" s="1575" t="n">
        <f aca="false">H16*I16/1000</f>
        <v>5452.11633043032</v>
      </c>
      <c r="K16" s="1565" t="n">
        <f aca="false">F16</f>
        <v>1.91118198199078</v>
      </c>
      <c r="L16" s="394" t="n">
        <f aca="false">J16/K16</f>
        <v>2852.74577816558</v>
      </c>
      <c r="M16" s="1579" t="str">
        <f aca="false">IF(MONTH($A16)=12,SUM(L5:L16)," ")</f>
        <v> </v>
      </c>
      <c r="O16" s="1597" t="n">
        <f aca="false">IF($A16&gt;Endyr,0,VLOOKUP($A16,Tariff_Table,Tariff!$H$33))</f>
        <v>9025.02</v>
      </c>
      <c r="P16" s="1565" t="n">
        <f aca="false">$AS16</f>
        <v>1.07893418508676</v>
      </c>
      <c r="Q16" s="1575" t="n">
        <f aca="false">O16*P16</f>
        <v>9737.40259909173</v>
      </c>
      <c r="R16" s="1565" t="n">
        <f aca="false">$F16</f>
        <v>1.91118198199078</v>
      </c>
      <c r="S16" s="427" t="n">
        <f aca="false">$G16</f>
        <v>1.065</v>
      </c>
      <c r="T16" s="1575" t="n">
        <f aca="false">Q16*R16/S16</f>
        <v>17474.1299519008</v>
      </c>
      <c r="U16" s="1540" t="n">
        <f aca="false">$I16</f>
        <v>237.779371584699</v>
      </c>
      <c r="V16" s="1575" t="n">
        <f aca="false">T16*U16/1000</f>
        <v>4154.98763895234</v>
      </c>
      <c r="W16" s="1565" t="n">
        <f aca="false">R16</f>
        <v>1.91118198199078</v>
      </c>
      <c r="X16" s="394" t="n">
        <f aca="false">V16/W16</f>
        <v>2174.04081772699</v>
      </c>
      <c r="Y16" s="1579" t="str">
        <f aca="false">IF(MONTH($A16)=12,SUM(X5:X16)," ")</f>
        <v> </v>
      </c>
      <c r="AA16" s="1595" t="n">
        <f aca="false">IF($A16&gt;Endyr,0,VLOOKUP($A16,Tariff_Table,Tariff!$I$33))</f>
        <v>3.2802</v>
      </c>
      <c r="AB16" s="1565" t="n">
        <f aca="false">$AS16</f>
        <v>1.07893418508676</v>
      </c>
      <c r="AC16" s="1596" t="n">
        <f aca="false">AA16*AB16</f>
        <v>3.53911991392159</v>
      </c>
      <c r="AD16" s="1565" t="n">
        <f aca="false">$F16</f>
        <v>1.91118198199078</v>
      </c>
      <c r="AE16" s="427" t="n">
        <f aca="false">$G16</f>
        <v>1.065</v>
      </c>
      <c r="AF16" s="1596" t="n">
        <f aca="false">AC16*AD16/AE16</f>
        <v>6.35108188881851</v>
      </c>
      <c r="AG16" s="397" t="n">
        <f aca="false">VLOOKUP($A16,Plant_Table,'Plant Operations'!$M$270)</f>
        <v>234410</v>
      </c>
      <c r="AH16" s="1575" t="n">
        <f aca="false">AF16*AG16/1000</f>
        <v>1488.75710555795</v>
      </c>
      <c r="AI16" s="1565" t="n">
        <f aca="false">AD16</f>
        <v>1.91118198199078</v>
      </c>
      <c r="AJ16" s="1566" t="n">
        <f aca="false">AH16/AI16</f>
        <v>778.971923964658</v>
      </c>
      <c r="AK16" s="1567" t="str">
        <f aca="false">IF(MONTH($A16)=12,SUM(AJ5:AJ16)," ")</f>
        <v> </v>
      </c>
      <c r="AM16" s="488" t="n">
        <f aca="false">IF($A16&gt;Endyr,0,VLOOKUP($A16,Tariff_Table,Tariff!$L$33))</f>
        <v>1.21</v>
      </c>
      <c r="AN16" s="1576" t="n">
        <f aca="false">VLOOKUP($A16,Curves_Table,Escalation!$Z$291)</f>
        <v>1.09524290101378</v>
      </c>
      <c r="AO16" s="1314" t="n">
        <f aca="false">AM16*AN16</f>
        <v>1.32524391022667</v>
      </c>
      <c r="AP16" s="1314" t="n">
        <f aca="false">IF($A16&gt;Endyr,0,VLOOKUP($A16,Tariff_Table,Tariff!$M$33))</f>
        <v>0.25</v>
      </c>
      <c r="AQ16" s="1314" t="n">
        <f aca="false">SUM(AO16,AP16)</f>
        <v>1.57524391022667</v>
      </c>
      <c r="AR16" s="1314" t="n">
        <f aca="false">SUM(AM16,AP16)</f>
        <v>1.46</v>
      </c>
      <c r="AS16" s="1598" t="n">
        <f aca="false">IF(AR16=0,0,AQ16/AR16)</f>
        <v>1.07893418508676</v>
      </c>
    </row>
    <row r="17" customFormat="false" ht="12.75" hidden="false" customHeight="false" outlineLevel="0" collapsed="false">
      <c r="A17" s="1538" t="n">
        <f aca="false">EDATE(A16,1)</f>
        <v>37104</v>
      </c>
      <c r="C17" s="1595" t="n">
        <f aca="false">IF($A17&gt;Endyr,0,VLOOKUP($A17,Tariff_Table,Tariff!$G$33))</f>
        <v>11645.56</v>
      </c>
      <c r="D17" s="1565" t="n">
        <f aca="false">VLOOKUP($A17,Curves_Table,Escalation!$V$291)</f>
        <v>1.09718061747934</v>
      </c>
      <c r="E17" s="1596" t="n">
        <f aca="false">C17*D17</f>
        <v>12777.2827116927</v>
      </c>
      <c r="F17" s="1565" t="n">
        <f aca="false">IF(Assm!$L$74=0,VLOOKUP($A17,Curves_Table,Escalation!$D$291),VLOOKUP($A17,Curves_Table,Escalation!$E$291))</f>
        <v>1.92702513218504</v>
      </c>
      <c r="G17" s="427" t="n">
        <f aca="false">IF($A17&lt;EE_Date,VLOOKUP($A17,Curves_Table,Escalation!$D$291),Exch)</f>
        <v>1.065</v>
      </c>
      <c r="H17" s="1596" t="n">
        <f aca="false">E17*F17/G17</f>
        <v>23119.3848886998</v>
      </c>
      <c r="I17" s="1540" t="n">
        <f aca="false">VLOOKUP($A17,Plant_Table,'Plant Operations'!$C$270)</f>
        <v>480</v>
      </c>
      <c r="J17" s="1575" t="n">
        <f aca="false">H17*I17/1000</f>
        <v>11097.3047465759</v>
      </c>
      <c r="K17" s="1565" t="n">
        <f aca="false">F17</f>
        <v>1.92702513218504</v>
      </c>
      <c r="L17" s="394" t="n">
        <f aca="false">J17/K17</f>
        <v>5758.77530667841</v>
      </c>
      <c r="M17" s="1579" t="str">
        <f aca="false">IF(MONTH($A17)=12,SUM(L6:L17)," ")</f>
        <v> </v>
      </c>
      <c r="O17" s="1597" t="n">
        <f aca="false">IF($A17&gt;Endyr,0,VLOOKUP($A17,Tariff_Table,Tariff!$H$33))</f>
        <v>9025.02</v>
      </c>
      <c r="P17" s="1565" t="n">
        <f aca="false">$AS17</f>
        <v>1.07893418508676</v>
      </c>
      <c r="Q17" s="1575" t="n">
        <f aca="false">O17*P17</f>
        <v>9737.40259909173</v>
      </c>
      <c r="R17" s="1565" t="n">
        <f aca="false">$F17</f>
        <v>1.92702513218504</v>
      </c>
      <c r="S17" s="427" t="n">
        <f aca="false">$G17</f>
        <v>1.065</v>
      </c>
      <c r="T17" s="1575" t="n">
        <f aca="false">Q17*R17/S17</f>
        <v>17618.9854747922</v>
      </c>
      <c r="U17" s="1540" t="n">
        <f aca="false">$I17</f>
        <v>480</v>
      </c>
      <c r="V17" s="1575" t="n">
        <f aca="false">T17*U17/1000</f>
        <v>8457.11302790025</v>
      </c>
      <c r="W17" s="1565" t="n">
        <f aca="false">R17</f>
        <v>1.92702513218504</v>
      </c>
      <c r="X17" s="394" t="n">
        <f aca="false">V17/W17</f>
        <v>4388.68849536528</v>
      </c>
      <c r="Y17" s="1579" t="str">
        <f aca="false">IF(MONTH($A17)=12,SUM(X6:X17)," ")</f>
        <v> </v>
      </c>
      <c r="AA17" s="1595" t="n">
        <f aca="false">IF($A17&gt;Endyr,0,VLOOKUP($A17,Tariff_Table,Tariff!$I$33))</f>
        <v>3.2802</v>
      </c>
      <c r="AB17" s="1565" t="n">
        <f aca="false">$AS17</f>
        <v>1.07893418508676</v>
      </c>
      <c r="AC17" s="1596" t="n">
        <f aca="false">AA17*AB17</f>
        <v>3.53911991392159</v>
      </c>
      <c r="AD17" s="1565" t="n">
        <f aca="false">$F17</f>
        <v>1.92702513218504</v>
      </c>
      <c r="AE17" s="427" t="n">
        <f aca="false">$G17</f>
        <v>1.065</v>
      </c>
      <c r="AF17" s="1596" t="n">
        <f aca="false">AC17*AD17/AE17</f>
        <v>6.40373053515819</v>
      </c>
      <c r="AG17" s="397" t="n">
        <f aca="false">VLOOKUP($A17,Plant_Table,'Plant Operations'!$M$270)</f>
        <v>298980.864</v>
      </c>
      <c r="AH17" s="1575" t="n">
        <f aca="false">AF17*AG17/1000</f>
        <v>1914.59288822478</v>
      </c>
      <c r="AI17" s="1565" t="n">
        <f aca="false">AD17</f>
        <v>1.92702513218504</v>
      </c>
      <c r="AJ17" s="1566" t="n">
        <f aca="false">AH17/AI17</f>
        <v>993.548478557638</v>
      </c>
      <c r="AK17" s="1567" t="str">
        <f aca="false">IF(MONTH($A17)=12,SUM(AJ6:AJ17)," ")</f>
        <v> </v>
      </c>
      <c r="AM17" s="488" t="n">
        <f aca="false">IF($A17&gt;Endyr,0,VLOOKUP($A17,Tariff_Table,Tariff!$L$33))</f>
        <v>1.21</v>
      </c>
      <c r="AN17" s="1576" t="n">
        <f aca="false">VLOOKUP($A17,Curves_Table,Escalation!$Z$291)</f>
        <v>1.09524290101378</v>
      </c>
      <c r="AO17" s="1314" t="n">
        <f aca="false">AM17*AN17</f>
        <v>1.32524391022667</v>
      </c>
      <c r="AP17" s="1314" t="n">
        <f aca="false">IF($A17&gt;Endyr,0,VLOOKUP($A17,Tariff_Table,Tariff!$M$33))</f>
        <v>0.25</v>
      </c>
      <c r="AQ17" s="1314" t="n">
        <f aca="false">SUM(AO17,AP17)</f>
        <v>1.57524391022667</v>
      </c>
      <c r="AR17" s="1314" t="n">
        <f aca="false">SUM(AM17,AP17)</f>
        <v>1.46</v>
      </c>
      <c r="AS17" s="1598" t="n">
        <f aca="false">IF(AR17=0,0,AQ17/AR17)</f>
        <v>1.07893418508676</v>
      </c>
    </row>
    <row r="18" customFormat="false" ht="12.75" hidden="false" customHeight="false" outlineLevel="0" collapsed="false">
      <c r="A18" s="1538" t="n">
        <f aca="false">EDATE(A17,1)</f>
        <v>37135</v>
      </c>
      <c r="C18" s="1595" t="n">
        <f aca="false">IF($A18&gt;Endyr,0,VLOOKUP($A18,Tariff_Table,Tariff!$G$33))</f>
        <v>7427.29</v>
      </c>
      <c r="D18" s="1565" t="n">
        <f aca="false">VLOOKUP($A18,Curves_Table,Escalation!$V$291)</f>
        <v>1.09718061747934</v>
      </c>
      <c r="E18" s="1596" t="n">
        <f aca="false">C18*D18</f>
        <v>8149.07862839814</v>
      </c>
      <c r="F18" s="1565" t="n">
        <f aca="false">IF(Assm!$L$74=0,VLOOKUP($A18,Curves_Table,Escalation!$D$291),VLOOKUP($A18,Curves_Table,Escalation!$E$291))</f>
        <v>1.94299961754803</v>
      </c>
      <c r="G18" s="427" t="n">
        <f aca="false">IF($A18&lt;EE_Date,VLOOKUP($A18,Curves_Table,Escalation!$D$291),Exch)</f>
        <v>1.065</v>
      </c>
      <c r="H18" s="1596" t="n">
        <f aca="false">E18*F18/G18</f>
        <v>14867.2832472736</v>
      </c>
      <c r="I18" s="1540" t="n">
        <f aca="false">VLOOKUP($A18,Plant_Table,'Plant Operations'!$C$270)</f>
        <v>480</v>
      </c>
      <c r="J18" s="1575" t="n">
        <f aca="false">H18*I18/1000</f>
        <v>7136.29595869134</v>
      </c>
      <c r="K18" s="1565" t="n">
        <f aca="false">F18</f>
        <v>1.94299961754803</v>
      </c>
      <c r="L18" s="394" t="n">
        <f aca="false">J18/K18</f>
        <v>3672.82417054564</v>
      </c>
      <c r="M18" s="1579" t="str">
        <f aca="false">IF(MONTH($A18)=12,SUM(L7:L18)," ")</f>
        <v> </v>
      </c>
      <c r="O18" s="1597" t="n">
        <f aca="false">IF($A18&gt;Endyr,0,VLOOKUP($A18,Tariff_Table,Tariff!$H$33))</f>
        <v>6126.75</v>
      </c>
      <c r="P18" s="1565" t="n">
        <f aca="false">$AS18</f>
        <v>1.07893418508676</v>
      </c>
      <c r="Q18" s="1575" t="n">
        <f aca="false">O18*P18</f>
        <v>6610.36001848032</v>
      </c>
      <c r="R18" s="1565" t="n">
        <f aca="false">$F18</f>
        <v>1.94299961754803</v>
      </c>
      <c r="S18" s="427" t="n">
        <f aca="false">$G18</f>
        <v>1.065</v>
      </c>
      <c r="T18" s="1575" t="n">
        <f aca="false">Q18*R18/S18</f>
        <v>12060.0253406216</v>
      </c>
      <c r="U18" s="1540" t="n">
        <f aca="false">$I18</f>
        <v>480</v>
      </c>
      <c r="V18" s="1575" t="n">
        <f aca="false">T18*U18/1000</f>
        <v>5788.81216349839</v>
      </c>
      <c r="W18" s="1565" t="n">
        <f aca="false">R18</f>
        <v>1.94299961754803</v>
      </c>
      <c r="X18" s="394" t="n">
        <f aca="false">V18/W18</f>
        <v>2979.31719142775</v>
      </c>
      <c r="Y18" s="1579" t="str">
        <f aca="false">IF(MONTH($A18)=12,SUM(X7:X18)," ")</f>
        <v> </v>
      </c>
      <c r="AA18" s="1595" t="n">
        <f aca="false">IF($A18&gt;Endyr,0,VLOOKUP($A18,Tariff_Table,Tariff!$I$33))</f>
        <v>2.36</v>
      </c>
      <c r="AB18" s="1565" t="n">
        <f aca="false">$AS18</f>
        <v>1.07893418508676</v>
      </c>
      <c r="AC18" s="1596" t="n">
        <f aca="false">AA18*AB18</f>
        <v>2.54628467680476</v>
      </c>
      <c r="AD18" s="1565" t="n">
        <f aca="false">$F18</f>
        <v>1.94299961754803</v>
      </c>
      <c r="AE18" s="427" t="n">
        <f aca="false">$G18</f>
        <v>1.065</v>
      </c>
      <c r="AF18" s="1596" t="n">
        <f aca="false">AC18*AD18/AE18</f>
        <v>4.64547432225357</v>
      </c>
      <c r="AG18" s="397" t="n">
        <f aca="false">VLOOKUP($A18,Plant_Table,'Plant Operations'!$M$270)</f>
        <v>289336.32</v>
      </c>
      <c r="AH18" s="1575" t="n">
        <f aca="false">AF18*AG18/1000</f>
        <v>1344.10444505534</v>
      </c>
      <c r="AI18" s="1565" t="n">
        <f aca="false">AD18</f>
        <v>1.94299961754803</v>
      </c>
      <c r="AJ18" s="1566" t="n">
        <f aca="false">AH18/AI18</f>
        <v>691.76773526674</v>
      </c>
      <c r="AK18" s="1567" t="str">
        <f aca="false">IF(MONTH($A18)=12,SUM(AJ7:AJ18)," ")</f>
        <v> </v>
      </c>
      <c r="AM18" s="488" t="n">
        <f aca="false">IF($A18&gt;Endyr,0,VLOOKUP($A18,Tariff_Table,Tariff!$L$33))</f>
        <v>1.21</v>
      </c>
      <c r="AN18" s="1576" t="n">
        <f aca="false">VLOOKUP($A18,Curves_Table,Escalation!$Z$291)</f>
        <v>1.09524290101378</v>
      </c>
      <c r="AO18" s="1314" t="n">
        <f aca="false">AM18*AN18</f>
        <v>1.32524391022667</v>
      </c>
      <c r="AP18" s="1314" t="n">
        <f aca="false">IF($A18&gt;Endyr,0,VLOOKUP($A18,Tariff_Table,Tariff!$M$33))</f>
        <v>0.25</v>
      </c>
      <c r="AQ18" s="1314" t="n">
        <f aca="false">SUM(AO18,AP18)</f>
        <v>1.57524391022667</v>
      </c>
      <c r="AR18" s="1314" t="n">
        <f aca="false">SUM(AM18,AP18)</f>
        <v>1.46</v>
      </c>
      <c r="AS18" s="1598" t="n">
        <f aca="false">IF(AR18=0,0,AQ18/AR18)</f>
        <v>1.07893418508676</v>
      </c>
    </row>
    <row r="19" customFormat="false" ht="12.75" hidden="false" customHeight="false" outlineLevel="0" collapsed="false">
      <c r="A19" s="1538" t="n">
        <f aca="false">EDATE(A18,1)</f>
        <v>37165</v>
      </c>
      <c r="C19" s="1595" t="n">
        <f aca="false">IF($A19&gt;Endyr,0,VLOOKUP($A19,Tariff_Table,Tariff!$G$33))</f>
        <v>7427.29</v>
      </c>
      <c r="D19" s="1565" t="n">
        <f aca="false">VLOOKUP($A19,Curves_Table,Escalation!$V$291)</f>
        <v>1.09718061747934</v>
      </c>
      <c r="E19" s="1596" t="n">
        <f aca="false">C19*D19</f>
        <v>8149.07862839814</v>
      </c>
      <c r="F19" s="1565" t="n">
        <f aca="false">IF(Assm!$L$74=0,VLOOKUP($A19,Curves_Table,Escalation!$D$291),VLOOKUP($A19,Curves_Table,Escalation!$E$291))</f>
        <v>1.95910652681061</v>
      </c>
      <c r="G19" s="427" t="n">
        <f aca="false">IF($A19&lt;EE_Date,VLOOKUP($A19,Curves_Table,Escalation!$D$291),Exch)</f>
        <v>1.065</v>
      </c>
      <c r="H19" s="1596" t="n">
        <f aca="false">E19*F19/G19</f>
        <v>14990.5287590494</v>
      </c>
      <c r="I19" s="1540" t="n">
        <f aca="false">VLOOKUP($A19,Plant_Table,'Plant Operations'!$C$270)</f>
        <v>480</v>
      </c>
      <c r="J19" s="1575" t="n">
        <f aca="false">H19*I19/1000</f>
        <v>7195.45380434373</v>
      </c>
      <c r="K19" s="1565" t="n">
        <f aca="false">F19</f>
        <v>1.95910652681061</v>
      </c>
      <c r="L19" s="394" t="n">
        <f aca="false">J19/K19</f>
        <v>3672.82417054564</v>
      </c>
      <c r="M19" s="1579" t="str">
        <f aca="false">IF(MONTH($A19)=12,SUM(L8:L19)," ")</f>
        <v> </v>
      </c>
      <c r="O19" s="1597" t="n">
        <f aca="false">IF($A19&gt;Endyr,0,VLOOKUP($A19,Tariff_Table,Tariff!$H$33))</f>
        <v>6126.75</v>
      </c>
      <c r="P19" s="1565" t="n">
        <f aca="false">$AS19</f>
        <v>1.07893418508676</v>
      </c>
      <c r="Q19" s="1575" t="n">
        <f aca="false">O19*P19</f>
        <v>6610.36001848032</v>
      </c>
      <c r="R19" s="1565" t="n">
        <f aca="false">$F19</f>
        <v>1.95910652681061</v>
      </c>
      <c r="S19" s="427" t="n">
        <f aca="false">$G19</f>
        <v>1.065</v>
      </c>
      <c r="T19" s="1575" t="n">
        <f aca="false">Q19*R19/S19</f>
        <v>12159.9994899274</v>
      </c>
      <c r="U19" s="1540" t="n">
        <f aca="false">$I19</f>
        <v>480</v>
      </c>
      <c r="V19" s="1575" t="n">
        <f aca="false">T19*U19/1000</f>
        <v>5836.79975516516</v>
      </c>
      <c r="W19" s="1565" t="n">
        <f aca="false">R19</f>
        <v>1.95910652681061</v>
      </c>
      <c r="X19" s="394" t="n">
        <f aca="false">V19/W19</f>
        <v>2979.31719142775</v>
      </c>
      <c r="Y19" s="1579" t="str">
        <f aca="false">IF(MONTH($A19)=12,SUM(X8:X19)," ")</f>
        <v> </v>
      </c>
      <c r="AA19" s="1595" t="n">
        <f aca="false">IF($A19&gt;Endyr,0,VLOOKUP($A19,Tariff_Table,Tariff!$I$33))</f>
        <v>2.36</v>
      </c>
      <c r="AB19" s="1565" t="n">
        <f aca="false">$AS19</f>
        <v>1.07893418508676</v>
      </c>
      <c r="AC19" s="1596" t="n">
        <f aca="false">AA19*AB19</f>
        <v>2.54628467680476</v>
      </c>
      <c r="AD19" s="1565" t="n">
        <f aca="false">$F19</f>
        <v>1.95910652681061</v>
      </c>
      <c r="AE19" s="427" t="n">
        <f aca="false">$G19</f>
        <v>1.065</v>
      </c>
      <c r="AF19" s="1596" t="n">
        <f aca="false">AC19*AD19/AE19</f>
        <v>4.68398397131084</v>
      </c>
      <c r="AG19" s="397" t="n">
        <f aca="false">VLOOKUP($A19,Plant_Table,'Plant Operations'!$M$270)</f>
        <v>298980.864</v>
      </c>
      <c r="AH19" s="1575" t="n">
        <f aca="false">AF19*AG19/1000</f>
        <v>1400.42157470467</v>
      </c>
      <c r="AI19" s="1565" t="n">
        <f aca="false">AD19</f>
        <v>1.95910652681061</v>
      </c>
      <c r="AJ19" s="1566" t="n">
        <f aca="false">AH19/AI19</f>
        <v>714.826659775631</v>
      </c>
      <c r="AK19" s="1567" t="str">
        <f aca="false">IF(MONTH($A19)=12,SUM(AJ8:AJ19)," ")</f>
        <v> </v>
      </c>
      <c r="AM19" s="488" t="n">
        <f aca="false">IF($A19&gt;Endyr,0,VLOOKUP($A19,Tariff_Table,Tariff!$L$33))</f>
        <v>1.21</v>
      </c>
      <c r="AN19" s="1576" t="n">
        <f aca="false">VLOOKUP($A19,Curves_Table,Escalation!$Z$291)</f>
        <v>1.09524290101378</v>
      </c>
      <c r="AO19" s="1314" t="n">
        <f aca="false">AM19*AN19</f>
        <v>1.32524391022667</v>
      </c>
      <c r="AP19" s="1314" t="n">
        <f aca="false">IF($A19&gt;Endyr,0,VLOOKUP($A19,Tariff_Table,Tariff!$M$33))</f>
        <v>0.25</v>
      </c>
      <c r="AQ19" s="1314" t="n">
        <f aca="false">SUM(AO19,AP19)</f>
        <v>1.57524391022667</v>
      </c>
      <c r="AR19" s="1314" t="n">
        <f aca="false">SUM(AM19,AP19)</f>
        <v>1.46</v>
      </c>
      <c r="AS19" s="1598" t="n">
        <f aca="false">IF(AR19=0,0,AQ19/AR19)</f>
        <v>1.07893418508676</v>
      </c>
    </row>
    <row r="20" customFormat="false" ht="12.75" hidden="false" customHeight="false" outlineLevel="0" collapsed="false">
      <c r="A20" s="1538" t="n">
        <f aca="false">EDATE(A19,1)</f>
        <v>37196</v>
      </c>
      <c r="C20" s="1595" t="n">
        <f aca="false">IF($A20&gt;Endyr,0,VLOOKUP($A20,Tariff_Table,Tariff!$G$33))</f>
        <v>7427.29</v>
      </c>
      <c r="D20" s="1565" t="n">
        <f aca="false">VLOOKUP($A20,Curves_Table,Escalation!$V$291)</f>
        <v>1.09718061747934</v>
      </c>
      <c r="E20" s="1596" t="n">
        <f aca="false">C20*D20</f>
        <v>8149.07862839814</v>
      </c>
      <c r="F20" s="1565" t="n">
        <f aca="false">IF(Assm!$L$74=0,VLOOKUP($A20,Curves_Table,Escalation!$D$291),VLOOKUP($A20,Curves_Table,Escalation!$E$291))</f>
        <v>1.97534695772891</v>
      </c>
      <c r="G20" s="427" t="n">
        <f aca="false">IF($A20&lt;EE_Date,VLOOKUP($A20,Curves_Table,Escalation!$D$291),Exch)</f>
        <v>1.065</v>
      </c>
      <c r="H20" s="1596" t="n">
        <f aca="false">E20*F20/G20</f>
        <v>15114.7959407511</v>
      </c>
      <c r="I20" s="1540" t="n">
        <f aca="false">VLOOKUP($A20,Plant_Table,'Plant Operations'!$C$270)</f>
        <v>480</v>
      </c>
      <c r="J20" s="1575" t="n">
        <f aca="false">H20*I20/1000</f>
        <v>7255.10205156052</v>
      </c>
      <c r="K20" s="1565" t="n">
        <f aca="false">F20</f>
        <v>1.97534695772891</v>
      </c>
      <c r="L20" s="394" t="n">
        <f aca="false">J20/K20</f>
        <v>3672.82417054564</v>
      </c>
      <c r="M20" s="1579" t="str">
        <f aca="false">IF(MONTH($A20)=12,SUM(L9:L20)," ")</f>
        <v> </v>
      </c>
      <c r="O20" s="1597" t="n">
        <f aca="false">IF($A20&gt;Endyr,0,VLOOKUP($A20,Tariff_Table,Tariff!$H$33))</f>
        <v>6126.75</v>
      </c>
      <c r="P20" s="1565" t="n">
        <f aca="false">$AS20</f>
        <v>1.07893418508676</v>
      </c>
      <c r="Q20" s="1575" t="n">
        <f aca="false">O20*P20</f>
        <v>6610.36001848032</v>
      </c>
      <c r="R20" s="1565" t="n">
        <f aca="false">$F20</f>
        <v>1.97534695772891</v>
      </c>
      <c r="S20" s="427" t="n">
        <f aca="false">$G20</f>
        <v>1.065</v>
      </c>
      <c r="T20" s="1575" t="n">
        <f aca="false">Q20*R20/S20</f>
        <v>12260.8023962422</v>
      </c>
      <c r="U20" s="1540" t="n">
        <f aca="false">$I20</f>
        <v>480</v>
      </c>
      <c r="V20" s="1575" t="n">
        <f aca="false">T20*U20/1000</f>
        <v>5885.18515019624</v>
      </c>
      <c r="W20" s="1565" t="n">
        <f aca="false">R20</f>
        <v>1.97534695772891</v>
      </c>
      <c r="X20" s="394" t="n">
        <f aca="false">V20/W20</f>
        <v>2979.31719142775</v>
      </c>
      <c r="Y20" s="1579" t="str">
        <f aca="false">IF(MONTH($A20)=12,SUM(X9:X20)," ")</f>
        <v> </v>
      </c>
      <c r="AA20" s="1595" t="n">
        <f aca="false">IF($A20&gt;Endyr,0,VLOOKUP($A20,Tariff_Table,Tariff!$I$33))</f>
        <v>2.36</v>
      </c>
      <c r="AB20" s="1565" t="n">
        <f aca="false">$AS20</f>
        <v>1.07893418508676</v>
      </c>
      <c r="AC20" s="1596" t="n">
        <f aca="false">AA20*AB20</f>
        <v>2.54628467680476</v>
      </c>
      <c r="AD20" s="1565" t="n">
        <f aca="false">$F20</f>
        <v>1.97534695772891</v>
      </c>
      <c r="AE20" s="427" t="n">
        <f aca="false">$G20</f>
        <v>1.065</v>
      </c>
      <c r="AF20" s="1596" t="n">
        <f aca="false">AC20*AD20/AE20</f>
        <v>4.72281285430799</v>
      </c>
      <c r="AG20" s="397" t="n">
        <f aca="false">VLOOKUP($A20,Plant_Table,'Plant Operations'!$M$270)</f>
        <v>289336.32</v>
      </c>
      <c r="AH20" s="1575" t="n">
        <f aca="false">AF20*AG20/1000</f>
        <v>1366.48129131417</v>
      </c>
      <c r="AI20" s="1565" t="n">
        <f aca="false">AD20</f>
        <v>1.97534695772891</v>
      </c>
      <c r="AJ20" s="1566" t="n">
        <f aca="false">AH20/AI20</f>
        <v>691.76773526674</v>
      </c>
      <c r="AK20" s="1567" t="str">
        <f aca="false">IF(MONTH($A20)=12,SUM(AJ9:AJ20)," ")</f>
        <v> </v>
      </c>
      <c r="AM20" s="488" t="n">
        <f aca="false">IF($A20&gt;Endyr,0,VLOOKUP($A20,Tariff_Table,Tariff!$L$33))</f>
        <v>1.21</v>
      </c>
      <c r="AN20" s="1576" t="n">
        <f aca="false">VLOOKUP($A20,Curves_Table,Escalation!$Z$291)</f>
        <v>1.09524290101378</v>
      </c>
      <c r="AO20" s="1314" t="n">
        <f aca="false">AM20*AN20</f>
        <v>1.32524391022667</v>
      </c>
      <c r="AP20" s="1314" t="n">
        <f aca="false">IF($A20&gt;Endyr,0,VLOOKUP($A20,Tariff_Table,Tariff!$M$33))</f>
        <v>0.25</v>
      </c>
      <c r="AQ20" s="1314" t="n">
        <f aca="false">SUM(AO20,AP20)</f>
        <v>1.57524391022667</v>
      </c>
      <c r="AR20" s="1314" t="n">
        <f aca="false">SUM(AM20,AP20)</f>
        <v>1.46</v>
      </c>
      <c r="AS20" s="1598" t="n">
        <f aca="false">IF(AR20=0,0,AQ20/AR20)</f>
        <v>1.07893418508676</v>
      </c>
    </row>
    <row r="21" customFormat="false" ht="12.75" hidden="false" customHeight="false" outlineLevel="0" collapsed="false">
      <c r="A21" s="1538" t="n">
        <f aca="false">EDATE(A20,1)</f>
        <v>37226</v>
      </c>
      <c r="C21" s="1595" t="n">
        <f aca="false">IF($A21&gt;Endyr,0,VLOOKUP($A21,Tariff_Table,Tariff!$G$33))</f>
        <v>7427.29</v>
      </c>
      <c r="D21" s="1565" t="n">
        <f aca="false">VLOOKUP($A21,Curves_Table,Escalation!$V$291)</f>
        <v>1.09718061747934</v>
      </c>
      <c r="E21" s="1596" t="n">
        <f aca="false">C21*D21</f>
        <v>8149.07862839814</v>
      </c>
      <c r="F21" s="1565" t="n">
        <f aca="false">IF(Assm!$L$74=0,VLOOKUP($A21,Curves_Table,Escalation!$D$291),VLOOKUP($A21,Curves_Table,Escalation!$E$291))</f>
        <v>1.99172201715913</v>
      </c>
      <c r="G21" s="427" t="n">
        <f aca="false">IF($A21&lt;EE_Date,VLOOKUP($A21,Curves_Table,Escalation!$D$291),Exch)</f>
        <v>1.065</v>
      </c>
      <c r="H21" s="1596" t="n">
        <f aca="false">E21*F21/G21</f>
        <v>15240.0932617291</v>
      </c>
      <c r="I21" s="1540" t="n">
        <f aca="false">VLOOKUP($A21,Plant_Table,'Plant Operations'!$C$270)</f>
        <v>480</v>
      </c>
      <c r="J21" s="1575" t="n">
        <f aca="false">H21*I21/1000</f>
        <v>7315.24476562997</v>
      </c>
      <c r="K21" s="1565" t="n">
        <f aca="false">F21</f>
        <v>1.99172201715913</v>
      </c>
      <c r="L21" s="394" t="n">
        <f aca="false">J21/K21</f>
        <v>3672.82417054564</v>
      </c>
      <c r="M21" s="1579" t="n">
        <f aca="false">IF(MONTH($A21)=12,SUM(L10:L21)," ")</f>
        <v>33511.8355965512</v>
      </c>
      <c r="O21" s="1597" t="n">
        <f aca="false">IF($A21&gt;Endyr,0,VLOOKUP($A21,Tariff_Table,Tariff!$H$33))</f>
        <v>6126.75</v>
      </c>
      <c r="P21" s="1565" t="n">
        <f aca="false">$AS21</f>
        <v>1.07893418508676</v>
      </c>
      <c r="Q21" s="1575" t="n">
        <f aca="false">O21*P21</f>
        <v>6610.36001848032</v>
      </c>
      <c r="R21" s="1565" t="n">
        <f aca="false">$F21</f>
        <v>1.99172201715913</v>
      </c>
      <c r="S21" s="427" t="n">
        <f aca="false">$G21</f>
        <v>1.065</v>
      </c>
      <c r="T21" s="1575" t="n">
        <f aca="false">Q21*R21/S21</f>
        <v>12362.4409297236</v>
      </c>
      <c r="U21" s="1540" t="n">
        <f aca="false">$I21</f>
        <v>480</v>
      </c>
      <c r="V21" s="1575" t="n">
        <f aca="false">T21*U21/1000</f>
        <v>5933.97164626735</v>
      </c>
      <c r="W21" s="1565" t="n">
        <f aca="false">R21</f>
        <v>1.99172201715913</v>
      </c>
      <c r="X21" s="394" t="n">
        <f aca="false">V21/W21</f>
        <v>2979.31719142775</v>
      </c>
      <c r="Y21" s="1579" t="n">
        <f aca="false">IF(MONTH($A21)=12,SUM(X10:X21)," ")</f>
        <v>26285.1650148133</v>
      </c>
      <c r="AA21" s="1595" t="n">
        <f aca="false">IF($A21&gt;Endyr,0,VLOOKUP($A21,Tariff_Table,Tariff!$I$33))</f>
        <v>2.36</v>
      </c>
      <c r="AB21" s="1565" t="n">
        <f aca="false">$AS21</f>
        <v>1.07893418508676</v>
      </c>
      <c r="AC21" s="1596" t="n">
        <f aca="false">AA21*AB21</f>
        <v>2.54628467680476</v>
      </c>
      <c r="AD21" s="1565" t="n">
        <f aca="false">$F21</f>
        <v>1.99172201715913</v>
      </c>
      <c r="AE21" s="427" t="n">
        <f aca="false">$G21</f>
        <v>1.065</v>
      </c>
      <c r="AF21" s="1596" t="n">
        <f aca="false">AC21*AD21/AE21</f>
        <v>4.76196361760278</v>
      </c>
      <c r="AG21" s="397" t="n">
        <f aca="false">VLOOKUP($A21,Plant_Table,'Plant Operations'!$M$270)</f>
        <v>298980.864</v>
      </c>
      <c r="AH21" s="1575" t="n">
        <f aca="false">AF21*AG21/1000</f>
        <v>1423.73599672744</v>
      </c>
      <c r="AI21" s="1565" t="n">
        <f aca="false">AD21</f>
        <v>1.99172201715913</v>
      </c>
      <c r="AJ21" s="1566" t="n">
        <f aca="false">AH21/AI21</f>
        <v>714.826659775631</v>
      </c>
      <c r="AK21" s="1567" t="n">
        <f aca="false">IF(MONTH($A21)=12,SUM(AJ10:AJ21)," ")</f>
        <v>6113.48932814785</v>
      </c>
      <c r="AM21" s="488" t="n">
        <f aca="false">IF($A21&gt;Endyr,0,VLOOKUP($A21,Tariff_Table,Tariff!$L$33))</f>
        <v>1.21</v>
      </c>
      <c r="AN21" s="1576" t="n">
        <f aca="false">VLOOKUP($A21,Curves_Table,Escalation!$Z$291)</f>
        <v>1.09524290101378</v>
      </c>
      <c r="AO21" s="1314" t="n">
        <f aca="false">AM21*AN21</f>
        <v>1.32524391022667</v>
      </c>
      <c r="AP21" s="1314" t="n">
        <f aca="false">IF($A21&gt;Endyr,0,VLOOKUP($A21,Tariff_Table,Tariff!$M$33))</f>
        <v>0.25</v>
      </c>
      <c r="AQ21" s="1314" t="n">
        <f aca="false">SUM(AO21,AP21)</f>
        <v>1.57524391022667</v>
      </c>
      <c r="AR21" s="1314" t="n">
        <f aca="false">SUM(AM21,AP21)</f>
        <v>1.46</v>
      </c>
      <c r="AS21" s="1598" t="n">
        <f aca="false">IF(AR21=0,0,AQ21/AR21)</f>
        <v>1.07893418508676</v>
      </c>
    </row>
    <row r="22" customFormat="false" ht="12.75" hidden="false" customHeight="false" outlineLevel="0" collapsed="false">
      <c r="A22" s="1538" t="n">
        <f aca="false">EDATE(A21,1)</f>
        <v>37257</v>
      </c>
      <c r="C22" s="1599" t="n">
        <f aca="false">IF($A22&gt;Endyr,0,VLOOKUP($A22,Tariff_Table,Tariff!$G$33))</f>
        <v>7427.29</v>
      </c>
      <c r="D22" s="1600" t="n">
        <f aca="false">VLOOKUP($A22,Curves_Table,Escalation!$V$291)</f>
        <v>1.09718061747934</v>
      </c>
      <c r="E22" s="1601" t="n">
        <f aca="false">C22*D22</f>
        <v>8149.07862839814</v>
      </c>
      <c r="F22" s="1600" t="n">
        <f aca="false">IF(Assm!$L$74=0,VLOOKUP($A22,Curves_Table,Escalation!$D$291),VLOOKUP($A22,Curves_Table,Escalation!$E$291))</f>
        <v>2.00248656102165</v>
      </c>
      <c r="G22" s="1602" t="n">
        <f aca="false">IF($A22&lt;EE_Date,VLOOKUP($A22,Curves_Table,Escalation!$D$291),Exch)</f>
        <v>1.065</v>
      </c>
      <c r="H22" s="1601" t="n">
        <f aca="false">E22*F22/G22</f>
        <v>15322.4605052357</v>
      </c>
      <c r="I22" s="1603" t="n">
        <f aca="false">VLOOKUP($A22,Plant_Table,'Plant Operations'!$C$270)</f>
        <v>480</v>
      </c>
      <c r="J22" s="1581" t="n">
        <f aca="false">H22*I22/1000</f>
        <v>7354.78104251312</v>
      </c>
      <c r="K22" s="1600" t="n">
        <f aca="false">F22</f>
        <v>2.00248656102165</v>
      </c>
      <c r="L22" s="1585" t="n">
        <f aca="false">J22/K22</f>
        <v>3672.82417054564</v>
      </c>
      <c r="M22" s="1579" t="str">
        <f aca="false">IF(MONTH($A22)=12,SUM(L11:L22)," ")</f>
        <v> </v>
      </c>
      <c r="O22" s="1597" t="n">
        <f aca="false">IF($A22&gt;Endyr,0,VLOOKUP($A22,Tariff_Table,Tariff!$H$33))</f>
        <v>6126.75</v>
      </c>
      <c r="P22" s="1565" t="n">
        <f aca="false">$AS22</f>
        <v>1.07893418508676</v>
      </c>
      <c r="Q22" s="1575" t="n">
        <f aca="false">O22*P22</f>
        <v>6610.36001848032</v>
      </c>
      <c r="R22" s="1565" t="n">
        <f aca="false">$F22</f>
        <v>2.00248656102165</v>
      </c>
      <c r="S22" s="427" t="n">
        <f aca="false">$G22</f>
        <v>1.065</v>
      </c>
      <c r="T22" s="1575" t="n">
        <f aca="false">Q22*R22/S22</f>
        <v>12429.2554934475</v>
      </c>
      <c r="U22" s="1540" t="n">
        <f aca="false">$I22</f>
        <v>480</v>
      </c>
      <c r="V22" s="1575" t="n">
        <f aca="false">T22*U22/1000</f>
        <v>5966.04263685482</v>
      </c>
      <c r="W22" s="1565" t="n">
        <f aca="false">R22</f>
        <v>2.00248656102165</v>
      </c>
      <c r="X22" s="394" t="n">
        <f aca="false">V22/W22</f>
        <v>2979.31719142775</v>
      </c>
      <c r="Y22" s="1579" t="str">
        <f aca="false">IF(MONTH($A22)=12,SUM(X11:X22)," ")</f>
        <v> </v>
      </c>
      <c r="AA22" s="1595" t="n">
        <f aca="false">IF($A22&gt;Endyr,0,VLOOKUP($A22,Tariff_Table,Tariff!$I$33))</f>
        <v>2.36</v>
      </c>
      <c r="AB22" s="1565" t="n">
        <f aca="false">$AS22</f>
        <v>1.07893418508676</v>
      </c>
      <c r="AC22" s="1596" t="n">
        <f aca="false">AA22*AB22</f>
        <v>2.54628467680476</v>
      </c>
      <c r="AD22" s="1565" t="n">
        <f aca="false">$F22</f>
        <v>2.00248656102165</v>
      </c>
      <c r="AE22" s="427" t="n">
        <f aca="false">$G22</f>
        <v>1.065</v>
      </c>
      <c r="AF22" s="1596" t="n">
        <f aca="false">AC22*AD22/AE22</f>
        <v>4.78770032472946</v>
      </c>
      <c r="AG22" s="397" t="n">
        <f aca="false">VLOOKUP($A22,Plant_Table,'Plant Operations'!$M$270)</f>
        <v>298980.864</v>
      </c>
      <c r="AH22" s="1575" t="n">
        <f aca="false">AF22*AG22/1000</f>
        <v>1431.43077966069</v>
      </c>
      <c r="AI22" s="1565" t="n">
        <f aca="false">AD22</f>
        <v>2.00248656102165</v>
      </c>
      <c r="AJ22" s="1566" t="n">
        <f aca="false">AH22/AI22</f>
        <v>714.826659775631</v>
      </c>
      <c r="AK22" s="1567" t="str">
        <f aca="false">IF(MONTH($A22)=12,SUM(AJ11:AJ22)," ")</f>
        <v> </v>
      </c>
      <c r="AM22" s="488" t="n">
        <f aca="false">IF($A22&gt;Endyr,0,VLOOKUP($A22,Tariff_Table,Tariff!$L$33))</f>
        <v>1.21</v>
      </c>
      <c r="AN22" s="1576" t="n">
        <f aca="false">VLOOKUP($A22,Curves_Table,Escalation!$Z$291)</f>
        <v>1.09524290101378</v>
      </c>
      <c r="AO22" s="1314" t="n">
        <f aca="false">AM22*AN22</f>
        <v>1.32524391022667</v>
      </c>
      <c r="AP22" s="1314" t="n">
        <f aca="false">IF($A22&gt;Endyr,0,VLOOKUP($A22,Tariff_Table,Tariff!$M$33))</f>
        <v>0.25</v>
      </c>
      <c r="AQ22" s="1314" t="n">
        <f aca="false">SUM(AO22,AP22)</f>
        <v>1.57524391022667</v>
      </c>
      <c r="AR22" s="1314" t="n">
        <f aca="false">SUM(AM22,AP22)</f>
        <v>1.46</v>
      </c>
      <c r="AS22" s="1598" t="n">
        <f aca="false">IF(AR22=0,0,AQ22/AR22)</f>
        <v>1.07893418508676</v>
      </c>
    </row>
    <row r="23" customFormat="false" ht="12.75" hidden="false" customHeight="false" outlineLevel="0" collapsed="false">
      <c r="A23" s="1538" t="n">
        <f aca="false">EDATE(A22,1)</f>
        <v>37288</v>
      </c>
      <c r="C23" s="1595" t="n">
        <f aca="false">IF($A23&gt;Endyr,0,VLOOKUP($A23,Tariff_Table,Tariff!$G$33))</f>
        <v>7427.29</v>
      </c>
      <c r="D23" s="1565" t="n">
        <f aca="false">VLOOKUP($A23,Curves_Table,Escalation!$V$291)</f>
        <v>1.09718061747934</v>
      </c>
      <c r="E23" s="1596" t="n">
        <f aca="false">C23*D23</f>
        <v>8149.07862839814</v>
      </c>
      <c r="F23" s="1565" t="n">
        <f aca="false">IF(Assm!$L$74=0,VLOOKUP($A23,Curves_Table,Escalation!$D$291),VLOOKUP($A23,Curves_Table,Escalation!$E$291))</f>
        <v>2.01330928338677</v>
      </c>
      <c r="G23" s="427" t="n">
        <f aca="false">IF($A23&lt;EE_Date,VLOOKUP($A23,Curves_Table,Escalation!$D$291),Exch)</f>
        <v>1.065</v>
      </c>
      <c r="H23" s="1596" t="n">
        <f aca="false">E23*F23/G23</f>
        <v>15405.2729141809</v>
      </c>
      <c r="I23" s="1540" t="n">
        <f aca="false">VLOOKUP($A23,Plant_Table,'Plant Operations'!$C$270)</f>
        <v>480</v>
      </c>
      <c r="J23" s="1575" t="n">
        <f aca="false">H23*I23/1000</f>
        <v>7394.53099880685</v>
      </c>
      <c r="K23" s="1565" t="n">
        <f aca="false">F23</f>
        <v>2.01330928338677</v>
      </c>
      <c r="L23" s="394" t="n">
        <f aca="false">J23/K23</f>
        <v>3672.82417054564</v>
      </c>
      <c r="M23" s="1579" t="str">
        <f aca="false">IF(MONTH($A23)=12,SUM(L12:L23)," ")</f>
        <v> </v>
      </c>
      <c r="O23" s="1597" t="n">
        <f aca="false">IF($A23&gt;Endyr,0,VLOOKUP($A23,Tariff_Table,Tariff!$H$33))</f>
        <v>6126.75</v>
      </c>
      <c r="P23" s="1565" t="n">
        <f aca="false">$AS23</f>
        <v>1.07893418508676</v>
      </c>
      <c r="Q23" s="1575" t="n">
        <f aca="false">O23*P23</f>
        <v>6610.36001848032</v>
      </c>
      <c r="R23" s="1565" t="n">
        <f aca="false">$F23</f>
        <v>2.01330928338677</v>
      </c>
      <c r="S23" s="427" t="n">
        <f aca="false">$G23</f>
        <v>1.065</v>
      </c>
      <c r="T23" s="1575" t="n">
        <f aca="false">Q23*R23/S23</f>
        <v>12496.4311659485</v>
      </c>
      <c r="U23" s="1540" t="n">
        <f aca="false">$I23</f>
        <v>480</v>
      </c>
      <c r="V23" s="1575" t="n">
        <f aca="false">T23*U23/1000</f>
        <v>5998.28695965528</v>
      </c>
      <c r="W23" s="1565" t="n">
        <f aca="false">R23</f>
        <v>2.01330928338677</v>
      </c>
      <c r="X23" s="394" t="n">
        <f aca="false">V23/W23</f>
        <v>2979.31719142775</v>
      </c>
      <c r="Y23" s="1579" t="str">
        <f aca="false">IF(MONTH($A23)=12,SUM(X12:X23)," ")</f>
        <v> </v>
      </c>
      <c r="AA23" s="1595" t="n">
        <f aca="false">IF($A23&gt;Endyr,0,VLOOKUP($A23,Tariff_Table,Tariff!$I$33))</f>
        <v>2.36</v>
      </c>
      <c r="AB23" s="1565" t="n">
        <f aca="false">$AS23</f>
        <v>1.07893418508676</v>
      </c>
      <c r="AC23" s="1596" t="n">
        <f aca="false">AA23*AB23</f>
        <v>2.54628467680476</v>
      </c>
      <c r="AD23" s="1565" t="n">
        <f aca="false">$F23</f>
        <v>2.01330928338677</v>
      </c>
      <c r="AE23" s="427" t="n">
        <f aca="false">$G23</f>
        <v>1.065</v>
      </c>
      <c r="AF23" s="1596" t="n">
        <f aca="false">AC23*AD23/AE23</f>
        <v>4.81357612953662</v>
      </c>
      <c r="AG23" s="397" t="n">
        <f aca="false">VLOOKUP($A23,Plant_Table,'Plant Operations'!$M$270)</f>
        <v>270047.232</v>
      </c>
      <c r="AH23" s="1575" t="n">
        <f aca="false">AF23*AG23/1000</f>
        <v>1299.89290980264</v>
      </c>
      <c r="AI23" s="1565" t="n">
        <f aca="false">AD23</f>
        <v>2.01330928338677</v>
      </c>
      <c r="AJ23" s="1566" t="n">
        <f aca="false">AH23/AI23</f>
        <v>645.649886248957</v>
      </c>
      <c r="AK23" s="1567" t="str">
        <f aca="false">IF(MONTH($A23)=12,SUM(AJ12:AJ23)," ")</f>
        <v> </v>
      </c>
      <c r="AM23" s="488" t="n">
        <f aca="false">IF($A23&gt;Endyr,0,VLOOKUP($A23,Tariff_Table,Tariff!$L$33))</f>
        <v>1.21</v>
      </c>
      <c r="AN23" s="1576" t="n">
        <f aca="false">VLOOKUP($A23,Curves_Table,Escalation!$Z$291)</f>
        <v>1.09524290101378</v>
      </c>
      <c r="AO23" s="1314" t="n">
        <f aca="false">AM23*AN23</f>
        <v>1.32524391022667</v>
      </c>
      <c r="AP23" s="1314" t="n">
        <f aca="false">IF($A23&gt;Endyr,0,VLOOKUP($A23,Tariff_Table,Tariff!$M$33))</f>
        <v>0.25</v>
      </c>
      <c r="AQ23" s="1314" t="n">
        <f aca="false">SUM(AO23,AP23)</f>
        <v>1.57524391022667</v>
      </c>
      <c r="AR23" s="1314" t="n">
        <f aca="false">SUM(AM23,AP23)</f>
        <v>1.46</v>
      </c>
      <c r="AS23" s="1598" t="n">
        <f aca="false">IF(AR23=0,0,AQ23/AR23)</f>
        <v>1.07893418508676</v>
      </c>
    </row>
    <row r="24" customFormat="false" ht="12.75" hidden="false" customHeight="false" outlineLevel="0" collapsed="false">
      <c r="A24" s="1538" t="n">
        <f aca="false">EDATE(A23,1)</f>
        <v>37316</v>
      </c>
      <c r="C24" s="1595" t="n">
        <f aca="false">IF($A24&gt;Endyr,0,VLOOKUP($A24,Tariff_Table,Tariff!$G$33))</f>
        <v>7427.29</v>
      </c>
      <c r="D24" s="1565" t="n">
        <f aca="false">VLOOKUP($A24,Curves_Table,Escalation!$V$291)</f>
        <v>1.09718061747934</v>
      </c>
      <c r="E24" s="1596" t="n">
        <f aca="false">C24*D24</f>
        <v>8149.07862839814</v>
      </c>
      <c r="F24" s="1565" t="n">
        <f aca="false">IF(Assm!$L$74=0,VLOOKUP($A24,Curves_Table,Escalation!$D$291),VLOOKUP($A24,Curves_Table,Escalation!$E$291))</f>
        <v>2.02419049868846</v>
      </c>
      <c r="G24" s="427" t="n">
        <f aca="false">IF($A24&lt;EE_Date,VLOOKUP($A24,Curves_Table,Escalation!$D$291),Exch)</f>
        <v>1.065</v>
      </c>
      <c r="H24" s="1596" t="n">
        <f aca="false">E24*F24/G24</f>
        <v>15488.5328945246</v>
      </c>
      <c r="I24" s="1540" t="n">
        <f aca="false">VLOOKUP($A24,Plant_Table,'Plant Operations'!$C$270)</f>
        <v>480</v>
      </c>
      <c r="J24" s="1575" t="n">
        <f aca="false">H24*I24/1000</f>
        <v>7434.49578937181</v>
      </c>
      <c r="K24" s="1565" t="n">
        <f aca="false">F24</f>
        <v>2.02419049868846</v>
      </c>
      <c r="L24" s="394" t="n">
        <f aca="false">J24/K24</f>
        <v>3672.82417054564</v>
      </c>
      <c r="M24" s="1579" t="str">
        <f aca="false">IF(MONTH($A24)=12,SUM(L13:L24)," ")</f>
        <v> </v>
      </c>
      <c r="O24" s="1597" t="n">
        <f aca="false">IF($A24&gt;Endyr,0,VLOOKUP($A24,Tariff_Table,Tariff!$H$33))</f>
        <v>6126.75</v>
      </c>
      <c r="P24" s="1565" t="n">
        <f aca="false">$AS24</f>
        <v>1.07893418508676</v>
      </c>
      <c r="Q24" s="1575" t="n">
        <f aca="false">O24*P24</f>
        <v>6610.36001848032</v>
      </c>
      <c r="R24" s="1565" t="n">
        <f aca="false">$F24</f>
        <v>2.02419049868846</v>
      </c>
      <c r="S24" s="427" t="n">
        <f aca="false">$G24</f>
        <v>1.065</v>
      </c>
      <c r="T24" s="1575" t="n">
        <f aca="false">Q24*R24/S24</f>
        <v>12563.9698988901</v>
      </c>
      <c r="U24" s="1540" t="n">
        <f aca="false">$I24</f>
        <v>480</v>
      </c>
      <c r="V24" s="1575" t="n">
        <f aca="false">T24*U24/1000</f>
        <v>6030.70555146724</v>
      </c>
      <c r="W24" s="1565" t="n">
        <f aca="false">R24</f>
        <v>2.02419049868846</v>
      </c>
      <c r="X24" s="394" t="n">
        <f aca="false">V24/W24</f>
        <v>2979.31719142775</v>
      </c>
      <c r="Y24" s="1579" t="str">
        <f aca="false">IF(MONTH($A24)=12,SUM(X13:X24)," ")</f>
        <v> </v>
      </c>
      <c r="AA24" s="1595" t="n">
        <f aca="false">IF($A24&gt;Endyr,0,VLOOKUP($A24,Tariff_Table,Tariff!$I$33))</f>
        <v>2.36</v>
      </c>
      <c r="AB24" s="1565" t="n">
        <f aca="false">$AS24</f>
        <v>1.07893418508676</v>
      </c>
      <c r="AC24" s="1596" t="n">
        <f aca="false">AA24*AB24</f>
        <v>2.54628467680476</v>
      </c>
      <c r="AD24" s="1565" t="n">
        <f aca="false">$F24</f>
        <v>2.02419049868846</v>
      </c>
      <c r="AE24" s="427" t="n">
        <f aca="false">$G24</f>
        <v>1.065</v>
      </c>
      <c r="AF24" s="1596" t="n">
        <f aca="false">AC24*AD24/AE24</f>
        <v>4.83959178379738</v>
      </c>
      <c r="AG24" s="397" t="n">
        <f aca="false">VLOOKUP($A24,Plant_Table,'Plant Operations'!$M$270)</f>
        <v>298980.864</v>
      </c>
      <c r="AH24" s="1575" t="n">
        <f aca="false">AF24*AG24/1000</f>
        <v>1446.94533292704</v>
      </c>
      <c r="AI24" s="1565" t="n">
        <f aca="false">AD24</f>
        <v>2.02419049868846</v>
      </c>
      <c r="AJ24" s="1566" t="n">
        <f aca="false">AH24/AI24</f>
        <v>714.826659775631</v>
      </c>
      <c r="AK24" s="1567" t="str">
        <f aca="false">IF(MONTH($A24)=12,SUM(AJ13:AJ24)," ")</f>
        <v> </v>
      </c>
      <c r="AM24" s="488" t="n">
        <f aca="false">IF($A24&gt;Endyr,0,VLOOKUP($A24,Tariff_Table,Tariff!$L$33))</f>
        <v>1.21</v>
      </c>
      <c r="AN24" s="1576" t="n">
        <f aca="false">VLOOKUP($A24,Curves_Table,Escalation!$Z$291)</f>
        <v>1.09524290101378</v>
      </c>
      <c r="AO24" s="1314" t="n">
        <f aca="false">AM24*AN24</f>
        <v>1.32524391022667</v>
      </c>
      <c r="AP24" s="1314" t="n">
        <f aca="false">IF($A24&gt;Endyr,0,VLOOKUP($A24,Tariff_Table,Tariff!$M$33))</f>
        <v>0.25</v>
      </c>
      <c r="AQ24" s="1314" t="n">
        <f aca="false">SUM(AO24,AP24)</f>
        <v>1.57524391022667</v>
      </c>
      <c r="AR24" s="1314" t="n">
        <f aca="false">SUM(AM24,AP24)</f>
        <v>1.46</v>
      </c>
      <c r="AS24" s="1598" t="n">
        <f aca="false">IF(AR24=0,0,AQ24/AR24)</f>
        <v>1.07893418508676</v>
      </c>
    </row>
    <row r="25" customFormat="false" ht="12.75" hidden="false" customHeight="false" outlineLevel="0" collapsed="false">
      <c r="A25" s="1538" t="n">
        <f aca="false">EDATE(A24,1)</f>
        <v>37347</v>
      </c>
      <c r="C25" s="1595" t="n">
        <f aca="false">IF($A25&gt;Endyr,0,VLOOKUP($A25,Tariff_Table,Tariff!$G$33))</f>
        <v>7427.29</v>
      </c>
      <c r="D25" s="1565" t="n">
        <f aca="false">VLOOKUP($A25,Curves_Table,Escalation!$V$291)</f>
        <v>1.09718061747934</v>
      </c>
      <c r="E25" s="1596" t="n">
        <f aca="false">C25*D25</f>
        <v>8149.07862839814</v>
      </c>
      <c r="F25" s="1565" t="n">
        <f aca="false">IF(Assm!$L$74=0,VLOOKUP($A25,Curves_Table,Escalation!$D$291),VLOOKUP($A25,Curves_Table,Escalation!$E$291))</f>
        <v>2.03513052306008</v>
      </c>
      <c r="G25" s="427" t="n">
        <f aca="false">IF($A25&lt;EE_Date,VLOOKUP($A25,Curves_Table,Escalation!$D$291),Exch)</f>
        <v>1.065</v>
      </c>
      <c r="H25" s="1596" t="n">
        <f aca="false">E25*F25/G25</f>
        <v>15572.2428652297</v>
      </c>
      <c r="I25" s="1540" t="n">
        <f aca="false">VLOOKUP($A25,Plant_Table,'Plant Operations'!$C$270)</f>
        <v>480</v>
      </c>
      <c r="J25" s="1575" t="n">
        <f aca="false">H25*I25/1000</f>
        <v>7474.67657531026</v>
      </c>
      <c r="K25" s="1565" t="n">
        <f aca="false">F25</f>
        <v>2.03513052306008</v>
      </c>
      <c r="L25" s="394" t="n">
        <f aca="false">J25/K25</f>
        <v>3672.82417054564</v>
      </c>
      <c r="M25" s="1579" t="str">
        <f aca="false">IF(MONTH($A25)=12,SUM(L14:L25)," ")</f>
        <v> </v>
      </c>
      <c r="O25" s="1597" t="n">
        <f aca="false">IF($A25&gt;Endyr,0,VLOOKUP($A25,Tariff_Table,Tariff!$H$33))</f>
        <v>6126.75</v>
      </c>
      <c r="P25" s="1565" t="n">
        <f aca="false">$AS25</f>
        <v>1.07893418508676</v>
      </c>
      <c r="Q25" s="1575" t="n">
        <f aca="false">O25*P25</f>
        <v>6610.36001848032</v>
      </c>
      <c r="R25" s="1565" t="n">
        <f aca="false">$F25</f>
        <v>2.03513052306008</v>
      </c>
      <c r="S25" s="427" t="n">
        <f aca="false">$G25</f>
        <v>1.065</v>
      </c>
      <c r="T25" s="1575" t="n">
        <f aca="false">Q25*R25/S25</f>
        <v>12631.8736544839</v>
      </c>
      <c r="U25" s="1540" t="n">
        <f aca="false">$I25</f>
        <v>480</v>
      </c>
      <c r="V25" s="1575" t="n">
        <f aca="false">T25*U25/1000</f>
        <v>6063.29935415225</v>
      </c>
      <c r="W25" s="1565" t="n">
        <f aca="false">R25</f>
        <v>2.03513052306008</v>
      </c>
      <c r="X25" s="394" t="n">
        <f aca="false">V25/W25</f>
        <v>2979.31719142775</v>
      </c>
      <c r="Y25" s="1579" t="str">
        <f aca="false">IF(MONTH($A25)=12,SUM(X14:X25)," ")</f>
        <v> </v>
      </c>
      <c r="AA25" s="1595" t="n">
        <f aca="false">IF($A25&gt;Endyr,0,VLOOKUP($A25,Tariff_Table,Tariff!$I$33))</f>
        <v>2.36</v>
      </c>
      <c r="AB25" s="1565" t="n">
        <f aca="false">$AS25</f>
        <v>1.07893418508676</v>
      </c>
      <c r="AC25" s="1596" t="n">
        <f aca="false">AA25*AB25</f>
        <v>2.54628467680476</v>
      </c>
      <c r="AD25" s="1565" t="n">
        <f aca="false">$F25</f>
        <v>2.03513052306008</v>
      </c>
      <c r="AE25" s="427" t="n">
        <f aca="false">$G25</f>
        <v>1.065</v>
      </c>
      <c r="AF25" s="1596" t="n">
        <f aca="false">AC25*AD25/AE25</f>
        <v>4.86574804334793</v>
      </c>
      <c r="AG25" s="397" t="n">
        <f aca="false">VLOOKUP($A25,Plant_Table,'Plant Operations'!$M$270)</f>
        <v>289336.32</v>
      </c>
      <c r="AH25" s="1575" t="n">
        <f aca="false">AF25*AG25/1000</f>
        <v>1407.83763290949</v>
      </c>
      <c r="AI25" s="1565" t="n">
        <f aca="false">AD25</f>
        <v>2.03513052306008</v>
      </c>
      <c r="AJ25" s="1566" t="n">
        <f aca="false">AH25/AI25</f>
        <v>691.76773526674</v>
      </c>
      <c r="AK25" s="1567" t="str">
        <f aca="false">IF(MONTH($A25)=12,SUM(AJ14:AJ25)," ")</f>
        <v> </v>
      </c>
      <c r="AM25" s="488" t="n">
        <f aca="false">IF($A25&gt;Endyr,0,VLOOKUP($A25,Tariff_Table,Tariff!$L$33))</f>
        <v>1.21</v>
      </c>
      <c r="AN25" s="1576" t="n">
        <f aca="false">VLOOKUP($A25,Curves_Table,Escalation!$Z$291)</f>
        <v>1.09524290101378</v>
      </c>
      <c r="AO25" s="1314" t="n">
        <f aca="false">AM25*AN25</f>
        <v>1.32524391022667</v>
      </c>
      <c r="AP25" s="1314" t="n">
        <f aca="false">IF($A25&gt;Endyr,0,VLOOKUP($A25,Tariff_Table,Tariff!$M$33))</f>
        <v>0.25</v>
      </c>
      <c r="AQ25" s="1314" t="n">
        <f aca="false">SUM(AO25,AP25)</f>
        <v>1.57524391022667</v>
      </c>
      <c r="AR25" s="1314" t="n">
        <f aca="false">SUM(AM25,AP25)</f>
        <v>1.46</v>
      </c>
      <c r="AS25" s="1598" t="n">
        <f aca="false">IF(AR25=0,0,AQ25/AR25)</f>
        <v>1.07893418508676</v>
      </c>
    </row>
    <row r="26" customFormat="false" ht="12.75" hidden="false" customHeight="false" outlineLevel="0" collapsed="false">
      <c r="A26" s="1538" t="n">
        <f aca="false">EDATE(A25,1)</f>
        <v>37377</v>
      </c>
      <c r="C26" s="1595" t="n">
        <f aca="false">IF($A26&gt;Endyr,0,VLOOKUP($A26,Tariff_Table,Tariff!$G$33))</f>
        <v>7420.08</v>
      </c>
      <c r="D26" s="1565" t="n">
        <f aca="false">VLOOKUP($A26,Curves_Table,Escalation!$V$291)</f>
        <v>1.13219066683837</v>
      </c>
      <c r="E26" s="1596" t="n">
        <f aca="false">C26*D26</f>
        <v>8400.94532319402</v>
      </c>
      <c r="F26" s="1565" t="n">
        <f aca="false">IF(Assm!$L$74=0,VLOOKUP($A26,Curves_Table,Escalation!$D$291),VLOOKUP($A26,Curves_Table,Escalation!$E$291))</f>
        <v>2.04612967434359</v>
      </c>
      <c r="G26" s="427" t="n">
        <f aca="false">IF($A26&lt;EE_Date,VLOOKUP($A26,Curves_Table,Escalation!$D$291),Exch)</f>
        <v>1.065</v>
      </c>
      <c r="H26" s="1596" t="n">
        <f aca="false">E26*F26/G26</f>
        <v>16140.3037730754</v>
      </c>
      <c r="I26" s="1540" t="n">
        <f aca="false">VLOOKUP($A26,Plant_Table,'Plant Operations'!$C$270)</f>
        <v>480</v>
      </c>
      <c r="J26" s="1575" t="n">
        <f aca="false">H26*I26/1000</f>
        <v>7747.34581107619</v>
      </c>
      <c r="K26" s="1565" t="n">
        <f aca="false">F26</f>
        <v>2.04612967434359</v>
      </c>
      <c r="L26" s="394" t="n">
        <f aca="false">J26/K26</f>
        <v>3786.34155411562</v>
      </c>
      <c r="M26" s="1579" t="str">
        <f aca="false">IF(MONTH($A26)=12,SUM(L15:L26)," ")</f>
        <v> </v>
      </c>
      <c r="O26" s="1597" t="n">
        <f aca="false">IF($A26&gt;Endyr,0,VLOOKUP($A26,Tariff_Table,Tariff!$H$33))</f>
        <v>6103.17</v>
      </c>
      <c r="P26" s="1565" t="n">
        <f aca="false">$AS26</f>
        <v>1.10562886637972</v>
      </c>
      <c r="Q26" s="1575" t="n">
        <f aca="false">O26*P26</f>
        <v>6747.84092842269</v>
      </c>
      <c r="R26" s="1565" t="n">
        <f aca="false">$F26</f>
        <v>2.04612967434359</v>
      </c>
      <c r="S26" s="427" t="n">
        <f aca="false">$G26</f>
        <v>1.065</v>
      </c>
      <c r="T26" s="1575" t="n">
        <f aca="false">Q26*R26/S26</f>
        <v>12964.2794003717</v>
      </c>
      <c r="U26" s="1540" t="n">
        <f aca="false">$I26</f>
        <v>480</v>
      </c>
      <c r="V26" s="1575" t="n">
        <f aca="false">T26*U26/1000</f>
        <v>6222.85411217842</v>
      </c>
      <c r="W26" s="1565" t="n">
        <f aca="false">R26</f>
        <v>2.04612967434359</v>
      </c>
      <c r="X26" s="394" t="n">
        <f aca="false">V26/W26</f>
        <v>3041.28041844403</v>
      </c>
      <c r="Y26" s="1579" t="str">
        <f aca="false">IF(MONTH($A26)=12,SUM(X15:X26)," ")</f>
        <v> </v>
      </c>
      <c r="AA26" s="1595" t="n">
        <f aca="false">IF($A26&gt;Endyr,0,VLOOKUP($A26,Tariff_Table,Tariff!$I$33))</f>
        <v>2.3</v>
      </c>
      <c r="AB26" s="1565" t="n">
        <f aca="false">$AS26</f>
        <v>1.10562886637972</v>
      </c>
      <c r="AC26" s="1596" t="n">
        <f aca="false">AA26*AB26</f>
        <v>2.54294639267335</v>
      </c>
      <c r="AD26" s="1565" t="n">
        <f aca="false">$F26</f>
        <v>2.04612967434359</v>
      </c>
      <c r="AE26" s="427" t="n">
        <f aca="false">$G26</f>
        <v>1.065</v>
      </c>
      <c r="AF26" s="1596" t="n">
        <f aca="false">AC26*AD26/AE26</f>
        <v>4.88563199466096</v>
      </c>
      <c r="AG26" s="397" t="n">
        <f aca="false">VLOOKUP($A26,Plant_Table,'Plant Operations'!$M$270)</f>
        <v>298980.864</v>
      </c>
      <c r="AH26" s="1575" t="n">
        <f aca="false">AF26*AG26/1000</f>
        <v>1460.71047494978</v>
      </c>
      <c r="AI26" s="1565" t="n">
        <f aca="false">AD26</f>
        <v>2.04612967434359</v>
      </c>
      <c r="AJ26" s="1566" t="n">
        <f aca="false">AH26/AI26</f>
        <v>713.889492570104</v>
      </c>
      <c r="AK26" s="1567" t="str">
        <f aca="false">IF(MONTH($A26)=12,SUM(AJ15:AJ26)," ")</f>
        <v> </v>
      </c>
      <c r="AM26" s="488" t="n">
        <f aca="false">IF($A26&gt;Endyr,0,VLOOKUP($A26,Tariff_Table,Tariff!$L$33))</f>
        <v>1.21</v>
      </c>
      <c r="AN26" s="1576" t="n">
        <f aca="false">VLOOKUP($A26,Curves_Table,Escalation!$Z$291)</f>
        <v>1.12745301232594</v>
      </c>
      <c r="AO26" s="1314" t="n">
        <f aca="false">AM26*AN26</f>
        <v>1.36421814491438</v>
      </c>
      <c r="AP26" s="1314" t="n">
        <f aca="false">IF($A26&gt;Endyr,0,VLOOKUP($A26,Tariff_Table,Tariff!$M$33))</f>
        <v>0.25</v>
      </c>
      <c r="AQ26" s="1314" t="n">
        <f aca="false">SUM(AO26,AP26)</f>
        <v>1.61421814491438</v>
      </c>
      <c r="AR26" s="1314" t="n">
        <f aca="false">SUM(AM26,AP26)</f>
        <v>1.46</v>
      </c>
      <c r="AS26" s="1598" t="n">
        <f aca="false">IF(AR26=0,0,AQ26/AR26)</f>
        <v>1.10562886637972</v>
      </c>
    </row>
    <row r="27" customFormat="false" ht="12.75" hidden="false" customHeight="false" outlineLevel="0" collapsed="false">
      <c r="A27" s="1538" t="n">
        <f aca="false">EDATE(A26,1)</f>
        <v>37408</v>
      </c>
      <c r="C27" s="1595" t="n">
        <f aca="false">IF($A27&gt;Endyr,0,VLOOKUP($A27,Tariff_Table,Tariff!$G$33))</f>
        <v>7420.08</v>
      </c>
      <c r="D27" s="1565" t="n">
        <f aca="false">VLOOKUP($A27,Curves_Table,Escalation!$V$291)</f>
        <v>1.13219066683837</v>
      </c>
      <c r="E27" s="1596" t="n">
        <f aca="false">C27*D27</f>
        <v>8400.94532319402</v>
      </c>
      <c r="F27" s="1565" t="n">
        <f aca="false">IF(Assm!$L$74=0,VLOOKUP($A27,Curves_Table,Escalation!$D$291),VLOOKUP($A27,Curves_Table,Escalation!$E$291))</f>
        <v>2.05718827209876</v>
      </c>
      <c r="G27" s="427" t="n">
        <f aca="false">IF($A27&lt;EE_Date,VLOOKUP($A27,Curves_Table,Escalation!$D$291),Exch)</f>
        <v>1.065</v>
      </c>
      <c r="H27" s="1596" t="n">
        <f aca="false">E27*F27/G27</f>
        <v>16227.5363318475</v>
      </c>
      <c r="I27" s="1540" t="n">
        <f aca="false">VLOOKUP($A27,Plant_Table,'Plant Operations'!$C$270)</f>
        <v>480</v>
      </c>
      <c r="J27" s="1575" t="n">
        <f aca="false">H27*I27/1000</f>
        <v>7789.21743928682</v>
      </c>
      <c r="K27" s="1565" t="n">
        <f aca="false">F27</f>
        <v>2.05718827209876</v>
      </c>
      <c r="L27" s="394" t="n">
        <f aca="false">J27/K27</f>
        <v>3786.34155411562</v>
      </c>
      <c r="M27" s="1579" t="str">
        <f aca="false">IF(MONTH($A27)=12,SUM(L16:L27)," ")</f>
        <v> </v>
      </c>
      <c r="O27" s="1597" t="n">
        <f aca="false">IF($A27&gt;Endyr,0,VLOOKUP($A27,Tariff_Table,Tariff!$H$33))</f>
        <v>6103.17</v>
      </c>
      <c r="P27" s="1565" t="n">
        <f aca="false">$AS27</f>
        <v>1.10562886637972</v>
      </c>
      <c r="Q27" s="1575" t="n">
        <f aca="false">O27*P27</f>
        <v>6747.84092842269</v>
      </c>
      <c r="R27" s="1565" t="n">
        <f aca="false">$F27</f>
        <v>2.05718827209876</v>
      </c>
      <c r="S27" s="427" t="n">
        <f aca="false">$G27</f>
        <v>1.065</v>
      </c>
      <c r="T27" s="1575" t="n">
        <f aca="false">Q27*R27/S27</f>
        <v>13034.3466853889</v>
      </c>
      <c r="U27" s="1540" t="n">
        <f aca="false">$I27</f>
        <v>480</v>
      </c>
      <c r="V27" s="1575" t="n">
        <f aca="false">T27*U27/1000</f>
        <v>6256.48640898665</v>
      </c>
      <c r="W27" s="1565" t="n">
        <f aca="false">R27</f>
        <v>2.05718827209876</v>
      </c>
      <c r="X27" s="394" t="n">
        <f aca="false">V27/W27</f>
        <v>3041.28041844403</v>
      </c>
      <c r="Y27" s="1579" t="str">
        <f aca="false">IF(MONTH($A27)=12,SUM(X16:X27)," ")</f>
        <v> </v>
      </c>
      <c r="AA27" s="1595" t="n">
        <f aca="false">IF($A27&gt;Endyr,0,VLOOKUP($A27,Tariff_Table,Tariff!$I$33))</f>
        <v>2.3</v>
      </c>
      <c r="AB27" s="1565" t="n">
        <f aca="false">$AS27</f>
        <v>1.10562886637972</v>
      </c>
      <c r="AC27" s="1596" t="n">
        <f aca="false">AA27*AB27</f>
        <v>2.54294639267335</v>
      </c>
      <c r="AD27" s="1565" t="n">
        <f aca="false">$F27</f>
        <v>2.05718827209876</v>
      </c>
      <c r="AE27" s="427" t="n">
        <f aca="false">$G27</f>
        <v>1.065</v>
      </c>
      <c r="AF27" s="1596" t="n">
        <f aca="false">AC27*AD27/AE27</f>
        <v>4.91203708505488</v>
      </c>
      <c r="AG27" s="397" t="n">
        <f aca="false">VLOOKUP($A27,Plant_Table,'Plant Operations'!$M$270)</f>
        <v>289336.32</v>
      </c>
      <c r="AH27" s="1575" t="n">
        <f aca="false">AF27*AG27/1000</f>
        <v>1421.2307338933</v>
      </c>
      <c r="AI27" s="1565" t="n">
        <f aca="false">AD27</f>
        <v>2.05718827209876</v>
      </c>
      <c r="AJ27" s="1566" t="n">
        <f aca="false">AH27/AI27</f>
        <v>690.86079926139</v>
      </c>
      <c r="AK27" s="1567" t="str">
        <f aca="false">IF(MONTH($A27)=12,SUM(AJ16:AJ27)," ")</f>
        <v> </v>
      </c>
      <c r="AM27" s="488" t="n">
        <f aca="false">IF($A27&gt;Endyr,0,VLOOKUP($A27,Tariff_Table,Tariff!$L$33))</f>
        <v>1.21</v>
      </c>
      <c r="AN27" s="1576" t="n">
        <f aca="false">VLOOKUP($A27,Curves_Table,Escalation!$Z$291)</f>
        <v>1.12745301232594</v>
      </c>
      <c r="AO27" s="1314" t="n">
        <f aca="false">AM27*AN27</f>
        <v>1.36421814491438</v>
      </c>
      <c r="AP27" s="1314" t="n">
        <f aca="false">IF($A27&gt;Endyr,0,VLOOKUP($A27,Tariff_Table,Tariff!$M$33))</f>
        <v>0.25</v>
      </c>
      <c r="AQ27" s="1314" t="n">
        <f aca="false">SUM(AO27,AP27)</f>
        <v>1.61421814491438</v>
      </c>
      <c r="AR27" s="1314" t="n">
        <f aca="false">SUM(AM27,AP27)</f>
        <v>1.46</v>
      </c>
      <c r="AS27" s="1598" t="n">
        <f aca="false">IF(AR27=0,0,AQ27/AR27)</f>
        <v>1.10562886637972</v>
      </c>
    </row>
    <row r="28" customFormat="false" ht="12.75" hidden="false" customHeight="false" outlineLevel="0" collapsed="false">
      <c r="A28" s="1538" t="n">
        <f aca="false">EDATE(A27,1)</f>
        <v>37438</v>
      </c>
      <c r="C28" s="1595" t="n">
        <f aca="false">IF($A28&gt;Endyr,0,VLOOKUP($A28,Tariff_Table,Tariff!$G$33))</f>
        <v>7420.08</v>
      </c>
      <c r="D28" s="1565" t="n">
        <f aca="false">VLOOKUP($A28,Curves_Table,Escalation!$V$291)</f>
        <v>1.13219066683837</v>
      </c>
      <c r="E28" s="1596" t="n">
        <f aca="false">C28*D28</f>
        <v>8400.94532319402</v>
      </c>
      <c r="F28" s="1565" t="n">
        <f aca="false">IF(Assm!$L$74=0,VLOOKUP($A28,Curves_Table,Escalation!$D$291),VLOOKUP($A28,Curves_Table,Escalation!$E$291))</f>
        <v>2.06830663761246</v>
      </c>
      <c r="G28" s="427" t="n">
        <f aca="false">IF($A28&lt;EE_Date,VLOOKUP($A28,Curves_Table,Escalation!$D$291),Exch)</f>
        <v>1.065</v>
      </c>
      <c r="H28" s="1596" t="n">
        <f aca="false">E28*F28/G28</f>
        <v>16315.2403513441</v>
      </c>
      <c r="I28" s="1540" t="n">
        <f aca="false">VLOOKUP($A28,Plant_Table,'Plant Operations'!$C$270)</f>
        <v>480</v>
      </c>
      <c r="J28" s="1575" t="n">
        <f aca="false">H28*I28/1000</f>
        <v>7831.31536864519</v>
      </c>
      <c r="K28" s="1565" t="n">
        <f aca="false">F28</f>
        <v>2.06830663761246</v>
      </c>
      <c r="L28" s="394" t="n">
        <f aca="false">J28/K28</f>
        <v>3786.34155411562</v>
      </c>
      <c r="M28" s="1579" t="str">
        <f aca="false">IF(MONTH($A28)=12,SUM(L17:L28)," ")</f>
        <v> </v>
      </c>
      <c r="O28" s="1597" t="n">
        <f aca="false">IF($A28&gt;Endyr,0,VLOOKUP($A28,Tariff_Table,Tariff!$H$33))</f>
        <v>6103.17</v>
      </c>
      <c r="P28" s="1565" t="n">
        <f aca="false">$AS28</f>
        <v>1.10562886637972</v>
      </c>
      <c r="Q28" s="1575" t="n">
        <f aca="false">O28*P28</f>
        <v>6747.84092842269</v>
      </c>
      <c r="R28" s="1565" t="n">
        <f aca="false">$F28</f>
        <v>2.06830663761246</v>
      </c>
      <c r="S28" s="427" t="n">
        <f aca="false">$G28</f>
        <v>1.065</v>
      </c>
      <c r="T28" s="1575" t="n">
        <f aca="false">Q28*R28/S28</f>
        <v>13104.7926589762</v>
      </c>
      <c r="U28" s="1540" t="n">
        <f aca="false">$I28</f>
        <v>480</v>
      </c>
      <c r="V28" s="1575" t="n">
        <f aca="false">T28*U28/1000</f>
        <v>6290.30047630857</v>
      </c>
      <c r="W28" s="1565" t="n">
        <f aca="false">R28</f>
        <v>2.06830663761246</v>
      </c>
      <c r="X28" s="394" t="n">
        <f aca="false">V28/W28</f>
        <v>3041.28041844403</v>
      </c>
      <c r="Y28" s="1579" t="str">
        <f aca="false">IF(MONTH($A28)=12,SUM(X17:X28)," ")</f>
        <v> </v>
      </c>
      <c r="AA28" s="1595" t="n">
        <f aca="false">IF($A28&gt;Endyr,0,VLOOKUP($A28,Tariff_Table,Tariff!$I$33))</f>
        <v>2.3</v>
      </c>
      <c r="AB28" s="1565" t="n">
        <f aca="false">$AS28</f>
        <v>1.10562886637972</v>
      </c>
      <c r="AC28" s="1596" t="n">
        <f aca="false">AA28*AB28</f>
        <v>2.54294639267335</v>
      </c>
      <c r="AD28" s="1565" t="n">
        <f aca="false">$F28</f>
        <v>2.06830663761246</v>
      </c>
      <c r="AE28" s="427" t="n">
        <f aca="false">$G28</f>
        <v>1.065</v>
      </c>
      <c r="AF28" s="1596" t="n">
        <f aca="false">AC28*AD28/AE28</f>
        <v>4.93858488550134</v>
      </c>
      <c r="AG28" s="397" t="n">
        <f aca="false">VLOOKUP($A28,Plant_Table,'Plant Operations'!$M$270)</f>
        <v>298980.864</v>
      </c>
      <c r="AH28" s="1575" t="n">
        <f aca="false">AF28*AG28/1000</f>
        <v>1476.54237600453</v>
      </c>
      <c r="AI28" s="1565" t="n">
        <f aca="false">AD28</f>
        <v>2.06830663761246</v>
      </c>
      <c r="AJ28" s="1566" t="n">
        <f aca="false">AH28/AI28</f>
        <v>713.889492570103</v>
      </c>
      <c r="AK28" s="1567" t="str">
        <f aca="false">IF(MONTH($A28)=12,SUM(AJ17:AJ28)," ")</f>
        <v> </v>
      </c>
      <c r="AM28" s="488" t="n">
        <f aca="false">IF($A28&gt;Endyr,0,VLOOKUP($A28,Tariff_Table,Tariff!$L$33))</f>
        <v>1.21</v>
      </c>
      <c r="AN28" s="1576" t="n">
        <f aca="false">VLOOKUP($A28,Curves_Table,Escalation!$Z$291)</f>
        <v>1.12745301232594</v>
      </c>
      <c r="AO28" s="1314" t="n">
        <f aca="false">AM28*AN28</f>
        <v>1.36421814491438</v>
      </c>
      <c r="AP28" s="1314" t="n">
        <f aca="false">IF($A28&gt;Endyr,0,VLOOKUP($A28,Tariff_Table,Tariff!$M$33))</f>
        <v>0.25</v>
      </c>
      <c r="AQ28" s="1314" t="n">
        <f aca="false">SUM(AO28,AP28)</f>
        <v>1.61421814491438</v>
      </c>
      <c r="AR28" s="1314" t="n">
        <f aca="false">SUM(AM28,AP28)</f>
        <v>1.46</v>
      </c>
      <c r="AS28" s="1598" t="n">
        <f aca="false">IF(AR28=0,0,AQ28/AR28)</f>
        <v>1.10562886637972</v>
      </c>
    </row>
    <row r="29" customFormat="false" ht="12.75" hidden="false" customHeight="false" outlineLevel="0" collapsed="false">
      <c r="A29" s="1538" t="n">
        <f aca="false">EDATE(A28,1)</f>
        <v>37469</v>
      </c>
      <c r="C29" s="1595" t="n">
        <f aca="false">IF($A29&gt;Endyr,0,VLOOKUP($A29,Tariff_Table,Tariff!$G$33))</f>
        <v>7420.08</v>
      </c>
      <c r="D29" s="1565" t="n">
        <f aca="false">VLOOKUP($A29,Curves_Table,Escalation!$V$291)</f>
        <v>1.13219066683837</v>
      </c>
      <c r="E29" s="1596" t="n">
        <f aca="false">C29*D29</f>
        <v>8400.94532319402</v>
      </c>
      <c r="F29" s="1565" t="n">
        <f aca="false">IF(Assm!$L$74=0,VLOOKUP($A29,Curves_Table,Escalation!$D$291),VLOOKUP($A29,Curves_Table,Escalation!$E$291))</f>
        <v>2.07948509390801</v>
      </c>
      <c r="G29" s="427" t="n">
        <f aca="false">IF($A29&lt;EE_Date,VLOOKUP($A29,Curves_Table,Escalation!$D$291),Exch)</f>
        <v>1.065</v>
      </c>
      <c r="H29" s="1596" t="n">
        <f aca="false">E29*F29/G29</f>
        <v>16403.4183796415</v>
      </c>
      <c r="I29" s="1540" t="n">
        <f aca="false">VLOOKUP($A29,Plant_Table,'Plant Operations'!$C$270)</f>
        <v>480</v>
      </c>
      <c r="J29" s="1575" t="n">
        <f aca="false">H29*I29/1000</f>
        <v>7873.64082222792</v>
      </c>
      <c r="K29" s="1565" t="n">
        <f aca="false">F29</f>
        <v>2.07948509390801</v>
      </c>
      <c r="L29" s="394" t="n">
        <f aca="false">J29/K29</f>
        <v>3786.34155411562</v>
      </c>
      <c r="M29" s="1579" t="str">
        <f aca="false">IF(MONTH($A29)=12,SUM(L18:L29)," ")</f>
        <v> </v>
      </c>
      <c r="O29" s="1597" t="n">
        <f aca="false">IF($A29&gt;Endyr,0,VLOOKUP($A29,Tariff_Table,Tariff!$H$33))</f>
        <v>6103.17</v>
      </c>
      <c r="P29" s="1565" t="n">
        <f aca="false">$AS29</f>
        <v>1.10562886637972</v>
      </c>
      <c r="Q29" s="1575" t="n">
        <f aca="false">O29*P29</f>
        <v>6747.84092842269</v>
      </c>
      <c r="R29" s="1565" t="n">
        <f aca="false">$F29</f>
        <v>2.07948509390801</v>
      </c>
      <c r="S29" s="427" t="n">
        <f aca="false">$G29</f>
        <v>1.065</v>
      </c>
      <c r="T29" s="1575" t="n">
        <f aca="false">Q29*R29/S29</f>
        <v>13175.6193678098</v>
      </c>
      <c r="U29" s="1540" t="n">
        <f aca="false">$I29</f>
        <v>480</v>
      </c>
      <c r="V29" s="1575" t="n">
        <f aca="false">T29*U29/1000</f>
        <v>6324.29729654868</v>
      </c>
      <c r="W29" s="1565" t="n">
        <f aca="false">R29</f>
        <v>2.07948509390801</v>
      </c>
      <c r="X29" s="394" t="n">
        <f aca="false">V29/W29</f>
        <v>3041.28041844403</v>
      </c>
      <c r="Y29" s="1579" t="str">
        <f aca="false">IF(MONTH($A29)=12,SUM(X18:X29)," ")</f>
        <v> </v>
      </c>
      <c r="AA29" s="1595" t="n">
        <f aca="false">IF($A29&gt;Endyr,0,VLOOKUP($A29,Tariff_Table,Tariff!$I$33))</f>
        <v>2.3</v>
      </c>
      <c r="AB29" s="1565" t="n">
        <f aca="false">$AS29</f>
        <v>1.10562886637972</v>
      </c>
      <c r="AC29" s="1596" t="n">
        <f aca="false">AA29*AB29</f>
        <v>2.54294639267335</v>
      </c>
      <c r="AD29" s="1565" t="n">
        <f aca="false">$F29</f>
        <v>2.07948509390801</v>
      </c>
      <c r="AE29" s="427" t="n">
        <f aca="false">$G29</f>
        <v>1.065</v>
      </c>
      <c r="AF29" s="1596" t="n">
        <f aca="false">AC29*AD29/AE29</f>
        <v>4.96527616729707</v>
      </c>
      <c r="AG29" s="397" t="n">
        <f aca="false">VLOOKUP($A29,Plant_Table,'Plant Operations'!$M$270)</f>
        <v>298980.864</v>
      </c>
      <c r="AH29" s="1575" t="n">
        <f aca="false">AF29*AG29/1000</f>
        <v>1484.52255849709</v>
      </c>
      <c r="AI29" s="1565" t="n">
        <f aca="false">AD29</f>
        <v>2.07948509390801</v>
      </c>
      <c r="AJ29" s="1566" t="n">
        <f aca="false">AH29/AI29</f>
        <v>713.889492570104</v>
      </c>
      <c r="AK29" s="1567" t="str">
        <f aca="false">IF(MONTH($A29)=12,SUM(AJ18:AJ29)," ")</f>
        <v> </v>
      </c>
      <c r="AM29" s="488" t="n">
        <f aca="false">IF($A29&gt;Endyr,0,VLOOKUP($A29,Tariff_Table,Tariff!$L$33))</f>
        <v>1.21</v>
      </c>
      <c r="AN29" s="1576" t="n">
        <f aca="false">VLOOKUP($A29,Curves_Table,Escalation!$Z$291)</f>
        <v>1.12745301232594</v>
      </c>
      <c r="AO29" s="1314" t="n">
        <f aca="false">AM29*AN29</f>
        <v>1.36421814491438</v>
      </c>
      <c r="AP29" s="1314" t="n">
        <f aca="false">IF($A29&gt;Endyr,0,VLOOKUP($A29,Tariff_Table,Tariff!$M$33))</f>
        <v>0.25</v>
      </c>
      <c r="AQ29" s="1314" t="n">
        <f aca="false">SUM(AO29,AP29)</f>
        <v>1.61421814491438</v>
      </c>
      <c r="AR29" s="1314" t="n">
        <f aca="false">SUM(AM29,AP29)</f>
        <v>1.46</v>
      </c>
      <c r="AS29" s="1598" t="n">
        <f aca="false">IF(AR29=0,0,AQ29/AR29)</f>
        <v>1.10562886637972</v>
      </c>
    </row>
    <row r="30" customFormat="false" ht="12.75" hidden="false" customHeight="false" outlineLevel="0" collapsed="false">
      <c r="A30" s="1538" t="n">
        <f aca="false">EDATE(A29,1)</f>
        <v>37500</v>
      </c>
      <c r="C30" s="1595" t="n">
        <f aca="false">IF($A30&gt;Endyr,0,VLOOKUP($A30,Tariff_Table,Tariff!$G$33))</f>
        <v>7420.08</v>
      </c>
      <c r="D30" s="1565" t="n">
        <f aca="false">VLOOKUP($A30,Curves_Table,Escalation!$V$291)</f>
        <v>1.13219066683837</v>
      </c>
      <c r="E30" s="1596" t="n">
        <f aca="false">C30*D30</f>
        <v>8400.94532319402</v>
      </c>
      <c r="F30" s="1565" t="n">
        <f aca="false">IF(Assm!$L$74=0,VLOOKUP($A30,Curves_Table,Escalation!$D$291),VLOOKUP($A30,Curves_Table,Escalation!$E$291))</f>
        <v>2.09072396575457</v>
      </c>
      <c r="G30" s="427" t="n">
        <f aca="false">IF($A30&lt;EE_Date,VLOOKUP($A30,Curves_Table,Escalation!$D$291),Exch)</f>
        <v>1.065</v>
      </c>
      <c r="H30" s="1596" t="n">
        <f aca="false">E30*F30/G30</f>
        <v>16492.0729785874</v>
      </c>
      <c r="I30" s="1540" t="n">
        <f aca="false">VLOOKUP($A30,Plant_Table,'Plant Operations'!$C$270)</f>
        <v>480</v>
      </c>
      <c r="J30" s="1575" t="n">
        <f aca="false">H30*I30/1000</f>
        <v>7916.19502972193</v>
      </c>
      <c r="K30" s="1565" t="n">
        <f aca="false">F30</f>
        <v>2.09072396575457</v>
      </c>
      <c r="L30" s="394" t="n">
        <f aca="false">J30/K30</f>
        <v>3786.34155411562</v>
      </c>
      <c r="M30" s="1579" t="str">
        <f aca="false">IF(MONTH($A30)=12,SUM(L19:L30)," ")</f>
        <v> </v>
      </c>
      <c r="O30" s="1597" t="n">
        <f aca="false">IF($A30&gt;Endyr,0,VLOOKUP($A30,Tariff_Table,Tariff!$H$33))</f>
        <v>6103.17</v>
      </c>
      <c r="P30" s="1565" t="n">
        <f aca="false">$AS30</f>
        <v>1.10562886637972</v>
      </c>
      <c r="Q30" s="1575" t="n">
        <f aca="false">O30*P30</f>
        <v>6747.84092842269</v>
      </c>
      <c r="R30" s="1565" t="n">
        <f aca="false">$F30</f>
        <v>2.09072396575457</v>
      </c>
      <c r="S30" s="427" t="n">
        <f aca="false">$G30</f>
        <v>1.065</v>
      </c>
      <c r="T30" s="1575" t="n">
        <f aca="false">Q30*R30/S30</f>
        <v>13246.8288696271</v>
      </c>
      <c r="U30" s="1540" t="n">
        <f aca="false">$I30</f>
        <v>480</v>
      </c>
      <c r="V30" s="1575" t="n">
        <f aca="false">T30*U30/1000</f>
        <v>6358.47785742102</v>
      </c>
      <c r="W30" s="1565" t="n">
        <f aca="false">R30</f>
        <v>2.09072396575457</v>
      </c>
      <c r="X30" s="394" t="n">
        <f aca="false">V30/W30</f>
        <v>3041.28041844403</v>
      </c>
      <c r="Y30" s="1579" t="str">
        <f aca="false">IF(MONTH($A30)=12,SUM(X19:X30)," ")</f>
        <v> </v>
      </c>
      <c r="AA30" s="1595" t="n">
        <f aca="false">IF($A30&gt;Endyr,0,VLOOKUP($A30,Tariff_Table,Tariff!$I$33))</f>
        <v>2.3</v>
      </c>
      <c r="AB30" s="1565" t="n">
        <f aca="false">$AS30</f>
        <v>1.10562886637972</v>
      </c>
      <c r="AC30" s="1596" t="n">
        <f aca="false">AA30*AB30</f>
        <v>2.54294639267335</v>
      </c>
      <c r="AD30" s="1565" t="n">
        <f aca="false">$F30</f>
        <v>2.09072396575457</v>
      </c>
      <c r="AE30" s="427" t="n">
        <f aca="false">$G30</f>
        <v>1.065</v>
      </c>
      <c r="AF30" s="1596" t="n">
        <f aca="false">AC30*AD30/AE30</f>
        <v>4.99211170590732</v>
      </c>
      <c r="AG30" s="397" t="n">
        <f aca="false">VLOOKUP($A30,Plant_Table,'Plant Operations'!$M$270)</f>
        <v>289336.32</v>
      </c>
      <c r="AH30" s="1575" t="n">
        <f aca="false">AF30*AG30/1000</f>
        <v>1444.39923001615</v>
      </c>
      <c r="AI30" s="1565" t="n">
        <f aca="false">AD30</f>
        <v>2.09072396575457</v>
      </c>
      <c r="AJ30" s="1566" t="n">
        <f aca="false">AH30/AI30</f>
        <v>690.86079926139</v>
      </c>
      <c r="AK30" s="1567" t="str">
        <f aca="false">IF(MONTH($A30)=12,SUM(AJ19:AJ30)," ")</f>
        <v> </v>
      </c>
      <c r="AM30" s="488" t="n">
        <f aca="false">IF($A30&gt;Endyr,0,VLOOKUP($A30,Tariff_Table,Tariff!$L$33))</f>
        <v>1.21</v>
      </c>
      <c r="AN30" s="1576" t="n">
        <f aca="false">VLOOKUP($A30,Curves_Table,Escalation!$Z$291)</f>
        <v>1.12745301232594</v>
      </c>
      <c r="AO30" s="1314" t="n">
        <f aca="false">AM30*AN30</f>
        <v>1.36421814491438</v>
      </c>
      <c r="AP30" s="1314" t="n">
        <f aca="false">IF($A30&gt;Endyr,0,VLOOKUP($A30,Tariff_Table,Tariff!$M$33))</f>
        <v>0.25</v>
      </c>
      <c r="AQ30" s="1314" t="n">
        <f aca="false">SUM(AO30,AP30)</f>
        <v>1.61421814491438</v>
      </c>
      <c r="AR30" s="1314" t="n">
        <f aca="false">SUM(AM30,AP30)</f>
        <v>1.46</v>
      </c>
      <c r="AS30" s="1598" t="n">
        <f aca="false">IF(AR30=0,0,AQ30/AR30)</f>
        <v>1.10562886637972</v>
      </c>
    </row>
    <row r="31" customFormat="false" ht="12.75" hidden="false" customHeight="false" outlineLevel="0" collapsed="false">
      <c r="A31" s="1538" t="n">
        <f aca="false">EDATE(A30,1)</f>
        <v>37530</v>
      </c>
      <c r="C31" s="1595" t="n">
        <f aca="false">IF($A31&gt;Endyr,0,VLOOKUP($A31,Tariff_Table,Tariff!$G$33))</f>
        <v>7420.08</v>
      </c>
      <c r="D31" s="1565" t="n">
        <f aca="false">VLOOKUP($A31,Curves_Table,Escalation!$V$291)</f>
        <v>1.13219066683837</v>
      </c>
      <c r="E31" s="1596" t="n">
        <f aca="false">C31*D31</f>
        <v>8400.94532319402</v>
      </c>
      <c r="F31" s="1565" t="n">
        <f aca="false">IF(Assm!$L$74=0,VLOOKUP($A31,Curves_Table,Escalation!$D$291),VLOOKUP($A31,Curves_Table,Escalation!$E$291))</f>
        <v>2.10202357967654</v>
      </c>
      <c r="G31" s="427" t="n">
        <f aca="false">IF($A31&lt;EE_Date,VLOOKUP($A31,Curves_Table,Escalation!$D$291),Exch)</f>
        <v>1.065</v>
      </c>
      <c r="H31" s="1596" t="n">
        <f aca="false">E31*F31/G31</f>
        <v>16581.2067238753</v>
      </c>
      <c r="I31" s="1540" t="n">
        <f aca="false">VLOOKUP($A31,Plant_Table,'Plant Operations'!$C$270)</f>
        <v>480</v>
      </c>
      <c r="J31" s="1575" t="n">
        <f aca="false">H31*I31/1000</f>
        <v>7958.97922746013</v>
      </c>
      <c r="K31" s="1565" t="n">
        <f aca="false">F31</f>
        <v>2.10202357967654</v>
      </c>
      <c r="L31" s="394" t="n">
        <f aca="false">J31/K31</f>
        <v>3786.34155411562</v>
      </c>
      <c r="M31" s="1579" t="str">
        <f aca="false">IF(MONTH($A31)=12,SUM(L20:L31)," ")</f>
        <v> </v>
      </c>
      <c r="O31" s="1597" t="n">
        <f aca="false">IF($A31&gt;Endyr,0,VLOOKUP($A31,Tariff_Table,Tariff!$H$33))</f>
        <v>6103.17</v>
      </c>
      <c r="P31" s="1565" t="n">
        <f aca="false">$AS31</f>
        <v>1.10562886637972</v>
      </c>
      <c r="Q31" s="1575" t="n">
        <f aca="false">O31*P31</f>
        <v>6747.84092842269</v>
      </c>
      <c r="R31" s="1565" t="n">
        <f aca="false">$F31</f>
        <v>2.10202357967654</v>
      </c>
      <c r="S31" s="427" t="n">
        <f aca="false">$G31</f>
        <v>1.065</v>
      </c>
      <c r="T31" s="1575" t="n">
        <f aca="false">Q31*R31/S31</f>
        <v>13318.4232332872</v>
      </c>
      <c r="U31" s="1540" t="n">
        <f aca="false">$I31</f>
        <v>480</v>
      </c>
      <c r="V31" s="1575" t="n">
        <f aca="false">T31*U31/1000</f>
        <v>6392.84315197788</v>
      </c>
      <c r="W31" s="1565" t="n">
        <f aca="false">R31</f>
        <v>2.10202357967654</v>
      </c>
      <c r="X31" s="394" t="n">
        <f aca="false">V31/W31</f>
        <v>3041.28041844403</v>
      </c>
      <c r="Y31" s="1579" t="str">
        <f aca="false">IF(MONTH($A31)=12,SUM(X20:X31)," ")</f>
        <v> </v>
      </c>
      <c r="AA31" s="1595" t="n">
        <f aca="false">IF($A31&gt;Endyr,0,VLOOKUP($A31,Tariff_Table,Tariff!$I$33))</f>
        <v>2.3</v>
      </c>
      <c r="AB31" s="1565" t="n">
        <f aca="false">$AS31</f>
        <v>1.10562886637972</v>
      </c>
      <c r="AC31" s="1596" t="n">
        <f aca="false">AA31*AB31</f>
        <v>2.54294639267335</v>
      </c>
      <c r="AD31" s="1565" t="n">
        <f aca="false">$F31</f>
        <v>2.10202357967654</v>
      </c>
      <c r="AE31" s="427" t="n">
        <f aca="false">$G31</f>
        <v>1.065</v>
      </c>
      <c r="AF31" s="1596" t="n">
        <f aca="false">AC31*AD31/AE31</f>
        <v>5.01909228098851</v>
      </c>
      <c r="AG31" s="397" t="n">
        <f aca="false">VLOOKUP($A31,Plant_Table,'Plant Operations'!$M$270)</f>
        <v>298980.864</v>
      </c>
      <c r="AH31" s="1575" t="n">
        <f aca="false">AF31*AG31/1000</f>
        <v>1500.61254666568</v>
      </c>
      <c r="AI31" s="1565" t="n">
        <f aca="false">AD31</f>
        <v>2.10202357967654</v>
      </c>
      <c r="AJ31" s="1566" t="n">
        <f aca="false">AH31/AI31</f>
        <v>713.889492570104</v>
      </c>
      <c r="AK31" s="1567" t="str">
        <f aca="false">IF(MONTH($A31)=12,SUM(AJ20:AJ31)," ")</f>
        <v> </v>
      </c>
      <c r="AM31" s="488" t="n">
        <f aca="false">IF($A31&gt;Endyr,0,VLOOKUP($A31,Tariff_Table,Tariff!$L$33))</f>
        <v>1.21</v>
      </c>
      <c r="AN31" s="1576" t="n">
        <f aca="false">VLOOKUP($A31,Curves_Table,Escalation!$Z$291)</f>
        <v>1.12745301232594</v>
      </c>
      <c r="AO31" s="1314" t="n">
        <f aca="false">AM31*AN31</f>
        <v>1.36421814491438</v>
      </c>
      <c r="AP31" s="1314" t="n">
        <f aca="false">IF($A31&gt;Endyr,0,VLOOKUP($A31,Tariff_Table,Tariff!$M$33))</f>
        <v>0.25</v>
      </c>
      <c r="AQ31" s="1314" t="n">
        <f aca="false">SUM(AO31,AP31)</f>
        <v>1.61421814491438</v>
      </c>
      <c r="AR31" s="1314" t="n">
        <f aca="false">SUM(AM31,AP31)</f>
        <v>1.46</v>
      </c>
      <c r="AS31" s="1598" t="n">
        <f aca="false">IF(AR31=0,0,AQ31/AR31)</f>
        <v>1.10562886637972</v>
      </c>
    </row>
    <row r="32" customFormat="false" ht="12.75" hidden="false" customHeight="false" outlineLevel="0" collapsed="false">
      <c r="A32" s="1538" t="n">
        <f aca="false">EDATE(A31,1)</f>
        <v>37561</v>
      </c>
      <c r="C32" s="1595" t="n">
        <f aca="false">IF($A32&gt;Endyr,0,VLOOKUP($A32,Tariff_Table,Tariff!$G$33))</f>
        <v>7420.08</v>
      </c>
      <c r="D32" s="1565" t="n">
        <f aca="false">VLOOKUP($A32,Curves_Table,Escalation!$V$291)</f>
        <v>1.13219066683837</v>
      </c>
      <c r="E32" s="1596" t="n">
        <f aca="false">C32*D32</f>
        <v>8400.94532319402</v>
      </c>
      <c r="F32" s="1565" t="n">
        <f aca="false">IF(Assm!$L$74=0,VLOOKUP($A32,Curves_Table,Escalation!$D$291),VLOOKUP($A32,Curves_Table,Escalation!$E$291))</f>
        <v>2.11338426396307</v>
      </c>
      <c r="G32" s="427" t="n">
        <f aca="false">IF($A32&lt;EE_Date,VLOOKUP($A32,Curves_Table,Escalation!$D$291),Exch)</f>
        <v>1.065</v>
      </c>
      <c r="H32" s="1596" t="n">
        <f aca="false">E32*F32/G32</f>
        <v>16670.8222051196</v>
      </c>
      <c r="I32" s="1540" t="n">
        <f aca="false">VLOOKUP($A32,Plant_Table,'Plant Operations'!$C$270)</f>
        <v>480</v>
      </c>
      <c r="J32" s="1575" t="n">
        <f aca="false">H32*I32/1000</f>
        <v>8001.9946584574</v>
      </c>
      <c r="K32" s="1565" t="n">
        <f aca="false">F32</f>
        <v>2.11338426396307</v>
      </c>
      <c r="L32" s="394" t="n">
        <f aca="false">J32/K32</f>
        <v>3786.34155411562</v>
      </c>
      <c r="M32" s="1579" t="str">
        <f aca="false">IF(MONTH($A32)=12,SUM(L21:L32)," ")</f>
        <v> </v>
      </c>
      <c r="O32" s="1597" t="n">
        <f aca="false">IF($A32&gt;Endyr,0,VLOOKUP($A32,Tariff_Table,Tariff!$H$33))</f>
        <v>6103.17</v>
      </c>
      <c r="P32" s="1565" t="n">
        <f aca="false">$AS32</f>
        <v>1.10562886637972</v>
      </c>
      <c r="Q32" s="1575" t="n">
        <f aca="false">O32*P32</f>
        <v>6747.84092842269</v>
      </c>
      <c r="R32" s="1565" t="n">
        <f aca="false">$F32</f>
        <v>2.11338426396307</v>
      </c>
      <c r="S32" s="427" t="n">
        <f aca="false">$G32</f>
        <v>1.065</v>
      </c>
      <c r="T32" s="1575" t="n">
        <f aca="false">Q32*R32/S32</f>
        <v>13390.4045388305</v>
      </c>
      <c r="U32" s="1540" t="n">
        <f aca="false">$I32</f>
        <v>480</v>
      </c>
      <c r="V32" s="1575" t="n">
        <f aca="false">T32*U32/1000</f>
        <v>6427.39417863862</v>
      </c>
      <c r="W32" s="1565" t="n">
        <f aca="false">R32</f>
        <v>2.11338426396307</v>
      </c>
      <c r="X32" s="394" t="n">
        <f aca="false">V32/W32</f>
        <v>3041.28041844403</v>
      </c>
      <c r="Y32" s="1579" t="str">
        <f aca="false">IF(MONTH($A32)=12,SUM(X21:X32)," ")</f>
        <v> </v>
      </c>
      <c r="AA32" s="1595" t="n">
        <f aca="false">IF($A32&gt;Endyr,0,VLOOKUP($A32,Tariff_Table,Tariff!$I$33))</f>
        <v>2.3</v>
      </c>
      <c r="AB32" s="1565" t="n">
        <f aca="false">$AS32</f>
        <v>1.10562886637972</v>
      </c>
      <c r="AC32" s="1596" t="n">
        <f aca="false">AA32*AB32</f>
        <v>2.54294639267335</v>
      </c>
      <c r="AD32" s="1565" t="n">
        <f aca="false">$F32</f>
        <v>2.11338426396307</v>
      </c>
      <c r="AE32" s="427" t="n">
        <f aca="false">$G32</f>
        <v>1.065</v>
      </c>
      <c r="AF32" s="1596" t="n">
        <f aca="false">AC32*AD32/AE32</f>
        <v>5.04621867641079</v>
      </c>
      <c r="AG32" s="397" t="n">
        <f aca="false">VLOOKUP($A32,Plant_Table,'Plant Operations'!$M$270)</f>
        <v>289336.32</v>
      </c>
      <c r="AH32" s="1575" t="n">
        <f aca="false">AF32*AG32/1000</f>
        <v>1460.05434174797</v>
      </c>
      <c r="AI32" s="1565" t="n">
        <f aca="false">AD32</f>
        <v>2.11338426396307</v>
      </c>
      <c r="AJ32" s="1566" t="n">
        <f aca="false">AH32/AI32</f>
        <v>690.860799261391</v>
      </c>
      <c r="AK32" s="1567" t="str">
        <f aca="false">IF(MONTH($A32)=12,SUM(AJ21:AJ32)," ")</f>
        <v> </v>
      </c>
      <c r="AM32" s="488" t="n">
        <f aca="false">IF($A32&gt;Endyr,0,VLOOKUP($A32,Tariff_Table,Tariff!$L$33))</f>
        <v>1.21</v>
      </c>
      <c r="AN32" s="1576" t="n">
        <f aca="false">VLOOKUP($A32,Curves_Table,Escalation!$Z$291)</f>
        <v>1.12745301232594</v>
      </c>
      <c r="AO32" s="1314" t="n">
        <f aca="false">AM32*AN32</f>
        <v>1.36421814491438</v>
      </c>
      <c r="AP32" s="1314" t="n">
        <f aca="false">IF($A32&gt;Endyr,0,VLOOKUP($A32,Tariff_Table,Tariff!$M$33))</f>
        <v>0.25</v>
      </c>
      <c r="AQ32" s="1314" t="n">
        <f aca="false">SUM(AO32,AP32)</f>
        <v>1.61421814491438</v>
      </c>
      <c r="AR32" s="1314" t="n">
        <f aca="false">SUM(AM32,AP32)</f>
        <v>1.46</v>
      </c>
      <c r="AS32" s="1598" t="n">
        <f aca="false">IF(AR32=0,0,AQ32/AR32)</f>
        <v>1.10562886637972</v>
      </c>
    </row>
    <row r="33" customFormat="false" ht="12.75" hidden="false" customHeight="false" outlineLevel="0" collapsed="false">
      <c r="A33" s="1538" t="n">
        <f aca="false">EDATE(A32,1)</f>
        <v>37591</v>
      </c>
      <c r="C33" s="1595" t="n">
        <f aca="false">IF($A33&gt;Endyr,0,VLOOKUP($A33,Tariff_Table,Tariff!$G$33))</f>
        <v>7420.08</v>
      </c>
      <c r="D33" s="1565" t="n">
        <f aca="false">VLOOKUP($A33,Curves_Table,Escalation!$V$291)</f>
        <v>1.13219066683837</v>
      </c>
      <c r="E33" s="1596" t="n">
        <f aca="false">C33*D33</f>
        <v>8400.94532319402</v>
      </c>
      <c r="F33" s="1565" t="n">
        <f aca="false">IF(Assm!$L$74=0,VLOOKUP($A33,Curves_Table,Escalation!$D$291),VLOOKUP($A33,Curves_Table,Escalation!$E$291))</f>
        <v>2.12480634867759</v>
      </c>
      <c r="G33" s="427" t="n">
        <f aca="false">IF($A33&lt;EE_Date,VLOOKUP($A33,Curves_Table,Escalation!$D$291),Exch)</f>
        <v>1.065</v>
      </c>
      <c r="H33" s="1596" t="n">
        <f aca="false">E33*F33/G33</f>
        <v>16760.9220259305</v>
      </c>
      <c r="I33" s="1540" t="n">
        <f aca="false">VLOOKUP($A33,Plant_Table,'Plant Operations'!$C$270)</f>
        <v>480</v>
      </c>
      <c r="J33" s="1575" t="n">
        <f aca="false">H33*I33/1000</f>
        <v>8045.24257244664</v>
      </c>
      <c r="K33" s="1565" t="n">
        <f aca="false">F33</f>
        <v>2.12480634867759</v>
      </c>
      <c r="L33" s="394" t="n">
        <f aca="false">J33/K33</f>
        <v>3786.34155411562</v>
      </c>
      <c r="M33" s="1586" t="n">
        <f aca="false">IF(MONTH($A33)=12,SUM(L22:L33)," ")</f>
        <v>44982.0291151075</v>
      </c>
      <c r="O33" s="1597" t="n">
        <f aca="false">IF($A33&gt;Endyr,0,VLOOKUP($A33,Tariff_Table,Tariff!$H$33))</f>
        <v>6103.17</v>
      </c>
      <c r="P33" s="1565" t="n">
        <f aca="false">$AS33</f>
        <v>1.10562886637972</v>
      </c>
      <c r="Q33" s="1575" t="n">
        <f aca="false">O33*P33</f>
        <v>6747.84092842269</v>
      </c>
      <c r="R33" s="1565" t="n">
        <f aca="false">$F33</f>
        <v>2.12480634867759</v>
      </c>
      <c r="S33" s="427" t="n">
        <f aca="false">$G33</f>
        <v>1.065</v>
      </c>
      <c r="T33" s="1575" t="n">
        <f aca="false">Q33*R33/S33</f>
        <v>13462.774877539</v>
      </c>
      <c r="U33" s="1540" t="n">
        <f aca="false">$I33</f>
        <v>480</v>
      </c>
      <c r="V33" s="1604" t="n">
        <f aca="false">T33*U33/1000</f>
        <v>6462.13194121872</v>
      </c>
      <c r="W33" s="1565" t="n">
        <f aca="false">R33</f>
        <v>2.12480634867759</v>
      </c>
      <c r="X33" s="394" t="n">
        <f aca="false">V33/W33</f>
        <v>3041.28041844403</v>
      </c>
      <c r="Y33" s="1586" t="n">
        <f aca="false">IF(MONTH($A33)=12,SUM(X22:X33)," ")</f>
        <v>36247.5121132632</v>
      </c>
      <c r="AA33" s="1595" t="n">
        <f aca="false">IF($A33&gt;Endyr,0,VLOOKUP($A33,Tariff_Table,Tariff!$I$33))</f>
        <v>2.3</v>
      </c>
      <c r="AB33" s="1565" t="n">
        <f aca="false">$AS33</f>
        <v>1.10562886637972</v>
      </c>
      <c r="AC33" s="1596" t="n">
        <f aca="false">AA33*AB33</f>
        <v>2.54294639267335</v>
      </c>
      <c r="AD33" s="1565" t="n">
        <f aca="false">$F33</f>
        <v>2.12480634867759</v>
      </c>
      <c r="AE33" s="427" t="n">
        <f aca="false">$G33</f>
        <v>1.065</v>
      </c>
      <c r="AF33" s="1596" t="n">
        <f aca="false">AC33*AD33/AE33</f>
        <v>5.07349168028085</v>
      </c>
      <c r="AG33" s="397" t="n">
        <f aca="false">VLOOKUP($A33,Plant_Table,'Plant Operations'!$M$270)</f>
        <v>298980.864</v>
      </c>
      <c r="AH33" s="1575" t="n">
        <f aca="false">AF33*AG33/1000</f>
        <v>1516.87692606718</v>
      </c>
      <c r="AI33" s="1565" t="n">
        <f aca="false">AD33</f>
        <v>2.12480634867759</v>
      </c>
      <c r="AJ33" s="1566" t="n">
        <f aca="false">AH33/AI33</f>
        <v>713.889492570104</v>
      </c>
      <c r="AK33" s="1567" t="n">
        <f aca="false">IF(MONTH($A33)=12,SUM(AJ22:AJ33)," ")</f>
        <v>8409.10080170165</v>
      </c>
      <c r="AM33" s="488" t="n">
        <f aca="false">IF($A33&gt;Endyr,0,VLOOKUP($A33,Tariff_Table,Tariff!$L$33))</f>
        <v>1.21</v>
      </c>
      <c r="AN33" s="1576" t="n">
        <f aca="false">VLOOKUP($A33,Curves_Table,Escalation!$Z$291)</f>
        <v>1.12745301232594</v>
      </c>
      <c r="AO33" s="1314" t="n">
        <f aca="false">AM33*AN33</f>
        <v>1.36421814491438</v>
      </c>
      <c r="AP33" s="1314" t="n">
        <f aca="false">IF($A33&gt;Endyr,0,VLOOKUP($A33,Tariff_Table,Tariff!$M$33))</f>
        <v>0.25</v>
      </c>
      <c r="AQ33" s="1314" t="n">
        <f aca="false">SUM(AO33,AP33)</f>
        <v>1.61421814491438</v>
      </c>
      <c r="AR33" s="1314" t="n">
        <f aca="false">SUM(AM33,AP33)</f>
        <v>1.46</v>
      </c>
      <c r="AS33" s="1598" t="n">
        <f aca="false">IF(AR33=0,0,AQ33/AR33)</f>
        <v>1.10562886637972</v>
      </c>
    </row>
    <row r="34" customFormat="false" ht="12.75" hidden="false" customHeight="false" outlineLevel="0" collapsed="false">
      <c r="A34" s="1538" t="n">
        <f aca="false">EDATE(A33,1)</f>
        <v>37622</v>
      </c>
      <c r="C34" s="1595" t="n">
        <f aca="false">IF($A34&gt;Endyr,0,VLOOKUP($A34,Tariff_Table,Tariff!$G$33))</f>
        <v>7420.08</v>
      </c>
      <c r="D34" s="1565" t="n">
        <f aca="false">VLOOKUP($A34,Curves_Table,Escalation!$V$291)</f>
        <v>1.13219066683837</v>
      </c>
      <c r="E34" s="1596" t="n">
        <f aca="false">C34*D34</f>
        <v>8400.94532319402</v>
      </c>
      <c r="F34" s="1565" t="n">
        <f aca="false">IF(Assm!$L$74=0,VLOOKUP($A34,Curves_Table,Escalation!$D$291),VLOOKUP($A34,Curves_Table,Escalation!$E$291))</f>
        <v>2.13087787834043</v>
      </c>
      <c r="G34" s="427" t="n">
        <f aca="false">IF($A34&lt;EE_Date,VLOOKUP($A34,Curves_Table,Escalation!$D$291),Exch)</f>
        <v>1.065</v>
      </c>
      <c r="H34" s="1596" t="n">
        <f aca="false">E34*F34/G34</f>
        <v>16808.815536471</v>
      </c>
      <c r="I34" s="1540" t="n">
        <f aca="false">VLOOKUP($A34,Plant_Table,'Plant Operations'!$C$270)</f>
        <v>480</v>
      </c>
      <c r="J34" s="1575" t="n">
        <f aca="false">H34*I34/1000</f>
        <v>8068.23145750607</v>
      </c>
      <c r="K34" s="1565" t="n">
        <f aca="false">F34</f>
        <v>2.13087787834043</v>
      </c>
      <c r="L34" s="394" t="n">
        <f aca="false">J34/K34</f>
        <v>3786.34155411562</v>
      </c>
      <c r="M34" s="1579" t="str">
        <f aca="false">IF(MONTH($A34)=12,SUM(L23:L34)," ")</f>
        <v> </v>
      </c>
      <c r="O34" s="1597" t="n">
        <f aca="false">IF($A34&gt;Endyr,0,VLOOKUP($A34,Tariff_Table,Tariff!$H$33))</f>
        <v>6103.17</v>
      </c>
      <c r="P34" s="1565" t="n">
        <f aca="false">$AS34</f>
        <v>1.10562886637972</v>
      </c>
      <c r="Q34" s="1575" t="n">
        <f aca="false">O34*P34</f>
        <v>6747.84092842269</v>
      </c>
      <c r="R34" s="1565" t="n">
        <f aca="false">$F34</f>
        <v>2.13087787834043</v>
      </c>
      <c r="S34" s="427" t="n">
        <f aca="false">$G34</f>
        <v>1.065</v>
      </c>
      <c r="T34" s="1575" t="n">
        <f aca="false">Q34*R34/S34</f>
        <v>13501.2440947756</v>
      </c>
      <c r="U34" s="1540" t="n">
        <f aca="false">$I34</f>
        <v>480</v>
      </c>
      <c r="V34" s="1575" t="n">
        <f aca="false">T34*U34/1000</f>
        <v>6480.59716549229</v>
      </c>
      <c r="W34" s="1565" t="n">
        <f aca="false">R34</f>
        <v>2.13087787834043</v>
      </c>
      <c r="X34" s="394" t="n">
        <f aca="false">V34/W34</f>
        <v>3041.28041844403</v>
      </c>
      <c r="Y34" s="1579" t="str">
        <f aca="false">IF(MONTH($A34)=12,SUM(X23:X34)," ")</f>
        <v> </v>
      </c>
      <c r="AA34" s="1595" t="n">
        <f aca="false">IF($A34&gt;Endyr,0,VLOOKUP($A34,Tariff_Table,Tariff!$I$33))</f>
        <v>2.3</v>
      </c>
      <c r="AB34" s="1565" t="n">
        <f aca="false">$AS34</f>
        <v>1.10562886637972</v>
      </c>
      <c r="AC34" s="1596" t="n">
        <f aca="false">AA34*AB34</f>
        <v>2.54294639267335</v>
      </c>
      <c r="AD34" s="1565" t="n">
        <f aca="false">$F34</f>
        <v>2.13087787834043</v>
      </c>
      <c r="AE34" s="427" t="n">
        <f aca="false">$G34</f>
        <v>1.065</v>
      </c>
      <c r="AF34" s="1596" t="n">
        <f aca="false">AC34*AD34/AE34</f>
        <v>5.08798893328941</v>
      </c>
      <c r="AG34" s="397" t="n">
        <f aca="false">VLOOKUP($A34,Plant_Table,'Plant Operations'!$M$270)</f>
        <v>298980.864</v>
      </c>
      <c r="AH34" s="1575" t="n">
        <f aca="false">AF34*AG34/1000</f>
        <v>1521.2113272973</v>
      </c>
      <c r="AI34" s="1565" t="n">
        <f aca="false">AD34</f>
        <v>2.13087787834043</v>
      </c>
      <c r="AJ34" s="1566" t="n">
        <f aca="false">AH34/AI34</f>
        <v>713.889492570104</v>
      </c>
      <c r="AK34" s="1567" t="str">
        <f aca="false">IF(MONTH($A34)=12,SUM(AJ23:AJ34)," ")</f>
        <v> </v>
      </c>
      <c r="AM34" s="488" t="n">
        <f aca="false">IF($A34&gt;Endyr,0,VLOOKUP($A34,Tariff_Table,Tariff!$L$33))</f>
        <v>1.21</v>
      </c>
      <c r="AN34" s="1576" t="n">
        <f aca="false">VLOOKUP($A34,Curves_Table,Escalation!$Z$291)</f>
        <v>1.12745301232594</v>
      </c>
      <c r="AO34" s="1314" t="n">
        <f aca="false">AM34*AN34</f>
        <v>1.36421814491438</v>
      </c>
      <c r="AP34" s="1314" t="n">
        <f aca="false">IF($A34&gt;Endyr,0,VLOOKUP($A34,Tariff_Table,Tariff!$M$33))</f>
        <v>0.25</v>
      </c>
      <c r="AQ34" s="1314" t="n">
        <f aca="false">SUM(AO34,AP34)</f>
        <v>1.61421814491438</v>
      </c>
      <c r="AR34" s="1314" t="n">
        <f aca="false">SUM(AM34,AP34)</f>
        <v>1.46</v>
      </c>
      <c r="AS34" s="1598" t="n">
        <f aca="false">IF(AR34=0,0,AQ34/AR34)</f>
        <v>1.10562886637972</v>
      </c>
    </row>
    <row r="35" customFormat="false" ht="12.75" hidden="false" customHeight="false" outlineLevel="0" collapsed="false">
      <c r="A35" s="1538" t="n">
        <f aca="false">EDATE(A34,1)</f>
        <v>37653</v>
      </c>
      <c r="C35" s="1595" t="n">
        <f aca="false">IF($A35&gt;Endyr,0,VLOOKUP($A35,Tariff_Table,Tariff!$G$33))</f>
        <v>7420.08</v>
      </c>
      <c r="D35" s="1565" t="n">
        <f aca="false">VLOOKUP($A35,Curves_Table,Escalation!$V$291)</f>
        <v>1.13219066683837</v>
      </c>
      <c r="E35" s="1596" t="n">
        <f aca="false">C35*D35</f>
        <v>8400.94532319402</v>
      </c>
      <c r="F35" s="1565" t="n">
        <f aca="false">IF(Assm!$L$74=0,VLOOKUP($A35,Curves_Table,Escalation!$D$291),VLOOKUP($A35,Curves_Table,Escalation!$E$291))</f>
        <v>2.13696675710073</v>
      </c>
      <c r="G35" s="427" t="n">
        <f aca="false">IF($A35&lt;EE_Date,VLOOKUP($A35,Curves_Table,Escalation!$D$291),Exch)</f>
        <v>1.065</v>
      </c>
      <c r="H35" s="1596" t="n">
        <f aca="false">E35*F35/G35</f>
        <v>16856.8459003629</v>
      </c>
      <c r="I35" s="1540" t="n">
        <f aca="false">VLOOKUP($A35,Plant_Table,'Plant Operations'!$C$270)</f>
        <v>480</v>
      </c>
      <c r="J35" s="1575" t="n">
        <f aca="false">H35*I35/1000</f>
        <v>8091.28603217418</v>
      </c>
      <c r="K35" s="1565" t="n">
        <f aca="false">F35</f>
        <v>2.13696675710073</v>
      </c>
      <c r="L35" s="394" t="n">
        <f aca="false">J35/K35</f>
        <v>3786.34155411562</v>
      </c>
      <c r="M35" s="1579" t="str">
        <f aca="false">IF(MONTH($A35)=12,SUM(L24:L35)," ")</f>
        <v> </v>
      </c>
      <c r="O35" s="1597" t="n">
        <f aca="false">IF($A35&gt;Endyr,0,VLOOKUP($A35,Tariff_Table,Tariff!$H$33))</f>
        <v>6103.17</v>
      </c>
      <c r="P35" s="1565" t="n">
        <f aca="false">$AS35</f>
        <v>1.10562886637972</v>
      </c>
      <c r="Q35" s="1575" t="n">
        <f aca="false">O35*P35</f>
        <v>6747.84092842269</v>
      </c>
      <c r="R35" s="1565" t="n">
        <f aca="false">$F35</f>
        <v>2.13696675710073</v>
      </c>
      <c r="S35" s="427" t="n">
        <f aca="false">$G35</f>
        <v>1.065</v>
      </c>
      <c r="T35" s="1575" t="n">
        <f aca="false">Q35*R35/S35</f>
        <v>13539.8232359089</v>
      </c>
      <c r="U35" s="1540" t="n">
        <f aca="false">$I35</f>
        <v>480</v>
      </c>
      <c r="V35" s="1575" t="n">
        <f aca="false">T35*U35/1000</f>
        <v>6499.11515323628</v>
      </c>
      <c r="W35" s="1565" t="n">
        <f aca="false">R35</f>
        <v>2.13696675710073</v>
      </c>
      <c r="X35" s="394" t="n">
        <f aca="false">V35/W35</f>
        <v>3041.28041844403</v>
      </c>
      <c r="Y35" s="1579" t="str">
        <f aca="false">IF(MONTH($A35)=12,SUM(X24:X35)," ")</f>
        <v> </v>
      </c>
      <c r="AA35" s="1595" t="n">
        <f aca="false">IF($A35&gt;Endyr,0,VLOOKUP($A35,Tariff_Table,Tariff!$I$33))</f>
        <v>2.3</v>
      </c>
      <c r="AB35" s="1565" t="n">
        <f aca="false">$AS35</f>
        <v>1.10562886637972</v>
      </c>
      <c r="AC35" s="1596" t="n">
        <f aca="false">AA35*AB35</f>
        <v>2.54294639267335</v>
      </c>
      <c r="AD35" s="1565" t="n">
        <f aca="false">$F35</f>
        <v>2.13696675710073</v>
      </c>
      <c r="AE35" s="427" t="n">
        <f aca="false">$G35</f>
        <v>1.065</v>
      </c>
      <c r="AF35" s="1596" t="n">
        <f aca="false">AC35*AD35/AE35</f>
        <v>5.10252761148559</v>
      </c>
      <c r="AG35" s="397" t="n">
        <f aca="false">VLOOKUP($A35,Plant_Table,'Plant Operations'!$M$270)</f>
        <v>270047.232</v>
      </c>
      <c r="AH35" s="1575" t="n">
        <f aca="false">AF35*AG35/1000</f>
        <v>1377.92345768525</v>
      </c>
      <c r="AI35" s="1565" t="n">
        <f aca="false">AD35</f>
        <v>2.13696675710073</v>
      </c>
      <c r="AJ35" s="1566" t="n">
        <f aca="false">AH35/AI35</f>
        <v>644.803412643965</v>
      </c>
      <c r="AK35" s="1567" t="str">
        <f aca="false">IF(MONTH($A35)=12,SUM(AJ24:AJ35)," ")</f>
        <v> </v>
      </c>
      <c r="AM35" s="488" t="n">
        <f aca="false">IF($A35&gt;Endyr,0,VLOOKUP($A35,Tariff_Table,Tariff!$L$33))</f>
        <v>1.21</v>
      </c>
      <c r="AN35" s="1576" t="n">
        <f aca="false">VLOOKUP($A35,Curves_Table,Escalation!$Z$291)</f>
        <v>1.12745301232594</v>
      </c>
      <c r="AO35" s="1314" t="n">
        <f aca="false">AM35*AN35</f>
        <v>1.36421814491438</v>
      </c>
      <c r="AP35" s="1314" t="n">
        <f aca="false">IF($A35&gt;Endyr,0,VLOOKUP($A35,Tariff_Table,Tariff!$M$33))</f>
        <v>0.25</v>
      </c>
      <c r="AQ35" s="1314" t="n">
        <f aca="false">SUM(AO35,AP35)</f>
        <v>1.61421814491438</v>
      </c>
      <c r="AR35" s="1314" t="n">
        <f aca="false">SUM(AM35,AP35)</f>
        <v>1.46</v>
      </c>
      <c r="AS35" s="1598" t="n">
        <f aca="false">IF(AR35=0,0,AQ35/AR35)</f>
        <v>1.10562886637972</v>
      </c>
    </row>
    <row r="36" customFormat="false" ht="12.75" hidden="false" customHeight="false" outlineLevel="0" collapsed="false">
      <c r="A36" s="1538" t="n">
        <f aca="false">EDATE(A35,1)</f>
        <v>37681</v>
      </c>
      <c r="C36" s="1595" t="n">
        <f aca="false">IF($A36&gt;Endyr,0,VLOOKUP($A36,Tariff_Table,Tariff!$G$33))</f>
        <v>7420.08</v>
      </c>
      <c r="D36" s="1565" t="n">
        <f aca="false">VLOOKUP($A36,Curves_Table,Escalation!$V$291)</f>
        <v>1.13219066683837</v>
      </c>
      <c r="E36" s="1596" t="n">
        <f aca="false">C36*D36</f>
        <v>8400.94532319402</v>
      </c>
      <c r="F36" s="1565" t="n">
        <f aca="false">IF(Assm!$L$74=0,VLOOKUP($A36,Curves_Table,Escalation!$D$291),VLOOKUP($A36,Curves_Table,Escalation!$E$291))</f>
        <v>2.14307303453269</v>
      </c>
      <c r="G36" s="427" t="n">
        <f aca="false">IF($A36&lt;EE_Date,VLOOKUP($A36,Curves_Table,Escalation!$D$291),Exch)</f>
        <v>1.065</v>
      </c>
      <c r="H36" s="1596" t="n">
        <f aca="false">E36*F36/G36</f>
        <v>16905.0135086579</v>
      </c>
      <c r="I36" s="1540" t="n">
        <f aca="false">VLOOKUP($A36,Plant_Table,'Plant Operations'!$C$270)</f>
        <v>480</v>
      </c>
      <c r="J36" s="1575" t="n">
        <f aca="false">H36*I36/1000</f>
        <v>8114.40648415578</v>
      </c>
      <c r="K36" s="1565" t="n">
        <f aca="false">F36</f>
        <v>2.14307303453269</v>
      </c>
      <c r="L36" s="394" t="n">
        <f aca="false">J36/K36</f>
        <v>3786.34155411562</v>
      </c>
      <c r="M36" s="1579" t="str">
        <f aca="false">IF(MONTH($A36)=12,SUM(L25:L36)," ")</f>
        <v> </v>
      </c>
      <c r="O36" s="1597" t="n">
        <f aca="false">IF($A36&gt;Endyr,0,VLOOKUP($A36,Tariff_Table,Tariff!$H$33))</f>
        <v>6103.17</v>
      </c>
      <c r="P36" s="1565" t="n">
        <f aca="false">$AS36</f>
        <v>1.10562886637972</v>
      </c>
      <c r="Q36" s="1575" t="n">
        <f aca="false">O36*P36</f>
        <v>6747.84092842269</v>
      </c>
      <c r="R36" s="1565" t="n">
        <f aca="false">$F36</f>
        <v>2.14307303453269</v>
      </c>
      <c r="S36" s="427" t="n">
        <f aca="false">$G36</f>
        <v>1.065</v>
      </c>
      <c r="T36" s="1575" t="n">
        <f aca="false">Q36*R36/S36</f>
        <v>13578.512615041</v>
      </c>
      <c r="U36" s="1540" t="n">
        <f aca="false">$I36</f>
        <v>480</v>
      </c>
      <c r="V36" s="1575" t="n">
        <f aca="false">T36*U36/1000</f>
        <v>6517.6860552197</v>
      </c>
      <c r="W36" s="1565" t="n">
        <f aca="false">R36</f>
        <v>2.14307303453269</v>
      </c>
      <c r="X36" s="394" t="n">
        <f aca="false">V36/W36</f>
        <v>3041.28041844403</v>
      </c>
      <c r="Y36" s="1579" t="str">
        <f aca="false">IF(MONTH($A36)=12,SUM(X25:X36)," ")</f>
        <v> </v>
      </c>
      <c r="AA36" s="1595" t="n">
        <f aca="false">IF($A36&gt;Endyr,0,VLOOKUP($A36,Tariff_Table,Tariff!$I$33))</f>
        <v>2.3</v>
      </c>
      <c r="AB36" s="1565" t="n">
        <f aca="false">$AS36</f>
        <v>1.10562886637972</v>
      </c>
      <c r="AC36" s="1596" t="n">
        <f aca="false">AA36*AB36</f>
        <v>2.54294639267335</v>
      </c>
      <c r="AD36" s="1565" t="n">
        <f aca="false">$F36</f>
        <v>2.14307303453269</v>
      </c>
      <c r="AE36" s="427" t="n">
        <f aca="false">$G36</f>
        <v>1.065</v>
      </c>
      <c r="AF36" s="1596" t="n">
        <f aca="false">AC36*AD36/AE36</f>
        <v>5.11710783323984</v>
      </c>
      <c r="AG36" s="397" t="n">
        <f aca="false">VLOOKUP($A36,Plant_Table,'Plant Operations'!$M$270)</f>
        <v>298980.864</v>
      </c>
      <c r="AH36" s="1575" t="n">
        <f aca="false">AF36*AG36/1000</f>
        <v>1529.91732116321</v>
      </c>
      <c r="AI36" s="1565" t="n">
        <f aca="false">AD36</f>
        <v>2.14307303453269</v>
      </c>
      <c r="AJ36" s="1566" t="n">
        <f aca="false">AH36/AI36</f>
        <v>713.889492570104</v>
      </c>
      <c r="AK36" s="1567" t="str">
        <f aca="false">IF(MONTH($A36)=12,SUM(AJ25:AJ36)," ")</f>
        <v> </v>
      </c>
      <c r="AM36" s="488" t="n">
        <f aca="false">IF($A36&gt;Endyr,0,VLOOKUP($A36,Tariff_Table,Tariff!$L$33))</f>
        <v>1.21</v>
      </c>
      <c r="AN36" s="1576" t="n">
        <f aca="false">VLOOKUP($A36,Curves_Table,Escalation!$Z$291)</f>
        <v>1.12745301232594</v>
      </c>
      <c r="AO36" s="1314" t="n">
        <f aca="false">AM36*AN36</f>
        <v>1.36421814491438</v>
      </c>
      <c r="AP36" s="1314" t="n">
        <f aca="false">IF($A36&gt;Endyr,0,VLOOKUP($A36,Tariff_Table,Tariff!$M$33))</f>
        <v>0.25</v>
      </c>
      <c r="AQ36" s="1314" t="n">
        <f aca="false">SUM(AO36,AP36)</f>
        <v>1.61421814491438</v>
      </c>
      <c r="AR36" s="1314" t="n">
        <f aca="false">SUM(AM36,AP36)</f>
        <v>1.46</v>
      </c>
      <c r="AS36" s="1598" t="n">
        <f aca="false">IF(AR36=0,0,AQ36/AR36)</f>
        <v>1.10562886637972</v>
      </c>
    </row>
    <row r="37" customFormat="false" ht="12.75" hidden="false" customHeight="false" outlineLevel="0" collapsed="false">
      <c r="A37" s="1538" t="n">
        <f aca="false">EDATE(A36,1)</f>
        <v>37712</v>
      </c>
      <c r="C37" s="1595" t="n">
        <f aca="false">IF($A37&gt;Endyr,0,VLOOKUP($A37,Tariff_Table,Tariff!$G$33))</f>
        <v>7420.08</v>
      </c>
      <c r="D37" s="1565" t="n">
        <f aca="false">VLOOKUP($A37,Curves_Table,Escalation!$V$291)</f>
        <v>1.13219066683837</v>
      </c>
      <c r="E37" s="1596" t="n">
        <f aca="false">C37*D37</f>
        <v>8400.94532319402</v>
      </c>
      <c r="F37" s="1565" t="n">
        <f aca="false">IF(Assm!$L$74=0,VLOOKUP($A37,Curves_Table,Escalation!$D$291),VLOOKUP($A37,Curves_Table,Escalation!$E$291))</f>
        <v>2.14919676035217</v>
      </c>
      <c r="G37" s="427" t="n">
        <f aca="false">IF($A37&lt;EE_Date,VLOOKUP($A37,Curves_Table,Escalation!$D$291),Exch)</f>
        <v>1.065</v>
      </c>
      <c r="H37" s="1596" t="n">
        <f aca="false">E37*F37/G37</f>
        <v>16953.3187535251</v>
      </c>
      <c r="I37" s="1540" t="n">
        <f aca="false">VLOOKUP($A37,Plant_Table,'Plant Operations'!$C$270)</f>
        <v>480</v>
      </c>
      <c r="J37" s="1575" t="n">
        <f aca="false">H37*I37/1000</f>
        <v>8137.59300169207</v>
      </c>
      <c r="K37" s="1565" t="n">
        <f aca="false">F37</f>
        <v>2.14919676035217</v>
      </c>
      <c r="L37" s="394" t="n">
        <f aca="false">J37/K37</f>
        <v>3786.34155411562</v>
      </c>
      <c r="M37" s="1579" t="str">
        <f aca="false">IF(MONTH($A37)=12,SUM(L26:L37)," ")</f>
        <v> </v>
      </c>
      <c r="O37" s="1597" t="n">
        <f aca="false">IF($A37&gt;Endyr,0,VLOOKUP($A37,Tariff_Table,Tariff!$H$33))</f>
        <v>6103.17</v>
      </c>
      <c r="P37" s="1565" t="n">
        <f aca="false">$AS37</f>
        <v>1.10562886637972</v>
      </c>
      <c r="Q37" s="1575" t="n">
        <f aca="false">O37*P37</f>
        <v>6747.84092842269</v>
      </c>
      <c r="R37" s="1565" t="n">
        <f aca="false">$F37</f>
        <v>2.14919676035217</v>
      </c>
      <c r="S37" s="427" t="n">
        <f aca="false">$G37</f>
        <v>1.065</v>
      </c>
      <c r="T37" s="1575" t="n">
        <f aca="false">Q37*R37/S37</f>
        <v>13617.3125471716</v>
      </c>
      <c r="U37" s="1540" t="n">
        <f aca="false">$I37</f>
        <v>480</v>
      </c>
      <c r="V37" s="1575" t="n">
        <f aca="false">T37*U37/1000</f>
        <v>6536.31002264239</v>
      </c>
      <c r="W37" s="1565" t="n">
        <f aca="false">R37</f>
        <v>2.14919676035217</v>
      </c>
      <c r="X37" s="394" t="n">
        <f aca="false">V37/W37</f>
        <v>3041.28041844403</v>
      </c>
      <c r="Y37" s="1579" t="str">
        <f aca="false">IF(MONTH($A37)=12,SUM(X26:X37)," ")</f>
        <v> </v>
      </c>
      <c r="AA37" s="1595" t="n">
        <f aca="false">IF($A37&gt;Endyr,0,VLOOKUP($A37,Tariff_Table,Tariff!$I$33))</f>
        <v>2.3</v>
      </c>
      <c r="AB37" s="1565" t="n">
        <f aca="false">$AS37</f>
        <v>1.10562886637972</v>
      </c>
      <c r="AC37" s="1596" t="n">
        <f aca="false">AA37*AB37</f>
        <v>2.54294639267335</v>
      </c>
      <c r="AD37" s="1565" t="n">
        <f aca="false">$F37</f>
        <v>2.14919676035217</v>
      </c>
      <c r="AE37" s="427" t="n">
        <f aca="false">$G37</f>
        <v>1.065</v>
      </c>
      <c r="AF37" s="1596" t="n">
        <f aca="false">AC37*AD37/AE37</f>
        <v>5.13172971726083</v>
      </c>
      <c r="AG37" s="397" t="n">
        <f aca="false">VLOOKUP($A37,Plant_Table,'Plant Operations'!$M$270)</f>
        <v>289336.32</v>
      </c>
      <c r="AH37" s="1575" t="n">
        <f aca="false">AF37*AG37/1000</f>
        <v>1484.79579162689</v>
      </c>
      <c r="AI37" s="1565" t="n">
        <f aca="false">AD37</f>
        <v>2.14919676035217</v>
      </c>
      <c r="AJ37" s="1566" t="n">
        <f aca="false">AH37/AI37</f>
        <v>690.86079926139</v>
      </c>
      <c r="AK37" s="1567" t="str">
        <f aca="false">IF(MONTH($A37)=12,SUM(AJ26:AJ37)," ")</f>
        <v> </v>
      </c>
      <c r="AM37" s="488" t="n">
        <f aca="false">IF($A37&gt;Endyr,0,VLOOKUP($A37,Tariff_Table,Tariff!$L$33))</f>
        <v>1.21</v>
      </c>
      <c r="AN37" s="1576" t="n">
        <f aca="false">VLOOKUP($A37,Curves_Table,Escalation!$Z$291)</f>
        <v>1.12745301232594</v>
      </c>
      <c r="AO37" s="1314" t="n">
        <f aca="false">AM37*AN37</f>
        <v>1.36421814491438</v>
      </c>
      <c r="AP37" s="1314" t="n">
        <f aca="false">IF($A37&gt;Endyr,0,VLOOKUP($A37,Tariff_Table,Tariff!$M$33))</f>
        <v>0.25</v>
      </c>
      <c r="AQ37" s="1314" t="n">
        <f aca="false">SUM(AO37,AP37)</f>
        <v>1.61421814491438</v>
      </c>
      <c r="AR37" s="1314" t="n">
        <f aca="false">SUM(AM37,AP37)</f>
        <v>1.46</v>
      </c>
      <c r="AS37" s="1598" t="n">
        <f aca="false">IF(AR37=0,0,AQ37/AR37)</f>
        <v>1.10562886637972</v>
      </c>
    </row>
    <row r="38" customFormat="false" ht="12.75" hidden="false" customHeight="false" outlineLevel="0" collapsed="false">
      <c r="A38" s="1538" t="n">
        <f aca="false">EDATE(A37,1)</f>
        <v>37742</v>
      </c>
      <c r="C38" s="1595" t="n">
        <f aca="false">IF($A38&gt;Endyr,0,VLOOKUP($A38,Tariff_Table,Tariff!$G$33))</f>
        <v>7428.1</v>
      </c>
      <c r="D38" s="1565" t="n">
        <f aca="false">VLOOKUP($A38,Curves_Table,Escalation!$V$291)</f>
        <v>1.16628704592773</v>
      </c>
      <c r="E38" s="1596" t="n">
        <f aca="false">C38*D38</f>
        <v>8663.29680585579</v>
      </c>
      <c r="F38" s="1565" t="n">
        <f aca="false">IF(Assm!$L$74=0,VLOOKUP($A38,Curves_Table,Escalation!$D$291),VLOOKUP($A38,Curves_Table,Escalation!$E$291))</f>
        <v>2.15533798441706</v>
      </c>
      <c r="G38" s="427" t="n">
        <f aca="false">IF($A38&lt;EE_Date,VLOOKUP($A38,Curves_Table,Escalation!$D$291),Exch)</f>
        <v>1.065</v>
      </c>
      <c r="H38" s="1596" t="n">
        <f aca="false">E38*F38/G38</f>
        <v>17532.7067379718</v>
      </c>
      <c r="I38" s="1540" t="n">
        <f aca="false">VLOOKUP($A38,Plant_Table,'Plant Operations'!$C$270)</f>
        <v>480</v>
      </c>
      <c r="J38" s="1575" t="n">
        <f aca="false">H38*I38/1000</f>
        <v>8415.69923422648</v>
      </c>
      <c r="K38" s="1565" t="n">
        <f aca="false">F38</f>
        <v>2.15533798441706</v>
      </c>
      <c r="L38" s="394" t="n">
        <f aca="false">J38/K38</f>
        <v>3904.58447587867</v>
      </c>
      <c r="M38" s="1579" t="str">
        <f aca="false">IF(MONTH($A38)=12,SUM(L27:L38)," ")</f>
        <v> </v>
      </c>
      <c r="O38" s="1597" t="n">
        <f aca="false">IF($A38&gt;Endyr,0,VLOOKUP($A38,Tariff_Table,Tariff!$H$33))</f>
        <v>6129.36</v>
      </c>
      <c r="P38" s="1565" t="n">
        <f aca="false">$AS38</f>
        <v>1.1314325889261</v>
      </c>
      <c r="Q38" s="1575" t="n">
        <f aca="false">O38*P38</f>
        <v>6934.95765326007</v>
      </c>
      <c r="R38" s="1565" t="n">
        <f aca="false">$F38</f>
        <v>2.15533798441706</v>
      </c>
      <c r="S38" s="427" t="n">
        <f aca="false">$G38</f>
        <v>1.065</v>
      </c>
      <c r="T38" s="1575" t="n">
        <f aca="false">Q38*R38/S38</f>
        <v>14034.9085919204</v>
      </c>
      <c r="U38" s="1540" t="n">
        <f aca="false">$I38</f>
        <v>480</v>
      </c>
      <c r="V38" s="1575" t="n">
        <f aca="false">T38*U38/1000</f>
        <v>6736.7561241218</v>
      </c>
      <c r="W38" s="1565" t="n">
        <f aca="false">R38</f>
        <v>2.15533798441706</v>
      </c>
      <c r="X38" s="394" t="n">
        <f aca="false">V38/W38</f>
        <v>3125.61471696229</v>
      </c>
      <c r="Y38" s="1579" t="str">
        <f aca="false">IF(MONTH($A38)=12,SUM(X27:X38)," ")</f>
        <v> </v>
      </c>
      <c r="AA38" s="1595" t="n">
        <f aca="false">IF($A38&gt;Endyr,0,VLOOKUP($A38,Tariff_Table,Tariff!$I$33))</f>
        <v>2.31</v>
      </c>
      <c r="AB38" s="1565" t="n">
        <f aca="false">$AS38</f>
        <v>1.1314325889261</v>
      </c>
      <c r="AC38" s="1596" t="n">
        <f aca="false">AA38*AB38</f>
        <v>2.61360928041929</v>
      </c>
      <c r="AD38" s="1565" t="n">
        <f aca="false">$F38</f>
        <v>2.15533798441706</v>
      </c>
      <c r="AE38" s="427" t="n">
        <f aca="false">$G38</f>
        <v>1.065</v>
      </c>
      <c r="AF38" s="1596" t="n">
        <f aca="false">AC38*AD38/AE38</f>
        <v>5.28940033663158</v>
      </c>
      <c r="AG38" s="397" t="n">
        <f aca="false">VLOOKUP($A38,Plant_Table,'Plant Operations'!$M$270)</f>
        <v>298980.864</v>
      </c>
      <c r="AH38" s="1575" t="n">
        <f aca="false">AF38*AG38/1000</f>
        <v>1581.429482688</v>
      </c>
      <c r="AI38" s="1565" t="n">
        <f aca="false">AD38</f>
        <v>2.15533798441706</v>
      </c>
      <c r="AJ38" s="1566" t="n">
        <f aca="false">AH38/AI38</f>
        <v>733.726911566364</v>
      </c>
      <c r="AK38" s="1567" t="str">
        <f aca="false">IF(MONTH($A38)=12,SUM(AJ27:AJ38)," ")</f>
        <v> </v>
      </c>
      <c r="AM38" s="488" t="n">
        <f aca="false">IF($A38&gt;Endyr,0,VLOOKUP($A38,Tariff_Table,Tariff!$L$33))</f>
        <v>1.21</v>
      </c>
      <c r="AN38" s="1576" t="n">
        <f aca="false">VLOOKUP($A38,Curves_Table,Escalation!$Z$291)</f>
        <v>1.15858808250587</v>
      </c>
      <c r="AO38" s="1314" t="n">
        <f aca="false">AM38*AN38</f>
        <v>1.4018915798321</v>
      </c>
      <c r="AP38" s="1314" t="n">
        <f aca="false">IF($A38&gt;Endyr,0,VLOOKUP($A38,Tariff_Table,Tariff!$M$33))</f>
        <v>0.25</v>
      </c>
      <c r="AQ38" s="1314" t="n">
        <f aca="false">SUM(AO38,AP38)</f>
        <v>1.6518915798321</v>
      </c>
      <c r="AR38" s="1314" t="n">
        <f aca="false">SUM(AM38,AP38)</f>
        <v>1.46</v>
      </c>
      <c r="AS38" s="1598" t="n">
        <f aca="false">IF(AR38=0,0,AQ38/AR38)</f>
        <v>1.1314325889261</v>
      </c>
    </row>
    <row r="39" customFormat="false" ht="12.75" hidden="false" customHeight="false" outlineLevel="0" collapsed="false">
      <c r="A39" s="1538" t="n">
        <f aca="false">EDATE(A38,1)</f>
        <v>37773</v>
      </c>
      <c r="C39" s="1595" t="n">
        <f aca="false">IF($A39&gt;Endyr,0,VLOOKUP($A39,Tariff_Table,Tariff!$G$33))</f>
        <v>7428.1</v>
      </c>
      <c r="D39" s="1565" t="n">
        <f aca="false">VLOOKUP($A39,Curves_Table,Escalation!$V$291)</f>
        <v>1.16628704592773</v>
      </c>
      <c r="E39" s="1596" t="n">
        <f aca="false">C39*D39</f>
        <v>8663.29680585579</v>
      </c>
      <c r="F39" s="1565" t="n">
        <f aca="false">IF(Assm!$L$74=0,VLOOKUP($A39,Curves_Table,Escalation!$D$291),VLOOKUP($A39,Curves_Table,Escalation!$E$291))</f>
        <v>2.16149675672775</v>
      </c>
      <c r="G39" s="427" t="n">
        <f aca="false">IF($A39&lt;EE_Date,VLOOKUP($A39,Curves_Table,Escalation!$D$291),Exch)</f>
        <v>1.065</v>
      </c>
      <c r="H39" s="1596" t="n">
        <f aca="false">E39*F39/G39</f>
        <v>17582.8055853777</v>
      </c>
      <c r="I39" s="1540" t="n">
        <f aca="false">VLOOKUP($A39,Plant_Table,'Plant Operations'!$C$270)</f>
        <v>480</v>
      </c>
      <c r="J39" s="1575" t="n">
        <f aca="false">H39*I39/1000</f>
        <v>8439.74668098128</v>
      </c>
      <c r="K39" s="1565" t="n">
        <f aca="false">F39</f>
        <v>2.16149675672775</v>
      </c>
      <c r="L39" s="394" t="n">
        <f aca="false">J39/K39</f>
        <v>3904.58447587867</v>
      </c>
      <c r="M39" s="1579" t="str">
        <f aca="false">IF(MONTH($A39)=12,SUM(L28:L39)," ")</f>
        <v> </v>
      </c>
      <c r="O39" s="1597" t="n">
        <f aca="false">IF($A39&gt;Endyr,0,VLOOKUP($A39,Tariff_Table,Tariff!$H$33))</f>
        <v>6129.36</v>
      </c>
      <c r="P39" s="1565" t="n">
        <f aca="false">$AS39</f>
        <v>1.1314325889261</v>
      </c>
      <c r="Q39" s="1575" t="n">
        <f aca="false">O39*P39</f>
        <v>6934.95765326007</v>
      </c>
      <c r="R39" s="1565" t="n">
        <f aca="false">$F39</f>
        <v>2.16149675672775</v>
      </c>
      <c r="S39" s="427" t="n">
        <f aca="false">$G39</f>
        <v>1.065</v>
      </c>
      <c r="T39" s="1575" t="n">
        <f aca="false">Q39*R39/S39</f>
        <v>14075.0126531136</v>
      </c>
      <c r="U39" s="1540" t="n">
        <f aca="false">$I39</f>
        <v>480</v>
      </c>
      <c r="V39" s="1575" t="n">
        <f aca="false">T39*U39/1000</f>
        <v>6756.00607349452</v>
      </c>
      <c r="W39" s="1565" t="n">
        <f aca="false">R39</f>
        <v>2.16149675672775</v>
      </c>
      <c r="X39" s="394" t="n">
        <f aca="false">V39/W39</f>
        <v>3125.61471696229</v>
      </c>
      <c r="Y39" s="1579" t="str">
        <f aca="false">IF(MONTH($A39)=12,SUM(X28:X39)," ")</f>
        <v> </v>
      </c>
      <c r="AA39" s="1595" t="n">
        <f aca="false">IF($A39&gt;Endyr,0,VLOOKUP($A39,Tariff_Table,Tariff!$I$33))</f>
        <v>2.31</v>
      </c>
      <c r="AB39" s="1565" t="n">
        <f aca="false">$AS39</f>
        <v>1.1314325889261</v>
      </c>
      <c r="AC39" s="1596" t="n">
        <f aca="false">AA39*AB39</f>
        <v>2.61360928041929</v>
      </c>
      <c r="AD39" s="1565" t="n">
        <f aca="false">$F39</f>
        <v>2.16149675672775</v>
      </c>
      <c r="AE39" s="427" t="n">
        <f aca="false">$G39</f>
        <v>1.065</v>
      </c>
      <c r="AF39" s="1596" t="n">
        <f aca="false">AC39*AD39/AE39</f>
        <v>5.30451453800925</v>
      </c>
      <c r="AG39" s="397" t="n">
        <f aca="false">VLOOKUP($A39,Plant_Table,'Plant Operations'!$M$270)</f>
        <v>289336.32</v>
      </c>
      <c r="AH39" s="1575" t="n">
        <f aca="false">AF39*AG39/1000</f>
        <v>1534.7887158141</v>
      </c>
      <c r="AI39" s="1565" t="n">
        <f aca="false">AD39</f>
        <v>2.16149675672775</v>
      </c>
      <c r="AJ39" s="1566" t="n">
        <f aca="false">AH39/AI39</f>
        <v>710.058301515836</v>
      </c>
      <c r="AK39" s="1567" t="str">
        <f aca="false">IF(MONTH($A39)=12,SUM(AJ28:AJ39)," ")</f>
        <v> </v>
      </c>
      <c r="AM39" s="488" t="n">
        <f aca="false">IF($A39&gt;Endyr,0,VLOOKUP($A39,Tariff_Table,Tariff!$L$33))</f>
        <v>1.21</v>
      </c>
      <c r="AN39" s="1576" t="n">
        <f aca="false">VLOOKUP($A39,Curves_Table,Escalation!$Z$291)</f>
        <v>1.15858808250587</v>
      </c>
      <c r="AO39" s="1314" t="n">
        <f aca="false">AM39*AN39</f>
        <v>1.4018915798321</v>
      </c>
      <c r="AP39" s="1314" t="n">
        <f aca="false">IF($A39&gt;Endyr,0,VLOOKUP($A39,Tariff_Table,Tariff!$M$33))</f>
        <v>0.25</v>
      </c>
      <c r="AQ39" s="1314" t="n">
        <f aca="false">SUM(AO39,AP39)</f>
        <v>1.6518915798321</v>
      </c>
      <c r="AR39" s="1314" t="n">
        <f aca="false">SUM(AM39,AP39)</f>
        <v>1.46</v>
      </c>
      <c r="AS39" s="1598" t="n">
        <f aca="false">IF(AR39=0,0,AQ39/AR39)</f>
        <v>1.1314325889261</v>
      </c>
    </row>
    <row r="40" customFormat="false" ht="12.75" hidden="false" customHeight="false" outlineLevel="0" collapsed="false">
      <c r="A40" s="1538" t="n">
        <f aca="false">EDATE(A39,1)</f>
        <v>37803</v>
      </c>
      <c r="C40" s="1595" t="n">
        <f aca="false">IF($A40&gt;Endyr,0,VLOOKUP($A40,Tariff_Table,Tariff!$G$33))</f>
        <v>7428.1</v>
      </c>
      <c r="D40" s="1565" t="n">
        <f aca="false">VLOOKUP($A40,Curves_Table,Escalation!$V$291)</f>
        <v>1.16628704592773</v>
      </c>
      <c r="E40" s="1596" t="n">
        <f aca="false">C40*D40</f>
        <v>8663.29680585579</v>
      </c>
      <c r="F40" s="1565" t="n">
        <f aca="false">IF(Assm!$L$74=0,VLOOKUP($A40,Curves_Table,Escalation!$D$291),VLOOKUP($A40,Curves_Table,Escalation!$E$291))</f>
        <v>2.16767312742749</v>
      </c>
      <c r="G40" s="427" t="n">
        <f aca="false">IF($A40&lt;EE_Date,VLOOKUP($A40,Curves_Table,Escalation!$D$291),Exch)</f>
        <v>1.065</v>
      </c>
      <c r="H40" s="1596" t="n">
        <f aca="false">E40*F40/G40</f>
        <v>17633.0475877766</v>
      </c>
      <c r="I40" s="1540" t="n">
        <f aca="false">VLOOKUP($A40,Plant_Table,'Plant Operations'!$C$270)</f>
        <v>480</v>
      </c>
      <c r="J40" s="1575" t="n">
        <f aca="false">H40*I40/1000</f>
        <v>8463.86284213274</v>
      </c>
      <c r="K40" s="1565" t="n">
        <f aca="false">F40</f>
        <v>2.16767312742749</v>
      </c>
      <c r="L40" s="394" t="n">
        <f aca="false">J40/K40</f>
        <v>3904.58447587867</v>
      </c>
      <c r="M40" s="1579" t="str">
        <f aca="false">IF(MONTH($A40)=12,SUM(L29:L40)," ")</f>
        <v> </v>
      </c>
      <c r="O40" s="1597" t="n">
        <f aca="false">IF($A40&gt;Endyr,0,VLOOKUP($A40,Tariff_Table,Tariff!$H$33))</f>
        <v>6129.36</v>
      </c>
      <c r="P40" s="1565" t="n">
        <f aca="false">$AS40</f>
        <v>1.1314325889261</v>
      </c>
      <c r="Q40" s="1575" t="n">
        <f aca="false">O40*P40</f>
        <v>6934.95765326007</v>
      </c>
      <c r="R40" s="1565" t="n">
        <f aca="false">$F40</f>
        <v>2.16767312742749</v>
      </c>
      <c r="S40" s="427" t="n">
        <f aca="false">$G40</f>
        <v>1.065</v>
      </c>
      <c r="T40" s="1575" t="n">
        <f aca="false">Q40*R40/S40</f>
        <v>14115.2313096897</v>
      </c>
      <c r="U40" s="1540" t="n">
        <f aca="false">$I40</f>
        <v>480</v>
      </c>
      <c r="V40" s="1575" t="n">
        <f aca="false">T40*U40/1000</f>
        <v>6775.31102865104</v>
      </c>
      <c r="W40" s="1565" t="n">
        <f aca="false">R40</f>
        <v>2.16767312742749</v>
      </c>
      <c r="X40" s="394" t="n">
        <f aca="false">V40/W40</f>
        <v>3125.61471696229</v>
      </c>
      <c r="Y40" s="1579" t="str">
        <f aca="false">IF(MONTH($A40)=12,SUM(X29:X40)," ")</f>
        <v> </v>
      </c>
      <c r="AA40" s="1595" t="n">
        <f aca="false">IF($A40&gt;Endyr,0,VLOOKUP($A40,Tariff_Table,Tariff!$I$33))</f>
        <v>2.31</v>
      </c>
      <c r="AB40" s="1565" t="n">
        <f aca="false">$AS40</f>
        <v>1.1314325889261</v>
      </c>
      <c r="AC40" s="1596" t="n">
        <f aca="false">AA40*AB40</f>
        <v>2.61360928041929</v>
      </c>
      <c r="AD40" s="1565" t="n">
        <f aca="false">$F40</f>
        <v>2.16767312742749</v>
      </c>
      <c r="AE40" s="427" t="n">
        <f aca="false">$G40</f>
        <v>1.065</v>
      </c>
      <c r="AF40" s="1596" t="n">
        <f aca="false">AC40*AD40/AE40</f>
        <v>5.31967192747417</v>
      </c>
      <c r="AG40" s="397" t="n">
        <f aca="false">VLOOKUP($A40,Plant_Table,'Plant Operations'!$M$270)</f>
        <v>298980.864</v>
      </c>
      <c r="AH40" s="1575" t="n">
        <f aca="false">AF40*AG40/1000</f>
        <v>1590.48010907277</v>
      </c>
      <c r="AI40" s="1565" t="n">
        <f aca="false">AD40</f>
        <v>2.16767312742749</v>
      </c>
      <c r="AJ40" s="1566" t="n">
        <f aca="false">AH40/AI40</f>
        <v>733.726911566364</v>
      </c>
      <c r="AK40" s="1567" t="str">
        <f aca="false">IF(MONTH($A40)=12,SUM(AJ29:AJ40)," ")</f>
        <v> </v>
      </c>
      <c r="AM40" s="488" t="n">
        <f aca="false">IF($A40&gt;Endyr,0,VLOOKUP($A40,Tariff_Table,Tariff!$L$33))</f>
        <v>1.21</v>
      </c>
      <c r="AN40" s="1576" t="n">
        <f aca="false">VLOOKUP($A40,Curves_Table,Escalation!$Z$291)</f>
        <v>1.15858808250587</v>
      </c>
      <c r="AO40" s="1314" t="n">
        <f aca="false">AM40*AN40</f>
        <v>1.4018915798321</v>
      </c>
      <c r="AP40" s="1314" t="n">
        <f aca="false">IF($A40&gt;Endyr,0,VLOOKUP($A40,Tariff_Table,Tariff!$M$33))</f>
        <v>0.25</v>
      </c>
      <c r="AQ40" s="1314" t="n">
        <f aca="false">SUM(AO40,AP40)</f>
        <v>1.6518915798321</v>
      </c>
      <c r="AR40" s="1314" t="n">
        <f aca="false">SUM(AM40,AP40)</f>
        <v>1.46</v>
      </c>
      <c r="AS40" s="1598" t="n">
        <f aca="false">IF(AR40=0,0,AQ40/AR40)</f>
        <v>1.1314325889261</v>
      </c>
    </row>
    <row r="41" customFormat="false" ht="12.75" hidden="false" customHeight="false" outlineLevel="0" collapsed="false">
      <c r="A41" s="1538" t="n">
        <f aca="false">EDATE(A40,1)</f>
        <v>37834</v>
      </c>
      <c r="C41" s="1595" t="n">
        <f aca="false">IF($A41&gt;Endyr,0,VLOOKUP($A41,Tariff_Table,Tariff!$G$33))</f>
        <v>7428.1</v>
      </c>
      <c r="D41" s="1565" t="n">
        <f aca="false">VLOOKUP($A41,Curves_Table,Escalation!$V$291)</f>
        <v>1.16628704592773</v>
      </c>
      <c r="E41" s="1596" t="n">
        <f aca="false">C41*D41</f>
        <v>8663.29680585579</v>
      </c>
      <c r="F41" s="1565" t="n">
        <f aca="false">IF(Assm!$L$74=0,VLOOKUP($A41,Curves_Table,Escalation!$D$291),VLOOKUP($A41,Curves_Table,Escalation!$E$291))</f>
        <v>2.17386714680281</v>
      </c>
      <c r="G41" s="427" t="n">
        <f aca="false">IF($A41&lt;EE_Date,VLOOKUP($A41,Curves_Table,Escalation!$D$291),Exch)</f>
        <v>1.065</v>
      </c>
      <c r="H41" s="1596" t="n">
        <f aca="false">E41*F41/G41</f>
        <v>17683.4331542269</v>
      </c>
      <c r="I41" s="1540" t="n">
        <f aca="false">VLOOKUP($A41,Plant_Table,'Plant Operations'!$C$270)</f>
        <v>480</v>
      </c>
      <c r="J41" s="1575" t="n">
        <f aca="false">H41*I41/1000</f>
        <v>8488.04791402889</v>
      </c>
      <c r="K41" s="1565" t="n">
        <f aca="false">F41</f>
        <v>2.17386714680281</v>
      </c>
      <c r="L41" s="394" t="n">
        <f aca="false">J41/K41</f>
        <v>3904.58447587867</v>
      </c>
      <c r="M41" s="1579" t="str">
        <f aca="false">IF(MONTH($A41)=12,SUM(L30:L41)," ")</f>
        <v> </v>
      </c>
      <c r="O41" s="1597" t="n">
        <f aca="false">IF($A41&gt;Endyr,0,VLOOKUP($A41,Tariff_Table,Tariff!$H$33))</f>
        <v>6129.36</v>
      </c>
      <c r="P41" s="1565" t="n">
        <f aca="false">$AS41</f>
        <v>1.1314325889261</v>
      </c>
      <c r="Q41" s="1575" t="n">
        <f aca="false">O41*P41</f>
        <v>6934.95765326007</v>
      </c>
      <c r="R41" s="1565" t="n">
        <f aca="false">$F41</f>
        <v>2.17386714680281</v>
      </c>
      <c r="S41" s="427" t="n">
        <f aca="false">$G41</f>
        <v>1.065</v>
      </c>
      <c r="T41" s="1575" t="n">
        <f aca="false">Q41*R41/S41</f>
        <v>14155.5648890993</v>
      </c>
      <c r="U41" s="1540" t="n">
        <f aca="false">$I41</f>
        <v>480</v>
      </c>
      <c r="V41" s="1575" t="n">
        <f aca="false">T41*U41/1000</f>
        <v>6794.67114676767</v>
      </c>
      <c r="W41" s="1565" t="n">
        <f aca="false">R41</f>
        <v>2.17386714680281</v>
      </c>
      <c r="X41" s="394" t="n">
        <f aca="false">V41/W41</f>
        <v>3125.61471696229</v>
      </c>
      <c r="Y41" s="1579" t="str">
        <f aca="false">IF(MONTH($A41)=12,SUM(X30:X41)," ")</f>
        <v> </v>
      </c>
      <c r="AA41" s="1595" t="n">
        <f aca="false">IF($A41&gt;Endyr,0,VLOOKUP($A41,Tariff_Table,Tariff!$I$33))</f>
        <v>2.31</v>
      </c>
      <c r="AB41" s="1565" t="n">
        <f aca="false">$AS41</f>
        <v>1.1314325889261</v>
      </c>
      <c r="AC41" s="1596" t="n">
        <f aca="false">AA41*AB41</f>
        <v>2.61360928041929</v>
      </c>
      <c r="AD41" s="1565" t="n">
        <f aca="false">$F41</f>
        <v>2.17386714680281</v>
      </c>
      <c r="AE41" s="427" t="n">
        <f aca="false">$G41</f>
        <v>1.065</v>
      </c>
      <c r="AF41" s="1596" t="n">
        <f aca="false">AC41*AD41/AE41</f>
        <v>5.33487262843419</v>
      </c>
      <c r="AG41" s="397" t="n">
        <f aca="false">VLOOKUP($A41,Plant_Table,'Plant Operations'!$M$270)</f>
        <v>298980.864</v>
      </c>
      <c r="AH41" s="1575" t="n">
        <f aca="false">AF41*AG41/1000</f>
        <v>1595.02482777921</v>
      </c>
      <c r="AI41" s="1565" t="n">
        <f aca="false">AD41</f>
        <v>2.17386714680281</v>
      </c>
      <c r="AJ41" s="1566" t="n">
        <f aca="false">AH41/AI41</f>
        <v>733.726911566364</v>
      </c>
      <c r="AK41" s="1567" t="str">
        <f aca="false">IF(MONTH($A41)=12,SUM(AJ30:AJ41)," ")</f>
        <v> </v>
      </c>
      <c r="AM41" s="488" t="n">
        <f aca="false">IF($A41&gt;Endyr,0,VLOOKUP($A41,Tariff_Table,Tariff!$L$33))</f>
        <v>1.21</v>
      </c>
      <c r="AN41" s="1576" t="n">
        <f aca="false">VLOOKUP($A41,Curves_Table,Escalation!$Z$291)</f>
        <v>1.15858808250587</v>
      </c>
      <c r="AO41" s="1314" t="n">
        <f aca="false">AM41*AN41</f>
        <v>1.4018915798321</v>
      </c>
      <c r="AP41" s="1314" t="n">
        <f aca="false">IF($A41&gt;Endyr,0,VLOOKUP($A41,Tariff_Table,Tariff!$M$33))</f>
        <v>0.25</v>
      </c>
      <c r="AQ41" s="1314" t="n">
        <f aca="false">SUM(AO41,AP41)</f>
        <v>1.6518915798321</v>
      </c>
      <c r="AR41" s="1314" t="n">
        <f aca="false">SUM(AM41,AP41)</f>
        <v>1.46</v>
      </c>
      <c r="AS41" s="1598" t="n">
        <f aca="false">IF(AR41=0,0,AQ41/AR41)</f>
        <v>1.1314325889261</v>
      </c>
    </row>
    <row r="42" customFormat="false" ht="12.75" hidden="false" customHeight="false" outlineLevel="0" collapsed="false">
      <c r="A42" s="1538" t="n">
        <f aca="false">EDATE(A41,1)</f>
        <v>37865</v>
      </c>
      <c r="C42" s="1595" t="n">
        <f aca="false">IF($A42&gt;Endyr,0,VLOOKUP($A42,Tariff_Table,Tariff!$G$33))</f>
        <v>7428.1</v>
      </c>
      <c r="D42" s="1565" t="n">
        <f aca="false">VLOOKUP($A42,Curves_Table,Escalation!$V$291)</f>
        <v>1.16628704592773</v>
      </c>
      <c r="E42" s="1596" t="n">
        <f aca="false">C42*D42</f>
        <v>8663.29680585579</v>
      </c>
      <c r="F42" s="1565" t="n">
        <f aca="false">IF(Assm!$L$74=0,VLOOKUP($A42,Curves_Table,Escalation!$D$291),VLOOKUP($A42,Curves_Table,Escalation!$E$291))</f>
        <v>2.18007886528392</v>
      </c>
      <c r="G42" s="427" t="n">
        <f aca="false">IF($A42&lt;EE_Date,VLOOKUP($A42,Curves_Table,Escalation!$D$291),Exch)</f>
        <v>1.065</v>
      </c>
      <c r="H42" s="1596" t="n">
        <f aca="false">E42*F42/G42</f>
        <v>17733.9626949558</v>
      </c>
      <c r="I42" s="1540" t="n">
        <f aca="false">VLOOKUP($A42,Plant_Table,'Plant Operations'!$C$270)</f>
        <v>480</v>
      </c>
      <c r="J42" s="1575" t="n">
        <f aca="false">H42*I42/1000</f>
        <v>8512.30209357878</v>
      </c>
      <c r="K42" s="1565" t="n">
        <f aca="false">F42</f>
        <v>2.18007886528392</v>
      </c>
      <c r="L42" s="394" t="n">
        <f aca="false">J42/K42</f>
        <v>3904.58447587867</v>
      </c>
      <c r="M42" s="1579" t="str">
        <f aca="false">IF(MONTH($A42)=12,SUM(L31:L42)," ")</f>
        <v> </v>
      </c>
      <c r="O42" s="1597" t="n">
        <f aca="false">IF($A42&gt;Endyr,0,VLOOKUP($A42,Tariff_Table,Tariff!$H$33))</f>
        <v>6129.36</v>
      </c>
      <c r="P42" s="1565" t="n">
        <f aca="false">$AS42</f>
        <v>1.1314325889261</v>
      </c>
      <c r="Q42" s="1575" t="n">
        <f aca="false">O42*P42</f>
        <v>6934.95765326007</v>
      </c>
      <c r="R42" s="1565" t="n">
        <f aca="false">$F42</f>
        <v>2.18007886528392</v>
      </c>
      <c r="S42" s="427" t="n">
        <f aca="false">$G42</f>
        <v>1.065</v>
      </c>
      <c r="T42" s="1575" t="n">
        <f aca="false">Q42*R42/S42</f>
        <v>14196.0137197289</v>
      </c>
      <c r="U42" s="1540" t="n">
        <f aca="false">$I42</f>
        <v>480</v>
      </c>
      <c r="V42" s="1575" t="n">
        <f aca="false">T42*U42/1000</f>
        <v>6814.08658546987</v>
      </c>
      <c r="W42" s="1565" t="n">
        <f aca="false">R42</f>
        <v>2.18007886528392</v>
      </c>
      <c r="X42" s="394" t="n">
        <f aca="false">V42/W42</f>
        <v>3125.61471696229</v>
      </c>
      <c r="Y42" s="1579" t="str">
        <f aca="false">IF(MONTH($A42)=12,SUM(X31:X42)," ")</f>
        <v> </v>
      </c>
      <c r="AA42" s="1595" t="n">
        <f aca="false">IF($A42&gt;Endyr,0,VLOOKUP($A42,Tariff_Table,Tariff!$I$33))</f>
        <v>2.31</v>
      </c>
      <c r="AB42" s="1565" t="n">
        <f aca="false">$AS42</f>
        <v>1.1314325889261</v>
      </c>
      <c r="AC42" s="1596" t="n">
        <f aca="false">AA42*AB42</f>
        <v>2.61360928041929</v>
      </c>
      <c r="AD42" s="1565" t="n">
        <f aca="false">$F42</f>
        <v>2.18007886528392</v>
      </c>
      <c r="AE42" s="427" t="n">
        <f aca="false">$G42</f>
        <v>1.065</v>
      </c>
      <c r="AF42" s="1596" t="n">
        <f aca="false">AC42*AD42/AE42</f>
        <v>5.35011676464977</v>
      </c>
      <c r="AG42" s="397" t="n">
        <f aca="false">VLOOKUP($A42,Plant_Table,'Plant Operations'!$M$270)</f>
        <v>289336.32</v>
      </c>
      <c r="AH42" s="1575" t="n">
        <f aca="false">AF42*AG42/1000</f>
        <v>1547.98309625407</v>
      </c>
      <c r="AI42" s="1565" t="n">
        <f aca="false">AD42</f>
        <v>2.18007886528392</v>
      </c>
      <c r="AJ42" s="1566" t="n">
        <f aca="false">AH42/AI42</f>
        <v>710.058301515836</v>
      </c>
      <c r="AK42" s="1567" t="str">
        <f aca="false">IF(MONTH($A42)=12,SUM(AJ31:AJ42)," ")</f>
        <v> </v>
      </c>
      <c r="AM42" s="488" t="n">
        <f aca="false">IF($A42&gt;Endyr,0,VLOOKUP($A42,Tariff_Table,Tariff!$L$33))</f>
        <v>1.21</v>
      </c>
      <c r="AN42" s="1576" t="n">
        <f aca="false">VLOOKUP($A42,Curves_Table,Escalation!$Z$291)</f>
        <v>1.15858808250587</v>
      </c>
      <c r="AO42" s="1314" t="n">
        <f aca="false">AM42*AN42</f>
        <v>1.4018915798321</v>
      </c>
      <c r="AP42" s="1314" t="n">
        <f aca="false">IF($A42&gt;Endyr,0,VLOOKUP($A42,Tariff_Table,Tariff!$M$33))</f>
        <v>0.25</v>
      </c>
      <c r="AQ42" s="1314" t="n">
        <f aca="false">SUM(AO42,AP42)</f>
        <v>1.6518915798321</v>
      </c>
      <c r="AR42" s="1314" t="n">
        <f aca="false">SUM(AM42,AP42)</f>
        <v>1.46</v>
      </c>
      <c r="AS42" s="1598" t="n">
        <f aca="false">IF(AR42=0,0,AQ42/AR42)</f>
        <v>1.1314325889261</v>
      </c>
    </row>
    <row r="43" customFormat="false" ht="12.75" hidden="false" customHeight="false" outlineLevel="0" collapsed="false">
      <c r="A43" s="1538" t="n">
        <f aca="false">EDATE(A42,1)</f>
        <v>37895</v>
      </c>
      <c r="C43" s="1595" t="n">
        <f aca="false">IF($A43&gt;Endyr,0,VLOOKUP($A43,Tariff_Table,Tariff!$G$33))</f>
        <v>7428.1</v>
      </c>
      <c r="D43" s="1565" t="n">
        <f aca="false">VLOOKUP($A43,Curves_Table,Escalation!$V$291)</f>
        <v>1.16628704592773</v>
      </c>
      <c r="E43" s="1596" t="n">
        <f aca="false">C43*D43</f>
        <v>8663.29680585579</v>
      </c>
      <c r="F43" s="1565" t="n">
        <f aca="false">IF(Assm!$L$74=0,VLOOKUP($A43,Curves_Table,Escalation!$D$291),VLOOKUP($A43,Curves_Table,Escalation!$E$291))</f>
        <v>2.18630833344516</v>
      </c>
      <c r="G43" s="427" t="n">
        <f aca="false">IF($A43&lt;EE_Date,VLOOKUP($A43,Curves_Table,Escalation!$D$291),Exch)</f>
        <v>1.065</v>
      </c>
      <c r="H43" s="1596" t="n">
        <f aca="false">E43*F43/G43</f>
        <v>17784.6366213628</v>
      </c>
      <c r="I43" s="1540" t="n">
        <f aca="false">VLOOKUP($A43,Plant_Table,'Plant Operations'!$C$270)</f>
        <v>480</v>
      </c>
      <c r="J43" s="1575" t="n">
        <f aca="false">H43*I43/1000</f>
        <v>8536.62557825413</v>
      </c>
      <c r="K43" s="1565" t="n">
        <f aca="false">F43</f>
        <v>2.18630833344516</v>
      </c>
      <c r="L43" s="394" t="n">
        <f aca="false">J43/K43</f>
        <v>3904.58447587867</v>
      </c>
      <c r="M43" s="1579" t="str">
        <f aca="false">IF(MONTH($A43)=12,SUM(L32:L43)," ")</f>
        <v> </v>
      </c>
      <c r="O43" s="1597" t="n">
        <f aca="false">IF($A43&gt;Endyr,0,VLOOKUP($A43,Tariff_Table,Tariff!$H$33))</f>
        <v>6129.36</v>
      </c>
      <c r="P43" s="1565" t="n">
        <f aca="false">$AS43</f>
        <v>1.1314325889261</v>
      </c>
      <c r="Q43" s="1575" t="n">
        <f aca="false">O43*P43</f>
        <v>6934.95765326007</v>
      </c>
      <c r="R43" s="1565" t="n">
        <f aca="false">$F43</f>
        <v>2.18630833344516</v>
      </c>
      <c r="S43" s="427" t="n">
        <f aca="false">$G43</f>
        <v>1.065</v>
      </c>
      <c r="T43" s="1575" t="n">
        <f aca="false">Q43*R43/S43</f>
        <v>14236.5781309031</v>
      </c>
      <c r="U43" s="1540" t="n">
        <f aca="false">$I43</f>
        <v>480</v>
      </c>
      <c r="V43" s="1575" t="n">
        <f aca="false">T43*U43/1000</f>
        <v>6833.55750283348</v>
      </c>
      <c r="W43" s="1565" t="n">
        <f aca="false">R43</f>
        <v>2.18630833344516</v>
      </c>
      <c r="X43" s="394" t="n">
        <f aca="false">V43/W43</f>
        <v>3125.61471696229</v>
      </c>
      <c r="Y43" s="1579" t="str">
        <f aca="false">IF(MONTH($A43)=12,SUM(X32:X43)," ")</f>
        <v> </v>
      </c>
      <c r="AA43" s="1595" t="n">
        <f aca="false">IF($A43&gt;Endyr,0,VLOOKUP($A43,Tariff_Table,Tariff!$I$33))</f>
        <v>2.31</v>
      </c>
      <c r="AB43" s="1565" t="n">
        <f aca="false">$AS43</f>
        <v>1.1314325889261</v>
      </c>
      <c r="AC43" s="1596" t="n">
        <f aca="false">AA43*AB43</f>
        <v>2.61360928041929</v>
      </c>
      <c r="AD43" s="1565" t="n">
        <f aca="false">$F43</f>
        <v>2.18630833344516</v>
      </c>
      <c r="AE43" s="427" t="n">
        <f aca="false">$G43</f>
        <v>1.065</v>
      </c>
      <c r="AF43" s="1596" t="n">
        <f aca="false">AC43*AD43/AE43</f>
        <v>5.36540446023502</v>
      </c>
      <c r="AG43" s="397" t="n">
        <f aca="false">VLOOKUP($A43,Plant_Table,'Plant Operations'!$M$270)</f>
        <v>298980.864</v>
      </c>
      <c r="AH43" s="1575" t="n">
        <f aca="false">AF43*AG43/1000</f>
        <v>1604.15326123052</v>
      </c>
      <c r="AI43" s="1565" t="n">
        <f aca="false">AD43</f>
        <v>2.18630833344516</v>
      </c>
      <c r="AJ43" s="1566" t="n">
        <f aca="false">AH43/AI43</f>
        <v>733.726911566364</v>
      </c>
      <c r="AK43" s="1567" t="str">
        <f aca="false">IF(MONTH($A43)=12,SUM(AJ32:AJ43)," ")</f>
        <v> </v>
      </c>
      <c r="AM43" s="488" t="n">
        <f aca="false">IF($A43&gt;Endyr,0,VLOOKUP($A43,Tariff_Table,Tariff!$L$33))</f>
        <v>1.21</v>
      </c>
      <c r="AN43" s="1576" t="n">
        <f aca="false">VLOOKUP($A43,Curves_Table,Escalation!$Z$291)</f>
        <v>1.15858808250587</v>
      </c>
      <c r="AO43" s="1314" t="n">
        <f aca="false">AM43*AN43</f>
        <v>1.4018915798321</v>
      </c>
      <c r="AP43" s="1314" t="n">
        <f aca="false">IF($A43&gt;Endyr,0,VLOOKUP($A43,Tariff_Table,Tariff!$M$33))</f>
        <v>0.25</v>
      </c>
      <c r="AQ43" s="1314" t="n">
        <f aca="false">SUM(AO43,AP43)</f>
        <v>1.6518915798321</v>
      </c>
      <c r="AR43" s="1314" t="n">
        <f aca="false">SUM(AM43,AP43)</f>
        <v>1.46</v>
      </c>
      <c r="AS43" s="1598" t="n">
        <f aca="false">IF(AR43=0,0,AQ43/AR43)</f>
        <v>1.1314325889261</v>
      </c>
    </row>
    <row r="44" customFormat="false" ht="12.75" hidden="false" customHeight="false" outlineLevel="0" collapsed="false">
      <c r="A44" s="1538" t="n">
        <f aca="false">EDATE(A43,1)</f>
        <v>37926</v>
      </c>
      <c r="C44" s="1595" t="n">
        <f aca="false">IF($A44&gt;Endyr,0,VLOOKUP($A44,Tariff_Table,Tariff!$G$33))</f>
        <v>7428.1</v>
      </c>
      <c r="D44" s="1565" t="n">
        <f aca="false">VLOOKUP($A44,Curves_Table,Escalation!$V$291)</f>
        <v>1.16628704592773</v>
      </c>
      <c r="E44" s="1596" t="n">
        <f aca="false">C44*D44</f>
        <v>8663.29680585579</v>
      </c>
      <c r="F44" s="1565" t="n">
        <f aca="false">IF(Assm!$L$74=0,VLOOKUP($A44,Curves_Table,Escalation!$D$291),VLOOKUP($A44,Curves_Table,Escalation!$E$291))</f>
        <v>2.19255560200536</v>
      </c>
      <c r="G44" s="427" t="n">
        <f aca="false">IF($A44&lt;EE_Date,VLOOKUP($A44,Curves_Table,Escalation!$D$291),Exch)</f>
        <v>1.065</v>
      </c>
      <c r="H44" s="1596" t="n">
        <f aca="false">E44*F44/G44</f>
        <v>17835.4553460228</v>
      </c>
      <c r="I44" s="1540" t="n">
        <f aca="false">VLOOKUP($A44,Plant_Table,'Plant Operations'!$C$270)</f>
        <v>480</v>
      </c>
      <c r="J44" s="1575" t="n">
        <f aca="false">H44*I44/1000</f>
        <v>8561.01856609094</v>
      </c>
      <c r="K44" s="1565" t="n">
        <f aca="false">F44</f>
        <v>2.19255560200536</v>
      </c>
      <c r="L44" s="394" t="n">
        <f aca="false">J44/K44</f>
        <v>3904.58447587867</v>
      </c>
      <c r="M44" s="1579" t="str">
        <f aca="false">IF(MONTH($A44)=12,SUM(L33:L44)," ")</f>
        <v> </v>
      </c>
      <c r="O44" s="1597" t="n">
        <f aca="false">IF($A44&gt;Endyr,0,VLOOKUP($A44,Tariff_Table,Tariff!$H$33))</f>
        <v>6129.36</v>
      </c>
      <c r="P44" s="1565" t="n">
        <f aca="false">$AS44</f>
        <v>1.1314325889261</v>
      </c>
      <c r="Q44" s="1575" t="n">
        <f aca="false">O44*P44</f>
        <v>6934.95765326007</v>
      </c>
      <c r="R44" s="1565" t="n">
        <f aca="false">$F44</f>
        <v>2.19255560200536</v>
      </c>
      <c r="S44" s="427" t="n">
        <f aca="false">$G44</f>
        <v>1.065</v>
      </c>
      <c r="T44" s="1575" t="n">
        <f aca="false">Q44*R44/S44</f>
        <v>14277.2584528876</v>
      </c>
      <c r="U44" s="1540" t="n">
        <f aca="false">$I44</f>
        <v>480</v>
      </c>
      <c r="V44" s="1575" t="n">
        <f aca="false">T44*U44/1000</f>
        <v>6853.08405738607</v>
      </c>
      <c r="W44" s="1565" t="n">
        <f aca="false">R44</f>
        <v>2.19255560200536</v>
      </c>
      <c r="X44" s="394" t="n">
        <f aca="false">V44/W44</f>
        <v>3125.61471696229</v>
      </c>
      <c r="Y44" s="1579" t="str">
        <f aca="false">IF(MONTH($A44)=12,SUM(X33:X44)," ")</f>
        <v> </v>
      </c>
      <c r="AA44" s="1595" t="n">
        <f aca="false">IF($A44&gt;Endyr,0,VLOOKUP($A44,Tariff_Table,Tariff!$I$33))</f>
        <v>2.31</v>
      </c>
      <c r="AB44" s="1565" t="n">
        <f aca="false">$AS44</f>
        <v>1.1314325889261</v>
      </c>
      <c r="AC44" s="1596" t="n">
        <f aca="false">AA44*AB44</f>
        <v>2.61360928041929</v>
      </c>
      <c r="AD44" s="1565" t="n">
        <f aca="false">$F44</f>
        <v>2.19255560200536</v>
      </c>
      <c r="AE44" s="427" t="n">
        <f aca="false">$G44</f>
        <v>1.065</v>
      </c>
      <c r="AF44" s="1596" t="n">
        <f aca="false">AC44*AD44/AE44</f>
        <v>5.3807358396587</v>
      </c>
      <c r="AG44" s="397" t="n">
        <f aca="false">VLOOKUP($A44,Plant_Table,'Plant Operations'!$M$270)</f>
        <v>289336.32</v>
      </c>
      <c r="AH44" s="1575" t="n">
        <f aca="false">AF44*AG44/1000</f>
        <v>1556.84230673896</v>
      </c>
      <c r="AI44" s="1565" t="n">
        <f aca="false">AD44</f>
        <v>2.19255560200536</v>
      </c>
      <c r="AJ44" s="1566" t="n">
        <f aca="false">AH44/AI44</f>
        <v>710.058301515836</v>
      </c>
      <c r="AK44" s="1567" t="str">
        <f aca="false">IF(MONTH($A44)=12,SUM(AJ33:AJ44)," ")</f>
        <v> </v>
      </c>
      <c r="AM44" s="488" t="n">
        <f aca="false">IF($A44&gt;Endyr,0,VLOOKUP($A44,Tariff_Table,Tariff!$L$33))</f>
        <v>1.21</v>
      </c>
      <c r="AN44" s="1576" t="n">
        <f aca="false">VLOOKUP($A44,Curves_Table,Escalation!$Z$291)</f>
        <v>1.15858808250587</v>
      </c>
      <c r="AO44" s="1314" t="n">
        <f aca="false">AM44*AN44</f>
        <v>1.4018915798321</v>
      </c>
      <c r="AP44" s="1314" t="n">
        <f aca="false">IF($A44&gt;Endyr,0,VLOOKUP($A44,Tariff_Table,Tariff!$M$33))</f>
        <v>0.25</v>
      </c>
      <c r="AQ44" s="1314" t="n">
        <f aca="false">SUM(AO44,AP44)</f>
        <v>1.6518915798321</v>
      </c>
      <c r="AR44" s="1314" t="n">
        <f aca="false">SUM(AM44,AP44)</f>
        <v>1.46</v>
      </c>
      <c r="AS44" s="1598" t="n">
        <f aca="false">IF(AR44=0,0,AQ44/AR44)</f>
        <v>1.1314325889261</v>
      </c>
    </row>
    <row r="45" customFormat="false" ht="12.75" hidden="false" customHeight="false" outlineLevel="0" collapsed="false">
      <c r="A45" s="1538" t="n">
        <f aca="false">EDATE(A44,1)</f>
        <v>37956</v>
      </c>
      <c r="C45" s="1595" t="n">
        <f aca="false">IF($A45&gt;Endyr,0,VLOOKUP($A45,Tariff_Table,Tariff!$G$33))</f>
        <v>7428.1</v>
      </c>
      <c r="D45" s="1565" t="n">
        <f aca="false">VLOOKUP($A45,Curves_Table,Escalation!$V$291)</f>
        <v>1.16628704592773</v>
      </c>
      <c r="E45" s="1596" t="n">
        <f aca="false">C45*D45</f>
        <v>8663.29680585579</v>
      </c>
      <c r="F45" s="1565" t="n">
        <f aca="false">IF(Assm!$L$74=0,VLOOKUP($A45,Curves_Table,Escalation!$D$291),VLOOKUP($A45,Curves_Table,Escalation!$E$291))</f>
        <v>2.19882072182829</v>
      </c>
      <c r="G45" s="427" t="n">
        <f aca="false">IF($A45&lt;EE_Date,VLOOKUP($A45,Curves_Table,Escalation!$D$291),Exch)</f>
        <v>1.065</v>
      </c>
      <c r="H45" s="1596" t="n">
        <f aca="false">E45*F45/G45</f>
        <v>17886.4192826897</v>
      </c>
      <c r="I45" s="1540" t="n">
        <f aca="false">VLOOKUP($A45,Plant_Table,'Plant Operations'!$C$270)</f>
        <v>480</v>
      </c>
      <c r="J45" s="1575" t="n">
        <f aca="false">H45*I45/1000</f>
        <v>8585.48125569107</v>
      </c>
      <c r="K45" s="1565" t="n">
        <f aca="false">F45</f>
        <v>2.19882072182829</v>
      </c>
      <c r="L45" s="394" t="n">
        <f aca="false">J45/K45</f>
        <v>3904.58447587867</v>
      </c>
      <c r="M45" s="1579" t="n">
        <f aca="false">IF(MONTH($A45)=12,SUM(L34:L45)," ")</f>
        <v>46382.0420234918</v>
      </c>
      <c r="O45" s="1597" t="n">
        <f aca="false">IF($A45&gt;Endyr,0,VLOOKUP($A45,Tariff_Table,Tariff!$H$33))</f>
        <v>6129.36</v>
      </c>
      <c r="P45" s="1565" t="n">
        <f aca="false">$AS45</f>
        <v>1.1314325889261</v>
      </c>
      <c r="Q45" s="1575" t="n">
        <f aca="false">O45*P45</f>
        <v>6934.95765326007</v>
      </c>
      <c r="R45" s="1565" t="n">
        <f aca="false">$F45</f>
        <v>2.19882072182829</v>
      </c>
      <c r="S45" s="427" t="n">
        <f aca="false">$G45</f>
        <v>1.065</v>
      </c>
      <c r="T45" s="1575" t="n">
        <f aca="false">Q45*R45/S45</f>
        <v>14318.055016892</v>
      </c>
      <c r="U45" s="1540" t="n">
        <f aca="false">$I45</f>
        <v>480</v>
      </c>
      <c r="V45" s="1575" t="n">
        <f aca="false">T45*U45/1000</f>
        <v>6872.66640810815</v>
      </c>
      <c r="W45" s="1565" t="n">
        <f aca="false">R45</f>
        <v>2.19882072182829</v>
      </c>
      <c r="X45" s="394" t="n">
        <f aca="false">V45/W45</f>
        <v>3125.61471696229</v>
      </c>
      <c r="Y45" s="1579" t="n">
        <f aca="false">IF(MONTH($A45)=12,SUM(X34:X45)," ")</f>
        <v>37170.0394094744</v>
      </c>
      <c r="AA45" s="1595" t="n">
        <f aca="false">IF($A45&gt;Endyr,0,VLOOKUP($A45,Tariff_Table,Tariff!$I$33))</f>
        <v>2.31</v>
      </c>
      <c r="AB45" s="1565" t="n">
        <f aca="false">$AS45</f>
        <v>1.1314325889261</v>
      </c>
      <c r="AC45" s="1596" t="n">
        <f aca="false">AA45*AB45</f>
        <v>2.61360928041929</v>
      </c>
      <c r="AD45" s="1565" t="n">
        <f aca="false">$F45</f>
        <v>2.19882072182829</v>
      </c>
      <c r="AE45" s="427" t="n">
        <f aca="false">$G45</f>
        <v>1.065</v>
      </c>
      <c r="AF45" s="1596" t="n">
        <f aca="false">AC45*AD45/AE45</f>
        <v>5.39611102774522</v>
      </c>
      <c r="AG45" s="397" t="n">
        <f aca="false">VLOOKUP($A45,Plant_Table,'Plant Operations'!$M$270)</f>
        <v>298980.864</v>
      </c>
      <c r="AH45" s="1575" t="n">
        <f aca="false">AF45*AG45/1000</f>
        <v>1613.33393731519</v>
      </c>
      <c r="AI45" s="1565" t="n">
        <f aca="false">AD45</f>
        <v>2.19882072182829</v>
      </c>
      <c r="AJ45" s="1566" t="n">
        <f aca="false">AH45/AI45</f>
        <v>733.726911566364</v>
      </c>
      <c r="AK45" s="1567" t="n">
        <f aca="false">IF(MONTH($A45)=12,SUM(AJ34:AJ45)," ")</f>
        <v>8562.25265942489</v>
      </c>
      <c r="AM45" s="488" t="n">
        <f aca="false">IF($A45&gt;Endyr,0,VLOOKUP($A45,Tariff_Table,Tariff!$L$33))</f>
        <v>1.21</v>
      </c>
      <c r="AN45" s="1576" t="n">
        <f aca="false">VLOOKUP($A45,Curves_Table,Escalation!$Z$291)</f>
        <v>1.15858808250587</v>
      </c>
      <c r="AO45" s="1314" t="n">
        <f aca="false">AM45*AN45</f>
        <v>1.4018915798321</v>
      </c>
      <c r="AP45" s="1314" t="n">
        <f aca="false">IF($A45&gt;Endyr,0,VLOOKUP($A45,Tariff_Table,Tariff!$M$33))</f>
        <v>0.25</v>
      </c>
      <c r="AQ45" s="1314" t="n">
        <f aca="false">SUM(AO45,AP45)</f>
        <v>1.6518915798321</v>
      </c>
      <c r="AR45" s="1314" t="n">
        <f aca="false">SUM(AM45,AP45)</f>
        <v>1.46</v>
      </c>
      <c r="AS45" s="1598" t="n">
        <f aca="false">IF(AR45=0,0,AQ45/AR45)</f>
        <v>1.1314325889261</v>
      </c>
    </row>
    <row r="46" customFormat="false" ht="12.75" hidden="false" customHeight="false" outlineLevel="0" collapsed="false">
      <c r="A46" s="1538" t="n">
        <f aca="false">EDATE(A45,1)</f>
        <v>37987</v>
      </c>
      <c r="C46" s="1595" t="n">
        <f aca="false">IF($A46&gt;Endyr,0,VLOOKUP($A46,Tariff_Table,Tariff!$G$33))</f>
        <v>7428.1</v>
      </c>
      <c r="D46" s="1565" t="n">
        <f aca="false">VLOOKUP($A46,Curves_Table,Escalation!$V$291)</f>
        <v>1.16628704592773</v>
      </c>
      <c r="E46" s="1596" t="n">
        <f aca="false">C46*D46</f>
        <v>8663.29680585579</v>
      </c>
      <c r="F46" s="1565" t="n">
        <f aca="false">IF(Assm!$L$74=0,VLOOKUP($A46,Curves_Table,Escalation!$D$291),VLOOKUP($A46,Curves_Table,Escalation!$E$291))</f>
        <v>2.20450306493358</v>
      </c>
      <c r="G46" s="427" t="n">
        <f aca="false">IF($A46&lt;EE_Date,VLOOKUP($A46,Curves_Table,Escalation!$D$291),Exch)</f>
        <v>1.065</v>
      </c>
      <c r="H46" s="1596" t="n">
        <f aca="false">E46*F46/G46</f>
        <v>17932.6425924305</v>
      </c>
      <c r="I46" s="1540" t="n">
        <f aca="false">VLOOKUP($A46,Plant_Table,'Plant Operations'!$C$270)</f>
        <v>480</v>
      </c>
      <c r="J46" s="1575" t="n">
        <f aca="false">H46*I46/1000</f>
        <v>8607.66844436661</v>
      </c>
      <c r="K46" s="1565" t="n">
        <f aca="false">F46</f>
        <v>2.20450306493358</v>
      </c>
      <c r="L46" s="394" t="n">
        <f aca="false">J46/K46</f>
        <v>3904.58447587867</v>
      </c>
      <c r="M46" s="1579" t="str">
        <f aca="false">IF(MONTH($A46)=12,SUM(L35:L46)," ")</f>
        <v> </v>
      </c>
      <c r="O46" s="1597" t="n">
        <f aca="false">IF($A46&gt;Endyr,0,VLOOKUP($A46,Tariff_Table,Tariff!$H$33))</f>
        <v>6129.36</v>
      </c>
      <c r="P46" s="1565" t="n">
        <f aca="false">$AS46</f>
        <v>1.1314325889261</v>
      </c>
      <c r="Q46" s="1575" t="n">
        <f aca="false">O46*P46</f>
        <v>6934.95765326007</v>
      </c>
      <c r="R46" s="1565" t="n">
        <f aca="false">$F46</f>
        <v>2.20450306493358</v>
      </c>
      <c r="S46" s="427" t="n">
        <f aca="false">$G46</f>
        <v>1.065</v>
      </c>
      <c r="T46" s="1575" t="n">
        <f aca="false">Q46*R46/S46</f>
        <v>14355.0567153018</v>
      </c>
      <c r="U46" s="1540" t="n">
        <f aca="false">$I46</f>
        <v>480</v>
      </c>
      <c r="V46" s="1575" t="n">
        <f aca="false">T46*U46/1000</f>
        <v>6890.42722334488</v>
      </c>
      <c r="W46" s="1565" t="n">
        <f aca="false">R46</f>
        <v>2.20450306493358</v>
      </c>
      <c r="X46" s="394" t="n">
        <f aca="false">V46/W46</f>
        <v>3125.61471696229</v>
      </c>
      <c r="Y46" s="1579" t="str">
        <f aca="false">IF(MONTH($A46)=12,SUM(X35:X46)," ")</f>
        <v> </v>
      </c>
      <c r="AA46" s="1595" t="n">
        <f aca="false">IF($A46&gt;Endyr,0,VLOOKUP($A46,Tariff_Table,Tariff!$I$33))</f>
        <v>2.31</v>
      </c>
      <c r="AB46" s="1565" t="n">
        <f aca="false">$AS46</f>
        <v>1.1314325889261</v>
      </c>
      <c r="AC46" s="1596" t="n">
        <f aca="false">AA46*AB46</f>
        <v>2.61360928041929</v>
      </c>
      <c r="AD46" s="1565" t="n">
        <f aca="false">$F46</f>
        <v>2.20450306493358</v>
      </c>
      <c r="AE46" s="427" t="n">
        <f aca="false">$G46</f>
        <v>1.065</v>
      </c>
      <c r="AF46" s="1596" t="n">
        <f aca="false">AC46*AD46/AE46</f>
        <v>5.41005602743961</v>
      </c>
      <c r="AG46" s="397" t="n">
        <f aca="false">VLOOKUP($A46,Plant_Table,'Plant Operations'!$M$270)</f>
        <v>298980.864</v>
      </c>
      <c r="AH46" s="1575" t="n">
        <f aca="false">AF46*AG46/1000</f>
        <v>1617.5032253723</v>
      </c>
      <c r="AI46" s="1565" t="n">
        <f aca="false">AD46</f>
        <v>2.20450306493358</v>
      </c>
      <c r="AJ46" s="1566" t="n">
        <f aca="false">AH46/AI46</f>
        <v>733.726911566364</v>
      </c>
      <c r="AK46" s="1567" t="str">
        <f aca="false">IF(MONTH($A46)=12,SUM(AJ35:AJ46)," ")</f>
        <v> </v>
      </c>
      <c r="AM46" s="488" t="n">
        <f aca="false">IF($A46&gt;Endyr,0,VLOOKUP($A46,Tariff_Table,Tariff!$L$33))</f>
        <v>1.21</v>
      </c>
      <c r="AN46" s="1576" t="n">
        <f aca="false">VLOOKUP($A46,Curves_Table,Escalation!$Z$291)</f>
        <v>1.15858808250587</v>
      </c>
      <c r="AO46" s="1314" t="n">
        <f aca="false">AM46*AN46</f>
        <v>1.4018915798321</v>
      </c>
      <c r="AP46" s="1314" t="n">
        <f aca="false">IF($A46&gt;Endyr,0,VLOOKUP($A46,Tariff_Table,Tariff!$M$33))</f>
        <v>0.25</v>
      </c>
      <c r="AQ46" s="1314" t="n">
        <f aca="false">SUM(AO46,AP46)</f>
        <v>1.6518915798321</v>
      </c>
      <c r="AR46" s="1314" t="n">
        <f aca="false">SUM(AM46,AP46)</f>
        <v>1.46</v>
      </c>
      <c r="AS46" s="1598" t="n">
        <f aca="false">IF(AR46=0,0,AQ46/AR46)</f>
        <v>1.1314325889261</v>
      </c>
    </row>
    <row r="47" customFormat="false" ht="12.75" hidden="false" customHeight="false" outlineLevel="0" collapsed="false">
      <c r="A47" s="1538" t="n">
        <f aca="false">EDATE(A46,1)</f>
        <v>38018</v>
      </c>
      <c r="C47" s="1595" t="n">
        <f aca="false">IF($A47&gt;Endyr,0,VLOOKUP($A47,Tariff_Table,Tariff!$G$33))</f>
        <v>7428.1</v>
      </c>
      <c r="D47" s="1565" t="n">
        <f aca="false">VLOOKUP($A47,Curves_Table,Escalation!$V$291)</f>
        <v>1.16628704592773</v>
      </c>
      <c r="E47" s="1596" t="n">
        <f aca="false">C47*D47</f>
        <v>8663.29680585579</v>
      </c>
      <c r="F47" s="1565" t="n">
        <f aca="false">IF(Assm!$L$74=0,VLOOKUP($A47,Curves_Table,Escalation!$D$291),VLOOKUP($A47,Curves_Table,Escalation!$E$291))</f>
        <v>2.21020009273911</v>
      </c>
      <c r="G47" s="427" t="n">
        <f aca="false">IF($A47&lt;EE_Date,VLOOKUP($A47,Curves_Table,Escalation!$D$291),Exch)</f>
        <v>1.065</v>
      </c>
      <c r="H47" s="1596" t="n">
        <f aca="false">E47*F47/G47</f>
        <v>17978.985355614</v>
      </c>
      <c r="I47" s="1540" t="n">
        <f aca="false">VLOOKUP($A47,Plant_Table,'Plant Operations'!$C$270)</f>
        <v>480</v>
      </c>
      <c r="J47" s="1575" t="n">
        <f aca="false">H47*I47/1000</f>
        <v>8629.91297069472</v>
      </c>
      <c r="K47" s="1565" t="n">
        <f aca="false">F47</f>
        <v>2.21020009273911</v>
      </c>
      <c r="L47" s="394" t="n">
        <f aca="false">J47/K47</f>
        <v>3904.58447587867</v>
      </c>
      <c r="M47" s="1579" t="str">
        <f aca="false">IF(MONTH($A47)=12,SUM(L36:L47)," ")</f>
        <v> </v>
      </c>
      <c r="O47" s="1597" t="n">
        <f aca="false">IF($A47&gt;Endyr,0,VLOOKUP($A47,Tariff_Table,Tariff!$H$33))</f>
        <v>6129.36</v>
      </c>
      <c r="P47" s="1565" t="n">
        <f aca="false">$AS47</f>
        <v>1.1314325889261</v>
      </c>
      <c r="Q47" s="1575" t="n">
        <f aca="false">O47*P47</f>
        <v>6934.95765326007</v>
      </c>
      <c r="R47" s="1565" t="n">
        <f aca="false">$F47</f>
        <v>2.21020009273911</v>
      </c>
      <c r="S47" s="427" t="n">
        <f aca="false">$G47</f>
        <v>1.065</v>
      </c>
      <c r="T47" s="1575" t="n">
        <f aca="false">Q47*R47/S47</f>
        <v>14392.154036035</v>
      </c>
      <c r="U47" s="1540" t="n">
        <f aca="false">$I47</f>
        <v>480</v>
      </c>
      <c r="V47" s="1575" t="n">
        <f aca="false">T47*U47/1000</f>
        <v>6908.23393729678</v>
      </c>
      <c r="W47" s="1565" t="n">
        <f aca="false">R47</f>
        <v>2.21020009273911</v>
      </c>
      <c r="X47" s="394" t="n">
        <f aca="false">V47/W47</f>
        <v>3125.61471696229</v>
      </c>
      <c r="Y47" s="1579" t="str">
        <f aca="false">IF(MONTH($A47)=12,SUM(X36:X47)," ")</f>
        <v> </v>
      </c>
      <c r="AA47" s="1595" t="n">
        <f aca="false">IF($A47&gt;Endyr,0,VLOOKUP($A47,Tariff_Table,Tariff!$I$33))</f>
        <v>2.31</v>
      </c>
      <c r="AB47" s="1565" t="n">
        <f aca="false">$AS47</f>
        <v>1.1314325889261</v>
      </c>
      <c r="AC47" s="1596" t="n">
        <f aca="false">AA47*AB47</f>
        <v>2.61360928041929</v>
      </c>
      <c r="AD47" s="1565" t="n">
        <f aca="false">$F47</f>
        <v>2.21020009273911</v>
      </c>
      <c r="AE47" s="427" t="n">
        <f aca="false">$G47</f>
        <v>1.065</v>
      </c>
      <c r="AF47" s="1596" t="n">
        <f aca="false">AC47*AD47/AE47</f>
        <v>5.42403706475729</v>
      </c>
      <c r="AG47" s="397" t="n">
        <f aca="false">VLOOKUP($A47,Plant_Table,'Plant Operations'!$M$270)</f>
        <v>279691.776</v>
      </c>
      <c r="AH47" s="1575" t="n">
        <f aca="false">AF47*AG47/1000</f>
        <v>1517.05855973179</v>
      </c>
      <c r="AI47" s="1565" t="n">
        <f aca="false">AD47</f>
        <v>2.21020009273911</v>
      </c>
      <c r="AJ47" s="1566" t="n">
        <f aca="false">AH47/AI47</f>
        <v>686.389691465308</v>
      </c>
      <c r="AK47" s="1567" t="str">
        <f aca="false">IF(MONTH($A47)=12,SUM(AJ36:AJ47)," ")</f>
        <v> </v>
      </c>
      <c r="AM47" s="488" t="n">
        <f aca="false">IF($A47&gt;Endyr,0,VLOOKUP($A47,Tariff_Table,Tariff!$L$33))</f>
        <v>1.21</v>
      </c>
      <c r="AN47" s="1576" t="n">
        <f aca="false">VLOOKUP($A47,Curves_Table,Escalation!$Z$291)</f>
        <v>1.15858808250587</v>
      </c>
      <c r="AO47" s="1314" t="n">
        <f aca="false">AM47*AN47</f>
        <v>1.4018915798321</v>
      </c>
      <c r="AP47" s="1314" t="n">
        <f aca="false">IF($A47&gt;Endyr,0,VLOOKUP($A47,Tariff_Table,Tariff!$M$33))</f>
        <v>0.25</v>
      </c>
      <c r="AQ47" s="1314" t="n">
        <f aca="false">SUM(AO47,AP47)</f>
        <v>1.6518915798321</v>
      </c>
      <c r="AR47" s="1314" t="n">
        <f aca="false">SUM(AM47,AP47)</f>
        <v>1.46</v>
      </c>
      <c r="AS47" s="1598" t="n">
        <f aca="false">IF(AR47=0,0,AQ47/AR47)</f>
        <v>1.1314325889261</v>
      </c>
    </row>
    <row r="48" customFormat="false" ht="12.75" hidden="false" customHeight="false" outlineLevel="0" collapsed="false">
      <c r="A48" s="1538" t="n">
        <f aca="false">EDATE(A47,1)</f>
        <v>38047</v>
      </c>
      <c r="C48" s="1595" t="n">
        <f aca="false">IF($A48&gt;Endyr,0,VLOOKUP($A48,Tariff_Table,Tariff!$G$33))</f>
        <v>7428.1</v>
      </c>
      <c r="D48" s="1565" t="n">
        <f aca="false">VLOOKUP($A48,Curves_Table,Escalation!$V$291)</f>
        <v>1.16628704592773</v>
      </c>
      <c r="E48" s="1596" t="n">
        <f aca="false">C48*D48</f>
        <v>8663.29680585579</v>
      </c>
      <c r="F48" s="1565" t="n">
        <f aca="false">IF(Assm!$L$74=0,VLOOKUP($A48,Curves_Table,Escalation!$D$291),VLOOKUP($A48,Curves_Table,Escalation!$E$291))</f>
        <v>2.21591184319408</v>
      </c>
      <c r="G48" s="427" t="n">
        <f aca="false">IF($A48&lt;EE_Date,VLOOKUP($A48,Curves_Table,Escalation!$D$291),Exch)</f>
        <v>1.065</v>
      </c>
      <c r="H48" s="1596" t="n">
        <f aca="false">E48*F48/G48</f>
        <v>18025.4478809402</v>
      </c>
      <c r="I48" s="1540" t="n">
        <f aca="false">VLOOKUP($A48,Plant_Table,'Plant Operations'!$C$270)</f>
        <v>480</v>
      </c>
      <c r="J48" s="1575" t="n">
        <f aca="false">H48*I48/1000</f>
        <v>8652.21498285128</v>
      </c>
      <c r="K48" s="1565" t="n">
        <f aca="false">F48</f>
        <v>2.21591184319408</v>
      </c>
      <c r="L48" s="394" t="n">
        <f aca="false">J48/K48</f>
        <v>3904.58447587867</v>
      </c>
      <c r="M48" s="1579" t="str">
        <f aca="false">IF(MONTH($A48)=12,SUM(L37:L48)," ")</f>
        <v> </v>
      </c>
      <c r="O48" s="1597" t="n">
        <f aca="false">IF($A48&gt;Endyr,0,VLOOKUP($A48,Tariff_Table,Tariff!$H$33))</f>
        <v>6129.36</v>
      </c>
      <c r="P48" s="1565" t="n">
        <f aca="false">$AS48</f>
        <v>1.1314325889261</v>
      </c>
      <c r="Q48" s="1575" t="n">
        <f aca="false">O48*P48</f>
        <v>6934.95765326007</v>
      </c>
      <c r="R48" s="1565" t="n">
        <f aca="false">$F48</f>
        <v>2.21591184319408</v>
      </c>
      <c r="S48" s="427" t="n">
        <f aca="false">$G48</f>
        <v>1.065</v>
      </c>
      <c r="T48" s="1575" t="n">
        <f aca="false">Q48*R48/S48</f>
        <v>14429.3472262051</v>
      </c>
      <c r="U48" s="1540" t="n">
        <f aca="false">$I48</f>
        <v>480</v>
      </c>
      <c r="V48" s="1575" t="n">
        <f aca="false">T48*U48/1000</f>
        <v>6926.08666857844</v>
      </c>
      <c r="W48" s="1565" t="n">
        <f aca="false">R48</f>
        <v>2.21591184319408</v>
      </c>
      <c r="X48" s="394" t="n">
        <f aca="false">V48/W48</f>
        <v>3125.61471696229</v>
      </c>
      <c r="Y48" s="1579" t="str">
        <f aca="false">IF(MONTH($A48)=12,SUM(X37:X48)," ")</f>
        <v> </v>
      </c>
      <c r="AA48" s="1595" t="n">
        <f aca="false">IF($A48&gt;Endyr,0,VLOOKUP($A48,Tariff_Table,Tariff!$I$33))</f>
        <v>2.31</v>
      </c>
      <c r="AB48" s="1565" t="n">
        <f aca="false">$AS48</f>
        <v>1.1314325889261</v>
      </c>
      <c r="AC48" s="1596" t="n">
        <f aca="false">AA48*AB48</f>
        <v>2.61360928041929</v>
      </c>
      <c r="AD48" s="1565" t="n">
        <f aca="false">$F48</f>
        <v>2.21591184319408</v>
      </c>
      <c r="AE48" s="427" t="n">
        <f aca="false">$G48</f>
        <v>1.065</v>
      </c>
      <c r="AF48" s="1596" t="n">
        <f aca="false">AC48*AD48/AE48</f>
        <v>5.43805423282916</v>
      </c>
      <c r="AG48" s="397" t="n">
        <f aca="false">VLOOKUP($A48,Plant_Table,'Plant Operations'!$M$270)</f>
        <v>298980.864</v>
      </c>
      <c r="AH48" s="1575" t="n">
        <f aca="false">AF48*AG48/1000</f>
        <v>1625.87415301012</v>
      </c>
      <c r="AI48" s="1565" t="n">
        <f aca="false">AD48</f>
        <v>2.21591184319408</v>
      </c>
      <c r="AJ48" s="1566" t="n">
        <f aca="false">AH48/AI48</f>
        <v>733.726911566364</v>
      </c>
      <c r="AK48" s="1567" t="str">
        <f aca="false">IF(MONTH($A48)=12,SUM(AJ37:AJ48)," ")</f>
        <v> </v>
      </c>
      <c r="AM48" s="488" t="n">
        <f aca="false">IF($A48&gt;Endyr,0,VLOOKUP($A48,Tariff_Table,Tariff!$L$33))</f>
        <v>1.21</v>
      </c>
      <c r="AN48" s="1576" t="n">
        <f aca="false">VLOOKUP($A48,Curves_Table,Escalation!$Z$291)</f>
        <v>1.15858808250587</v>
      </c>
      <c r="AO48" s="1314" t="n">
        <f aca="false">AM48*AN48</f>
        <v>1.4018915798321</v>
      </c>
      <c r="AP48" s="1314" t="n">
        <f aca="false">IF($A48&gt;Endyr,0,VLOOKUP($A48,Tariff_Table,Tariff!$M$33))</f>
        <v>0.25</v>
      </c>
      <c r="AQ48" s="1314" t="n">
        <f aca="false">SUM(AO48,AP48)</f>
        <v>1.6518915798321</v>
      </c>
      <c r="AR48" s="1314" t="n">
        <f aca="false">SUM(AM48,AP48)</f>
        <v>1.46</v>
      </c>
      <c r="AS48" s="1598" t="n">
        <f aca="false">IF(AR48=0,0,AQ48/AR48)</f>
        <v>1.1314325889261</v>
      </c>
    </row>
    <row r="49" customFormat="false" ht="12.75" hidden="false" customHeight="false" outlineLevel="0" collapsed="false">
      <c r="A49" s="1538" t="n">
        <f aca="false">EDATE(A48,1)</f>
        <v>38078</v>
      </c>
      <c r="C49" s="1595" t="n">
        <f aca="false">IF($A49&gt;Endyr,0,VLOOKUP($A49,Tariff_Table,Tariff!$G$33))</f>
        <v>7428.1</v>
      </c>
      <c r="D49" s="1565" t="n">
        <f aca="false">VLOOKUP($A49,Curves_Table,Escalation!$V$291)</f>
        <v>1.16628704592773</v>
      </c>
      <c r="E49" s="1596" t="n">
        <f aca="false">C49*D49</f>
        <v>8663.29680585579</v>
      </c>
      <c r="F49" s="1565" t="n">
        <f aca="false">IF(Assm!$L$74=0,VLOOKUP($A49,Curves_Table,Escalation!$D$291),VLOOKUP($A49,Curves_Table,Escalation!$E$291))</f>
        <v>2.22163835434577</v>
      </c>
      <c r="G49" s="427" t="n">
        <f aca="false">IF($A49&lt;EE_Date,VLOOKUP($A49,Curves_Table,Escalation!$D$291),Exch)</f>
        <v>1.065</v>
      </c>
      <c r="H49" s="1596" t="n">
        <f aca="false">E49*F49/G49</f>
        <v>18072.0304779065</v>
      </c>
      <c r="I49" s="1540" t="n">
        <f aca="false">VLOOKUP($A49,Plant_Table,'Plant Operations'!$C$270)</f>
        <v>480</v>
      </c>
      <c r="J49" s="1575" t="n">
        <f aca="false">H49*I49/1000</f>
        <v>8674.57462939511</v>
      </c>
      <c r="K49" s="1565" t="n">
        <f aca="false">F49</f>
        <v>2.22163835434577</v>
      </c>
      <c r="L49" s="394" t="n">
        <f aca="false">J49/K49</f>
        <v>3904.58447587867</v>
      </c>
      <c r="M49" s="1579" t="str">
        <f aca="false">IF(MONTH($A49)=12,SUM(L38:L49)," ")</f>
        <v> </v>
      </c>
      <c r="O49" s="1597" t="n">
        <f aca="false">IF($A49&gt;Endyr,0,VLOOKUP($A49,Tariff_Table,Tariff!$H$33))</f>
        <v>6129.36</v>
      </c>
      <c r="P49" s="1565" t="n">
        <f aca="false">$AS49</f>
        <v>1.1314325889261</v>
      </c>
      <c r="Q49" s="1575" t="n">
        <f aca="false">O49*P49</f>
        <v>6934.95765326007</v>
      </c>
      <c r="R49" s="1565" t="n">
        <f aca="false">$F49</f>
        <v>2.22163835434577</v>
      </c>
      <c r="S49" s="427" t="n">
        <f aca="false">$G49</f>
        <v>1.065</v>
      </c>
      <c r="T49" s="1575" t="n">
        <f aca="false">Q49*R49/S49</f>
        <v>14466.6365335646</v>
      </c>
      <c r="U49" s="1540" t="n">
        <f aca="false">$I49</f>
        <v>480</v>
      </c>
      <c r="V49" s="1575" t="n">
        <f aca="false">T49*U49/1000</f>
        <v>6943.985536111</v>
      </c>
      <c r="W49" s="1565" t="n">
        <f aca="false">R49</f>
        <v>2.22163835434577</v>
      </c>
      <c r="X49" s="394" t="n">
        <f aca="false">V49/W49</f>
        <v>3125.61471696229</v>
      </c>
      <c r="Y49" s="1579" t="str">
        <f aca="false">IF(MONTH($A49)=12,SUM(X38:X49)," ")</f>
        <v> </v>
      </c>
      <c r="AA49" s="1595" t="n">
        <f aca="false">IF($A49&gt;Endyr,0,VLOOKUP($A49,Tariff_Table,Tariff!$I$33))</f>
        <v>2.31</v>
      </c>
      <c r="AB49" s="1565" t="n">
        <f aca="false">$AS49</f>
        <v>1.1314325889261</v>
      </c>
      <c r="AC49" s="1596" t="n">
        <f aca="false">AA49*AB49</f>
        <v>2.61360928041929</v>
      </c>
      <c r="AD49" s="1565" t="n">
        <f aca="false">$F49</f>
        <v>2.22163835434577</v>
      </c>
      <c r="AE49" s="427" t="n">
        <f aca="false">$G49</f>
        <v>1.065</v>
      </c>
      <c r="AF49" s="1596" t="n">
        <f aca="false">AC49*AD49/AE49</f>
        <v>5.45210762502679</v>
      </c>
      <c r="AG49" s="397" t="n">
        <f aca="false">VLOOKUP($A49,Plant_Table,'Plant Operations'!$M$270)</f>
        <v>289336.32</v>
      </c>
      <c r="AH49" s="1575" t="n">
        <f aca="false">AF49*AG49/1000</f>
        <v>1577.49275646919</v>
      </c>
      <c r="AI49" s="1565" t="n">
        <f aca="false">AD49</f>
        <v>2.22163835434577</v>
      </c>
      <c r="AJ49" s="1566" t="n">
        <f aca="false">AH49/AI49</f>
        <v>710.058301515836</v>
      </c>
      <c r="AK49" s="1567" t="str">
        <f aca="false">IF(MONTH($A49)=12,SUM(AJ38:AJ49)," ")</f>
        <v> </v>
      </c>
      <c r="AM49" s="488" t="n">
        <f aca="false">IF($A49&gt;Endyr,0,VLOOKUP($A49,Tariff_Table,Tariff!$L$33))</f>
        <v>1.21</v>
      </c>
      <c r="AN49" s="1576" t="n">
        <f aca="false">VLOOKUP($A49,Curves_Table,Escalation!$Z$291)</f>
        <v>1.15858808250587</v>
      </c>
      <c r="AO49" s="1314" t="n">
        <f aca="false">AM49*AN49</f>
        <v>1.4018915798321</v>
      </c>
      <c r="AP49" s="1314" t="n">
        <f aca="false">IF($A49&gt;Endyr,0,VLOOKUP($A49,Tariff_Table,Tariff!$M$33))</f>
        <v>0.25</v>
      </c>
      <c r="AQ49" s="1314" t="n">
        <f aca="false">SUM(AO49,AP49)</f>
        <v>1.6518915798321</v>
      </c>
      <c r="AR49" s="1314" t="n">
        <f aca="false">SUM(AM49,AP49)</f>
        <v>1.46</v>
      </c>
      <c r="AS49" s="1598" t="n">
        <f aca="false">IF(AR49=0,0,AQ49/AR49)</f>
        <v>1.1314325889261</v>
      </c>
    </row>
    <row r="50" customFormat="false" ht="12.75" hidden="false" customHeight="false" outlineLevel="0" collapsed="false">
      <c r="A50" s="1538" t="n">
        <f aca="false">EDATE(A49,1)</f>
        <v>38108</v>
      </c>
      <c r="C50" s="1595" t="n">
        <f aca="false">IF($A50&gt;Endyr,0,VLOOKUP($A50,Tariff_Table,Tariff!$G$33))</f>
        <v>7432.1</v>
      </c>
      <c r="D50" s="1565" t="n">
        <f aca="false">VLOOKUP($A50,Curves_Table,Escalation!$V$291)</f>
        <v>1.20034933429065</v>
      </c>
      <c r="E50" s="1596" t="n">
        <f aca="false">C50*D50</f>
        <v>8921.11628738154</v>
      </c>
      <c r="F50" s="1565" t="n">
        <f aca="false">IF(Assm!$L$74=0,VLOOKUP($A50,Curves_Table,Escalation!$D$291),VLOOKUP($A50,Curves_Table,Escalation!$E$291))</f>
        <v>2.22737966433978</v>
      </c>
      <c r="G50" s="427" t="n">
        <f aca="false">IF($A50&lt;EE_Date,VLOOKUP($A50,Curves_Table,Escalation!$D$291),Exch)</f>
        <v>1.065</v>
      </c>
      <c r="H50" s="1596" t="n">
        <f aca="false">E50*F50/G50</f>
        <v>18657.946480492</v>
      </c>
      <c r="I50" s="1540" t="n">
        <f aca="false">VLOOKUP($A50,Plant_Table,'Plant Operations'!$C$270)</f>
        <v>480</v>
      </c>
      <c r="J50" s="1575" t="n">
        <f aca="false">H50*I50/1000</f>
        <v>8955.81431063617</v>
      </c>
      <c r="K50" s="1565" t="n">
        <f aca="false">F50</f>
        <v>2.22737966433978</v>
      </c>
      <c r="L50" s="394" t="n">
        <f aca="false">J50/K50</f>
        <v>4020.78480558041</v>
      </c>
      <c r="M50" s="1579" t="str">
        <f aca="false">IF(MONTH($A50)=12,SUM(L39:L50)," ")</f>
        <v> </v>
      </c>
      <c r="O50" s="1597" t="n">
        <f aca="false">IF($A50&gt;Endyr,0,VLOOKUP($A50,Tariff_Table,Tariff!$H$33))</f>
        <v>6142.46</v>
      </c>
      <c r="P50" s="1565" t="n">
        <f aca="false">$AS50</f>
        <v>1.15707544277858</v>
      </c>
      <c r="Q50" s="1575" t="n">
        <f aca="false">O50*P50</f>
        <v>7107.28962424973</v>
      </c>
      <c r="R50" s="1565" t="n">
        <f aca="false">$F50</f>
        <v>2.22737966433978</v>
      </c>
      <c r="S50" s="427" t="n">
        <f aca="false">$G50</f>
        <v>1.065</v>
      </c>
      <c r="T50" s="1575" t="n">
        <f aca="false">Q50*R50/S50</f>
        <v>14864.4435470676</v>
      </c>
      <c r="U50" s="1540" t="n">
        <f aca="false">$I50</f>
        <v>480</v>
      </c>
      <c r="V50" s="1575" t="n">
        <f aca="false">T50*U50/1000</f>
        <v>7134.93290259243</v>
      </c>
      <c r="W50" s="1565" t="n">
        <f aca="false">R50</f>
        <v>2.22737966433978</v>
      </c>
      <c r="X50" s="394" t="n">
        <f aca="false">V50/W50</f>
        <v>3203.28546445058</v>
      </c>
      <c r="Y50" s="1579" t="str">
        <f aca="false">IF(MONTH($A50)=12,SUM(X39:X50)," ")</f>
        <v> </v>
      </c>
      <c r="AA50" s="1595" t="n">
        <f aca="false">IF($A50&gt;Endyr,0,VLOOKUP($A50,Tariff_Table,Tariff!$I$33))</f>
        <v>2.31</v>
      </c>
      <c r="AB50" s="1565" t="n">
        <f aca="false">$AS50</f>
        <v>1.15707544277858</v>
      </c>
      <c r="AC50" s="1596" t="n">
        <f aca="false">AA50*AB50</f>
        <v>2.67284427281853</v>
      </c>
      <c r="AD50" s="1565" t="n">
        <f aca="false">$F50</f>
        <v>2.22737966433978</v>
      </c>
      <c r="AE50" s="427" t="n">
        <f aca="false">$G50</f>
        <v>1.065</v>
      </c>
      <c r="AF50" s="1596" t="n">
        <f aca="false">AC50*AD50/AE50</f>
        <v>5.59008354856622</v>
      </c>
      <c r="AG50" s="397" t="n">
        <f aca="false">VLOOKUP($A50,Plant_Table,'Plant Operations'!$M$270)</f>
        <v>298980.864</v>
      </c>
      <c r="AH50" s="1575" t="n">
        <f aca="false">AF50*AG50/1000</f>
        <v>1671.32800918251</v>
      </c>
      <c r="AI50" s="1565" t="n">
        <f aca="false">AD50</f>
        <v>2.22737966433978</v>
      </c>
      <c r="AJ50" s="1566" t="n">
        <f aca="false">AH50/AI50</f>
        <v>750.356140868295</v>
      </c>
      <c r="AK50" s="1567" t="str">
        <f aca="false">IF(MONTH($A50)=12,SUM(AJ39:AJ50)," ")</f>
        <v> </v>
      </c>
      <c r="AM50" s="488" t="n">
        <f aca="false">IF($A50&gt;Endyr,0,VLOOKUP($A50,Tariff_Table,Tariff!$L$33))</f>
        <v>1.21</v>
      </c>
      <c r="AN50" s="1576" t="n">
        <f aca="false">VLOOKUP($A50,Curves_Table,Escalation!$Z$291)</f>
        <v>1.18952904665845</v>
      </c>
      <c r="AO50" s="1314" t="n">
        <f aca="false">AM50*AN50</f>
        <v>1.43933014645673</v>
      </c>
      <c r="AP50" s="1314" t="n">
        <f aca="false">IF($A50&gt;Endyr,0,VLOOKUP($A50,Tariff_Table,Tariff!$M$33))</f>
        <v>0.25</v>
      </c>
      <c r="AQ50" s="1314" t="n">
        <f aca="false">SUM(AO50,AP50)</f>
        <v>1.68933014645673</v>
      </c>
      <c r="AR50" s="1314" t="n">
        <f aca="false">SUM(AM50,AP50)</f>
        <v>1.46</v>
      </c>
      <c r="AS50" s="1598" t="n">
        <f aca="false">IF(AR50=0,0,AQ50/AR50)</f>
        <v>1.15707544277858</v>
      </c>
    </row>
    <row r="51" customFormat="false" ht="12.75" hidden="false" customHeight="false" outlineLevel="0" collapsed="false">
      <c r="A51" s="1538" t="n">
        <f aca="false">EDATE(A50,1)</f>
        <v>38139</v>
      </c>
      <c r="C51" s="1595" t="n">
        <f aca="false">IF($A51&gt;Endyr,0,VLOOKUP($A51,Tariff_Table,Tariff!$G$33))</f>
        <v>7432.1</v>
      </c>
      <c r="D51" s="1565" t="n">
        <f aca="false">VLOOKUP($A51,Curves_Table,Escalation!$V$291)</f>
        <v>1.20034933429065</v>
      </c>
      <c r="E51" s="1596" t="n">
        <f aca="false">C51*D51</f>
        <v>8921.11628738154</v>
      </c>
      <c r="F51" s="1565" t="n">
        <f aca="false">IF(Assm!$L$74=0,VLOOKUP($A51,Curves_Table,Escalation!$D$291),VLOOKUP($A51,Curves_Table,Escalation!$E$291))</f>
        <v>2.23313581142029</v>
      </c>
      <c r="G51" s="427" t="n">
        <f aca="false">IF($A51&lt;EE_Date,VLOOKUP($A51,Curves_Table,Escalation!$D$291),Exch)</f>
        <v>1.065</v>
      </c>
      <c r="H51" s="1596" t="n">
        <f aca="false">E51*F51/G51</f>
        <v>18706.1636236588</v>
      </c>
      <c r="I51" s="1540" t="n">
        <f aca="false">VLOOKUP($A51,Plant_Table,'Plant Operations'!$C$270)</f>
        <v>480</v>
      </c>
      <c r="J51" s="1575" t="n">
        <f aca="false">H51*I51/1000</f>
        <v>8978.9585393562</v>
      </c>
      <c r="K51" s="1565" t="n">
        <f aca="false">F51</f>
        <v>2.23313581142029</v>
      </c>
      <c r="L51" s="394" t="n">
        <f aca="false">J51/K51</f>
        <v>4020.78480558041</v>
      </c>
      <c r="M51" s="1579" t="str">
        <f aca="false">IF(MONTH($A51)=12,SUM(L40:L51)," ")</f>
        <v> </v>
      </c>
      <c r="O51" s="1597" t="n">
        <f aca="false">IF($A51&gt;Endyr,0,VLOOKUP($A51,Tariff_Table,Tariff!$H$33))</f>
        <v>6142.46</v>
      </c>
      <c r="P51" s="1565" t="n">
        <f aca="false">$AS51</f>
        <v>1.15707544277858</v>
      </c>
      <c r="Q51" s="1575" t="n">
        <f aca="false">O51*P51</f>
        <v>7107.28962424973</v>
      </c>
      <c r="R51" s="1565" t="n">
        <f aca="false">$F51</f>
        <v>2.23313581142029</v>
      </c>
      <c r="S51" s="427" t="n">
        <f aca="false">$G51</f>
        <v>1.065</v>
      </c>
      <c r="T51" s="1575" t="n">
        <f aca="false">Q51*R51/S51</f>
        <v>14902.8572601389</v>
      </c>
      <c r="U51" s="1540" t="n">
        <f aca="false">$I51</f>
        <v>480</v>
      </c>
      <c r="V51" s="1575" t="n">
        <f aca="false">T51*U51/1000</f>
        <v>7153.37148486668</v>
      </c>
      <c r="W51" s="1565" t="n">
        <f aca="false">R51</f>
        <v>2.23313581142029</v>
      </c>
      <c r="X51" s="394" t="n">
        <f aca="false">V51/W51</f>
        <v>3203.28546445058</v>
      </c>
      <c r="Y51" s="1579" t="str">
        <f aca="false">IF(MONTH($A51)=12,SUM(X40:X51)," ")</f>
        <v> </v>
      </c>
      <c r="AA51" s="1595" t="n">
        <f aca="false">IF($A51&gt;Endyr,0,VLOOKUP($A51,Tariff_Table,Tariff!$I$33))</f>
        <v>2.31</v>
      </c>
      <c r="AB51" s="1565" t="n">
        <f aca="false">$AS51</f>
        <v>1.15707544277858</v>
      </c>
      <c r="AC51" s="1596" t="n">
        <f aca="false">AA51*AB51</f>
        <v>2.67284427281853</v>
      </c>
      <c r="AD51" s="1565" t="n">
        <f aca="false">$F51</f>
        <v>2.23313581142029</v>
      </c>
      <c r="AE51" s="427" t="n">
        <f aca="false">$G51</f>
        <v>1.065</v>
      </c>
      <c r="AF51" s="1596" t="n">
        <f aca="false">AC51*AD51/AE51</f>
        <v>5.60452982533397</v>
      </c>
      <c r="AG51" s="397" t="n">
        <f aca="false">VLOOKUP($A51,Plant_Table,'Plant Operations'!$M$270)</f>
        <v>289336.32</v>
      </c>
      <c r="AH51" s="1575" t="n">
        <f aca="false">AF51*AG51/1000</f>
        <v>1621.59403499237</v>
      </c>
      <c r="AI51" s="1565" t="n">
        <f aca="false">AD51</f>
        <v>2.23313581142029</v>
      </c>
      <c r="AJ51" s="1566" t="n">
        <f aca="false">AH51/AI51</f>
        <v>726.151104066092</v>
      </c>
      <c r="AK51" s="1567" t="str">
        <f aca="false">IF(MONTH($A51)=12,SUM(AJ40:AJ51)," ")</f>
        <v> </v>
      </c>
      <c r="AM51" s="488" t="n">
        <f aca="false">IF($A51&gt;Endyr,0,VLOOKUP($A51,Tariff_Table,Tariff!$L$33))</f>
        <v>1.21</v>
      </c>
      <c r="AN51" s="1576" t="n">
        <f aca="false">VLOOKUP($A51,Curves_Table,Escalation!$Z$291)</f>
        <v>1.18952904665845</v>
      </c>
      <c r="AO51" s="1314" t="n">
        <f aca="false">AM51*AN51</f>
        <v>1.43933014645673</v>
      </c>
      <c r="AP51" s="1314" t="n">
        <f aca="false">IF($A51&gt;Endyr,0,VLOOKUP($A51,Tariff_Table,Tariff!$M$33))</f>
        <v>0.25</v>
      </c>
      <c r="AQ51" s="1314" t="n">
        <f aca="false">SUM(AO51,AP51)</f>
        <v>1.68933014645673</v>
      </c>
      <c r="AR51" s="1314" t="n">
        <f aca="false">SUM(AM51,AP51)</f>
        <v>1.46</v>
      </c>
      <c r="AS51" s="1598" t="n">
        <f aca="false">IF(AR51=0,0,AQ51/AR51)</f>
        <v>1.15707544277858</v>
      </c>
    </row>
    <row r="52" customFormat="false" ht="12.75" hidden="false" customHeight="false" outlineLevel="0" collapsed="false">
      <c r="A52" s="1538" t="n">
        <f aca="false">EDATE(A51,1)</f>
        <v>38169</v>
      </c>
      <c r="C52" s="1595" t="n">
        <f aca="false">IF($A52&gt;Endyr,0,VLOOKUP($A52,Tariff_Table,Tariff!$G$33))</f>
        <v>7432.1</v>
      </c>
      <c r="D52" s="1565" t="n">
        <f aca="false">VLOOKUP($A52,Curves_Table,Escalation!$V$291)</f>
        <v>1.20034933429065</v>
      </c>
      <c r="E52" s="1596" t="n">
        <f aca="false">C52*D52</f>
        <v>8921.11628738154</v>
      </c>
      <c r="F52" s="1565" t="n">
        <f aca="false">IF(Assm!$L$74=0,VLOOKUP($A52,Curves_Table,Escalation!$D$291),VLOOKUP($A52,Curves_Table,Escalation!$E$291))</f>
        <v>2.23890683393033</v>
      </c>
      <c r="G52" s="427" t="n">
        <f aca="false">IF($A52&lt;EE_Date,VLOOKUP($A52,Curves_Table,Escalation!$D$291),Exch)</f>
        <v>1.065</v>
      </c>
      <c r="H52" s="1596" t="n">
        <f aca="false">E52*F52/G52</f>
        <v>18754.5053728692</v>
      </c>
      <c r="I52" s="1540" t="n">
        <f aca="false">VLOOKUP($A52,Plant_Table,'Plant Operations'!$C$270)</f>
        <v>480</v>
      </c>
      <c r="J52" s="1575" t="n">
        <f aca="false">H52*I52/1000</f>
        <v>9002.16257897722</v>
      </c>
      <c r="K52" s="1565" t="n">
        <f aca="false">F52</f>
        <v>2.23890683393033</v>
      </c>
      <c r="L52" s="394" t="n">
        <f aca="false">J52/K52</f>
        <v>4020.78480558041</v>
      </c>
      <c r="M52" s="1579" t="str">
        <f aca="false">IF(MONTH($A52)=12,SUM(L41:L52)," ")</f>
        <v> </v>
      </c>
      <c r="O52" s="1597" t="n">
        <f aca="false">IF($A52&gt;Endyr,0,VLOOKUP($A52,Tariff_Table,Tariff!$H$33))</f>
        <v>6142.46</v>
      </c>
      <c r="P52" s="1565" t="n">
        <f aca="false">$AS52</f>
        <v>1.15707544277858</v>
      </c>
      <c r="Q52" s="1575" t="n">
        <f aca="false">O52*P52</f>
        <v>7107.28962424973</v>
      </c>
      <c r="R52" s="1565" t="n">
        <f aca="false">$F52</f>
        <v>2.23890683393033</v>
      </c>
      <c r="S52" s="427" t="n">
        <f aca="false">$G52</f>
        <v>1.065</v>
      </c>
      <c r="T52" s="1575" t="n">
        <f aca="false">Q52*R52/S52</f>
        <v>14941.3702445585</v>
      </c>
      <c r="U52" s="1540" t="n">
        <f aca="false">$I52</f>
        <v>480</v>
      </c>
      <c r="V52" s="1575" t="n">
        <f aca="false">T52*U52/1000</f>
        <v>7171.8577173881</v>
      </c>
      <c r="W52" s="1565" t="n">
        <f aca="false">R52</f>
        <v>2.23890683393033</v>
      </c>
      <c r="X52" s="394" t="n">
        <f aca="false">V52/W52</f>
        <v>3203.28546445058</v>
      </c>
      <c r="Y52" s="1579" t="str">
        <f aca="false">IF(MONTH($A52)=12,SUM(X41:X52)," ")</f>
        <v> </v>
      </c>
      <c r="AA52" s="1595" t="n">
        <f aca="false">IF($A52&gt;Endyr,0,VLOOKUP($A52,Tariff_Table,Tariff!$I$33))</f>
        <v>2.31</v>
      </c>
      <c r="AB52" s="1565" t="n">
        <f aca="false">$AS52</f>
        <v>1.15707544277858</v>
      </c>
      <c r="AC52" s="1596" t="n">
        <f aca="false">AA52*AB52</f>
        <v>2.67284427281853</v>
      </c>
      <c r="AD52" s="1565" t="n">
        <f aca="false">$F52</f>
        <v>2.23890683393033</v>
      </c>
      <c r="AE52" s="427" t="n">
        <f aca="false">$G52</f>
        <v>1.065</v>
      </c>
      <c r="AF52" s="1596" t="n">
        <f aca="false">AC52*AD52/AE52</f>
        <v>5.61901343515957</v>
      </c>
      <c r="AG52" s="397" t="n">
        <f aca="false">VLOOKUP($A52,Plant_Table,'Plant Operations'!$M$270)</f>
        <v>298980.864</v>
      </c>
      <c r="AH52" s="1575" t="n">
        <f aca="false">AF52*AG52/1000</f>
        <v>1679.97749167162</v>
      </c>
      <c r="AI52" s="1565" t="n">
        <f aca="false">AD52</f>
        <v>2.23890683393033</v>
      </c>
      <c r="AJ52" s="1566" t="n">
        <f aca="false">AH52/AI52</f>
        <v>750.356140868295</v>
      </c>
      <c r="AK52" s="1567" t="str">
        <f aca="false">IF(MONTH($A52)=12,SUM(AJ41:AJ52)," ")</f>
        <v> </v>
      </c>
      <c r="AM52" s="488" t="n">
        <f aca="false">IF($A52&gt;Endyr,0,VLOOKUP($A52,Tariff_Table,Tariff!$L$33))</f>
        <v>1.21</v>
      </c>
      <c r="AN52" s="1576" t="n">
        <f aca="false">VLOOKUP($A52,Curves_Table,Escalation!$Z$291)</f>
        <v>1.18952904665845</v>
      </c>
      <c r="AO52" s="1314" t="n">
        <f aca="false">AM52*AN52</f>
        <v>1.43933014645673</v>
      </c>
      <c r="AP52" s="1314" t="n">
        <f aca="false">IF($A52&gt;Endyr,0,VLOOKUP($A52,Tariff_Table,Tariff!$M$33))</f>
        <v>0.25</v>
      </c>
      <c r="AQ52" s="1314" t="n">
        <f aca="false">SUM(AO52,AP52)</f>
        <v>1.68933014645673</v>
      </c>
      <c r="AR52" s="1314" t="n">
        <f aca="false">SUM(AM52,AP52)</f>
        <v>1.46</v>
      </c>
      <c r="AS52" s="1598" t="n">
        <f aca="false">IF(AR52=0,0,AQ52/AR52)</f>
        <v>1.15707544277858</v>
      </c>
    </row>
    <row r="53" customFormat="false" ht="12.75" hidden="false" customHeight="false" outlineLevel="0" collapsed="false">
      <c r="A53" s="1538" t="n">
        <f aca="false">EDATE(A52,1)</f>
        <v>38200</v>
      </c>
      <c r="C53" s="1595" t="n">
        <f aca="false">IF($A53&gt;Endyr,0,VLOOKUP($A53,Tariff_Table,Tariff!$G$33))</f>
        <v>7432.1</v>
      </c>
      <c r="D53" s="1565" t="n">
        <f aca="false">VLOOKUP($A53,Curves_Table,Escalation!$V$291)</f>
        <v>1.20034933429065</v>
      </c>
      <c r="E53" s="1596" t="n">
        <f aca="false">C53*D53</f>
        <v>8921.11628738154</v>
      </c>
      <c r="F53" s="1565" t="n">
        <f aca="false">IF(Assm!$L$74=0,VLOOKUP($A53,Curves_Table,Escalation!$D$291),VLOOKUP($A53,Curves_Table,Escalation!$E$291))</f>
        <v>2.24469277031199</v>
      </c>
      <c r="G53" s="427" t="n">
        <f aca="false">IF($A53&lt;EE_Date,VLOOKUP($A53,Curves_Table,Escalation!$D$291),Exch)</f>
        <v>1.065</v>
      </c>
      <c r="H53" s="1596" t="n">
        <f aca="false">E53*F53/G53</f>
        <v>18802.9720501389</v>
      </c>
      <c r="I53" s="1540" t="n">
        <f aca="false">VLOOKUP($A53,Plant_Table,'Plant Operations'!$C$270)</f>
        <v>480</v>
      </c>
      <c r="J53" s="1575" t="n">
        <f aca="false">H53*I53/1000</f>
        <v>9025.42658406666</v>
      </c>
      <c r="K53" s="1565" t="n">
        <f aca="false">F53</f>
        <v>2.24469277031199</v>
      </c>
      <c r="L53" s="394" t="n">
        <f aca="false">J53/K53</f>
        <v>4020.78480558041</v>
      </c>
      <c r="M53" s="1579" t="str">
        <f aca="false">IF(MONTH($A53)=12,SUM(L42:L53)," ")</f>
        <v> </v>
      </c>
      <c r="O53" s="1597" t="n">
        <f aca="false">IF($A53&gt;Endyr,0,VLOOKUP($A53,Tariff_Table,Tariff!$H$33))</f>
        <v>6142.46</v>
      </c>
      <c r="P53" s="1565" t="n">
        <f aca="false">$AS53</f>
        <v>1.15707544277858</v>
      </c>
      <c r="Q53" s="1575" t="n">
        <f aca="false">O53*P53</f>
        <v>7107.28962424973</v>
      </c>
      <c r="R53" s="1565" t="n">
        <f aca="false">$F53</f>
        <v>2.24469277031199</v>
      </c>
      <c r="S53" s="427" t="n">
        <f aca="false">$G53</f>
        <v>1.065</v>
      </c>
      <c r="T53" s="1575" t="n">
        <f aca="false">Q53*R53/S53</f>
        <v>14979.9827568702</v>
      </c>
      <c r="U53" s="1540" t="n">
        <f aca="false">$I53</f>
        <v>480</v>
      </c>
      <c r="V53" s="1575" t="n">
        <f aca="false">T53*U53/1000</f>
        <v>7190.39172329772</v>
      </c>
      <c r="W53" s="1565" t="n">
        <f aca="false">R53</f>
        <v>2.24469277031199</v>
      </c>
      <c r="X53" s="394" t="n">
        <f aca="false">V53/W53</f>
        <v>3203.28546445058</v>
      </c>
      <c r="Y53" s="1579" t="str">
        <f aca="false">IF(MONTH($A53)=12,SUM(X42:X53)," ")</f>
        <v> </v>
      </c>
      <c r="AA53" s="1595" t="n">
        <f aca="false">IF($A53&gt;Endyr,0,VLOOKUP($A53,Tariff_Table,Tariff!$I$33))</f>
        <v>2.31</v>
      </c>
      <c r="AB53" s="1565" t="n">
        <f aca="false">$AS53</f>
        <v>1.15707544277858</v>
      </c>
      <c r="AC53" s="1596" t="n">
        <f aca="false">AA53*AB53</f>
        <v>2.67284427281853</v>
      </c>
      <c r="AD53" s="1565" t="n">
        <f aca="false">$F53</f>
        <v>2.24469277031199</v>
      </c>
      <c r="AE53" s="427" t="n">
        <f aca="false">$G53</f>
        <v>1.065</v>
      </c>
      <c r="AF53" s="1596" t="n">
        <f aca="false">AC53*AD53/AE53</f>
        <v>5.63353447452165</v>
      </c>
      <c r="AG53" s="397" t="n">
        <f aca="false">VLOOKUP($A53,Plant_Table,'Plant Operations'!$M$270)</f>
        <v>298980.864</v>
      </c>
      <c r="AH53" s="1575" t="n">
        <f aca="false">AF53*AG53/1000</f>
        <v>1684.31900456627</v>
      </c>
      <c r="AI53" s="1565" t="n">
        <f aca="false">AD53</f>
        <v>2.24469277031199</v>
      </c>
      <c r="AJ53" s="1566" t="n">
        <f aca="false">AH53/AI53</f>
        <v>750.356140868295</v>
      </c>
      <c r="AK53" s="1567" t="str">
        <f aca="false">IF(MONTH($A53)=12,SUM(AJ42:AJ53)," ")</f>
        <v> </v>
      </c>
      <c r="AM53" s="488" t="n">
        <f aca="false">IF($A53&gt;Endyr,0,VLOOKUP($A53,Tariff_Table,Tariff!$L$33))</f>
        <v>1.21</v>
      </c>
      <c r="AN53" s="1576" t="n">
        <f aca="false">VLOOKUP($A53,Curves_Table,Escalation!$Z$291)</f>
        <v>1.18952904665845</v>
      </c>
      <c r="AO53" s="1314" t="n">
        <f aca="false">AM53*AN53</f>
        <v>1.43933014645673</v>
      </c>
      <c r="AP53" s="1314" t="n">
        <f aca="false">IF($A53&gt;Endyr,0,VLOOKUP($A53,Tariff_Table,Tariff!$M$33))</f>
        <v>0.25</v>
      </c>
      <c r="AQ53" s="1314" t="n">
        <f aca="false">SUM(AO53,AP53)</f>
        <v>1.68933014645673</v>
      </c>
      <c r="AR53" s="1314" t="n">
        <f aca="false">SUM(AM53,AP53)</f>
        <v>1.46</v>
      </c>
      <c r="AS53" s="1598" t="n">
        <f aca="false">IF(AR53=0,0,AQ53/AR53)</f>
        <v>1.15707544277858</v>
      </c>
    </row>
    <row r="54" customFormat="false" ht="12.75" hidden="false" customHeight="false" outlineLevel="0" collapsed="false">
      <c r="A54" s="1538" t="n">
        <f aca="false">EDATE(A53,1)</f>
        <v>38231</v>
      </c>
      <c r="C54" s="1595" t="n">
        <f aca="false">IF($A54&gt;Endyr,0,VLOOKUP($A54,Tariff_Table,Tariff!$G$33))</f>
        <v>7432.1</v>
      </c>
      <c r="D54" s="1565" t="n">
        <f aca="false">VLOOKUP($A54,Curves_Table,Escalation!$V$291)</f>
        <v>1.20034933429065</v>
      </c>
      <c r="E54" s="1596" t="n">
        <f aca="false">C54*D54</f>
        <v>8921.11628738154</v>
      </c>
      <c r="F54" s="1565" t="n">
        <f aca="false">IF(Assm!$L$74=0,VLOOKUP($A54,Curves_Table,Escalation!$D$291),VLOOKUP($A54,Curves_Table,Escalation!$E$291))</f>
        <v>2.25049365910673</v>
      </c>
      <c r="G54" s="427" t="n">
        <f aca="false">IF($A54&lt;EE_Date,VLOOKUP($A54,Curves_Table,Escalation!$D$291),Exch)</f>
        <v>1.065</v>
      </c>
      <c r="H54" s="1596" t="n">
        <f aca="false">E54*F54/G54</f>
        <v>18851.5639783154</v>
      </c>
      <c r="I54" s="1540" t="n">
        <f aca="false">VLOOKUP($A54,Plant_Table,'Plant Operations'!$C$270)</f>
        <v>480</v>
      </c>
      <c r="J54" s="1575" t="n">
        <f aca="false">H54*I54/1000</f>
        <v>9048.75070959139</v>
      </c>
      <c r="K54" s="1565" t="n">
        <f aca="false">F54</f>
        <v>2.25049365910673</v>
      </c>
      <c r="L54" s="394" t="n">
        <f aca="false">J54/K54</f>
        <v>4020.78480558041</v>
      </c>
      <c r="M54" s="1579" t="str">
        <f aca="false">IF(MONTH($A54)=12,SUM(L43:L54)," ")</f>
        <v> </v>
      </c>
      <c r="O54" s="1597" t="n">
        <f aca="false">IF($A54&gt;Endyr,0,VLOOKUP($A54,Tariff_Table,Tariff!$H$33))</f>
        <v>6142.46</v>
      </c>
      <c r="P54" s="1565" t="n">
        <f aca="false">$AS54</f>
        <v>1.15707544277858</v>
      </c>
      <c r="Q54" s="1575" t="n">
        <f aca="false">O54*P54</f>
        <v>7107.28962424973</v>
      </c>
      <c r="R54" s="1565" t="n">
        <f aca="false">$F54</f>
        <v>2.25049365910673</v>
      </c>
      <c r="S54" s="427" t="n">
        <f aca="false">$G54</f>
        <v>1.065</v>
      </c>
      <c r="T54" s="1575" t="n">
        <f aca="false">Q54*R54/S54</f>
        <v>15018.6950542808</v>
      </c>
      <c r="U54" s="1540" t="n">
        <f aca="false">$I54</f>
        <v>480</v>
      </c>
      <c r="V54" s="1575" t="n">
        <f aca="false">T54*U54/1000</f>
        <v>7208.97362605478</v>
      </c>
      <c r="W54" s="1565" t="n">
        <f aca="false">R54</f>
        <v>2.25049365910673</v>
      </c>
      <c r="X54" s="394" t="n">
        <f aca="false">V54/W54</f>
        <v>3203.28546445058</v>
      </c>
      <c r="Y54" s="1579" t="str">
        <f aca="false">IF(MONTH($A54)=12,SUM(X43:X54)," ")</f>
        <v> </v>
      </c>
      <c r="AA54" s="1595" t="n">
        <f aca="false">IF($A54&gt;Endyr,0,VLOOKUP($A54,Tariff_Table,Tariff!$I$33))</f>
        <v>2.31</v>
      </c>
      <c r="AB54" s="1565" t="n">
        <f aca="false">$AS54</f>
        <v>1.15707544277858</v>
      </c>
      <c r="AC54" s="1596" t="n">
        <f aca="false">AA54*AB54</f>
        <v>2.67284427281853</v>
      </c>
      <c r="AD54" s="1565" t="n">
        <f aca="false">$F54</f>
        <v>2.25049365910673</v>
      </c>
      <c r="AE54" s="427" t="n">
        <f aca="false">$G54</f>
        <v>1.065</v>
      </c>
      <c r="AF54" s="1596" t="n">
        <f aca="false">AC54*AD54/AE54</f>
        <v>5.64809304014819</v>
      </c>
      <c r="AG54" s="397" t="n">
        <f aca="false">VLOOKUP($A54,Plant_Table,'Plant Operations'!$M$270)</f>
        <v>289336.32</v>
      </c>
      <c r="AH54" s="1575" t="n">
        <f aca="false">AF54*AG54/1000</f>
        <v>1634.19845525409</v>
      </c>
      <c r="AI54" s="1565" t="n">
        <f aca="false">AD54</f>
        <v>2.25049365910673</v>
      </c>
      <c r="AJ54" s="1566" t="n">
        <f aca="false">AH54/AI54</f>
        <v>726.151104066092</v>
      </c>
      <c r="AK54" s="1567" t="str">
        <f aca="false">IF(MONTH($A54)=12,SUM(AJ43:AJ54)," ")</f>
        <v> </v>
      </c>
      <c r="AM54" s="488" t="n">
        <f aca="false">IF($A54&gt;Endyr,0,VLOOKUP($A54,Tariff_Table,Tariff!$L$33))</f>
        <v>1.21</v>
      </c>
      <c r="AN54" s="1576" t="n">
        <f aca="false">VLOOKUP($A54,Curves_Table,Escalation!$Z$291)</f>
        <v>1.18952904665845</v>
      </c>
      <c r="AO54" s="1314" t="n">
        <f aca="false">AM54*AN54</f>
        <v>1.43933014645673</v>
      </c>
      <c r="AP54" s="1314" t="n">
        <f aca="false">IF($A54&gt;Endyr,0,VLOOKUP($A54,Tariff_Table,Tariff!$M$33))</f>
        <v>0.25</v>
      </c>
      <c r="AQ54" s="1314" t="n">
        <f aca="false">SUM(AO54,AP54)</f>
        <v>1.68933014645673</v>
      </c>
      <c r="AR54" s="1314" t="n">
        <f aca="false">SUM(AM54,AP54)</f>
        <v>1.46</v>
      </c>
      <c r="AS54" s="1598" t="n">
        <f aca="false">IF(AR54=0,0,AQ54/AR54)</f>
        <v>1.15707544277858</v>
      </c>
    </row>
    <row r="55" customFormat="false" ht="12.75" hidden="false" customHeight="false" outlineLevel="0" collapsed="false">
      <c r="A55" s="1538" t="n">
        <f aca="false">EDATE(A54,1)</f>
        <v>38261</v>
      </c>
      <c r="C55" s="1595" t="n">
        <f aca="false">IF($A55&gt;Endyr,0,VLOOKUP($A55,Tariff_Table,Tariff!$G$33))</f>
        <v>7432.1</v>
      </c>
      <c r="D55" s="1565" t="n">
        <f aca="false">VLOOKUP($A55,Curves_Table,Escalation!$V$291)</f>
        <v>1.20034933429065</v>
      </c>
      <c r="E55" s="1596" t="n">
        <f aca="false">C55*D55</f>
        <v>8921.11628738154</v>
      </c>
      <c r="F55" s="1565" t="n">
        <f aca="false">IF(Assm!$L$74=0,VLOOKUP($A55,Curves_Table,Escalation!$D$291),VLOOKUP($A55,Curves_Table,Escalation!$E$291))</f>
        <v>2.25630953895558</v>
      </c>
      <c r="G55" s="427" t="n">
        <f aca="false">IF($A55&lt;EE_Date,VLOOKUP($A55,Curves_Table,Escalation!$D$291),Exch)</f>
        <v>1.065</v>
      </c>
      <c r="H55" s="1596" t="n">
        <f aca="false">E55*F55/G55</f>
        <v>18900.2814810807</v>
      </c>
      <c r="I55" s="1540" t="n">
        <f aca="false">VLOOKUP($A55,Plant_Table,'Plant Operations'!$C$270)</f>
        <v>480</v>
      </c>
      <c r="J55" s="1575" t="n">
        <f aca="false">H55*I55/1000</f>
        <v>9072.13511091876</v>
      </c>
      <c r="K55" s="1565" t="n">
        <f aca="false">F55</f>
        <v>2.25630953895558</v>
      </c>
      <c r="L55" s="394" t="n">
        <f aca="false">J55/K55</f>
        <v>4020.78480558041</v>
      </c>
      <c r="M55" s="1579" t="str">
        <f aca="false">IF(MONTH($A55)=12,SUM(L44:L55)," ")</f>
        <v> </v>
      </c>
      <c r="O55" s="1597" t="n">
        <f aca="false">IF($A55&gt;Endyr,0,VLOOKUP($A55,Tariff_Table,Tariff!$H$33))</f>
        <v>6142.46</v>
      </c>
      <c r="P55" s="1565" t="n">
        <f aca="false">$AS55</f>
        <v>1.15707544277858</v>
      </c>
      <c r="Q55" s="1575" t="n">
        <f aca="false">O55*P55</f>
        <v>7107.28962424973</v>
      </c>
      <c r="R55" s="1565" t="n">
        <f aca="false">$F55</f>
        <v>2.25630953895558</v>
      </c>
      <c r="S55" s="427" t="n">
        <f aca="false">$G55</f>
        <v>1.065</v>
      </c>
      <c r="T55" s="1575" t="n">
        <f aca="false">Q55*R55/S55</f>
        <v>15057.5073946617</v>
      </c>
      <c r="U55" s="1540" t="n">
        <f aca="false">$I55</f>
        <v>480</v>
      </c>
      <c r="V55" s="1575" t="n">
        <f aca="false">T55*U55/1000</f>
        <v>7227.60354943762</v>
      </c>
      <c r="W55" s="1565" t="n">
        <f aca="false">R55</f>
        <v>2.25630953895558</v>
      </c>
      <c r="X55" s="394" t="n">
        <f aca="false">V55/W55</f>
        <v>3203.28546445058</v>
      </c>
      <c r="Y55" s="1579" t="str">
        <f aca="false">IF(MONTH($A55)=12,SUM(X44:X55)," ")</f>
        <v> </v>
      </c>
      <c r="AA55" s="1595" t="n">
        <f aca="false">IF($A55&gt;Endyr,0,VLOOKUP($A55,Tariff_Table,Tariff!$I$33))</f>
        <v>2.31</v>
      </c>
      <c r="AB55" s="1565" t="n">
        <f aca="false">$AS55</f>
        <v>1.15707544277858</v>
      </c>
      <c r="AC55" s="1596" t="n">
        <f aca="false">AA55*AB55</f>
        <v>2.67284427281853</v>
      </c>
      <c r="AD55" s="1565" t="n">
        <f aca="false">$F55</f>
        <v>2.25630953895558</v>
      </c>
      <c r="AE55" s="427" t="n">
        <f aca="false">$G55</f>
        <v>1.065</v>
      </c>
      <c r="AF55" s="1596" t="n">
        <f aca="false">AC55*AD55/AE55</f>
        <v>5.66268922901713</v>
      </c>
      <c r="AG55" s="397" t="n">
        <f aca="false">VLOOKUP($A55,Plant_Table,'Plant Operations'!$M$270)</f>
        <v>298980.864</v>
      </c>
      <c r="AH55" s="1575" t="n">
        <f aca="false">AF55*AG55/1000</f>
        <v>1693.03571825504</v>
      </c>
      <c r="AI55" s="1565" t="n">
        <f aca="false">AD55</f>
        <v>2.25630953895558</v>
      </c>
      <c r="AJ55" s="1566" t="n">
        <f aca="false">AH55/AI55</f>
        <v>750.356140868295</v>
      </c>
      <c r="AK55" s="1567" t="str">
        <f aca="false">IF(MONTH($A55)=12,SUM(AJ44:AJ55)," ")</f>
        <v> </v>
      </c>
      <c r="AM55" s="488" t="n">
        <f aca="false">IF($A55&gt;Endyr,0,VLOOKUP($A55,Tariff_Table,Tariff!$L$33))</f>
        <v>1.21</v>
      </c>
      <c r="AN55" s="1576" t="n">
        <f aca="false">VLOOKUP($A55,Curves_Table,Escalation!$Z$291)</f>
        <v>1.18952904665845</v>
      </c>
      <c r="AO55" s="1314" t="n">
        <f aca="false">AM55*AN55</f>
        <v>1.43933014645673</v>
      </c>
      <c r="AP55" s="1314" t="n">
        <f aca="false">IF($A55&gt;Endyr,0,VLOOKUP($A55,Tariff_Table,Tariff!$M$33))</f>
        <v>0.25</v>
      </c>
      <c r="AQ55" s="1314" t="n">
        <f aca="false">SUM(AO55,AP55)</f>
        <v>1.68933014645673</v>
      </c>
      <c r="AR55" s="1314" t="n">
        <f aca="false">SUM(AM55,AP55)</f>
        <v>1.46</v>
      </c>
      <c r="AS55" s="1598" t="n">
        <f aca="false">IF(AR55=0,0,AQ55/AR55)</f>
        <v>1.15707544277858</v>
      </c>
    </row>
    <row r="56" customFormat="false" ht="12.75" hidden="false" customHeight="false" outlineLevel="0" collapsed="false">
      <c r="A56" s="1538" t="n">
        <f aca="false">EDATE(A55,1)</f>
        <v>38292</v>
      </c>
      <c r="C56" s="1595" t="n">
        <f aca="false">IF($A56&gt;Endyr,0,VLOOKUP($A56,Tariff_Table,Tariff!$G$33))</f>
        <v>7432.1</v>
      </c>
      <c r="D56" s="1565" t="n">
        <f aca="false">VLOOKUP($A56,Curves_Table,Escalation!$V$291)</f>
        <v>1.20034933429065</v>
      </c>
      <c r="E56" s="1596" t="n">
        <f aca="false">C56*D56</f>
        <v>8921.11628738154</v>
      </c>
      <c r="F56" s="1565" t="n">
        <f aca="false">IF(Assm!$L$74=0,VLOOKUP($A56,Curves_Table,Escalation!$D$291),VLOOKUP($A56,Curves_Table,Escalation!$E$291))</f>
        <v>2.26214044859947</v>
      </c>
      <c r="G56" s="427" t="n">
        <f aca="false">IF($A56&lt;EE_Date,VLOOKUP($A56,Curves_Table,Escalation!$D$291),Exch)</f>
        <v>1.065</v>
      </c>
      <c r="H56" s="1596" t="n">
        <f aca="false">E56*F56/G56</f>
        <v>18949.1248829534</v>
      </c>
      <c r="I56" s="1540" t="n">
        <f aca="false">VLOOKUP($A56,Plant_Table,'Plant Operations'!$C$270)</f>
        <v>480</v>
      </c>
      <c r="J56" s="1575" t="n">
        <f aca="false">H56*I56/1000</f>
        <v>9095.57994381762</v>
      </c>
      <c r="K56" s="1565" t="n">
        <f aca="false">F56</f>
        <v>2.26214044859947</v>
      </c>
      <c r="L56" s="394" t="n">
        <f aca="false">J56/K56</f>
        <v>4020.78480558041</v>
      </c>
      <c r="M56" s="1579" t="str">
        <f aca="false">IF(MONTH($A56)=12,SUM(L45:L56)," ")</f>
        <v> </v>
      </c>
      <c r="O56" s="1597" t="n">
        <f aca="false">IF($A56&gt;Endyr,0,VLOOKUP($A56,Tariff_Table,Tariff!$H$33))</f>
        <v>6142.46</v>
      </c>
      <c r="P56" s="1565" t="n">
        <f aca="false">$AS56</f>
        <v>1.15707544277858</v>
      </c>
      <c r="Q56" s="1575" t="n">
        <f aca="false">O56*P56</f>
        <v>7107.28962424973</v>
      </c>
      <c r="R56" s="1565" t="n">
        <f aca="false">$F56</f>
        <v>2.26214044859947</v>
      </c>
      <c r="S56" s="427" t="n">
        <f aca="false">$G56</f>
        <v>1.065</v>
      </c>
      <c r="T56" s="1575" t="n">
        <f aca="false">Q56*R56/S56</f>
        <v>15096.4200365509</v>
      </c>
      <c r="U56" s="1540" t="n">
        <f aca="false">$I56</f>
        <v>480</v>
      </c>
      <c r="V56" s="1575" t="n">
        <f aca="false">T56*U56/1000</f>
        <v>7246.28161754442</v>
      </c>
      <c r="W56" s="1565" t="n">
        <f aca="false">R56</f>
        <v>2.26214044859947</v>
      </c>
      <c r="X56" s="394" t="n">
        <f aca="false">V56/W56</f>
        <v>3203.28546445058</v>
      </c>
      <c r="Y56" s="1579" t="str">
        <f aca="false">IF(MONTH($A56)=12,SUM(X45:X56)," ")</f>
        <v> </v>
      </c>
      <c r="AA56" s="1595" t="n">
        <f aca="false">IF($A56&gt;Endyr,0,VLOOKUP($A56,Tariff_Table,Tariff!$I$33))</f>
        <v>2.31</v>
      </c>
      <c r="AB56" s="1565" t="n">
        <f aca="false">$AS56</f>
        <v>1.15707544277858</v>
      </c>
      <c r="AC56" s="1596" t="n">
        <f aca="false">AA56*AB56</f>
        <v>2.67284427281853</v>
      </c>
      <c r="AD56" s="1565" t="n">
        <f aca="false">$F56</f>
        <v>2.26214044859947</v>
      </c>
      <c r="AE56" s="427" t="n">
        <f aca="false">$G56</f>
        <v>1.065</v>
      </c>
      <c r="AF56" s="1596" t="n">
        <f aca="false">AC56*AD56/AE56</f>
        <v>5.67732313835703</v>
      </c>
      <c r="AG56" s="397" t="n">
        <f aca="false">VLOOKUP($A56,Plant_Table,'Plant Operations'!$M$270)</f>
        <v>289336.32</v>
      </c>
      <c r="AH56" s="1575" t="n">
        <f aca="false">AF56*AG56/1000</f>
        <v>1642.65578430307</v>
      </c>
      <c r="AI56" s="1565" t="n">
        <f aca="false">AD56</f>
        <v>2.26214044859947</v>
      </c>
      <c r="AJ56" s="1566" t="n">
        <f aca="false">AH56/AI56</f>
        <v>726.151104066092</v>
      </c>
      <c r="AK56" s="1567" t="str">
        <f aca="false">IF(MONTH($A56)=12,SUM(AJ45:AJ56)," ")</f>
        <v> </v>
      </c>
      <c r="AM56" s="488" t="n">
        <f aca="false">IF($A56&gt;Endyr,0,VLOOKUP($A56,Tariff_Table,Tariff!$L$33))</f>
        <v>1.21</v>
      </c>
      <c r="AN56" s="1576" t="n">
        <f aca="false">VLOOKUP($A56,Curves_Table,Escalation!$Z$291)</f>
        <v>1.18952904665845</v>
      </c>
      <c r="AO56" s="1314" t="n">
        <f aca="false">AM56*AN56</f>
        <v>1.43933014645673</v>
      </c>
      <c r="AP56" s="1314" t="n">
        <f aca="false">IF($A56&gt;Endyr,0,VLOOKUP($A56,Tariff_Table,Tariff!$M$33))</f>
        <v>0.25</v>
      </c>
      <c r="AQ56" s="1314" t="n">
        <f aca="false">SUM(AO56,AP56)</f>
        <v>1.68933014645673</v>
      </c>
      <c r="AR56" s="1314" t="n">
        <f aca="false">SUM(AM56,AP56)</f>
        <v>1.46</v>
      </c>
      <c r="AS56" s="1598" t="n">
        <f aca="false">IF(AR56=0,0,AQ56/AR56)</f>
        <v>1.15707544277858</v>
      </c>
    </row>
    <row r="57" customFormat="false" ht="12.75" hidden="false" customHeight="false" outlineLevel="0" collapsed="false">
      <c r="A57" s="1538" t="n">
        <f aca="false">EDATE(A56,1)</f>
        <v>38322</v>
      </c>
      <c r="C57" s="1595" t="n">
        <f aca="false">IF($A57&gt;Endyr,0,VLOOKUP($A57,Tariff_Table,Tariff!$G$33))</f>
        <v>7432.1</v>
      </c>
      <c r="D57" s="1565" t="n">
        <f aca="false">VLOOKUP($A57,Curves_Table,Escalation!$V$291)</f>
        <v>1.20034933429065</v>
      </c>
      <c r="E57" s="1596" t="n">
        <f aca="false">C57*D57</f>
        <v>8921.11628738154</v>
      </c>
      <c r="F57" s="1565" t="n">
        <f aca="false">IF(Assm!$L$74=0,VLOOKUP($A57,Curves_Table,Escalation!$D$291),VLOOKUP($A57,Curves_Table,Escalation!$E$291))</f>
        <v>2.26798642687942</v>
      </c>
      <c r="G57" s="427" t="n">
        <f aca="false">IF($A57&lt;EE_Date,VLOOKUP($A57,Curves_Table,Escalation!$D$291),Exch)</f>
        <v>1.065</v>
      </c>
      <c r="H57" s="1596" t="n">
        <f aca="false">E57*F57/G57</f>
        <v>18998.0945092904</v>
      </c>
      <c r="I57" s="1540" t="n">
        <f aca="false">VLOOKUP($A57,Plant_Table,'Plant Operations'!$C$270)</f>
        <v>480</v>
      </c>
      <c r="J57" s="1575" t="n">
        <f aca="false">H57*I57/1000</f>
        <v>9119.08536445939</v>
      </c>
      <c r="K57" s="1565" t="n">
        <f aca="false">F57</f>
        <v>2.26798642687942</v>
      </c>
      <c r="L57" s="394" t="n">
        <f aca="false">J57/K57</f>
        <v>4020.78480558041</v>
      </c>
      <c r="M57" s="1579" t="n">
        <f aca="false">IF(MONTH($A57)=12,SUM(L46:L57)," ")</f>
        <v>47784.616348158</v>
      </c>
      <c r="O57" s="1597" t="n">
        <f aca="false">IF($A57&gt;Endyr,0,VLOOKUP($A57,Tariff_Table,Tariff!$H$33))</f>
        <v>6142.46</v>
      </c>
      <c r="P57" s="1565" t="n">
        <f aca="false">$AS57</f>
        <v>1.15707544277858</v>
      </c>
      <c r="Q57" s="1575" t="n">
        <f aca="false">O57*P57</f>
        <v>7107.28962424973</v>
      </c>
      <c r="R57" s="1565" t="n">
        <f aca="false">$F57</f>
        <v>2.26798642687942</v>
      </c>
      <c r="S57" s="427" t="n">
        <f aca="false">$G57</f>
        <v>1.065</v>
      </c>
      <c r="T57" s="1575" t="n">
        <f aca="false">Q57*R57/S57</f>
        <v>15135.4332391543</v>
      </c>
      <c r="U57" s="1540" t="n">
        <f aca="false">$I57</f>
        <v>480</v>
      </c>
      <c r="V57" s="1575" t="n">
        <f aca="false">T57*U57/1000</f>
        <v>7265.00795479406</v>
      </c>
      <c r="W57" s="1565" t="n">
        <f aca="false">R57</f>
        <v>2.26798642687942</v>
      </c>
      <c r="X57" s="394" t="n">
        <f aca="false">V57/W57</f>
        <v>3203.28546445058</v>
      </c>
      <c r="Y57" s="1579" t="n">
        <f aca="false">IF(MONTH($A57)=12,SUM(X46:X57)," ")</f>
        <v>38128.7425834538</v>
      </c>
      <c r="AA57" s="1595" t="n">
        <f aca="false">IF($A57&gt;Endyr,0,VLOOKUP($A57,Tariff_Table,Tariff!$I$33))</f>
        <v>2.31</v>
      </c>
      <c r="AB57" s="1565" t="n">
        <f aca="false">$AS57</f>
        <v>1.15707544277858</v>
      </c>
      <c r="AC57" s="1596" t="n">
        <f aca="false">AA57*AB57</f>
        <v>2.67284427281853</v>
      </c>
      <c r="AD57" s="1565" t="n">
        <f aca="false">$F57</f>
        <v>2.26798642687942</v>
      </c>
      <c r="AE57" s="427" t="n">
        <f aca="false">$G57</f>
        <v>1.065</v>
      </c>
      <c r="AF57" s="1596" t="n">
        <f aca="false">AC57*AD57/AE57</f>
        <v>5.69199486564771</v>
      </c>
      <c r="AG57" s="397" t="n">
        <f aca="false">VLOOKUP($A57,Plant_Table,'Plant Operations'!$M$270)</f>
        <v>298980.864</v>
      </c>
      <c r="AH57" s="1575" t="n">
        <f aca="false">AF57*AG57/1000</f>
        <v>1701.79754281492</v>
      </c>
      <c r="AI57" s="1565" t="n">
        <f aca="false">AD57</f>
        <v>2.26798642687942</v>
      </c>
      <c r="AJ57" s="1566" t="n">
        <f aca="false">AH57/AI57</f>
        <v>750.356140868295</v>
      </c>
      <c r="AK57" s="1567" t="n">
        <f aca="false">IF(MONTH($A57)=12,SUM(AJ46:AJ57)," ")</f>
        <v>8794.13583265362</v>
      </c>
      <c r="AM57" s="488" t="n">
        <f aca="false">IF($A57&gt;Endyr,0,VLOOKUP($A57,Tariff_Table,Tariff!$L$33))</f>
        <v>1.21</v>
      </c>
      <c r="AN57" s="1576" t="n">
        <f aca="false">VLOOKUP($A57,Curves_Table,Escalation!$Z$291)</f>
        <v>1.18952904665845</v>
      </c>
      <c r="AO57" s="1314" t="n">
        <f aca="false">AM57*AN57</f>
        <v>1.43933014645673</v>
      </c>
      <c r="AP57" s="1314" t="n">
        <f aca="false">IF($A57&gt;Endyr,0,VLOOKUP($A57,Tariff_Table,Tariff!$M$33))</f>
        <v>0.25</v>
      </c>
      <c r="AQ57" s="1314" t="n">
        <f aca="false">SUM(AO57,AP57)</f>
        <v>1.68933014645673</v>
      </c>
      <c r="AR57" s="1314" t="n">
        <f aca="false">SUM(AM57,AP57)</f>
        <v>1.46</v>
      </c>
      <c r="AS57" s="1598" t="n">
        <f aca="false">IF(AR57=0,0,AQ57/AR57)</f>
        <v>1.15707544277858</v>
      </c>
    </row>
    <row r="58" customFormat="false" ht="12.75" hidden="false" customHeight="false" outlineLevel="0" collapsed="false">
      <c r="A58" s="1538" t="n">
        <f aca="false">EDATE(A57,1)</f>
        <v>38353</v>
      </c>
      <c r="C58" s="1595" t="n">
        <f aca="false">IF($A58&gt;Endyr,0,VLOOKUP($A58,Tariff_Table,Tariff!$G$33))</f>
        <v>7432.1</v>
      </c>
      <c r="D58" s="1565" t="n">
        <f aca="false">VLOOKUP($A58,Curves_Table,Escalation!$V$291)</f>
        <v>1.20034933429065</v>
      </c>
      <c r="E58" s="1596" t="n">
        <f aca="false">C58*D58</f>
        <v>8921.11628738154</v>
      </c>
      <c r="F58" s="1565" t="n">
        <f aca="false">IF(Assm!$L$74=0,VLOOKUP($A58,Curves_Table,Escalation!$D$291),VLOOKUP($A58,Curves_Table,Escalation!$E$291))</f>
        <v>2.27329442304836</v>
      </c>
      <c r="G58" s="427" t="n">
        <f aca="false">IF($A58&lt;EE_Date,VLOOKUP($A58,Curves_Table,Escalation!$D$291),Exch)</f>
        <v>1.065</v>
      </c>
      <c r="H58" s="1596" t="n">
        <f aca="false">E58*F58/G58</f>
        <v>19042.5576558407</v>
      </c>
      <c r="I58" s="1540" t="n">
        <f aca="false">VLOOKUP($A58,Plant_Table,'Plant Operations'!$C$270)</f>
        <v>480</v>
      </c>
      <c r="J58" s="1575" t="n">
        <f aca="false">H58*I58/1000</f>
        <v>9140.42767480355</v>
      </c>
      <c r="K58" s="1565" t="n">
        <f aca="false">F58</f>
        <v>2.27329442304836</v>
      </c>
      <c r="L58" s="394" t="n">
        <f aca="false">J58/K58</f>
        <v>4020.78480558041</v>
      </c>
      <c r="M58" s="1579" t="str">
        <f aca="false">IF(MONTH($A58)=12,SUM(L47:L58)," ")</f>
        <v> </v>
      </c>
      <c r="O58" s="1597" t="n">
        <f aca="false">IF($A58&gt;Endyr,0,VLOOKUP($A58,Tariff_Table,Tariff!$H$33))</f>
        <v>6142.46</v>
      </c>
      <c r="P58" s="1565" t="n">
        <f aca="false">$AS58</f>
        <v>1.15707544277858</v>
      </c>
      <c r="Q58" s="1575" t="n">
        <f aca="false">O58*P58</f>
        <v>7107.28962424973</v>
      </c>
      <c r="R58" s="1565" t="n">
        <f aca="false">$F58</f>
        <v>2.27329442304836</v>
      </c>
      <c r="S58" s="427" t="n">
        <f aca="false">$G58</f>
        <v>1.065</v>
      </c>
      <c r="T58" s="1575" t="n">
        <f aca="false">Q58*R58/S58</f>
        <v>15170.8562120154</v>
      </c>
      <c r="U58" s="1540" t="n">
        <f aca="false">$I58</f>
        <v>480</v>
      </c>
      <c r="V58" s="1575" t="n">
        <f aca="false">T58*U58/1000</f>
        <v>7282.0109817674</v>
      </c>
      <c r="W58" s="1565" t="n">
        <f aca="false">R58</f>
        <v>2.27329442304836</v>
      </c>
      <c r="X58" s="394" t="n">
        <f aca="false">V58/W58</f>
        <v>3203.28546445058</v>
      </c>
      <c r="Y58" s="1579" t="str">
        <f aca="false">IF(MONTH($A58)=12,SUM(X47:X58)," ")</f>
        <v> </v>
      </c>
      <c r="AA58" s="1595" t="n">
        <f aca="false">IF($A58&gt;Endyr,0,VLOOKUP($A58,Tariff_Table,Tariff!$I$33))</f>
        <v>2.31</v>
      </c>
      <c r="AB58" s="1565" t="n">
        <f aca="false">$AS58</f>
        <v>1.15707544277858</v>
      </c>
      <c r="AC58" s="1596" t="n">
        <f aca="false">AA58*AB58</f>
        <v>2.67284427281853</v>
      </c>
      <c r="AD58" s="1565" t="n">
        <f aca="false">$F58</f>
        <v>2.27329442304836</v>
      </c>
      <c r="AE58" s="427" t="n">
        <f aca="false">$G58</f>
        <v>1.065</v>
      </c>
      <c r="AF58" s="1596" t="n">
        <f aca="false">AC58*AD58/AE58</f>
        <v>5.7053164122771</v>
      </c>
      <c r="AG58" s="397" t="n">
        <f aca="false">VLOOKUP($A58,Plant_Table,'Plant Operations'!$M$270)</f>
        <v>298980.864</v>
      </c>
      <c r="AH58" s="1575" t="n">
        <f aca="false">AF58*AG58/1000</f>
        <v>1705.78043033599</v>
      </c>
      <c r="AI58" s="1565" t="n">
        <f aca="false">AD58</f>
        <v>2.27329442304836</v>
      </c>
      <c r="AJ58" s="1566" t="n">
        <f aca="false">AH58/AI58</f>
        <v>750.356140868295</v>
      </c>
      <c r="AK58" s="1567" t="str">
        <f aca="false">IF(MONTH($A58)=12,SUM(AJ47:AJ58)," ")</f>
        <v> </v>
      </c>
      <c r="AM58" s="488" t="n">
        <f aca="false">IF($A58&gt;Endyr,0,VLOOKUP($A58,Tariff_Table,Tariff!$L$33))</f>
        <v>1.21</v>
      </c>
      <c r="AN58" s="1576" t="n">
        <f aca="false">VLOOKUP($A58,Curves_Table,Escalation!$Z$291)</f>
        <v>1.18952904665845</v>
      </c>
      <c r="AO58" s="1314" t="n">
        <f aca="false">AM58*AN58</f>
        <v>1.43933014645673</v>
      </c>
      <c r="AP58" s="1314" t="n">
        <f aca="false">IF($A58&gt;Endyr,0,VLOOKUP($A58,Tariff_Table,Tariff!$M$33))</f>
        <v>0.25</v>
      </c>
      <c r="AQ58" s="1314" t="n">
        <f aca="false">SUM(AO58,AP58)</f>
        <v>1.68933014645673</v>
      </c>
      <c r="AR58" s="1314" t="n">
        <f aca="false">SUM(AM58,AP58)</f>
        <v>1.46</v>
      </c>
      <c r="AS58" s="1598" t="n">
        <f aca="false">IF(AR58=0,0,AQ58/AR58)</f>
        <v>1.15707544277858</v>
      </c>
    </row>
    <row r="59" customFormat="false" ht="12.75" hidden="false" customHeight="false" outlineLevel="0" collapsed="false">
      <c r="A59" s="1538" t="n">
        <f aca="false">EDATE(A58,1)</f>
        <v>38384</v>
      </c>
      <c r="C59" s="1595" t="n">
        <f aca="false">IF($A59&gt;Endyr,0,VLOOKUP($A59,Tariff_Table,Tariff!$G$33))</f>
        <v>7432.1</v>
      </c>
      <c r="D59" s="1565" t="n">
        <f aca="false">VLOOKUP($A59,Curves_Table,Escalation!$V$291)</f>
        <v>1.20034933429065</v>
      </c>
      <c r="E59" s="1596" t="n">
        <f aca="false">C59*D59</f>
        <v>8921.11628738154</v>
      </c>
      <c r="F59" s="1565" t="n">
        <f aca="false">IF(Assm!$L$74=0,VLOOKUP($A59,Curves_Table,Escalation!$D$291),VLOOKUP($A59,Curves_Table,Escalation!$E$291))</f>
        <v>2.27861484205326</v>
      </c>
      <c r="G59" s="427" t="n">
        <f aca="false">IF($A59&lt;EE_Date,VLOOKUP($A59,Curves_Table,Escalation!$D$291),Exch)</f>
        <v>1.065</v>
      </c>
      <c r="H59" s="1596" t="n">
        <f aca="false">E59*F59/G59</f>
        <v>19087.1248639537</v>
      </c>
      <c r="I59" s="1540" t="n">
        <f aca="false">VLOOKUP($A59,Plant_Table,'Plant Operations'!$C$270)</f>
        <v>480</v>
      </c>
      <c r="J59" s="1575" t="n">
        <f aca="false">H59*I59/1000</f>
        <v>9161.81993469776</v>
      </c>
      <c r="K59" s="1565" t="n">
        <f aca="false">F59</f>
        <v>2.27861484205326</v>
      </c>
      <c r="L59" s="394" t="n">
        <f aca="false">J59/K59</f>
        <v>4020.78480558041</v>
      </c>
      <c r="M59" s="1579" t="str">
        <f aca="false">IF(MONTH($A59)=12,SUM(L48:L59)," ")</f>
        <v> </v>
      </c>
      <c r="O59" s="1597" t="n">
        <f aca="false">IF($A59&gt;Endyr,0,VLOOKUP($A59,Tariff_Table,Tariff!$H$33))</f>
        <v>6142.46</v>
      </c>
      <c r="P59" s="1565" t="n">
        <f aca="false">$AS59</f>
        <v>1.15707544277858</v>
      </c>
      <c r="Q59" s="1575" t="n">
        <f aca="false">O59*P59</f>
        <v>7107.28962424973</v>
      </c>
      <c r="R59" s="1565" t="n">
        <f aca="false">$F59</f>
        <v>2.27861484205326</v>
      </c>
      <c r="S59" s="427" t="n">
        <f aca="false">$G59</f>
        <v>1.065</v>
      </c>
      <c r="T59" s="1575" t="n">
        <f aca="false">Q59*R59/S59</f>
        <v>15206.3620888137</v>
      </c>
      <c r="U59" s="1540" t="n">
        <f aca="false">$I59</f>
        <v>480</v>
      </c>
      <c r="V59" s="1575" t="n">
        <f aca="false">T59*U59/1000</f>
        <v>7299.05380263057</v>
      </c>
      <c r="W59" s="1565" t="n">
        <f aca="false">R59</f>
        <v>2.27861484205326</v>
      </c>
      <c r="X59" s="394" t="n">
        <f aca="false">V59/W59</f>
        <v>3203.28546445058</v>
      </c>
      <c r="Y59" s="1579" t="str">
        <f aca="false">IF(MONTH($A59)=12,SUM(X48:X59)," ")</f>
        <v> </v>
      </c>
      <c r="AA59" s="1595" t="n">
        <f aca="false">IF($A59&gt;Endyr,0,VLOOKUP($A59,Tariff_Table,Tariff!$I$33))</f>
        <v>2.31</v>
      </c>
      <c r="AB59" s="1565" t="n">
        <f aca="false">$AS59</f>
        <v>1.15707544277858</v>
      </c>
      <c r="AC59" s="1596" t="n">
        <f aca="false">AA59*AB59</f>
        <v>2.67284427281853</v>
      </c>
      <c r="AD59" s="1565" t="n">
        <f aca="false">$F59</f>
        <v>2.27861484205326</v>
      </c>
      <c r="AE59" s="427" t="n">
        <f aca="false">$G59</f>
        <v>1.065</v>
      </c>
      <c r="AF59" s="1596" t="n">
        <f aca="false">AC59*AD59/AE59</f>
        <v>5.71866913665854</v>
      </c>
      <c r="AG59" s="397" t="n">
        <f aca="false">VLOOKUP($A59,Plant_Table,'Plant Operations'!$M$270)</f>
        <v>270047.232</v>
      </c>
      <c r="AH59" s="1575" t="n">
        <f aca="false">AF59*AG59/1000</f>
        <v>1544.31077107847</v>
      </c>
      <c r="AI59" s="1565" t="n">
        <f aca="false">AD59</f>
        <v>2.27861484205326</v>
      </c>
      <c r="AJ59" s="1566" t="n">
        <f aca="false">AH59/AI59</f>
        <v>677.741030461686</v>
      </c>
      <c r="AK59" s="1567" t="str">
        <f aca="false">IF(MONTH($A59)=12,SUM(AJ48:AJ59)," ")</f>
        <v> </v>
      </c>
      <c r="AM59" s="488" t="n">
        <f aca="false">IF($A59&gt;Endyr,0,VLOOKUP($A59,Tariff_Table,Tariff!$L$33))</f>
        <v>1.21</v>
      </c>
      <c r="AN59" s="1576" t="n">
        <f aca="false">VLOOKUP($A59,Curves_Table,Escalation!$Z$291)</f>
        <v>1.18952904665845</v>
      </c>
      <c r="AO59" s="1314" t="n">
        <f aca="false">AM59*AN59</f>
        <v>1.43933014645673</v>
      </c>
      <c r="AP59" s="1314" t="n">
        <f aca="false">IF($A59&gt;Endyr,0,VLOOKUP($A59,Tariff_Table,Tariff!$M$33))</f>
        <v>0.25</v>
      </c>
      <c r="AQ59" s="1314" t="n">
        <f aca="false">SUM(AO59,AP59)</f>
        <v>1.68933014645673</v>
      </c>
      <c r="AR59" s="1314" t="n">
        <f aca="false">SUM(AM59,AP59)</f>
        <v>1.46</v>
      </c>
      <c r="AS59" s="1598" t="n">
        <f aca="false">IF(AR59=0,0,AQ59/AR59)</f>
        <v>1.15707544277858</v>
      </c>
    </row>
    <row r="60" customFormat="false" ht="12.75" hidden="false" customHeight="false" outlineLevel="0" collapsed="false">
      <c r="A60" s="1538" t="n">
        <f aca="false">EDATE(A59,1)</f>
        <v>38412</v>
      </c>
      <c r="C60" s="1595" t="n">
        <f aca="false">IF($A60&gt;Endyr,0,VLOOKUP($A60,Tariff_Table,Tariff!$G$33))</f>
        <v>7432.1</v>
      </c>
      <c r="D60" s="1565" t="n">
        <f aca="false">VLOOKUP($A60,Curves_Table,Escalation!$V$291)</f>
        <v>1.20034933429065</v>
      </c>
      <c r="E60" s="1596" t="n">
        <f aca="false">C60*D60</f>
        <v>8921.11628738154</v>
      </c>
      <c r="F60" s="1565" t="n">
        <f aca="false">IF(Assm!$L$74=0,VLOOKUP($A60,Curves_Table,Escalation!$D$291),VLOOKUP($A60,Curves_Table,Escalation!$E$291))</f>
        <v>2.28394771296852</v>
      </c>
      <c r="G60" s="427" t="n">
        <f aca="false">IF($A60&lt;EE_Date,VLOOKUP($A60,Curves_Table,Escalation!$D$291),Exch)</f>
        <v>1.065</v>
      </c>
      <c r="H60" s="1596" t="n">
        <f aca="false">E60*F60/G60</f>
        <v>19131.7963771749</v>
      </c>
      <c r="I60" s="1540" t="n">
        <f aca="false">VLOOKUP($A60,Plant_Table,'Plant Operations'!$C$270)</f>
        <v>480</v>
      </c>
      <c r="J60" s="1575" t="n">
        <f aca="false">H60*I60/1000</f>
        <v>9183.26226104397</v>
      </c>
      <c r="K60" s="1565" t="n">
        <f aca="false">F60</f>
        <v>2.28394771296852</v>
      </c>
      <c r="L60" s="394" t="n">
        <f aca="false">J60/K60</f>
        <v>4020.78480558041</v>
      </c>
      <c r="M60" s="1579" t="str">
        <f aca="false">IF(MONTH($A60)=12,SUM(L49:L60)," ")</f>
        <v> </v>
      </c>
      <c r="O60" s="1597" t="n">
        <f aca="false">IF($A60&gt;Endyr,0,VLOOKUP($A60,Tariff_Table,Tariff!$H$33))</f>
        <v>6142.46</v>
      </c>
      <c r="P60" s="1565" t="n">
        <f aca="false">$AS60</f>
        <v>1.15707544277858</v>
      </c>
      <c r="Q60" s="1575" t="n">
        <f aca="false">O60*P60</f>
        <v>7107.28962424973</v>
      </c>
      <c r="R60" s="1565" t="n">
        <f aca="false">$F60</f>
        <v>2.28394771296852</v>
      </c>
      <c r="S60" s="427" t="n">
        <f aca="false">$G60</f>
        <v>1.065</v>
      </c>
      <c r="T60" s="1575" t="n">
        <f aca="false">Q60*R60/S60</f>
        <v>15241.9510635775</v>
      </c>
      <c r="U60" s="1540" t="n">
        <f aca="false">$I60</f>
        <v>480</v>
      </c>
      <c r="V60" s="1575" t="n">
        <f aca="false">T60*U60/1000</f>
        <v>7316.13651051722</v>
      </c>
      <c r="W60" s="1565" t="n">
        <f aca="false">R60</f>
        <v>2.28394771296852</v>
      </c>
      <c r="X60" s="394" t="n">
        <f aca="false">V60/W60</f>
        <v>3203.28546445058</v>
      </c>
      <c r="Y60" s="1579" t="str">
        <f aca="false">IF(MONTH($A60)=12,SUM(X49:X60)," ")</f>
        <v> </v>
      </c>
      <c r="AA60" s="1595" t="n">
        <f aca="false">IF($A60&gt;Endyr,0,VLOOKUP($A60,Tariff_Table,Tariff!$I$33))</f>
        <v>2.31</v>
      </c>
      <c r="AB60" s="1565" t="n">
        <f aca="false">$AS60</f>
        <v>1.15707544277858</v>
      </c>
      <c r="AC60" s="1596" t="n">
        <f aca="false">AA60*AB60</f>
        <v>2.67284427281853</v>
      </c>
      <c r="AD60" s="1565" t="n">
        <f aca="false">$F60</f>
        <v>2.28394771296852</v>
      </c>
      <c r="AE60" s="427" t="n">
        <f aca="false">$G60</f>
        <v>1.065</v>
      </c>
      <c r="AF60" s="1596" t="n">
        <f aca="false">AC60*AD60/AE60</f>
        <v>5.73205311176045</v>
      </c>
      <c r="AG60" s="397" t="n">
        <f aca="false">VLOOKUP($A60,Plant_Table,'Plant Operations'!$M$270)</f>
        <v>298980.864</v>
      </c>
      <c r="AH60" s="1575" t="n">
        <f aca="false">AF60*AG60/1000</f>
        <v>1713.77419184803</v>
      </c>
      <c r="AI60" s="1565" t="n">
        <f aca="false">AD60</f>
        <v>2.28394771296852</v>
      </c>
      <c r="AJ60" s="1566" t="n">
        <f aca="false">AH60/AI60</f>
        <v>750.356140868295</v>
      </c>
      <c r="AK60" s="1567" t="str">
        <f aca="false">IF(MONTH($A60)=12,SUM(AJ49:AJ60)," ")</f>
        <v> </v>
      </c>
      <c r="AM60" s="488" t="n">
        <f aca="false">IF($A60&gt;Endyr,0,VLOOKUP($A60,Tariff_Table,Tariff!$L$33))</f>
        <v>1.21</v>
      </c>
      <c r="AN60" s="1576" t="n">
        <f aca="false">VLOOKUP($A60,Curves_Table,Escalation!$Z$291)</f>
        <v>1.18952904665845</v>
      </c>
      <c r="AO60" s="1314" t="n">
        <f aca="false">AM60*AN60</f>
        <v>1.43933014645673</v>
      </c>
      <c r="AP60" s="1314" t="n">
        <f aca="false">IF($A60&gt;Endyr,0,VLOOKUP($A60,Tariff_Table,Tariff!$M$33))</f>
        <v>0.25</v>
      </c>
      <c r="AQ60" s="1314" t="n">
        <f aca="false">SUM(AO60,AP60)</f>
        <v>1.68933014645673</v>
      </c>
      <c r="AR60" s="1314" t="n">
        <f aca="false">SUM(AM60,AP60)</f>
        <v>1.46</v>
      </c>
      <c r="AS60" s="1598" t="n">
        <f aca="false">IF(AR60=0,0,AQ60/AR60)</f>
        <v>1.15707544277858</v>
      </c>
    </row>
    <row r="61" customFormat="false" ht="12.75" hidden="false" customHeight="false" outlineLevel="0" collapsed="false">
      <c r="A61" s="1538" t="n">
        <f aca="false">EDATE(A60,1)</f>
        <v>38443</v>
      </c>
      <c r="C61" s="1595" t="n">
        <f aca="false">IF($A61&gt;Endyr,0,VLOOKUP($A61,Tariff_Table,Tariff!$G$33))</f>
        <v>7432.1</v>
      </c>
      <c r="D61" s="1565" t="n">
        <f aca="false">VLOOKUP($A61,Curves_Table,Escalation!$V$291)</f>
        <v>1.20034933429065</v>
      </c>
      <c r="E61" s="1596" t="n">
        <f aca="false">C61*D61</f>
        <v>8921.11628738154</v>
      </c>
      <c r="F61" s="1565" t="n">
        <f aca="false">IF(Assm!$L$74=0,VLOOKUP($A61,Curves_Table,Escalation!$D$291),VLOOKUP($A61,Curves_Table,Escalation!$E$291))</f>
        <v>2.2892930649366</v>
      </c>
      <c r="G61" s="427" t="n">
        <f aca="false">IF($A61&lt;EE_Date,VLOOKUP($A61,Curves_Table,Escalation!$D$291),Exch)</f>
        <v>1.065</v>
      </c>
      <c r="H61" s="1596" t="n">
        <f aca="false">E61*F61/G61</f>
        <v>19176.5724396202</v>
      </c>
      <c r="I61" s="1540" t="n">
        <f aca="false">VLOOKUP($A61,Plant_Table,'Plant Operations'!$C$270)</f>
        <v>480</v>
      </c>
      <c r="J61" s="1575" t="n">
        <f aca="false">H61*I61/1000</f>
        <v>9204.75477101771</v>
      </c>
      <c r="K61" s="1565" t="n">
        <f aca="false">F61</f>
        <v>2.2892930649366</v>
      </c>
      <c r="L61" s="394" t="n">
        <f aca="false">J61/K61</f>
        <v>4020.78480558041</v>
      </c>
      <c r="M61" s="1579" t="str">
        <f aca="false">IF(MONTH($A61)=12,SUM(L50:L61)," ")</f>
        <v> </v>
      </c>
      <c r="O61" s="1597" t="n">
        <f aca="false">IF($A61&gt;Endyr,0,VLOOKUP($A61,Tariff_Table,Tariff!$H$33))</f>
        <v>6142.46</v>
      </c>
      <c r="P61" s="1565" t="n">
        <f aca="false">$AS61</f>
        <v>1.15707544277858</v>
      </c>
      <c r="Q61" s="1575" t="n">
        <f aca="false">O61*P61</f>
        <v>7107.28962424973</v>
      </c>
      <c r="R61" s="1565" t="n">
        <f aca="false">$F61</f>
        <v>2.2892930649366</v>
      </c>
      <c r="S61" s="427" t="n">
        <f aca="false">$G61</f>
        <v>1.065</v>
      </c>
      <c r="T61" s="1575" t="n">
        <f aca="false">Q61*R61/S61</f>
        <v>15277.6233307895</v>
      </c>
      <c r="U61" s="1540" t="n">
        <f aca="false">$I61</f>
        <v>480</v>
      </c>
      <c r="V61" s="1575" t="n">
        <f aca="false">T61*U61/1000</f>
        <v>7333.25919877895</v>
      </c>
      <c r="W61" s="1565" t="n">
        <f aca="false">R61</f>
        <v>2.2892930649366</v>
      </c>
      <c r="X61" s="394" t="n">
        <f aca="false">V61/W61</f>
        <v>3203.28546445058</v>
      </c>
      <c r="Y61" s="1579" t="str">
        <f aca="false">IF(MONTH($A61)=12,SUM(X50:X61)," ")</f>
        <v> </v>
      </c>
      <c r="AA61" s="1595" t="n">
        <f aca="false">IF($A61&gt;Endyr,0,VLOOKUP($A61,Tariff_Table,Tariff!$I$33))</f>
        <v>2.31</v>
      </c>
      <c r="AB61" s="1565" t="n">
        <f aca="false">$AS61</f>
        <v>1.15707544277858</v>
      </c>
      <c r="AC61" s="1596" t="n">
        <f aca="false">AA61*AB61</f>
        <v>2.67284427281853</v>
      </c>
      <c r="AD61" s="1565" t="n">
        <f aca="false">$F61</f>
        <v>2.2892930649366</v>
      </c>
      <c r="AE61" s="427" t="n">
        <f aca="false">$G61</f>
        <v>1.065</v>
      </c>
      <c r="AF61" s="1596" t="n">
        <f aca="false">AC61*AD61/AE61</f>
        <v>5.74546841072204</v>
      </c>
      <c r="AG61" s="397" t="n">
        <f aca="false">VLOOKUP($A61,Plant_Table,'Plant Operations'!$M$270)</f>
        <v>289336.32</v>
      </c>
      <c r="AH61" s="1575" t="n">
        <f aca="false">AF61*AG61/1000</f>
        <v>1662.37268663456</v>
      </c>
      <c r="AI61" s="1565" t="n">
        <f aca="false">AD61</f>
        <v>2.2892930649366</v>
      </c>
      <c r="AJ61" s="1566" t="n">
        <f aca="false">AH61/AI61</f>
        <v>726.151104066092</v>
      </c>
      <c r="AK61" s="1567" t="str">
        <f aca="false">IF(MONTH($A61)=12,SUM(AJ50:AJ61)," ")</f>
        <v> </v>
      </c>
      <c r="AM61" s="488" t="n">
        <f aca="false">IF($A61&gt;Endyr,0,VLOOKUP($A61,Tariff_Table,Tariff!$L$33))</f>
        <v>1.21</v>
      </c>
      <c r="AN61" s="1576" t="n">
        <f aca="false">VLOOKUP($A61,Curves_Table,Escalation!$Z$291)</f>
        <v>1.18952904665845</v>
      </c>
      <c r="AO61" s="1314" t="n">
        <f aca="false">AM61*AN61</f>
        <v>1.43933014645673</v>
      </c>
      <c r="AP61" s="1314" t="n">
        <f aca="false">IF($A61&gt;Endyr,0,VLOOKUP($A61,Tariff_Table,Tariff!$M$33))</f>
        <v>0.25</v>
      </c>
      <c r="AQ61" s="1314" t="n">
        <f aca="false">SUM(AO61,AP61)</f>
        <v>1.68933014645673</v>
      </c>
      <c r="AR61" s="1314" t="n">
        <f aca="false">SUM(AM61,AP61)</f>
        <v>1.46</v>
      </c>
      <c r="AS61" s="1598" t="n">
        <f aca="false">IF(AR61=0,0,AQ61/AR61)</f>
        <v>1.15707544277858</v>
      </c>
    </row>
    <row r="62" customFormat="false" ht="12.75" hidden="false" customHeight="false" outlineLevel="0" collapsed="false">
      <c r="A62" s="1538" t="n">
        <f aca="false">EDATE(A61,1)</f>
        <v>38473</v>
      </c>
      <c r="C62" s="1595" t="n">
        <f aca="false">IF($A62&gt;Endyr,0,VLOOKUP($A62,Tariff_Table,Tariff!$G$33))</f>
        <v>7420.61</v>
      </c>
      <c r="D62" s="1565" t="n">
        <f aca="false">VLOOKUP($A62,Curves_Table,Escalation!$V$291)</f>
        <v>1.23462294375966</v>
      </c>
      <c r="E62" s="1596" t="n">
        <f aca="false">C62*D62</f>
        <v>9161.65536269239</v>
      </c>
      <c r="F62" s="1565" t="n">
        <f aca="false">IF(Assm!$L$74=0,VLOOKUP($A62,Curves_Table,Escalation!$D$291),VLOOKUP($A62,Curves_Table,Escalation!$E$291))</f>
        <v>2.29465092716816</v>
      </c>
      <c r="G62" s="427" t="n">
        <f aca="false">IF($A62&lt;EE_Date,VLOOKUP($A62,Curves_Table,Escalation!$D$291),Exch)</f>
        <v>1.065</v>
      </c>
      <c r="H62" s="1596" t="n">
        <f aca="false">E62*F62/G62</f>
        <v>19739.7192229082</v>
      </c>
      <c r="I62" s="1540" t="n">
        <f aca="false">VLOOKUP($A62,Plant_Table,'Plant Operations'!$C$270)</f>
        <v>480</v>
      </c>
      <c r="J62" s="1575" t="n">
        <f aca="false">H62*I62/1000</f>
        <v>9475.06522699595</v>
      </c>
      <c r="K62" s="1565" t="n">
        <f aca="false">F62</f>
        <v>2.29465092716816</v>
      </c>
      <c r="L62" s="394" t="n">
        <f aca="false">J62/K62</f>
        <v>4129.1967831853</v>
      </c>
      <c r="M62" s="1579" t="str">
        <f aca="false">IF(MONTH($A62)=12,SUM(L51:L62)," ")</f>
        <v> </v>
      </c>
      <c r="O62" s="1597" t="n">
        <f aca="false">IF($A62&gt;Endyr,0,VLOOKUP($A62,Tariff_Table,Tariff!$H$33))</f>
        <v>6104.93</v>
      </c>
      <c r="P62" s="1565" t="n">
        <f aca="false">$AS62</f>
        <v>1.18275962783774</v>
      </c>
      <c r="Q62" s="1575" t="n">
        <f aca="false">O62*P62</f>
        <v>7220.66473477542</v>
      </c>
      <c r="R62" s="1565" t="n">
        <f aca="false">$F62</f>
        <v>2.29465092716816</v>
      </c>
      <c r="S62" s="427" t="n">
        <f aca="false">$G62</f>
        <v>1.065</v>
      </c>
      <c r="T62" s="1575" t="n">
        <f aca="false">Q62*R62/S62</f>
        <v>15557.6573036835</v>
      </c>
      <c r="U62" s="1540" t="n">
        <f aca="false">$I62</f>
        <v>480</v>
      </c>
      <c r="V62" s="1575" t="n">
        <f aca="false">T62*U62/1000</f>
        <v>7467.67550576807</v>
      </c>
      <c r="W62" s="1565" t="n">
        <f aca="false">R62</f>
        <v>2.29465092716816</v>
      </c>
      <c r="X62" s="394" t="n">
        <f aca="false">V62/W62</f>
        <v>3254.38410581428</v>
      </c>
      <c r="Y62" s="1579" t="str">
        <f aca="false">IF(MONTH($A62)=12,SUM(X51:X62)," ")</f>
        <v> </v>
      </c>
      <c r="AA62" s="1595" t="n">
        <f aca="false">IF($A62&gt;Endyr,0,VLOOKUP($A62,Tariff_Table,Tariff!$I$33))</f>
        <v>2.3</v>
      </c>
      <c r="AB62" s="1565" t="n">
        <f aca="false">$AS62</f>
        <v>1.18275962783774</v>
      </c>
      <c r="AC62" s="1596" t="n">
        <f aca="false">AA62*AB62</f>
        <v>2.72034714402679</v>
      </c>
      <c r="AD62" s="1565" t="n">
        <f aca="false">$F62</f>
        <v>2.29465092716816</v>
      </c>
      <c r="AE62" s="427" t="n">
        <f aca="false">$G62</f>
        <v>1.065</v>
      </c>
      <c r="AF62" s="1596" t="n">
        <f aca="false">AC62*AD62/AE62</f>
        <v>5.86126487911769</v>
      </c>
      <c r="AG62" s="397" t="n">
        <f aca="false">VLOOKUP($A62,Plant_Table,'Plant Operations'!$M$270)</f>
        <v>298980.864</v>
      </c>
      <c r="AH62" s="1575" t="n">
        <f aca="false">AF62*AG62/1000</f>
        <v>1752.40603769146</v>
      </c>
      <c r="AI62" s="1565" t="n">
        <f aca="false">AD62</f>
        <v>2.29465092716816</v>
      </c>
      <c r="AJ62" s="1566" t="n">
        <f aca="false">AH62/AI62</f>
        <v>763.691774179401</v>
      </c>
      <c r="AK62" s="1567" t="str">
        <f aca="false">IF(MONTH($A62)=12,SUM(AJ51:AJ62)," ")</f>
        <v> </v>
      </c>
      <c r="AM62" s="488" t="n">
        <f aca="false">IF($A62&gt;Endyr,0,VLOOKUP($A62,Tariff_Table,Tariff!$L$33))</f>
        <v>1.21</v>
      </c>
      <c r="AN62" s="1576" t="n">
        <f aca="false">VLOOKUP($A62,Curves_Table,Escalation!$Z$291)</f>
        <v>1.22051988152322</v>
      </c>
      <c r="AO62" s="1314" t="n">
        <f aca="false">AM62*AN62</f>
        <v>1.47682905664309</v>
      </c>
      <c r="AP62" s="1314" t="n">
        <f aca="false">IF($A62&gt;Endyr,0,VLOOKUP($A62,Tariff_Table,Tariff!$M$33))</f>
        <v>0.25</v>
      </c>
      <c r="AQ62" s="1314" t="n">
        <f aca="false">SUM(AO62,AP62)</f>
        <v>1.72682905664309</v>
      </c>
      <c r="AR62" s="1314" t="n">
        <f aca="false">SUM(AM62,AP62)</f>
        <v>1.46</v>
      </c>
      <c r="AS62" s="1598" t="n">
        <f aca="false">IF(AR62=0,0,AQ62/AR62)</f>
        <v>1.18275962783774</v>
      </c>
    </row>
    <row r="63" customFormat="false" ht="12.75" hidden="false" customHeight="false" outlineLevel="0" collapsed="false">
      <c r="A63" s="1538" t="n">
        <f aca="false">EDATE(A62,1)</f>
        <v>38504</v>
      </c>
      <c r="C63" s="1595" t="n">
        <f aca="false">IF($A63&gt;Endyr,0,VLOOKUP($A63,Tariff_Table,Tariff!$G$33))</f>
        <v>7420.61</v>
      </c>
      <c r="D63" s="1565" t="n">
        <f aca="false">VLOOKUP($A63,Curves_Table,Escalation!$V$291)</f>
        <v>1.23462294375966</v>
      </c>
      <c r="E63" s="1596" t="n">
        <f aca="false">C63*D63</f>
        <v>9161.65536269239</v>
      </c>
      <c r="F63" s="1565" t="n">
        <f aca="false">IF(Assm!$L$74=0,VLOOKUP($A63,Curves_Table,Escalation!$D$291),VLOOKUP($A63,Curves_Table,Escalation!$E$291))</f>
        <v>2.30002132894223</v>
      </c>
      <c r="G63" s="427" t="n">
        <f aca="false">IF($A63&lt;EE_Date,VLOOKUP($A63,Curves_Table,Escalation!$D$291),Exch)</f>
        <v>1.065</v>
      </c>
      <c r="H63" s="1596" t="n">
        <f aca="false">E63*F63/G63</f>
        <v>19785.9180681788</v>
      </c>
      <c r="I63" s="1540" t="n">
        <f aca="false">VLOOKUP($A63,Plant_Table,'Plant Operations'!$C$270)</f>
        <v>480</v>
      </c>
      <c r="J63" s="1575" t="n">
        <f aca="false">H63*I63/1000</f>
        <v>9497.24067272584</v>
      </c>
      <c r="K63" s="1565" t="n">
        <f aca="false">F63</f>
        <v>2.30002132894223</v>
      </c>
      <c r="L63" s="394" t="n">
        <f aca="false">J63/K63</f>
        <v>4129.1967831853</v>
      </c>
      <c r="M63" s="1579" t="str">
        <f aca="false">IF(MONTH($A63)=12,SUM(L52:L63)," ")</f>
        <v> </v>
      </c>
      <c r="O63" s="1597" t="n">
        <f aca="false">IF($A63&gt;Endyr,0,VLOOKUP($A63,Tariff_Table,Tariff!$H$33))</f>
        <v>6104.93</v>
      </c>
      <c r="P63" s="1565" t="n">
        <f aca="false">$AS63</f>
        <v>1.18275962783774</v>
      </c>
      <c r="Q63" s="1575" t="n">
        <f aca="false">O63*P63</f>
        <v>7220.66473477542</v>
      </c>
      <c r="R63" s="1565" t="n">
        <f aca="false">$F63</f>
        <v>2.30002132894223</v>
      </c>
      <c r="S63" s="427" t="n">
        <f aca="false">$G63</f>
        <v>1.065</v>
      </c>
      <c r="T63" s="1575" t="n">
        <f aca="false">Q63*R63/S63</f>
        <v>15594.0684498821</v>
      </c>
      <c r="U63" s="1540" t="n">
        <f aca="false">$I63</f>
        <v>480</v>
      </c>
      <c r="V63" s="1575" t="n">
        <f aca="false">T63*U63/1000</f>
        <v>7485.15285594342</v>
      </c>
      <c r="W63" s="1565" t="n">
        <f aca="false">R63</f>
        <v>2.30002132894223</v>
      </c>
      <c r="X63" s="394" t="n">
        <f aca="false">V63/W63</f>
        <v>3254.38410581428</v>
      </c>
      <c r="Y63" s="1579" t="str">
        <f aca="false">IF(MONTH($A63)=12,SUM(X52:X63)," ")</f>
        <v> </v>
      </c>
      <c r="AA63" s="1595" t="n">
        <f aca="false">IF($A63&gt;Endyr,0,VLOOKUP($A63,Tariff_Table,Tariff!$I$33))</f>
        <v>2.3</v>
      </c>
      <c r="AB63" s="1565" t="n">
        <f aca="false">$AS63</f>
        <v>1.18275962783774</v>
      </c>
      <c r="AC63" s="1596" t="n">
        <f aca="false">AA63*AB63</f>
        <v>2.72034714402679</v>
      </c>
      <c r="AD63" s="1565" t="n">
        <f aca="false">$F63</f>
        <v>2.30002132894223</v>
      </c>
      <c r="AE63" s="427" t="n">
        <f aca="false">$G63</f>
        <v>1.065</v>
      </c>
      <c r="AF63" s="1596" t="n">
        <f aca="false">AC63*AD63/AE63</f>
        <v>5.8749825853415</v>
      </c>
      <c r="AG63" s="397" t="n">
        <f aca="false">VLOOKUP($A63,Plant_Table,'Plant Operations'!$M$270)</f>
        <v>289336.32</v>
      </c>
      <c r="AH63" s="1575" t="n">
        <f aca="false">AF63*AG63/1000</f>
        <v>1699.84584130679</v>
      </c>
      <c r="AI63" s="1565" t="n">
        <f aca="false">AD63</f>
        <v>2.30002132894223</v>
      </c>
      <c r="AJ63" s="1566" t="n">
        <f aca="false">AH63/AI63</f>
        <v>739.056555657485</v>
      </c>
      <c r="AK63" s="1567" t="str">
        <f aca="false">IF(MONTH($A63)=12,SUM(AJ52:AJ63)," ")</f>
        <v> </v>
      </c>
      <c r="AM63" s="488" t="n">
        <f aca="false">IF($A63&gt;Endyr,0,VLOOKUP($A63,Tariff_Table,Tariff!$L$33))</f>
        <v>1.21</v>
      </c>
      <c r="AN63" s="1576" t="n">
        <f aca="false">VLOOKUP($A63,Curves_Table,Escalation!$Z$291)</f>
        <v>1.22051988152322</v>
      </c>
      <c r="AO63" s="1314" t="n">
        <f aca="false">AM63*AN63</f>
        <v>1.47682905664309</v>
      </c>
      <c r="AP63" s="1314" t="n">
        <f aca="false">IF($A63&gt;Endyr,0,VLOOKUP($A63,Tariff_Table,Tariff!$M$33))</f>
        <v>0.25</v>
      </c>
      <c r="AQ63" s="1314" t="n">
        <f aca="false">SUM(AO63,AP63)</f>
        <v>1.72682905664309</v>
      </c>
      <c r="AR63" s="1314" t="n">
        <f aca="false">SUM(AM63,AP63)</f>
        <v>1.46</v>
      </c>
      <c r="AS63" s="1598" t="n">
        <f aca="false">IF(AR63=0,0,AQ63/AR63)</f>
        <v>1.18275962783774</v>
      </c>
    </row>
    <row r="64" customFormat="false" ht="12.75" hidden="false" customHeight="false" outlineLevel="0" collapsed="false">
      <c r="A64" s="1538" t="n">
        <f aca="false">EDATE(A63,1)</f>
        <v>38534</v>
      </c>
      <c r="C64" s="1595" t="n">
        <f aca="false">IF($A64&gt;Endyr,0,VLOOKUP($A64,Tariff_Table,Tariff!$G$33))</f>
        <v>7420.61</v>
      </c>
      <c r="D64" s="1565" t="n">
        <f aca="false">VLOOKUP($A64,Curves_Table,Escalation!$V$291)</f>
        <v>1.23462294375966</v>
      </c>
      <c r="E64" s="1596" t="n">
        <f aca="false">C64*D64</f>
        <v>9161.65536269239</v>
      </c>
      <c r="F64" s="1565" t="n">
        <f aca="false">IF(Assm!$L$74=0,VLOOKUP($A64,Curves_Table,Escalation!$D$291),VLOOKUP($A64,Curves_Table,Escalation!$E$291))</f>
        <v>2.30540429960635</v>
      </c>
      <c r="G64" s="427" t="n">
        <f aca="false">IF($A64&lt;EE_Date,VLOOKUP($A64,Curves_Table,Escalation!$D$291),Exch)</f>
        <v>1.065</v>
      </c>
      <c r="H64" s="1596" t="n">
        <f aca="false">E64*F64/G64</f>
        <v>19832.2250372419</v>
      </c>
      <c r="I64" s="1540" t="n">
        <f aca="false">VLOOKUP($A64,Plant_Table,'Plant Operations'!$C$270)</f>
        <v>480</v>
      </c>
      <c r="J64" s="1575" t="n">
        <f aca="false">H64*I64/1000</f>
        <v>9519.46801787609</v>
      </c>
      <c r="K64" s="1565" t="n">
        <f aca="false">F64</f>
        <v>2.30540429960635</v>
      </c>
      <c r="L64" s="394" t="n">
        <f aca="false">J64/K64</f>
        <v>4129.1967831853</v>
      </c>
      <c r="M64" s="1579" t="str">
        <f aca="false">IF(MONTH($A64)=12,SUM(L53:L64)," ")</f>
        <v> </v>
      </c>
      <c r="O64" s="1597" t="n">
        <f aca="false">IF($A64&gt;Endyr,0,VLOOKUP($A64,Tariff_Table,Tariff!$H$33))</f>
        <v>6104.93</v>
      </c>
      <c r="P64" s="1565" t="n">
        <f aca="false">$AS64</f>
        <v>1.18275962783774</v>
      </c>
      <c r="Q64" s="1575" t="n">
        <f aca="false">O64*P64</f>
        <v>7220.66473477542</v>
      </c>
      <c r="R64" s="1565" t="n">
        <f aca="false">$F64</f>
        <v>2.30540429960635</v>
      </c>
      <c r="S64" s="427" t="n">
        <f aca="false">$G64</f>
        <v>1.065</v>
      </c>
      <c r="T64" s="1575" t="n">
        <f aca="false">Q64*R64/S64</f>
        <v>15630.5648127391</v>
      </c>
      <c r="U64" s="1540" t="n">
        <f aca="false">$I64</f>
        <v>480</v>
      </c>
      <c r="V64" s="1575" t="n">
        <f aca="false">T64*U64/1000</f>
        <v>7502.67111011479</v>
      </c>
      <c r="W64" s="1565" t="n">
        <f aca="false">R64</f>
        <v>2.30540429960635</v>
      </c>
      <c r="X64" s="394" t="n">
        <f aca="false">V64/W64</f>
        <v>3254.38410581428</v>
      </c>
      <c r="Y64" s="1579" t="str">
        <f aca="false">IF(MONTH($A64)=12,SUM(X53:X64)," ")</f>
        <v> </v>
      </c>
      <c r="AA64" s="1595" t="n">
        <f aca="false">IF($A64&gt;Endyr,0,VLOOKUP($A64,Tariff_Table,Tariff!$I$33))</f>
        <v>2.3</v>
      </c>
      <c r="AB64" s="1565" t="n">
        <f aca="false">$AS64</f>
        <v>1.18275962783774</v>
      </c>
      <c r="AC64" s="1596" t="n">
        <f aca="false">AA64*AB64</f>
        <v>2.72034714402679</v>
      </c>
      <c r="AD64" s="1565" t="n">
        <f aca="false">$F64</f>
        <v>2.30540429960635</v>
      </c>
      <c r="AE64" s="427" t="n">
        <f aca="false">$G64</f>
        <v>1.065</v>
      </c>
      <c r="AF64" s="1596" t="n">
        <f aca="false">AC64*AD64/AE64</f>
        <v>5.8887323964894</v>
      </c>
      <c r="AG64" s="397" t="n">
        <f aca="false">VLOOKUP($A64,Plant_Table,'Plant Operations'!$M$270)</f>
        <v>298980.864</v>
      </c>
      <c r="AH64" s="1575" t="n">
        <f aca="false">AF64*AG64/1000</f>
        <v>1760.61829976719</v>
      </c>
      <c r="AI64" s="1565" t="n">
        <f aca="false">AD64</f>
        <v>2.30540429960635</v>
      </c>
      <c r="AJ64" s="1566" t="n">
        <f aca="false">AH64/AI64</f>
        <v>763.691774179401</v>
      </c>
      <c r="AK64" s="1567" t="str">
        <f aca="false">IF(MONTH($A64)=12,SUM(AJ53:AJ64)," ")</f>
        <v> </v>
      </c>
      <c r="AM64" s="488" t="n">
        <f aca="false">IF($A64&gt;Endyr,0,VLOOKUP($A64,Tariff_Table,Tariff!$L$33))</f>
        <v>1.21</v>
      </c>
      <c r="AN64" s="1576" t="n">
        <f aca="false">VLOOKUP($A64,Curves_Table,Escalation!$Z$291)</f>
        <v>1.22051988152322</v>
      </c>
      <c r="AO64" s="1314" t="n">
        <f aca="false">AM64*AN64</f>
        <v>1.47682905664309</v>
      </c>
      <c r="AP64" s="1314" t="n">
        <f aca="false">IF($A64&gt;Endyr,0,VLOOKUP($A64,Tariff_Table,Tariff!$M$33))</f>
        <v>0.25</v>
      </c>
      <c r="AQ64" s="1314" t="n">
        <f aca="false">SUM(AO64,AP64)</f>
        <v>1.72682905664309</v>
      </c>
      <c r="AR64" s="1314" t="n">
        <f aca="false">SUM(AM64,AP64)</f>
        <v>1.46</v>
      </c>
      <c r="AS64" s="1598" t="n">
        <f aca="false">IF(AR64=0,0,AQ64/AR64)</f>
        <v>1.18275962783774</v>
      </c>
    </row>
    <row r="65" customFormat="false" ht="12.75" hidden="false" customHeight="false" outlineLevel="0" collapsed="false">
      <c r="A65" s="1538" t="n">
        <f aca="false">EDATE(A64,1)</f>
        <v>38565</v>
      </c>
      <c r="C65" s="1595" t="n">
        <f aca="false">IF($A65&gt;Endyr,0,VLOOKUP($A65,Tariff_Table,Tariff!$G$33))</f>
        <v>7420.61</v>
      </c>
      <c r="D65" s="1565" t="n">
        <f aca="false">VLOOKUP($A65,Curves_Table,Escalation!$V$291)</f>
        <v>1.23462294375966</v>
      </c>
      <c r="E65" s="1596" t="n">
        <f aca="false">C65*D65</f>
        <v>9161.65536269239</v>
      </c>
      <c r="F65" s="1565" t="n">
        <f aca="false">IF(Assm!$L$74=0,VLOOKUP($A65,Curves_Table,Escalation!$D$291),VLOOKUP($A65,Curves_Table,Escalation!$E$291))</f>
        <v>2.31079986857675</v>
      </c>
      <c r="G65" s="427" t="n">
        <f aca="false">IF($A65&lt;EE_Date,VLOOKUP($A65,Curves_Table,Escalation!$D$291),Exch)</f>
        <v>1.065</v>
      </c>
      <c r="H65" s="1596" t="n">
        <f aca="false">E65*F65/G65</f>
        <v>19878.6403831503</v>
      </c>
      <c r="I65" s="1540" t="n">
        <f aca="false">VLOOKUP($A65,Plant_Table,'Plant Operations'!$C$270)</f>
        <v>480</v>
      </c>
      <c r="J65" s="1575" t="n">
        <f aca="false">H65*I65/1000</f>
        <v>9541.74738391215</v>
      </c>
      <c r="K65" s="1565" t="n">
        <f aca="false">F65</f>
        <v>2.31079986857675</v>
      </c>
      <c r="L65" s="394" t="n">
        <f aca="false">J65/K65</f>
        <v>4129.1967831853</v>
      </c>
      <c r="M65" s="1579" t="str">
        <f aca="false">IF(MONTH($A65)=12,SUM(L54:L65)," ")</f>
        <v> </v>
      </c>
      <c r="O65" s="1597" t="n">
        <f aca="false">IF($A65&gt;Endyr,0,VLOOKUP($A65,Tariff_Table,Tariff!$H$33))</f>
        <v>6104.93</v>
      </c>
      <c r="P65" s="1565" t="n">
        <f aca="false">$AS65</f>
        <v>1.18275962783774</v>
      </c>
      <c r="Q65" s="1575" t="n">
        <f aca="false">O65*P65</f>
        <v>7220.66473477542</v>
      </c>
      <c r="R65" s="1565" t="n">
        <f aca="false">$F65</f>
        <v>2.31079986857675</v>
      </c>
      <c r="S65" s="427" t="n">
        <f aca="false">$G65</f>
        <v>1.065</v>
      </c>
      <c r="T65" s="1575" t="n">
        <f aca="false">Q65*R65/S65</f>
        <v>15667.1465916956</v>
      </c>
      <c r="U65" s="1540" t="n">
        <f aca="false">$I65</f>
        <v>480</v>
      </c>
      <c r="V65" s="1575" t="n">
        <f aca="false">T65*U65/1000</f>
        <v>7520.2303640139</v>
      </c>
      <c r="W65" s="1565" t="n">
        <f aca="false">R65</f>
        <v>2.31079986857675</v>
      </c>
      <c r="X65" s="394" t="n">
        <f aca="false">V65/W65</f>
        <v>3254.38410581428</v>
      </c>
      <c r="Y65" s="1579" t="str">
        <f aca="false">IF(MONTH($A65)=12,SUM(X54:X65)," ")</f>
        <v> </v>
      </c>
      <c r="AA65" s="1595" t="n">
        <f aca="false">IF($A65&gt;Endyr,0,VLOOKUP($A65,Tariff_Table,Tariff!$I$33))</f>
        <v>2.3</v>
      </c>
      <c r="AB65" s="1565" t="n">
        <f aca="false">$AS65</f>
        <v>1.18275962783774</v>
      </c>
      <c r="AC65" s="1596" t="n">
        <f aca="false">AA65*AB65</f>
        <v>2.72034714402679</v>
      </c>
      <c r="AD65" s="1565" t="n">
        <f aca="false">$F65</f>
        <v>2.31079986857675</v>
      </c>
      <c r="AE65" s="427" t="n">
        <f aca="false">$G65</f>
        <v>1.065</v>
      </c>
      <c r="AF65" s="1596" t="n">
        <f aca="false">AC65*AD65/AE65</f>
        <v>5.90251438769977</v>
      </c>
      <c r="AG65" s="397" t="n">
        <f aca="false">VLOOKUP($A65,Plant_Table,'Plant Operations'!$M$270)</f>
        <v>298980.864</v>
      </c>
      <c r="AH65" s="1575" t="n">
        <f aca="false">AF65*AG65/1000</f>
        <v>1764.73885140691</v>
      </c>
      <c r="AI65" s="1565" t="n">
        <f aca="false">AD65</f>
        <v>2.31079986857675</v>
      </c>
      <c r="AJ65" s="1566" t="n">
        <f aca="false">AH65/AI65</f>
        <v>763.691774179401</v>
      </c>
      <c r="AK65" s="1567" t="str">
        <f aca="false">IF(MONTH($A65)=12,SUM(AJ54:AJ65)," ")</f>
        <v> </v>
      </c>
      <c r="AM65" s="488" t="n">
        <f aca="false">IF($A65&gt;Endyr,0,VLOOKUP($A65,Tariff_Table,Tariff!$L$33))</f>
        <v>1.21</v>
      </c>
      <c r="AN65" s="1576" t="n">
        <f aca="false">VLOOKUP($A65,Curves_Table,Escalation!$Z$291)</f>
        <v>1.22051988152322</v>
      </c>
      <c r="AO65" s="1314" t="n">
        <f aca="false">AM65*AN65</f>
        <v>1.47682905664309</v>
      </c>
      <c r="AP65" s="1314" t="n">
        <f aca="false">IF($A65&gt;Endyr,0,VLOOKUP($A65,Tariff_Table,Tariff!$M$33))</f>
        <v>0.25</v>
      </c>
      <c r="AQ65" s="1314" t="n">
        <f aca="false">SUM(AO65,AP65)</f>
        <v>1.72682905664309</v>
      </c>
      <c r="AR65" s="1314" t="n">
        <f aca="false">SUM(AM65,AP65)</f>
        <v>1.46</v>
      </c>
      <c r="AS65" s="1598" t="n">
        <f aca="false">IF(AR65=0,0,AQ65/AR65)</f>
        <v>1.18275962783774</v>
      </c>
    </row>
    <row r="66" customFormat="false" ht="12.75" hidden="false" customHeight="false" outlineLevel="0" collapsed="false">
      <c r="A66" s="1538" t="n">
        <f aca="false">EDATE(A65,1)</f>
        <v>38596</v>
      </c>
      <c r="C66" s="1595" t="n">
        <f aca="false">IF($A66&gt;Endyr,0,VLOOKUP($A66,Tariff_Table,Tariff!$G$33))</f>
        <v>7420.61</v>
      </c>
      <c r="D66" s="1565" t="n">
        <f aca="false">VLOOKUP($A66,Curves_Table,Escalation!$V$291)</f>
        <v>1.23462294375966</v>
      </c>
      <c r="E66" s="1596" t="n">
        <f aca="false">C66*D66</f>
        <v>9161.65536269239</v>
      </c>
      <c r="F66" s="1565" t="n">
        <f aca="false">IF(Assm!$L$74=0,VLOOKUP($A66,Curves_Table,Escalation!$D$291),VLOOKUP($A66,Curves_Table,Escalation!$E$291))</f>
        <v>2.31620806533853</v>
      </c>
      <c r="G66" s="427" t="n">
        <f aca="false">IF($A66&lt;EE_Date,VLOOKUP($A66,Curves_Table,Escalation!$D$291),Exch)</f>
        <v>1.065</v>
      </c>
      <c r="H66" s="1596" t="n">
        <f aca="false">E66*F66/G66</f>
        <v>19925.1643595494</v>
      </c>
      <c r="I66" s="1540" t="n">
        <f aca="false">VLOOKUP($A66,Plant_Table,'Plant Operations'!$C$270)</f>
        <v>480</v>
      </c>
      <c r="J66" s="1575" t="n">
        <f aca="false">H66*I66/1000</f>
        <v>9564.0788925837</v>
      </c>
      <c r="K66" s="1565" t="n">
        <f aca="false">F66</f>
        <v>2.31620806533853</v>
      </c>
      <c r="L66" s="394" t="n">
        <f aca="false">J66/K66</f>
        <v>4129.1967831853</v>
      </c>
      <c r="M66" s="1579" t="str">
        <f aca="false">IF(MONTH($A66)=12,SUM(L55:L66)," ")</f>
        <v> </v>
      </c>
      <c r="O66" s="1597" t="n">
        <f aca="false">IF($A66&gt;Endyr,0,VLOOKUP($A66,Tariff_Table,Tariff!$H$33))</f>
        <v>6104.93</v>
      </c>
      <c r="P66" s="1565" t="n">
        <f aca="false">$AS66</f>
        <v>1.18275962783774</v>
      </c>
      <c r="Q66" s="1575" t="n">
        <f aca="false">O66*P66</f>
        <v>7220.66473477542</v>
      </c>
      <c r="R66" s="1565" t="n">
        <f aca="false">$F66</f>
        <v>2.31620806533853</v>
      </c>
      <c r="S66" s="427" t="n">
        <f aca="false">$G66</f>
        <v>1.065</v>
      </c>
      <c r="T66" s="1575" t="n">
        <f aca="false">Q66*R66/S66</f>
        <v>15703.8139866595</v>
      </c>
      <c r="U66" s="1540" t="n">
        <f aca="false">$I66</f>
        <v>480</v>
      </c>
      <c r="V66" s="1575" t="n">
        <f aca="false">T66*U66/1000</f>
        <v>7537.83071359654</v>
      </c>
      <c r="W66" s="1565" t="n">
        <f aca="false">R66</f>
        <v>2.31620806533853</v>
      </c>
      <c r="X66" s="394" t="n">
        <f aca="false">V66/W66</f>
        <v>3254.38410581428</v>
      </c>
      <c r="Y66" s="1579" t="str">
        <f aca="false">IF(MONTH($A66)=12,SUM(X55:X66)," ")</f>
        <v> </v>
      </c>
      <c r="AA66" s="1595" t="n">
        <f aca="false">IF($A66&gt;Endyr,0,VLOOKUP($A66,Tariff_Table,Tariff!$I$33))</f>
        <v>2.3</v>
      </c>
      <c r="AB66" s="1565" t="n">
        <f aca="false">$AS66</f>
        <v>1.18275962783774</v>
      </c>
      <c r="AC66" s="1596" t="n">
        <f aca="false">AA66*AB66</f>
        <v>2.72034714402679</v>
      </c>
      <c r="AD66" s="1565" t="n">
        <f aca="false">$F66</f>
        <v>2.31620806533853</v>
      </c>
      <c r="AE66" s="427" t="n">
        <f aca="false">$G66</f>
        <v>1.065</v>
      </c>
      <c r="AF66" s="1596" t="n">
        <f aca="false">AC66*AD66/AE66</f>
        <v>5.91632863428684</v>
      </c>
      <c r="AG66" s="397" t="n">
        <f aca="false">VLOOKUP($A66,Plant_Table,'Plant Operations'!$M$270)</f>
        <v>289336.32</v>
      </c>
      <c r="AH66" s="1575" t="n">
        <f aca="false">AF66*AG66/1000</f>
        <v>1711.80875495518</v>
      </c>
      <c r="AI66" s="1565" t="n">
        <f aca="false">AD66</f>
        <v>2.31620806533853</v>
      </c>
      <c r="AJ66" s="1566" t="n">
        <f aca="false">AH66/AI66</f>
        <v>739.056555657485</v>
      </c>
      <c r="AK66" s="1567" t="str">
        <f aca="false">IF(MONTH($A66)=12,SUM(AJ55:AJ66)," ")</f>
        <v> </v>
      </c>
      <c r="AM66" s="488" t="n">
        <f aca="false">IF($A66&gt;Endyr,0,VLOOKUP($A66,Tariff_Table,Tariff!$L$33))</f>
        <v>1.21</v>
      </c>
      <c r="AN66" s="1576" t="n">
        <f aca="false">VLOOKUP($A66,Curves_Table,Escalation!$Z$291)</f>
        <v>1.22051988152322</v>
      </c>
      <c r="AO66" s="1314" t="n">
        <f aca="false">AM66*AN66</f>
        <v>1.47682905664309</v>
      </c>
      <c r="AP66" s="1314" t="n">
        <f aca="false">IF($A66&gt;Endyr,0,VLOOKUP($A66,Tariff_Table,Tariff!$M$33))</f>
        <v>0.25</v>
      </c>
      <c r="AQ66" s="1314" t="n">
        <f aca="false">SUM(AO66,AP66)</f>
        <v>1.72682905664309</v>
      </c>
      <c r="AR66" s="1314" t="n">
        <f aca="false">SUM(AM66,AP66)</f>
        <v>1.46</v>
      </c>
      <c r="AS66" s="1598" t="n">
        <f aca="false">IF(AR66=0,0,AQ66/AR66)</f>
        <v>1.18275962783774</v>
      </c>
    </row>
    <row r="67" customFormat="false" ht="12.75" hidden="false" customHeight="false" outlineLevel="0" collapsed="false">
      <c r="A67" s="1538" t="n">
        <f aca="false">EDATE(A66,1)</f>
        <v>38626</v>
      </c>
      <c r="C67" s="1595" t="n">
        <f aca="false">IF($A67&gt;Endyr,0,VLOOKUP($A67,Tariff_Table,Tariff!$G$33))</f>
        <v>7420.61</v>
      </c>
      <c r="D67" s="1565" t="n">
        <f aca="false">VLOOKUP($A67,Curves_Table,Escalation!$V$291)</f>
        <v>1.23462294375966</v>
      </c>
      <c r="E67" s="1596" t="n">
        <f aca="false">C67*D67</f>
        <v>9161.65536269239</v>
      </c>
      <c r="F67" s="1565" t="n">
        <f aca="false">IF(Assm!$L$74=0,VLOOKUP($A67,Curves_Table,Escalation!$D$291),VLOOKUP($A67,Curves_Table,Escalation!$E$291))</f>
        <v>2.32162891944576</v>
      </c>
      <c r="G67" s="427" t="n">
        <f aca="false">IF($A67&lt;EE_Date,VLOOKUP($A67,Curves_Table,Escalation!$D$291),Exch)</f>
        <v>1.065</v>
      </c>
      <c r="H67" s="1596" t="n">
        <f aca="false">E67*F67/G67</f>
        <v>19971.7972206779</v>
      </c>
      <c r="I67" s="1540" t="n">
        <f aca="false">VLOOKUP($A67,Plant_Table,'Plant Operations'!$C$270)</f>
        <v>480</v>
      </c>
      <c r="J67" s="1575" t="n">
        <f aca="false">H67*I67/1000</f>
        <v>9586.46266592539</v>
      </c>
      <c r="K67" s="1565" t="n">
        <f aca="false">F67</f>
        <v>2.32162891944576</v>
      </c>
      <c r="L67" s="394" t="n">
        <f aca="false">J67/K67</f>
        <v>4129.1967831853</v>
      </c>
      <c r="M67" s="1579" t="str">
        <f aca="false">IF(MONTH($A67)=12,SUM(L56:L67)," ")</f>
        <v> </v>
      </c>
      <c r="O67" s="1597" t="n">
        <f aca="false">IF($A67&gt;Endyr,0,VLOOKUP($A67,Tariff_Table,Tariff!$H$33))</f>
        <v>6104.93</v>
      </c>
      <c r="P67" s="1565" t="n">
        <f aca="false">$AS67</f>
        <v>1.18275962783774</v>
      </c>
      <c r="Q67" s="1575" t="n">
        <f aca="false">O67*P67</f>
        <v>7220.66473477542</v>
      </c>
      <c r="R67" s="1565" t="n">
        <f aca="false">$F67</f>
        <v>2.32162891944576</v>
      </c>
      <c r="S67" s="427" t="n">
        <f aca="false">$G67</f>
        <v>1.065</v>
      </c>
      <c r="T67" s="1575" t="n">
        <f aca="false">Q67*R67/S67</f>
        <v>15740.5671980063</v>
      </c>
      <c r="U67" s="1540" t="n">
        <f aca="false">$I67</f>
        <v>480</v>
      </c>
      <c r="V67" s="1575" t="n">
        <f aca="false">T67*U67/1000</f>
        <v>7555.47225504304</v>
      </c>
      <c r="W67" s="1565" t="n">
        <f aca="false">R67</f>
        <v>2.32162891944576</v>
      </c>
      <c r="X67" s="394" t="n">
        <f aca="false">V67/W67</f>
        <v>3254.38410581428</v>
      </c>
      <c r="Y67" s="1579" t="str">
        <f aca="false">IF(MONTH($A67)=12,SUM(X56:X67)," ")</f>
        <v> </v>
      </c>
      <c r="AA67" s="1595" t="n">
        <f aca="false">IF($A67&gt;Endyr,0,VLOOKUP($A67,Tariff_Table,Tariff!$I$33))</f>
        <v>2.3</v>
      </c>
      <c r="AB67" s="1565" t="n">
        <f aca="false">$AS67</f>
        <v>1.18275962783774</v>
      </c>
      <c r="AC67" s="1596" t="n">
        <f aca="false">AA67*AB67</f>
        <v>2.72034714402679</v>
      </c>
      <c r="AD67" s="1565" t="n">
        <f aca="false">$F67</f>
        <v>2.32162891944576</v>
      </c>
      <c r="AE67" s="427" t="n">
        <f aca="false">$G67</f>
        <v>1.065</v>
      </c>
      <c r="AF67" s="1596" t="n">
        <f aca="false">AC67*AD67/AE67</f>
        <v>5.9301752117411</v>
      </c>
      <c r="AG67" s="397" t="n">
        <f aca="false">VLOOKUP($A67,Plant_Table,'Plant Operations'!$M$270)</f>
        <v>298980.864</v>
      </c>
      <c r="AH67" s="1575" t="n">
        <f aca="false">AF67*AG67/1000</f>
        <v>1773.00890847774</v>
      </c>
      <c r="AI67" s="1565" t="n">
        <f aca="false">AD67</f>
        <v>2.32162891944576</v>
      </c>
      <c r="AJ67" s="1566" t="n">
        <f aca="false">AH67/AI67</f>
        <v>763.691774179401</v>
      </c>
      <c r="AK67" s="1567" t="str">
        <f aca="false">IF(MONTH($A67)=12,SUM(AJ56:AJ67)," ")</f>
        <v> </v>
      </c>
      <c r="AM67" s="488" t="n">
        <f aca="false">IF($A67&gt;Endyr,0,VLOOKUP($A67,Tariff_Table,Tariff!$L$33))</f>
        <v>1.21</v>
      </c>
      <c r="AN67" s="1576" t="n">
        <f aca="false">VLOOKUP($A67,Curves_Table,Escalation!$Z$291)</f>
        <v>1.22051988152322</v>
      </c>
      <c r="AO67" s="1314" t="n">
        <f aca="false">AM67*AN67</f>
        <v>1.47682905664309</v>
      </c>
      <c r="AP67" s="1314" t="n">
        <f aca="false">IF($A67&gt;Endyr,0,VLOOKUP($A67,Tariff_Table,Tariff!$M$33))</f>
        <v>0.25</v>
      </c>
      <c r="AQ67" s="1314" t="n">
        <f aca="false">SUM(AO67,AP67)</f>
        <v>1.72682905664309</v>
      </c>
      <c r="AR67" s="1314" t="n">
        <f aca="false">SUM(AM67,AP67)</f>
        <v>1.46</v>
      </c>
      <c r="AS67" s="1598" t="n">
        <f aca="false">IF(AR67=0,0,AQ67/AR67)</f>
        <v>1.18275962783774</v>
      </c>
    </row>
    <row r="68" customFormat="false" ht="12.75" hidden="false" customHeight="false" outlineLevel="0" collapsed="false">
      <c r="A68" s="1538" t="n">
        <f aca="false">EDATE(A67,1)</f>
        <v>38657</v>
      </c>
      <c r="C68" s="1595" t="n">
        <f aca="false">IF($A68&gt;Endyr,0,VLOOKUP($A68,Tariff_Table,Tariff!$G$33))</f>
        <v>7420.61</v>
      </c>
      <c r="D68" s="1565" t="n">
        <f aca="false">VLOOKUP($A68,Curves_Table,Escalation!$V$291)</f>
        <v>1.23462294375966</v>
      </c>
      <c r="E68" s="1596" t="n">
        <f aca="false">C68*D68</f>
        <v>9161.65536269239</v>
      </c>
      <c r="F68" s="1565" t="n">
        <f aca="false">IF(Assm!$L$74=0,VLOOKUP($A68,Curves_Table,Escalation!$D$291),VLOOKUP($A68,Curves_Table,Escalation!$E$291))</f>
        <v>2.3270624605217</v>
      </c>
      <c r="G68" s="427" t="n">
        <f aca="false">IF($A68&lt;EE_Date,VLOOKUP($A68,Curves_Table,Escalation!$D$291),Exch)</f>
        <v>1.065</v>
      </c>
      <c r="H68" s="1596" t="n">
        <f aca="false">E68*F68/G68</f>
        <v>20018.5392213697</v>
      </c>
      <c r="I68" s="1540" t="n">
        <f aca="false">VLOOKUP($A68,Plant_Table,'Plant Operations'!$C$270)</f>
        <v>480</v>
      </c>
      <c r="J68" s="1575" t="n">
        <f aca="false">H68*I68/1000</f>
        <v>9608.89882625747</v>
      </c>
      <c r="K68" s="1565" t="n">
        <f aca="false">F68</f>
        <v>2.3270624605217</v>
      </c>
      <c r="L68" s="394" t="n">
        <f aca="false">J68/K68</f>
        <v>4129.1967831853</v>
      </c>
      <c r="M68" s="1579" t="str">
        <f aca="false">IF(MONTH($A68)=12,SUM(L57:L68)," ")</f>
        <v> </v>
      </c>
      <c r="O68" s="1597" t="n">
        <f aca="false">IF($A68&gt;Endyr,0,VLOOKUP($A68,Tariff_Table,Tariff!$H$33))</f>
        <v>6104.93</v>
      </c>
      <c r="P68" s="1565" t="n">
        <f aca="false">$AS68</f>
        <v>1.18275962783774</v>
      </c>
      <c r="Q68" s="1575" t="n">
        <f aca="false">O68*P68</f>
        <v>7220.66473477542</v>
      </c>
      <c r="R68" s="1565" t="n">
        <f aca="false">$F68</f>
        <v>2.3270624605217</v>
      </c>
      <c r="S68" s="427" t="n">
        <f aca="false">$G68</f>
        <v>1.065</v>
      </c>
      <c r="T68" s="1575" t="n">
        <f aca="false">Q68*R68/S68</f>
        <v>15777.406426581</v>
      </c>
      <c r="U68" s="1540" t="n">
        <f aca="false">$I68</f>
        <v>480</v>
      </c>
      <c r="V68" s="1575" t="n">
        <f aca="false">T68*U68/1000</f>
        <v>7573.15508475887</v>
      </c>
      <c r="W68" s="1565" t="n">
        <f aca="false">R68</f>
        <v>2.3270624605217</v>
      </c>
      <c r="X68" s="394" t="n">
        <f aca="false">V68/W68</f>
        <v>3254.38410581428</v>
      </c>
      <c r="Y68" s="1579" t="str">
        <f aca="false">IF(MONTH($A68)=12,SUM(X57:X68)," ")</f>
        <v> </v>
      </c>
      <c r="AA68" s="1595" t="n">
        <f aca="false">IF($A68&gt;Endyr,0,VLOOKUP($A68,Tariff_Table,Tariff!$I$33))</f>
        <v>2.3</v>
      </c>
      <c r="AB68" s="1565" t="n">
        <f aca="false">$AS68</f>
        <v>1.18275962783774</v>
      </c>
      <c r="AC68" s="1596" t="n">
        <f aca="false">AA68*AB68</f>
        <v>2.72034714402679</v>
      </c>
      <c r="AD68" s="1565" t="n">
        <f aca="false">$F68</f>
        <v>2.3270624605217</v>
      </c>
      <c r="AE68" s="427" t="n">
        <f aca="false">$G68</f>
        <v>1.065</v>
      </c>
      <c r="AF68" s="1596" t="n">
        <f aca="false">AC68*AD68/AE68</f>
        <v>5.94405419572972</v>
      </c>
      <c r="AG68" s="397" t="n">
        <f aca="false">VLOOKUP($A68,Plant_Table,'Plant Operations'!$M$270)</f>
        <v>289336.32</v>
      </c>
      <c r="AH68" s="1575" t="n">
        <f aca="false">AF68*AG68/1000</f>
        <v>1719.830766873</v>
      </c>
      <c r="AI68" s="1565" t="n">
        <f aca="false">AD68</f>
        <v>2.3270624605217</v>
      </c>
      <c r="AJ68" s="1566" t="n">
        <f aca="false">AH68/AI68</f>
        <v>739.056555657485</v>
      </c>
      <c r="AK68" s="1567" t="str">
        <f aca="false">IF(MONTH($A68)=12,SUM(AJ57:AJ68)," ")</f>
        <v> </v>
      </c>
      <c r="AM68" s="488" t="n">
        <f aca="false">IF($A68&gt;Endyr,0,VLOOKUP($A68,Tariff_Table,Tariff!$L$33))</f>
        <v>1.21</v>
      </c>
      <c r="AN68" s="1576" t="n">
        <f aca="false">VLOOKUP($A68,Curves_Table,Escalation!$Z$291)</f>
        <v>1.22051988152322</v>
      </c>
      <c r="AO68" s="1314" t="n">
        <f aca="false">AM68*AN68</f>
        <v>1.47682905664309</v>
      </c>
      <c r="AP68" s="1314" t="n">
        <f aca="false">IF($A68&gt;Endyr,0,VLOOKUP($A68,Tariff_Table,Tariff!$M$33))</f>
        <v>0.25</v>
      </c>
      <c r="AQ68" s="1314" t="n">
        <f aca="false">SUM(AO68,AP68)</f>
        <v>1.72682905664309</v>
      </c>
      <c r="AR68" s="1314" t="n">
        <f aca="false">SUM(AM68,AP68)</f>
        <v>1.46</v>
      </c>
      <c r="AS68" s="1598" t="n">
        <f aca="false">IF(AR68=0,0,AQ68/AR68)</f>
        <v>1.18275962783774</v>
      </c>
    </row>
    <row r="69" customFormat="false" ht="12.75" hidden="false" customHeight="false" outlineLevel="0" collapsed="false">
      <c r="A69" s="1538" t="n">
        <f aca="false">EDATE(A68,1)</f>
        <v>38687</v>
      </c>
      <c r="C69" s="1595" t="n">
        <f aca="false">IF($A69&gt;Endyr,0,VLOOKUP($A69,Tariff_Table,Tariff!$G$33))</f>
        <v>7420.61</v>
      </c>
      <c r="D69" s="1565" t="n">
        <f aca="false">VLOOKUP($A69,Curves_Table,Escalation!$V$291)</f>
        <v>1.23462294375966</v>
      </c>
      <c r="E69" s="1596" t="n">
        <f aca="false">C69*D69</f>
        <v>9161.65536269239</v>
      </c>
      <c r="F69" s="1565" t="n">
        <f aca="false">IF(Assm!$L$74=0,VLOOKUP($A69,Curves_Table,Escalation!$D$291),VLOOKUP($A69,Curves_Table,Escalation!$E$291))</f>
        <v>2.33250871825894</v>
      </c>
      <c r="G69" s="427" t="n">
        <f aca="false">IF($A69&lt;EE_Date,VLOOKUP($A69,Curves_Table,Escalation!$D$291),Exch)</f>
        <v>1.065</v>
      </c>
      <c r="H69" s="1596" t="n">
        <f aca="false">E69*F69/G69</f>
        <v>20065.3906170552</v>
      </c>
      <c r="I69" s="1540" t="n">
        <f aca="false">VLOOKUP($A69,Plant_Table,'Plant Operations'!$C$270)</f>
        <v>480</v>
      </c>
      <c r="J69" s="1575" t="n">
        <f aca="false">H69*I69/1000</f>
        <v>9631.38749618647</v>
      </c>
      <c r="K69" s="1565" t="n">
        <f aca="false">F69</f>
        <v>2.33250871825894</v>
      </c>
      <c r="L69" s="394" t="n">
        <f aca="false">J69/K69</f>
        <v>4129.1967831853</v>
      </c>
      <c r="M69" s="1579" t="n">
        <f aca="false">IF(MONTH($A69)=12,SUM(L58:L69)," ")</f>
        <v>49116.7134878041</v>
      </c>
      <c r="O69" s="1597" t="n">
        <f aca="false">IF($A69&gt;Endyr,0,VLOOKUP($A69,Tariff_Table,Tariff!$H$33))</f>
        <v>6104.93</v>
      </c>
      <c r="P69" s="1565" t="n">
        <f aca="false">$AS69</f>
        <v>1.18275962783774</v>
      </c>
      <c r="Q69" s="1575" t="n">
        <f aca="false">O69*P69</f>
        <v>7220.66473477542</v>
      </c>
      <c r="R69" s="1565" t="n">
        <f aca="false">$F69</f>
        <v>2.33250871825894</v>
      </c>
      <c r="S69" s="427" t="n">
        <f aca="false">$G69</f>
        <v>1.065</v>
      </c>
      <c r="T69" s="1575" t="n">
        <f aca="false">Q69*R69/S69</f>
        <v>15814.3318736981</v>
      </c>
      <c r="U69" s="1540" t="n">
        <f aca="false">$I69</f>
        <v>480</v>
      </c>
      <c r="V69" s="1575" t="n">
        <f aca="false">T69*U69/1000</f>
        <v>7590.87929937511</v>
      </c>
      <c r="W69" s="1565" t="n">
        <f aca="false">R69</f>
        <v>2.33250871825894</v>
      </c>
      <c r="X69" s="394" t="n">
        <f aca="false">V69/W69</f>
        <v>3254.38410581428</v>
      </c>
      <c r="Y69" s="1579" t="n">
        <f aca="false">IF(MONTH($A69)=12,SUM(X58:X69)," ")</f>
        <v>38848.2147043165</v>
      </c>
      <c r="AA69" s="1595" t="n">
        <f aca="false">IF($A69&gt;Endyr,0,VLOOKUP($A69,Tariff_Table,Tariff!$I$33))</f>
        <v>2.3</v>
      </c>
      <c r="AB69" s="1565" t="n">
        <f aca="false">$AS69</f>
        <v>1.18275962783774</v>
      </c>
      <c r="AC69" s="1596" t="n">
        <f aca="false">AA69*AB69</f>
        <v>2.72034714402679</v>
      </c>
      <c r="AD69" s="1565" t="n">
        <f aca="false">$F69</f>
        <v>2.33250871825894</v>
      </c>
      <c r="AE69" s="427" t="n">
        <f aca="false">$G69</f>
        <v>1.065</v>
      </c>
      <c r="AF69" s="1596" t="n">
        <f aca="false">AC69*AD69/AE69</f>
        <v>5.95796566209698</v>
      </c>
      <c r="AG69" s="397" t="n">
        <f aca="false">VLOOKUP($A69,Plant_Table,'Plant Operations'!$M$270)</f>
        <v>298980.864</v>
      </c>
      <c r="AH69" s="1575" t="n">
        <f aca="false">AF69*AG69/1000</f>
        <v>1781.31772133609</v>
      </c>
      <c r="AI69" s="1565" t="n">
        <f aca="false">AD69</f>
        <v>2.33250871825894</v>
      </c>
      <c r="AJ69" s="1566" t="n">
        <f aca="false">AH69/AI69</f>
        <v>763.691774179401</v>
      </c>
      <c r="AK69" s="1567" t="n">
        <f aca="false">IF(MONTH($A69)=12,SUM(AJ58:AJ69)," ")</f>
        <v>8940.23295413383</v>
      </c>
      <c r="AM69" s="488" t="n">
        <f aca="false">IF($A69&gt;Endyr,0,VLOOKUP($A69,Tariff_Table,Tariff!$L$33))</f>
        <v>1.21</v>
      </c>
      <c r="AN69" s="1576" t="n">
        <f aca="false">VLOOKUP($A69,Curves_Table,Escalation!$Z$291)</f>
        <v>1.22051988152322</v>
      </c>
      <c r="AO69" s="1314" t="n">
        <f aca="false">AM69*AN69</f>
        <v>1.47682905664309</v>
      </c>
      <c r="AP69" s="1314" t="n">
        <f aca="false">IF($A69&gt;Endyr,0,VLOOKUP($A69,Tariff_Table,Tariff!$M$33))</f>
        <v>0.25</v>
      </c>
      <c r="AQ69" s="1314" t="n">
        <f aca="false">SUM(AO69,AP69)</f>
        <v>1.72682905664309</v>
      </c>
      <c r="AR69" s="1314" t="n">
        <f aca="false">SUM(AM69,AP69)</f>
        <v>1.46</v>
      </c>
      <c r="AS69" s="1598" t="n">
        <f aca="false">IF(AR69=0,0,AQ69/AR69)</f>
        <v>1.18275962783774</v>
      </c>
    </row>
    <row r="70" customFormat="false" ht="12.75" hidden="false" customHeight="false" outlineLevel="0" collapsed="false">
      <c r="A70" s="1538" t="n">
        <f aca="false">EDATE(A69,1)</f>
        <v>38718</v>
      </c>
      <c r="C70" s="1595" t="n">
        <f aca="false">IF($A70&gt;Endyr,0,VLOOKUP($A70,Tariff_Table,Tariff!$G$33))</f>
        <v>7420.61</v>
      </c>
      <c r="D70" s="1565" t="n">
        <f aca="false">VLOOKUP($A70,Curves_Table,Escalation!$V$291)</f>
        <v>1.23462294375966</v>
      </c>
      <c r="E70" s="1596" t="n">
        <f aca="false">C70*D70</f>
        <v>9161.65536269239</v>
      </c>
      <c r="F70" s="1565" t="n">
        <f aca="false">IF(Assm!$L$74=0,VLOOKUP($A70,Curves_Table,Escalation!$D$291),VLOOKUP($A70,Curves_Table,Escalation!$E$291))</f>
        <v>2.33788261742251</v>
      </c>
      <c r="G70" s="427" t="n">
        <f aca="false">IF($A70&lt;EE_Date,VLOOKUP($A70,Curves_Table,Escalation!$D$291),Exch)</f>
        <v>1.065</v>
      </c>
      <c r="H70" s="1596" t="n">
        <f aca="false">E70*F70/G70</f>
        <v>20111.6195485956</v>
      </c>
      <c r="I70" s="1540" t="n">
        <f aca="false">VLOOKUP($A70,Plant_Table,'Plant Operations'!$C$270)</f>
        <v>480</v>
      </c>
      <c r="J70" s="1575" t="n">
        <f aca="false">H70*I70/1000</f>
        <v>9653.57738332588</v>
      </c>
      <c r="K70" s="1565" t="n">
        <f aca="false">F70</f>
        <v>2.33788261742251</v>
      </c>
      <c r="L70" s="394" t="n">
        <f aca="false">J70/K70</f>
        <v>4129.1967831853</v>
      </c>
      <c r="M70" s="1579" t="str">
        <f aca="false">IF(MONTH($A70)=12,SUM(L59:L70)," ")</f>
        <v> </v>
      </c>
      <c r="O70" s="1597" t="n">
        <f aca="false">IF($A70&gt;Endyr,0,VLOOKUP($A70,Tariff_Table,Tariff!$H$33))</f>
        <v>6104.93</v>
      </c>
      <c r="P70" s="1565" t="n">
        <f aca="false">$AS70</f>
        <v>1.18275962783774</v>
      </c>
      <c r="Q70" s="1575" t="n">
        <f aca="false">O70*P70</f>
        <v>7220.66473477542</v>
      </c>
      <c r="R70" s="1565" t="n">
        <f aca="false">$F70</f>
        <v>2.33788261742251</v>
      </c>
      <c r="S70" s="427" t="n">
        <f aca="false">$G70</f>
        <v>1.065</v>
      </c>
      <c r="T70" s="1575" t="n">
        <f aca="false">Q70*R70/S70</f>
        <v>15850.7667320819</v>
      </c>
      <c r="U70" s="1540" t="n">
        <f aca="false">$I70</f>
        <v>480</v>
      </c>
      <c r="V70" s="1575" t="n">
        <f aca="false">T70*U70/1000</f>
        <v>7608.3680313993</v>
      </c>
      <c r="W70" s="1565" t="n">
        <f aca="false">R70</f>
        <v>2.33788261742251</v>
      </c>
      <c r="X70" s="394" t="n">
        <f aca="false">V70/W70</f>
        <v>3254.38410581428</v>
      </c>
      <c r="Y70" s="1579" t="str">
        <f aca="false">IF(MONTH($A70)=12,SUM(X59:X70)," ")</f>
        <v> </v>
      </c>
      <c r="AA70" s="1595" t="n">
        <f aca="false">IF($A70&gt;Endyr,0,VLOOKUP($A70,Tariff_Table,Tariff!$I$33))</f>
        <v>2.3</v>
      </c>
      <c r="AB70" s="1565" t="n">
        <f aca="false">$AS70</f>
        <v>1.18275962783774</v>
      </c>
      <c r="AC70" s="1596" t="n">
        <f aca="false">AA70*AB70</f>
        <v>2.72034714402679</v>
      </c>
      <c r="AD70" s="1565" t="n">
        <f aca="false">$F70</f>
        <v>2.33788261742251</v>
      </c>
      <c r="AE70" s="427" t="n">
        <f aca="false">$G70</f>
        <v>1.065</v>
      </c>
      <c r="AF70" s="1596" t="n">
        <f aca="false">AC70*AD70/AE70</f>
        <v>5.97169230176076</v>
      </c>
      <c r="AG70" s="397" t="n">
        <f aca="false">VLOOKUP($A70,Plant_Table,'Plant Operations'!$M$270)</f>
        <v>298980.864</v>
      </c>
      <c r="AH70" s="1575" t="n">
        <f aca="false">AF70*AG70/1000</f>
        <v>1785.42172392258</v>
      </c>
      <c r="AI70" s="1565" t="n">
        <f aca="false">AD70</f>
        <v>2.33788261742251</v>
      </c>
      <c r="AJ70" s="1566" t="n">
        <f aca="false">AH70/AI70</f>
        <v>763.691774179401</v>
      </c>
      <c r="AK70" s="1567" t="str">
        <f aca="false">IF(MONTH($A70)=12,SUM(AJ59:AJ70)," ")</f>
        <v> </v>
      </c>
      <c r="AM70" s="488" t="n">
        <f aca="false">IF($A70&gt;Endyr,0,VLOOKUP($A70,Tariff_Table,Tariff!$L$33))</f>
        <v>1.21</v>
      </c>
      <c r="AN70" s="1576" t="n">
        <f aca="false">VLOOKUP($A70,Curves_Table,Escalation!$Z$291)</f>
        <v>1.22051988152322</v>
      </c>
      <c r="AO70" s="1314" t="n">
        <f aca="false">AM70*AN70</f>
        <v>1.47682905664309</v>
      </c>
      <c r="AP70" s="1314" t="n">
        <f aca="false">IF($A70&gt;Endyr,0,VLOOKUP($A70,Tariff_Table,Tariff!$M$33))</f>
        <v>0.25</v>
      </c>
      <c r="AQ70" s="1314" t="n">
        <f aca="false">SUM(AO70,AP70)</f>
        <v>1.72682905664309</v>
      </c>
      <c r="AR70" s="1314" t="n">
        <f aca="false">SUM(AM70,AP70)</f>
        <v>1.46</v>
      </c>
      <c r="AS70" s="1598" t="n">
        <f aca="false">IF(AR70=0,0,AQ70/AR70)</f>
        <v>1.18275962783774</v>
      </c>
    </row>
    <row r="71" customFormat="false" ht="12.75" hidden="false" customHeight="false" outlineLevel="0" collapsed="false">
      <c r="A71" s="1538" t="n">
        <f aca="false">EDATE(A70,1)</f>
        <v>38749</v>
      </c>
      <c r="C71" s="1595" t="n">
        <f aca="false">IF($A71&gt;Endyr,0,VLOOKUP($A71,Tariff_Table,Tariff!$G$33))</f>
        <v>7420.61</v>
      </c>
      <c r="D71" s="1565" t="n">
        <f aca="false">VLOOKUP($A71,Curves_Table,Escalation!$V$291)</f>
        <v>1.23462294375966</v>
      </c>
      <c r="E71" s="1596" t="n">
        <f aca="false">C71*D71</f>
        <v>9161.65536269239</v>
      </c>
      <c r="F71" s="1565" t="n">
        <f aca="false">IF(Assm!$L$74=0,VLOOKUP($A71,Curves_Table,Escalation!$D$291),VLOOKUP($A71,Curves_Table,Escalation!$E$291))</f>
        <v>2.34326889758685</v>
      </c>
      <c r="G71" s="427" t="n">
        <f aca="false">IF($A71&lt;EE_Date,VLOOKUP($A71,Curves_Table,Escalation!$D$291),Exch)</f>
        <v>1.065</v>
      </c>
      <c r="H71" s="1596" t="n">
        <f aca="false">E71*F71/G71</f>
        <v>20157.9549876121</v>
      </c>
      <c r="I71" s="1540" t="n">
        <f aca="false">VLOOKUP($A71,Plant_Table,'Plant Operations'!$C$270)</f>
        <v>480</v>
      </c>
      <c r="J71" s="1575" t="n">
        <f aca="false">H71*I71/1000</f>
        <v>9675.8183940538</v>
      </c>
      <c r="K71" s="1565" t="n">
        <f aca="false">F71</f>
        <v>2.34326889758685</v>
      </c>
      <c r="L71" s="394" t="n">
        <f aca="false">J71/K71</f>
        <v>4129.1967831853</v>
      </c>
      <c r="M71" s="1579" t="str">
        <f aca="false">IF(MONTH($A71)=12,SUM(L60:L71)," ")</f>
        <v> </v>
      </c>
      <c r="O71" s="1597" t="n">
        <f aca="false">IF($A71&gt;Endyr,0,VLOOKUP($A71,Tariff_Table,Tariff!$H$33))</f>
        <v>6104.93</v>
      </c>
      <c r="P71" s="1565" t="n">
        <f aca="false">$AS71</f>
        <v>1.18275962783774</v>
      </c>
      <c r="Q71" s="1575" t="n">
        <f aca="false">O71*P71</f>
        <v>7220.66473477542</v>
      </c>
      <c r="R71" s="1565" t="n">
        <f aca="false">$F71</f>
        <v>2.34326889758685</v>
      </c>
      <c r="S71" s="427" t="n">
        <f aca="false">$G71</f>
        <v>1.065</v>
      </c>
      <c r="T71" s="1575" t="n">
        <f aca="false">Q71*R71/S71</f>
        <v>15887.2855332408</v>
      </c>
      <c r="U71" s="1540" t="n">
        <f aca="false">$I71</f>
        <v>480</v>
      </c>
      <c r="V71" s="1575" t="n">
        <f aca="false">T71*U71/1000</f>
        <v>7625.89705595559</v>
      </c>
      <c r="W71" s="1565" t="n">
        <f aca="false">R71</f>
        <v>2.34326889758685</v>
      </c>
      <c r="X71" s="394" t="n">
        <f aca="false">V71/W71</f>
        <v>3254.38410581428</v>
      </c>
      <c r="Y71" s="1579" t="str">
        <f aca="false">IF(MONTH($A71)=12,SUM(X60:X71)," ")</f>
        <v> </v>
      </c>
      <c r="AA71" s="1595" t="n">
        <f aca="false">IF($A71&gt;Endyr,0,VLOOKUP($A71,Tariff_Table,Tariff!$I$33))</f>
        <v>2.3</v>
      </c>
      <c r="AB71" s="1565" t="n">
        <f aca="false">$AS71</f>
        <v>1.18275962783774</v>
      </c>
      <c r="AC71" s="1596" t="n">
        <f aca="false">AA71*AB71</f>
        <v>2.72034714402679</v>
      </c>
      <c r="AD71" s="1565" t="n">
        <f aca="false">$F71</f>
        <v>2.34326889758685</v>
      </c>
      <c r="AE71" s="427" t="n">
        <f aca="false">$G71</f>
        <v>1.065</v>
      </c>
      <c r="AF71" s="1596" t="n">
        <f aca="false">AC71*AD71/AE71</f>
        <v>5.98545056641991</v>
      </c>
      <c r="AG71" s="397" t="n">
        <f aca="false">VLOOKUP($A71,Plant_Table,'Plant Operations'!$M$270)</f>
        <v>270047.232</v>
      </c>
      <c r="AH71" s="1575" t="n">
        <f aca="false">AF71*AG71/1000</f>
        <v>1616.35435773453</v>
      </c>
      <c r="AI71" s="1565" t="n">
        <f aca="false">AD71</f>
        <v>2.34326889758685</v>
      </c>
      <c r="AJ71" s="1566" t="n">
        <f aca="false">AH71/AI71</f>
        <v>689.786118613653</v>
      </c>
      <c r="AK71" s="1567" t="str">
        <f aca="false">IF(MONTH($A71)=12,SUM(AJ60:AJ71)," ")</f>
        <v> </v>
      </c>
      <c r="AM71" s="488" t="n">
        <f aca="false">IF($A71&gt;Endyr,0,VLOOKUP($A71,Tariff_Table,Tariff!$L$33))</f>
        <v>1.21</v>
      </c>
      <c r="AN71" s="1576" t="n">
        <f aca="false">VLOOKUP($A71,Curves_Table,Escalation!$Z$291)</f>
        <v>1.22051988152322</v>
      </c>
      <c r="AO71" s="1314" t="n">
        <f aca="false">AM71*AN71</f>
        <v>1.47682905664309</v>
      </c>
      <c r="AP71" s="1314" t="n">
        <f aca="false">IF($A71&gt;Endyr,0,VLOOKUP($A71,Tariff_Table,Tariff!$M$33))</f>
        <v>0.25</v>
      </c>
      <c r="AQ71" s="1314" t="n">
        <f aca="false">SUM(AO71,AP71)</f>
        <v>1.72682905664309</v>
      </c>
      <c r="AR71" s="1314" t="n">
        <f aca="false">SUM(AM71,AP71)</f>
        <v>1.46</v>
      </c>
      <c r="AS71" s="1598" t="n">
        <f aca="false">IF(AR71=0,0,AQ71/AR71)</f>
        <v>1.18275962783774</v>
      </c>
    </row>
    <row r="72" customFormat="false" ht="12.75" hidden="false" customHeight="false" outlineLevel="0" collapsed="false">
      <c r="A72" s="1538" t="n">
        <f aca="false">EDATE(A71,1)</f>
        <v>38777</v>
      </c>
      <c r="C72" s="1595" t="n">
        <f aca="false">IF($A72&gt;Endyr,0,VLOOKUP($A72,Tariff_Table,Tariff!$G$33))</f>
        <v>7420.61</v>
      </c>
      <c r="D72" s="1565" t="n">
        <f aca="false">VLOOKUP($A72,Curves_Table,Escalation!$V$291)</f>
        <v>1.23462294375966</v>
      </c>
      <c r="E72" s="1596" t="n">
        <f aca="false">C72*D72</f>
        <v>9161.65536269239</v>
      </c>
      <c r="F72" s="1565" t="n">
        <f aca="false">IF(Assm!$L$74=0,VLOOKUP($A72,Curves_Table,Escalation!$D$291),VLOOKUP($A72,Curves_Table,Escalation!$E$291))</f>
        <v>2.34866758727671</v>
      </c>
      <c r="G72" s="427" t="n">
        <f aca="false">IF($A72&lt;EE_Date,VLOOKUP($A72,Curves_Table,Escalation!$D$291),Exch)</f>
        <v>1.065</v>
      </c>
      <c r="H72" s="1596" t="n">
        <f aca="false">E72*F72/G72</f>
        <v>20204.3971794887</v>
      </c>
      <c r="I72" s="1540" t="n">
        <f aca="false">VLOOKUP($A72,Plant_Table,'Plant Operations'!$C$270)</f>
        <v>480</v>
      </c>
      <c r="J72" s="1575" t="n">
        <f aca="false">H72*I72/1000</f>
        <v>9698.11064615459</v>
      </c>
      <c r="K72" s="1565" t="n">
        <f aca="false">F72</f>
        <v>2.34866758727671</v>
      </c>
      <c r="L72" s="394" t="n">
        <f aca="false">J72/K72</f>
        <v>4129.1967831853</v>
      </c>
      <c r="M72" s="1579" t="str">
        <f aca="false">IF(MONTH($A72)=12,SUM(L61:L72)," ")</f>
        <v> </v>
      </c>
      <c r="O72" s="1597" t="n">
        <f aca="false">IF($A72&gt;Endyr,0,VLOOKUP($A72,Tariff_Table,Tariff!$H$33))</f>
        <v>6104.93</v>
      </c>
      <c r="P72" s="1565" t="n">
        <f aca="false">$AS72</f>
        <v>1.18275962783774</v>
      </c>
      <c r="Q72" s="1575" t="n">
        <f aca="false">O72*P72</f>
        <v>7220.66473477542</v>
      </c>
      <c r="R72" s="1565" t="n">
        <f aca="false">$F72</f>
        <v>2.34866758727671</v>
      </c>
      <c r="S72" s="427" t="n">
        <f aca="false">$G72</f>
        <v>1.065</v>
      </c>
      <c r="T72" s="1575" t="n">
        <f aca="false">Q72*R72/S72</f>
        <v>15923.8884705719</v>
      </c>
      <c r="U72" s="1540" t="n">
        <f aca="false">$I72</f>
        <v>480</v>
      </c>
      <c r="V72" s="1575" t="n">
        <f aca="false">T72*U72/1000</f>
        <v>7643.4664658745</v>
      </c>
      <c r="W72" s="1565" t="n">
        <f aca="false">R72</f>
        <v>2.34866758727671</v>
      </c>
      <c r="X72" s="394" t="n">
        <f aca="false">V72/W72</f>
        <v>3254.38410581428</v>
      </c>
      <c r="Y72" s="1579" t="str">
        <f aca="false">IF(MONTH($A72)=12,SUM(X61:X72)," ")</f>
        <v> </v>
      </c>
      <c r="AA72" s="1595" t="n">
        <f aca="false">IF($A72&gt;Endyr,0,VLOOKUP($A72,Tariff_Table,Tariff!$I$33))</f>
        <v>2.3</v>
      </c>
      <c r="AB72" s="1565" t="n">
        <f aca="false">$AS72</f>
        <v>1.18275962783774</v>
      </c>
      <c r="AC72" s="1596" t="n">
        <f aca="false">AA72*AB72</f>
        <v>2.72034714402679</v>
      </c>
      <c r="AD72" s="1565" t="n">
        <f aca="false">$F72</f>
        <v>2.34866758727671</v>
      </c>
      <c r="AE72" s="427" t="n">
        <f aca="false">$G72</f>
        <v>1.065</v>
      </c>
      <c r="AF72" s="1596" t="n">
        <f aca="false">AC72*AD72/AE72</f>
        <v>5.99924052893568</v>
      </c>
      <c r="AG72" s="397" t="n">
        <f aca="false">VLOOKUP($A72,Plant_Table,'Plant Operations'!$M$270)</f>
        <v>298980.864</v>
      </c>
      <c r="AH72" s="1575" t="n">
        <f aca="false">AF72*AG72/1000</f>
        <v>1793.65811668501</v>
      </c>
      <c r="AI72" s="1565" t="n">
        <f aca="false">AD72</f>
        <v>2.34866758727671</v>
      </c>
      <c r="AJ72" s="1566" t="n">
        <f aca="false">AH72/AI72</f>
        <v>763.691774179401</v>
      </c>
      <c r="AK72" s="1567" t="str">
        <f aca="false">IF(MONTH($A72)=12,SUM(AJ61:AJ72)," ")</f>
        <v> </v>
      </c>
      <c r="AM72" s="488" t="n">
        <f aca="false">IF($A72&gt;Endyr,0,VLOOKUP($A72,Tariff_Table,Tariff!$L$33))</f>
        <v>1.21</v>
      </c>
      <c r="AN72" s="1576" t="n">
        <f aca="false">VLOOKUP($A72,Curves_Table,Escalation!$Z$291)</f>
        <v>1.22051988152322</v>
      </c>
      <c r="AO72" s="1314" t="n">
        <f aca="false">AM72*AN72</f>
        <v>1.47682905664309</v>
      </c>
      <c r="AP72" s="1314" t="n">
        <f aca="false">IF($A72&gt;Endyr,0,VLOOKUP($A72,Tariff_Table,Tariff!$M$33))</f>
        <v>0.25</v>
      </c>
      <c r="AQ72" s="1314" t="n">
        <f aca="false">SUM(AO72,AP72)</f>
        <v>1.72682905664309</v>
      </c>
      <c r="AR72" s="1314" t="n">
        <f aca="false">SUM(AM72,AP72)</f>
        <v>1.46</v>
      </c>
      <c r="AS72" s="1598" t="n">
        <f aca="false">IF(AR72=0,0,AQ72/AR72)</f>
        <v>1.18275962783774</v>
      </c>
    </row>
    <row r="73" customFormat="false" ht="12.75" hidden="false" customHeight="false" outlineLevel="0" collapsed="false">
      <c r="A73" s="1538" t="n">
        <f aca="false">EDATE(A72,1)</f>
        <v>38808</v>
      </c>
      <c r="C73" s="1595" t="n">
        <f aca="false">IF($A73&gt;Endyr,0,VLOOKUP($A73,Tariff_Table,Tariff!$G$33))</f>
        <v>7420.61</v>
      </c>
      <c r="D73" s="1565" t="n">
        <f aca="false">VLOOKUP($A73,Curves_Table,Escalation!$V$291)</f>
        <v>1.23462294375966</v>
      </c>
      <c r="E73" s="1596" t="n">
        <f aca="false">C73*D73</f>
        <v>9161.65536269239</v>
      </c>
      <c r="F73" s="1565" t="n">
        <f aca="false">IF(Assm!$L$74=0,VLOOKUP($A73,Curves_Table,Escalation!$D$291),VLOOKUP($A73,Curves_Table,Escalation!$E$291))</f>
        <v>2.35407871508258</v>
      </c>
      <c r="G73" s="427" t="n">
        <f aca="false">IF($A73&lt;EE_Date,VLOOKUP($A73,Curves_Table,Escalation!$D$291),Exch)</f>
        <v>1.065</v>
      </c>
      <c r="H73" s="1596" t="n">
        <f aca="false">E73*F73/G73</f>
        <v>20250.9463701749</v>
      </c>
      <c r="I73" s="1540" t="n">
        <f aca="false">VLOOKUP($A73,Plant_Table,'Plant Operations'!$C$270)</f>
        <v>480</v>
      </c>
      <c r="J73" s="1575" t="n">
        <f aca="false">H73*I73/1000</f>
        <v>9720.45425768396</v>
      </c>
      <c r="K73" s="1565" t="n">
        <f aca="false">F73</f>
        <v>2.35407871508258</v>
      </c>
      <c r="L73" s="394" t="n">
        <f aca="false">J73/K73</f>
        <v>4129.1967831853</v>
      </c>
      <c r="M73" s="1579" t="str">
        <f aca="false">IF(MONTH($A73)=12,SUM(L62:L73)," ")</f>
        <v> </v>
      </c>
      <c r="O73" s="1597" t="n">
        <f aca="false">IF($A73&gt;Endyr,0,VLOOKUP($A73,Tariff_Table,Tariff!$H$33))</f>
        <v>6104.93</v>
      </c>
      <c r="P73" s="1565" t="n">
        <f aca="false">$AS73</f>
        <v>1.18275962783774</v>
      </c>
      <c r="Q73" s="1575" t="n">
        <f aca="false">O73*P73</f>
        <v>7220.66473477542</v>
      </c>
      <c r="R73" s="1565" t="n">
        <f aca="false">$F73</f>
        <v>2.35407871508258</v>
      </c>
      <c r="S73" s="427" t="n">
        <f aca="false">$G73</f>
        <v>1.065</v>
      </c>
      <c r="T73" s="1575" t="n">
        <f aca="false">Q73*R73/S73</f>
        <v>15960.5757379176</v>
      </c>
      <c r="U73" s="1540" t="n">
        <f aca="false">$I73</f>
        <v>480</v>
      </c>
      <c r="V73" s="1575" t="n">
        <f aca="false">T73*U73/1000</f>
        <v>7661.07635420043</v>
      </c>
      <c r="W73" s="1565" t="n">
        <f aca="false">R73</f>
        <v>2.35407871508258</v>
      </c>
      <c r="X73" s="394" t="n">
        <f aca="false">V73/W73</f>
        <v>3254.38410581428</v>
      </c>
      <c r="Y73" s="1579" t="str">
        <f aca="false">IF(MONTH($A73)=12,SUM(X62:X73)," ")</f>
        <v> </v>
      </c>
      <c r="AA73" s="1595" t="n">
        <f aca="false">IF($A73&gt;Endyr,0,VLOOKUP($A73,Tariff_Table,Tariff!$I$33))</f>
        <v>2.3</v>
      </c>
      <c r="AB73" s="1565" t="n">
        <f aca="false">$AS73</f>
        <v>1.18275962783774</v>
      </c>
      <c r="AC73" s="1596" t="n">
        <f aca="false">AA73*AB73</f>
        <v>2.72034714402679</v>
      </c>
      <c r="AD73" s="1565" t="n">
        <f aca="false">$F73</f>
        <v>2.35407871508258</v>
      </c>
      <c r="AE73" s="427" t="n">
        <f aca="false">$G73</f>
        <v>1.065</v>
      </c>
      <c r="AF73" s="1596" t="n">
        <f aca="false">AC73*AD73/AE73</f>
        <v>6.01306226233722</v>
      </c>
      <c r="AG73" s="397" t="n">
        <f aca="false">VLOOKUP($A73,Plant_Table,'Plant Operations'!$M$270)</f>
        <v>289336.32</v>
      </c>
      <c r="AH73" s="1575" t="n">
        <f aca="false">AF73*AG73/1000</f>
        <v>1739.79730691553</v>
      </c>
      <c r="AI73" s="1565" t="n">
        <f aca="false">AD73</f>
        <v>2.35407871508258</v>
      </c>
      <c r="AJ73" s="1566" t="n">
        <f aca="false">AH73/AI73</f>
        <v>739.056555657485</v>
      </c>
      <c r="AK73" s="1567" t="str">
        <f aca="false">IF(MONTH($A73)=12,SUM(AJ62:AJ73)," ")</f>
        <v> </v>
      </c>
      <c r="AM73" s="488" t="n">
        <f aca="false">IF($A73&gt;Endyr,0,VLOOKUP($A73,Tariff_Table,Tariff!$L$33))</f>
        <v>1.21</v>
      </c>
      <c r="AN73" s="1576" t="n">
        <f aca="false">VLOOKUP($A73,Curves_Table,Escalation!$Z$291)</f>
        <v>1.22051988152322</v>
      </c>
      <c r="AO73" s="1314" t="n">
        <f aca="false">AM73*AN73</f>
        <v>1.47682905664309</v>
      </c>
      <c r="AP73" s="1314" t="n">
        <f aca="false">IF($A73&gt;Endyr,0,VLOOKUP($A73,Tariff_Table,Tariff!$M$33))</f>
        <v>0.25</v>
      </c>
      <c r="AQ73" s="1314" t="n">
        <f aca="false">SUM(AO73,AP73)</f>
        <v>1.72682905664309</v>
      </c>
      <c r="AR73" s="1314" t="n">
        <f aca="false">SUM(AM73,AP73)</f>
        <v>1.46</v>
      </c>
      <c r="AS73" s="1598" t="n">
        <f aca="false">IF(AR73=0,0,AQ73/AR73)</f>
        <v>1.18275962783774</v>
      </c>
    </row>
    <row r="74" customFormat="false" ht="12.75" hidden="false" customHeight="false" outlineLevel="0" collapsed="false">
      <c r="A74" s="1538" t="n">
        <f aca="false">EDATE(A73,1)</f>
        <v>38838</v>
      </c>
      <c r="C74" s="1595" t="n">
        <f aca="false">IF($A74&gt;Endyr,0,VLOOKUP($A74,Tariff_Table,Tariff!$G$33))</f>
        <v>7429.43</v>
      </c>
      <c r="D74" s="1565" t="n">
        <f aca="false">VLOOKUP($A74,Curves_Table,Escalation!$V$291)</f>
        <v>1.26919095628799</v>
      </c>
      <c r="E74" s="1596" t="n">
        <f aca="false">C74*D74</f>
        <v>9429.36536637467</v>
      </c>
      <c r="F74" s="1565" t="n">
        <f aca="false">IF(Assm!$L$74=0,VLOOKUP($A74,Curves_Table,Escalation!$D$291),VLOOKUP($A74,Curves_Table,Escalation!$E$291))</f>
        <v>2.35950230966078</v>
      </c>
      <c r="G74" s="427" t="n">
        <f aca="false">IF($A74&lt;EE_Date,VLOOKUP($A74,Curves_Table,Escalation!$D$291),Exch)</f>
        <v>1.065</v>
      </c>
      <c r="H74" s="1596" t="n">
        <f aca="false">E74*F74/G74</f>
        <v>20890.7130146446</v>
      </c>
      <c r="I74" s="1540" t="n">
        <f aca="false">VLOOKUP($A74,Plant_Table,'Plant Operations'!$C$270)</f>
        <v>480</v>
      </c>
      <c r="J74" s="1575" t="n">
        <f aca="false">H74*I74/1000</f>
        <v>10027.5422470294</v>
      </c>
      <c r="K74" s="1565" t="n">
        <f aca="false">F74</f>
        <v>2.35950230966078</v>
      </c>
      <c r="L74" s="394" t="n">
        <f aca="false">J74/K74</f>
        <v>4249.85481301394</v>
      </c>
      <c r="M74" s="1579" t="str">
        <f aca="false">IF(MONTH($A74)=12,SUM(L63:L74)," ")</f>
        <v> </v>
      </c>
      <c r="O74" s="1597" t="n">
        <f aca="false">IF($A74&gt;Endyr,0,VLOOKUP($A74,Tariff_Table,Tariff!$H$33))</f>
        <v>6133.73</v>
      </c>
      <c r="P74" s="1565" t="n">
        <f aca="false">$AS74</f>
        <v>1.20855238847667</v>
      </c>
      <c r="Q74" s="1575" t="n">
        <f aca="false">O74*P74</f>
        <v>7412.93404177097</v>
      </c>
      <c r="R74" s="1565" t="n">
        <f aca="false">$F74</f>
        <v>2.35950230966078</v>
      </c>
      <c r="S74" s="427" t="n">
        <f aca="false">$G74</f>
        <v>1.065</v>
      </c>
      <c r="T74" s="1575" t="n">
        <f aca="false">Q74*R74/S74</f>
        <v>16423.31924218</v>
      </c>
      <c r="U74" s="1540" t="n">
        <f aca="false">$I74</f>
        <v>480</v>
      </c>
      <c r="V74" s="1575" t="n">
        <f aca="false">T74*U74/1000</f>
        <v>7883.19323624639</v>
      </c>
      <c r="W74" s="1565" t="n">
        <f aca="false">R74</f>
        <v>2.35950230966078</v>
      </c>
      <c r="X74" s="394" t="n">
        <f aca="false">V74/W74</f>
        <v>3341.04069488269</v>
      </c>
      <c r="Y74" s="1579" t="str">
        <f aca="false">IF(MONTH($A74)=12,SUM(X63:X74)," ")</f>
        <v> </v>
      </c>
      <c r="AA74" s="1595" t="n">
        <f aca="false">IF($A74&gt;Endyr,0,VLOOKUP($A74,Tariff_Table,Tariff!$I$33))</f>
        <v>2.31</v>
      </c>
      <c r="AB74" s="1565" t="n">
        <f aca="false">$AS74</f>
        <v>1.20855238847667</v>
      </c>
      <c r="AC74" s="1596" t="n">
        <f aca="false">AA74*AB74</f>
        <v>2.7917560173811</v>
      </c>
      <c r="AD74" s="1565" t="n">
        <f aca="false">$F74</f>
        <v>2.35950230966078</v>
      </c>
      <c r="AE74" s="427" t="n">
        <f aca="false">$G74</f>
        <v>1.065</v>
      </c>
      <c r="AF74" s="1596" t="n">
        <f aca="false">AC74*AD74/AE74</f>
        <v>6.18512185072309</v>
      </c>
      <c r="AG74" s="397" t="n">
        <f aca="false">VLOOKUP($A74,Plant_Table,'Plant Operations'!$M$270)</f>
        <v>298980.864</v>
      </c>
      <c r="AH74" s="1575" t="n">
        <f aca="false">AF74*AG74/1000</f>
        <v>1849.23307487447</v>
      </c>
      <c r="AI74" s="1565" t="n">
        <f aca="false">AD74</f>
        <v>2.35950230966078</v>
      </c>
      <c r="AJ74" s="1566" t="n">
        <f aca="false">AH74/AI74</f>
        <v>783.738616106854</v>
      </c>
      <c r="AK74" s="1567" t="str">
        <f aca="false">IF(MONTH($A74)=12,SUM(AJ63:AJ74)," ")</f>
        <v> </v>
      </c>
      <c r="AM74" s="488" t="n">
        <f aca="false">IF($A74&gt;Endyr,0,VLOOKUP($A74,Tariff_Table,Tariff!$L$33))</f>
        <v>1.21</v>
      </c>
      <c r="AN74" s="1576" t="n">
        <f aca="false">VLOOKUP($A74,Curves_Table,Escalation!$Z$291)</f>
        <v>1.25164172493879</v>
      </c>
      <c r="AO74" s="1314" t="n">
        <f aca="false">AM74*AN74</f>
        <v>1.51448648717593</v>
      </c>
      <c r="AP74" s="1314" t="n">
        <f aca="false">IF($A74&gt;Endyr,0,VLOOKUP($A74,Tariff_Table,Tariff!$M$33))</f>
        <v>0.25</v>
      </c>
      <c r="AQ74" s="1314" t="n">
        <f aca="false">SUM(AO74,AP74)</f>
        <v>1.76448648717593</v>
      </c>
      <c r="AR74" s="1314" t="n">
        <f aca="false">SUM(AM74,AP74)</f>
        <v>1.46</v>
      </c>
      <c r="AS74" s="1598" t="n">
        <f aca="false">IF(AR74=0,0,AQ74/AR74)</f>
        <v>1.20855238847667</v>
      </c>
    </row>
    <row r="75" customFormat="false" ht="12.75" hidden="false" customHeight="false" outlineLevel="0" collapsed="false">
      <c r="A75" s="1538" t="n">
        <f aca="false">EDATE(A74,1)</f>
        <v>38869</v>
      </c>
      <c r="C75" s="1595" t="n">
        <f aca="false">IF($A75&gt;Endyr,0,VLOOKUP($A75,Tariff_Table,Tariff!$G$33))</f>
        <v>7429.43</v>
      </c>
      <c r="D75" s="1565" t="n">
        <f aca="false">VLOOKUP($A75,Curves_Table,Escalation!$V$291)</f>
        <v>1.26919095628799</v>
      </c>
      <c r="E75" s="1596" t="n">
        <f aca="false">C75*D75</f>
        <v>9429.36536637467</v>
      </c>
      <c r="F75" s="1565" t="n">
        <f aca="false">IF(Assm!$L$74=0,VLOOKUP($A75,Curves_Table,Escalation!$D$291),VLOOKUP($A75,Curves_Table,Escalation!$E$291))</f>
        <v>2.36493839973371</v>
      </c>
      <c r="G75" s="427" t="n">
        <f aca="false">IF($A75&lt;EE_Date,VLOOKUP($A75,Curves_Table,Escalation!$D$291),Exch)</f>
        <v>1.065</v>
      </c>
      <c r="H75" s="1596" t="n">
        <f aca="false">E75*F75/G75</f>
        <v>20938.8434178954</v>
      </c>
      <c r="I75" s="1540" t="n">
        <f aca="false">VLOOKUP($A75,Plant_Table,'Plant Operations'!$C$270)</f>
        <v>480</v>
      </c>
      <c r="J75" s="1575" t="n">
        <f aca="false">H75*I75/1000</f>
        <v>10050.6448405898</v>
      </c>
      <c r="K75" s="1565" t="n">
        <f aca="false">F75</f>
        <v>2.36493839973371</v>
      </c>
      <c r="L75" s="394" t="n">
        <f aca="false">J75/K75</f>
        <v>4249.85481301394</v>
      </c>
      <c r="M75" s="1579" t="str">
        <f aca="false">IF(MONTH($A75)=12,SUM(L64:L75)," ")</f>
        <v> </v>
      </c>
      <c r="O75" s="1597" t="n">
        <f aca="false">IF($A75&gt;Endyr,0,VLOOKUP($A75,Tariff_Table,Tariff!$H$33))</f>
        <v>6133.73</v>
      </c>
      <c r="P75" s="1565" t="n">
        <f aca="false">$AS75</f>
        <v>1.20855238847667</v>
      </c>
      <c r="Q75" s="1575" t="n">
        <f aca="false">O75*P75</f>
        <v>7412.93404177097</v>
      </c>
      <c r="R75" s="1565" t="n">
        <f aca="false">$F75</f>
        <v>2.36493839973371</v>
      </c>
      <c r="S75" s="427" t="n">
        <f aca="false">$G75</f>
        <v>1.065</v>
      </c>
      <c r="T75" s="1575" t="n">
        <f aca="false">Q75*R75/S75</f>
        <v>16461.1571550023</v>
      </c>
      <c r="U75" s="1540" t="n">
        <f aca="false">$I75</f>
        <v>480</v>
      </c>
      <c r="V75" s="1575" t="n">
        <f aca="false">T75*U75/1000</f>
        <v>7901.35543440108</v>
      </c>
      <c r="W75" s="1565" t="n">
        <f aca="false">R75</f>
        <v>2.36493839973371</v>
      </c>
      <c r="X75" s="394" t="n">
        <f aca="false">V75/W75</f>
        <v>3341.04069488269</v>
      </c>
      <c r="Y75" s="1579" t="str">
        <f aca="false">IF(MONTH($A75)=12,SUM(X64:X75)," ")</f>
        <v> </v>
      </c>
      <c r="AA75" s="1595" t="n">
        <f aca="false">IF($A75&gt;Endyr,0,VLOOKUP($A75,Tariff_Table,Tariff!$I$33))</f>
        <v>2.31</v>
      </c>
      <c r="AB75" s="1565" t="n">
        <f aca="false">$AS75</f>
        <v>1.20855238847667</v>
      </c>
      <c r="AC75" s="1596" t="n">
        <f aca="false">AA75*AB75</f>
        <v>2.7917560173811</v>
      </c>
      <c r="AD75" s="1565" t="n">
        <f aca="false">$F75</f>
        <v>2.36493839973371</v>
      </c>
      <c r="AE75" s="427" t="n">
        <f aca="false">$G75</f>
        <v>1.065</v>
      </c>
      <c r="AF75" s="1596" t="n">
        <f aca="false">AC75*AD75/AE75</f>
        <v>6.19937183867813</v>
      </c>
      <c r="AG75" s="397" t="n">
        <f aca="false">VLOOKUP($A75,Plant_Table,'Plant Operations'!$M$270)</f>
        <v>289336.32</v>
      </c>
      <c r="AH75" s="1575" t="n">
        <f aca="false">AF75*AG75/1000</f>
        <v>1793.70343411476</v>
      </c>
      <c r="AI75" s="1565" t="n">
        <f aca="false">AD75</f>
        <v>2.36493839973371</v>
      </c>
      <c r="AJ75" s="1566" t="n">
        <f aca="false">AH75/AI75</f>
        <v>758.456725264697</v>
      </c>
      <c r="AK75" s="1567" t="str">
        <f aca="false">IF(MONTH($A75)=12,SUM(AJ64:AJ75)," ")</f>
        <v> </v>
      </c>
      <c r="AM75" s="488" t="n">
        <f aca="false">IF($A75&gt;Endyr,0,VLOOKUP($A75,Tariff_Table,Tariff!$L$33))</f>
        <v>1.21</v>
      </c>
      <c r="AN75" s="1576" t="n">
        <f aca="false">VLOOKUP($A75,Curves_Table,Escalation!$Z$291)</f>
        <v>1.25164172493879</v>
      </c>
      <c r="AO75" s="1314" t="n">
        <f aca="false">AM75*AN75</f>
        <v>1.51448648717593</v>
      </c>
      <c r="AP75" s="1314" t="n">
        <f aca="false">IF($A75&gt;Endyr,0,VLOOKUP($A75,Tariff_Table,Tariff!$M$33))</f>
        <v>0.25</v>
      </c>
      <c r="AQ75" s="1314" t="n">
        <f aca="false">SUM(AO75,AP75)</f>
        <v>1.76448648717593</v>
      </c>
      <c r="AR75" s="1314" t="n">
        <f aca="false">SUM(AM75,AP75)</f>
        <v>1.46</v>
      </c>
      <c r="AS75" s="1598" t="n">
        <f aca="false">IF(AR75=0,0,AQ75/AR75)</f>
        <v>1.20855238847667</v>
      </c>
    </row>
    <row r="76" customFormat="false" ht="12.75" hidden="false" customHeight="false" outlineLevel="0" collapsed="false">
      <c r="A76" s="1538" t="n">
        <f aca="false">EDATE(A75,1)</f>
        <v>38899</v>
      </c>
      <c r="C76" s="1595" t="n">
        <f aca="false">IF($A76&gt;Endyr,0,VLOOKUP($A76,Tariff_Table,Tariff!$G$33))</f>
        <v>7429.43</v>
      </c>
      <c r="D76" s="1565" t="n">
        <f aca="false">VLOOKUP($A76,Curves_Table,Escalation!$V$291)</f>
        <v>1.26919095628799</v>
      </c>
      <c r="E76" s="1596" t="n">
        <f aca="false">C76*D76</f>
        <v>9429.36536637467</v>
      </c>
      <c r="F76" s="1565" t="n">
        <f aca="false">IF(Assm!$L$74=0,VLOOKUP($A76,Curves_Table,Escalation!$D$291),VLOOKUP($A76,Curves_Table,Escalation!$E$291))</f>
        <v>2.3703870140899</v>
      </c>
      <c r="G76" s="427" t="n">
        <f aca="false">IF($A76&lt;EE_Date,VLOOKUP($A76,Curves_Table,Escalation!$D$291),Exch)</f>
        <v>1.065</v>
      </c>
      <c r="H76" s="1596" t="n">
        <f aca="false">E76*F76/G76</f>
        <v>20987.0847094494</v>
      </c>
      <c r="I76" s="1540" t="n">
        <f aca="false">VLOOKUP($A76,Plant_Table,'Plant Operations'!$C$270)</f>
        <v>480</v>
      </c>
      <c r="J76" s="1575" t="n">
        <f aca="false">H76*I76/1000</f>
        <v>10073.8006605357</v>
      </c>
      <c r="K76" s="1565" t="n">
        <f aca="false">F76</f>
        <v>2.3703870140899</v>
      </c>
      <c r="L76" s="394" t="n">
        <f aca="false">J76/K76</f>
        <v>4249.85481301394</v>
      </c>
      <c r="M76" s="1579" t="str">
        <f aca="false">IF(MONTH($A76)=12,SUM(L65:L76)," ")</f>
        <v> </v>
      </c>
      <c r="O76" s="1597" t="n">
        <f aca="false">IF($A76&gt;Endyr,0,VLOOKUP($A76,Tariff_Table,Tariff!$H$33))</f>
        <v>6133.73</v>
      </c>
      <c r="P76" s="1565" t="n">
        <f aca="false">$AS76</f>
        <v>1.20855238847667</v>
      </c>
      <c r="Q76" s="1575" t="n">
        <f aca="false">O76*P76</f>
        <v>7412.93404177097</v>
      </c>
      <c r="R76" s="1565" t="n">
        <f aca="false">$F76</f>
        <v>2.3703870140899</v>
      </c>
      <c r="S76" s="427" t="n">
        <f aca="false">$G76</f>
        <v>1.065</v>
      </c>
      <c r="T76" s="1575" t="n">
        <f aca="false">Q76*R76/S76</f>
        <v>16499.0822431163</v>
      </c>
      <c r="U76" s="1540" t="n">
        <f aca="false">$I76</f>
        <v>480</v>
      </c>
      <c r="V76" s="1575" t="n">
        <f aca="false">T76*U76/1000</f>
        <v>7919.55947669583</v>
      </c>
      <c r="W76" s="1565" t="n">
        <f aca="false">R76</f>
        <v>2.3703870140899</v>
      </c>
      <c r="X76" s="394" t="n">
        <f aca="false">V76/W76</f>
        <v>3341.04069488269</v>
      </c>
      <c r="Y76" s="1579" t="str">
        <f aca="false">IF(MONTH($A76)=12,SUM(X65:X76)," ")</f>
        <v> </v>
      </c>
      <c r="AA76" s="1595" t="n">
        <f aca="false">IF($A76&gt;Endyr,0,VLOOKUP($A76,Tariff_Table,Tariff!$I$33))</f>
        <v>2.31</v>
      </c>
      <c r="AB76" s="1565" t="n">
        <f aca="false">$AS76</f>
        <v>1.20855238847667</v>
      </c>
      <c r="AC76" s="1596" t="n">
        <f aca="false">AA76*AB76</f>
        <v>2.7917560173811</v>
      </c>
      <c r="AD76" s="1565" t="n">
        <f aca="false">$F76</f>
        <v>2.3703870140899</v>
      </c>
      <c r="AE76" s="427" t="n">
        <f aca="false">$G76</f>
        <v>1.065</v>
      </c>
      <c r="AF76" s="1596" t="n">
        <f aca="false">AC76*AD76/AE76</f>
        <v>6.21365465737792</v>
      </c>
      <c r="AG76" s="397" t="n">
        <f aca="false">VLOOKUP($A76,Plant_Table,'Plant Operations'!$M$270)</f>
        <v>298980.864</v>
      </c>
      <c r="AH76" s="1575" t="n">
        <f aca="false">AF76*AG76/1000</f>
        <v>1857.76383806047</v>
      </c>
      <c r="AI76" s="1565" t="n">
        <f aca="false">AD76</f>
        <v>2.3703870140899</v>
      </c>
      <c r="AJ76" s="1566" t="n">
        <f aca="false">AH76/AI76</f>
        <v>783.738616106854</v>
      </c>
      <c r="AK76" s="1567" t="str">
        <f aca="false">IF(MONTH($A76)=12,SUM(AJ65:AJ76)," ")</f>
        <v> </v>
      </c>
      <c r="AM76" s="488" t="n">
        <f aca="false">IF($A76&gt;Endyr,0,VLOOKUP($A76,Tariff_Table,Tariff!$L$33))</f>
        <v>1.21</v>
      </c>
      <c r="AN76" s="1576" t="n">
        <f aca="false">VLOOKUP($A76,Curves_Table,Escalation!$Z$291)</f>
        <v>1.25164172493879</v>
      </c>
      <c r="AO76" s="1314" t="n">
        <f aca="false">AM76*AN76</f>
        <v>1.51448648717593</v>
      </c>
      <c r="AP76" s="1314" t="n">
        <f aca="false">IF($A76&gt;Endyr,0,VLOOKUP($A76,Tariff_Table,Tariff!$M$33))</f>
        <v>0.25</v>
      </c>
      <c r="AQ76" s="1314" t="n">
        <f aca="false">SUM(AO76,AP76)</f>
        <v>1.76448648717593</v>
      </c>
      <c r="AR76" s="1314" t="n">
        <f aca="false">SUM(AM76,AP76)</f>
        <v>1.46</v>
      </c>
      <c r="AS76" s="1598" t="n">
        <f aca="false">IF(AR76=0,0,AQ76/AR76)</f>
        <v>1.20855238847667</v>
      </c>
    </row>
    <row r="77" customFormat="false" ht="12.75" hidden="false" customHeight="false" outlineLevel="0" collapsed="false">
      <c r="A77" s="1538" t="n">
        <f aca="false">EDATE(A76,1)</f>
        <v>38930</v>
      </c>
      <c r="C77" s="1595" t="n">
        <f aca="false">IF($A77&gt;Endyr,0,VLOOKUP($A77,Tariff_Table,Tariff!$G$33))</f>
        <v>7429.43</v>
      </c>
      <c r="D77" s="1565" t="n">
        <f aca="false">VLOOKUP($A77,Curves_Table,Escalation!$V$291)</f>
        <v>1.26919095628799</v>
      </c>
      <c r="E77" s="1596" t="n">
        <f aca="false">C77*D77</f>
        <v>9429.36536637467</v>
      </c>
      <c r="F77" s="1565" t="n">
        <f aca="false">IF(Assm!$L$74=0,VLOOKUP($A77,Curves_Table,Escalation!$D$291),VLOOKUP($A77,Curves_Table,Escalation!$E$291))</f>
        <v>2.37584818158422</v>
      </c>
      <c r="G77" s="427" t="n">
        <f aca="false">IF($A77&lt;EE_Date,VLOOKUP($A77,Curves_Table,Escalation!$D$291),Exch)</f>
        <v>1.065</v>
      </c>
      <c r="H77" s="1596" t="n">
        <f aca="false">E77*F77/G77</f>
        <v>21035.4371447835</v>
      </c>
      <c r="I77" s="1540" t="n">
        <f aca="false">VLOOKUP($A77,Plant_Table,'Plant Operations'!$C$270)</f>
        <v>480</v>
      </c>
      <c r="J77" s="1575" t="n">
        <f aca="false">H77*I77/1000</f>
        <v>10097.0098294961</v>
      </c>
      <c r="K77" s="1565" t="n">
        <f aca="false">F77</f>
        <v>2.37584818158422</v>
      </c>
      <c r="L77" s="394" t="n">
        <f aca="false">J77/K77</f>
        <v>4249.85481301394</v>
      </c>
      <c r="M77" s="1579" t="str">
        <f aca="false">IF(MONTH($A77)=12,SUM(L66:L77)," ")</f>
        <v> </v>
      </c>
      <c r="O77" s="1597" t="n">
        <f aca="false">IF($A77&gt;Endyr,0,VLOOKUP($A77,Tariff_Table,Tariff!$H$33))</f>
        <v>6133.73</v>
      </c>
      <c r="P77" s="1565" t="n">
        <f aca="false">$AS77</f>
        <v>1.20855238847667</v>
      </c>
      <c r="Q77" s="1575" t="n">
        <f aca="false">O77*P77</f>
        <v>7412.93404177097</v>
      </c>
      <c r="R77" s="1565" t="n">
        <f aca="false">$F77</f>
        <v>2.37584818158422</v>
      </c>
      <c r="S77" s="427" t="n">
        <f aca="false">$G77</f>
        <v>1.065</v>
      </c>
      <c r="T77" s="1575" t="n">
        <f aca="false">Q77*R77/S77</f>
        <v>16537.0947073665</v>
      </c>
      <c r="U77" s="1540" t="n">
        <f aca="false">$I77</f>
        <v>480</v>
      </c>
      <c r="V77" s="1575" t="n">
        <f aca="false">T77*U77/1000</f>
        <v>7937.80545953592</v>
      </c>
      <c r="W77" s="1565" t="n">
        <f aca="false">R77</f>
        <v>2.37584818158422</v>
      </c>
      <c r="X77" s="394" t="n">
        <f aca="false">V77/W77</f>
        <v>3341.04069488269</v>
      </c>
      <c r="Y77" s="1579" t="str">
        <f aca="false">IF(MONTH($A77)=12,SUM(X66:X77)," ")</f>
        <v> </v>
      </c>
      <c r="AA77" s="1595" t="n">
        <f aca="false">IF($A77&gt;Endyr,0,VLOOKUP($A77,Tariff_Table,Tariff!$I$33))</f>
        <v>2.31</v>
      </c>
      <c r="AB77" s="1565" t="n">
        <f aca="false">$AS77</f>
        <v>1.20855238847667</v>
      </c>
      <c r="AC77" s="1596" t="n">
        <f aca="false">AA77*AB77</f>
        <v>2.7917560173811</v>
      </c>
      <c r="AD77" s="1565" t="n">
        <f aca="false">$F77</f>
        <v>2.37584818158422</v>
      </c>
      <c r="AE77" s="427" t="n">
        <f aca="false">$G77</f>
        <v>1.065</v>
      </c>
      <c r="AF77" s="1596" t="n">
        <f aca="false">AC77*AD77/AE77</f>
        <v>6.22797038246167</v>
      </c>
      <c r="AG77" s="397" t="n">
        <f aca="false">VLOOKUP($A77,Plant_Table,'Plant Operations'!$M$270)</f>
        <v>298980.864</v>
      </c>
      <c r="AH77" s="1575" t="n">
        <f aca="false">AF77*AG77/1000</f>
        <v>1862.0439659148</v>
      </c>
      <c r="AI77" s="1565" t="n">
        <f aca="false">AD77</f>
        <v>2.37584818158422</v>
      </c>
      <c r="AJ77" s="1566" t="n">
        <f aca="false">AH77/AI77</f>
        <v>783.738616106854</v>
      </c>
      <c r="AK77" s="1567" t="str">
        <f aca="false">IF(MONTH($A77)=12,SUM(AJ66:AJ77)," ")</f>
        <v> </v>
      </c>
      <c r="AM77" s="488" t="n">
        <f aca="false">IF($A77&gt;Endyr,0,VLOOKUP($A77,Tariff_Table,Tariff!$L$33))</f>
        <v>1.21</v>
      </c>
      <c r="AN77" s="1576" t="n">
        <f aca="false">VLOOKUP($A77,Curves_Table,Escalation!$Z$291)</f>
        <v>1.25164172493879</v>
      </c>
      <c r="AO77" s="1314" t="n">
        <f aca="false">AM77*AN77</f>
        <v>1.51448648717593</v>
      </c>
      <c r="AP77" s="1314" t="n">
        <f aca="false">IF($A77&gt;Endyr,0,VLOOKUP($A77,Tariff_Table,Tariff!$M$33))</f>
        <v>0.25</v>
      </c>
      <c r="AQ77" s="1314" t="n">
        <f aca="false">SUM(AO77,AP77)</f>
        <v>1.76448648717593</v>
      </c>
      <c r="AR77" s="1314" t="n">
        <f aca="false">SUM(AM77,AP77)</f>
        <v>1.46</v>
      </c>
      <c r="AS77" s="1598" t="n">
        <f aca="false">IF(AR77=0,0,AQ77/AR77)</f>
        <v>1.20855238847667</v>
      </c>
    </row>
    <row r="78" customFormat="false" ht="12.75" hidden="false" customHeight="false" outlineLevel="0" collapsed="false">
      <c r="A78" s="1538" t="n">
        <f aca="false">EDATE(A77,1)</f>
        <v>38961</v>
      </c>
      <c r="C78" s="1595" t="n">
        <f aca="false">IF($A78&gt;Endyr,0,VLOOKUP($A78,Tariff_Table,Tariff!$G$33))</f>
        <v>7429.43</v>
      </c>
      <c r="D78" s="1565" t="n">
        <f aca="false">VLOOKUP($A78,Curves_Table,Escalation!$V$291)</f>
        <v>1.26919095628799</v>
      </c>
      <c r="E78" s="1596" t="n">
        <f aca="false">C78*D78</f>
        <v>9429.36536637467</v>
      </c>
      <c r="F78" s="1565" t="n">
        <f aca="false">IF(Assm!$L$74=0,VLOOKUP($A78,Curves_Table,Escalation!$D$291),VLOOKUP($A78,Curves_Table,Escalation!$E$291))</f>
        <v>2.38132193113802</v>
      </c>
      <c r="G78" s="427" t="n">
        <f aca="false">IF($A78&lt;EE_Date,VLOOKUP($A78,Curves_Table,Escalation!$D$291),Exch)</f>
        <v>1.065</v>
      </c>
      <c r="H78" s="1596" t="n">
        <f aca="false">E78*F78/G78</f>
        <v>21083.9009799636</v>
      </c>
      <c r="I78" s="1540" t="n">
        <f aca="false">VLOOKUP($A78,Plant_Table,'Plant Operations'!$C$270)</f>
        <v>480</v>
      </c>
      <c r="J78" s="1575" t="n">
        <f aca="false">H78*I78/1000</f>
        <v>10120.2724703825</v>
      </c>
      <c r="K78" s="1565" t="n">
        <f aca="false">F78</f>
        <v>2.38132193113802</v>
      </c>
      <c r="L78" s="394" t="n">
        <f aca="false">J78/K78</f>
        <v>4249.85481301394</v>
      </c>
      <c r="M78" s="1579" t="str">
        <f aca="false">IF(MONTH($A78)=12,SUM(L67:L78)," ")</f>
        <v> </v>
      </c>
      <c r="O78" s="1597" t="n">
        <f aca="false">IF($A78&gt;Endyr,0,VLOOKUP($A78,Tariff_Table,Tariff!$H$33))</f>
        <v>6133.73</v>
      </c>
      <c r="P78" s="1565" t="n">
        <f aca="false">$AS78</f>
        <v>1.20855238847667</v>
      </c>
      <c r="Q78" s="1575" t="n">
        <f aca="false">O78*P78</f>
        <v>7412.93404177097</v>
      </c>
      <c r="R78" s="1565" t="n">
        <f aca="false">$F78</f>
        <v>2.38132193113802</v>
      </c>
      <c r="S78" s="427" t="n">
        <f aca="false">$G78</f>
        <v>1.065</v>
      </c>
      <c r="T78" s="1575" t="n">
        <f aca="false">Q78*R78/S78</f>
        <v>16575.1947490599</v>
      </c>
      <c r="U78" s="1540" t="n">
        <f aca="false">$I78</f>
        <v>480</v>
      </c>
      <c r="V78" s="1575" t="n">
        <f aca="false">T78*U78/1000</f>
        <v>7956.09347954875</v>
      </c>
      <c r="W78" s="1565" t="n">
        <f aca="false">R78</f>
        <v>2.38132193113802</v>
      </c>
      <c r="X78" s="394" t="n">
        <f aca="false">V78/W78</f>
        <v>3341.04069488269</v>
      </c>
      <c r="Y78" s="1579" t="str">
        <f aca="false">IF(MONTH($A78)=12,SUM(X67:X78)," ")</f>
        <v> </v>
      </c>
      <c r="AA78" s="1595" t="n">
        <f aca="false">IF($A78&gt;Endyr,0,VLOOKUP($A78,Tariff_Table,Tariff!$I$33))</f>
        <v>2.31</v>
      </c>
      <c r="AB78" s="1565" t="n">
        <f aca="false">$AS78</f>
        <v>1.20855238847667</v>
      </c>
      <c r="AC78" s="1596" t="n">
        <f aca="false">AA78*AB78</f>
        <v>2.7917560173811</v>
      </c>
      <c r="AD78" s="1565" t="n">
        <f aca="false">$F78</f>
        <v>2.38132193113802</v>
      </c>
      <c r="AE78" s="427" t="n">
        <f aca="false">$G78</f>
        <v>1.065</v>
      </c>
      <c r="AF78" s="1596" t="n">
        <f aca="false">AC78*AD78/AE78</f>
        <v>6.24231908974284</v>
      </c>
      <c r="AG78" s="397" t="n">
        <f aca="false">VLOOKUP($A78,Plant_Table,'Plant Operations'!$M$270)</f>
        <v>289336.32</v>
      </c>
      <c r="AH78" s="1575" t="n">
        <f aca="false">AF78*AG78/1000</f>
        <v>1806.12963369194</v>
      </c>
      <c r="AI78" s="1565" t="n">
        <f aca="false">AD78</f>
        <v>2.38132193113802</v>
      </c>
      <c r="AJ78" s="1566" t="n">
        <f aca="false">AH78/AI78</f>
        <v>758.456725264697</v>
      </c>
      <c r="AK78" s="1567" t="str">
        <f aca="false">IF(MONTH($A78)=12,SUM(AJ67:AJ78)," ")</f>
        <v> </v>
      </c>
      <c r="AM78" s="488" t="n">
        <f aca="false">IF($A78&gt;Endyr,0,VLOOKUP($A78,Tariff_Table,Tariff!$L$33))</f>
        <v>1.21</v>
      </c>
      <c r="AN78" s="1576" t="n">
        <f aca="false">VLOOKUP($A78,Curves_Table,Escalation!$Z$291)</f>
        <v>1.25164172493879</v>
      </c>
      <c r="AO78" s="1314" t="n">
        <f aca="false">AM78*AN78</f>
        <v>1.51448648717593</v>
      </c>
      <c r="AP78" s="1314" t="n">
        <f aca="false">IF($A78&gt;Endyr,0,VLOOKUP($A78,Tariff_Table,Tariff!$M$33))</f>
        <v>0.25</v>
      </c>
      <c r="AQ78" s="1314" t="n">
        <f aca="false">SUM(AO78,AP78)</f>
        <v>1.76448648717593</v>
      </c>
      <c r="AR78" s="1314" t="n">
        <f aca="false">SUM(AM78,AP78)</f>
        <v>1.46</v>
      </c>
      <c r="AS78" s="1598" t="n">
        <f aca="false">IF(AR78=0,0,AQ78/AR78)</f>
        <v>1.20855238847667</v>
      </c>
    </row>
    <row r="79" customFormat="false" ht="12.75" hidden="false" customHeight="false" outlineLevel="0" collapsed="false">
      <c r="A79" s="1538" t="n">
        <f aca="false">EDATE(A78,1)</f>
        <v>38991</v>
      </c>
      <c r="C79" s="1595" t="n">
        <f aca="false">IF($A79&gt;Endyr,0,VLOOKUP($A79,Tariff_Table,Tariff!$G$33))</f>
        <v>7429.43</v>
      </c>
      <c r="D79" s="1565" t="n">
        <f aca="false">VLOOKUP($A79,Curves_Table,Escalation!$V$291)</f>
        <v>1.26919095628799</v>
      </c>
      <c r="E79" s="1596" t="n">
        <f aca="false">C79*D79</f>
        <v>9429.36536637467</v>
      </c>
      <c r="F79" s="1565" t="n">
        <f aca="false">IF(Assm!$L$74=0,VLOOKUP($A79,Curves_Table,Escalation!$D$291),VLOOKUP($A79,Curves_Table,Escalation!$E$291))</f>
        <v>2.38680829173927</v>
      </c>
      <c r="G79" s="427" t="n">
        <f aca="false">IF($A79&lt;EE_Date,VLOOKUP($A79,Curves_Table,Escalation!$D$291),Exch)</f>
        <v>1.065</v>
      </c>
      <c r="H79" s="1596" t="n">
        <f aca="false">E79*F79/G79</f>
        <v>21132.4764716453</v>
      </c>
      <c r="I79" s="1540" t="n">
        <f aca="false">VLOOKUP($A79,Plant_Table,'Plant Operations'!$C$270)</f>
        <v>480</v>
      </c>
      <c r="J79" s="1575" t="n">
        <f aca="false">H79*I79/1000</f>
        <v>10143.5887063897</v>
      </c>
      <c r="K79" s="1565" t="n">
        <f aca="false">F79</f>
        <v>2.38680829173927</v>
      </c>
      <c r="L79" s="394" t="n">
        <f aca="false">J79/K79</f>
        <v>4249.85481301394</v>
      </c>
      <c r="M79" s="1579" t="str">
        <f aca="false">IF(MONTH($A79)=12,SUM(L68:L79)," ")</f>
        <v> </v>
      </c>
      <c r="O79" s="1597" t="n">
        <f aca="false">IF($A79&gt;Endyr,0,VLOOKUP($A79,Tariff_Table,Tariff!$H$33))</f>
        <v>6133.73</v>
      </c>
      <c r="P79" s="1565" t="n">
        <f aca="false">$AS79</f>
        <v>1.20855238847667</v>
      </c>
      <c r="Q79" s="1575" t="n">
        <f aca="false">O79*P79</f>
        <v>7412.93404177097</v>
      </c>
      <c r="R79" s="1565" t="n">
        <f aca="false">$F79</f>
        <v>2.38680829173927</v>
      </c>
      <c r="S79" s="427" t="n">
        <f aca="false">$G79</f>
        <v>1.065</v>
      </c>
      <c r="T79" s="1575" t="n">
        <f aca="false">Q79*R79/S79</f>
        <v>16613.3825699674</v>
      </c>
      <c r="U79" s="1540" t="n">
        <f aca="false">$I79</f>
        <v>480</v>
      </c>
      <c r="V79" s="1575" t="n">
        <f aca="false">T79*U79/1000</f>
        <v>7974.42363358436</v>
      </c>
      <c r="W79" s="1565" t="n">
        <f aca="false">R79</f>
        <v>2.38680829173927</v>
      </c>
      <c r="X79" s="394" t="n">
        <f aca="false">V79/W79</f>
        <v>3341.04069488269</v>
      </c>
      <c r="Y79" s="1579" t="str">
        <f aca="false">IF(MONTH($A79)=12,SUM(X68:X79)," ")</f>
        <v> </v>
      </c>
      <c r="AA79" s="1595" t="n">
        <f aca="false">IF($A79&gt;Endyr,0,VLOOKUP($A79,Tariff_Table,Tariff!$I$33))</f>
        <v>2.31</v>
      </c>
      <c r="AB79" s="1565" t="n">
        <f aca="false">$AS79</f>
        <v>1.20855238847667</v>
      </c>
      <c r="AC79" s="1596" t="n">
        <f aca="false">AA79*AB79</f>
        <v>2.7917560173811</v>
      </c>
      <c r="AD79" s="1565" t="n">
        <f aca="false">$F79</f>
        <v>2.38680829173927</v>
      </c>
      <c r="AE79" s="427" t="n">
        <f aca="false">$G79</f>
        <v>1.065</v>
      </c>
      <c r="AF79" s="1596" t="n">
        <f aca="false">AC79*AD79/AE79</f>
        <v>6.25670085520959</v>
      </c>
      <c r="AG79" s="397" t="n">
        <f aca="false">VLOOKUP($A79,Plant_Table,'Plant Operations'!$M$270)</f>
        <v>298980.864</v>
      </c>
      <c r="AH79" s="1575" t="n">
        <f aca="false">AF79*AG79/1000</f>
        <v>1870.6338274801</v>
      </c>
      <c r="AI79" s="1565" t="n">
        <f aca="false">AD79</f>
        <v>2.38680829173927</v>
      </c>
      <c r="AJ79" s="1566" t="n">
        <f aca="false">AH79/AI79</f>
        <v>783.738616106854</v>
      </c>
      <c r="AK79" s="1567" t="str">
        <f aca="false">IF(MONTH($A79)=12,SUM(AJ68:AJ79)," ")</f>
        <v> </v>
      </c>
      <c r="AM79" s="488" t="n">
        <f aca="false">IF($A79&gt;Endyr,0,VLOOKUP($A79,Tariff_Table,Tariff!$L$33))</f>
        <v>1.21</v>
      </c>
      <c r="AN79" s="1576" t="n">
        <f aca="false">VLOOKUP($A79,Curves_Table,Escalation!$Z$291)</f>
        <v>1.25164172493879</v>
      </c>
      <c r="AO79" s="1314" t="n">
        <f aca="false">AM79*AN79</f>
        <v>1.51448648717593</v>
      </c>
      <c r="AP79" s="1314" t="n">
        <f aca="false">IF($A79&gt;Endyr,0,VLOOKUP($A79,Tariff_Table,Tariff!$M$33))</f>
        <v>0.25</v>
      </c>
      <c r="AQ79" s="1314" t="n">
        <f aca="false">SUM(AO79,AP79)</f>
        <v>1.76448648717593</v>
      </c>
      <c r="AR79" s="1314" t="n">
        <f aca="false">SUM(AM79,AP79)</f>
        <v>1.46</v>
      </c>
      <c r="AS79" s="1598" t="n">
        <f aca="false">IF(AR79=0,0,AQ79/AR79)</f>
        <v>1.20855238847667</v>
      </c>
    </row>
    <row r="80" customFormat="false" ht="12.75" hidden="false" customHeight="false" outlineLevel="0" collapsed="false">
      <c r="A80" s="1538" t="n">
        <f aca="false">EDATE(A79,1)</f>
        <v>39022</v>
      </c>
      <c r="C80" s="1595" t="n">
        <f aca="false">IF($A80&gt;Endyr,0,VLOOKUP($A80,Tariff_Table,Tariff!$G$33))</f>
        <v>7429.43</v>
      </c>
      <c r="D80" s="1565" t="n">
        <f aca="false">VLOOKUP($A80,Curves_Table,Escalation!$V$291)</f>
        <v>1.26919095628799</v>
      </c>
      <c r="E80" s="1596" t="n">
        <f aca="false">C80*D80</f>
        <v>9429.36536637467</v>
      </c>
      <c r="F80" s="1565" t="n">
        <f aca="false">IF(Assm!$L$74=0,VLOOKUP($A80,Curves_Table,Escalation!$D$291),VLOOKUP($A80,Curves_Table,Escalation!$E$291))</f>
        <v>2.39230729244276</v>
      </c>
      <c r="G80" s="427" t="n">
        <f aca="false">IF($A80&lt;EE_Date,VLOOKUP($A80,Curves_Table,Escalation!$D$291),Exch)</f>
        <v>1.065</v>
      </c>
      <c r="H80" s="1596" t="n">
        <f aca="false">E80*F80/G80</f>
        <v>21181.1638770754</v>
      </c>
      <c r="I80" s="1540" t="n">
        <f aca="false">VLOOKUP($A80,Plant_Table,'Plant Operations'!$C$270)</f>
        <v>480</v>
      </c>
      <c r="J80" s="1575" t="n">
        <f aca="false">H80*I80/1000</f>
        <v>10166.9586609962</v>
      </c>
      <c r="K80" s="1565" t="n">
        <f aca="false">F80</f>
        <v>2.39230729244276</v>
      </c>
      <c r="L80" s="394" t="n">
        <f aca="false">J80/K80</f>
        <v>4249.85481301394</v>
      </c>
      <c r="M80" s="1579" t="str">
        <f aca="false">IF(MONTH($A80)=12,SUM(L69:L80)," ")</f>
        <v> </v>
      </c>
      <c r="O80" s="1597" t="n">
        <f aca="false">IF($A80&gt;Endyr,0,VLOOKUP($A80,Tariff_Table,Tariff!$H$33))</f>
        <v>6133.73</v>
      </c>
      <c r="P80" s="1565" t="n">
        <f aca="false">$AS80</f>
        <v>1.20855238847667</v>
      </c>
      <c r="Q80" s="1575" t="n">
        <f aca="false">O80*P80</f>
        <v>7412.93404177097</v>
      </c>
      <c r="R80" s="1565" t="n">
        <f aca="false">$F80</f>
        <v>2.39230729244276</v>
      </c>
      <c r="S80" s="427" t="n">
        <f aca="false">$G80</f>
        <v>1.065</v>
      </c>
      <c r="T80" s="1575" t="n">
        <f aca="false">Q80*R80/S80</f>
        <v>16651.6583723248</v>
      </c>
      <c r="U80" s="1540" t="n">
        <f aca="false">$I80</f>
        <v>480</v>
      </c>
      <c r="V80" s="1575" t="n">
        <f aca="false">T80*U80/1000</f>
        <v>7992.7960187159</v>
      </c>
      <c r="W80" s="1565" t="n">
        <f aca="false">R80</f>
        <v>2.39230729244276</v>
      </c>
      <c r="X80" s="394" t="n">
        <f aca="false">V80/W80</f>
        <v>3341.04069488269</v>
      </c>
      <c r="Y80" s="1579" t="str">
        <f aca="false">IF(MONTH($A80)=12,SUM(X69:X80)," ")</f>
        <v> </v>
      </c>
      <c r="AA80" s="1595" t="n">
        <f aca="false">IF($A80&gt;Endyr,0,VLOOKUP($A80,Tariff_Table,Tariff!$I$33))</f>
        <v>2.31</v>
      </c>
      <c r="AB80" s="1565" t="n">
        <f aca="false">$AS80</f>
        <v>1.20855238847667</v>
      </c>
      <c r="AC80" s="1596" t="n">
        <f aca="false">AA80*AB80</f>
        <v>2.7917560173811</v>
      </c>
      <c r="AD80" s="1565" t="n">
        <f aca="false">$F80</f>
        <v>2.39230729244276</v>
      </c>
      <c r="AE80" s="427" t="n">
        <f aca="false">$G80</f>
        <v>1.065</v>
      </c>
      <c r="AF80" s="1596" t="n">
        <f aca="false">AC80*AD80/AE80</f>
        <v>6.27111575502513</v>
      </c>
      <c r="AG80" s="397" t="n">
        <f aca="false">VLOOKUP($A80,Plant_Table,'Plant Operations'!$M$270)</f>
        <v>289336.32</v>
      </c>
      <c r="AH80" s="1575" t="n">
        <f aca="false">AF80*AG80/1000</f>
        <v>1814.46155485299</v>
      </c>
      <c r="AI80" s="1565" t="n">
        <f aca="false">AD80</f>
        <v>2.39230729244276</v>
      </c>
      <c r="AJ80" s="1566" t="n">
        <f aca="false">AH80/AI80</f>
        <v>758.456725264697</v>
      </c>
      <c r="AK80" s="1567" t="str">
        <f aca="false">IF(MONTH($A80)=12,SUM(AJ69:AJ80)," ")</f>
        <v> </v>
      </c>
      <c r="AM80" s="488" t="n">
        <f aca="false">IF($A80&gt;Endyr,0,VLOOKUP($A80,Tariff_Table,Tariff!$L$33))</f>
        <v>1.21</v>
      </c>
      <c r="AN80" s="1576" t="n">
        <f aca="false">VLOOKUP($A80,Curves_Table,Escalation!$Z$291)</f>
        <v>1.25164172493879</v>
      </c>
      <c r="AO80" s="1314" t="n">
        <f aca="false">AM80*AN80</f>
        <v>1.51448648717593</v>
      </c>
      <c r="AP80" s="1314" t="n">
        <f aca="false">IF($A80&gt;Endyr,0,VLOOKUP($A80,Tariff_Table,Tariff!$M$33))</f>
        <v>0.25</v>
      </c>
      <c r="AQ80" s="1314" t="n">
        <f aca="false">SUM(AO80,AP80)</f>
        <v>1.76448648717593</v>
      </c>
      <c r="AR80" s="1314" t="n">
        <f aca="false">SUM(AM80,AP80)</f>
        <v>1.46</v>
      </c>
      <c r="AS80" s="1598" t="n">
        <f aca="false">IF(AR80=0,0,AQ80/AR80)</f>
        <v>1.20855238847667</v>
      </c>
    </row>
    <row r="81" customFormat="false" ht="12.75" hidden="false" customHeight="false" outlineLevel="0" collapsed="false">
      <c r="A81" s="1538" t="n">
        <f aca="false">EDATE(A80,1)</f>
        <v>39052</v>
      </c>
      <c r="C81" s="1595" t="n">
        <f aca="false">IF($A81&gt;Endyr,0,VLOOKUP($A81,Tariff_Table,Tariff!$G$33))</f>
        <v>7429.43</v>
      </c>
      <c r="D81" s="1565" t="n">
        <f aca="false">VLOOKUP($A81,Curves_Table,Escalation!$V$291)</f>
        <v>1.26919095628799</v>
      </c>
      <c r="E81" s="1596" t="n">
        <f aca="false">C81*D81</f>
        <v>9429.36536637467</v>
      </c>
      <c r="F81" s="1565" t="n">
        <f aca="false">IF(Assm!$L$74=0,VLOOKUP($A81,Curves_Table,Escalation!$D$291),VLOOKUP($A81,Curves_Table,Escalation!$E$291))</f>
        <v>2.39781896237018</v>
      </c>
      <c r="G81" s="427" t="n">
        <f aca="false">IF($A81&lt;EE_Date,VLOOKUP($A81,Curves_Table,Escalation!$D$291),Exch)</f>
        <v>1.065</v>
      </c>
      <c r="H81" s="1596" t="n">
        <f aca="false">E81*F81/G81</f>
        <v>21229.9634540937</v>
      </c>
      <c r="I81" s="1540" t="n">
        <f aca="false">VLOOKUP($A81,Plant_Table,'Plant Operations'!$C$270)</f>
        <v>480</v>
      </c>
      <c r="J81" s="1575" t="n">
        <f aca="false">H81*I81/1000</f>
        <v>10190.382457965</v>
      </c>
      <c r="K81" s="1565" t="n">
        <f aca="false">F81</f>
        <v>2.39781896237018</v>
      </c>
      <c r="L81" s="394" t="n">
        <f aca="false">J81/K81</f>
        <v>4249.85481301394</v>
      </c>
      <c r="M81" s="1579" t="n">
        <f aca="false">IF(MONTH($A81)=12,SUM(L70:L81)," ")</f>
        <v>50515.6256368527</v>
      </c>
      <c r="O81" s="1597" t="n">
        <f aca="false">IF($A81&gt;Endyr,0,VLOOKUP($A81,Tariff_Table,Tariff!$H$33))</f>
        <v>6133.73</v>
      </c>
      <c r="P81" s="1565" t="n">
        <f aca="false">$AS81</f>
        <v>1.20855238847667</v>
      </c>
      <c r="Q81" s="1575" t="n">
        <f aca="false">O81*P81</f>
        <v>7412.93404177097</v>
      </c>
      <c r="R81" s="1565" t="n">
        <f aca="false">$F81</f>
        <v>2.39781896237018</v>
      </c>
      <c r="S81" s="427" t="n">
        <f aca="false">$G81</f>
        <v>1.065</v>
      </c>
      <c r="T81" s="1575" t="n">
        <f aca="false">Q81*R81/S81</f>
        <v>16690.0223588337</v>
      </c>
      <c r="U81" s="1540" t="n">
        <f aca="false">$I81</f>
        <v>480</v>
      </c>
      <c r="V81" s="1575" t="n">
        <f aca="false">T81*U81/1000</f>
        <v>8011.21073224017</v>
      </c>
      <c r="W81" s="1565" t="n">
        <f aca="false">R81</f>
        <v>2.39781896237018</v>
      </c>
      <c r="X81" s="394" t="n">
        <f aca="false">V81/W81</f>
        <v>3341.04069488269</v>
      </c>
      <c r="Y81" s="1579" t="n">
        <f aca="false">IF(MONTH($A81)=12,SUM(X70:X81)," ")</f>
        <v>39745.8619823186</v>
      </c>
      <c r="AA81" s="1595" t="n">
        <f aca="false">IF($A81&gt;Endyr,0,VLOOKUP($A81,Tariff_Table,Tariff!$I$33))</f>
        <v>2.31</v>
      </c>
      <c r="AB81" s="1565" t="n">
        <f aca="false">$AS81</f>
        <v>1.20855238847667</v>
      </c>
      <c r="AC81" s="1596" t="n">
        <f aca="false">AA81*AB81</f>
        <v>2.7917560173811</v>
      </c>
      <c r="AD81" s="1565" t="n">
        <f aca="false">$F81</f>
        <v>2.39781896237018</v>
      </c>
      <c r="AE81" s="427" t="n">
        <f aca="false">$G81</f>
        <v>1.065</v>
      </c>
      <c r="AF81" s="1596" t="n">
        <f aca="false">AC81*AD81/AE81</f>
        <v>6.28556386552812</v>
      </c>
      <c r="AG81" s="397" t="n">
        <f aca="false">VLOOKUP($A81,Plant_Table,'Plant Operations'!$M$270)</f>
        <v>298980.864</v>
      </c>
      <c r="AH81" s="1575" t="n">
        <f aca="false">AF81*AG81/1000</f>
        <v>1879.26331524278</v>
      </c>
      <c r="AI81" s="1565" t="n">
        <f aca="false">AD81</f>
        <v>2.39781896237018</v>
      </c>
      <c r="AJ81" s="1566" t="n">
        <f aca="false">AH81/AI81</f>
        <v>783.738616106854</v>
      </c>
      <c r="AK81" s="1567" t="n">
        <f aca="false">IF(MONTH($A81)=12,SUM(AJ70:AJ81)," ")</f>
        <v>9150.2894789583</v>
      </c>
      <c r="AM81" s="488" t="n">
        <f aca="false">IF($A81&gt;Endyr,0,VLOOKUP($A81,Tariff_Table,Tariff!$L$33))</f>
        <v>1.21</v>
      </c>
      <c r="AN81" s="1576" t="n">
        <f aca="false">VLOOKUP($A81,Curves_Table,Escalation!$Z$291)</f>
        <v>1.25164172493879</v>
      </c>
      <c r="AO81" s="1314" t="n">
        <f aca="false">AM81*AN81</f>
        <v>1.51448648717593</v>
      </c>
      <c r="AP81" s="1314" t="n">
        <f aca="false">IF($A81&gt;Endyr,0,VLOOKUP($A81,Tariff_Table,Tariff!$M$33))</f>
        <v>0.25</v>
      </c>
      <c r="AQ81" s="1314" t="n">
        <f aca="false">SUM(AO81,AP81)</f>
        <v>1.76448648717593</v>
      </c>
      <c r="AR81" s="1314" t="n">
        <f aca="false">SUM(AM81,AP81)</f>
        <v>1.46</v>
      </c>
      <c r="AS81" s="1598" t="n">
        <f aca="false">IF(AR81=0,0,AQ81/AR81)</f>
        <v>1.20855238847667</v>
      </c>
    </row>
    <row r="82" customFormat="false" ht="12.75" hidden="false" customHeight="false" outlineLevel="0" collapsed="false">
      <c r="A82" s="1538" t="n">
        <f aca="false">EDATE(A81,1)</f>
        <v>39083</v>
      </c>
      <c r="C82" s="1595" t="n">
        <f aca="false">IF($A82&gt;Endyr,0,VLOOKUP($A82,Tariff_Table,Tariff!$G$33))</f>
        <v>7429.43</v>
      </c>
      <c r="D82" s="1565" t="n">
        <f aca="false">VLOOKUP($A82,Curves_Table,Escalation!$V$291)</f>
        <v>1.26919095628799</v>
      </c>
      <c r="E82" s="1596" t="n">
        <f aca="false">C82*D82</f>
        <v>9429.36536637467</v>
      </c>
      <c r="F82" s="1565" t="n">
        <f aca="false">IF(Assm!$L$74=0,VLOOKUP($A82,Curves_Table,Escalation!$D$291),VLOOKUP($A82,Curves_Table,Escalation!$E$291))</f>
        <v>2.40318207825579</v>
      </c>
      <c r="G82" s="427" t="n">
        <f aca="false">IF($A82&lt;EE_Date,VLOOKUP($A82,Curves_Table,Escalation!$D$291),Exch)</f>
        <v>1.065</v>
      </c>
      <c r="H82" s="1596" t="n">
        <f aca="false">E82*F82/G82</f>
        <v>21277.4477538005</v>
      </c>
      <c r="I82" s="1540" t="n">
        <f aca="false">VLOOKUP($A82,Plant_Table,'Plant Operations'!$C$270)</f>
        <v>480</v>
      </c>
      <c r="J82" s="1575" t="n">
        <f aca="false">H82*I82/1000</f>
        <v>10213.1749218242</v>
      </c>
      <c r="K82" s="1565" t="n">
        <f aca="false">F82</f>
        <v>2.40318207825579</v>
      </c>
      <c r="L82" s="394" t="n">
        <f aca="false">J82/K82</f>
        <v>4249.85481301394</v>
      </c>
      <c r="M82" s="1579" t="str">
        <f aca="false">IF(MONTH($A82)=12,SUM(L71:L82)," ")</f>
        <v> </v>
      </c>
      <c r="O82" s="1597" t="n">
        <f aca="false">IF($A82&gt;Endyr,0,VLOOKUP($A82,Tariff_Table,Tariff!$H$33))</f>
        <v>6133.73</v>
      </c>
      <c r="P82" s="1565" t="n">
        <f aca="false">$AS82</f>
        <v>1.20855238847667</v>
      </c>
      <c r="Q82" s="1575" t="n">
        <f aca="false">O82*P82</f>
        <v>7412.93404177097</v>
      </c>
      <c r="R82" s="1565" t="n">
        <f aca="false">$F82</f>
        <v>2.40318207825579</v>
      </c>
      <c r="S82" s="427" t="n">
        <f aca="false">$G82</f>
        <v>1.065</v>
      </c>
      <c r="T82" s="1575" t="n">
        <f aca="false">Q82*R82/S82</f>
        <v>16727.3523347195</v>
      </c>
      <c r="U82" s="1540" t="n">
        <f aca="false">$I82</f>
        <v>480</v>
      </c>
      <c r="V82" s="1575" t="n">
        <f aca="false">T82*U82/1000</f>
        <v>8029.12912066537</v>
      </c>
      <c r="W82" s="1565" t="n">
        <f aca="false">R82</f>
        <v>2.40318207825579</v>
      </c>
      <c r="X82" s="394" t="n">
        <f aca="false">V82/W82</f>
        <v>3341.04069488269</v>
      </c>
      <c r="Y82" s="1579" t="str">
        <f aca="false">IF(MONTH($A82)=12,SUM(X71:X82)," ")</f>
        <v> </v>
      </c>
      <c r="AA82" s="1595" t="n">
        <f aca="false">IF($A82&gt;Endyr,0,VLOOKUP($A82,Tariff_Table,Tariff!$I$33))</f>
        <v>2.31</v>
      </c>
      <c r="AB82" s="1565" t="n">
        <f aca="false">$AS82</f>
        <v>1.20855238847667</v>
      </c>
      <c r="AC82" s="1596" t="n">
        <f aca="false">AA82*AB82</f>
        <v>2.7917560173811</v>
      </c>
      <c r="AD82" s="1565" t="n">
        <f aca="false">$F82</f>
        <v>2.40318207825579</v>
      </c>
      <c r="AE82" s="427" t="n">
        <f aca="false">$G82</f>
        <v>1.065</v>
      </c>
      <c r="AF82" s="1596" t="n">
        <f aca="false">AC82*AD82/AE82</f>
        <v>6.29962256134556</v>
      </c>
      <c r="AG82" s="397" t="n">
        <f aca="false">VLOOKUP($A82,Plant_Table,'Plant Operations'!$M$270)</f>
        <v>298980.864</v>
      </c>
      <c r="AH82" s="1575" t="n">
        <f aca="false">AF82*AG82/1000</f>
        <v>1883.46659626499</v>
      </c>
      <c r="AI82" s="1565" t="n">
        <f aca="false">AD82</f>
        <v>2.40318207825579</v>
      </c>
      <c r="AJ82" s="1566" t="n">
        <f aca="false">AH82/AI82</f>
        <v>783.738616106854</v>
      </c>
      <c r="AK82" s="1567" t="str">
        <f aca="false">IF(MONTH($A82)=12,SUM(AJ71:AJ82)," ")</f>
        <v> </v>
      </c>
      <c r="AM82" s="488" t="n">
        <f aca="false">IF($A82&gt;Endyr,0,VLOOKUP($A82,Tariff_Table,Tariff!$L$33))</f>
        <v>1.21</v>
      </c>
      <c r="AN82" s="1576" t="n">
        <f aca="false">VLOOKUP($A82,Curves_Table,Escalation!$Z$291)</f>
        <v>1.25164172493879</v>
      </c>
      <c r="AO82" s="1314" t="n">
        <f aca="false">AM82*AN82</f>
        <v>1.51448648717593</v>
      </c>
      <c r="AP82" s="1314" t="n">
        <f aca="false">IF($A82&gt;Endyr,0,VLOOKUP($A82,Tariff_Table,Tariff!$M$33))</f>
        <v>0.25</v>
      </c>
      <c r="AQ82" s="1314" t="n">
        <f aca="false">SUM(AO82,AP82)</f>
        <v>1.76448648717593</v>
      </c>
      <c r="AR82" s="1314" t="n">
        <f aca="false">SUM(AM82,AP82)</f>
        <v>1.46</v>
      </c>
      <c r="AS82" s="1598" t="n">
        <f aca="false">IF(AR82=0,0,AQ82/AR82)</f>
        <v>1.20855238847667</v>
      </c>
    </row>
    <row r="83" customFormat="false" ht="12.75" hidden="false" customHeight="false" outlineLevel="0" collapsed="false">
      <c r="A83" s="1538" t="n">
        <f aca="false">EDATE(A82,1)</f>
        <v>39114</v>
      </c>
      <c r="C83" s="1595" t="n">
        <f aca="false">IF($A83&gt;Endyr,0,VLOOKUP($A83,Tariff_Table,Tariff!$G$33))</f>
        <v>7429.43</v>
      </c>
      <c r="D83" s="1565" t="n">
        <f aca="false">VLOOKUP($A83,Curves_Table,Escalation!$V$291)</f>
        <v>1.26919095628799</v>
      </c>
      <c r="E83" s="1596" t="n">
        <f aca="false">C83*D83</f>
        <v>9429.36536637467</v>
      </c>
      <c r="F83" s="1565" t="n">
        <f aca="false">IF(Assm!$L$74=0,VLOOKUP($A83,Curves_Table,Escalation!$D$291),VLOOKUP($A83,Curves_Table,Escalation!$E$291))</f>
        <v>2.40855718963083</v>
      </c>
      <c r="G83" s="427" t="n">
        <f aca="false">IF($A83&lt;EE_Date,VLOOKUP($A83,Curves_Table,Escalation!$D$291),Exch)</f>
        <v>1.065</v>
      </c>
      <c r="H83" s="1596" t="n">
        <f aca="false">E83*F83/G83</f>
        <v>21325.0382599415</v>
      </c>
      <c r="I83" s="1540" t="n">
        <f aca="false">VLOOKUP($A83,Plant_Table,'Plant Operations'!$C$270)</f>
        <v>480</v>
      </c>
      <c r="J83" s="1575" t="n">
        <f aca="false">H83*I83/1000</f>
        <v>10236.0183647719</v>
      </c>
      <c r="K83" s="1565" t="n">
        <f aca="false">F83</f>
        <v>2.40855718963083</v>
      </c>
      <c r="L83" s="394" t="n">
        <f aca="false">J83/K83</f>
        <v>4249.85481301394</v>
      </c>
      <c r="M83" s="1579" t="str">
        <f aca="false">IF(MONTH($A83)=12,SUM(L72:L83)," ")</f>
        <v> </v>
      </c>
      <c r="O83" s="1597" t="n">
        <f aca="false">IF($A83&gt;Endyr,0,VLOOKUP($A83,Tariff_Table,Tariff!$H$33))</f>
        <v>6133.73</v>
      </c>
      <c r="P83" s="1565" t="n">
        <f aca="false">$AS83</f>
        <v>1.20855238847667</v>
      </c>
      <c r="Q83" s="1575" t="n">
        <f aca="false">O83*P83</f>
        <v>7412.93404177097</v>
      </c>
      <c r="R83" s="1565" t="n">
        <f aca="false">$F83</f>
        <v>2.40855718963083</v>
      </c>
      <c r="S83" s="427" t="n">
        <f aca="false">$G83</f>
        <v>1.065</v>
      </c>
      <c r="T83" s="1575" t="n">
        <f aca="false">Q83*R83/S83</f>
        <v>16764.7658052269</v>
      </c>
      <c r="U83" s="1540" t="n">
        <f aca="false">$I83</f>
        <v>480</v>
      </c>
      <c r="V83" s="1575" t="n">
        <f aca="false">T83*U83/1000</f>
        <v>8047.0875865089</v>
      </c>
      <c r="W83" s="1565" t="n">
        <f aca="false">R83</f>
        <v>2.40855718963083</v>
      </c>
      <c r="X83" s="394" t="n">
        <f aca="false">V83/W83</f>
        <v>3341.04069488269</v>
      </c>
      <c r="Y83" s="1579" t="str">
        <f aca="false">IF(MONTH($A83)=12,SUM(X72:X83)," ")</f>
        <v> </v>
      </c>
      <c r="AA83" s="1595" t="n">
        <f aca="false">IF($A83&gt;Endyr,0,VLOOKUP($A83,Tariff_Table,Tariff!$I$33))</f>
        <v>2.31</v>
      </c>
      <c r="AB83" s="1565" t="n">
        <f aca="false">$AS83</f>
        <v>1.20855238847667</v>
      </c>
      <c r="AC83" s="1596" t="n">
        <f aca="false">AA83*AB83</f>
        <v>2.7917560173811</v>
      </c>
      <c r="AD83" s="1565" t="n">
        <f aca="false">$F83</f>
        <v>2.40855718963083</v>
      </c>
      <c r="AE83" s="427" t="n">
        <f aca="false">$G83</f>
        <v>1.065</v>
      </c>
      <c r="AF83" s="1596" t="n">
        <f aca="false">AC83*AD83/AE83</f>
        <v>6.31371270174495</v>
      </c>
      <c r="AG83" s="397" t="n">
        <f aca="false">VLOOKUP($A83,Plant_Table,'Plant Operations'!$M$270)</f>
        <v>270047.232</v>
      </c>
      <c r="AH83" s="1575" t="n">
        <f aca="false">AF83*AG83/1000</f>
        <v>1705.00063874947</v>
      </c>
      <c r="AI83" s="1565" t="n">
        <f aca="false">AD83</f>
        <v>2.40855718963083</v>
      </c>
      <c r="AJ83" s="1566" t="n">
        <f aca="false">AH83/AI83</f>
        <v>707.892943580384</v>
      </c>
      <c r="AK83" s="1567" t="str">
        <f aca="false">IF(MONTH($A83)=12,SUM(AJ72:AJ83)," ")</f>
        <v> </v>
      </c>
      <c r="AM83" s="488" t="n">
        <f aca="false">IF($A83&gt;Endyr,0,VLOOKUP($A83,Tariff_Table,Tariff!$L$33))</f>
        <v>1.21</v>
      </c>
      <c r="AN83" s="1576" t="n">
        <f aca="false">VLOOKUP($A83,Curves_Table,Escalation!$Z$291)</f>
        <v>1.25164172493879</v>
      </c>
      <c r="AO83" s="1314" t="n">
        <f aca="false">AM83*AN83</f>
        <v>1.51448648717593</v>
      </c>
      <c r="AP83" s="1314" t="n">
        <f aca="false">IF($A83&gt;Endyr,0,VLOOKUP($A83,Tariff_Table,Tariff!$M$33))</f>
        <v>0.25</v>
      </c>
      <c r="AQ83" s="1314" t="n">
        <f aca="false">SUM(AO83,AP83)</f>
        <v>1.76448648717593</v>
      </c>
      <c r="AR83" s="1314" t="n">
        <f aca="false">SUM(AM83,AP83)</f>
        <v>1.46</v>
      </c>
      <c r="AS83" s="1598" t="n">
        <f aca="false">IF(AR83=0,0,AQ83/AR83)</f>
        <v>1.20855238847667</v>
      </c>
    </row>
    <row r="84" customFormat="false" ht="12.75" hidden="false" customHeight="false" outlineLevel="0" collapsed="false">
      <c r="A84" s="1538" t="n">
        <f aca="false">EDATE(A83,1)</f>
        <v>39142</v>
      </c>
      <c r="C84" s="1595" t="n">
        <f aca="false">IF($A84&gt;Endyr,0,VLOOKUP($A84,Tariff_Table,Tariff!$G$33))</f>
        <v>7429.43</v>
      </c>
      <c r="D84" s="1565" t="n">
        <f aca="false">VLOOKUP($A84,Curves_Table,Escalation!$V$291)</f>
        <v>1.26919095628799</v>
      </c>
      <c r="E84" s="1596" t="n">
        <f aca="false">C84*D84</f>
        <v>9429.36536637467</v>
      </c>
      <c r="F84" s="1565" t="n">
        <f aca="false">IF(Assm!$L$74=0,VLOOKUP($A84,Curves_Table,Escalation!$D$291),VLOOKUP($A84,Curves_Table,Escalation!$E$291))</f>
        <v>2.41394432332517</v>
      </c>
      <c r="G84" s="427" t="n">
        <f aca="false">IF($A84&lt;EE_Date,VLOOKUP($A84,Curves_Table,Escalation!$D$291),Exch)</f>
        <v>1.065</v>
      </c>
      <c r="H84" s="1596" t="n">
        <f aca="false">E84*F84/G84</f>
        <v>21372.7352100649</v>
      </c>
      <c r="I84" s="1540" t="n">
        <f aca="false">VLOOKUP($A84,Plant_Table,'Plant Operations'!$C$270)</f>
        <v>480</v>
      </c>
      <c r="J84" s="1575" t="n">
        <f aca="false">H84*I84/1000</f>
        <v>10258.9129008312</v>
      </c>
      <c r="K84" s="1565" t="n">
        <f aca="false">F84</f>
        <v>2.41394432332517</v>
      </c>
      <c r="L84" s="394" t="n">
        <f aca="false">J84/K84</f>
        <v>4249.85481301394</v>
      </c>
      <c r="M84" s="1579" t="str">
        <f aca="false">IF(MONTH($A84)=12,SUM(L73:L84)," ")</f>
        <v> </v>
      </c>
      <c r="O84" s="1597" t="n">
        <f aca="false">IF($A84&gt;Endyr,0,VLOOKUP($A84,Tariff_Table,Tariff!$H$33))</f>
        <v>6133.73</v>
      </c>
      <c r="P84" s="1565" t="n">
        <f aca="false">$AS84</f>
        <v>1.20855238847667</v>
      </c>
      <c r="Q84" s="1575" t="n">
        <f aca="false">O84*P84</f>
        <v>7412.93404177097</v>
      </c>
      <c r="R84" s="1565" t="n">
        <f aca="false">$F84</f>
        <v>2.41394432332517</v>
      </c>
      <c r="S84" s="427" t="n">
        <f aca="false">$G84</f>
        <v>1.065</v>
      </c>
      <c r="T84" s="1575" t="n">
        <f aca="false">Q84*R84/S84</f>
        <v>16802.2629571051</v>
      </c>
      <c r="U84" s="1540" t="n">
        <f aca="false">$I84</f>
        <v>480</v>
      </c>
      <c r="V84" s="1575" t="n">
        <f aca="false">T84*U84/1000</f>
        <v>8065.08621941046</v>
      </c>
      <c r="W84" s="1565" t="n">
        <f aca="false">R84</f>
        <v>2.41394432332517</v>
      </c>
      <c r="X84" s="394" t="n">
        <f aca="false">V84/W84</f>
        <v>3341.04069488269</v>
      </c>
      <c r="Y84" s="1579" t="str">
        <f aca="false">IF(MONTH($A84)=12,SUM(X73:X84)," ")</f>
        <v> </v>
      </c>
      <c r="AA84" s="1595" t="n">
        <f aca="false">IF($A84&gt;Endyr,0,VLOOKUP($A84,Tariff_Table,Tariff!$I$33))</f>
        <v>2.31</v>
      </c>
      <c r="AB84" s="1565" t="n">
        <f aca="false">$AS84</f>
        <v>1.20855238847667</v>
      </c>
      <c r="AC84" s="1596" t="n">
        <f aca="false">AA84*AB84</f>
        <v>2.7917560173811</v>
      </c>
      <c r="AD84" s="1565" t="n">
        <f aca="false">$F84</f>
        <v>2.41394432332517</v>
      </c>
      <c r="AE84" s="427" t="n">
        <f aca="false">$G84</f>
        <v>1.065</v>
      </c>
      <c r="AF84" s="1596" t="n">
        <f aca="false">AC84*AD84/AE84</f>
        <v>6.32783435705727</v>
      </c>
      <c r="AG84" s="397" t="n">
        <f aca="false">VLOOKUP($A84,Plant_Table,'Plant Operations'!$M$270)</f>
        <v>298980.864</v>
      </c>
      <c r="AH84" s="1575" t="n">
        <f aca="false">AF84*AG84/1000</f>
        <v>1891.90138332187</v>
      </c>
      <c r="AI84" s="1565" t="n">
        <f aca="false">AD84</f>
        <v>2.41394432332517</v>
      </c>
      <c r="AJ84" s="1566" t="n">
        <f aca="false">AH84/AI84</f>
        <v>783.738616106854</v>
      </c>
      <c r="AK84" s="1567" t="str">
        <f aca="false">IF(MONTH($A84)=12,SUM(AJ73:AJ84)," ")</f>
        <v> </v>
      </c>
      <c r="AM84" s="488" t="n">
        <f aca="false">IF($A84&gt;Endyr,0,VLOOKUP($A84,Tariff_Table,Tariff!$L$33))</f>
        <v>1.21</v>
      </c>
      <c r="AN84" s="1576" t="n">
        <f aca="false">VLOOKUP($A84,Curves_Table,Escalation!$Z$291)</f>
        <v>1.25164172493879</v>
      </c>
      <c r="AO84" s="1314" t="n">
        <f aca="false">AM84*AN84</f>
        <v>1.51448648717593</v>
      </c>
      <c r="AP84" s="1314" t="n">
        <f aca="false">IF($A84&gt;Endyr,0,VLOOKUP($A84,Tariff_Table,Tariff!$M$33))</f>
        <v>0.25</v>
      </c>
      <c r="AQ84" s="1314" t="n">
        <f aca="false">SUM(AO84,AP84)</f>
        <v>1.76448648717593</v>
      </c>
      <c r="AR84" s="1314" t="n">
        <f aca="false">SUM(AM84,AP84)</f>
        <v>1.46</v>
      </c>
      <c r="AS84" s="1598" t="n">
        <f aca="false">IF(AR84=0,0,AQ84/AR84)</f>
        <v>1.20855238847667</v>
      </c>
    </row>
    <row r="85" customFormat="false" ht="12.75" hidden="false" customHeight="false" outlineLevel="0" collapsed="false">
      <c r="A85" s="1538" t="n">
        <f aca="false">EDATE(A84,1)</f>
        <v>39173</v>
      </c>
      <c r="C85" s="1595" t="n">
        <f aca="false">IF($A85&gt;Endyr,0,VLOOKUP($A85,Tariff_Table,Tariff!$G$33))</f>
        <v>7429.43</v>
      </c>
      <c r="D85" s="1565" t="n">
        <f aca="false">VLOOKUP($A85,Curves_Table,Escalation!$V$291)</f>
        <v>1.26919095628799</v>
      </c>
      <c r="E85" s="1596" t="n">
        <f aca="false">C85*D85</f>
        <v>9429.36536637467</v>
      </c>
      <c r="F85" s="1565" t="n">
        <f aca="false">IF(Assm!$L$74=0,VLOOKUP($A85,Curves_Table,Escalation!$D$291),VLOOKUP($A85,Curves_Table,Escalation!$E$291))</f>
        <v>2.41934350622871</v>
      </c>
      <c r="G85" s="427" t="n">
        <f aca="false">IF($A85&lt;EE_Date,VLOOKUP($A85,Curves_Table,Escalation!$D$291),Exch)</f>
        <v>1.065</v>
      </c>
      <c r="H85" s="1596" t="n">
        <f aca="false">E85*F85/G85</f>
        <v>21420.5388422502</v>
      </c>
      <c r="I85" s="1540" t="n">
        <f aca="false">VLOOKUP($A85,Plant_Table,'Plant Operations'!$C$270)</f>
        <v>480</v>
      </c>
      <c r="J85" s="1575" t="n">
        <f aca="false">H85*I85/1000</f>
        <v>10281.8586442801</v>
      </c>
      <c r="K85" s="1565" t="n">
        <f aca="false">F85</f>
        <v>2.41934350622871</v>
      </c>
      <c r="L85" s="394" t="n">
        <f aca="false">J85/K85</f>
        <v>4249.85481301394</v>
      </c>
      <c r="M85" s="1579" t="str">
        <f aca="false">IF(MONTH($A85)=12,SUM(L74:L85)," ")</f>
        <v> </v>
      </c>
      <c r="O85" s="1597" t="n">
        <f aca="false">IF($A85&gt;Endyr,0,VLOOKUP($A85,Tariff_Table,Tariff!$H$33))</f>
        <v>6133.73</v>
      </c>
      <c r="P85" s="1565" t="n">
        <f aca="false">$AS85</f>
        <v>1.20855238847667</v>
      </c>
      <c r="Q85" s="1575" t="n">
        <f aca="false">O85*P85</f>
        <v>7412.93404177097</v>
      </c>
      <c r="R85" s="1565" t="n">
        <f aca="false">$F85</f>
        <v>2.41934350622871</v>
      </c>
      <c r="S85" s="427" t="n">
        <f aca="false">$G85</f>
        <v>1.065</v>
      </c>
      <c r="T85" s="1575" t="n">
        <f aca="false">Q85*R85/S85</f>
        <v>16839.8439775215</v>
      </c>
      <c r="U85" s="1540" t="n">
        <f aca="false">$I85</f>
        <v>480</v>
      </c>
      <c r="V85" s="1575" t="n">
        <f aca="false">T85*U85/1000</f>
        <v>8083.1251092103</v>
      </c>
      <c r="W85" s="1565" t="n">
        <f aca="false">R85</f>
        <v>2.41934350622871</v>
      </c>
      <c r="X85" s="394" t="n">
        <f aca="false">V85/W85</f>
        <v>3341.04069488269</v>
      </c>
      <c r="Y85" s="1579" t="str">
        <f aca="false">IF(MONTH($A85)=12,SUM(X74:X85)," ")</f>
        <v> </v>
      </c>
      <c r="AA85" s="1595" t="n">
        <f aca="false">IF($A85&gt;Endyr,0,VLOOKUP($A85,Tariff_Table,Tariff!$I$33))</f>
        <v>2.31</v>
      </c>
      <c r="AB85" s="1565" t="n">
        <f aca="false">$AS85</f>
        <v>1.20855238847667</v>
      </c>
      <c r="AC85" s="1596" t="n">
        <f aca="false">AA85*AB85</f>
        <v>2.7917560173811</v>
      </c>
      <c r="AD85" s="1565" t="n">
        <f aca="false">$F85</f>
        <v>2.41934350622871</v>
      </c>
      <c r="AE85" s="427" t="n">
        <f aca="false">$G85</f>
        <v>1.065</v>
      </c>
      <c r="AF85" s="1596" t="n">
        <f aca="false">AC85*AD85/AE85</f>
        <v>6.34198759777078</v>
      </c>
      <c r="AG85" s="397" t="n">
        <f aca="false">VLOOKUP($A85,Plant_Table,'Plant Operations'!$M$270)</f>
        <v>289336.32</v>
      </c>
      <c r="AH85" s="1575" t="n">
        <f aca="false">AF85*AG85/1000</f>
        <v>1834.96735302464</v>
      </c>
      <c r="AI85" s="1565" t="n">
        <f aca="false">AD85</f>
        <v>2.41934350622871</v>
      </c>
      <c r="AJ85" s="1566" t="n">
        <f aca="false">AH85/AI85</f>
        <v>758.456725264697</v>
      </c>
      <c r="AK85" s="1567" t="str">
        <f aca="false">IF(MONTH($A85)=12,SUM(AJ74:AJ85)," ")</f>
        <v> </v>
      </c>
      <c r="AM85" s="488" t="n">
        <f aca="false">IF($A85&gt;Endyr,0,VLOOKUP($A85,Tariff_Table,Tariff!$L$33))</f>
        <v>1.21</v>
      </c>
      <c r="AN85" s="1576" t="n">
        <f aca="false">VLOOKUP($A85,Curves_Table,Escalation!$Z$291)</f>
        <v>1.25164172493879</v>
      </c>
      <c r="AO85" s="1314" t="n">
        <f aca="false">AM85*AN85</f>
        <v>1.51448648717593</v>
      </c>
      <c r="AP85" s="1314" t="n">
        <f aca="false">IF($A85&gt;Endyr,0,VLOOKUP($A85,Tariff_Table,Tariff!$M$33))</f>
        <v>0.25</v>
      </c>
      <c r="AQ85" s="1314" t="n">
        <f aca="false">SUM(AO85,AP85)</f>
        <v>1.76448648717593</v>
      </c>
      <c r="AR85" s="1314" t="n">
        <f aca="false">SUM(AM85,AP85)</f>
        <v>1.46</v>
      </c>
      <c r="AS85" s="1598" t="n">
        <f aca="false">IF(AR85=0,0,AQ85/AR85)</f>
        <v>1.20855238847667</v>
      </c>
    </row>
    <row r="86" customFormat="false" ht="12.75" hidden="false" customHeight="false" outlineLevel="0" collapsed="false">
      <c r="A86" s="1538" t="n">
        <f aca="false">EDATE(A85,1)</f>
        <v>39203</v>
      </c>
      <c r="C86" s="1595" t="n">
        <f aca="false">IF($A86&gt;Endyr,0,VLOOKUP($A86,Tariff_Table,Tariff!$G$33))</f>
        <v>7433.43</v>
      </c>
      <c r="D86" s="1565" t="n">
        <f aca="false">VLOOKUP($A86,Curves_Table,Escalation!$V$291)</f>
        <v>1.30389657610682</v>
      </c>
      <c r="E86" s="1596" t="n">
        <f aca="false">C86*D86</f>
        <v>9692.42392572969</v>
      </c>
      <c r="F86" s="1565" t="n">
        <f aca="false">IF(Assm!$L$74=0,VLOOKUP($A86,Curves_Table,Escalation!$D$291),VLOOKUP($A86,Curves_Table,Escalation!$E$291))</f>
        <v>2.42475476529148</v>
      </c>
      <c r="G86" s="427" t="n">
        <f aca="false">IF($A86&lt;EE_Date,VLOOKUP($A86,Curves_Table,Escalation!$D$291),Exch)</f>
        <v>1.065</v>
      </c>
      <c r="H86" s="1596" t="n">
        <f aca="false">E86*F86/G86</f>
        <v>22067.3719259514</v>
      </c>
      <c r="I86" s="1540" t="n">
        <f aca="false">VLOOKUP($A86,Plant_Table,'Plant Operations'!$C$270)</f>
        <v>480</v>
      </c>
      <c r="J86" s="1575" t="n">
        <f aca="false">H86*I86/1000</f>
        <v>10592.3385244567</v>
      </c>
      <c r="K86" s="1565" t="n">
        <f aca="false">F86</f>
        <v>2.42475476529148</v>
      </c>
      <c r="L86" s="394" t="n">
        <f aca="false">J86/K86</f>
        <v>4368.41641723028</v>
      </c>
      <c r="M86" s="1579" t="str">
        <f aca="false">IF(MONTH($A86)=12,SUM(L75:L86)," ")</f>
        <v> </v>
      </c>
      <c r="O86" s="1597" t="n">
        <f aca="false">IF($A86&gt;Endyr,0,VLOOKUP($A86,Tariff_Table,Tariff!$H$33))</f>
        <v>6146.82</v>
      </c>
      <c r="P86" s="1565" t="n">
        <f aca="false">$AS86</f>
        <v>1.23432425919959</v>
      </c>
      <c r="Q86" s="1575" t="n">
        <f aca="false">O86*P86</f>
        <v>7587.16904293325</v>
      </c>
      <c r="R86" s="1565" t="n">
        <f aca="false">$F86</f>
        <v>2.42475476529148</v>
      </c>
      <c r="S86" s="427" t="n">
        <f aca="false">$G86</f>
        <v>1.065</v>
      </c>
      <c r="T86" s="1575" t="n">
        <f aca="false">Q86*R86/S86</f>
        <v>17274.2012130746</v>
      </c>
      <c r="U86" s="1540" t="n">
        <f aca="false">$I86</f>
        <v>480</v>
      </c>
      <c r="V86" s="1575" t="n">
        <f aca="false">T86*U86/1000</f>
        <v>8291.61658227579</v>
      </c>
      <c r="W86" s="1565" t="n">
        <f aca="false">R86</f>
        <v>2.42475476529148</v>
      </c>
      <c r="X86" s="394" t="n">
        <f aca="false">V86/W86</f>
        <v>3419.56914611076</v>
      </c>
      <c r="Y86" s="1579" t="str">
        <f aca="false">IF(MONTH($A86)=12,SUM(X75:X86)," ")</f>
        <v> </v>
      </c>
      <c r="AA86" s="1595" t="n">
        <f aca="false">IF($A86&gt;Endyr,0,VLOOKUP($A86,Tariff_Table,Tariff!$I$33))</f>
        <v>2.32</v>
      </c>
      <c r="AB86" s="1565" t="n">
        <f aca="false">$AS86</f>
        <v>1.23432425919959</v>
      </c>
      <c r="AC86" s="1596" t="n">
        <f aca="false">AA86*AB86</f>
        <v>2.86363228134306</v>
      </c>
      <c r="AD86" s="1565" t="n">
        <f aca="false">$F86</f>
        <v>2.42475476529148</v>
      </c>
      <c r="AE86" s="427" t="n">
        <f aca="false">$G86</f>
        <v>1.065</v>
      </c>
      <c r="AF86" s="1596" t="n">
        <f aca="false">AC86*AD86/AE86</f>
        <v>6.51981785937004</v>
      </c>
      <c r="AG86" s="397" t="n">
        <f aca="false">VLOOKUP($A86,Plant_Table,'Plant Operations'!$M$270)</f>
        <v>298980.864</v>
      </c>
      <c r="AH86" s="1575" t="n">
        <f aca="false">AF86*AG86/1000</f>
        <v>1949.30077671709</v>
      </c>
      <c r="AI86" s="1565" t="n">
        <f aca="false">AD86</f>
        <v>2.42475476529148</v>
      </c>
      <c r="AJ86" s="1566" t="n">
        <f aca="false">AH86/AI86</f>
        <v>803.916670097876</v>
      </c>
      <c r="AK86" s="1567" t="str">
        <f aca="false">IF(MONTH($A86)=12,SUM(AJ75:AJ86)," ")</f>
        <v> </v>
      </c>
      <c r="AM86" s="488" t="n">
        <f aca="false">IF($A86&gt;Endyr,0,VLOOKUP($A86,Tariff_Table,Tariff!$L$33))</f>
        <v>1.21</v>
      </c>
      <c r="AN86" s="1576" t="n">
        <f aca="false">VLOOKUP($A86,Curves_Table,Escalation!$Z$291)</f>
        <v>1.28273836234001</v>
      </c>
      <c r="AO86" s="1314" t="n">
        <f aca="false">AM86*AN86</f>
        <v>1.55211341843141</v>
      </c>
      <c r="AP86" s="1314" t="n">
        <f aca="false">IF($A86&gt;Endyr,0,VLOOKUP($A86,Tariff_Table,Tariff!$M$33))</f>
        <v>0.25</v>
      </c>
      <c r="AQ86" s="1314" t="n">
        <f aca="false">SUM(AO86,AP86)</f>
        <v>1.80211341843141</v>
      </c>
      <c r="AR86" s="1314" t="n">
        <f aca="false">SUM(AM86,AP86)</f>
        <v>1.46</v>
      </c>
      <c r="AS86" s="1598" t="n">
        <f aca="false">IF(AR86=0,0,AQ86/AR86)</f>
        <v>1.23432425919959</v>
      </c>
    </row>
    <row r="87" customFormat="false" ht="12.75" hidden="false" customHeight="false" outlineLevel="0" collapsed="false">
      <c r="A87" s="1538" t="n">
        <f aca="false">EDATE(A86,1)</f>
        <v>39234</v>
      </c>
      <c r="C87" s="1595" t="n">
        <f aca="false">IF($A87&gt;Endyr,0,VLOOKUP($A87,Tariff_Table,Tariff!$G$33))</f>
        <v>7433.43</v>
      </c>
      <c r="D87" s="1565" t="n">
        <f aca="false">VLOOKUP($A87,Curves_Table,Escalation!$V$291)</f>
        <v>1.30389657610682</v>
      </c>
      <c r="E87" s="1596" t="n">
        <f aca="false">C87*D87</f>
        <v>9692.42392572969</v>
      </c>
      <c r="F87" s="1565" t="n">
        <f aca="false">IF(Assm!$L$74=0,VLOOKUP($A87,Curves_Table,Escalation!$D$291),VLOOKUP($A87,Curves_Table,Escalation!$E$291))</f>
        <v>2.4301781275238</v>
      </c>
      <c r="G87" s="427" t="n">
        <f aca="false">IF($A87&lt;EE_Date,VLOOKUP($A87,Curves_Table,Escalation!$D$291),Exch)</f>
        <v>1.065</v>
      </c>
      <c r="H87" s="1596" t="n">
        <f aca="false">E87*F87/G87</f>
        <v>22116.7292272269</v>
      </c>
      <c r="I87" s="1540" t="n">
        <f aca="false">VLOOKUP($A87,Plant_Table,'Plant Operations'!$C$270)</f>
        <v>480</v>
      </c>
      <c r="J87" s="1575" t="n">
        <f aca="false">H87*I87/1000</f>
        <v>10616.0300290689</v>
      </c>
      <c r="K87" s="1565" t="n">
        <f aca="false">F87</f>
        <v>2.4301781275238</v>
      </c>
      <c r="L87" s="394" t="n">
        <f aca="false">J87/K87</f>
        <v>4368.41641723028</v>
      </c>
      <c r="M87" s="1579" t="str">
        <f aca="false">IF(MONTH($A87)=12,SUM(L76:L87)," ")</f>
        <v> </v>
      </c>
      <c r="O87" s="1597" t="n">
        <f aca="false">IF($A87&gt;Endyr,0,VLOOKUP($A87,Tariff_Table,Tariff!$H$33))</f>
        <v>6146.82</v>
      </c>
      <c r="P87" s="1565" t="n">
        <f aca="false">$AS87</f>
        <v>1.23432425919959</v>
      </c>
      <c r="Q87" s="1575" t="n">
        <f aca="false">O87*P87</f>
        <v>7587.16904293325</v>
      </c>
      <c r="R87" s="1565" t="n">
        <f aca="false">$F87</f>
        <v>2.4301781275238</v>
      </c>
      <c r="S87" s="427" t="n">
        <f aca="false">$G87</f>
        <v>1.065</v>
      </c>
      <c r="T87" s="1575" t="n">
        <f aca="false">Q87*R87/S87</f>
        <v>17312.8378009033</v>
      </c>
      <c r="U87" s="1540" t="n">
        <f aca="false">$I87</f>
        <v>480</v>
      </c>
      <c r="V87" s="1575" t="n">
        <f aca="false">T87*U87/1000</f>
        <v>8310.1621444336</v>
      </c>
      <c r="W87" s="1565" t="n">
        <f aca="false">R87</f>
        <v>2.4301781275238</v>
      </c>
      <c r="X87" s="394" t="n">
        <f aca="false">V87/W87</f>
        <v>3419.56914611076</v>
      </c>
      <c r="Y87" s="1579" t="str">
        <f aca="false">IF(MONTH($A87)=12,SUM(X76:X87)," ")</f>
        <v> </v>
      </c>
      <c r="AA87" s="1595" t="n">
        <f aca="false">IF($A87&gt;Endyr,0,VLOOKUP($A87,Tariff_Table,Tariff!$I$33))</f>
        <v>2.32</v>
      </c>
      <c r="AB87" s="1565" t="n">
        <f aca="false">$AS87</f>
        <v>1.23432425919959</v>
      </c>
      <c r="AC87" s="1596" t="n">
        <f aca="false">AA87*AB87</f>
        <v>2.86363228134306</v>
      </c>
      <c r="AD87" s="1565" t="n">
        <f aca="false">$F87</f>
        <v>2.4301781275238</v>
      </c>
      <c r="AE87" s="427" t="n">
        <f aca="false">$G87</f>
        <v>1.065</v>
      </c>
      <c r="AF87" s="1596" t="n">
        <f aca="false">AC87*AD87/AE87</f>
        <v>6.53440050271453</v>
      </c>
      <c r="AG87" s="397" t="n">
        <f aca="false">VLOOKUP($A87,Plant_Table,'Plant Operations'!$M$270)</f>
        <v>289336.32</v>
      </c>
      <c r="AH87" s="1575" t="n">
        <f aca="false">AF87*AG87/1000</f>
        <v>1890.63939486157</v>
      </c>
      <c r="AI87" s="1565" t="n">
        <f aca="false">AD87</f>
        <v>2.4301781275238</v>
      </c>
      <c r="AJ87" s="1566" t="n">
        <f aca="false">AH87/AI87</f>
        <v>777.983874288267</v>
      </c>
      <c r="AK87" s="1567" t="str">
        <f aca="false">IF(MONTH($A87)=12,SUM(AJ76:AJ87)," ")</f>
        <v> </v>
      </c>
      <c r="AM87" s="488" t="n">
        <f aca="false">IF($A87&gt;Endyr,0,VLOOKUP($A87,Tariff_Table,Tariff!$L$33))</f>
        <v>1.21</v>
      </c>
      <c r="AN87" s="1576" t="n">
        <f aca="false">VLOOKUP($A87,Curves_Table,Escalation!$Z$291)</f>
        <v>1.28273836234001</v>
      </c>
      <c r="AO87" s="1314" t="n">
        <f aca="false">AM87*AN87</f>
        <v>1.55211341843141</v>
      </c>
      <c r="AP87" s="1314" t="n">
        <f aca="false">IF($A87&gt;Endyr,0,VLOOKUP($A87,Tariff_Table,Tariff!$M$33))</f>
        <v>0.25</v>
      </c>
      <c r="AQ87" s="1314" t="n">
        <f aca="false">SUM(AO87,AP87)</f>
        <v>1.80211341843141</v>
      </c>
      <c r="AR87" s="1314" t="n">
        <f aca="false">SUM(AM87,AP87)</f>
        <v>1.46</v>
      </c>
      <c r="AS87" s="1598" t="n">
        <f aca="false">IF(AR87=0,0,AQ87/AR87)</f>
        <v>1.23432425919959</v>
      </c>
    </row>
    <row r="88" customFormat="false" ht="12.75" hidden="false" customHeight="false" outlineLevel="0" collapsed="false">
      <c r="A88" s="1538" t="n">
        <f aca="false">EDATE(A87,1)</f>
        <v>39264</v>
      </c>
      <c r="C88" s="1595" t="n">
        <f aca="false">IF($A88&gt;Endyr,0,VLOOKUP($A88,Tariff_Table,Tariff!$G$33))</f>
        <v>7433.43</v>
      </c>
      <c r="D88" s="1565" t="n">
        <f aca="false">VLOOKUP($A88,Curves_Table,Escalation!$V$291)</f>
        <v>1.30389657610682</v>
      </c>
      <c r="E88" s="1596" t="n">
        <f aca="false">C88*D88</f>
        <v>9692.42392572969</v>
      </c>
      <c r="F88" s="1565" t="n">
        <f aca="false">IF(Assm!$L$74=0,VLOOKUP($A88,Curves_Table,Escalation!$D$291),VLOOKUP($A88,Curves_Table,Escalation!$E$291))</f>
        <v>2.43561361999639</v>
      </c>
      <c r="G88" s="427" t="n">
        <f aca="false">IF($A88&lt;EE_Date,VLOOKUP($A88,Curves_Table,Escalation!$D$291),Exch)</f>
        <v>1.065</v>
      </c>
      <c r="H88" s="1596" t="n">
        <f aca="false">E88*F88/G88</f>
        <v>22166.1969242123</v>
      </c>
      <c r="I88" s="1540" t="n">
        <f aca="false">VLOOKUP($A88,Plant_Table,'Plant Operations'!$C$270)</f>
        <v>480</v>
      </c>
      <c r="J88" s="1575" t="n">
        <f aca="false">H88*I88/1000</f>
        <v>10639.7745236219</v>
      </c>
      <c r="K88" s="1565" t="n">
        <f aca="false">F88</f>
        <v>2.43561361999639</v>
      </c>
      <c r="L88" s="394" t="n">
        <f aca="false">J88/K88</f>
        <v>4368.41641723028</v>
      </c>
      <c r="M88" s="1579" t="str">
        <f aca="false">IF(MONTH($A88)=12,SUM(L77:L88)," ")</f>
        <v> </v>
      </c>
      <c r="O88" s="1597" t="n">
        <f aca="false">IF($A88&gt;Endyr,0,VLOOKUP($A88,Tariff_Table,Tariff!$H$33))</f>
        <v>6146.82</v>
      </c>
      <c r="P88" s="1565" t="n">
        <f aca="false">$AS88</f>
        <v>1.23432425919959</v>
      </c>
      <c r="Q88" s="1575" t="n">
        <f aca="false">O88*P88</f>
        <v>7587.16904293325</v>
      </c>
      <c r="R88" s="1565" t="n">
        <f aca="false">$F88</f>
        <v>2.43561361999639</v>
      </c>
      <c r="S88" s="427" t="n">
        <f aca="false">$G88</f>
        <v>1.065</v>
      </c>
      <c r="T88" s="1575" t="n">
        <f aca="false">Q88*R88/S88</f>
        <v>17351.5608058058</v>
      </c>
      <c r="U88" s="1540" t="n">
        <f aca="false">$I88</f>
        <v>480</v>
      </c>
      <c r="V88" s="1575" t="n">
        <f aca="false">T88*U88/1000</f>
        <v>8328.74918678678</v>
      </c>
      <c r="W88" s="1565" t="n">
        <f aca="false">R88</f>
        <v>2.43561361999639</v>
      </c>
      <c r="X88" s="394" t="n">
        <f aca="false">V88/W88</f>
        <v>3419.56914611076</v>
      </c>
      <c r="Y88" s="1579" t="str">
        <f aca="false">IF(MONTH($A88)=12,SUM(X77:X88)," ")</f>
        <v> </v>
      </c>
      <c r="AA88" s="1595" t="n">
        <f aca="false">IF($A88&gt;Endyr,0,VLOOKUP($A88,Tariff_Table,Tariff!$I$33))</f>
        <v>2.32</v>
      </c>
      <c r="AB88" s="1565" t="n">
        <f aca="false">$AS88</f>
        <v>1.23432425919959</v>
      </c>
      <c r="AC88" s="1596" t="n">
        <f aca="false">AA88*AB88</f>
        <v>2.86363228134306</v>
      </c>
      <c r="AD88" s="1565" t="n">
        <f aca="false">$F88</f>
        <v>2.43561361999639</v>
      </c>
      <c r="AE88" s="427" t="n">
        <f aca="false">$G88</f>
        <v>1.065</v>
      </c>
      <c r="AF88" s="1596" t="n">
        <f aca="false">AC88*AD88/AE88</f>
        <v>6.54901576253566</v>
      </c>
      <c r="AG88" s="397" t="n">
        <f aca="false">VLOOKUP($A88,Plant_Table,'Plant Operations'!$M$270)</f>
        <v>298980.864</v>
      </c>
      <c r="AH88" s="1575" t="n">
        <f aca="false">AF88*AG88/1000</f>
        <v>1958.03039103253</v>
      </c>
      <c r="AI88" s="1565" t="n">
        <f aca="false">AD88</f>
        <v>2.43561361999639</v>
      </c>
      <c r="AJ88" s="1566" t="n">
        <f aca="false">AH88/AI88</f>
        <v>803.916670097876</v>
      </c>
      <c r="AK88" s="1567" t="str">
        <f aca="false">IF(MONTH($A88)=12,SUM(AJ77:AJ88)," ")</f>
        <v> </v>
      </c>
      <c r="AM88" s="488" t="n">
        <f aca="false">IF($A88&gt;Endyr,0,VLOOKUP($A88,Tariff_Table,Tariff!$L$33))</f>
        <v>1.21</v>
      </c>
      <c r="AN88" s="1576" t="n">
        <f aca="false">VLOOKUP($A88,Curves_Table,Escalation!$Z$291)</f>
        <v>1.28273836234001</v>
      </c>
      <c r="AO88" s="1314" t="n">
        <f aca="false">AM88*AN88</f>
        <v>1.55211341843141</v>
      </c>
      <c r="AP88" s="1314" t="n">
        <f aca="false">IF($A88&gt;Endyr,0,VLOOKUP($A88,Tariff_Table,Tariff!$M$33))</f>
        <v>0.25</v>
      </c>
      <c r="AQ88" s="1314" t="n">
        <f aca="false">SUM(AO88,AP88)</f>
        <v>1.80211341843141</v>
      </c>
      <c r="AR88" s="1314" t="n">
        <f aca="false">SUM(AM88,AP88)</f>
        <v>1.46</v>
      </c>
      <c r="AS88" s="1598" t="n">
        <f aca="false">IF(AR88=0,0,AQ88/AR88)</f>
        <v>1.23432425919959</v>
      </c>
    </row>
    <row r="89" customFormat="false" ht="12.75" hidden="false" customHeight="false" outlineLevel="0" collapsed="false">
      <c r="A89" s="1538" t="n">
        <f aca="false">EDATE(A88,1)</f>
        <v>39295</v>
      </c>
      <c r="C89" s="1595" t="n">
        <f aca="false">IF($A89&gt;Endyr,0,VLOOKUP($A89,Tariff_Table,Tariff!$G$33))</f>
        <v>7433.43</v>
      </c>
      <c r="D89" s="1565" t="n">
        <f aca="false">VLOOKUP($A89,Curves_Table,Escalation!$V$291)</f>
        <v>1.30389657610682</v>
      </c>
      <c r="E89" s="1596" t="n">
        <f aca="false">C89*D89</f>
        <v>9692.42392572969</v>
      </c>
      <c r="F89" s="1565" t="n">
        <f aca="false">IF(Assm!$L$74=0,VLOOKUP($A89,Curves_Table,Escalation!$D$291),VLOOKUP($A89,Curves_Table,Escalation!$E$291))</f>
        <v>2.44106126984052</v>
      </c>
      <c r="G89" s="427" t="n">
        <f aca="false">IF($A89&lt;EE_Date,VLOOKUP($A89,Curves_Table,Escalation!$D$291),Exch)</f>
        <v>1.065</v>
      </c>
      <c r="H89" s="1596" t="n">
        <f aca="false">E89*F89/G89</f>
        <v>22215.7752638257</v>
      </c>
      <c r="I89" s="1540" t="n">
        <f aca="false">VLOOKUP($A89,Plant_Table,'Plant Operations'!$C$270)</f>
        <v>480</v>
      </c>
      <c r="J89" s="1575" t="n">
        <f aca="false">H89*I89/1000</f>
        <v>10663.5721266363</v>
      </c>
      <c r="K89" s="1565" t="n">
        <f aca="false">F89</f>
        <v>2.44106126984052</v>
      </c>
      <c r="L89" s="394" t="n">
        <f aca="false">J89/K89</f>
        <v>4368.41641723028</v>
      </c>
      <c r="M89" s="1579" t="str">
        <f aca="false">IF(MONTH($A89)=12,SUM(L78:L89)," ")</f>
        <v> </v>
      </c>
      <c r="O89" s="1597" t="n">
        <f aca="false">IF($A89&gt;Endyr,0,VLOOKUP($A89,Tariff_Table,Tariff!$H$33))</f>
        <v>6146.82</v>
      </c>
      <c r="P89" s="1565" t="n">
        <f aca="false">$AS89</f>
        <v>1.23432425919959</v>
      </c>
      <c r="Q89" s="1575" t="n">
        <f aca="false">O89*P89</f>
        <v>7587.16904293325</v>
      </c>
      <c r="R89" s="1565" t="n">
        <f aca="false">$F89</f>
        <v>2.44106126984052</v>
      </c>
      <c r="S89" s="427" t="n">
        <f aca="false">$G89</f>
        <v>1.065</v>
      </c>
      <c r="T89" s="1575" t="n">
        <f aca="false">Q89*R89/S89</f>
        <v>17390.3704210679</v>
      </c>
      <c r="U89" s="1540" t="n">
        <f aca="false">$I89</f>
        <v>480</v>
      </c>
      <c r="V89" s="1575" t="n">
        <f aca="false">T89*U89/1000</f>
        <v>8347.3778021126</v>
      </c>
      <c r="W89" s="1565" t="n">
        <f aca="false">R89</f>
        <v>2.44106126984052</v>
      </c>
      <c r="X89" s="394" t="n">
        <f aca="false">V89/W89</f>
        <v>3419.56914611076</v>
      </c>
      <c r="Y89" s="1579" t="str">
        <f aca="false">IF(MONTH($A89)=12,SUM(X78:X89)," ")</f>
        <v> </v>
      </c>
      <c r="AA89" s="1595" t="n">
        <f aca="false">IF($A89&gt;Endyr,0,VLOOKUP($A89,Tariff_Table,Tariff!$I$33))</f>
        <v>2.32</v>
      </c>
      <c r="AB89" s="1565" t="n">
        <f aca="false">$AS89</f>
        <v>1.23432425919959</v>
      </c>
      <c r="AC89" s="1596" t="n">
        <f aca="false">AA89*AB89</f>
        <v>2.86363228134306</v>
      </c>
      <c r="AD89" s="1565" t="n">
        <f aca="false">$F89</f>
        <v>2.44106126984052</v>
      </c>
      <c r="AE89" s="427" t="n">
        <f aca="false">$G89</f>
        <v>1.065</v>
      </c>
      <c r="AF89" s="1596" t="n">
        <f aca="false">AC89*AD89/AE89</f>
        <v>6.56366371178553</v>
      </c>
      <c r="AG89" s="397" t="n">
        <f aca="false">VLOOKUP($A89,Plant_Table,'Plant Operations'!$M$270)</f>
        <v>298980.864</v>
      </c>
      <c r="AH89" s="1575" t="n">
        <f aca="false">AF89*AG89/1000</f>
        <v>1962.40984755509</v>
      </c>
      <c r="AI89" s="1565" t="n">
        <f aca="false">AD89</f>
        <v>2.44106126984052</v>
      </c>
      <c r="AJ89" s="1566" t="n">
        <f aca="false">AH89/AI89</f>
        <v>803.916670097876</v>
      </c>
      <c r="AK89" s="1567" t="str">
        <f aca="false">IF(MONTH($A89)=12,SUM(AJ78:AJ89)," ")</f>
        <v> </v>
      </c>
      <c r="AM89" s="488" t="n">
        <f aca="false">IF($A89&gt;Endyr,0,VLOOKUP($A89,Tariff_Table,Tariff!$L$33))</f>
        <v>1.21</v>
      </c>
      <c r="AN89" s="1576" t="n">
        <f aca="false">VLOOKUP($A89,Curves_Table,Escalation!$Z$291)</f>
        <v>1.28273836234001</v>
      </c>
      <c r="AO89" s="1314" t="n">
        <f aca="false">AM89*AN89</f>
        <v>1.55211341843141</v>
      </c>
      <c r="AP89" s="1314" t="n">
        <f aca="false">IF($A89&gt;Endyr,0,VLOOKUP($A89,Tariff_Table,Tariff!$M$33))</f>
        <v>0.25</v>
      </c>
      <c r="AQ89" s="1314" t="n">
        <f aca="false">SUM(AO89,AP89)</f>
        <v>1.80211341843141</v>
      </c>
      <c r="AR89" s="1314" t="n">
        <f aca="false">SUM(AM89,AP89)</f>
        <v>1.46</v>
      </c>
      <c r="AS89" s="1598" t="n">
        <f aca="false">IF(AR89=0,0,AQ89/AR89)</f>
        <v>1.23432425919959</v>
      </c>
    </row>
    <row r="90" customFormat="false" ht="12.75" hidden="false" customHeight="false" outlineLevel="0" collapsed="false">
      <c r="A90" s="1538" t="n">
        <f aca="false">EDATE(A89,1)</f>
        <v>39326</v>
      </c>
      <c r="C90" s="1595" t="n">
        <f aca="false">IF($A90&gt;Endyr,0,VLOOKUP($A90,Tariff_Table,Tariff!$G$33))</f>
        <v>7433.43</v>
      </c>
      <c r="D90" s="1565" t="n">
        <f aca="false">VLOOKUP($A90,Curves_Table,Escalation!$V$291)</f>
        <v>1.30389657610682</v>
      </c>
      <c r="E90" s="1596" t="n">
        <f aca="false">C90*D90</f>
        <v>9692.42392572969</v>
      </c>
      <c r="F90" s="1565" t="n">
        <f aca="false">IF(Assm!$L$74=0,VLOOKUP($A90,Curves_Table,Escalation!$D$291),VLOOKUP($A90,Curves_Table,Escalation!$E$291))</f>
        <v>2.44652110424816</v>
      </c>
      <c r="G90" s="427" t="n">
        <f aca="false">IF($A90&lt;EE_Date,VLOOKUP($A90,Curves_Table,Escalation!$D$291),Exch)</f>
        <v>1.065</v>
      </c>
      <c r="H90" s="1596" t="n">
        <f aca="false">E90*F90/G90</f>
        <v>22265.4644935376</v>
      </c>
      <c r="I90" s="1540" t="n">
        <f aca="false">VLOOKUP($A90,Plant_Table,'Plant Operations'!$C$270)</f>
        <v>480</v>
      </c>
      <c r="J90" s="1575" t="n">
        <f aca="false">H90*I90/1000</f>
        <v>10687.422956898</v>
      </c>
      <c r="K90" s="1565" t="n">
        <f aca="false">F90</f>
        <v>2.44652110424816</v>
      </c>
      <c r="L90" s="394" t="n">
        <f aca="false">J90/K90</f>
        <v>4368.41641723028</v>
      </c>
      <c r="M90" s="1579" t="str">
        <f aca="false">IF(MONTH($A90)=12,SUM(L79:L90)," ")</f>
        <v> </v>
      </c>
      <c r="O90" s="1597" t="n">
        <f aca="false">IF($A90&gt;Endyr,0,VLOOKUP($A90,Tariff_Table,Tariff!$H$33))</f>
        <v>6146.82</v>
      </c>
      <c r="P90" s="1565" t="n">
        <f aca="false">$AS90</f>
        <v>1.23432425919959</v>
      </c>
      <c r="Q90" s="1575" t="n">
        <f aca="false">O90*P90</f>
        <v>7587.16904293325</v>
      </c>
      <c r="R90" s="1565" t="n">
        <f aca="false">$F90</f>
        <v>2.44652110424816</v>
      </c>
      <c r="S90" s="427" t="n">
        <f aca="false">$G90</f>
        <v>1.065</v>
      </c>
      <c r="T90" s="1575" t="n">
        <f aca="false">Q90*R90/S90</f>
        <v>17429.266840408</v>
      </c>
      <c r="U90" s="1540" t="n">
        <f aca="false">$I90</f>
        <v>480</v>
      </c>
      <c r="V90" s="1575" t="n">
        <f aca="false">T90*U90/1000</f>
        <v>8366.04808339583</v>
      </c>
      <c r="W90" s="1565" t="n">
        <f aca="false">R90</f>
        <v>2.44652110424816</v>
      </c>
      <c r="X90" s="394" t="n">
        <f aca="false">V90/W90</f>
        <v>3419.56914611076</v>
      </c>
      <c r="Y90" s="1579" t="str">
        <f aca="false">IF(MONTH($A90)=12,SUM(X79:X90)," ")</f>
        <v> </v>
      </c>
      <c r="AA90" s="1595" t="n">
        <f aca="false">IF($A90&gt;Endyr,0,VLOOKUP($A90,Tariff_Table,Tariff!$I$33))</f>
        <v>2.32</v>
      </c>
      <c r="AB90" s="1565" t="n">
        <f aca="false">$AS90</f>
        <v>1.23432425919959</v>
      </c>
      <c r="AC90" s="1596" t="n">
        <f aca="false">AA90*AB90</f>
        <v>2.86363228134306</v>
      </c>
      <c r="AD90" s="1565" t="n">
        <f aca="false">$F90</f>
        <v>2.44652110424816</v>
      </c>
      <c r="AE90" s="427" t="n">
        <f aca="false">$G90</f>
        <v>1.065</v>
      </c>
      <c r="AF90" s="1596" t="n">
        <f aca="false">AC90*AD90/AE90</f>
        <v>6.57834442357943</v>
      </c>
      <c r="AG90" s="397" t="n">
        <f aca="false">VLOOKUP($A90,Plant_Table,'Plant Operations'!$M$270)</f>
        <v>289336.32</v>
      </c>
      <c r="AH90" s="1575" t="n">
        <f aca="false">AF90*AG90/1000</f>
        <v>1903.35396721099</v>
      </c>
      <c r="AI90" s="1565" t="n">
        <f aca="false">AD90</f>
        <v>2.44652110424816</v>
      </c>
      <c r="AJ90" s="1566" t="n">
        <f aca="false">AH90/AI90</f>
        <v>777.983874288267</v>
      </c>
      <c r="AK90" s="1567" t="str">
        <f aca="false">IF(MONTH($A90)=12,SUM(AJ79:AJ90)," ")</f>
        <v> </v>
      </c>
      <c r="AM90" s="488" t="n">
        <f aca="false">IF($A90&gt;Endyr,0,VLOOKUP($A90,Tariff_Table,Tariff!$L$33))</f>
        <v>1.21</v>
      </c>
      <c r="AN90" s="1576" t="n">
        <f aca="false">VLOOKUP($A90,Curves_Table,Escalation!$Z$291)</f>
        <v>1.28273836234001</v>
      </c>
      <c r="AO90" s="1314" t="n">
        <f aca="false">AM90*AN90</f>
        <v>1.55211341843141</v>
      </c>
      <c r="AP90" s="1314" t="n">
        <f aca="false">IF($A90&gt;Endyr,0,VLOOKUP($A90,Tariff_Table,Tariff!$M$33))</f>
        <v>0.25</v>
      </c>
      <c r="AQ90" s="1314" t="n">
        <f aca="false">SUM(AO90,AP90)</f>
        <v>1.80211341843141</v>
      </c>
      <c r="AR90" s="1314" t="n">
        <f aca="false">SUM(AM90,AP90)</f>
        <v>1.46</v>
      </c>
      <c r="AS90" s="1598" t="n">
        <f aca="false">IF(AR90=0,0,AQ90/AR90)</f>
        <v>1.23432425919959</v>
      </c>
    </row>
    <row r="91" customFormat="false" ht="12.75" hidden="false" customHeight="false" outlineLevel="0" collapsed="false">
      <c r="A91" s="1538" t="n">
        <f aca="false">EDATE(A90,1)</f>
        <v>39356</v>
      </c>
      <c r="C91" s="1595" t="n">
        <f aca="false">IF($A91&gt;Endyr,0,VLOOKUP($A91,Tariff_Table,Tariff!$G$33))</f>
        <v>7433.43</v>
      </c>
      <c r="D91" s="1565" t="n">
        <f aca="false">VLOOKUP($A91,Curves_Table,Escalation!$V$291)</f>
        <v>1.30389657610682</v>
      </c>
      <c r="E91" s="1596" t="n">
        <f aca="false">C91*D91</f>
        <v>9692.42392572969</v>
      </c>
      <c r="F91" s="1565" t="n">
        <f aca="false">IF(Assm!$L$74=0,VLOOKUP($A91,Curves_Table,Escalation!$D$291),VLOOKUP($A91,Curves_Table,Escalation!$E$291))</f>
        <v>2.45199315047208</v>
      </c>
      <c r="G91" s="427" t="n">
        <f aca="false">IF($A91&lt;EE_Date,VLOOKUP($A91,Curves_Table,Escalation!$D$291),Exch)</f>
        <v>1.065</v>
      </c>
      <c r="H91" s="1596" t="n">
        <f aca="false">E91*F91/G91</f>
        <v>22315.2648613717</v>
      </c>
      <c r="I91" s="1540" t="n">
        <f aca="false">VLOOKUP($A91,Plant_Table,'Plant Operations'!$C$270)</f>
        <v>480</v>
      </c>
      <c r="J91" s="1575" t="n">
        <f aca="false">H91*I91/1000</f>
        <v>10711.3271334584</v>
      </c>
      <c r="K91" s="1565" t="n">
        <f aca="false">F91</f>
        <v>2.45199315047208</v>
      </c>
      <c r="L91" s="394" t="n">
        <f aca="false">J91/K91</f>
        <v>4368.41641723028</v>
      </c>
      <c r="M91" s="1579" t="str">
        <f aca="false">IF(MONTH($A91)=12,SUM(L80:L91)," ")</f>
        <v> </v>
      </c>
      <c r="O91" s="1597" t="n">
        <f aca="false">IF($A91&gt;Endyr,0,VLOOKUP($A91,Tariff_Table,Tariff!$H$33))</f>
        <v>6146.82</v>
      </c>
      <c r="P91" s="1565" t="n">
        <f aca="false">$AS91</f>
        <v>1.23432425919959</v>
      </c>
      <c r="Q91" s="1575" t="n">
        <f aca="false">O91*P91</f>
        <v>7587.16904293325</v>
      </c>
      <c r="R91" s="1565" t="n">
        <f aca="false">$F91</f>
        <v>2.45199315047208</v>
      </c>
      <c r="S91" s="427" t="n">
        <f aca="false">$G91</f>
        <v>1.065</v>
      </c>
      <c r="T91" s="1575" t="n">
        <f aca="false">Q91*R91/S91</f>
        <v>17468.2502579776</v>
      </c>
      <c r="U91" s="1540" t="n">
        <f aca="false">$I91</f>
        <v>480</v>
      </c>
      <c r="V91" s="1575" t="n">
        <f aca="false">T91*U91/1000</f>
        <v>8384.76012382924</v>
      </c>
      <c r="W91" s="1565" t="n">
        <f aca="false">R91</f>
        <v>2.45199315047208</v>
      </c>
      <c r="X91" s="394" t="n">
        <f aca="false">V91/W91</f>
        <v>3419.56914611076</v>
      </c>
      <c r="Y91" s="1579" t="str">
        <f aca="false">IF(MONTH($A91)=12,SUM(X80:X91)," ")</f>
        <v> </v>
      </c>
      <c r="AA91" s="1595" t="n">
        <f aca="false">IF($A91&gt;Endyr,0,VLOOKUP($A91,Tariff_Table,Tariff!$I$33))</f>
        <v>2.32</v>
      </c>
      <c r="AB91" s="1565" t="n">
        <f aca="false">$AS91</f>
        <v>1.23432425919959</v>
      </c>
      <c r="AC91" s="1596" t="n">
        <f aca="false">AA91*AB91</f>
        <v>2.86363228134306</v>
      </c>
      <c r="AD91" s="1565" t="n">
        <f aca="false">$F91</f>
        <v>2.45199315047208</v>
      </c>
      <c r="AE91" s="427" t="n">
        <f aca="false">$G91</f>
        <v>1.065</v>
      </c>
      <c r="AF91" s="1596" t="n">
        <f aca="false">AC91*AD91/AE91</f>
        <v>6.59305797119616</v>
      </c>
      <c r="AG91" s="397" t="n">
        <f aca="false">VLOOKUP($A91,Plant_Table,'Plant Operations'!$M$270)</f>
        <v>298980.864</v>
      </c>
      <c r="AH91" s="1575" t="n">
        <f aca="false">AF91*AG91/1000</f>
        <v>1971.19816863032</v>
      </c>
      <c r="AI91" s="1565" t="n">
        <f aca="false">AD91</f>
        <v>2.45199315047208</v>
      </c>
      <c r="AJ91" s="1566" t="n">
        <f aca="false">AH91/AI91</f>
        <v>803.916670097876</v>
      </c>
      <c r="AK91" s="1567" t="str">
        <f aca="false">IF(MONTH($A91)=12,SUM(AJ80:AJ91)," ")</f>
        <v> </v>
      </c>
      <c r="AM91" s="488" t="n">
        <f aca="false">IF($A91&gt;Endyr,0,VLOOKUP($A91,Tariff_Table,Tariff!$L$33))</f>
        <v>1.21</v>
      </c>
      <c r="AN91" s="1576" t="n">
        <f aca="false">VLOOKUP($A91,Curves_Table,Escalation!$Z$291)</f>
        <v>1.28273836234001</v>
      </c>
      <c r="AO91" s="1314" t="n">
        <f aca="false">AM91*AN91</f>
        <v>1.55211341843141</v>
      </c>
      <c r="AP91" s="1314" t="n">
        <f aca="false">IF($A91&gt;Endyr,0,VLOOKUP($A91,Tariff_Table,Tariff!$M$33))</f>
        <v>0.25</v>
      </c>
      <c r="AQ91" s="1314" t="n">
        <f aca="false">SUM(AO91,AP91)</f>
        <v>1.80211341843141</v>
      </c>
      <c r="AR91" s="1314" t="n">
        <f aca="false">SUM(AM91,AP91)</f>
        <v>1.46</v>
      </c>
      <c r="AS91" s="1598" t="n">
        <f aca="false">IF(AR91=0,0,AQ91/AR91)</f>
        <v>1.23432425919959</v>
      </c>
    </row>
    <row r="92" customFormat="false" ht="12.75" hidden="false" customHeight="false" outlineLevel="0" collapsed="false">
      <c r="A92" s="1538" t="n">
        <f aca="false">EDATE(A91,1)</f>
        <v>39387</v>
      </c>
      <c r="C92" s="1595" t="n">
        <f aca="false">IF($A92&gt;Endyr,0,VLOOKUP($A92,Tariff_Table,Tariff!$G$33))</f>
        <v>7433.43</v>
      </c>
      <c r="D92" s="1565" t="n">
        <f aca="false">VLOOKUP($A92,Curves_Table,Escalation!$V$291)</f>
        <v>1.30389657610682</v>
      </c>
      <c r="E92" s="1596" t="n">
        <f aca="false">C92*D92</f>
        <v>9692.42392572969</v>
      </c>
      <c r="F92" s="1565" t="n">
        <f aca="false">IF(Assm!$L$74=0,VLOOKUP($A92,Curves_Table,Escalation!$D$291),VLOOKUP($A92,Curves_Table,Escalation!$E$291))</f>
        <v>2.45747743582601</v>
      </c>
      <c r="G92" s="427" t="n">
        <f aca="false">IF($A92&lt;EE_Date,VLOOKUP($A92,Curves_Table,Escalation!$D$291),Exch)</f>
        <v>1.065</v>
      </c>
      <c r="H92" s="1596" t="n">
        <f aca="false">E92*F92/G92</f>
        <v>22365.176615907</v>
      </c>
      <c r="I92" s="1540" t="n">
        <f aca="false">VLOOKUP($A92,Plant_Table,'Plant Operations'!$C$270)</f>
        <v>480</v>
      </c>
      <c r="J92" s="1575" t="n">
        <f aca="false">H92*I92/1000</f>
        <v>10735.2847756353</v>
      </c>
      <c r="K92" s="1565" t="n">
        <f aca="false">F92</f>
        <v>2.45747743582601</v>
      </c>
      <c r="L92" s="394" t="n">
        <f aca="false">J92/K92</f>
        <v>4368.41641723028</v>
      </c>
      <c r="M92" s="1579" t="str">
        <f aca="false">IF(MONTH($A92)=12,SUM(L81:L92)," ")</f>
        <v> </v>
      </c>
      <c r="O92" s="1597" t="n">
        <f aca="false">IF($A92&gt;Endyr,0,VLOOKUP($A92,Tariff_Table,Tariff!$H$33))</f>
        <v>6146.82</v>
      </c>
      <c r="P92" s="1565" t="n">
        <f aca="false">$AS92</f>
        <v>1.23432425919959</v>
      </c>
      <c r="Q92" s="1575" t="n">
        <f aca="false">O92*P92</f>
        <v>7587.16904293325</v>
      </c>
      <c r="R92" s="1565" t="n">
        <f aca="false">$F92</f>
        <v>2.45747743582601</v>
      </c>
      <c r="S92" s="427" t="n">
        <f aca="false">$G92</f>
        <v>1.065</v>
      </c>
      <c r="T92" s="1575" t="n">
        <f aca="false">Q92*R92/S92</f>
        <v>17507.3208683625</v>
      </c>
      <c r="U92" s="1540" t="n">
        <f aca="false">$I92</f>
        <v>480</v>
      </c>
      <c r="V92" s="1575" t="n">
        <f aca="false">T92*U92/1000</f>
        <v>8403.51401681402</v>
      </c>
      <c r="W92" s="1565" t="n">
        <f aca="false">R92</f>
        <v>2.45747743582601</v>
      </c>
      <c r="X92" s="394" t="n">
        <f aca="false">V92/W92</f>
        <v>3419.56914611076</v>
      </c>
      <c r="Y92" s="1579" t="str">
        <f aca="false">IF(MONTH($A92)=12,SUM(X81:X92)," ")</f>
        <v> </v>
      </c>
      <c r="AA92" s="1595" t="n">
        <f aca="false">IF($A92&gt;Endyr,0,VLOOKUP($A92,Tariff_Table,Tariff!$I$33))</f>
        <v>2.32</v>
      </c>
      <c r="AB92" s="1565" t="n">
        <f aca="false">$AS92</f>
        <v>1.23432425919959</v>
      </c>
      <c r="AC92" s="1596" t="n">
        <f aca="false">AA92*AB92</f>
        <v>2.86363228134306</v>
      </c>
      <c r="AD92" s="1565" t="n">
        <f aca="false">$F92</f>
        <v>2.45747743582601</v>
      </c>
      <c r="AE92" s="427" t="n">
        <f aca="false">$G92</f>
        <v>1.065</v>
      </c>
      <c r="AF92" s="1596" t="n">
        <f aca="false">AC92*AD92/AE92</f>
        <v>6.60780442807844</v>
      </c>
      <c r="AG92" s="397" t="n">
        <f aca="false">VLOOKUP($A92,Plant_Table,'Plant Operations'!$M$270)</f>
        <v>289336.32</v>
      </c>
      <c r="AH92" s="1575" t="n">
        <f aca="false">AF92*AG92/1000</f>
        <v>1911.87781649992</v>
      </c>
      <c r="AI92" s="1565" t="n">
        <f aca="false">AD92</f>
        <v>2.45747743582601</v>
      </c>
      <c r="AJ92" s="1566" t="n">
        <f aca="false">AH92/AI92</f>
        <v>777.983874288267</v>
      </c>
      <c r="AK92" s="1567" t="str">
        <f aca="false">IF(MONTH($A92)=12,SUM(AJ81:AJ92)," ")</f>
        <v> </v>
      </c>
      <c r="AM92" s="488" t="n">
        <f aca="false">IF($A92&gt;Endyr,0,VLOOKUP($A92,Tariff_Table,Tariff!$L$33))</f>
        <v>1.21</v>
      </c>
      <c r="AN92" s="1576" t="n">
        <f aca="false">VLOOKUP($A92,Curves_Table,Escalation!$Z$291)</f>
        <v>1.28273836234001</v>
      </c>
      <c r="AO92" s="1314" t="n">
        <f aca="false">AM92*AN92</f>
        <v>1.55211341843141</v>
      </c>
      <c r="AP92" s="1314" t="n">
        <f aca="false">IF($A92&gt;Endyr,0,VLOOKUP($A92,Tariff_Table,Tariff!$M$33))</f>
        <v>0.25</v>
      </c>
      <c r="AQ92" s="1314" t="n">
        <f aca="false">SUM(AO92,AP92)</f>
        <v>1.80211341843141</v>
      </c>
      <c r="AR92" s="1314" t="n">
        <f aca="false">SUM(AM92,AP92)</f>
        <v>1.46</v>
      </c>
      <c r="AS92" s="1598" t="n">
        <f aca="false">IF(AR92=0,0,AQ92/AR92)</f>
        <v>1.23432425919959</v>
      </c>
    </row>
    <row r="93" customFormat="false" ht="12.75" hidden="false" customHeight="false" outlineLevel="0" collapsed="false">
      <c r="A93" s="1538" t="n">
        <f aca="false">EDATE(A92,1)</f>
        <v>39417</v>
      </c>
      <c r="C93" s="1595" t="n">
        <f aca="false">IF($A93&gt;Endyr,0,VLOOKUP($A93,Tariff_Table,Tariff!$G$33))</f>
        <v>7433.43</v>
      </c>
      <c r="D93" s="1565" t="n">
        <f aca="false">VLOOKUP($A93,Curves_Table,Escalation!$V$291)</f>
        <v>1.30389657610682</v>
      </c>
      <c r="E93" s="1596" t="n">
        <f aca="false">C93*D93</f>
        <v>9692.42392572969</v>
      </c>
      <c r="F93" s="1565" t="n">
        <f aca="false">IF(Assm!$L$74=0,VLOOKUP($A93,Curves_Table,Escalation!$D$291),VLOOKUP($A93,Curves_Table,Escalation!$E$291))</f>
        <v>2.46297398768479</v>
      </c>
      <c r="G93" s="427" t="n">
        <f aca="false">IF($A93&lt;EE_Date,VLOOKUP($A93,Curves_Table,Escalation!$D$291),Exch)</f>
        <v>1.065</v>
      </c>
      <c r="H93" s="1596" t="n">
        <f aca="false">E93*F93/G93</f>
        <v>22415.2000062778</v>
      </c>
      <c r="I93" s="1540" t="n">
        <f aca="false">VLOOKUP($A93,Plant_Table,'Plant Operations'!$C$270)</f>
        <v>480</v>
      </c>
      <c r="J93" s="1575" t="n">
        <f aca="false">H93*I93/1000</f>
        <v>10759.2960030134</v>
      </c>
      <c r="K93" s="1565" t="n">
        <f aca="false">F93</f>
        <v>2.46297398768479</v>
      </c>
      <c r="L93" s="394" t="n">
        <f aca="false">J93/K93</f>
        <v>4368.41641723028</v>
      </c>
      <c r="M93" s="1579" t="n">
        <f aca="false">IF(MONTH($A93)=12,SUM(L82:L93)," ")</f>
        <v>51946.750589898</v>
      </c>
      <c r="O93" s="1597" t="n">
        <f aca="false">IF($A93&gt;Endyr,0,VLOOKUP($A93,Tariff_Table,Tariff!$H$33))</f>
        <v>6146.82</v>
      </c>
      <c r="P93" s="1565" t="n">
        <f aca="false">$AS93</f>
        <v>1.23432425919959</v>
      </c>
      <c r="Q93" s="1575" t="n">
        <f aca="false">O93*P93</f>
        <v>7587.16904293325</v>
      </c>
      <c r="R93" s="1565" t="n">
        <f aca="false">$F93</f>
        <v>2.46297398768479</v>
      </c>
      <c r="S93" s="427" t="n">
        <f aca="false">$G93</f>
        <v>1.065</v>
      </c>
      <c r="T93" s="1575" t="n">
        <f aca="false">Q93*R93/S93</f>
        <v>17546.4788665839</v>
      </c>
      <c r="U93" s="1540" t="n">
        <f aca="false">$I93</f>
        <v>480</v>
      </c>
      <c r="V93" s="1575" t="n">
        <f aca="false">T93*U93/1000</f>
        <v>8422.30985596028</v>
      </c>
      <c r="W93" s="1565" t="n">
        <f aca="false">R93</f>
        <v>2.46297398768479</v>
      </c>
      <c r="X93" s="394" t="n">
        <f aca="false">V93/W93</f>
        <v>3419.56914611076</v>
      </c>
      <c r="Y93" s="1579" t="n">
        <f aca="false">IF(MONTH($A93)=12,SUM(X82:X93)," ")</f>
        <v>40720.7159484168</v>
      </c>
      <c r="AA93" s="1595" t="n">
        <f aca="false">IF($A93&gt;Endyr,0,VLOOKUP($A93,Tariff_Table,Tariff!$I$33))</f>
        <v>2.32</v>
      </c>
      <c r="AB93" s="1565" t="n">
        <f aca="false">$AS93</f>
        <v>1.23432425919959</v>
      </c>
      <c r="AC93" s="1596" t="n">
        <f aca="false">AA93*AB93</f>
        <v>2.86363228134306</v>
      </c>
      <c r="AD93" s="1565" t="n">
        <f aca="false">$F93</f>
        <v>2.46297398768479</v>
      </c>
      <c r="AE93" s="427" t="n">
        <f aca="false">$G93</f>
        <v>1.065</v>
      </c>
      <c r="AF93" s="1596" t="n">
        <f aca="false">AC93*AD93/AE93</f>
        <v>6.62258386783323</v>
      </c>
      <c r="AG93" s="397" t="n">
        <f aca="false">VLOOKUP($A93,Plant_Table,'Plant Operations'!$M$270)</f>
        <v>298980.864</v>
      </c>
      <c r="AH93" s="1575" t="n">
        <f aca="false">AF93*AG93/1000</f>
        <v>1980.02584671724</v>
      </c>
      <c r="AI93" s="1565" t="n">
        <f aca="false">AD93</f>
        <v>2.46297398768479</v>
      </c>
      <c r="AJ93" s="1566" t="n">
        <f aca="false">AH93/AI93</f>
        <v>803.916670097876</v>
      </c>
      <c r="AK93" s="1567" t="n">
        <f aca="false">IF(MONTH($A93)=12,SUM(AJ82:AJ93)," ")</f>
        <v>9387.36187441297</v>
      </c>
      <c r="AM93" s="488" t="n">
        <f aca="false">IF($A93&gt;Endyr,0,VLOOKUP($A93,Tariff_Table,Tariff!$L$33))</f>
        <v>1.21</v>
      </c>
      <c r="AN93" s="1576" t="n">
        <f aca="false">VLOOKUP($A93,Curves_Table,Escalation!$Z$291)</f>
        <v>1.28273836234001</v>
      </c>
      <c r="AO93" s="1314" t="n">
        <f aca="false">AM93*AN93</f>
        <v>1.55211341843141</v>
      </c>
      <c r="AP93" s="1314" t="n">
        <f aca="false">IF($A93&gt;Endyr,0,VLOOKUP($A93,Tariff_Table,Tariff!$M$33))</f>
        <v>0.25</v>
      </c>
      <c r="AQ93" s="1314" t="n">
        <f aca="false">SUM(AO93,AP93)</f>
        <v>1.80211341843141</v>
      </c>
      <c r="AR93" s="1314" t="n">
        <f aca="false">SUM(AM93,AP93)</f>
        <v>1.46</v>
      </c>
      <c r="AS93" s="1598" t="n">
        <f aca="false">IF(AR93=0,0,AQ93/AR93)</f>
        <v>1.23432425919959</v>
      </c>
    </row>
    <row r="94" customFormat="false" ht="12.75" hidden="false" customHeight="false" outlineLevel="0" collapsed="false">
      <c r="A94" s="1538" t="n">
        <f aca="false">EDATE(A93,1)</f>
        <v>39448</v>
      </c>
      <c r="C94" s="1595" t="n">
        <f aca="false">IF($A94&gt;Endyr,0,VLOOKUP($A94,Tariff_Table,Tariff!$G$33))</f>
        <v>7433.43</v>
      </c>
      <c r="D94" s="1565" t="n">
        <f aca="false">VLOOKUP($A94,Curves_Table,Escalation!$V$291)</f>
        <v>1.30389657610682</v>
      </c>
      <c r="E94" s="1596" t="n">
        <f aca="false">C94*D94</f>
        <v>9692.42392572969</v>
      </c>
      <c r="F94" s="1565" t="n">
        <f aca="false">IF(Assm!$L$74=0,VLOOKUP($A94,Curves_Table,Escalation!$D$291),VLOOKUP($A94,Curves_Table,Escalation!$E$291))</f>
        <v>2.4681826378384</v>
      </c>
      <c r="G94" s="427" t="n">
        <f aca="false">IF($A94&lt;EE_Date,VLOOKUP($A94,Curves_Table,Escalation!$D$291),Exch)</f>
        <v>1.065</v>
      </c>
      <c r="H94" s="1596" t="n">
        <f aca="false">E94*F94/G94</f>
        <v>22462.6032413667</v>
      </c>
      <c r="I94" s="1540" t="n">
        <f aca="false">VLOOKUP($A94,Plant_Table,'Plant Operations'!$C$270)</f>
        <v>480</v>
      </c>
      <c r="J94" s="1575" t="n">
        <f aca="false">H94*I94/1000</f>
        <v>10782.049555856</v>
      </c>
      <c r="K94" s="1565" t="n">
        <f aca="false">F94</f>
        <v>2.4681826378384</v>
      </c>
      <c r="L94" s="394" t="n">
        <f aca="false">J94/K94</f>
        <v>4368.41641723028</v>
      </c>
      <c r="M94" s="1579" t="str">
        <f aca="false">IF(MONTH($A94)=12,SUM(L83:L94)," ")</f>
        <v> </v>
      </c>
      <c r="O94" s="1597" t="n">
        <f aca="false">IF($A94&gt;Endyr,0,VLOOKUP($A94,Tariff_Table,Tariff!$H$33))</f>
        <v>6146.82</v>
      </c>
      <c r="P94" s="1565" t="n">
        <f aca="false">$AS94</f>
        <v>1.23432425919959</v>
      </c>
      <c r="Q94" s="1575" t="n">
        <f aca="false">O94*P94</f>
        <v>7587.16904293325</v>
      </c>
      <c r="R94" s="1565" t="n">
        <f aca="false">$F94</f>
        <v>2.4681826378384</v>
      </c>
      <c r="S94" s="427" t="n">
        <f aca="false">$G94</f>
        <v>1.065</v>
      </c>
      <c r="T94" s="1575" t="n">
        <f aca="false">Q94*R94/S94</f>
        <v>17583.5858235801</v>
      </c>
      <c r="U94" s="1540" t="n">
        <f aca="false">$I94</f>
        <v>480</v>
      </c>
      <c r="V94" s="1575" t="n">
        <f aca="false">T94*U94/1000</f>
        <v>8440.12119531847</v>
      </c>
      <c r="W94" s="1565" t="n">
        <f aca="false">R94</f>
        <v>2.4681826378384</v>
      </c>
      <c r="X94" s="394" t="n">
        <f aca="false">V94/W94</f>
        <v>3419.56914611076</v>
      </c>
      <c r="Y94" s="1579" t="str">
        <f aca="false">IF(MONTH($A94)=12,SUM(X83:X94)," ")</f>
        <v> </v>
      </c>
      <c r="AA94" s="1595" t="n">
        <f aca="false">IF($A94&gt;Endyr,0,VLOOKUP($A94,Tariff_Table,Tariff!$I$33))</f>
        <v>2.32</v>
      </c>
      <c r="AB94" s="1565" t="n">
        <f aca="false">$AS94</f>
        <v>1.23432425919959</v>
      </c>
      <c r="AC94" s="1596" t="n">
        <f aca="false">AA94*AB94</f>
        <v>2.86363228134306</v>
      </c>
      <c r="AD94" s="1565" t="n">
        <f aca="false">$F94</f>
        <v>2.4681826378384</v>
      </c>
      <c r="AE94" s="427" t="n">
        <f aca="false">$G94</f>
        <v>1.065</v>
      </c>
      <c r="AF94" s="1596" t="n">
        <f aca="false">AC94*AD94/AE94</f>
        <v>6.63658918118733</v>
      </c>
      <c r="AG94" s="397" t="n">
        <f aca="false">VLOOKUP($A94,Plant_Table,'Plant Operations'!$M$270)</f>
        <v>298980.864</v>
      </c>
      <c r="AH94" s="1575" t="n">
        <f aca="false">AF94*AG94/1000</f>
        <v>1984.21316740444</v>
      </c>
      <c r="AI94" s="1565" t="n">
        <f aca="false">AD94</f>
        <v>2.4681826378384</v>
      </c>
      <c r="AJ94" s="1566" t="n">
        <f aca="false">AH94/AI94</f>
        <v>803.916670097876</v>
      </c>
      <c r="AK94" s="1567" t="str">
        <f aca="false">IF(MONTH($A94)=12,SUM(AJ83:AJ94)," ")</f>
        <v> </v>
      </c>
      <c r="AM94" s="488" t="n">
        <f aca="false">IF($A94&gt;Endyr,0,VLOOKUP($A94,Tariff_Table,Tariff!$L$33))</f>
        <v>1.21</v>
      </c>
      <c r="AN94" s="1576" t="n">
        <f aca="false">VLOOKUP($A94,Curves_Table,Escalation!$Z$291)</f>
        <v>1.28273836234001</v>
      </c>
      <c r="AO94" s="1314" t="n">
        <f aca="false">AM94*AN94</f>
        <v>1.55211341843141</v>
      </c>
      <c r="AP94" s="1314" t="n">
        <f aca="false">IF($A94&gt;Endyr,0,VLOOKUP($A94,Tariff_Table,Tariff!$M$33))</f>
        <v>0.25</v>
      </c>
      <c r="AQ94" s="1314" t="n">
        <f aca="false">SUM(AO94,AP94)</f>
        <v>1.80211341843141</v>
      </c>
      <c r="AR94" s="1314" t="n">
        <f aca="false">SUM(AM94,AP94)</f>
        <v>1.46</v>
      </c>
      <c r="AS94" s="1598" t="n">
        <f aca="false">IF(AR94=0,0,AQ94/AR94)</f>
        <v>1.23432425919959</v>
      </c>
    </row>
    <row r="95" customFormat="false" ht="12.75" hidden="false" customHeight="false" outlineLevel="0" collapsed="false">
      <c r="A95" s="1538" t="n">
        <f aca="false">EDATE(A94,1)</f>
        <v>39479</v>
      </c>
      <c r="C95" s="1595" t="n">
        <f aca="false">IF($A95&gt;Endyr,0,VLOOKUP($A95,Tariff_Table,Tariff!$G$33))</f>
        <v>7433.43</v>
      </c>
      <c r="D95" s="1565" t="n">
        <f aca="false">VLOOKUP($A95,Curves_Table,Escalation!$V$291)</f>
        <v>1.30389657610682</v>
      </c>
      <c r="E95" s="1596" t="n">
        <f aca="false">C95*D95</f>
        <v>9692.42392572969</v>
      </c>
      <c r="F95" s="1565" t="n">
        <f aca="false">IF(Assm!$L$74=0,VLOOKUP($A95,Curves_Table,Escalation!$D$291),VLOOKUP($A95,Curves_Table,Escalation!$E$291))</f>
        <v>2.47340230314547</v>
      </c>
      <c r="G95" s="427" t="n">
        <f aca="false">IF($A95&lt;EE_Date,VLOOKUP($A95,Curves_Table,Escalation!$D$291),Exch)</f>
        <v>1.065</v>
      </c>
      <c r="H95" s="1596" t="n">
        <f aca="false">E95*F95/G95</f>
        <v>22510.1067239081</v>
      </c>
      <c r="I95" s="1540" t="n">
        <f aca="false">VLOOKUP($A95,Plant_Table,'Plant Operations'!$C$270)</f>
        <v>480</v>
      </c>
      <c r="J95" s="1575" t="n">
        <f aca="false">H95*I95/1000</f>
        <v>10804.8512274759</v>
      </c>
      <c r="K95" s="1565" t="n">
        <f aca="false">F95</f>
        <v>2.47340230314547</v>
      </c>
      <c r="L95" s="394" t="n">
        <f aca="false">J95/K95</f>
        <v>4368.41641723028</v>
      </c>
      <c r="M95" s="1579" t="str">
        <f aca="false">IF(MONTH($A95)=12,SUM(L84:L95)," ")</f>
        <v> </v>
      </c>
      <c r="O95" s="1597" t="n">
        <f aca="false">IF($A95&gt;Endyr,0,VLOOKUP($A95,Tariff_Table,Tariff!$H$33))</f>
        <v>6146.82</v>
      </c>
      <c r="P95" s="1565" t="n">
        <f aca="false">$AS95</f>
        <v>1.23432425919959</v>
      </c>
      <c r="Q95" s="1575" t="n">
        <f aca="false">O95*P95</f>
        <v>7587.16904293325</v>
      </c>
      <c r="R95" s="1565" t="n">
        <f aca="false">$F95</f>
        <v>2.47340230314547</v>
      </c>
      <c r="S95" s="427" t="n">
        <f aca="false">$G95</f>
        <v>1.065</v>
      </c>
      <c r="T95" s="1575" t="n">
        <f aca="false">Q95*R95/S95</f>
        <v>17620.7712536574</v>
      </c>
      <c r="U95" s="1540" t="n">
        <f aca="false">$I95</f>
        <v>480</v>
      </c>
      <c r="V95" s="1575" t="n">
        <f aca="false">T95*U95/1000</f>
        <v>8457.97020175555</v>
      </c>
      <c r="W95" s="1565" t="n">
        <f aca="false">R95</f>
        <v>2.47340230314547</v>
      </c>
      <c r="X95" s="394" t="n">
        <f aca="false">V95/W95</f>
        <v>3419.56914611076</v>
      </c>
      <c r="Y95" s="1579" t="str">
        <f aca="false">IF(MONTH($A95)=12,SUM(X84:X95)," ")</f>
        <v> </v>
      </c>
      <c r="AA95" s="1595" t="n">
        <f aca="false">IF($A95&gt;Endyr,0,VLOOKUP($A95,Tariff_Table,Tariff!$I$33))</f>
        <v>2.32</v>
      </c>
      <c r="AB95" s="1565" t="n">
        <f aca="false">$AS95</f>
        <v>1.23432425919959</v>
      </c>
      <c r="AC95" s="1596" t="n">
        <f aca="false">AA95*AB95</f>
        <v>2.86363228134306</v>
      </c>
      <c r="AD95" s="1565" t="n">
        <f aca="false">$F95</f>
        <v>2.47340230314547</v>
      </c>
      <c r="AE95" s="427" t="n">
        <f aca="false">$G95</f>
        <v>1.065</v>
      </c>
      <c r="AF95" s="1596" t="n">
        <f aca="false">AC95*AD95/AE95</f>
        <v>6.65062411270952</v>
      </c>
      <c r="AG95" s="397" t="n">
        <f aca="false">VLOOKUP($A95,Plant_Table,'Plant Operations'!$M$270)</f>
        <v>279691.776</v>
      </c>
      <c r="AH95" s="1575" t="n">
        <f aca="false">AF95*AG95/1000</f>
        <v>1860.12486959215</v>
      </c>
      <c r="AI95" s="1565" t="n">
        <f aca="false">AD95</f>
        <v>2.47340230314547</v>
      </c>
      <c r="AJ95" s="1566" t="n">
        <f aca="false">AH95/AI95</f>
        <v>752.051078478658</v>
      </c>
      <c r="AK95" s="1567" t="str">
        <f aca="false">IF(MONTH($A95)=12,SUM(AJ84:AJ95)," ")</f>
        <v> </v>
      </c>
      <c r="AM95" s="488" t="n">
        <f aca="false">IF($A95&gt;Endyr,0,VLOOKUP($A95,Tariff_Table,Tariff!$L$33))</f>
        <v>1.21</v>
      </c>
      <c r="AN95" s="1576" t="n">
        <f aca="false">VLOOKUP($A95,Curves_Table,Escalation!$Z$291)</f>
        <v>1.28273836234001</v>
      </c>
      <c r="AO95" s="1314" t="n">
        <f aca="false">AM95*AN95</f>
        <v>1.55211341843141</v>
      </c>
      <c r="AP95" s="1314" t="n">
        <f aca="false">IF($A95&gt;Endyr,0,VLOOKUP($A95,Tariff_Table,Tariff!$M$33))</f>
        <v>0.25</v>
      </c>
      <c r="AQ95" s="1314" t="n">
        <f aca="false">SUM(AO95,AP95)</f>
        <v>1.80211341843141</v>
      </c>
      <c r="AR95" s="1314" t="n">
        <f aca="false">SUM(AM95,AP95)</f>
        <v>1.46</v>
      </c>
      <c r="AS95" s="1598" t="n">
        <f aca="false">IF(AR95=0,0,AQ95/AR95)</f>
        <v>1.23432425919959</v>
      </c>
    </row>
    <row r="96" customFormat="false" ht="12.75" hidden="false" customHeight="false" outlineLevel="0" collapsed="false">
      <c r="A96" s="1538" t="n">
        <f aca="false">EDATE(A95,1)</f>
        <v>39508</v>
      </c>
      <c r="C96" s="1595" t="n">
        <f aca="false">IF($A96&gt;Endyr,0,VLOOKUP($A96,Tariff_Table,Tariff!$G$33))</f>
        <v>7433.43</v>
      </c>
      <c r="D96" s="1565" t="n">
        <f aca="false">VLOOKUP($A96,Curves_Table,Escalation!$V$291)</f>
        <v>1.30389657610682</v>
      </c>
      <c r="E96" s="1596" t="n">
        <f aca="false">C96*D96</f>
        <v>9692.42392572969</v>
      </c>
      <c r="F96" s="1565" t="n">
        <f aca="false">IF(Assm!$L$74=0,VLOOKUP($A96,Curves_Table,Escalation!$D$291),VLOOKUP($A96,Curves_Table,Escalation!$E$291))</f>
        <v>2.47863300690063</v>
      </c>
      <c r="G96" s="427" t="n">
        <f aca="false">IF($A96&lt;EE_Date,VLOOKUP($A96,Curves_Table,Escalation!$D$291),Exch)</f>
        <v>1.065</v>
      </c>
      <c r="H96" s="1596" t="n">
        <f aca="false">E96*F96/G96</f>
        <v>22557.7106659033</v>
      </c>
      <c r="I96" s="1540" t="n">
        <f aca="false">VLOOKUP($A96,Plant_Table,'Plant Operations'!$C$270)</f>
        <v>480</v>
      </c>
      <c r="J96" s="1575" t="n">
        <f aca="false">H96*I96/1000</f>
        <v>10827.7011196336</v>
      </c>
      <c r="K96" s="1565" t="n">
        <f aca="false">F96</f>
        <v>2.47863300690063</v>
      </c>
      <c r="L96" s="394" t="n">
        <f aca="false">J96/K96</f>
        <v>4368.41641723028</v>
      </c>
      <c r="M96" s="1579" t="str">
        <f aca="false">IF(MONTH($A96)=12,SUM(L85:L96)," ")</f>
        <v> </v>
      </c>
      <c r="O96" s="1597" t="n">
        <f aca="false">IF($A96&gt;Endyr,0,VLOOKUP($A96,Tariff_Table,Tariff!$H$33))</f>
        <v>6146.82</v>
      </c>
      <c r="P96" s="1565" t="n">
        <f aca="false">$AS96</f>
        <v>1.23432425919959</v>
      </c>
      <c r="Q96" s="1575" t="n">
        <f aca="false">O96*P96</f>
        <v>7587.16904293325</v>
      </c>
      <c r="R96" s="1565" t="n">
        <f aca="false">$F96</f>
        <v>2.47863300690063</v>
      </c>
      <c r="S96" s="427" t="n">
        <f aca="false">$G96</f>
        <v>1.065</v>
      </c>
      <c r="T96" s="1575" t="n">
        <f aca="false">Q96*R96/S96</f>
        <v>17658.035322769</v>
      </c>
      <c r="U96" s="1540" t="n">
        <f aca="false">$I96</f>
        <v>480</v>
      </c>
      <c r="V96" s="1575" t="n">
        <f aca="false">T96*U96/1000</f>
        <v>8475.85695492912</v>
      </c>
      <c r="W96" s="1565" t="n">
        <f aca="false">R96</f>
        <v>2.47863300690063</v>
      </c>
      <c r="X96" s="394" t="n">
        <f aca="false">V96/W96</f>
        <v>3419.56914611076</v>
      </c>
      <c r="Y96" s="1579" t="str">
        <f aca="false">IF(MONTH($A96)=12,SUM(X85:X96)," ")</f>
        <v> </v>
      </c>
      <c r="AA96" s="1595" t="n">
        <f aca="false">IF($A96&gt;Endyr,0,VLOOKUP($A96,Tariff_Table,Tariff!$I$33))</f>
        <v>2.32</v>
      </c>
      <c r="AB96" s="1565" t="n">
        <f aca="false">$AS96</f>
        <v>1.23432425919959</v>
      </c>
      <c r="AC96" s="1596" t="n">
        <f aca="false">AA96*AB96</f>
        <v>2.86363228134306</v>
      </c>
      <c r="AD96" s="1565" t="n">
        <f aca="false">$F96</f>
        <v>2.47863300690063</v>
      </c>
      <c r="AE96" s="427" t="n">
        <f aca="false">$G96</f>
        <v>1.065</v>
      </c>
      <c r="AF96" s="1596" t="n">
        <f aca="false">AC96*AD96/AE96</f>
        <v>6.66468872503573</v>
      </c>
      <c r="AG96" s="397" t="n">
        <f aca="false">VLOOKUP($A96,Plant_Table,'Plant Operations'!$M$270)</f>
        <v>298980.864</v>
      </c>
      <c r="AH96" s="1575" t="n">
        <f aca="false">AF96*AG96/1000</f>
        <v>1992.61439330224</v>
      </c>
      <c r="AI96" s="1565" t="n">
        <f aca="false">AD96</f>
        <v>2.47863300690063</v>
      </c>
      <c r="AJ96" s="1566" t="n">
        <f aca="false">AH96/AI96</f>
        <v>803.916670097876</v>
      </c>
      <c r="AK96" s="1567" t="str">
        <f aca="false">IF(MONTH($A96)=12,SUM(AJ85:AJ96)," ")</f>
        <v> </v>
      </c>
      <c r="AM96" s="488" t="n">
        <f aca="false">IF($A96&gt;Endyr,0,VLOOKUP($A96,Tariff_Table,Tariff!$L$33))</f>
        <v>1.21</v>
      </c>
      <c r="AN96" s="1576" t="n">
        <f aca="false">VLOOKUP($A96,Curves_Table,Escalation!$Z$291)</f>
        <v>1.28273836234001</v>
      </c>
      <c r="AO96" s="1314" t="n">
        <f aca="false">AM96*AN96</f>
        <v>1.55211341843141</v>
      </c>
      <c r="AP96" s="1314" t="n">
        <f aca="false">IF($A96&gt;Endyr,0,VLOOKUP($A96,Tariff_Table,Tariff!$M$33))</f>
        <v>0.25</v>
      </c>
      <c r="AQ96" s="1314" t="n">
        <f aca="false">SUM(AO96,AP96)</f>
        <v>1.80211341843141</v>
      </c>
      <c r="AR96" s="1314" t="n">
        <f aca="false">SUM(AM96,AP96)</f>
        <v>1.46</v>
      </c>
      <c r="AS96" s="1598" t="n">
        <f aca="false">IF(AR96=0,0,AQ96/AR96)</f>
        <v>1.23432425919959</v>
      </c>
    </row>
    <row r="97" customFormat="false" ht="12.75" hidden="false" customHeight="false" outlineLevel="0" collapsed="false">
      <c r="A97" s="1538" t="n">
        <f aca="false">EDATE(A96,1)</f>
        <v>39539</v>
      </c>
      <c r="C97" s="1595" t="n">
        <f aca="false">IF($A97&gt;Endyr,0,VLOOKUP($A97,Tariff_Table,Tariff!$G$33))</f>
        <v>7433.43</v>
      </c>
      <c r="D97" s="1565" t="n">
        <f aca="false">VLOOKUP($A97,Curves_Table,Escalation!$V$291)</f>
        <v>1.30389657610682</v>
      </c>
      <c r="E97" s="1596" t="n">
        <f aca="false">C97*D97</f>
        <v>9692.42392572969</v>
      </c>
      <c r="F97" s="1565" t="n">
        <f aca="false">IF(Assm!$L$74=0,VLOOKUP($A97,Curves_Table,Escalation!$D$291),VLOOKUP($A97,Curves_Table,Escalation!$E$291))</f>
        <v>2.48387477244777</v>
      </c>
      <c r="G97" s="427" t="n">
        <f aca="false">IF($A97&lt;EE_Date,VLOOKUP($A97,Curves_Table,Escalation!$D$291),Exch)</f>
        <v>1.065</v>
      </c>
      <c r="H97" s="1596" t="n">
        <f aca="false">E97*F97/G97</f>
        <v>22605.415279802</v>
      </c>
      <c r="I97" s="1540" t="n">
        <f aca="false">VLOOKUP($A97,Plant_Table,'Plant Operations'!$C$270)</f>
        <v>480</v>
      </c>
      <c r="J97" s="1575" t="n">
        <f aca="false">H97*I97/1000</f>
        <v>10850.599334305</v>
      </c>
      <c r="K97" s="1565" t="n">
        <f aca="false">F97</f>
        <v>2.48387477244777</v>
      </c>
      <c r="L97" s="394" t="n">
        <f aca="false">J97/K97</f>
        <v>4368.41641723028</v>
      </c>
      <c r="M97" s="1579" t="str">
        <f aca="false">IF(MONTH($A97)=12,SUM(L86:L97)," ")</f>
        <v> </v>
      </c>
      <c r="O97" s="1597" t="n">
        <f aca="false">IF($A97&gt;Endyr,0,VLOOKUP($A97,Tariff_Table,Tariff!$H$33))</f>
        <v>6146.82</v>
      </c>
      <c r="P97" s="1565" t="n">
        <f aca="false">$AS97</f>
        <v>1.23432425919959</v>
      </c>
      <c r="Q97" s="1575" t="n">
        <f aca="false">O97*P97</f>
        <v>7587.16904293325</v>
      </c>
      <c r="R97" s="1565" t="n">
        <f aca="false">$F97</f>
        <v>2.48387477244777</v>
      </c>
      <c r="S97" s="427" t="n">
        <f aca="false">$G97</f>
        <v>1.065</v>
      </c>
      <c r="T97" s="1575" t="n">
        <f aca="false">Q97*R97/S97</f>
        <v>17695.3781972193</v>
      </c>
      <c r="U97" s="1540" t="n">
        <f aca="false">$I97</f>
        <v>480</v>
      </c>
      <c r="V97" s="1575" t="n">
        <f aca="false">T97*U97/1000</f>
        <v>8493.78153466528</v>
      </c>
      <c r="W97" s="1565" t="n">
        <f aca="false">R97</f>
        <v>2.48387477244777</v>
      </c>
      <c r="X97" s="394" t="n">
        <f aca="false">V97/W97</f>
        <v>3419.56914611076</v>
      </c>
      <c r="Y97" s="1579" t="str">
        <f aca="false">IF(MONTH($A97)=12,SUM(X86:X97)," ")</f>
        <v> </v>
      </c>
      <c r="AA97" s="1595" t="n">
        <f aca="false">IF($A97&gt;Endyr,0,VLOOKUP($A97,Tariff_Table,Tariff!$I$33))</f>
        <v>2.32</v>
      </c>
      <c r="AB97" s="1565" t="n">
        <f aca="false">$AS97</f>
        <v>1.23432425919959</v>
      </c>
      <c r="AC97" s="1596" t="n">
        <f aca="false">AA97*AB97</f>
        <v>2.86363228134306</v>
      </c>
      <c r="AD97" s="1565" t="n">
        <f aca="false">$F97</f>
        <v>2.48387477244777</v>
      </c>
      <c r="AE97" s="427" t="n">
        <f aca="false">$G97</f>
        <v>1.065</v>
      </c>
      <c r="AF97" s="1596" t="n">
        <f aca="false">AC97*AD97/AE97</f>
        <v>6.67878308093434</v>
      </c>
      <c r="AG97" s="397" t="n">
        <f aca="false">VLOOKUP($A97,Plant_Table,'Plant Operations'!$M$270)</f>
        <v>289336.32</v>
      </c>
      <c r="AH97" s="1575" t="n">
        <f aca="false">AF97*AG97/1000</f>
        <v>1932.41451871581</v>
      </c>
      <c r="AI97" s="1565" t="n">
        <f aca="false">AD97</f>
        <v>2.48387477244777</v>
      </c>
      <c r="AJ97" s="1566" t="n">
        <f aca="false">AH97/AI97</f>
        <v>777.983874288267</v>
      </c>
      <c r="AK97" s="1567" t="str">
        <f aca="false">IF(MONTH($A97)=12,SUM(AJ86:AJ97)," ")</f>
        <v> </v>
      </c>
      <c r="AM97" s="488" t="n">
        <f aca="false">IF($A97&gt;Endyr,0,VLOOKUP($A97,Tariff_Table,Tariff!$L$33))</f>
        <v>1.21</v>
      </c>
      <c r="AN97" s="1576" t="n">
        <f aca="false">VLOOKUP($A97,Curves_Table,Escalation!$Z$291)</f>
        <v>1.28273836234001</v>
      </c>
      <c r="AO97" s="1314" t="n">
        <f aca="false">AM97*AN97</f>
        <v>1.55211341843141</v>
      </c>
      <c r="AP97" s="1314" t="n">
        <f aca="false">IF($A97&gt;Endyr,0,VLOOKUP($A97,Tariff_Table,Tariff!$M$33))</f>
        <v>0.25</v>
      </c>
      <c r="AQ97" s="1314" t="n">
        <f aca="false">SUM(AO97,AP97)</f>
        <v>1.80211341843141</v>
      </c>
      <c r="AR97" s="1314" t="n">
        <f aca="false">SUM(AM97,AP97)</f>
        <v>1.46</v>
      </c>
      <c r="AS97" s="1598" t="n">
        <f aca="false">IF(AR97=0,0,AQ97/AR97)</f>
        <v>1.23432425919959</v>
      </c>
    </row>
    <row r="98" customFormat="false" ht="12.75" hidden="false" customHeight="false" outlineLevel="0" collapsed="false">
      <c r="A98" s="1538" t="n">
        <f aca="false">EDATE(A97,1)</f>
        <v>39569</v>
      </c>
      <c r="C98" s="1595" t="n">
        <f aca="false">IF($A98&gt;Endyr,0,VLOOKUP($A98,Tariff_Table,Tariff!$G$33))</f>
        <v>7424.62</v>
      </c>
      <c r="D98" s="1565" t="n">
        <f aca="false">VLOOKUP($A98,Curves_Table,Escalation!$V$291)</f>
        <v>1.33877978058913</v>
      </c>
      <c r="E98" s="1596" t="n">
        <f aca="false">C98*D98</f>
        <v>9939.93113455764</v>
      </c>
      <c r="F98" s="1565" t="n">
        <f aca="false">IF(Assm!$L$74=0,VLOOKUP($A98,Curves_Table,Escalation!$D$291),VLOOKUP($A98,Curves_Table,Escalation!$E$291))</f>
        <v>2.48912762318016</v>
      </c>
      <c r="G98" s="427" t="n">
        <f aca="false">IF($A98&lt;EE_Date,VLOOKUP($A98,Curves_Table,Escalation!$D$291),Exch)</f>
        <v>1.065</v>
      </c>
      <c r="H98" s="1596" t="n">
        <f aca="false">E98*F98/G98</f>
        <v>23231.696863414</v>
      </c>
      <c r="I98" s="1540" t="n">
        <f aca="false">VLOOKUP($A98,Plant_Table,'Plant Operations'!$C$270)</f>
        <v>480</v>
      </c>
      <c r="J98" s="1575" t="n">
        <f aca="false">H98*I98/1000</f>
        <v>11151.2144944387</v>
      </c>
      <c r="K98" s="1565" t="n">
        <f aca="false">F98</f>
        <v>2.48912762318016</v>
      </c>
      <c r="L98" s="394" t="n">
        <f aca="false">J98/K98</f>
        <v>4479.96896205415</v>
      </c>
      <c r="M98" s="1579" t="str">
        <f aca="false">IF(MONTH($A98)=12,SUM(L87:L98)," ")</f>
        <v> </v>
      </c>
      <c r="O98" s="1597" t="n">
        <f aca="false">IF($A98&gt;Endyr,0,VLOOKUP($A98,Tariff_Table,Tariff!$H$33))</f>
        <v>6118.02</v>
      </c>
      <c r="P98" s="1565" t="n">
        <f aca="false">$AS98</f>
        <v>1.26010746291409</v>
      </c>
      <c r="Q98" s="1575" t="n">
        <f aca="false">O98*P98</f>
        <v>7709.36266025768</v>
      </c>
      <c r="R98" s="1565" t="n">
        <f aca="false">$F98</f>
        <v>2.48912762318016</v>
      </c>
      <c r="S98" s="427" t="n">
        <f aca="false">$G98</f>
        <v>1.065</v>
      </c>
      <c r="T98" s="1575" t="n">
        <f aca="false">Q98*R98/S98</f>
        <v>18018.3920701982</v>
      </c>
      <c r="U98" s="1540" t="n">
        <f aca="false">$I98</f>
        <v>480</v>
      </c>
      <c r="V98" s="1575" t="n">
        <f aca="false">T98*U98/1000</f>
        <v>8648.82819369515</v>
      </c>
      <c r="W98" s="1565" t="n">
        <f aca="false">R98</f>
        <v>2.48912762318016</v>
      </c>
      <c r="X98" s="394" t="n">
        <f aca="false">V98/W98</f>
        <v>3474.64232574994</v>
      </c>
      <c r="Y98" s="1579" t="str">
        <f aca="false">IF(MONTH($A98)=12,SUM(X87:X98)," ")</f>
        <v> </v>
      </c>
      <c r="AA98" s="1595" t="n">
        <f aca="false">IF($A98&gt;Endyr,0,VLOOKUP($A98,Tariff_Table,Tariff!$I$33))</f>
        <v>2.31</v>
      </c>
      <c r="AB98" s="1565" t="n">
        <f aca="false">$AS98</f>
        <v>1.26010746291409</v>
      </c>
      <c r="AC98" s="1596" t="n">
        <f aca="false">AA98*AB98</f>
        <v>2.91084823933156</v>
      </c>
      <c r="AD98" s="1565" t="n">
        <f aca="false">$F98</f>
        <v>2.48912762318016</v>
      </c>
      <c r="AE98" s="427" t="n">
        <f aca="false">$G98</f>
        <v>1.065</v>
      </c>
      <c r="AF98" s="1596" t="n">
        <f aca="false">AC98*AD98/AE98</f>
        <v>6.80326080695354</v>
      </c>
      <c r="AG98" s="397" t="n">
        <f aca="false">VLOOKUP($A98,Plant_Table,'Plant Operations'!$M$270)</f>
        <v>298980.864</v>
      </c>
      <c r="AH98" s="1575" t="n">
        <f aca="false">AF98*AG98/1000</f>
        <v>2034.04479408031</v>
      </c>
      <c r="AI98" s="1565" t="n">
        <f aca="false">AD98</f>
        <v>2.48912762318016</v>
      </c>
      <c r="AJ98" s="1566" t="n">
        <f aca="false">AH98/AI98</f>
        <v>817.171757341059</v>
      </c>
      <c r="AK98" s="1567" t="str">
        <f aca="false">IF(MONTH($A98)=12,SUM(AJ87:AJ98)," ")</f>
        <v> </v>
      </c>
      <c r="AM98" s="488" t="n">
        <f aca="false">IF($A98&gt;Endyr,0,VLOOKUP($A98,Tariff_Table,Tariff!$L$33))</f>
        <v>1.21</v>
      </c>
      <c r="AN98" s="1576" t="n">
        <f aca="false">VLOOKUP($A98,Curves_Table,Escalation!$Z$291)</f>
        <v>1.31384867425998</v>
      </c>
      <c r="AO98" s="1314" t="n">
        <f aca="false">AM98*AN98</f>
        <v>1.58975689585458</v>
      </c>
      <c r="AP98" s="1314" t="n">
        <f aca="false">IF($A98&gt;Endyr,0,VLOOKUP($A98,Tariff_Table,Tariff!$M$33))</f>
        <v>0.25</v>
      </c>
      <c r="AQ98" s="1314" t="n">
        <f aca="false">SUM(AO98,AP98)</f>
        <v>1.83975689585458</v>
      </c>
      <c r="AR98" s="1314" t="n">
        <f aca="false">SUM(AM98,AP98)</f>
        <v>1.46</v>
      </c>
      <c r="AS98" s="1598" t="n">
        <f aca="false">IF(AR98=0,0,AQ98/AR98)</f>
        <v>1.26010746291409</v>
      </c>
    </row>
    <row r="99" customFormat="false" ht="12.75" hidden="false" customHeight="false" outlineLevel="0" collapsed="false">
      <c r="A99" s="1538" t="n">
        <f aca="false">EDATE(A98,1)</f>
        <v>39600</v>
      </c>
      <c r="C99" s="1595" t="n">
        <f aca="false">IF($A99&gt;Endyr,0,VLOOKUP($A99,Tariff_Table,Tariff!$G$33))</f>
        <v>7424.62</v>
      </c>
      <c r="D99" s="1565" t="n">
        <f aca="false">VLOOKUP($A99,Curves_Table,Escalation!$V$291)</f>
        <v>1.33877978058913</v>
      </c>
      <c r="E99" s="1596" t="n">
        <f aca="false">C99*D99</f>
        <v>9939.93113455764</v>
      </c>
      <c r="F99" s="1565" t="n">
        <f aca="false">IF(Assm!$L$74=0,VLOOKUP($A99,Curves_Table,Escalation!$D$291),VLOOKUP($A99,Curves_Table,Escalation!$E$291))</f>
        <v>2.49439158254055</v>
      </c>
      <c r="G99" s="427" t="n">
        <f aca="false">IF($A99&lt;EE_Date,VLOOKUP($A99,Curves_Table,Escalation!$D$291),Exch)</f>
        <v>1.065</v>
      </c>
      <c r="H99" s="1596" t="n">
        <f aca="false">E99*F99/G99</f>
        <v>23280.8268103974</v>
      </c>
      <c r="I99" s="1540" t="n">
        <f aca="false">VLOOKUP($A99,Plant_Table,'Plant Operations'!$C$270)</f>
        <v>480</v>
      </c>
      <c r="J99" s="1575" t="n">
        <f aca="false">H99*I99/1000</f>
        <v>11174.7968689908</v>
      </c>
      <c r="K99" s="1565" t="n">
        <f aca="false">F99</f>
        <v>2.49439158254055</v>
      </c>
      <c r="L99" s="394" t="n">
        <f aca="false">J99/K99</f>
        <v>4479.96896205415</v>
      </c>
      <c r="M99" s="1579" t="str">
        <f aca="false">IF(MONTH($A99)=12,SUM(L88:L99)," ")</f>
        <v> </v>
      </c>
      <c r="O99" s="1597" t="n">
        <f aca="false">IF($A99&gt;Endyr,0,VLOOKUP($A99,Tariff_Table,Tariff!$H$33))</f>
        <v>6118.02</v>
      </c>
      <c r="P99" s="1565" t="n">
        <f aca="false">$AS99</f>
        <v>1.26010746291409</v>
      </c>
      <c r="Q99" s="1575" t="n">
        <f aca="false">O99*P99</f>
        <v>7709.36266025768</v>
      </c>
      <c r="R99" s="1565" t="n">
        <f aca="false">$F99</f>
        <v>2.49439158254055</v>
      </c>
      <c r="S99" s="427" t="n">
        <f aca="false">$G99</f>
        <v>1.065</v>
      </c>
      <c r="T99" s="1575" t="n">
        <f aca="false">Q99*R99/S99</f>
        <v>18056.497020187</v>
      </c>
      <c r="U99" s="1540" t="n">
        <f aca="false">$I99</f>
        <v>480</v>
      </c>
      <c r="V99" s="1575" t="n">
        <f aca="false">T99*U99/1000</f>
        <v>8667.11856968976</v>
      </c>
      <c r="W99" s="1565" t="n">
        <f aca="false">R99</f>
        <v>2.49439158254055</v>
      </c>
      <c r="X99" s="394" t="n">
        <f aca="false">V99/W99</f>
        <v>3474.64232574994</v>
      </c>
      <c r="Y99" s="1579" t="str">
        <f aca="false">IF(MONTH($A99)=12,SUM(X88:X99)," ")</f>
        <v> </v>
      </c>
      <c r="AA99" s="1595" t="n">
        <f aca="false">IF($A99&gt;Endyr,0,VLOOKUP($A99,Tariff_Table,Tariff!$I$33))</f>
        <v>2.31</v>
      </c>
      <c r="AB99" s="1565" t="n">
        <f aca="false">$AS99</f>
        <v>1.26010746291409</v>
      </c>
      <c r="AC99" s="1596" t="n">
        <f aca="false">AA99*AB99</f>
        <v>2.91084823933156</v>
      </c>
      <c r="AD99" s="1565" t="n">
        <f aca="false">$F99</f>
        <v>2.49439158254055</v>
      </c>
      <c r="AE99" s="427" t="n">
        <f aca="false">$G99</f>
        <v>1.065</v>
      </c>
      <c r="AF99" s="1596" t="n">
        <f aca="false">AC99*AD99/AE99</f>
        <v>6.81764821243343</v>
      </c>
      <c r="AG99" s="397" t="n">
        <f aca="false">VLOOKUP($A99,Plant_Table,'Plant Operations'!$M$270)</f>
        <v>289336.32</v>
      </c>
      <c r="AH99" s="1575" t="n">
        <f aca="false">AF99*AG99/1000</f>
        <v>1972.59324484007</v>
      </c>
      <c r="AI99" s="1565" t="n">
        <f aca="false">AD99</f>
        <v>2.49439158254055</v>
      </c>
      <c r="AJ99" s="1566" t="n">
        <f aca="false">AH99/AI99</f>
        <v>790.811378071992</v>
      </c>
      <c r="AK99" s="1567" t="str">
        <f aca="false">IF(MONTH($A99)=12,SUM(AJ88:AJ99)," ")</f>
        <v> </v>
      </c>
      <c r="AM99" s="488" t="n">
        <f aca="false">IF($A99&gt;Endyr,0,VLOOKUP($A99,Tariff_Table,Tariff!$L$33))</f>
        <v>1.21</v>
      </c>
      <c r="AN99" s="1576" t="n">
        <f aca="false">VLOOKUP($A99,Curves_Table,Escalation!$Z$291)</f>
        <v>1.31384867425998</v>
      </c>
      <c r="AO99" s="1314" t="n">
        <f aca="false">AM99*AN99</f>
        <v>1.58975689585458</v>
      </c>
      <c r="AP99" s="1314" t="n">
        <f aca="false">IF($A99&gt;Endyr,0,VLOOKUP($A99,Tariff_Table,Tariff!$M$33))</f>
        <v>0.25</v>
      </c>
      <c r="AQ99" s="1314" t="n">
        <f aca="false">SUM(AO99,AP99)</f>
        <v>1.83975689585458</v>
      </c>
      <c r="AR99" s="1314" t="n">
        <f aca="false">SUM(AM99,AP99)</f>
        <v>1.46</v>
      </c>
      <c r="AS99" s="1598" t="n">
        <f aca="false">IF(AR99=0,0,AQ99/AR99)</f>
        <v>1.26010746291409</v>
      </c>
    </row>
    <row r="100" customFormat="false" ht="12.75" hidden="false" customHeight="false" outlineLevel="0" collapsed="false">
      <c r="A100" s="1538" t="n">
        <f aca="false">EDATE(A99,1)</f>
        <v>39630</v>
      </c>
      <c r="C100" s="1595" t="n">
        <f aca="false">IF($A100&gt;Endyr,0,VLOOKUP($A100,Tariff_Table,Tariff!$G$33))</f>
        <v>7424.62</v>
      </c>
      <c r="D100" s="1565" t="n">
        <f aca="false">VLOOKUP($A100,Curves_Table,Escalation!$V$291)</f>
        <v>1.33877978058913</v>
      </c>
      <c r="E100" s="1596" t="n">
        <f aca="false">C100*D100</f>
        <v>9939.93113455764</v>
      </c>
      <c r="F100" s="1565" t="n">
        <f aca="false">IF(Assm!$L$74=0,VLOOKUP($A100,Curves_Table,Escalation!$D$291),VLOOKUP($A100,Curves_Table,Escalation!$E$291))</f>
        <v>2.49966667402123</v>
      </c>
      <c r="G100" s="427" t="n">
        <f aca="false">IF($A100&lt;EE_Date,VLOOKUP($A100,Curves_Table,Escalation!$D$291),Exch)</f>
        <v>1.065</v>
      </c>
      <c r="H100" s="1596" t="n">
        <f aca="false">E100*F100/G100</f>
        <v>23330.0606564505</v>
      </c>
      <c r="I100" s="1540" t="n">
        <f aca="false">VLOOKUP($A100,Plant_Table,'Plant Operations'!$C$270)</f>
        <v>480</v>
      </c>
      <c r="J100" s="1575" t="n">
        <f aca="false">H100*I100/1000</f>
        <v>11198.4291150962</v>
      </c>
      <c r="K100" s="1565" t="n">
        <f aca="false">F100</f>
        <v>2.49966667402123</v>
      </c>
      <c r="L100" s="394" t="n">
        <f aca="false">J100/K100</f>
        <v>4479.96896205415</v>
      </c>
      <c r="M100" s="1579" t="str">
        <f aca="false">IF(MONTH($A100)=12,SUM(L89:L100)," ")</f>
        <v> </v>
      </c>
      <c r="O100" s="1597" t="n">
        <f aca="false">IF($A100&gt;Endyr,0,VLOOKUP($A100,Tariff_Table,Tariff!$H$33))</f>
        <v>6118.02</v>
      </c>
      <c r="P100" s="1565" t="n">
        <f aca="false">$AS100</f>
        <v>1.26010746291409</v>
      </c>
      <c r="Q100" s="1575" t="n">
        <f aca="false">O100*P100</f>
        <v>7709.36266025768</v>
      </c>
      <c r="R100" s="1565" t="n">
        <f aca="false">$F100</f>
        <v>2.49966667402123</v>
      </c>
      <c r="S100" s="427" t="n">
        <f aca="false">$G100</f>
        <v>1.065</v>
      </c>
      <c r="T100" s="1575" t="n">
        <f aca="false">Q100*R100/S100</f>
        <v>18094.6825537932</v>
      </c>
      <c r="U100" s="1540" t="n">
        <f aca="false">$I100</f>
        <v>480</v>
      </c>
      <c r="V100" s="1575" t="n">
        <f aca="false">T100*U100/1000</f>
        <v>8685.44762582074</v>
      </c>
      <c r="W100" s="1565" t="n">
        <f aca="false">R100</f>
        <v>2.49966667402123</v>
      </c>
      <c r="X100" s="394" t="n">
        <f aca="false">V100/W100</f>
        <v>3474.64232574994</v>
      </c>
      <c r="Y100" s="1579" t="str">
        <f aca="false">IF(MONTH($A100)=12,SUM(X89:X100)," ")</f>
        <v> </v>
      </c>
      <c r="AA100" s="1595" t="n">
        <f aca="false">IF($A100&gt;Endyr,0,VLOOKUP($A100,Tariff_Table,Tariff!$I$33))</f>
        <v>2.31</v>
      </c>
      <c r="AB100" s="1565" t="n">
        <f aca="false">$AS100</f>
        <v>1.26010746291409</v>
      </c>
      <c r="AC100" s="1596" t="n">
        <f aca="false">AA100*AB100</f>
        <v>2.91084823933156</v>
      </c>
      <c r="AD100" s="1565" t="n">
        <f aca="false">$F100</f>
        <v>2.49966667402123</v>
      </c>
      <c r="AE100" s="427" t="n">
        <f aca="false">$G100</f>
        <v>1.065</v>
      </c>
      <c r="AF100" s="1596" t="n">
        <f aca="false">AC100*AD100/AE100</f>
        <v>6.8320660441225</v>
      </c>
      <c r="AG100" s="397" t="n">
        <f aca="false">VLOOKUP($A100,Plant_Table,'Plant Operations'!$M$270)</f>
        <v>298980.864</v>
      </c>
      <c r="AH100" s="1575" t="n">
        <f aca="false">AF100*AG100/1000</f>
        <v>2042.65700877681</v>
      </c>
      <c r="AI100" s="1565" t="n">
        <f aca="false">AD100</f>
        <v>2.49966667402123</v>
      </c>
      <c r="AJ100" s="1566" t="n">
        <f aca="false">AH100/AI100</f>
        <v>817.171757341059</v>
      </c>
      <c r="AK100" s="1567" t="str">
        <f aca="false">IF(MONTH($A100)=12,SUM(AJ89:AJ100)," ")</f>
        <v> </v>
      </c>
      <c r="AM100" s="488" t="n">
        <f aca="false">IF($A100&gt;Endyr,0,VLOOKUP($A100,Tariff_Table,Tariff!$L$33))</f>
        <v>1.21</v>
      </c>
      <c r="AN100" s="1576" t="n">
        <f aca="false">VLOOKUP($A100,Curves_Table,Escalation!$Z$291)</f>
        <v>1.31384867425998</v>
      </c>
      <c r="AO100" s="1314" t="n">
        <f aca="false">AM100*AN100</f>
        <v>1.58975689585458</v>
      </c>
      <c r="AP100" s="1314" t="n">
        <f aca="false">IF($A100&gt;Endyr,0,VLOOKUP($A100,Tariff_Table,Tariff!$M$33))</f>
        <v>0.25</v>
      </c>
      <c r="AQ100" s="1314" t="n">
        <f aca="false">SUM(AO100,AP100)</f>
        <v>1.83975689585458</v>
      </c>
      <c r="AR100" s="1314" t="n">
        <f aca="false">SUM(AM100,AP100)</f>
        <v>1.46</v>
      </c>
      <c r="AS100" s="1598" t="n">
        <f aca="false">IF(AR100=0,0,AQ100/AR100)</f>
        <v>1.26010746291409</v>
      </c>
    </row>
    <row r="101" customFormat="false" ht="12.75" hidden="false" customHeight="false" outlineLevel="0" collapsed="false">
      <c r="A101" s="1538" t="n">
        <f aca="false">EDATE(A100,1)</f>
        <v>39661</v>
      </c>
      <c r="C101" s="1595" t="n">
        <f aca="false">IF($A101&gt;Endyr,0,VLOOKUP($A101,Tariff_Table,Tariff!$G$33))</f>
        <v>7424.62</v>
      </c>
      <c r="D101" s="1565" t="n">
        <f aca="false">VLOOKUP($A101,Curves_Table,Escalation!$V$291)</f>
        <v>1.33877978058913</v>
      </c>
      <c r="E101" s="1596" t="n">
        <f aca="false">C101*D101</f>
        <v>9939.93113455764</v>
      </c>
      <c r="F101" s="1565" t="n">
        <f aca="false">IF(Assm!$L$74=0,VLOOKUP($A101,Curves_Table,Escalation!$D$291),VLOOKUP($A101,Curves_Table,Escalation!$E$291))</f>
        <v>2.50495292116421</v>
      </c>
      <c r="G101" s="427" t="n">
        <f aca="false">IF($A101&lt;EE_Date,VLOOKUP($A101,Curves_Table,Escalation!$D$291),Exch)</f>
        <v>1.065</v>
      </c>
      <c r="H101" s="1596" t="n">
        <f aca="false">E101*F101/G101</f>
        <v>23379.3986212969</v>
      </c>
      <c r="I101" s="1540" t="n">
        <f aca="false">VLOOKUP($A101,Plant_Table,'Plant Operations'!$C$270)</f>
        <v>480</v>
      </c>
      <c r="J101" s="1575" t="n">
        <f aca="false">H101*I101/1000</f>
        <v>11222.1113382225</v>
      </c>
      <c r="K101" s="1565" t="n">
        <f aca="false">F101</f>
        <v>2.50495292116421</v>
      </c>
      <c r="L101" s="394" t="n">
        <f aca="false">J101/K101</f>
        <v>4479.96896205415</v>
      </c>
      <c r="M101" s="1579" t="str">
        <f aca="false">IF(MONTH($A101)=12,SUM(L90:L101)," ")</f>
        <v> </v>
      </c>
      <c r="O101" s="1597" t="n">
        <f aca="false">IF($A101&gt;Endyr,0,VLOOKUP($A101,Tariff_Table,Tariff!$H$33))</f>
        <v>6118.02</v>
      </c>
      <c r="P101" s="1565" t="n">
        <f aca="false">$AS101</f>
        <v>1.26010746291409</v>
      </c>
      <c r="Q101" s="1575" t="n">
        <f aca="false">O101*P101</f>
        <v>7709.36266025768</v>
      </c>
      <c r="R101" s="1565" t="n">
        <f aca="false">$F101</f>
        <v>2.50495292116421</v>
      </c>
      <c r="S101" s="427" t="n">
        <f aca="false">$G101</f>
        <v>1.065</v>
      </c>
      <c r="T101" s="1575" t="n">
        <f aca="false">Q101*R101/S101</f>
        <v>18132.9488414336</v>
      </c>
      <c r="U101" s="1540" t="n">
        <f aca="false">$I101</f>
        <v>480</v>
      </c>
      <c r="V101" s="1575" t="n">
        <f aca="false">T101*U101/1000</f>
        <v>8703.81544388812</v>
      </c>
      <c r="W101" s="1565" t="n">
        <f aca="false">R101</f>
        <v>2.50495292116421</v>
      </c>
      <c r="X101" s="394" t="n">
        <f aca="false">V101/W101</f>
        <v>3474.64232574994</v>
      </c>
      <c r="Y101" s="1579" t="str">
        <f aca="false">IF(MONTH($A101)=12,SUM(X90:X101)," ")</f>
        <v> </v>
      </c>
      <c r="AA101" s="1595" t="n">
        <f aca="false">IF($A101&gt;Endyr,0,VLOOKUP($A101,Tariff_Table,Tariff!$I$33))</f>
        <v>2.31</v>
      </c>
      <c r="AB101" s="1565" t="n">
        <f aca="false">$AS101</f>
        <v>1.26010746291409</v>
      </c>
      <c r="AC101" s="1596" t="n">
        <f aca="false">AA101*AB101</f>
        <v>2.91084823933156</v>
      </c>
      <c r="AD101" s="1565" t="n">
        <f aca="false">$F101</f>
        <v>2.50495292116421</v>
      </c>
      <c r="AE101" s="427" t="n">
        <f aca="false">$G101</f>
        <v>1.065</v>
      </c>
      <c r="AF101" s="1596" t="n">
        <f aca="false">AC101*AD101/AE101</f>
        <v>6.84651436636552</v>
      </c>
      <c r="AG101" s="397" t="n">
        <f aca="false">VLOOKUP($A101,Plant_Table,'Plant Operations'!$M$270)</f>
        <v>298980.864</v>
      </c>
      <c r="AH101" s="1575" t="n">
        <f aca="false">AF101*AG101/1000</f>
        <v>2046.97678064437</v>
      </c>
      <c r="AI101" s="1565" t="n">
        <f aca="false">AD101</f>
        <v>2.50495292116421</v>
      </c>
      <c r="AJ101" s="1566" t="n">
        <f aca="false">AH101/AI101</f>
        <v>817.171757341059</v>
      </c>
      <c r="AK101" s="1567" t="str">
        <f aca="false">IF(MONTH($A101)=12,SUM(AJ90:AJ101)," ")</f>
        <v> </v>
      </c>
      <c r="AM101" s="488" t="n">
        <f aca="false">IF($A101&gt;Endyr,0,VLOOKUP($A101,Tariff_Table,Tariff!$L$33))</f>
        <v>1.21</v>
      </c>
      <c r="AN101" s="1576" t="n">
        <f aca="false">VLOOKUP($A101,Curves_Table,Escalation!$Z$291)</f>
        <v>1.31384867425998</v>
      </c>
      <c r="AO101" s="1314" t="n">
        <f aca="false">AM101*AN101</f>
        <v>1.58975689585458</v>
      </c>
      <c r="AP101" s="1314" t="n">
        <f aca="false">IF($A101&gt;Endyr,0,VLOOKUP($A101,Tariff_Table,Tariff!$M$33))</f>
        <v>0.25</v>
      </c>
      <c r="AQ101" s="1314" t="n">
        <f aca="false">SUM(AO101,AP101)</f>
        <v>1.83975689585458</v>
      </c>
      <c r="AR101" s="1314" t="n">
        <f aca="false">SUM(AM101,AP101)</f>
        <v>1.46</v>
      </c>
      <c r="AS101" s="1598" t="n">
        <f aca="false">IF(AR101=0,0,AQ101/AR101)</f>
        <v>1.26010746291409</v>
      </c>
    </row>
    <row r="102" customFormat="false" ht="12.75" hidden="false" customHeight="false" outlineLevel="0" collapsed="false">
      <c r="A102" s="1538" t="n">
        <f aca="false">EDATE(A101,1)</f>
        <v>39692</v>
      </c>
      <c r="C102" s="1595" t="n">
        <f aca="false">IF($A102&gt;Endyr,0,VLOOKUP($A102,Tariff_Table,Tariff!$G$33))</f>
        <v>7424.62</v>
      </c>
      <c r="D102" s="1565" t="n">
        <f aca="false">VLOOKUP($A102,Curves_Table,Escalation!$V$291)</f>
        <v>1.33877978058913</v>
      </c>
      <c r="E102" s="1596" t="n">
        <f aca="false">C102*D102</f>
        <v>9939.93113455764</v>
      </c>
      <c r="F102" s="1565" t="n">
        <f aca="false">IF(Assm!$L$74=0,VLOOKUP($A102,Curves_Table,Escalation!$D$291),VLOOKUP($A102,Curves_Table,Escalation!$E$291))</f>
        <v>2.51025034756126</v>
      </c>
      <c r="G102" s="427" t="n">
        <f aca="false">IF($A102&lt;EE_Date,VLOOKUP($A102,Curves_Table,Escalation!$D$291),Exch)</f>
        <v>1.065</v>
      </c>
      <c r="H102" s="1596" t="n">
        <f aca="false">E102*F102/G102</f>
        <v>23428.8409251252</v>
      </c>
      <c r="I102" s="1540" t="n">
        <f aca="false">VLOOKUP($A102,Plant_Table,'Plant Operations'!$C$270)</f>
        <v>480</v>
      </c>
      <c r="J102" s="1575" t="n">
        <f aca="false">H102*I102/1000</f>
        <v>11245.8436440601</v>
      </c>
      <c r="K102" s="1565" t="n">
        <f aca="false">F102</f>
        <v>2.51025034756126</v>
      </c>
      <c r="L102" s="394" t="n">
        <f aca="false">J102/K102</f>
        <v>4479.96896205415</v>
      </c>
      <c r="M102" s="1579" t="str">
        <f aca="false">IF(MONTH($A102)=12,SUM(L91:L102)," ")</f>
        <v> </v>
      </c>
      <c r="O102" s="1597" t="n">
        <f aca="false">IF($A102&gt;Endyr,0,VLOOKUP($A102,Tariff_Table,Tariff!$H$33))</f>
        <v>6118.02</v>
      </c>
      <c r="P102" s="1565" t="n">
        <f aca="false">$AS102</f>
        <v>1.26010746291409</v>
      </c>
      <c r="Q102" s="1575" t="n">
        <f aca="false">O102*P102</f>
        <v>7709.36266025768</v>
      </c>
      <c r="R102" s="1565" t="n">
        <f aca="false">$F102</f>
        <v>2.51025034756126</v>
      </c>
      <c r="S102" s="427" t="n">
        <f aca="false">$G102</f>
        <v>1.065</v>
      </c>
      <c r="T102" s="1575" t="n">
        <f aca="false">Q102*R102/S102</f>
        <v>18171.2960538852</v>
      </c>
      <c r="U102" s="1540" t="n">
        <f aca="false">$I102</f>
        <v>480</v>
      </c>
      <c r="V102" s="1575" t="n">
        <f aca="false">T102*U102/1000</f>
        <v>8722.22210586487</v>
      </c>
      <c r="W102" s="1565" t="n">
        <f aca="false">R102</f>
        <v>2.51025034756126</v>
      </c>
      <c r="X102" s="394" t="n">
        <f aca="false">V102/W102</f>
        <v>3474.64232574994</v>
      </c>
      <c r="Y102" s="1579" t="str">
        <f aca="false">IF(MONTH($A102)=12,SUM(X91:X102)," ")</f>
        <v> </v>
      </c>
      <c r="AA102" s="1595" t="n">
        <f aca="false">IF($A102&gt;Endyr,0,VLOOKUP($A102,Tariff_Table,Tariff!$I$33))</f>
        <v>2.31</v>
      </c>
      <c r="AB102" s="1565" t="n">
        <f aca="false">$AS102</f>
        <v>1.26010746291409</v>
      </c>
      <c r="AC102" s="1596" t="n">
        <f aca="false">AA102*AB102</f>
        <v>2.91084823933156</v>
      </c>
      <c r="AD102" s="1565" t="n">
        <f aca="false">$F102</f>
        <v>2.51025034756126</v>
      </c>
      <c r="AE102" s="427" t="n">
        <f aca="false">$G102</f>
        <v>1.065</v>
      </c>
      <c r="AF102" s="1596" t="n">
        <f aca="false">AC102*AD102/AE102</f>
        <v>6.86099324364332</v>
      </c>
      <c r="AG102" s="397" t="n">
        <f aca="false">VLOOKUP($A102,Plant_Table,'Plant Operations'!$M$270)</f>
        <v>289336.32</v>
      </c>
      <c r="AH102" s="1575" t="n">
        <f aca="false">AF102*AG102/1000</f>
        <v>1985.13453666062</v>
      </c>
      <c r="AI102" s="1565" t="n">
        <f aca="false">AD102</f>
        <v>2.51025034756126</v>
      </c>
      <c r="AJ102" s="1566" t="n">
        <f aca="false">AH102/AI102</f>
        <v>790.811378071992</v>
      </c>
      <c r="AK102" s="1567" t="str">
        <f aca="false">IF(MONTH($A102)=12,SUM(AJ91:AJ102)," ")</f>
        <v> </v>
      </c>
      <c r="AM102" s="488" t="n">
        <f aca="false">IF($A102&gt;Endyr,0,VLOOKUP($A102,Tariff_Table,Tariff!$L$33))</f>
        <v>1.21</v>
      </c>
      <c r="AN102" s="1576" t="n">
        <f aca="false">VLOOKUP($A102,Curves_Table,Escalation!$Z$291)</f>
        <v>1.31384867425998</v>
      </c>
      <c r="AO102" s="1314" t="n">
        <f aca="false">AM102*AN102</f>
        <v>1.58975689585458</v>
      </c>
      <c r="AP102" s="1314" t="n">
        <f aca="false">IF($A102&gt;Endyr,0,VLOOKUP($A102,Tariff_Table,Tariff!$M$33))</f>
        <v>0.25</v>
      </c>
      <c r="AQ102" s="1314" t="n">
        <f aca="false">SUM(AO102,AP102)</f>
        <v>1.83975689585458</v>
      </c>
      <c r="AR102" s="1314" t="n">
        <f aca="false">SUM(AM102,AP102)</f>
        <v>1.46</v>
      </c>
      <c r="AS102" s="1598" t="n">
        <f aca="false">IF(AR102=0,0,AQ102/AR102)</f>
        <v>1.26010746291409</v>
      </c>
    </row>
    <row r="103" customFormat="false" ht="12.75" hidden="false" customHeight="false" outlineLevel="0" collapsed="false">
      <c r="A103" s="1538" t="n">
        <f aca="false">EDATE(A102,1)</f>
        <v>39722</v>
      </c>
      <c r="C103" s="1595" t="n">
        <f aca="false">IF($A103&gt;Endyr,0,VLOOKUP($A103,Tariff_Table,Tariff!$G$33))</f>
        <v>7424.62</v>
      </c>
      <c r="D103" s="1565" t="n">
        <f aca="false">VLOOKUP($A103,Curves_Table,Escalation!$V$291)</f>
        <v>1.33877978058913</v>
      </c>
      <c r="E103" s="1596" t="n">
        <f aca="false">C103*D103</f>
        <v>9939.93113455764</v>
      </c>
      <c r="F103" s="1565" t="n">
        <f aca="false">IF(Assm!$L$74=0,VLOOKUP($A103,Curves_Table,Escalation!$D$291),VLOOKUP($A103,Curves_Table,Escalation!$E$291))</f>
        <v>2.51555897685407</v>
      </c>
      <c r="G103" s="427" t="n">
        <f aca="false">IF($A103&lt;EE_Date,VLOOKUP($A103,Curves_Table,Escalation!$D$291),Exch)</f>
        <v>1.065</v>
      </c>
      <c r="H103" s="1596" t="n">
        <f aca="false">E103*F103/G103</f>
        <v>23478.3877885894</v>
      </c>
      <c r="I103" s="1540" t="n">
        <f aca="false">VLOOKUP($A103,Plant_Table,'Plant Operations'!$C$270)</f>
        <v>480</v>
      </c>
      <c r="J103" s="1575" t="n">
        <f aca="false">H103*I103/1000</f>
        <v>11269.6261385229</v>
      </c>
      <c r="K103" s="1565" t="n">
        <f aca="false">F103</f>
        <v>2.51555897685407</v>
      </c>
      <c r="L103" s="394" t="n">
        <f aca="false">J103/K103</f>
        <v>4479.96896205415</v>
      </c>
      <c r="M103" s="1579" t="str">
        <f aca="false">IF(MONTH($A103)=12,SUM(L92:L103)," ")</f>
        <v> </v>
      </c>
      <c r="O103" s="1597" t="n">
        <f aca="false">IF($A103&gt;Endyr,0,VLOOKUP($A103,Tariff_Table,Tariff!$H$33))</f>
        <v>6118.02</v>
      </c>
      <c r="P103" s="1565" t="n">
        <f aca="false">$AS103</f>
        <v>1.26010746291409</v>
      </c>
      <c r="Q103" s="1575" t="n">
        <f aca="false">O103*P103</f>
        <v>7709.36266025768</v>
      </c>
      <c r="R103" s="1565" t="n">
        <f aca="false">$F103</f>
        <v>2.51555897685407</v>
      </c>
      <c r="S103" s="427" t="n">
        <f aca="false">$G103</f>
        <v>1.065</v>
      </c>
      <c r="T103" s="1575" t="n">
        <f aca="false">Q103*R103/S103</f>
        <v>18209.7243622862</v>
      </c>
      <c r="U103" s="1540" t="n">
        <f aca="false">$I103</f>
        <v>480</v>
      </c>
      <c r="V103" s="1575" t="n">
        <f aca="false">T103*U103/1000</f>
        <v>8740.66769389737</v>
      </c>
      <c r="W103" s="1565" t="n">
        <f aca="false">R103</f>
        <v>2.51555897685407</v>
      </c>
      <c r="X103" s="394" t="n">
        <f aca="false">V103/W103</f>
        <v>3474.64232574994</v>
      </c>
      <c r="Y103" s="1579" t="str">
        <f aca="false">IF(MONTH($A103)=12,SUM(X92:X103)," ")</f>
        <v> </v>
      </c>
      <c r="AA103" s="1595" t="n">
        <f aca="false">IF($A103&gt;Endyr,0,VLOOKUP($A103,Tariff_Table,Tariff!$I$33))</f>
        <v>2.31</v>
      </c>
      <c r="AB103" s="1565" t="n">
        <f aca="false">$AS103</f>
        <v>1.26010746291409</v>
      </c>
      <c r="AC103" s="1596" t="n">
        <f aca="false">AA103*AB103</f>
        <v>2.91084823933156</v>
      </c>
      <c r="AD103" s="1565" t="n">
        <f aca="false">$F103</f>
        <v>2.51555897685407</v>
      </c>
      <c r="AE103" s="427" t="n">
        <f aca="false">$G103</f>
        <v>1.065</v>
      </c>
      <c r="AF103" s="1596" t="n">
        <f aca="false">AC103*AD103/AE103</f>
        <v>6.87550274057311</v>
      </c>
      <c r="AG103" s="397" t="n">
        <f aca="false">VLOOKUP($A103,Plant_Table,'Plant Operations'!$M$270)</f>
        <v>298980.864</v>
      </c>
      <c r="AH103" s="1575" t="n">
        <f aca="false">AF103*AG103/1000</f>
        <v>2055.64374981092</v>
      </c>
      <c r="AI103" s="1565" t="n">
        <f aca="false">AD103</f>
        <v>2.51555897685407</v>
      </c>
      <c r="AJ103" s="1566" t="n">
        <f aca="false">AH103/AI103</f>
        <v>817.171757341058</v>
      </c>
      <c r="AK103" s="1567" t="str">
        <f aca="false">IF(MONTH($A103)=12,SUM(AJ92:AJ103)," ")</f>
        <v> </v>
      </c>
      <c r="AM103" s="488" t="n">
        <f aca="false">IF($A103&gt;Endyr,0,VLOOKUP($A103,Tariff_Table,Tariff!$L$33))</f>
        <v>1.21</v>
      </c>
      <c r="AN103" s="1576" t="n">
        <f aca="false">VLOOKUP($A103,Curves_Table,Escalation!$Z$291)</f>
        <v>1.31384867425998</v>
      </c>
      <c r="AO103" s="1314" t="n">
        <f aca="false">AM103*AN103</f>
        <v>1.58975689585458</v>
      </c>
      <c r="AP103" s="1314" t="n">
        <f aca="false">IF($A103&gt;Endyr,0,VLOOKUP($A103,Tariff_Table,Tariff!$M$33))</f>
        <v>0.25</v>
      </c>
      <c r="AQ103" s="1314" t="n">
        <f aca="false">SUM(AO103,AP103)</f>
        <v>1.83975689585458</v>
      </c>
      <c r="AR103" s="1314" t="n">
        <f aca="false">SUM(AM103,AP103)</f>
        <v>1.46</v>
      </c>
      <c r="AS103" s="1598" t="n">
        <f aca="false">IF(AR103=0,0,AQ103/AR103)</f>
        <v>1.26010746291409</v>
      </c>
    </row>
    <row r="104" customFormat="false" ht="12.75" hidden="false" customHeight="false" outlineLevel="0" collapsed="false">
      <c r="A104" s="1538" t="n">
        <f aca="false">EDATE(A103,1)</f>
        <v>39753</v>
      </c>
      <c r="C104" s="1595" t="n">
        <f aca="false">IF($A104&gt;Endyr,0,VLOOKUP($A104,Tariff_Table,Tariff!$G$33))</f>
        <v>7424.62</v>
      </c>
      <c r="D104" s="1565" t="n">
        <f aca="false">VLOOKUP($A104,Curves_Table,Escalation!$V$291)</f>
        <v>1.33877978058913</v>
      </c>
      <c r="E104" s="1596" t="n">
        <f aca="false">C104*D104</f>
        <v>9939.93113455764</v>
      </c>
      <c r="F104" s="1565" t="n">
        <f aca="false">IF(Assm!$L$74=0,VLOOKUP($A104,Curves_Table,Escalation!$D$291),VLOOKUP($A104,Curves_Table,Escalation!$E$291))</f>
        <v>2.52087883273429</v>
      </c>
      <c r="G104" s="427" t="n">
        <f aca="false">IF($A104&lt;EE_Date,VLOOKUP($A104,Curves_Table,Escalation!$D$291),Exch)</f>
        <v>1.065</v>
      </c>
      <c r="H104" s="1596" t="n">
        <f aca="false">E104*F104/G104</f>
        <v>23528.0394328103</v>
      </c>
      <c r="I104" s="1540" t="n">
        <f aca="false">VLOOKUP($A104,Plant_Table,'Plant Operations'!$C$270)</f>
        <v>480</v>
      </c>
      <c r="J104" s="1575" t="n">
        <f aca="false">H104*I104/1000</f>
        <v>11293.4589277489</v>
      </c>
      <c r="K104" s="1565" t="n">
        <f aca="false">F104</f>
        <v>2.52087883273429</v>
      </c>
      <c r="L104" s="394" t="n">
        <f aca="false">J104/K104</f>
        <v>4479.96896205415</v>
      </c>
      <c r="M104" s="1579" t="str">
        <f aca="false">IF(MONTH($A104)=12,SUM(L93:L104)," ")</f>
        <v> </v>
      </c>
      <c r="O104" s="1597" t="n">
        <f aca="false">IF($A104&gt;Endyr,0,VLOOKUP($A104,Tariff_Table,Tariff!$H$33))</f>
        <v>6118.02</v>
      </c>
      <c r="P104" s="1565" t="n">
        <f aca="false">$AS104</f>
        <v>1.26010746291409</v>
      </c>
      <c r="Q104" s="1575" t="n">
        <f aca="false">O104*P104</f>
        <v>7709.36266025768</v>
      </c>
      <c r="R104" s="1565" t="n">
        <f aca="false">$F104</f>
        <v>2.52087883273429</v>
      </c>
      <c r="S104" s="427" t="n">
        <f aca="false">$G104</f>
        <v>1.065</v>
      </c>
      <c r="T104" s="1575" t="n">
        <f aca="false">Q104*R104/S104</f>
        <v>18248.2339381368</v>
      </c>
      <c r="U104" s="1540" t="n">
        <f aca="false">$I104</f>
        <v>480</v>
      </c>
      <c r="V104" s="1575" t="n">
        <f aca="false">T104*U104/1000</f>
        <v>8759.15229030569</v>
      </c>
      <c r="W104" s="1565" t="n">
        <f aca="false">R104</f>
        <v>2.52087883273429</v>
      </c>
      <c r="X104" s="394" t="n">
        <f aca="false">V104/W104</f>
        <v>3474.64232574994</v>
      </c>
      <c r="Y104" s="1579" t="str">
        <f aca="false">IF(MONTH($A104)=12,SUM(X93:X104)," ")</f>
        <v> </v>
      </c>
      <c r="AA104" s="1595" t="n">
        <f aca="false">IF($A104&gt;Endyr,0,VLOOKUP($A104,Tariff_Table,Tariff!$I$33))</f>
        <v>2.31</v>
      </c>
      <c r="AB104" s="1565" t="n">
        <f aca="false">$AS104</f>
        <v>1.26010746291409</v>
      </c>
      <c r="AC104" s="1596" t="n">
        <f aca="false">AA104*AB104</f>
        <v>2.91084823933156</v>
      </c>
      <c r="AD104" s="1565" t="n">
        <f aca="false">$F104</f>
        <v>2.52087883273429</v>
      </c>
      <c r="AE104" s="427" t="n">
        <f aca="false">$G104</f>
        <v>1.065</v>
      </c>
      <c r="AF104" s="1596" t="n">
        <f aca="false">AC104*AD104/AE104</f>
        <v>6.89004292190874</v>
      </c>
      <c r="AG104" s="397" t="n">
        <f aca="false">VLOOKUP($A104,Plant_Table,'Plant Operations'!$M$270)</f>
        <v>289336.32</v>
      </c>
      <c r="AH104" s="1575" t="n">
        <f aca="false">AF104*AG104/1000</f>
        <v>1993.53966366712</v>
      </c>
      <c r="AI104" s="1565" t="n">
        <f aca="false">AD104</f>
        <v>2.52087883273429</v>
      </c>
      <c r="AJ104" s="1566" t="n">
        <f aca="false">AH104/AI104</f>
        <v>790.811378071992</v>
      </c>
      <c r="AK104" s="1567" t="str">
        <f aca="false">IF(MONTH($A104)=12,SUM(AJ93:AJ104)," ")</f>
        <v> </v>
      </c>
      <c r="AM104" s="488" t="n">
        <f aca="false">IF($A104&gt;Endyr,0,VLOOKUP($A104,Tariff_Table,Tariff!$L$33))</f>
        <v>1.21</v>
      </c>
      <c r="AN104" s="1576" t="n">
        <f aca="false">VLOOKUP($A104,Curves_Table,Escalation!$Z$291)</f>
        <v>1.31384867425998</v>
      </c>
      <c r="AO104" s="1314" t="n">
        <f aca="false">AM104*AN104</f>
        <v>1.58975689585458</v>
      </c>
      <c r="AP104" s="1314" t="n">
        <f aca="false">IF($A104&gt;Endyr,0,VLOOKUP($A104,Tariff_Table,Tariff!$M$33))</f>
        <v>0.25</v>
      </c>
      <c r="AQ104" s="1314" t="n">
        <f aca="false">SUM(AO104,AP104)</f>
        <v>1.83975689585458</v>
      </c>
      <c r="AR104" s="1314" t="n">
        <f aca="false">SUM(AM104,AP104)</f>
        <v>1.46</v>
      </c>
      <c r="AS104" s="1598" t="n">
        <f aca="false">IF(AR104=0,0,AQ104/AR104)</f>
        <v>1.26010746291409</v>
      </c>
    </row>
    <row r="105" customFormat="false" ht="12.75" hidden="false" customHeight="false" outlineLevel="0" collapsed="false">
      <c r="A105" s="1538" t="n">
        <f aca="false">EDATE(A104,1)</f>
        <v>39783</v>
      </c>
      <c r="C105" s="1595" t="n">
        <f aca="false">IF($A105&gt;Endyr,0,VLOOKUP($A105,Tariff_Table,Tariff!$G$33))</f>
        <v>7424.62</v>
      </c>
      <c r="D105" s="1565" t="n">
        <f aca="false">VLOOKUP($A105,Curves_Table,Escalation!$V$291)</f>
        <v>1.33877978058913</v>
      </c>
      <c r="E105" s="1596" t="n">
        <f aca="false">C105*D105</f>
        <v>9939.93113455764</v>
      </c>
      <c r="F105" s="1565" t="n">
        <f aca="false">IF(Assm!$L$74=0,VLOOKUP($A105,Curves_Table,Escalation!$D$291),VLOOKUP($A105,Curves_Table,Escalation!$E$291))</f>
        <v>2.52620993894371</v>
      </c>
      <c r="G105" s="427" t="n">
        <f aca="false">IF($A105&lt;EE_Date,VLOOKUP($A105,Curves_Table,Escalation!$D$291),Exch)</f>
        <v>1.065</v>
      </c>
      <c r="H105" s="1596" t="n">
        <f aca="false">E105*F105/G105</f>
        <v>23577.7960793761</v>
      </c>
      <c r="I105" s="1540" t="n">
        <f aca="false">VLOOKUP($A105,Plant_Table,'Plant Operations'!$C$270)</f>
        <v>480</v>
      </c>
      <c r="J105" s="1575" t="n">
        <f aca="false">H105*I105/1000</f>
        <v>11317.3421181005</v>
      </c>
      <c r="K105" s="1565" t="n">
        <f aca="false">F105</f>
        <v>2.52620993894371</v>
      </c>
      <c r="L105" s="394" t="n">
        <f aca="false">J105/K105</f>
        <v>4479.96896205415</v>
      </c>
      <c r="M105" s="1579" t="n">
        <f aca="false">IF(MONTH($A105)=12,SUM(L94:L105)," ")</f>
        <v>53313.4173653543</v>
      </c>
      <c r="O105" s="1597" t="n">
        <f aca="false">IF($A105&gt;Endyr,0,VLOOKUP($A105,Tariff_Table,Tariff!$H$33))</f>
        <v>6118.02</v>
      </c>
      <c r="P105" s="1565" t="n">
        <f aca="false">$AS105</f>
        <v>1.26010746291409</v>
      </c>
      <c r="Q105" s="1575" t="n">
        <f aca="false">O105*P105</f>
        <v>7709.36266025768</v>
      </c>
      <c r="R105" s="1565" t="n">
        <f aca="false">$F105</f>
        <v>2.52620993894371</v>
      </c>
      <c r="S105" s="427" t="n">
        <f aca="false">$G105</f>
        <v>1.065</v>
      </c>
      <c r="T105" s="1575" t="n">
        <f aca="false">Q105*R105/S105</f>
        <v>18286.8249533</v>
      </c>
      <c r="U105" s="1540" t="n">
        <f aca="false">$I105</f>
        <v>480</v>
      </c>
      <c r="V105" s="1575" t="n">
        <f aca="false">T105*U105/1000</f>
        <v>8777.67597758398</v>
      </c>
      <c r="W105" s="1565" t="n">
        <f aca="false">R105</f>
        <v>2.52620993894371</v>
      </c>
      <c r="X105" s="394" t="n">
        <f aca="false">V105/W105</f>
        <v>3474.64232574994</v>
      </c>
      <c r="Y105" s="1579" t="n">
        <f aca="false">IF(MONTH($A105)=12,SUM(X94:X105)," ")</f>
        <v>41475.4151904426</v>
      </c>
      <c r="AA105" s="1595" t="n">
        <f aca="false">IF($A105&gt;Endyr,0,VLOOKUP($A105,Tariff_Table,Tariff!$I$33))</f>
        <v>2.31</v>
      </c>
      <c r="AB105" s="1565" t="n">
        <f aca="false">$AS105</f>
        <v>1.26010746291409</v>
      </c>
      <c r="AC105" s="1596" t="n">
        <f aca="false">AA105*AB105</f>
        <v>2.91084823933156</v>
      </c>
      <c r="AD105" s="1565" t="n">
        <f aca="false">$F105</f>
        <v>2.52620993894371</v>
      </c>
      <c r="AE105" s="427" t="n">
        <f aca="false">$G105</f>
        <v>1.065</v>
      </c>
      <c r="AF105" s="1596" t="n">
        <f aca="false">AC105*AD105/AE105</f>
        <v>6.904613852541</v>
      </c>
      <c r="AG105" s="397" t="n">
        <f aca="false">VLOOKUP($A105,Plant_Table,'Plant Operations'!$M$270)</f>
        <v>298980.864</v>
      </c>
      <c r="AH105" s="1575" t="n">
        <f aca="false">AF105*AG105/1000</f>
        <v>2064.34741521908</v>
      </c>
      <c r="AI105" s="1565" t="n">
        <f aca="false">AD105</f>
        <v>2.52620993894371</v>
      </c>
      <c r="AJ105" s="1566" t="n">
        <f aca="false">AH105/AI105</f>
        <v>817.171757341058</v>
      </c>
      <c r="AK105" s="1567" t="n">
        <f aca="false">IF(MONTH($A105)=12,SUM(AJ94:AJ105)," ")</f>
        <v>9596.16121388395</v>
      </c>
      <c r="AM105" s="488" t="n">
        <f aca="false">IF($A105&gt;Endyr,0,VLOOKUP($A105,Tariff_Table,Tariff!$L$33))</f>
        <v>1.21</v>
      </c>
      <c r="AN105" s="1576" t="n">
        <f aca="false">VLOOKUP($A105,Curves_Table,Escalation!$Z$291)</f>
        <v>1.31384867425998</v>
      </c>
      <c r="AO105" s="1314" t="n">
        <f aca="false">AM105*AN105</f>
        <v>1.58975689585458</v>
      </c>
      <c r="AP105" s="1314" t="n">
        <f aca="false">IF($A105&gt;Endyr,0,VLOOKUP($A105,Tariff_Table,Tariff!$M$33))</f>
        <v>0.25</v>
      </c>
      <c r="AQ105" s="1314" t="n">
        <f aca="false">SUM(AO105,AP105)</f>
        <v>1.83975689585458</v>
      </c>
      <c r="AR105" s="1314" t="n">
        <f aca="false">SUM(AM105,AP105)</f>
        <v>1.46</v>
      </c>
      <c r="AS105" s="1598" t="n">
        <f aca="false">IF(AR105=0,0,AQ105/AR105)</f>
        <v>1.26010746291409</v>
      </c>
    </row>
    <row r="106" customFormat="false" ht="12.75" hidden="false" customHeight="false" outlineLevel="0" collapsed="false">
      <c r="A106" s="1538" t="n">
        <f aca="false">EDATE(A105,1)</f>
        <v>39814</v>
      </c>
      <c r="C106" s="1595" t="n">
        <f aca="false">IF($A106&gt;Endyr,0,VLOOKUP($A106,Tariff_Table,Tariff!$G$33))</f>
        <v>7424.62</v>
      </c>
      <c r="D106" s="1565" t="n">
        <f aca="false">VLOOKUP($A106,Curves_Table,Escalation!$V$291)</f>
        <v>1.33877978058913</v>
      </c>
      <c r="E106" s="1596" t="n">
        <f aca="false">C106*D106</f>
        <v>9939.93113455764</v>
      </c>
      <c r="F106" s="1565" t="n">
        <f aca="false">IF(Assm!$L$74=0,VLOOKUP($A106,Curves_Table,Escalation!$D$291),VLOOKUP($A106,Curves_Table,Escalation!$E$291))</f>
        <v>2.53141351780118</v>
      </c>
      <c r="G106" s="427" t="n">
        <f aca="false">IF($A106&lt;EE_Date,VLOOKUP($A106,Curves_Table,Escalation!$D$291),Exch)</f>
        <v>1.065</v>
      </c>
      <c r="H106" s="1596" t="n">
        <f aca="false">E106*F106/G106</f>
        <v>23626.3624789033</v>
      </c>
      <c r="I106" s="1540" t="n">
        <f aca="false">VLOOKUP($A106,Plant_Table,'Plant Operations'!$C$270)</f>
        <v>480</v>
      </c>
      <c r="J106" s="1575" t="n">
        <f aca="false">H106*I106/1000</f>
        <v>11340.6539898736</v>
      </c>
      <c r="K106" s="1565" t="n">
        <f aca="false">F106</f>
        <v>2.53141351780118</v>
      </c>
      <c r="L106" s="394" t="n">
        <f aca="false">J106/K106</f>
        <v>4479.96896205415</v>
      </c>
      <c r="M106" s="1579" t="str">
        <f aca="false">IF(MONTH($A106)=12,SUM(L95:L106)," ")</f>
        <v> </v>
      </c>
      <c r="O106" s="1597" t="n">
        <f aca="false">IF($A106&gt;Endyr,0,VLOOKUP($A106,Tariff_Table,Tariff!$H$33))</f>
        <v>6118.02</v>
      </c>
      <c r="P106" s="1565" t="n">
        <f aca="false">$AS106</f>
        <v>1.26010746291409</v>
      </c>
      <c r="Q106" s="1575" t="n">
        <f aca="false">O106*P106</f>
        <v>7709.36266025768</v>
      </c>
      <c r="R106" s="1565" t="n">
        <f aca="false">$F106</f>
        <v>2.53141351780118</v>
      </c>
      <c r="S106" s="427" t="n">
        <f aca="false">$G106</f>
        <v>1.065</v>
      </c>
      <c r="T106" s="1575" t="n">
        <f aca="false">Q106*R106/S106</f>
        <v>18324.492818599</v>
      </c>
      <c r="U106" s="1540" t="n">
        <f aca="false">$I106</f>
        <v>480</v>
      </c>
      <c r="V106" s="1575" t="n">
        <f aca="false">T106*U106/1000</f>
        <v>8795.75655292753</v>
      </c>
      <c r="W106" s="1565" t="n">
        <f aca="false">R106</f>
        <v>2.53141351780118</v>
      </c>
      <c r="X106" s="394" t="n">
        <f aca="false">V106/W106</f>
        <v>3474.64232574994</v>
      </c>
      <c r="Y106" s="1579" t="str">
        <f aca="false">IF(MONTH($A106)=12,SUM(X95:X106)," ")</f>
        <v> </v>
      </c>
      <c r="AA106" s="1595" t="n">
        <f aca="false">IF($A106&gt;Endyr,0,VLOOKUP($A106,Tariff_Table,Tariff!$I$33))</f>
        <v>2.31</v>
      </c>
      <c r="AB106" s="1565" t="n">
        <f aca="false">$AS106</f>
        <v>1.26010746291409</v>
      </c>
      <c r="AC106" s="1596" t="n">
        <f aca="false">AA106*AB106</f>
        <v>2.91084823933156</v>
      </c>
      <c r="AD106" s="1565" t="n">
        <f aca="false">$F106</f>
        <v>2.53141351780118</v>
      </c>
      <c r="AE106" s="427" t="n">
        <f aca="false">$G106</f>
        <v>1.065</v>
      </c>
      <c r="AF106" s="1596" t="n">
        <f aca="false">AC106*AD106/AE106</f>
        <v>6.91883622658372</v>
      </c>
      <c r="AG106" s="397" t="n">
        <f aca="false">VLOOKUP($A106,Plant_Table,'Plant Operations'!$M$270)</f>
        <v>298980.864</v>
      </c>
      <c r="AH106" s="1575" t="n">
        <f aca="false">AF106*AG106/1000</f>
        <v>2068.5996328985</v>
      </c>
      <c r="AI106" s="1565" t="n">
        <f aca="false">AD106</f>
        <v>2.53141351780118</v>
      </c>
      <c r="AJ106" s="1566" t="n">
        <f aca="false">AH106/AI106</f>
        <v>817.171757341059</v>
      </c>
      <c r="AK106" s="1567" t="str">
        <f aca="false">IF(MONTH($A106)=12,SUM(AJ95:AJ106)," ")</f>
        <v> </v>
      </c>
      <c r="AM106" s="488" t="n">
        <f aca="false">IF($A106&gt;Endyr,0,VLOOKUP($A106,Tariff_Table,Tariff!$L$33))</f>
        <v>1.21</v>
      </c>
      <c r="AN106" s="1576" t="n">
        <f aca="false">VLOOKUP($A106,Curves_Table,Escalation!$Z$291)</f>
        <v>1.31384867425998</v>
      </c>
      <c r="AO106" s="1314" t="n">
        <f aca="false">AM106*AN106</f>
        <v>1.58975689585458</v>
      </c>
      <c r="AP106" s="1314" t="n">
        <f aca="false">IF($A106&gt;Endyr,0,VLOOKUP($A106,Tariff_Table,Tariff!$M$33))</f>
        <v>0.25</v>
      </c>
      <c r="AQ106" s="1314" t="n">
        <f aca="false">SUM(AO106,AP106)</f>
        <v>1.83975689585458</v>
      </c>
      <c r="AR106" s="1314" t="n">
        <f aca="false">SUM(AM106,AP106)</f>
        <v>1.46</v>
      </c>
      <c r="AS106" s="1598" t="n">
        <f aca="false">IF(AR106=0,0,AQ106/AR106)</f>
        <v>1.26010746291409</v>
      </c>
    </row>
    <row r="107" customFormat="false" ht="12.75" hidden="false" customHeight="false" outlineLevel="0" collapsed="false">
      <c r="A107" s="1538" t="n">
        <f aca="false">EDATE(A106,1)</f>
        <v>39845</v>
      </c>
      <c r="C107" s="1595" t="n">
        <f aca="false">IF($A107&gt;Endyr,0,VLOOKUP($A107,Tariff_Table,Tariff!$G$33))</f>
        <v>7424.62</v>
      </c>
      <c r="D107" s="1565" t="n">
        <f aca="false">VLOOKUP($A107,Curves_Table,Escalation!$V$291)</f>
        <v>1.33877978058913</v>
      </c>
      <c r="E107" s="1596" t="n">
        <f aca="false">C107*D107</f>
        <v>9939.93113455764</v>
      </c>
      <c r="F107" s="1565" t="n">
        <f aca="false">IF(Assm!$L$74=0,VLOOKUP($A107,Curves_Table,Escalation!$D$291),VLOOKUP($A107,Curves_Table,Escalation!$E$291))</f>
        <v>2.53662781517912</v>
      </c>
      <c r="G107" s="427" t="n">
        <f aca="false">IF($A107&lt;EE_Date,VLOOKUP($A107,Curves_Table,Escalation!$D$291),Exch)</f>
        <v>1.065</v>
      </c>
      <c r="H107" s="1596" t="n">
        <f aca="false">E107*F107/G107</f>
        <v>23675.0289172618</v>
      </c>
      <c r="I107" s="1540" t="n">
        <f aca="false">VLOOKUP($A107,Plant_Table,'Plant Operations'!$C$270)</f>
        <v>480</v>
      </c>
      <c r="J107" s="1575" t="n">
        <f aca="false">H107*I107/1000</f>
        <v>11364.0138802857</v>
      </c>
      <c r="K107" s="1565" t="n">
        <f aca="false">F107</f>
        <v>2.53662781517912</v>
      </c>
      <c r="L107" s="394" t="n">
        <f aca="false">J107/K107</f>
        <v>4479.96896205415</v>
      </c>
      <c r="M107" s="1579" t="str">
        <f aca="false">IF(MONTH($A107)=12,SUM(L96:L107)," ")</f>
        <v> </v>
      </c>
      <c r="O107" s="1597" t="n">
        <f aca="false">IF($A107&gt;Endyr,0,VLOOKUP($A107,Tariff_Table,Tariff!$H$33))</f>
        <v>6118.02</v>
      </c>
      <c r="P107" s="1565" t="n">
        <f aca="false">$AS107</f>
        <v>1.26010746291409</v>
      </c>
      <c r="Q107" s="1575" t="n">
        <f aca="false">O107*P107</f>
        <v>7709.36266025768</v>
      </c>
      <c r="R107" s="1565" t="n">
        <f aca="false">$F107</f>
        <v>2.53662781517912</v>
      </c>
      <c r="S107" s="427" t="n">
        <f aca="false">$G107</f>
        <v>1.065</v>
      </c>
      <c r="T107" s="1575" t="n">
        <f aca="false">Q107*R107/S107</f>
        <v>18362.2382735332</v>
      </c>
      <c r="U107" s="1540" t="n">
        <f aca="false">$I107</f>
        <v>480</v>
      </c>
      <c r="V107" s="1575" t="n">
        <f aca="false">T107*U107/1000</f>
        <v>8813.87437129596</v>
      </c>
      <c r="W107" s="1565" t="n">
        <f aca="false">R107</f>
        <v>2.53662781517912</v>
      </c>
      <c r="X107" s="394" t="n">
        <f aca="false">V107/W107</f>
        <v>3474.64232574994</v>
      </c>
      <c r="Y107" s="1579" t="str">
        <f aca="false">IF(MONTH($A107)=12,SUM(X96:X107)," ")</f>
        <v> </v>
      </c>
      <c r="AA107" s="1595" t="n">
        <f aca="false">IF($A107&gt;Endyr,0,VLOOKUP($A107,Tariff_Table,Tariff!$I$33))</f>
        <v>2.31</v>
      </c>
      <c r="AB107" s="1565" t="n">
        <f aca="false">$AS107</f>
        <v>1.26010746291409</v>
      </c>
      <c r="AC107" s="1596" t="n">
        <f aca="false">AA107*AB107</f>
        <v>2.91084823933156</v>
      </c>
      <c r="AD107" s="1565" t="n">
        <f aca="false">$F107</f>
        <v>2.53662781517912</v>
      </c>
      <c r="AE107" s="427" t="n">
        <f aca="false">$G107</f>
        <v>1.065</v>
      </c>
      <c r="AF107" s="1596" t="n">
        <f aca="false">AC107*AD107/AE107</f>
        <v>6.93308789638834</v>
      </c>
      <c r="AG107" s="397" t="n">
        <f aca="false">VLOOKUP($A107,Plant_Table,'Plant Operations'!$M$270)</f>
        <v>270047.232</v>
      </c>
      <c r="AH107" s="1575" t="n">
        <f aca="false">AF107*AG107/1000</f>
        <v>1872.26119563237</v>
      </c>
      <c r="AI107" s="1565" t="n">
        <f aca="false">AD107</f>
        <v>2.53662781517912</v>
      </c>
      <c r="AJ107" s="1566" t="n">
        <f aca="false">AH107/AI107</f>
        <v>738.090619533859</v>
      </c>
      <c r="AK107" s="1567" t="str">
        <f aca="false">IF(MONTH($A107)=12,SUM(AJ96:AJ107)," ")</f>
        <v> </v>
      </c>
      <c r="AM107" s="488" t="n">
        <f aca="false">IF($A107&gt;Endyr,0,VLOOKUP($A107,Tariff_Table,Tariff!$L$33))</f>
        <v>1.21</v>
      </c>
      <c r="AN107" s="1576" t="n">
        <f aca="false">VLOOKUP($A107,Curves_Table,Escalation!$Z$291)</f>
        <v>1.31384867425998</v>
      </c>
      <c r="AO107" s="1314" t="n">
        <f aca="false">AM107*AN107</f>
        <v>1.58975689585458</v>
      </c>
      <c r="AP107" s="1314" t="n">
        <f aca="false">IF($A107&gt;Endyr,0,VLOOKUP($A107,Tariff_Table,Tariff!$M$33))</f>
        <v>0.25</v>
      </c>
      <c r="AQ107" s="1314" t="n">
        <f aca="false">SUM(AO107,AP107)</f>
        <v>1.83975689585458</v>
      </c>
      <c r="AR107" s="1314" t="n">
        <f aca="false">SUM(AM107,AP107)</f>
        <v>1.46</v>
      </c>
      <c r="AS107" s="1598" t="n">
        <f aca="false">IF(AR107=0,0,AQ107/AR107)</f>
        <v>1.26010746291409</v>
      </c>
    </row>
    <row r="108" customFormat="false" ht="12.75" hidden="false" customHeight="false" outlineLevel="0" collapsed="false">
      <c r="A108" s="1538" t="n">
        <f aca="false">EDATE(A107,1)</f>
        <v>39873</v>
      </c>
      <c r="C108" s="1595" t="n">
        <f aca="false">IF($A108&gt;Endyr,0,VLOOKUP($A108,Tariff_Table,Tariff!$G$33))</f>
        <v>7424.62</v>
      </c>
      <c r="D108" s="1565" t="n">
        <f aca="false">VLOOKUP($A108,Curves_Table,Escalation!$V$291)</f>
        <v>1.33877978058913</v>
      </c>
      <c r="E108" s="1596" t="n">
        <f aca="false">C108*D108</f>
        <v>9939.93113455764</v>
      </c>
      <c r="F108" s="1565" t="n">
        <f aca="false">IF(Assm!$L$74=0,VLOOKUP($A108,Curves_Table,Escalation!$D$291),VLOOKUP($A108,Curves_Table,Escalation!$E$291))</f>
        <v>2.54185285315591</v>
      </c>
      <c r="G108" s="427" t="n">
        <f aca="false">IF($A108&lt;EE_Date,VLOOKUP($A108,Curves_Table,Escalation!$D$291),Exch)</f>
        <v>1.065</v>
      </c>
      <c r="H108" s="1596" t="n">
        <f aca="false">E108*F108/G108</f>
        <v>23723.7956005151</v>
      </c>
      <c r="I108" s="1540" t="n">
        <f aca="false">VLOOKUP($A108,Plant_Table,'Plant Operations'!$C$270)</f>
        <v>480</v>
      </c>
      <c r="J108" s="1575" t="n">
        <f aca="false">H108*I108/1000</f>
        <v>11387.4218882473</v>
      </c>
      <c r="K108" s="1565" t="n">
        <f aca="false">F108</f>
        <v>2.54185285315591</v>
      </c>
      <c r="L108" s="394" t="n">
        <f aca="false">J108/K108</f>
        <v>4479.96896205415</v>
      </c>
      <c r="M108" s="1579" t="str">
        <f aca="false">IF(MONTH($A108)=12,SUM(L97:L108)," ")</f>
        <v> </v>
      </c>
      <c r="O108" s="1597" t="n">
        <f aca="false">IF($A108&gt;Endyr,0,VLOOKUP($A108,Tariff_Table,Tariff!$H$33))</f>
        <v>6118.02</v>
      </c>
      <c r="P108" s="1565" t="n">
        <f aca="false">$AS108</f>
        <v>1.26010746291409</v>
      </c>
      <c r="Q108" s="1575" t="n">
        <f aca="false">O108*P108</f>
        <v>7709.36266025768</v>
      </c>
      <c r="R108" s="1565" t="n">
        <f aca="false">$F108</f>
        <v>2.54185285315591</v>
      </c>
      <c r="S108" s="427" t="n">
        <f aca="false">$G108</f>
        <v>1.065</v>
      </c>
      <c r="T108" s="1575" t="n">
        <f aca="false">Q108*R108/S108</f>
        <v>18400.0614779246</v>
      </c>
      <c r="U108" s="1540" t="n">
        <f aca="false">$I108</f>
        <v>480</v>
      </c>
      <c r="V108" s="1575" t="n">
        <f aca="false">T108*U108/1000</f>
        <v>8832.02950940379</v>
      </c>
      <c r="W108" s="1565" t="n">
        <f aca="false">R108</f>
        <v>2.54185285315591</v>
      </c>
      <c r="X108" s="394" t="n">
        <f aca="false">V108/W108</f>
        <v>3474.64232574994</v>
      </c>
      <c r="Y108" s="1579" t="str">
        <f aca="false">IF(MONTH($A108)=12,SUM(X97:X108)," ")</f>
        <v> </v>
      </c>
      <c r="AA108" s="1595" t="n">
        <f aca="false">IF($A108&gt;Endyr,0,VLOOKUP($A108,Tariff_Table,Tariff!$I$33))</f>
        <v>2.31</v>
      </c>
      <c r="AB108" s="1565" t="n">
        <f aca="false">$AS108</f>
        <v>1.26010746291409</v>
      </c>
      <c r="AC108" s="1596" t="n">
        <f aca="false">AA108*AB108</f>
        <v>2.91084823933156</v>
      </c>
      <c r="AD108" s="1565" t="n">
        <f aca="false">$F108</f>
        <v>2.54185285315591</v>
      </c>
      <c r="AE108" s="427" t="n">
        <f aca="false">$G108</f>
        <v>1.065</v>
      </c>
      <c r="AF108" s="1596" t="n">
        <f aca="false">AC108*AD108/AE108</f>
        <v>6.94736892229933</v>
      </c>
      <c r="AG108" s="397" t="n">
        <f aca="false">VLOOKUP($A108,Plant_Table,'Plant Operations'!$M$270)</f>
        <v>298980.864</v>
      </c>
      <c r="AH108" s="1575" t="n">
        <f aca="false">AF108*AG108/1000</f>
        <v>2077.1303629158</v>
      </c>
      <c r="AI108" s="1565" t="n">
        <f aca="false">AD108</f>
        <v>2.54185285315591</v>
      </c>
      <c r="AJ108" s="1566" t="n">
        <f aca="false">AH108/AI108</f>
        <v>817.171757341058</v>
      </c>
      <c r="AK108" s="1567" t="str">
        <f aca="false">IF(MONTH($A108)=12,SUM(AJ97:AJ108)," ")</f>
        <v> </v>
      </c>
      <c r="AM108" s="488" t="n">
        <f aca="false">IF($A108&gt;Endyr,0,VLOOKUP($A108,Tariff_Table,Tariff!$L$33))</f>
        <v>1.21</v>
      </c>
      <c r="AN108" s="1576" t="n">
        <f aca="false">VLOOKUP($A108,Curves_Table,Escalation!$Z$291)</f>
        <v>1.31384867425998</v>
      </c>
      <c r="AO108" s="1314" t="n">
        <f aca="false">AM108*AN108</f>
        <v>1.58975689585458</v>
      </c>
      <c r="AP108" s="1314" t="n">
        <f aca="false">IF($A108&gt;Endyr,0,VLOOKUP($A108,Tariff_Table,Tariff!$M$33))</f>
        <v>0.25</v>
      </c>
      <c r="AQ108" s="1314" t="n">
        <f aca="false">SUM(AO108,AP108)</f>
        <v>1.83975689585458</v>
      </c>
      <c r="AR108" s="1314" t="n">
        <f aca="false">SUM(AM108,AP108)</f>
        <v>1.46</v>
      </c>
      <c r="AS108" s="1598" t="n">
        <f aca="false">IF(AR108=0,0,AQ108/AR108)</f>
        <v>1.26010746291409</v>
      </c>
    </row>
    <row r="109" customFormat="false" ht="12.75" hidden="false" customHeight="false" outlineLevel="0" collapsed="false">
      <c r="A109" s="1538" t="n">
        <f aca="false">EDATE(A108,1)</f>
        <v>39904</v>
      </c>
      <c r="C109" s="1595" t="n">
        <f aca="false">IF($A109&gt;Endyr,0,VLOOKUP($A109,Tariff_Table,Tariff!$G$33))</f>
        <v>7424.62</v>
      </c>
      <c r="D109" s="1565" t="n">
        <f aca="false">VLOOKUP($A109,Curves_Table,Escalation!$V$291)</f>
        <v>1.33877978058913</v>
      </c>
      <c r="E109" s="1596" t="n">
        <f aca="false">C109*D109</f>
        <v>9939.93113455764</v>
      </c>
      <c r="F109" s="1565" t="n">
        <f aca="false">IF(Assm!$L$74=0,VLOOKUP($A109,Curves_Table,Escalation!$D$291),VLOOKUP($A109,Curves_Table,Escalation!$E$291))</f>
        <v>2.54708865385545</v>
      </c>
      <c r="G109" s="427" t="n">
        <f aca="false">IF($A109&lt;EE_Date,VLOOKUP($A109,Curves_Table,Escalation!$D$291),Exch)</f>
        <v>1.065</v>
      </c>
      <c r="H109" s="1596" t="n">
        <f aca="false">E109*F109/G109</f>
        <v>23772.6627351514</v>
      </c>
      <c r="I109" s="1540" t="n">
        <f aca="false">VLOOKUP($A109,Plant_Table,'Plant Operations'!$C$270)</f>
        <v>480</v>
      </c>
      <c r="J109" s="1575" t="n">
        <f aca="false">H109*I109/1000</f>
        <v>11410.8781128727</v>
      </c>
      <c r="K109" s="1565" t="n">
        <f aca="false">F109</f>
        <v>2.54708865385545</v>
      </c>
      <c r="L109" s="394" t="n">
        <f aca="false">J109/K109</f>
        <v>4479.96896205415</v>
      </c>
      <c r="M109" s="1579" t="str">
        <f aca="false">IF(MONTH($A109)=12,SUM(L98:L109)," ")</f>
        <v> </v>
      </c>
      <c r="O109" s="1597" t="n">
        <f aca="false">IF($A109&gt;Endyr,0,VLOOKUP($A109,Tariff_Table,Tariff!$H$33))</f>
        <v>6118.02</v>
      </c>
      <c r="P109" s="1565" t="n">
        <f aca="false">$AS109</f>
        <v>1.26010746291409</v>
      </c>
      <c r="Q109" s="1575" t="n">
        <f aca="false">O109*P109</f>
        <v>7709.36266025768</v>
      </c>
      <c r="R109" s="1565" t="n">
        <f aca="false">$F109</f>
        <v>2.54708865385545</v>
      </c>
      <c r="S109" s="427" t="n">
        <f aca="false">$G109</f>
        <v>1.065</v>
      </c>
      <c r="T109" s="1575" t="n">
        <f aca="false">Q109*R109/S109</f>
        <v>18437.9625919241</v>
      </c>
      <c r="U109" s="1540" t="n">
        <f aca="false">$I109</f>
        <v>480</v>
      </c>
      <c r="V109" s="1575" t="n">
        <f aca="false">T109*U109/1000</f>
        <v>8850.22204412358</v>
      </c>
      <c r="W109" s="1565" t="n">
        <f aca="false">R109</f>
        <v>2.54708865385545</v>
      </c>
      <c r="X109" s="394" t="n">
        <f aca="false">V109/W109</f>
        <v>3474.64232574994</v>
      </c>
      <c r="Y109" s="1579" t="str">
        <f aca="false">IF(MONTH($A109)=12,SUM(X98:X109)," ")</f>
        <v> </v>
      </c>
      <c r="AA109" s="1595" t="n">
        <f aca="false">IF($A109&gt;Endyr,0,VLOOKUP($A109,Tariff_Table,Tariff!$I$33))</f>
        <v>2.31</v>
      </c>
      <c r="AB109" s="1565" t="n">
        <f aca="false">$AS109</f>
        <v>1.26010746291409</v>
      </c>
      <c r="AC109" s="1596" t="n">
        <f aca="false">AA109*AB109</f>
        <v>2.91084823933156</v>
      </c>
      <c r="AD109" s="1565" t="n">
        <f aca="false">$F109</f>
        <v>2.54708865385545</v>
      </c>
      <c r="AE109" s="427" t="n">
        <f aca="false">$G109</f>
        <v>1.065</v>
      </c>
      <c r="AF109" s="1596" t="n">
        <f aca="false">AC109*AD109/AE109</f>
        <v>6.96167936478546</v>
      </c>
      <c r="AG109" s="397" t="n">
        <f aca="false">VLOOKUP($A109,Plant_Table,'Plant Operations'!$M$270)</f>
        <v>289336.32</v>
      </c>
      <c r="AH109" s="1575" t="n">
        <f aca="false">AF109*AG109/1000</f>
        <v>2014.26668842696</v>
      </c>
      <c r="AI109" s="1565" t="n">
        <f aca="false">AD109</f>
        <v>2.54708865385545</v>
      </c>
      <c r="AJ109" s="1566" t="n">
        <f aca="false">AH109/AI109</f>
        <v>790.811378071992</v>
      </c>
      <c r="AK109" s="1567" t="str">
        <f aca="false">IF(MONTH($A109)=12,SUM(AJ98:AJ109)," ")</f>
        <v> </v>
      </c>
      <c r="AM109" s="488" t="n">
        <f aca="false">IF($A109&gt;Endyr,0,VLOOKUP($A109,Tariff_Table,Tariff!$L$33))</f>
        <v>1.21</v>
      </c>
      <c r="AN109" s="1576" t="n">
        <f aca="false">VLOOKUP($A109,Curves_Table,Escalation!$Z$291)</f>
        <v>1.31384867425998</v>
      </c>
      <c r="AO109" s="1314" t="n">
        <f aca="false">AM109*AN109</f>
        <v>1.58975689585458</v>
      </c>
      <c r="AP109" s="1314" t="n">
        <f aca="false">IF($A109&gt;Endyr,0,VLOOKUP($A109,Tariff_Table,Tariff!$M$33))</f>
        <v>0.25</v>
      </c>
      <c r="AQ109" s="1314" t="n">
        <f aca="false">SUM(AO109,AP109)</f>
        <v>1.83975689585458</v>
      </c>
      <c r="AR109" s="1314" t="n">
        <f aca="false">SUM(AM109,AP109)</f>
        <v>1.46</v>
      </c>
      <c r="AS109" s="1598" t="n">
        <f aca="false">IF(AR109=0,0,AQ109/AR109)</f>
        <v>1.26010746291409</v>
      </c>
    </row>
    <row r="110" customFormat="false" ht="12.75" hidden="false" customHeight="false" outlineLevel="0" collapsed="false">
      <c r="A110" s="1538" t="n">
        <f aca="false">EDATE(A109,1)</f>
        <v>39934</v>
      </c>
      <c r="C110" s="1595" t="n">
        <f aca="false">IF($A110&gt;Endyr,0,VLOOKUP($A110,Tariff_Table,Tariff!$G$33))</f>
        <v>7431.57</v>
      </c>
      <c r="D110" s="1565" t="n">
        <f aca="false">VLOOKUP($A110,Curves_Table,Escalation!$V$291)</f>
        <v>1.37395101449367</v>
      </c>
      <c r="E110" s="1596" t="n">
        <f aca="false">C110*D110</f>
        <v>10210.6131407807</v>
      </c>
      <c r="F110" s="1565" t="n">
        <f aca="false">IF(Assm!$L$74=0,VLOOKUP($A110,Curves_Table,Escalation!$D$291),VLOOKUP($A110,Curves_Table,Escalation!$E$291))</f>
        <v>2.55233523944716</v>
      </c>
      <c r="G110" s="427" t="n">
        <f aca="false">IF($A110&lt;EE_Date,VLOOKUP($A110,Curves_Table,Escalation!$D$291),Exch)</f>
        <v>1.065</v>
      </c>
      <c r="H110" s="1596" t="n">
        <f aca="false">E110*F110/G110</f>
        <v>24470.3359019501</v>
      </c>
      <c r="I110" s="1540" t="n">
        <f aca="false">VLOOKUP($A110,Plant_Table,'Plant Operations'!$C$270)</f>
        <v>480</v>
      </c>
      <c r="J110" s="1575" t="n">
        <f aca="false">H110*I110/1000</f>
        <v>11745.7612329361</v>
      </c>
      <c r="K110" s="1565" t="n">
        <f aca="false">F110</f>
        <v>2.55233523944716</v>
      </c>
      <c r="L110" s="394" t="n">
        <f aca="false">J110/K110</f>
        <v>4601.96648598567</v>
      </c>
      <c r="M110" s="1579" t="str">
        <f aca="false">IF(MONTH($A110)=12,SUM(L99:L110)," ")</f>
        <v> </v>
      </c>
      <c r="O110" s="1597" t="n">
        <f aca="false">IF($A110&gt;Endyr,0,VLOOKUP($A110,Tariff_Table,Tariff!$H$33))</f>
        <v>6140.72</v>
      </c>
      <c r="P110" s="1565" t="n">
        <f aca="false">$AS110</f>
        <v>1.28599122293753</v>
      </c>
      <c r="Q110" s="1575" t="n">
        <f aca="false">O110*P110</f>
        <v>7896.91202251697</v>
      </c>
      <c r="R110" s="1565" t="n">
        <f aca="false">$F110</f>
        <v>2.55233523944716</v>
      </c>
      <c r="S110" s="427" t="n">
        <f aca="false">$G110</f>
        <v>1.065</v>
      </c>
      <c r="T110" s="1575" t="n">
        <f aca="false">Q110*R110/S110</f>
        <v>18925.4148712526</v>
      </c>
      <c r="U110" s="1540" t="n">
        <f aca="false">$I110</f>
        <v>480</v>
      </c>
      <c r="V110" s="1575" t="n">
        <f aca="false">T110*U110/1000</f>
        <v>9084.19913820126</v>
      </c>
      <c r="W110" s="1565" t="n">
        <f aca="false">R110</f>
        <v>2.55233523944716</v>
      </c>
      <c r="X110" s="394" t="n">
        <f aca="false">V110/W110</f>
        <v>3559.1716157823</v>
      </c>
      <c r="Y110" s="1579" t="str">
        <f aca="false">IF(MONTH($A110)=12,SUM(X99:X110)," ")</f>
        <v> </v>
      </c>
      <c r="AA110" s="1595" t="n">
        <f aca="false">IF($A110&gt;Endyr,0,VLOOKUP($A110,Tariff_Table,Tariff!$I$33))</f>
        <v>2.31</v>
      </c>
      <c r="AB110" s="1565" t="n">
        <f aca="false">$AS110</f>
        <v>1.28599122293753</v>
      </c>
      <c r="AC110" s="1596" t="n">
        <f aca="false">AA110*AB110</f>
        <v>2.9706397249857</v>
      </c>
      <c r="AD110" s="1565" t="n">
        <f aca="false">$F110</f>
        <v>2.55233523944716</v>
      </c>
      <c r="AE110" s="427" t="n">
        <f aca="false">$G110</f>
        <v>1.065</v>
      </c>
      <c r="AF110" s="1596" t="n">
        <f aca="false">AC110*AD110/AE110</f>
        <v>7.11931310214332</v>
      </c>
      <c r="AG110" s="397" t="n">
        <f aca="false">VLOOKUP($A110,Plant_Table,'Plant Operations'!$M$270)</f>
        <v>298980.864</v>
      </c>
      <c r="AH110" s="1575" t="n">
        <f aca="false">AF110*AG110/1000</f>
        <v>2128.53838236533</v>
      </c>
      <c r="AI110" s="1565" t="n">
        <f aca="false">AD110</f>
        <v>2.55233523944716</v>
      </c>
      <c r="AJ110" s="1566" t="n">
        <f aca="false">AH110/AI110</f>
        <v>833.957212778355</v>
      </c>
      <c r="AK110" s="1567" t="str">
        <f aca="false">IF(MONTH($A110)=12,SUM(AJ99:AJ110)," ")</f>
        <v> </v>
      </c>
      <c r="AM110" s="488" t="n">
        <f aca="false">IF($A110&gt;Endyr,0,VLOOKUP($A110,Tariff_Table,Tariff!$L$33))</f>
        <v>1.21</v>
      </c>
      <c r="AN110" s="1576" t="n">
        <f aca="false">VLOOKUP($A110,Curves_Table,Escalation!$Z$291)</f>
        <v>1.34508031858578</v>
      </c>
      <c r="AO110" s="1314" t="n">
        <f aca="false">AM110*AN110</f>
        <v>1.6275471854888</v>
      </c>
      <c r="AP110" s="1314" t="n">
        <f aca="false">IF($A110&gt;Endyr,0,VLOOKUP($A110,Tariff_Table,Tariff!$M$33))</f>
        <v>0.25</v>
      </c>
      <c r="AQ110" s="1314" t="n">
        <f aca="false">SUM(AO110,AP110)</f>
        <v>1.8775471854888</v>
      </c>
      <c r="AR110" s="1314" t="n">
        <f aca="false">SUM(AM110,AP110)</f>
        <v>1.46</v>
      </c>
      <c r="AS110" s="1598" t="n">
        <f aca="false">IF(AR110=0,0,AQ110/AR110)</f>
        <v>1.28599122293753</v>
      </c>
    </row>
    <row r="111" customFormat="false" ht="12.75" hidden="false" customHeight="false" outlineLevel="0" collapsed="false">
      <c r="A111" s="1538" t="n">
        <f aca="false">EDATE(A110,1)</f>
        <v>39965</v>
      </c>
      <c r="C111" s="1595" t="n">
        <f aca="false">IF($A111&gt;Endyr,0,VLOOKUP($A111,Tariff_Table,Tariff!$G$33))</f>
        <v>7431.57</v>
      </c>
      <c r="D111" s="1565" t="n">
        <f aca="false">VLOOKUP($A111,Curves_Table,Escalation!$V$291)</f>
        <v>1.37395101449367</v>
      </c>
      <c r="E111" s="1596" t="n">
        <f aca="false">C111*D111</f>
        <v>10210.6131407807</v>
      </c>
      <c r="F111" s="1565" t="n">
        <f aca="false">IF(Assm!$L$74=0,VLOOKUP($A111,Curves_Table,Escalation!$D$291),VLOOKUP($A111,Curves_Table,Escalation!$E$291))</f>
        <v>2.55759263214617</v>
      </c>
      <c r="G111" s="427" t="n">
        <f aca="false">IF($A111&lt;EE_Date,VLOOKUP($A111,Curves_Table,Escalation!$D$291),Exch)</f>
        <v>1.065</v>
      </c>
      <c r="H111" s="1596" t="n">
        <f aca="false">E111*F111/G111</f>
        <v>24520.7407873762</v>
      </c>
      <c r="I111" s="1540" t="n">
        <f aca="false">VLOOKUP($A111,Plant_Table,'Plant Operations'!$C$270)</f>
        <v>480</v>
      </c>
      <c r="J111" s="1575" t="n">
        <f aca="false">H111*I111/1000</f>
        <v>11769.9555779406</v>
      </c>
      <c r="K111" s="1565" t="n">
        <f aca="false">F111</f>
        <v>2.55759263214617</v>
      </c>
      <c r="L111" s="394" t="n">
        <f aca="false">J111/K111</f>
        <v>4601.96648598567</v>
      </c>
      <c r="M111" s="1579" t="str">
        <f aca="false">IF(MONTH($A111)=12,SUM(L100:L111)," ")</f>
        <v> </v>
      </c>
      <c r="O111" s="1597" t="n">
        <f aca="false">IF($A111&gt;Endyr,0,VLOOKUP($A111,Tariff_Table,Tariff!$H$33))</f>
        <v>6140.72</v>
      </c>
      <c r="P111" s="1565" t="n">
        <f aca="false">$AS111</f>
        <v>1.28599122293753</v>
      </c>
      <c r="Q111" s="1575" t="n">
        <f aca="false">O111*P111</f>
        <v>7896.91202251697</v>
      </c>
      <c r="R111" s="1565" t="n">
        <f aca="false">$F111</f>
        <v>2.55759263214617</v>
      </c>
      <c r="S111" s="427" t="n">
        <f aca="false">$G111</f>
        <v>1.065</v>
      </c>
      <c r="T111" s="1575" t="n">
        <f aca="false">Q111*R111/S111</f>
        <v>18964.3981272262</v>
      </c>
      <c r="U111" s="1540" t="n">
        <f aca="false">$I111</f>
        <v>480</v>
      </c>
      <c r="V111" s="1575" t="n">
        <f aca="false">T111*U111/1000</f>
        <v>9102.9111010686</v>
      </c>
      <c r="W111" s="1565" t="n">
        <f aca="false">R111</f>
        <v>2.55759263214617</v>
      </c>
      <c r="X111" s="394" t="n">
        <f aca="false">V111/W111</f>
        <v>3559.1716157823</v>
      </c>
      <c r="Y111" s="1579" t="str">
        <f aca="false">IF(MONTH($A111)=12,SUM(X100:X111)," ")</f>
        <v> </v>
      </c>
      <c r="AA111" s="1595" t="n">
        <f aca="false">IF($A111&gt;Endyr,0,VLOOKUP($A111,Tariff_Table,Tariff!$I$33))</f>
        <v>2.31</v>
      </c>
      <c r="AB111" s="1565" t="n">
        <f aca="false">$AS111</f>
        <v>1.28599122293753</v>
      </c>
      <c r="AC111" s="1596" t="n">
        <f aca="false">AA111*AB111</f>
        <v>2.9706397249857</v>
      </c>
      <c r="AD111" s="1565" t="n">
        <f aca="false">$F111</f>
        <v>2.55759263214617</v>
      </c>
      <c r="AE111" s="427" t="n">
        <f aca="false">$G111</f>
        <v>1.065</v>
      </c>
      <c r="AF111" s="1596" t="n">
        <f aca="false">AC111*AD111/AE111</f>
        <v>7.13397772148748</v>
      </c>
      <c r="AG111" s="397" t="n">
        <f aca="false">VLOOKUP($A111,Plant_Table,'Plant Operations'!$M$270)</f>
        <v>289336.32</v>
      </c>
      <c r="AH111" s="1575" t="n">
        <f aca="false">AF111*AG111/1000</f>
        <v>2064.11886089717</v>
      </c>
      <c r="AI111" s="1565" t="n">
        <f aca="false">AD111</f>
        <v>2.55759263214617</v>
      </c>
      <c r="AJ111" s="1566" t="n">
        <f aca="false">AH111/AI111</f>
        <v>807.05536720486</v>
      </c>
      <c r="AK111" s="1567" t="str">
        <f aca="false">IF(MONTH($A111)=12,SUM(AJ100:AJ111)," ")</f>
        <v> </v>
      </c>
      <c r="AM111" s="488" t="n">
        <f aca="false">IF($A111&gt;Endyr,0,VLOOKUP($A111,Tariff_Table,Tariff!$L$33))</f>
        <v>1.21</v>
      </c>
      <c r="AN111" s="1576" t="n">
        <f aca="false">VLOOKUP($A111,Curves_Table,Escalation!$Z$291)</f>
        <v>1.34508031858578</v>
      </c>
      <c r="AO111" s="1314" t="n">
        <f aca="false">AM111*AN111</f>
        <v>1.6275471854888</v>
      </c>
      <c r="AP111" s="1314" t="n">
        <f aca="false">IF($A111&gt;Endyr,0,VLOOKUP($A111,Tariff_Table,Tariff!$M$33))</f>
        <v>0.25</v>
      </c>
      <c r="AQ111" s="1314" t="n">
        <f aca="false">SUM(AO111,AP111)</f>
        <v>1.8775471854888</v>
      </c>
      <c r="AR111" s="1314" t="n">
        <f aca="false">SUM(AM111,AP111)</f>
        <v>1.46</v>
      </c>
      <c r="AS111" s="1598" t="n">
        <f aca="false">IF(AR111=0,0,AQ111/AR111)</f>
        <v>1.28599122293753</v>
      </c>
    </row>
    <row r="112" customFormat="false" ht="12.75" hidden="false" customHeight="false" outlineLevel="0" collapsed="false">
      <c r="A112" s="1538" t="n">
        <f aca="false">EDATE(A111,1)</f>
        <v>39995</v>
      </c>
      <c r="C112" s="1595" t="n">
        <f aca="false">IF($A112&gt;Endyr,0,VLOOKUP($A112,Tariff_Table,Tariff!$G$33))</f>
        <v>7431.57</v>
      </c>
      <c r="D112" s="1565" t="n">
        <f aca="false">VLOOKUP($A112,Curves_Table,Escalation!$V$291)</f>
        <v>1.37395101449367</v>
      </c>
      <c r="E112" s="1596" t="n">
        <f aca="false">C112*D112</f>
        <v>10210.6131407807</v>
      </c>
      <c r="F112" s="1565" t="n">
        <f aca="false">IF(Assm!$L$74=0,VLOOKUP($A112,Curves_Table,Escalation!$D$291),VLOOKUP($A112,Curves_Table,Escalation!$E$291))</f>
        <v>2.56286085421335</v>
      </c>
      <c r="G112" s="427" t="n">
        <f aca="false">IF($A112&lt;EE_Date,VLOOKUP($A112,Curves_Table,Escalation!$D$291),Exch)</f>
        <v>1.065</v>
      </c>
      <c r="H112" s="1596" t="n">
        <f aca="false">E112*F112/G112</f>
        <v>24571.2494986134</v>
      </c>
      <c r="I112" s="1540" t="n">
        <f aca="false">VLOOKUP($A112,Plant_Table,'Plant Operations'!$C$270)</f>
        <v>480</v>
      </c>
      <c r="J112" s="1575" t="n">
        <f aca="false">H112*I112/1000</f>
        <v>11794.1997593345</v>
      </c>
      <c r="K112" s="1565" t="n">
        <f aca="false">F112</f>
        <v>2.56286085421335</v>
      </c>
      <c r="L112" s="394" t="n">
        <f aca="false">J112/K112</f>
        <v>4601.96648598567</v>
      </c>
      <c r="M112" s="1579" t="str">
        <f aca="false">IF(MONTH($A112)=12,SUM(L101:L112)," ")</f>
        <v> </v>
      </c>
      <c r="O112" s="1597" t="n">
        <f aca="false">IF($A112&gt;Endyr,0,VLOOKUP($A112,Tariff_Table,Tariff!$H$33))</f>
        <v>6140.72</v>
      </c>
      <c r="P112" s="1565" t="n">
        <f aca="false">$AS112</f>
        <v>1.28599122293753</v>
      </c>
      <c r="Q112" s="1575" t="n">
        <f aca="false">O112*P112</f>
        <v>7896.91202251697</v>
      </c>
      <c r="R112" s="1565" t="n">
        <f aca="false">$F112</f>
        <v>2.56286085421335</v>
      </c>
      <c r="S112" s="427" t="n">
        <f aca="false">$G112</f>
        <v>1.065</v>
      </c>
      <c r="T112" s="1575" t="n">
        <f aca="false">Q112*R112/S112</f>
        <v>19003.4616823244</v>
      </c>
      <c r="U112" s="1540" t="n">
        <f aca="false">$I112</f>
        <v>480</v>
      </c>
      <c r="V112" s="1575" t="n">
        <f aca="false">T112*U112/1000</f>
        <v>9121.66160751573</v>
      </c>
      <c r="W112" s="1565" t="n">
        <f aca="false">R112</f>
        <v>2.56286085421335</v>
      </c>
      <c r="X112" s="394" t="n">
        <f aca="false">V112/W112</f>
        <v>3559.1716157823</v>
      </c>
      <c r="Y112" s="1579" t="str">
        <f aca="false">IF(MONTH($A112)=12,SUM(X101:X112)," ")</f>
        <v> </v>
      </c>
      <c r="AA112" s="1595" t="n">
        <f aca="false">IF($A112&gt;Endyr,0,VLOOKUP($A112,Tariff_Table,Tariff!$I$33))</f>
        <v>2.31</v>
      </c>
      <c r="AB112" s="1565" t="n">
        <f aca="false">$AS112</f>
        <v>1.28599122293753</v>
      </c>
      <c r="AC112" s="1596" t="n">
        <f aca="false">AA112*AB112</f>
        <v>2.9706397249857</v>
      </c>
      <c r="AD112" s="1565" t="n">
        <f aca="false">$F112</f>
        <v>2.56286085421335</v>
      </c>
      <c r="AE112" s="427" t="n">
        <f aca="false">$G112</f>
        <v>1.065</v>
      </c>
      <c r="AF112" s="1596" t="n">
        <f aca="false">AC112*AD112/AE112</f>
        <v>7.14867254754645</v>
      </c>
      <c r="AG112" s="397" t="n">
        <f aca="false">VLOOKUP($A112,Plant_Table,'Plant Operations'!$M$270)</f>
        <v>298980.864</v>
      </c>
      <c r="AH112" s="1575" t="n">
        <f aca="false">AF112*AG112/1000</f>
        <v>2137.31629471852</v>
      </c>
      <c r="AI112" s="1565" t="n">
        <f aca="false">AD112</f>
        <v>2.56286085421335</v>
      </c>
      <c r="AJ112" s="1566" t="n">
        <f aca="false">AH112/AI112</f>
        <v>833.957212778355</v>
      </c>
      <c r="AK112" s="1567" t="str">
        <f aca="false">IF(MONTH($A112)=12,SUM(AJ101:AJ112)," ")</f>
        <v> </v>
      </c>
      <c r="AM112" s="488" t="n">
        <f aca="false">IF($A112&gt;Endyr,0,VLOOKUP($A112,Tariff_Table,Tariff!$L$33))</f>
        <v>1.21</v>
      </c>
      <c r="AN112" s="1576" t="n">
        <f aca="false">VLOOKUP($A112,Curves_Table,Escalation!$Z$291)</f>
        <v>1.34508031858578</v>
      </c>
      <c r="AO112" s="1314" t="n">
        <f aca="false">AM112*AN112</f>
        <v>1.6275471854888</v>
      </c>
      <c r="AP112" s="1314" t="n">
        <f aca="false">IF($A112&gt;Endyr,0,VLOOKUP($A112,Tariff_Table,Tariff!$M$33))</f>
        <v>0.25</v>
      </c>
      <c r="AQ112" s="1314" t="n">
        <f aca="false">SUM(AO112,AP112)</f>
        <v>1.8775471854888</v>
      </c>
      <c r="AR112" s="1314" t="n">
        <f aca="false">SUM(AM112,AP112)</f>
        <v>1.46</v>
      </c>
      <c r="AS112" s="1598" t="n">
        <f aca="false">IF(AR112=0,0,AQ112/AR112)</f>
        <v>1.28599122293753</v>
      </c>
    </row>
    <row r="113" customFormat="false" ht="12.75" hidden="false" customHeight="false" outlineLevel="0" collapsed="false">
      <c r="A113" s="1538" t="n">
        <f aca="false">EDATE(A112,1)</f>
        <v>40026</v>
      </c>
      <c r="C113" s="1595" t="n">
        <f aca="false">IF($A113&gt;Endyr,0,VLOOKUP($A113,Tariff_Table,Tariff!$G$33))</f>
        <v>7431.57</v>
      </c>
      <c r="D113" s="1565" t="n">
        <f aca="false">VLOOKUP($A113,Curves_Table,Escalation!$V$291)</f>
        <v>1.37395101449367</v>
      </c>
      <c r="E113" s="1596" t="n">
        <f aca="false">C113*D113</f>
        <v>10210.6131407807</v>
      </c>
      <c r="F113" s="1565" t="n">
        <f aca="false">IF(Assm!$L$74=0,VLOOKUP($A113,Curves_Table,Escalation!$D$291),VLOOKUP($A113,Curves_Table,Escalation!$E$291))</f>
        <v>2.56813992795542</v>
      </c>
      <c r="G113" s="427" t="n">
        <f aca="false">IF($A113&lt;EE_Date,VLOOKUP($A113,Curves_Table,Escalation!$D$291),Exch)</f>
        <v>1.065</v>
      </c>
      <c r="H113" s="1596" t="n">
        <f aca="false">E113*F113/G113</f>
        <v>24621.862249526</v>
      </c>
      <c r="I113" s="1540" t="n">
        <f aca="false">VLOOKUP($A113,Plant_Table,'Plant Operations'!$C$270)</f>
        <v>480</v>
      </c>
      <c r="J113" s="1575" t="n">
        <f aca="false">H113*I113/1000</f>
        <v>11818.4938797725</v>
      </c>
      <c r="K113" s="1565" t="n">
        <f aca="false">F113</f>
        <v>2.56813992795542</v>
      </c>
      <c r="L113" s="394" t="n">
        <f aca="false">J113/K113</f>
        <v>4601.96648598567</v>
      </c>
      <c r="M113" s="1579" t="str">
        <f aca="false">IF(MONTH($A113)=12,SUM(L102:L113)," ")</f>
        <v> </v>
      </c>
      <c r="O113" s="1597" t="n">
        <f aca="false">IF($A113&gt;Endyr,0,VLOOKUP($A113,Tariff_Table,Tariff!$H$33))</f>
        <v>6140.72</v>
      </c>
      <c r="P113" s="1565" t="n">
        <f aca="false">$AS113</f>
        <v>1.28599122293753</v>
      </c>
      <c r="Q113" s="1575" t="n">
        <f aca="false">O113*P113</f>
        <v>7896.91202251697</v>
      </c>
      <c r="R113" s="1565" t="n">
        <f aca="false">$F113</f>
        <v>2.56813992795542</v>
      </c>
      <c r="S113" s="427" t="n">
        <f aca="false">$G113</f>
        <v>1.065</v>
      </c>
      <c r="T113" s="1575" t="n">
        <f aca="false">Q113*R113/S113</f>
        <v>19042.6057019503</v>
      </c>
      <c r="U113" s="1540" t="n">
        <f aca="false">$I113</f>
        <v>480</v>
      </c>
      <c r="V113" s="1575" t="n">
        <f aca="false">T113*U113/1000</f>
        <v>9140.45073693612</v>
      </c>
      <c r="W113" s="1565" t="n">
        <f aca="false">R113</f>
        <v>2.56813992795542</v>
      </c>
      <c r="X113" s="394" t="n">
        <f aca="false">V113/W113</f>
        <v>3559.1716157823</v>
      </c>
      <c r="Y113" s="1579" t="str">
        <f aca="false">IF(MONTH($A113)=12,SUM(X102:X113)," ")</f>
        <v> </v>
      </c>
      <c r="AA113" s="1595" t="n">
        <f aca="false">IF($A113&gt;Endyr,0,VLOOKUP($A113,Tariff_Table,Tariff!$I$33))</f>
        <v>2.31</v>
      </c>
      <c r="AB113" s="1565" t="n">
        <f aca="false">$AS113</f>
        <v>1.28599122293753</v>
      </c>
      <c r="AC113" s="1596" t="n">
        <f aca="false">AA113*AB113</f>
        <v>2.9706397249857</v>
      </c>
      <c r="AD113" s="1565" t="n">
        <f aca="false">$F113</f>
        <v>2.56813992795542</v>
      </c>
      <c r="AE113" s="427" t="n">
        <f aca="false">$G113</f>
        <v>1.065</v>
      </c>
      <c r="AF113" s="1596" t="n">
        <f aca="false">AC113*AD113/AE113</f>
        <v>7.16339764254112</v>
      </c>
      <c r="AG113" s="397" t="n">
        <f aca="false">VLOOKUP($A113,Plant_Table,'Plant Operations'!$M$270)</f>
        <v>298980.864</v>
      </c>
      <c r="AH113" s="1575" t="n">
        <f aca="false">AF113*AG113/1000</f>
        <v>2141.71881634251</v>
      </c>
      <c r="AI113" s="1565" t="n">
        <f aca="false">AD113</f>
        <v>2.56813992795542</v>
      </c>
      <c r="AJ113" s="1566" t="n">
        <f aca="false">AH113/AI113</f>
        <v>833.957212778355</v>
      </c>
      <c r="AK113" s="1567" t="str">
        <f aca="false">IF(MONTH($A113)=12,SUM(AJ102:AJ113)," ")</f>
        <v> </v>
      </c>
      <c r="AM113" s="488" t="n">
        <f aca="false">IF($A113&gt;Endyr,0,VLOOKUP($A113,Tariff_Table,Tariff!$L$33))</f>
        <v>1.21</v>
      </c>
      <c r="AN113" s="1576" t="n">
        <f aca="false">VLOOKUP($A113,Curves_Table,Escalation!$Z$291)</f>
        <v>1.34508031858578</v>
      </c>
      <c r="AO113" s="1314" t="n">
        <f aca="false">AM113*AN113</f>
        <v>1.6275471854888</v>
      </c>
      <c r="AP113" s="1314" t="n">
        <f aca="false">IF($A113&gt;Endyr,0,VLOOKUP($A113,Tariff_Table,Tariff!$M$33))</f>
        <v>0.25</v>
      </c>
      <c r="AQ113" s="1314" t="n">
        <f aca="false">SUM(AO113,AP113)</f>
        <v>1.8775471854888</v>
      </c>
      <c r="AR113" s="1314" t="n">
        <f aca="false">SUM(AM113,AP113)</f>
        <v>1.46</v>
      </c>
      <c r="AS113" s="1598" t="n">
        <f aca="false">IF(AR113=0,0,AQ113/AR113)</f>
        <v>1.28599122293753</v>
      </c>
    </row>
    <row r="114" customFormat="false" ht="12.75" hidden="false" customHeight="false" outlineLevel="0" collapsed="false">
      <c r="A114" s="1538" t="n">
        <f aca="false">EDATE(A113,1)</f>
        <v>40057</v>
      </c>
      <c r="C114" s="1595" t="n">
        <f aca="false">IF($A114&gt;Endyr,0,VLOOKUP($A114,Tariff_Table,Tariff!$G$33))</f>
        <v>7431.57</v>
      </c>
      <c r="D114" s="1565" t="n">
        <f aca="false">VLOOKUP($A114,Curves_Table,Escalation!$V$291)</f>
        <v>1.37395101449367</v>
      </c>
      <c r="E114" s="1596" t="n">
        <f aca="false">C114*D114</f>
        <v>10210.6131407807</v>
      </c>
      <c r="F114" s="1565" t="n">
        <f aca="false">IF(Assm!$L$74=0,VLOOKUP($A114,Curves_Table,Escalation!$D$291),VLOOKUP($A114,Curves_Table,Escalation!$E$291))</f>
        <v>2.57342987572505</v>
      </c>
      <c r="G114" s="427" t="n">
        <f aca="false">IF($A114&lt;EE_Date,VLOOKUP($A114,Curves_Table,Escalation!$D$291),Exch)</f>
        <v>1.065</v>
      </c>
      <c r="H114" s="1596" t="n">
        <f aca="false">E114*F114/G114</f>
        <v>24672.5792544187</v>
      </c>
      <c r="I114" s="1540" t="n">
        <f aca="false">VLOOKUP($A114,Plant_Table,'Plant Operations'!$C$270)</f>
        <v>480</v>
      </c>
      <c r="J114" s="1575" t="n">
        <f aca="false">H114*I114/1000</f>
        <v>11842.838042121</v>
      </c>
      <c r="K114" s="1565" t="n">
        <f aca="false">F114</f>
        <v>2.57342987572505</v>
      </c>
      <c r="L114" s="394" t="n">
        <f aca="false">J114/K114</f>
        <v>4601.96648598567</v>
      </c>
      <c r="M114" s="1579" t="str">
        <f aca="false">IF(MONTH($A114)=12,SUM(L103:L114)," ")</f>
        <v> </v>
      </c>
      <c r="O114" s="1597" t="n">
        <f aca="false">IF($A114&gt;Endyr,0,VLOOKUP($A114,Tariff_Table,Tariff!$H$33))</f>
        <v>6140.72</v>
      </c>
      <c r="P114" s="1565" t="n">
        <f aca="false">$AS114</f>
        <v>1.28599122293753</v>
      </c>
      <c r="Q114" s="1575" t="n">
        <f aca="false">O114*P114</f>
        <v>7896.91202251697</v>
      </c>
      <c r="R114" s="1565" t="n">
        <f aca="false">$F114</f>
        <v>2.57342987572505</v>
      </c>
      <c r="S114" s="427" t="n">
        <f aca="false">$G114</f>
        <v>1.065</v>
      </c>
      <c r="T114" s="1575" t="n">
        <f aca="false">Q114*R114/S114</f>
        <v>19081.8303518474</v>
      </c>
      <c r="U114" s="1540" t="n">
        <f aca="false">$I114</f>
        <v>480</v>
      </c>
      <c r="V114" s="1575" t="n">
        <f aca="false">T114*U114/1000</f>
        <v>9159.27856888677</v>
      </c>
      <c r="W114" s="1565" t="n">
        <f aca="false">R114</f>
        <v>2.57342987572505</v>
      </c>
      <c r="X114" s="394" t="n">
        <f aca="false">V114/W114</f>
        <v>3559.1716157823</v>
      </c>
      <c r="Y114" s="1579" t="str">
        <f aca="false">IF(MONTH($A114)=12,SUM(X103:X114)," ")</f>
        <v> </v>
      </c>
      <c r="AA114" s="1595" t="n">
        <f aca="false">IF($A114&gt;Endyr,0,VLOOKUP($A114,Tariff_Table,Tariff!$I$33))</f>
        <v>2.31</v>
      </c>
      <c r="AB114" s="1565" t="n">
        <f aca="false">$AS114</f>
        <v>1.28599122293753</v>
      </c>
      <c r="AC114" s="1596" t="n">
        <f aca="false">AA114*AB114</f>
        <v>2.9706397249857</v>
      </c>
      <c r="AD114" s="1565" t="n">
        <f aca="false">$F114</f>
        <v>2.57342987572505</v>
      </c>
      <c r="AE114" s="427" t="n">
        <f aca="false">$G114</f>
        <v>1.065</v>
      </c>
      <c r="AF114" s="1596" t="n">
        <f aca="false">AC114*AD114/AE114</f>
        <v>7.17815306882053</v>
      </c>
      <c r="AG114" s="397" t="n">
        <f aca="false">VLOOKUP($A114,Plant_Table,'Plant Operations'!$M$270)</f>
        <v>289336.32</v>
      </c>
      <c r="AH114" s="1575" t="n">
        <f aca="false">AF114*AG114/1000</f>
        <v>2076.90039332924</v>
      </c>
      <c r="AI114" s="1565" t="n">
        <f aca="false">AD114</f>
        <v>2.57342987572505</v>
      </c>
      <c r="AJ114" s="1566" t="n">
        <f aca="false">AH114/AI114</f>
        <v>807.05536720486</v>
      </c>
      <c r="AK114" s="1567" t="str">
        <f aca="false">IF(MONTH($A114)=12,SUM(AJ103:AJ114)," ")</f>
        <v> </v>
      </c>
      <c r="AM114" s="488" t="n">
        <f aca="false">IF($A114&gt;Endyr,0,VLOOKUP($A114,Tariff_Table,Tariff!$L$33))</f>
        <v>1.21</v>
      </c>
      <c r="AN114" s="1576" t="n">
        <f aca="false">VLOOKUP($A114,Curves_Table,Escalation!$Z$291)</f>
        <v>1.34508031858578</v>
      </c>
      <c r="AO114" s="1314" t="n">
        <f aca="false">AM114*AN114</f>
        <v>1.6275471854888</v>
      </c>
      <c r="AP114" s="1314" t="n">
        <f aca="false">IF($A114&gt;Endyr,0,VLOOKUP($A114,Tariff_Table,Tariff!$M$33))</f>
        <v>0.25</v>
      </c>
      <c r="AQ114" s="1314" t="n">
        <f aca="false">SUM(AO114,AP114)</f>
        <v>1.8775471854888</v>
      </c>
      <c r="AR114" s="1314" t="n">
        <f aca="false">SUM(AM114,AP114)</f>
        <v>1.46</v>
      </c>
      <c r="AS114" s="1598" t="n">
        <f aca="false">IF(AR114=0,0,AQ114/AR114)</f>
        <v>1.28599122293753</v>
      </c>
    </row>
    <row r="115" customFormat="false" ht="12.75" hidden="false" customHeight="false" outlineLevel="0" collapsed="false">
      <c r="A115" s="1538" t="n">
        <f aca="false">EDATE(A114,1)</f>
        <v>40087</v>
      </c>
      <c r="C115" s="1595" t="n">
        <f aca="false">IF($A115&gt;Endyr,0,VLOOKUP($A115,Tariff_Table,Tariff!$G$33))</f>
        <v>7431.57</v>
      </c>
      <c r="D115" s="1565" t="n">
        <f aca="false">VLOOKUP($A115,Curves_Table,Escalation!$V$291)</f>
        <v>1.37395101449367</v>
      </c>
      <c r="E115" s="1596" t="n">
        <f aca="false">C115*D115</f>
        <v>10210.6131407807</v>
      </c>
      <c r="F115" s="1565" t="n">
        <f aca="false">IF(Assm!$L$74=0,VLOOKUP($A115,Curves_Table,Escalation!$D$291),VLOOKUP($A115,Curves_Table,Escalation!$E$291))</f>
        <v>2.57873071992097</v>
      </c>
      <c r="G115" s="427" t="n">
        <f aca="false">IF($A115&lt;EE_Date,VLOOKUP($A115,Curves_Table,Escalation!$D$291),Exch)</f>
        <v>1.065</v>
      </c>
      <c r="H115" s="1596" t="n">
        <f aca="false">E115*F115/G115</f>
        <v>24723.4007280375</v>
      </c>
      <c r="I115" s="1540" t="n">
        <f aca="false">VLOOKUP($A115,Plant_Table,'Plant Operations'!$C$270)</f>
        <v>480</v>
      </c>
      <c r="J115" s="1575" t="n">
        <f aca="false">H115*I115/1000</f>
        <v>11867.232349458</v>
      </c>
      <c r="K115" s="1565" t="n">
        <f aca="false">F115</f>
        <v>2.57873071992097</v>
      </c>
      <c r="L115" s="394" t="n">
        <f aca="false">J115/K115</f>
        <v>4601.96648598567</v>
      </c>
      <c r="M115" s="1579" t="str">
        <f aca="false">IF(MONTH($A115)=12,SUM(L104:L115)," ")</f>
        <v> </v>
      </c>
      <c r="O115" s="1597" t="n">
        <f aca="false">IF($A115&gt;Endyr,0,VLOOKUP($A115,Tariff_Table,Tariff!$H$33))</f>
        <v>6140.72</v>
      </c>
      <c r="P115" s="1565" t="n">
        <f aca="false">$AS115</f>
        <v>1.28599122293753</v>
      </c>
      <c r="Q115" s="1575" t="n">
        <f aca="false">O115*P115</f>
        <v>7896.91202251697</v>
      </c>
      <c r="R115" s="1565" t="n">
        <f aca="false">$F115</f>
        <v>2.57873071992097</v>
      </c>
      <c r="S115" s="427" t="n">
        <f aca="false">$G115</f>
        <v>1.065</v>
      </c>
      <c r="T115" s="1575" t="n">
        <f aca="false">Q115*R115/S115</f>
        <v>19121.1357981012</v>
      </c>
      <c r="U115" s="1540" t="n">
        <f aca="false">$I115</f>
        <v>480</v>
      </c>
      <c r="V115" s="1575" t="n">
        <f aca="false">T115*U115/1000</f>
        <v>9178.14518308855</v>
      </c>
      <c r="W115" s="1565" t="n">
        <f aca="false">R115</f>
        <v>2.57873071992097</v>
      </c>
      <c r="X115" s="394" t="n">
        <f aca="false">V115/W115</f>
        <v>3559.1716157823</v>
      </c>
      <c r="Y115" s="1579" t="str">
        <f aca="false">IF(MONTH($A115)=12,SUM(X104:X115)," ")</f>
        <v> </v>
      </c>
      <c r="AA115" s="1595" t="n">
        <f aca="false">IF($A115&gt;Endyr,0,VLOOKUP($A115,Tariff_Table,Tariff!$I$33))</f>
        <v>2.31</v>
      </c>
      <c r="AB115" s="1565" t="n">
        <f aca="false">$AS115</f>
        <v>1.28599122293753</v>
      </c>
      <c r="AC115" s="1596" t="n">
        <f aca="false">AA115*AB115</f>
        <v>2.9706397249857</v>
      </c>
      <c r="AD115" s="1565" t="n">
        <f aca="false">$F115</f>
        <v>2.57873071992097</v>
      </c>
      <c r="AE115" s="427" t="n">
        <f aca="false">$G115</f>
        <v>1.065</v>
      </c>
      <c r="AF115" s="1596" t="n">
        <f aca="false">AC115*AD115/AE115</f>
        <v>7.19293888886216</v>
      </c>
      <c r="AG115" s="397" t="n">
        <f aca="false">VLOOKUP($A115,Plant_Table,'Plant Operations'!$M$270)</f>
        <v>298980.864</v>
      </c>
      <c r="AH115" s="1575" t="n">
        <f aca="false">AF115*AG115/1000</f>
        <v>2150.55108369121</v>
      </c>
      <c r="AI115" s="1565" t="n">
        <f aca="false">AD115</f>
        <v>2.57873071992097</v>
      </c>
      <c r="AJ115" s="1566" t="n">
        <f aca="false">AH115/AI115</f>
        <v>833.957212778355</v>
      </c>
      <c r="AK115" s="1567" t="str">
        <f aca="false">IF(MONTH($A115)=12,SUM(AJ104:AJ115)," ")</f>
        <v> </v>
      </c>
      <c r="AM115" s="488" t="n">
        <f aca="false">IF($A115&gt;Endyr,0,VLOOKUP($A115,Tariff_Table,Tariff!$L$33))</f>
        <v>1.21</v>
      </c>
      <c r="AN115" s="1576" t="n">
        <f aca="false">VLOOKUP($A115,Curves_Table,Escalation!$Z$291)</f>
        <v>1.34508031858578</v>
      </c>
      <c r="AO115" s="1314" t="n">
        <f aca="false">AM115*AN115</f>
        <v>1.6275471854888</v>
      </c>
      <c r="AP115" s="1314" t="n">
        <f aca="false">IF($A115&gt;Endyr,0,VLOOKUP($A115,Tariff_Table,Tariff!$M$33))</f>
        <v>0.25</v>
      </c>
      <c r="AQ115" s="1314" t="n">
        <f aca="false">SUM(AO115,AP115)</f>
        <v>1.8775471854888</v>
      </c>
      <c r="AR115" s="1314" t="n">
        <f aca="false">SUM(AM115,AP115)</f>
        <v>1.46</v>
      </c>
      <c r="AS115" s="1598" t="n">
        <f aca="false">IF(AR115=0,0,AQ115/AR115)</f>
        <v>1.28599122293753</v>
      </c>
    </row>
    <row r="116" customFormat="false" ht="12.75" hidden="false" customHeight="false" outlineLevel="0" collapsed="false">
      <c r="A116" s="1538" t="n">
        <f aca="false">EDATE(A115,1)</f>
        <v>40118</v>
      </c>
      <c r="C116" s="1595" t="n">
        <f aca="false">IF($A116&gt;Endyr,0,VLOOKUP($A116,Tariff_Table,Tariff!$G$33))</f>
        <v>7431.57</v>
      </c>
      <c r="D116" s="1565" t="n">
        <f aca="false">VLOOKUP($A116,Curves_Table,Escalation!$V$291)</f>
        <v>1.37395101449367</v>
      </c>
      <c r="E116" s="1596" t="n">
        <f aca="false">C116*D116</f>
        <v>10210.6131407807</v>
      </c>
      <c r="F116" s="1565" t="n">
        <f aca="false">IF(Assm!$L$74=0,VLOOKUP($A116,Curves_Table,Escalation!$D$291),VLOOKUP($A116,Curves_Table,Escalation!$E$291))</f>
        <v>2.58404248298802</v>
      </c>
      <c r="G116" s="427" t="n">
        <f aca="false">IF($A116&lt;EE_Date,VLOOKUP($A116,Curves_Table,Escalation!$D$291),Exch)</f>
        <v>1.065</v>
      </c>
      <c r="H116" s="1596" t="n">
        <f aca="false">E116*F116/G116</f>
        <v>24774.3268855709</v>
      </c>
      <c r="I116" s="1540" t="n">
        <f aca="false">VLOOKUP($A116,Plant_Table,'Plant Operations'!$C$270)</f>
        <v>480</v>
      </c>
      <c r="J116" s="1575" t="n">
        <f aca="false">H116*I116/1000</f>
        <v>11891.6769050741</v>
      </c>
      <c r="K116" s="1565" t="n">
        <f aca="false">F116</f>
        <v>2.58404248298802</v>
      </c>
      <c r="L116" s="394" t="n">
        <f aca="false">J116/K116</f>
        <v>4601.96648598567</v>
      </c>
      <c r="M116" s="1579" t="str">
        <f aca="false">IF(MONTH($A116)=12,SUM(L105:L116)," ")</f>
        <v> </v>
      </c>
      <c r="O116" s="1597" t="n">
        <f aca="false">IF($A116&gt;Endyr,0,VLOOKUP($A116,Tariff_Table,Tariff!$H$33))</f>
        <v>6140.72</v>
      </c>
      <c r="P116" s="1565" t="n">
        <f aca="false">$AS116</f>
        <v>1.28599122293753</v>
      </c>
      <c r="Q116" s="1575" t="n">
        <f aca="false">O116*P116</f>
        <v>7896.91202251697</v>
      </c>
      <c r="R116" s="1565" t="n">
        <f aca="false">$F116</f>
        <v>2.58404248298802</v>
      </c>
      <c r="S116" s="427" t="n">
        <f aca="false">$G116</f>
        <v>1.065</v>
      </c>
      <c r="T116" s="1575" t="n">
        <f aca="false">Q116*R116/S116</f>
        <v>19160.5222071387</v>
      </c>
      <c r="U116" s="1540" t="n">
        <f aca="false">$I116</f>
        <v>480</v>
      </c>
      <c r="V116" s="1575" t="n">
        <f aca="false">T116*U116/1000</f>
        <v>9197.05065942656</v>
      </c>
      <c r="W116" s="1565" t="n">
        <f aca="false">R116</f>
        <v>2.58404248298802</v>
      </c>
      <c r="X116" s="394" t="n">
        <f aca="false">V116/W116</f>
        <v>3559.1716157823</v>
      </c>
      <c r="Y116" s="1579" t="str">
        <f aca="false">IF(MONTH($A116)=12,SUM(X105:X116)," ")</f>
        <v> </v>
      </c>
      <c r="AA116" s="1595" t="n">
        <f aca="false">IF($A116&gt;Endyr,0,VLOOKUP($A116,Tariff_Table,Tariff!$I$33))</f>
        <v>2.31</v>
      </c>
      <c r="AB116" s="1565" t="n">
        <f aca="false">$AS116</f>
        <v>1.28599122293753</v>
      </c>
      <c r="AC116" s="1596" t="n">
        <f aca="false">AA116*AB116</f>
        <v>2.9706397249857</v>
      </c>
      <c r="AD116" s="1565" t="n">
        <f aca="false">$F116</f>
        <v>2.58404248298802</v>
      </c>
      <c r="AE116" s="427" t="n">
        <f aca="false">$G116</f>
        <v>1.065</v>
      </c>
      <c r="AF116" s="1596" t="n">
        <f aca="false">AC116*AD116/AE116</f>
        <v>7.2077551652722</v>
      </c>
      <c r="AG116" s="397" t="n">
        <f aca="false">VLOOKUP($A116,Plant_Table,'Plant Operations'!$M$270)</f>
        <v>289336.32</v>
      </c>
      <c r="AH116" s="1575" t="n">
        <f aca="false">AF116*AG116/1000</f>
        <v>2085.46535498085</v>
      </c>
      <c r="AI116" s="1565" t="n">
        <f aca="false">AD116</f>
        <v>2.58404248298802</v>
      </c>
      <c r="AJ116" s="1566" t="n">
        <f aca="false">AH116/AI116</f>
        <v>807.05536720486</v>
      </c>
      <c r="AK116" s="1567" t="str">
        <f aca="false">IF(MONTH($A116)=12,SUM(AJ105:AJ116)," ")</f>
        <v> </v>
      </c>
      <c r="AM116" s="488" t="n">
        <f aca="false">IF($A116&gt;Endyr,0,VLOOKUP($A116,Tariff_Table,Tariff!$L$33))</f>
        <v>1.21</v>
      </c>
      <c r="AN116" s="1576" t="n">
        <f aca="false">VLOOKUP($A116,Curves_Table,Escalation!$Z$291)</f>
        <v>1.34508031858578</v>
      </c>
      <c r="AO116" s="1314" t="n">
        <f aca="false">AM116*AN116</f>
        <v>1.6275471854888</v>
      </c>
      <c r="AP116" s="1314" t="n">
        <f aca="false">IF($A116&gt;Endyr,0,VLOOKUP($A116,Tariff_Table,Tariff!$M$33))</f>
        <v>0.25</v>
      </c>
      <c r="AQ116" s="1314" t="n">
        <f aca="false">SUM(AO116,AP116)</f>
        <v>1.8775471854888</v>
      </c>
      <c r="AR116" s="1314" t="n">
        <f aca="false">SUM(AM116,AP116)</f>
        <v>1.46</v>
      </c>
      <c r="AS116" s="1598" t="n">
        <f aca="false">IF(AR116=0,0,AQ116/AR116)</f>
        <v>1.28599122293753</v>
      </c>
    </row>
    <row r="117" customFormat="false" ht="12.75" hidden="false" customHeight="false" outlineLevel="0" collapsed="false">
      <c r="A117" s="1538" t="n">
        <f aca="false">EDATE(A116,1)</f>
        <v>40148</v>
      </c>
      <c r="C117" s="1595" t="n">
        <f aca="false">IF($A117&gt;Endyr,0,VLOOKUP($A117,Tariff_Table,Tariff!$G$33))</f>
        <v>7431.57</v>
      </c>
      <c r="D117" s="1565" t="n">
        <f aca="false">VLOOKUP($A117,Curves_Table,Escalation!$V$291)</f>
        <v>1.37395101449367</v>
      </c>
      <c r="E117" s="1596" t="n">
        <f aca="false">C117*D117</f>
        <v>10210.6131407807</v>
      </c>
      <c r="F117" s="1565" t="n">
        <f aca="false">IF(Assm!$L$74=0,VLOOKUP($A117,Curves_Table,Escalation!$D$291),VLOOKUP($A117,Curves_Table,Escalation!$E$291))</f>
        <v>2.58936518741729</v>
      </c>
      <c r="G117" s="427" t="n">
        <f aca="false">IF($A117&lt;EE_Date,VLOOKUP($A117,Curves_Table,Escalation!$D$291),Exch)</f>
        <v>1.065</v>
      </c>
      <c r="H117" s="1596" t="n">
        <f aca="false">E117*F117/G117</f>
        <v>24825.3579426508</v>
      </c>
      <c r="I117" s="1540" t="n">
        <f aca="false">VLOOKUP($A117,Plant_Table,'Plant Operations'!$C$270)</f>
        <v>480</v>
      </c>
      <c r="J117" s="1575" t="n">
        <f aca="false">H117*I117/1000</f>
        <v>11916.1718124724</v>
      </c>
      <c r="K117" s="1565" t="n">
        <f aca="false">F117</f>
        <v>2.58936518741729</v>
      </c>
      <c r="L117" s="394" t="n">
        <f aca="false">J117/K117</f>
        <v>4601.96648598567</v>
      </c>
      <c r="M117" s="1579" t="n">
        <f aca="false">IF(MONTH($A117)=12,SUM(L106:L117)," ")</f>
        <v>54735.607736102</v>
      </c>
      <c r="O117" s="1597" t="n">
        <f aca="false">IF($A117&gt;Endyr,0,VLOOKUP($A117,Tariff_Table,Tariff!$H$33))</f>
        <v>6140.72</v>
      </c>
      <c r="P117" s="1565" t="n">
        <f aca="false">$AS117</f>
        <v>1.28599122293753</v>
      </c>
      <c r="Q117" s="1575" t="n">
        <f aca="false">O117*P117</f>
        <v>7896.91202251697</v>
      </c>
      <c r="R117" s="1565" t="n">
        <f aca="false">$F117</f>
        <v>2.58936518741729</v>
      </c>
      <c r="S117" s="427" t="n">
        <f aca="false">$G117</f>
        <v>1.065</v>
      </c>
      <c r="T117" s="1575" t="n">
        <f aca="false">Q117*R117/S117</f>
        <v>19199.98974573</v>
      </c>
      <c r="U117" s="1540" t="n">
        <f aca="false">$I117</f>
        <v>480</v>
      </c>
      <c r="V117" s="1575" t="n">
        <f aca="false">T117*U117/1000</f>
        <v>9215.99507795042</v>
      </c>
      <c r="W117" s="1565" t="n">
        <f aca="false">R117</f>
        <v>2.58936518741729</v>
      </c>
      <c r="X117" s="394" t="n">
        <f aca="false">V117/W117</f>
        <v>3559.1716157823</v>
      </c>
      <c r="Y117" s="1579" t="n">
        <f aca="false">IF(MONTH($A117)=12,SUM(X106:X117)," ")</f>
        <v>42371.9422292582</v>
      </c>
      <c r="AA117" s="1595" t="n">
        <f aca="false">IF($A117&gt;Endyr,0,VLOOKUP($A117,Tariff_Table,Tariff!$I$33))</f>
        <v>2.31</v>
      </c>
      <c r="AB117" s="1565" t="n">
        <f aca="false">$AS117</f>
        <v>1.28599122293753</v>
      </c>
      <c r="AC117" s="1596" t="n">
        <f aca="false">AA117*AB117</f>
        <v>2.9706397249857</v>
      </c>
      <c r="AD117" s="1565" t="n">
        <f aca="false">$F117</f>
        <v>2.58936518741729</v>
      </c>
      <c r="AE117" s="427" t="n">
        <f aca="false">$G117</f>
        <v>1.065</v>
      </c>
      <c r="AF117" s="1596" t="n">
        <f aca="false">AC117*AD117/AE117</f>
        <v>7.22260196078577</v>
      </c>
      <c r="AG117" s="397" t="n">
        <f aca="false">VLOOKUP($A117,Plant_Table,'Plant Operations'!$M$270)</f>
        <v>298980.864</v>
      </c>
      <c r="AH117" s="1575" t="n">
        <f aca="false">AF117*AG117/1000</f>
        <v>2159.41977456382</v>
      </c>
      <c r="AI117" s="1565" t="n">
        <f aca="false">AD117</f>
        <v>2.58936518741729</v>
      </c>
      <c r="AJ117" s="1566" t="n">
        <f aca="false">AH117/AI117</f>
        <v>833.957212778355</v>
      </c>
      <c r="AK117" s="1567" t="n">
        <f aca="false">IF(MONTH($A117)=12,SUM(AJ106:AJ117)," ")</f>
        <v>9754.19767779432</v>
      </c>
      <c r="AM117" s="488" t="n">
        <f aca="false">IF($A117&gt;Endyr,0,VLOOKUP($A117,Tariff_Table,Tariff!$L$33))</f>
        <v>1.21</v>
      </c>
      <c r="AN117" s="1576" t="n">
        <f aca="false">VLOOKUP($A117,Curves_Table,Escalation!$Z$291)</f>
        <v>1.34508031858578</v>
      </c>
      <c r="AO117" s="1314" t="n">
        <f aca="false">AM117*AN117</f>
        <v>1.6275471854888</v>
      </c>
      <c r="AP117" s="1314" t="n">
        <f aca="false">IF($A117&gt;Endyr,0,VLOOKUP($A117,Tariff_Table,Tariff!$M$33))</f>
        <v>0.25</v>
      </c>
      <c r="AQ117" s="1314" t="n">
        <f aca="false">SUM(AO117,AP117)</f>
        <v>1.8775471854888</v>
      </c>
      <c r="AR117" s="1314" t="n">
        <f aca="false">SUM(AM117,AP117)</f>
        <v>1.46</v>
      </c>
      <c r="AS117" s="1598" t="n">
        <f aca="false">IF(AR117=0,0,AQ117/AR117)</f>
        <v>1.28599122293753</v>
      </c>
    </row>
    <row r="118" customFormat="false" ht="12.75" hidden="false" customHeight="false" outlineLevel="0" collapsed="false">
      <c r="A118" s="1538" t="n">
        <f aca="false">EDATE(A117,1)</f>
        <v>40179</v>
      </c>
      <c r="C118" s="1595" t="n">
        <f aca="false">IF($A118&gt;Endyr,0,VLOOKUP($A118,Tariff_Table,Tariff!$G$33))</f>
        <v>7431.57</v>
      </c>
      <c r="D118" s="1565" t="n">
        <f aca="false">VLOOKUP($A118,Curves_Table,Escalation!$V$291)</f>
        <v>1.37395101449367</v>
      </c>
      <c r="E118" s="1596" t="n">
        <f aca="false">C118*D118</f>
        <v>10210.6131407807</v>
      </c>
      <c r="F118" s="1565" t="n">
        <f aca="false">IF(Assm!$L$74=0,VLOOKUP($A118,Curves_Table,Escalation!$D$291),VLOOKUP($A118,Curves_Table,Escalation!$E$291))</f>
        <v>2.59440828709463</v>
      </c>
      <c r="G118" s="427" t="n">
        <f aca="false">IF($A118&lt;EE_Date,VLOOKUP($A118,Curves_Table,Escalation!$D$291),Exch)</f>
        <v>1.065</v>
      </c>
      <c r="H118" s="1596" t="n">
        <f aca="false">E118*F118/G118</f>
        <v>24873.7083086937</v>
      </c>
      <c r="I118" s="1540" t="n">
        <f aca="false">VLOOKUP($A118,Plant_Table,'Plant Operations'!$C$270)</f>
        <v>480</v>
      </c>
      <c r="J118" s="1575" t="n">
        <f aca="false">H118*I118/1000</f>
        <v>11939.379988173</v>
      </c>
      <c r="K118" s="1565" t="n">
        <f aca="false">F118</f>
        <v>2.59440828709463</v>
      </c>
      <c r="L118" s="394" t="n">
        <f aca="false">J118/K118</f>
        <v>4601.96648598567</v>
      </c>
      <c r="M118" s="1579" t="str">
        <f aca="false">IF(MONTH($A118)=12,SUM(L107:L118)," ")</f>
        <v> </v>
      </c>
      <c r="O118" s="1597" t="n">
        <f aca="false">IF($A118&gt;Endyr,0,VLOOKUP($A118,Tariff_Table,Tariff!$H$33))</f>
        <v>6140.72</v>
      </c>
      <c r="P118" s="1565" t="n">
        <f aca="false">$AS118</f>
        <v>1.28599122293753</v>
      </c>
      <c r="Q118" s="1575" t="n">
        <f aca="false">O118*P118</f>
        <v>7896.91202251697</v>
      </c>
      <c r="R118" s="1565" t="n">
        <f aca="false">$F118</f>
        <v>2.59440828709463</v>
      </c>
      <c r="S118" s="427" t="n">
        <f aca="false">$G118</f>
        <v>1.065</v>
      </c>
      <c r="T118" s="1575" t="n">
        <f aca="false">Q118*R118/S118</f>
        <v>19237.38403162</v>
      </c>
      <c r="U118" s="1540" t="n">
        <f aca="false">$I118</f>
        <v>480</v>
      </c>
      <c r="V118" s="1575" t="n">
        <f aca="false">T118*U118/1000</f>
        <v>9233.94433517759</v>
      </c>
      <c r="W118" s="1565" t="n">
        <f aca="false">R118</f>
        <v>2.59440828709463</v>
      </c>
      <c r="X118" s="394" t="n">
        <f aca="false">V118/W118</f>
        <v>3559.1716157823</v>
      </c>
      <c r="Y118" s="1579" t="str">
        <f aca="false">IF(MONTH($A118)=12,SUM(X107:X118)," ")</f>
        <v> </v>
      </c>
      <c r="AA118" s="1595" t="n">
        <f aca="false">IF($A118&gt;Endyr,0,VLOOKUP($A118,Tariff_Table,Tariff!$I$33))</f>
        <v>2.31</v>
      </c>
      <c r="AB118" s="1565" t="n">
        <f aca="false">$AS118</f>
        <v>1.28599122293753</v>
      </c>
      <c r="AC118" s="1596" t="n">
        <f aca="false">AA118*AB118</f>
        <v>2.9706397249857</v>
      </c>
      <c r="AD118" s="1565" t="n">
        <f aca="false">$F118</f>
        <v>2.59440828709463</v>
      </c>
      <c r="AE118" s="427" t="n">
        <f aca="false">$G118</f>
        <v>1.065</v>
      </c>
      <c r="AF118" s="1596" t="n">
        <f aca="false">AC118*AD118/AE118</f>
        <v>7.23666884551684</v>
      </c>
      <c r="AG118" s="397" t="n">
        <f aca="false">VLOOKUP($A118,Plant_Table,'Plant Operations'!$M$270)</f>
        <v>298980.864</v>
      </c>
      <c r="AH118" s="1575" t="n">
        <f aca="false">AF118*AG118/1000</f>
        <v>2163.62550391451</v>
      </c>
      <c r="AI118" s="1565" t="n">
        <f aca="false">AD118</f>
        <v>2.59440828709463</v>
      </c>
      <c r="AJ118" s="1566" t="n">
        <f aca="false">AH118/AI118</f>
        <v>833.957212778355</v>
      </c>
      <c r="AK118" s="1567" t="str">
        <f aca="false">IF(MONTH($A118)=12,SUM(AJ107:AJ118)," ")</f>
        <v> </v>
      </c>
      <c r="AM118" s="488" t="n">
        <f aca="false">IF($A118&gt;Endyr,0,VLOOKUP($A118,Tariff_Table,Tariff!$L$33))</f>
        <v>1.21</v>
      </c>
      <c r="AN118" s="1576" t="n">
        <f aca="false">VLOOKUP($A118,Curves_Table,Escalation!$Z$291)</f>
        <v>1.34508031858578</v>
      </c>
      <c r="AO118" s="1314" t="n">
        <f aca="false">AM118*AN118</f>
        <v>1.6275471854888</v>
      </c>
      <c r="AP118" s="1314" t="n">
        <f aca="false">IF($A118&gt;Endyr,0,VLOOKUP($A118,Tariff_Table,Tariff!$M$33))</f>
        <v>0.25</v>
      </c>
      <c r="AQ118" s="1314" t="n">
        <f aca="false">SUM(AO118,AP118)</f>
        <v>1.8775471854888</v>
      </c>
      <c r="AR118" s="1314" t="n">
        <f aca="false">SUM(AM118,AP118)</f>
        <v>1.46</v>
      </c>
      <c r="AS118" s="1598" t="n">
        <f aca="false">IF(AR118=0,0,AQ118/AR118)</f>
        <v>1.28599122293753</v>
      </c>
    </row>
    <row r="119" customFormat="false" ht="12.75" hidden="false" customHeight="false" outlineLevel="0" collapsed="false">
      <c r="A119" s="1538" t="n">
        <f aca="false">EDATE(A118,1)</f>
        <v>40210</v>
      </c>
      <c r="C119" s="1595" t="n">
        <f aca="false">IF($A119&gt;Endyr,0,VLOOKUP($A119,Tariff_Table,Tariff!$G$33))</f>
        <v>7431.57</v>
      </c>
      <c r="D119" s="1565" t="n">
        <f aca="false">VLOOKUP($A119,Curves_Table,Escalation!$V$291)</f>
        <v>1.37395101449367</v>
      </c>
      <c r="E119" s="1596" t="n">
        <f aca="false">C119*D119</f>
        <v>10210.6131407807</v>
      </c>
      <c r="F119" s="1565" t="n">
        <f aca="false">IF(Assm!$L$74=0,VLOOKUP($A119,Curves_Table,Escalation!$D$291),VLOOKUP($A119,Curves_Table,Escalation!$E$291))</f>
        <v>2.59946120881426</v>
      </c>
      <c r="G119" s="427" t="n">
        <f aca="false">IF($A119&lt;EE_Date,VLOOKUP($A119,Curves_Table,Escalation!$D$291),Exch)</f>
        <v>1.065</v>
      </c>
      <c r="H119" s="1596" t="n">
        <f aca="false">E119*F119/G119</f>
        <v>24922.1528428813</v>
      </c>
      <c r="I119" s="1540" t="n">
        <f aca="false">VLOOKUP($A119,Plant_Table,'Plant Operations'!$C$270)</f>
        <v>480</v>
      </c>
      <c r="J119" s="1575" t="n">
        <f aca="false">H119*I119/1000</f>
        <v>11962.633364583</v>
      </c>
      <c r="K119" s="1565" t="n">
        <f aca="false">F119</f>
        <v>2.59946120881426</v>
      </c>
      <c r="L119" s="394" t="n">
        <f aca="false">J119/K119</f>
        <v>4601.96648598567</v>
      </c>
      <c r="M119" s="1579" t="str">
        <f aca="false">IF(MONTH($A119)=12,SUM(L108:L119)," ")</f>
        <v> </v>
      </c>
      <c r="O119" s="1597" t="n">
        <f aca="false">IF($A119&gt;Endyr,0,VLOOKUP($A119,Tariff_Table,Tariff!$H$33))</f>
        <v>6140.72</v>
      </c>
      <c r="P119" s="1565" t="n">
        <f aca="false">$AS119</f>
        <v>1.28599122293753</v>
      </c>
      <c r="Q119" s="1575" t="n">
        <f aca="false">O119*P119</f>
        <v>7896.91202251697</v>
      </c>
      <c r="R119" s="1565" t="n">
        <f aca="false">$F119</f>
        <v>2.59946120881426</v>
      </c>
      <c r="S119" s="427" t="n">
        <f aca="false">$G119</f>
        <v>1.065</v>
      </c>
      <c r="T119" s="1575" t="n">
        <f aca="false">Q119*R119/S119</f>
        <v>19274.8511473726</v>
      </c>
      <c r="U119" s="1540" t="n">
        <f aca="false">$I119</f>
        <v>480</v>
      </c>
      <c r="V119" s="1575" t="n">
        <f aca="false">T119*U119/1000</f>
        <v>9251.92855073886</v>
      </c>
      <c r="W119" s="1565" t="n">
        <f aca="false">R119</f>
        <v>2.59946120881426</v>
      </c>
      <c r="X119" s="394" t="n">
        <f aca="false">V119/W119</f>
        <v>3559.1716157823</v>
      </c>
      <c r="Y119" s="1579" t="str">
        <f aca="false">IF(MONTH($A119)=12,SUM(X108:X119)," ")</f>
        <v> </v>
      </c>
      <c r="AA119" s="1595" t="n">
        <f aca="false">IF($A119&gt;Endyr,0,VLOOKUP($A119,Tariff_Table,Tariff!$I$33))</f>
        <v>2.31</v>
      </c>
      <c r="AB119" s="1565" t="n">
        <f aca="false">$AS119</f>
        <v>1.28599122293753</v>
      </c>
      <c r="AC119" s="1596" t="n">
        <f aca="false">AA119*AB119</f>
        <v>2.9706397249857</v>
      </c>
      <c r="AD119" s="1565" t="n">
        <f aca="false">$F119</f>
        <v>2.59946120881426</v>
      </c>
      <c r="AE119" s="427" t="n">
        <f aca="false">$G119</f>
        <v>1.065</v>
      </c>
      <c r="AF119" s="1596" t="n">
        <f aca="false">AC119*AD119/AE119</f>
        <v>7.25076312719531</v>
      </c>
      <c r="AG119" s="397" t="n">
        <f aca="false">VLOOKUP($A119,Plant_Table,'Plant Operations'!$M$270)</f>
        <v>270047.232</v>
      </c>
      <c r="AH119" s="1575" t="n">
        <f aca="false">AF119*AG119/1000</f>
        <v>1958.04851238676</v>
      </c>
      <c r="AI119" s="1565" t="n">
        <f aca="false">AD119</f>
        <v>2.59946120881426</v>
      </c>
      <c r="AJ119" s="1566" t="n">
        <f aca="false">AH119/AI119</f>
        <v>753.251676057869</v>
      </c>
      <c r="AK119" s="1567" t="str">
        <f aca="false">IF(MONTH($A119)=12,SUM(AJ108:AJ119)," ")</f>
        <v> </v>
      </c>
      <c r="AM119" s="488" t="n">
        <f aca="false">IF($A119&gt;Endyr,0,VLOOKUP($A119,Tariff_Table,Tariff!$L$33))</f>
        <v>1.21</v>
      </c>
      <c r="AN119" s="1576" t="n">
        <f aca="false">VLOOKUP($A119,Curves_Table,Escalation!$Z$291)</f>
        <v>1.34508031858578</v>
      </c>
      <c r="AO119" s="1314" t="n">
        <f aca="false">AM119*AN119</f>
        <v>1.6275471854888</v>
      </c>
      <c r="AP119" s="1314" t="n">
        <f aca="false">IF($A119&gt;Endyr,0,VLOOKUP($A119,Tariff_Table,Tariff!$M$33))</f>
        <v>0.25</v>
      </c>
      <c r="AQ119" s="1314" t="n">
        <f aca="false">SUM(AO119,AP119)</f>
        <v>1.8775471854888</v>
      </c>
      <c r="AR119" s="1314" t="n">
        <f aca="false">SUM(AM119,AP119)</f>
        <v>1.46</v>
      </c>
      <c r="AS119" s="1598" t="n">
        <f aca="false">IF(AR119=0,0,AQ119/AR119)</f>
        <v>1.28599122293753</v>
      </c>
    </row>
    <row r="120" customFormat="false" ht="12.75" hidden="false" customHeight="false" outlineLevel="0" collapsed="false">
      <c r="A120" s="1538" t="n">
        <f aca="false">EDATE(A119,1)</f>
        <v>40238</v>
      </c>
      <c r="C120" s="1595" t="n">
        <f aca="false">IF($A120&gt;Endyr,0,VLOOKUP($A120,Tariff_Table,Tariff!$G$33))</f>
        <v>7431.57</v>
      </c>
      <c r="D120" s="1565" t="n">
        <f aca="false">VLOOKUP($A120,Curves_Table,Escalation!$V$291)</f>
        <v>1.37395101449367</v>
      </c>
      <c r="E120" s="1596" t="n">
        <f aca="false">C120*D120</f>
        <v>10210.6131407807</v>
      </c>
      <c r="F120" s="1565" t="n">
        <f aca="false">IF(Assm!$L$74=0,VLOOKUP($A120,Curves_Table,Escalation!$D$291),VLOOKUP($A120,Curves_Table,Escalation!$E$291))</f>
        <v>2.60452397170578</v>
      </c>
      <c r="G120" s="427" t="n">
        <f aca="false">IF($A120&lt;EE_Date,VLOOKUP($A120,Curves_Table,Escalation!$D$291),Exch)</f>
        <v>1.065</v>
      </c>
      <c r="H120" s="1596" t="n">
        <f aca="false">E120*F120/G120</f>
        <v>24970.6917286173</v>
      </c>
      <c r="I120" s="1540" t="n">
        <f aca="false">VLOOKUP($A120,Plant_Table,'Plant Operations'!$C$270)</f>
        <v>480</v>
      </c>
      <c r="J120" s="1575" t="n">
        <f aca="false">H120*I120/1000</f>
        <v>11985.9320297363</v>
      </c>
      <c r="K120" s="1565" t="n">
        <f aca="false">F120</f>
        <v>2.60452397170578</v>
      </c>
      <c r="L120" s="394" t="n">
        <f aca="false">J120/K120</f>
        <v>4601.96648598567</v>
      </c>
      <c r="M120" s="1579" t="str">
        <f aca="false">IF(MONTH($A120)=12,SUM(L109:L120)," ")</f>
        <v> </v>
      </c>
      <c r="O120" s="1597" t="n">
        <f aca="false">IF($A120&gt;Endyr,0,VLOOKUP($A120,Tariff_Table,Tariff!$H$33))</f>
        <v>6140.72</v>
      </c>
      <c r="P120" s="1565" t="n">
        <f aca="false">$AS120</f>
        <v>1.28599122293753</v>
      </c>
      <c r="Q120" s="1575" t="n">
        <f aca="false">O120*P120</f>
        <v>7896.91202251697</v>
      </c>
      <c r="R120" s="1565" t="n">
        <f aca="false">$F120</f>
        <v>2.60452397170578</v>
      </c>
      <c r="S120" s="427" t="n">
        <f aca="false">$G120</f>
        <v>1.065</v>
      </c>
      <c r="T120" s="1575" t="n">
        <f aca="false">Q120*R120/S120</f>
        <v>19312.3912348329</v>
      </c>
      <c r="U120" s="1540" t="n">
        <f aca="false">$I120</f>
        <v>480</v>
      </c>
      <c r="V120" s="1575" t="n">
        <f aca="false">T120*U120/1000</f>
        <v>9269.94779271979</v>
      </c>
      <c r="W120" s="1565" t="n">
        <f aca="false">R120</f>
        <v>2.60452397170578</v>
      </c>
      <c r="X120" s="394" t="n">
        <f aca="false">V120/W120</f>
        <v>3559.1716157823</v>
      </c>
      <c r="Y120" s="1579" t="str">
        <f aca="false">IF(MONTH($A120)=12,SUM(X109:X120)," ")</f>
        <v> </v>
      </c>
      <c r="AA120" s="1595" t="n">
        <f aca="false">IF($A120&gt;Endyr,0,VLOOKUP($A120,Tariff_Table,Tariff!$I$33))</f>
        <v>2.31</v>
      </c>
      <c r="AB120" s="1565" t="n">
        <f aca="false">$AS120</f>
        <v>1.28599122293753</v>
      </c>
      <c r="AC120" s="1596" t="n">
        <f aca="false">AA120*AB120</f>
        <v>2.9706397249857</v>
      </c>
      <c r="AD120" s="1565" t="n">
        <f aca="false">$F120</f>
        <v>2.60452397170578</v>
      </c>
      <c r="AE120" s="427" t="n">
        <f aca="false">$G120</f>
        <v>1.065</v>
      </c>
      <c r="AF120" s="1596" t="n">
        <f aca="false">AC120*AD120/AE120</f>
        <v>7.26488485918003</v>
      </c>
      <c r="AG120" s="397" t="n">
        <f aca="false">VLOOKUP($A120,Plant_Table,'Plant Operations'!$M$270)</f>
        <v>298980.864</v>
      </c>
      <c r="AH120" s="1575" t="n">
        <f aca="false">AF120*AG120/1000</f>
        <v>2172.06155205816</v>
      </c>
      <c r="AI120" s="1565" t="n">
        <f aca="false">AD120</f>
        <v>2.60452397170578</v>
      </c>
      <c r="AJ120" s="1566" t="n">
        <f aca="false">AH120/AI120</f>
        <v>833.957212778355</v>
      </c>
      <c r="AK120" s="1567" t="str">
        <f aca="false">IF(MONTH($A120)=12,SUM(AJ109:AJ120)," ")</f>
        <v> </v>
      </c>
      <c r="AM120" s="488" t="n">
        <f aca="false">IF($A120&gt;Endyr,0,VLOOKUP($A120,Tariff_Table,Tariff!$L$33))</f>
        <v>1.21</v>
      </c>
      <c r="AN120" s="1576" t="n">
        <f aca="false">VLOOKUP($A120,Curves_Table,Escalation!$Z$291)</f>
        <v>1.34508031858578</v>
      </c>
      <c r="AO120" s="1314" t="n">
        <f aca="false">AM120*AN120</f>
        <v>1.6275471854888</v>
      </c>
      <c r="AP120" s="1314" t="n">
        <f aca="false">IF($A120&gt;Endyr,0,VLOOKUP($A120,Tariff_Table,Tariff!$M$33))</f>
        <v>0.25</v>
      </c>
      <c r="AQ120" s="1314" t="n">
        <f aca="false">SUM(AO120,AP120)</f>
        <v>1.8775471854888</v>
      </c>
      <c r="AR120" s="1314" t="n">
        <f aca="false">SUM(AM120,AP120)</f>
        <v>1.46</v>
      </c>
      <c r="AS120" s="1598" t="n">
        <f aca="false">IF(AR120=0,0,AQ120/AR120)</f>
        <v>1.28599122293753</v>
      </c>
    </row>
    <row r="121" customFormat="false" ht="12.75" hidden="false" customHeight="false" outlineLevel="0" collapsed="false">
      <c r="A121" s="1538" t="n">
        <f aca="false">EDATE(A120,1)</f>
        <v>40269</v>
      </c>
      <c r="C121" s="1595" t="n">
        <f aca="false">IF($A121&gt;Endyr,0,VLOOKUP($A121,Tariff_Table,Tariff!$G$33))</f>
        <v>7431.57</v>
      </c>
      <c r="D121" s="1565" t="n">
        <f aca="false">VLOOKUP($A121,Curves_Table,Escalation!$V$291)</f>
        <v>1.37395101449367</v>
      </c>
      <c r="E121" s="1596" t="n">
        <f aca="false">C121*D121</f>
        <v>10210.6131407807</v>
      </c>
      <c r="F121" s="1565" t="n">
        <f aca="false">IF(Assm!$L$74=0,VLOOKUP($A121,Curves_Table,Escalation!$D$291),VLOOKUP($A121,Curves_Table,Escalation!$E$291))</f>
        <v>2.60959659493605</v>
      </c>
      <c r="G121" s="427" t="n">
        <f aca="false">IF($A121&lt;EE_Date,VLOOKUP($A121,Curves_Table,Escalation!$D$291),Exch)</f>
        <v>1.065</v>
      </c>
      <c r="H121" s="1596" t="n">
        <f aca="false">E121*F121/G121</f>
        <v>25019.3251496626</v>
      </c>
      <c r="I121" s="1540" t="n">
        <f aca="false">VLOOKUP($A121,Plant_Table,'Plant Operations'!$C$270)</f>
        <v>480</v>
      </c>
      <c r="J121" s="1575" t="n">
        <f aca="false">H121*I121/1000</f>
        <v>12009.276071838</v>
      </c>
      <c r="K121" s="1565" t="n">
        <f aca="false">F121</f>
        <v>2.60959659493605</v>
      </c>
      <c r="L121" s="394" t="n">
        <f aca="false">J121/K121</f>
        <v>4601.96648598567</v>
      </c>
      <c r="M121" s="1579" t="str">
        <f aca="false">IF(MONTH($A121)=12,SUM(L110:L121)," ")</f>
        <v> </v>
      </c>
      <c r="O121" s="1597" t="n">
        <f aca="false">IF($A121&gt;Endyr,0,VLOOKUP($A121,Tariff_Table,Tariff!$H$33))</f>
        <v>6140.72</v>
      </c>
      <c r="P121" s="1565" t="n">
        <f aca="false">$AS121</f>
        <v>1.28599122293753</v>
      </c>
      <c r="Q121" s="1575" t="n">
        <f aca="false">O121*P121</f>
        <v>7896.91202251697</v>
      </c>
      <c r="R121" s="1565" t="n">
        <f aca="false">$F121</f>
        <v>2.60959659493605</v>
      </c>
      <c r="S121" s="427" t="n">
        <f aca="false">$G121</f>
        <v>1.065</v>
      </c>
      <c r="T121" s="1575" t="n">
        <f aca="false">Q121*R121/S121</f>
        <v>19350.0044361219</v>
      </c>
      <c r="U121" s="1540" t="n">
        <f aca="false">$I121</f>
        <v>480</v>
      </c>
      <c r="V121" s="1575" t="n">
        <f aca="false">T121*U121/1000</f>
        <v>9288.00212933853</v>
      </c>
      <c r="W121" s="1565" t="n">
        <f aca="false">R121</f>
        <v>2.60959659493605</v>
      </c>
      <c r="X121" s="394" t="n">
        <f aca="false">V121/W121</f>
        <v>3559.1716157823</v>
      </c>
      <c r="Y121" s="1579" t="str">
        <f aca="false">IF(MONTH($A121)=12,SUM(X110:X121)," ")</f>
        <v> </v>
      </c>
      <c r="AA121" s="1595" t="n">
        <f aca="false">IF($A121&gt;Endyr,0,VLOOKUP($A121,Tariff_Table,Tariff!$I$33))</f>
        <v>2.31</v>
      </c>
      <c r="AB121" s="1565" t="n">
        <f aca="false">$AS121</f>
        <v>1.28599122293753</v>
      </c>
      <c r="AC121" s="1596" t="n">
        <f aca="false">AA121*AB121</f>
        <v>2.9706397249857</v>
      </c>
      <c r="AD121" s="1565" t="n">
        <f aca="false">$F121</f>
        <v>2.60959659493605</v>
      </c>
      <c r="AE121" s="427" t="n">
        <f aca="false">$G121</f>
        <v>1.065</v>
      </c>
      <c r="AF121" s="1596" t="n">
        <f aca="false">AC121*AD121/AE121</f>
        <v>7.27903409493376</v>
      </c>
      <c r="AG121" s="397" t="n">
        <f aca="false">VLOOKUP($A121,Plant_Table,'Plant Operations'!$M$270)</f>
        <v>289336.32</v>
      </c>
      <c r="AH121" s="1575" t="n">
        <f aca="false">AF121*AG121/1000</f>
        <v>2106.08893818267</v>
      </c>
      <c r="AI121" s="1565" t="n">
        <f aca="false">AD121</f>
        <v>2.60959659493605</v>
      </c>
      <c r="AJ121" s="1566" t="n">
        <f aca="false">AH121/AI121</f>
        <v>807.05536720486</v>
      </c>
      <c r="AK121" s="1567" t="str">
        <f aca="false">IF(MONTH($A121)=12,SUM(AJ110:AJ121)," ")</f>
        <v> </v>
      </c>
      <c r="AM121" s="488" t="n">
        <f aca="false">IF($A121&gt;Endyr,0,VLOOKUP($A121,Tariff_Table,Tariff!$L$33))</f>
        <v>1.21</v>
      </c>
      <c r="AN121" s="1576" t="n">
        <f aca="false">VLOOKUP($A121,Curves_Table,Escalation!$Z$291)</f>
        <v>1.34508031858578</v>
      </c>
      <c r="AO121" s="1314" t="n">
        <f aca="false">AM121*AN121</f>
        <v>1.6275471854888</v>
      </c>
      <c r="AP121" s="1314" t="n">
        <f aca="false">IF($A121&gt;Endyr,0,VLOOKUP($A121,Tariff_Table,Tariff!$M$33))</f>
        <v>0.25</v>
      </c>
      <c r="AQ121" s="1314" t="n">
        <f aca="false">SUM(AO121,AP121)</f>
        <v>1.8775471854888</v>
      </c>
      <c r="AR121" s="1314" t="n">
        <f aca="false">SUM(AM121,AP121)</f>
        <v>1.46</v>
      </c>
      <c r="AS121" s="1598" t="n">
        <f aca="false">IF(AR121=0,0,AQ121/AR121)</f>
        <v>1.28599122293753</v>
      </c>
    </row>
    <row r="122" customFormat="false" ht="12.75" hidden="false" customHeight="false" outlineLevel="0" collapsed="false">
      <c r="A122" s="1538" t="n">
        <f aca="false">EDATE(A121,1)</f>
        <v>40299</v>
      </c>
      <c r="C122" s="1595" t="n">
        <f aca="false">IF($A122&gt;Endyr,0,VLOOKUP($A122,Tariff_Table,Tariff!$G$33))</f>
        <v>7434.78</v>
      </c>
      <c r="D122" s="1565" t="n">
        <f aca="false">VLOOKUP($A122,Curves_Table,Escalation!$V$291)</f>
        <v>1.40945468809218</v>
      </c>
      <c r="E122" s="1596" t="n">
        <f aca="false">C122*D122</f>
        <v>10478.985525934</v>
      </c>
      <c r="F122" s="1565" t="n">
        <f aca="false">IF(Assm!$L$74=0,VLOOKUP($A122,Curves_Table,Escalation!$D$291),VLOOKUP($A122,Curves_Table,Escalation!$E$291))</f>
        <v>2.61467909770927</v>
      </c>
      <c r="G122" s="427" t="n">
        <f aca="false">IF($A122&lt;EE_Date,VLOOKUP($A122,Curves_Table,Escalation!$D$291),Exch)</f>
        <v>1.065</v>
      </c>
      <c r="H122" s="1596" t="n">
        <f aca="false">E122*F122/G122</f>
        <v>25726.9337275658</v>
      </c>
      <c r="I122" s="1540" t="n">
        <f aca="false">VLOOKUP($A122,Plant_Table,'Plant Operations'!$C$270)</f>
        <v>480</v>
      </c>
      <c r="J122" s="1575" t="n">
        <f aca="false">H122*I122/1000</f>
        <v>12348.9281892316</v>
      </c>
      <c r="K122" s="1565" t="n">
        <f aca="false">F122</f>
        <v>2.61467909770927</v>
      </c>
      <c r="L122" s="394" t="n">
        <f aca="false">J122/K122</f>
        <v>4722.92305394207</v>
      </c>
      <c r="M122" s="1579" t="str">
        <f aca="false">IF(MONTH($A122)=12,SUM(L111:L122)," ")</f>
        <v> </v>
      </c>
      <c r="O122" s="1597" t="n">
        <f aca="false">IF($A122&gt;Endyr,0,VLOOKUP($A122,Tariff_Table,Tariff!$H$33))</f>
        <v>6151.18</v>
      </c>
      <c r="P122" s="1565" t="n">
        <f aca="false">$AS122</f>
        <v>1.31201031509344</v>
      </c>
      <c r="Q122" s="1575" t="n">
        <f aca="false">O122*P122</f>
        <v>8070.41160999649</v>
      </c>
      <c r="R122" s="1565" t="n">
        <f aca="false">$F122</f>
        <v>2.61467909770927</v>
      </c>
      <c r="S122" s="427" t="n">
        <f aca="false">$G122</f>
        <v>1.065</v>
      </c>
      <c r="T122" s="1575" t="n">
        <f aca="false">Q122*R122/S122</f>
        <v>19813.6493395005</v>
      </c>
      <c r="U122" s="1540" t="n">
        <f aca="false">$I122</f>
        <v>480</v>
      </c>
      <c r="V122" s="1575" t="n">
        <f aca="false">T122*U122/1000</f>
        <v>9510.55168296024</v>
      </c>
      <c r="W122" s="1565" t="n">
        <f aca="false">R122</f>
        <v>2.61467909770927</v>
      </c>
      <c r="X122" s="394" t="n">
        <f aca="false">V122/W122</f>
        <v>3637.36861295616</v>
      </c>
      <c r="Y122" s="1579" t="str">
        <f aca="false">IF(MONTH($A122)=12,SUM(X111:X122)," ")</f>
        <v> </v>
      </c>
      <c r="AA122" s="1595" t="n">
        <f aca="false">IF($A122&gt;Endyr,0,VLOOKUP($A122,Tariff_Table,Tariff!$I$33))</f>
        <v>2.32</v>
      </c>
      <c r="AB122" s="1565" t="n">
        <f aca="false">$AS122</f>
        <v>1.31201031509344</v>
      </c>
      <c r="AC122" s="1596" t="n">
        <f aca="false">AA122*AB122</f>
        <v>3.04386393101679</v>
      </c>
      <c r="AD122" s="1565" t="n">
        <f aca="false">$F122</f>
        <v>2.61467909770927</v>
      </c>
      <c r="AE122" s="427" t="n">
        <f aca="false">$G122</f>
        <v>1.065</v>
      </c>
      <c r="AF122" s="1596" t="n">
        <f aca="false">AC122*AD122/AE122</f>
        <v>7.47298347108053</v>
      </c>
      <c r="AG122" s="397" t="n">
        <f aca="false">VLOOKUP($A122,Plant_Table,'Plant Operations'!$M$270)</f>
        <v>298980.864</v>
      </c>
      <c r="AH122" s="1575" t="n">
        <f aca="false">AF122*AG122/1000</f>
        <v>2234.27905484138</v>
      </c>
      <c r="AI122" s="1565" t="n">
        <f aca="false">AD122</f>
        <v>2.61467909770927</v>
      </c>
      <c r="AJ122" s="1566" t="n">
        <f aca="false">AH122/AI122</f>
        <v>854.513678867452</v>
      </c>
      <c r="AK122" s="1567" t="str">
        <f aca="false">IF(MONTH($A122)=12,SUM(AJ111:AJ122)," ")</f>
        <v> </v>
      </c>
      <c r="AM122" s="488" t="n">
        <f aca="false">IF($A122&gt;Endyr,0,VLOOKUP($A122,Tariff_Table,Tariff!$L$33))</f>
        <v>1.21</v>
      </c>
      <c r="AN122" s="1576" t="n">
        <f aca="false">VLOOKUP($A122,Curves_Table,Escalation!$Z$291)</f>
        <v>1.37647525622845</v>
      </c>
      <c r="AO122" s="1314" t="n">
        <f aca="false">AM122*AN122</f>
        <v>1.66553506003643</v>
      </c>
      <c r="AP122" s="1314" t="n">
        <f aca="false">IF($A122&gt;Endyr,0,VLOOKUP($A122,Tariff_Table,Tariff!$M$33))</f>
        <v>0.25</v>
      </c>
      <c r="AQ122" s="1314" t="n">
        <f aca="false">SUM(AO122,AP122)</f>
        <v>1.91553506003643</v>
      </c>
      <c r="AR122" s="1314" t="n">
        <f aca="false">SUM(AM122,AP122)</f>
        <v>1.46</v>
      </c>
      <c r="AS122" s="1598" t="n">
        <f aca="false">IF(AR122=0,0,AQ122/AR122)</f>
        <v>1.31201031509344</v>
      </c>
    </row>
    <row r="123" customFormat="false" ht="12.75" hidden="false" customHeight="false" outlineLevel="0" collapsed="false">
      <c r="A123" s="1538" t="n">
        <f aca="false">EDATE(A122,1)</f>
        <v>40330</v>
      </c>
      <c r="C123" s="1595" t="n">
        <f aca="false">IF($A123&gt;Endyr,0,VLOOKUP($A123,Tariff_Table,Tariff!$G$33))</f>
        <v>7434.78</v>
      </c>
      <c r="D123" s="1565" t="n">
        <f aca="false">VLOOKUP($A123,Curves_Table,Escalation!$V$291)</f>
        <v>1.40945468809218</v>
      </c>
      <c r="E123" s="1596" t="n">
        <f aca="false">C123*D123</f>
        <v>10478.985525934</v>
      </c>
      <c r="F123" s="1565" t="n">
        <f aca="false">IF(Assm!$L$74=0,VLOOKUP($A123,Curves_Table,Escalation!$D$291),VLOOKUP($A123,Curves_Table,Escalation!$E$291))</f>
        <v>2.61977149926703</v>
      </c>
      <c r="G123" s="427" t="n">
        <f aca="false">IF($A123&lt;EE_Date,VLOOKUP($A123,Curves_Table,Escalation!$D$291),Exch)</f>
        <v>1.065</v>
      </c>
      <c r="H123" s="1596" t="n">
        <f aca="false">E123*F123/G123</f>
        <v>25777.0400207263</v>
      </c>
      <c r="I123" s="1540" t="n">
        <f aca="false">VLOOKUP($A123,Plant_Table,'Plant Operations'!$C$270)</f>
        <v>480</v>
      </c>
      <c r="J123" s="1575" t="n">
        <f aca="false">H123*I123/1000</f>
        <v>12372.9792099486</v>
      </c>
      <c r="K123" s="1565" t="n">
        <f aca="false">F123</f>
        <v>2.61977149926703</v>
      </c>
      <c r="L123" s="394" t="n">
        <f aca="false">J123/K123</f>
        <v>4722.92305394207</v>
      </c>
      <c r="M123" s="1579" t="str">
        <f aca="false">IF(MONTH($A123)=12,SUM(L112:L123)," ")</f>
        <v> </v>
      </c>
      <c r="O123" s="1597" t="n">
        <f aca="false">IF($A123&gt;Endyr,0,VLOOKUP($A123,Tariff_Table,Tariff!$H$33))</f>
        <v>6151.18</v>
      </c>
      <c r="P123" s="1565" t="n">
        <f aca="false">$AS123</f>
        <v>1.31201031509344</v>
      </c>
      <c r="Q123" s="1575" t="n">
        <f aca="false">O123*P123</f>
        <v>8070.41160999649</v>
      </c>
      <c r="R123" s="1565" t="n">
        <f aca="false">$F123</f>
        <v>2.61977149926703</v>
      </c>
      <c r="S123" s="427" t="n">
        <f aca="false">$G123</f>
        <v>1.065</v>
      </c>
      <c r="T123" s="1575" t="n">
        <f aca="false">Q123*R123/S123</f>
        <v>19852.2388011479</v>
      </c>
      <c r="U123" s="1540" t="n">
        <f aca="false">$I123</f>
        <v>480</v>
      </c>
      <c r="V123" s="1575" t="n">
        <f aca="false">T123*U123/1000</f>
        <v>9529.07462455101</v>
      </c>
      <c r="W123" s="1565" t="n">
        <f aca="false">R123</f>
        <v>2.61977149926703</v>
      </c>
      <c r="X123" s="394" t="n">
        <f aca="false">V123/W123</f>
        <v>3637.36861295616</v>
      </c>
      <c r="Y123" s="1579" t="str">
        <f aca="false">IF(MONTH($A123)=12,SUM(X112:X123)," ")</f>
        <v> </v>
      </c>
      <c r="AA123" s="1595" t="n">
        <f aca="false">IF($A123&gt;Endyr,0,VLOOKUP($A123,Tariff_Table,Tariff!$I$33))</f>
        <v>2.32</v>
      </c>
      <c r="AB123" s="1565" t="n">
        <f aca="false">$AS123</f>
        <v>1.31201031509344</v>
      </c>
      <c r="AC123" s="1596" t="n">
        <f aca="false">AA123*AB123</f>
        <v>3.04386393101679</v>
      </c>
      <c r="AD123" s="1565" t="n">
        <f aca="false">$F123</f>
        <v>2.61977149926703</v>
      </c>
      <c r="AE123" s="427" t="n">
        <f aca="false">$G123</f>
        <v>1.065</v>
      </c>
      <c r="AF123" s="1596" t="n">
        <f aca="false">AC123*AD123/AE123</f>
        <v>7.48753800387295</v>
      </c>
      <c r="AG123" s="397" t="n">
        <f aca="false">VLOOKUP($A123,Plant_Table,'Plant Operations'!$M$270)</f>
        <v>289336.32</v>
      </c>
      <c r="AH123" s="1575" t="n">
        <f aca="false">AF123*AG123/1000</f>
        <v>2166.41669190075</v>
      </c>
      <c r="AI123" s="1565" t="n">
        <f aca="false">AD123</f>
        <v>2.61977149926703</v>
      </c>
      <c r="AJ123" s="1566" t="n">
        <f aca="false">AH123/AI123</f>
        <v>826.948721484631</v>
      </c>
      <c r="AK123" s="1567" t="str">
        <f aca="false">IF(MONTH($A123)=12,SUM(AJ112:AJ123)," ")</f>
        <v> </v>
      </c>
      <c r="AM123" s="488" t="n">
        <f aca="false">IF($A123&gt;Endyr,0,VLOOKUP($A123,Tariff_Table,Tariff!$L$33))</f>
        <v>1.21</v>
      </c>
      <c r="AN123" s="1576" t="n">
        <f aca="false">VLOOKUP($A123,Curves_Table,Escalation!$Z$291)</f>
        <v>1.37647525622845</v>
      </c>
      <c r="AO123" s="1314" t="n">
        <f aca="false">AM123*AN123</f>
        <v>1.66553506003643</v>
      </c>
      <c r="AP123" s="1314" t="n">
        <f aca="false">IF($A123&gt;Endyr,0,VLOOKUP($A123,Tariff_Table,Tariff!$M$33))</f>
        <v>0.25</v>
      </c>
      <c r="AQ123" s="1314" t="n">
        <f aca="false">SUM(AO123,AP123)</f>
        <v>1.91553506003643</v>
      </c>
      <c r="AR123" s="1314" t="n">
        <f aca="false">SUM(AM123,AP123)</f>
        <v>1.46</v>
      </c>
      <c r="AS123" s="1598" t="n">
        <f aca="false">IF(AR123=0,0,AQ123/AR123)</f>
        <v>1.31201031509344</v>
      </c>
    </row>
    <row r="124" customFormat="false" ht="12.75" hidden="false" customHeight="false" outlineLevel="0" collapsed="false">
      <c r="A124" s="1538" t="n">
        <f aca="false">EDATE(A123,1)</f>
        <v>40360</v>
      </c>
      <c r="C124" s="1595" t="n">
        <f aca="false">IF($A124&gt;Endyr,0,VLOOKUP($A124,Tariff_Table,Tariff!$G$33))</f>
        <v>7434.78</v>
      </c>
      <c r="D124" s="1565" t="n">
        <f aca="false">VLOOKUP($A124,Curves_Table,Escalation!$V$291)</f>
        <v>1.40945468809218</v>
      </c>
      <c r="E124" s="1596" t="n">
        <f aca="false">C124*D124</f>
        <v>10478.985525934</v>
      </c>
      <c r="F124" s="1565" t="n">
        <f aca="false">IF(Assm!$L$74=0,VLOOKUP($A124,Curves_Table,Escalation!$D$291),VLOOKUP($A124,Curves_Table,Escalation!$E$291))</f>
        <v>2.62487381888841</v>
      </c>
      <c r="G124" s="427" t="n">
        <f aca="false">IF($A124&lt;EE_Date,VLOOKUP($A124,Curves_Table,Escalation!$D$291),Exch)</f>
        <v>1.065</v>
      </c>
      <c r="H124" s="1596" t="n">
        <f aca="false">E124*F124/G124</f>
        <v>25827.2439019105</v>
      </c>
      <c r="I124" s="1540" t="n">
        <f aca="false">VLOOKUP($A124,Plant_Table,'Plant Operations'!$C$270)</f>
        <v>480</v>
      </c>
      <c r="J124" s="1575" t="n">
        <f aca="false">H124*I124/1000</f>
        <v>12397.077072917</v>
      </c>
      <c r="K124" s="1565" t="n">
        <f aca="false">F124</f>
        <v>2.62487381888841</v>
      </c>
      <c r="L124" s="394" t="n">
        <f aca="false">J124/K124</f>
        <v>4722.92305394207</v>
      </c>
      <c r="M124" s="1579" t="str">
        <f aca="false">IF(MONTH($A124)=12,SUM(L113:L124)," ")</f>
        <v> </v>
      </c>
      <c r="O124" s="1597" t="n">
        <f aca="false">IF($A124&gt;Endyr,0,VLOOKUP($A124,Tariff_Table,Tariff!$H$33))</f>
        <v>6151.18</v>
      </c>
      <c r="P124" s="1565" t="n">
        <f aca="false">$AS124</f>
        <v>1.31201031509344</v>
      </c>
      <c r="Q124" s="1575" t="n">
        <f aca="false">O124*P124</f>
        <v>8070.41160999649</v>
      </c>
      <c r="R124" s="1565" t="n">
        <f aca="false">$F124</f>
        <v>2.62487381888841</v>
      </c>
      <c r="S124" s="427" t="n">
        <f aca="false">$G124</f>
        <v>1.065</v>
      </c>
      <c r="T124" s="1575" t="n">
        <f aca="false">Q124*R124/S124</f>
        <v>19890.9034204064</v>
      </c>
      <c r="U124" s="1540" t="n">
        <f aca="false">$I124</f>
        <v>480</v>
      </c>
      <c r="V124" s="1575" t="n">
        <f aca="false">T124*U124/1000</f>
        <v>9547.63364179508</v>
      </c>
      <c r="W124" s="1565" t="n">
        <f aca="false">R124</f>
        <v>2.62487381888841</v>
      </c>
      <c r="X124" s="394" t="n">
        <f aca="false">V124/W124</f>
        <v>3637.36861295616</v>
      </c>
      <c r="Y124" s="1579" t="str">
        <f aca="false">IF(MONTH($A124)=12,SUM(X113:X124)," ")</f>
        <v> </v>
      </c>
      <c r="AA124" s="1595" t="n">
        <f aca="false">IF($A124&gt;Endyr,0,VLOOKUP($A124,Tariff_Table,Tariff!$I$33))</f>
        <v>2.32</v>
      </c>
      <c r="AB124" s="1565" t="n">
        <f aca="false">$AS124</f>
        <v>1.31201031509344</v>
      </c>
      <c r="AC124" s="1596" t="n">
        <f aca="false">AA124*AB124</f>
        <v>3.04386393101679</v>
      </c>
      <c r="AD124" s="1565" t="n">
        <f aca="false">$F124</f>
        <v>2.62487381888841</v>
      </c>
      <c r="AE124" s="427" t="n">
        <f aca="false">$G124</f>
        <v>1.065</v>
      </c>
      <c r="AF124" s="1596" t="n">
        <f aca="false">AC124*AD124/AE124</f>
        <v>7.50212088336594</v>
      </c>
      <c r="AG124" s="397" t="n">
        <f aca="false">VLOOKUP($A124,Plant_Table,'Plant Operations'!$M$270)</f>
        <v>298980.864</v>
      </c>
      <c r="AH124" s="1575" t="n">
        <f aca="false">AF124*AG124/1000</f>
        <v>2242.99058354119</v>
      </c>
      <c r="AI124" s="1565" t="n">
        <f aca="false">AD124</f>
        <v>2.62487381888841</v>
      </c>
      <c r="AJ124" s="1566" t="n">
        <f aca="false">AH124/AI124</f>
        <v>854.513678867452</v>
      </c>
      <c r="AK124" s="1567" t="str">
        <f aca="false">IF(MONTH($A124)=12,SUM(AJ113:AJ124)," ")</f>
        <v> </v>
      </c>
      <c r="AM124" s="488" t="n">
        <f aca="false">IF($A124&gt;Endyr,0,VLOOKUP($A124,Tariff_Table,Tariff!$L$33))</f>
        <v>1.21</v>
      </c>
      <c r="AN124" s="1576" t="n">
        <f aca="false">VLOOKUP($A124,Curves_Table,Escalation!$Z$291)</f>
        <v>1.37647525622845</v>
      </c>
      <c r="AO124" s="1314" t="n">
        <f aca="false">AM124*AN124</f>
        <v>1.66553506003643</v>
      </c>
      <c r="AP124" s="1314" t="n">
        <f aca="false">IF($A124&gt;Endyr,0,VLOOKUP($A124,Tariff_Table,Tariff!$M$33))</f>
        <v>0.25</v>
      </c>
      <c r="AQ124" s="1314" t="n">
        <f aca="false">SUM(AO124,AP124)</f>
        <v>1.91553506003643</v>
      </c>
      <c r="AR124" s="1314" t="n">
        <f aca="false">SUM(AM124,AP124)</f>
        <v>1.46</v>
      </c>
      <c r="AS124" s="1598" t="n">
        <f aca="false">IF(AR124=0,0,AQ124/AR124)</f>
        <v>1.31201031509344</v>
      </c>
    </row>
    <row r="125" customFormat="false" ht="12.75" hidden="false" customHeight="false" outlineLevel="0" collapsed="false">
      <c r="A125" s="1538" t="n">
        <f aca="false">EDATE(A124,1)</f>
        <v>40391</v>
      </c>
      <c r="C125" s="1595" t="n">
        <f aca="false">IF($A125&gt;Endyr,0,VLOOKUP($A125,Tariff_Table,Tariff!$G$33))</f>
        <v>7434.78</v>
      </c>
      <c r="D125" s="1565" t="n">
        <f aca="false">VLOOKUP($A125,Curves_Table,Escalation!$V$291)</f>
        <v>1.40945468809218</v>
      </c>
      <c r="E125" s="1596" t="n">
        <f aca="false">C125*D125</f>
        <v>10478.985525934</v>
      </c>
      <c r="F125" s="1565" t="n">
        <f aca="false">IF(Assm!$L$74=0,VLOOKUP($A125,Curves_Table,Escalation!$D$291),VLOOKUP($A125,Curves_Table,Escalation!$E$291))</f>
        <v>2.62998607589002</v>
      </c>
      <c r="G125" s="427" t="n">
        <f aca="false">IF($A125&lt;EE_Date,VLOOKUP($A125,Curves_Table,Escalation!$D$291),Exch)</f>
        <v>1.065</v>
      </c>
      <c r="H125" s="1596" t="n">
        <f aca="false">E125*F125/G125</f>
        <v>25877.5455611826</v>
      </c>
      <c r="I125" s="1540" t="n">
        <f aca="false">VLOOKUP($A125,Plant_Table,'Plant Operations'!$C$270)</f>
        <v>480</v>
      </c>
      <c r="J125" s="1575" t="n">
        <f aca="false">H125*I125/1000</f>
        <v>12421.2218693676</v>
      </c>
      <c r="K125" s="1565" t="n">
        <f aca="false">F125</f>
        <v>2.62998607589002</v>
      </c>
      <c r="L125" s="394" t="n">
        <f aca="false">J125/K125</f>
        <v>4722.92305394207</v>
      </c>
      <c r="M125" s="1579" t="str">
        <f aca="false">IF(MONTH($A125)=12,SUM(L114:L125)," ")</f>
        <v> </v>
      </c>
      <c r="O125" s="1597" t="n">
        <f aca="false">IF($A125&gt;Endyr,0,VLOOKUP($A125,Tariff_Table,Tariff!$H$33))</f>
        <v>6151.18</v>
      </c>
      <c r="P125" s="1565" t="n">
        <f aca="false">$AS125</f>
        <v>1.31201031509344</v>
      </c>
      <c r="Q125" s="1575" t="n">
        <f aca="false">O125*P125</f>
        <v>8070.41160999649</v>
      </c>
      <c r="R125" s="1565" t="n">
        <f aca="false">$F125</f>
        <v>2.62998607589002</v>
      </c>
      <c r="S125" s="427" t="n">
        <f aca="false">$G125</f>
        <v>1.065</v>
      </c>
      <c r="T125" s="1575" t="n">
        <f aca="false">Q125*R125/S125</f>
        <v>19929.6433436544</v>
      </c>
      <c r="U125" s="1540" t="n">
        <f aca="false">$I125</f>
        <v>480</v>
      </c>
      <c r="V125" s="1575" t="n">
        <f aca="false">T125*U125/1000</f>
        <v>9566.22880495412</v>
      </c>
      <c r="W125" s="1565" t="n">
        <f aca="false">R125</f>
        <v>2.62998607589002</v>
      </c>
      <c r="X125" s="394" t="n">
        <f aca="false">V125/W125</f>
        <v>3637.36861295617</v>
      </c>
      <c r="Y125" s="1579" t="str">
        <f aca="false">IF(MONTH($A125)=12,SUM(X114:X125)," ")</f>
        <v> </v>
      </c>
      <c r="AA125" s="1595" t="n">
        <f aca="false">IF($A125&gt;Endyr,0,VLOOKUP($A125,Tariff_Table,Tariff!$I$33))</f>
        <v>2.32</v>
      </c>
      <c r="AB125" s="1565" t="n">
        <f aca="false">$AS125</f>
        <v>1.31201031509344</v>
      </c>
      <c r="AC125" s="1596" t="n">
        <f aca="false">AA125*AB125</f>
        <v>3.04386393101679</v>
      </c>
      <c r="AD125" s="1565" t="n">
        <f aca="false">$F125</f>
        <v>2.62998607589002</v>
      </c>
      <c r="AE125" s="427" t="n">
        <f aca="false">$G125</f>
        <v>1.065</v>
      </c>
      <c r="AF125" s="1596" t="n">
        <f aca="false">AC125*AD125/AE125</f>
        <v>7.5167321647681</v>
      </c>
      <c r="AG125" s="397" t="n">
        <f aca="false">VLOOKUP($A125,Plant_Table,'Plant Operations'!$M$270)</f>
        <v>298980.864</v>
      </c>
      <c r="AH125" s="1575" t="n">
        <f aca="false">AF125*AG125/1000</f>
        <v>2247.35907707896</v>
      </c>
      <c r="AI125" s="1565" t="n">
        <f aca="false">AD125</f>
        <v>2.62998607589002</v>
      </c>
      <c r="AJ125" s="1566" t="n">
        <f aca="false">AH125/AI125</f>
        <v>854.513678867452</v>
      </c>
      <c r="AK125" s="1567" t="str">
        <f aca="false">IF(MONTH($A125)=12,SUM(AJ114:AJ125)," ")</f>
        <v> </v>
      </c>
      <c r="AM125" s="488" t="n">
        <f aca="false">IF($A125&gt;Endyr,0,VLOOKUP($A125,Tariff_Table,Tariff!$L$33))</f>
        <v>1.21</v>
      </c>
      <c r="AN125" s="1576" t="n">
        <f aca="false">VLOOKUP($A125,Curves_Table,Escalation!$Z$291)</f>
        <v>1.37647525622845</v>
      </c>
      <c r="AO125" s="1314" t="n">
        <f aca="false">AM125*AN125</f>
        <v>1.66553506003643</v>
      </c>
      <c r="AP125" s="1314" t="n">
        <f aca="false">IF($A125&gt;Endyr,0,VLOOKUP($A125,Tariff_Table,Tariff!$M$33))</f>
        <v>0.25</v>
      </c>
      <c r="AQ125" s="1314" t="n">
        <f aca="false">SUM(AO125,AP125)</f>
        <v>1.91553506003643</v>
      </c>
      <c r="AR125" s="1314" t="n">
        <f aca="false">SUM(AM125,AP125)</f>
        <v>1.46</v>
      </c>
      <c r="AS125" s="1598" t="n">
        <f aca="false">IF(AR125=0,0,AQ125/AR125)</f>
        <v>1.31201031509344</v>
      </c>
    </row>
    <row r="126" customFormat="false" ht="12.75" hidden="false" customHeight="false" outlineLevel="0" collapsed="false">
      <c r="A126" s="1538" t="n">
        <f aca="false">EDATE(A125,1)</f>
        <v>40422</v>
      </c>
      <c r="C126" s="1595" t="n">
        <f aca="false">IF($A126&gt;Endyr,0,VLOOKUP($A126,Tariff_Table,Tariff!$G$33))</f>
        <v>7434.78</v>
      </c>
      <c r="D126" s="1565" t="n">
        <f aca="false">VLOOKUP($A126,Curves_Table,Escalation!$V$291)</f>
        <v>1.40945468809218</v>
      </c>
      <c r="E126" s="1596" t="n">
        <f aca="false">C126*D126</f>
        <v>10478.985525934</v>
      </c>
      <c r="F126" s="1565" t="n">
        <f aca="false">IF(Assm!$L$74=0,VLOOKUP($A126,Curves_Table,Escalation!$D$291),VLOOKUP($A126,Curves_Table,Escalation!$E$291))</f>
        <v>2.63510828962611</v>
      </c>
      <c r="G126" s="427" t="n">
        <f aca="false">IF($A126&lt;EE_Date,VLOOKUP($A126,Curves_Table,Escalation!$D$291),Exch)</f>
        <v>1.065</v>
      </c>
      <c r="H126" s="1596" t="n">
        <f aca="false">E126*F126/G126</f>
        <v>25927.9451889772</v>
      </c>
      <c r="I126" s="1540" t="n">
        <f aca="false">VLOOKUP($A126,Plant_Table,'Plant Operations'!$C$270)</f>
        <v>480</v>
      </c>
      <c r="J126" s="1575" t="n">
        <f aca="false">H126*I126/1000</f>
        <v>12445.413690709</v>
      </c>
      <c r="K126" s="1565" t="n">
        <f aca="false">F126</f>
        <v>2.63510828962611</v>
      </c>
      <c r="L126" s="394" t="n">
        <f aca="false">J126/K126</f>
        <v>4722.92305394207</v>
      </c>
      <c r="M126" s="1579" t="str">
        <f aca="false">IF(MONTH($A126)=12,SUM(L115:L126)," ")</f>
        <v> </v>
      </c>
      <c r="O126" s="1597" t="n">
        <f aca="false">IF($A126&gt;Endyr,0,VLOOKUP($A126,Tariff_Table,Tariff!$H$33))</f>
        <v>6151.18</v>
      </c>
      <c r="P126" s="1565" t="n">
        <f aca="false">$AS126</f>
        <v>1.31201031509344</v>
      </c>
      <c r="Q126" s="1575" t="n">
        <f aca="false">O126*P126</f>
        <v>8070.41160999649</v>
      </c>
      <c r="R126" s="1565" t="n">
        <f aca="false">$F126</f>
        <v>2.63510828962611</v>
      </c>
      <c r="S126" s="427" t="n">
        <f aca="false">$G126</f>
        <v>1.065</v>
      </c>
      <c r="T126" s="1575" t="n">
        <f aca="false">Q126*R126/S126</f>
        <v>19968.4587175555</v>
      </c>
      <c r="U126" s="1540" t="n">
        <f aca="false">$I126</f>
        <v>480</v>
      </c>
      <c r="V126" s="1575" t="n">
        <f aca="false">T126*U126/1000</f>
        <v>9584.86018442663</v>
      </c>
      <c r="W126" s="1565" t="n">
        <f aca="false">R126</f>
        <v>2.63510828962611</v>
      </c>
      <c r="X126" s="394" t="n">
        <f aca="false">V126/W126</f>
        <v>3637.36861295616</v>
      </c>
      <c r="Y126" s="1579" t="str">
        <f aca="false">IF(MONTH($A126)=12,SUM(X115:X126)," ")</f>
        <v> </v>
      </c>
      <c r="AA126" s="1595" t="n">
        <f aca="false">IF($A126&gt;Endyr,0,VLOOKUP($A126,Tariff_Table,Tariff!$I$33))</f>
        <v>2.32</v>
      </c>
      <c r="AB126" s="1565" t="n">
        <f aca="false">$AS126</f>
        <v>1.31201031509344</v>
      </c>
      <c r="AC126" s="1596" t="n">
        <f aca="false">AA126*AB126</f>
        <v>3.04386393101679</v>
      </c>
      <c r="AD126" s="1565" t="n">
        <f aca="false">$F126</f>
        <v>2.63510828962611</v>
      </c>
      <c r="AE126" s="427" t="n">
        <f aca="false">$G126</f>
        <v>1.065</v>
      </c>
      <c r="AF126" s="1596" t="n">
        <f aca="false">AC126*AD126/AE126</f>
        <v>7.53137190339556</v>
      </c>
      <c r="AG126" s="397" t="n">
        <f aca="false">VLOOKUP($A126,Plant_Table,'Plant Operations'!$M$270)</f>
        <v>289336.32</v>
      </c>
      <c r="AH126" s="1575" t="n">
        <f aca="false">AF126*AG126/1000</f>
        <v>2179.09943107987</v>
      </c>
      <c r="AI126" s="1565" t="n">
        <f aca="false">AD126</f>
        <v>2.63510828962611</v>
      </c>
      <c r="AJ126" s="1566" t="n">
        <f aca="false">AH126/AI126</f>
        <v>826.948721484631</v>
      </c>
      <c r="AK126" s="1567" t="str">
        <f aca="false">IF(MONTH($A126)=12,SUM(AJ115:AJ126)," ")</f>
        <v> </v>
      </c>
      <c r="AM126" s="488" t="n">
        <f aca="false">IF($A126&gt;Endyr,0,VLOOKUP($A126,Tariff_Table,Tariff!$L$33))</f>
        <v>1.21</v>
      </c>
      <c r="AN126" s="1576" t="n">
        <f aca="false">VLOOKUP($A126,Curves_Table,Escalation!$Z$291)</f>
        <v>1.37647525622845</v>
      </c>
      <c r="AO126" s="1314" t="n">
        <f aca="false">AM126*AN126</f>
        <v>1.66553506003643</v>
      </c>
      <c r="AP126" s="1314" t="n">
        <f aca="false">IF($A126&gt;Endyr,0,VLOOKUP($A126,Tariff_Table,Tariff!$M$33))</f>
        <v>0.25</v>
      </c>
      <c r="AQ126" s="1314" t="n">
        <f aca="false">SUM(AO126,AP126)</f>
        <v>1.91553506003643</v>
      </c>
      <c r="AR126" s="1314" t="n">
        <f aca="false">SUM(AM126,AP126)</f>
        <v>1.46</v>
      </c>
      <c r="AS126" s="1598" t="n">
        <f aca="false">IF(AR126=0,0,AQ126/AR126)</f>
        <v>1.31201031509344</v>
      </c>
    </row>
    <row r="127" customFormat="false" ht="12.75" hidden="false" customHeight="false" outlineLevel="0" collapsed="false">
      <c r="A127" s="1538" t="n">
        <f aca="false">EDATE(A126,1)</f>
        <v>40452</v>
      </c>
      <c r="C127" s="1595" t="n">
        <f aca="false">IF($A127&gt;Endyr,0,VLOOKUP($A127,Tariff_Table,Tariff!$G$33))</f>
        <v>7434.78</v>
      </c>
      <c r="D127" s="1565" t="n">
        <f aca="false">VLOOKUP($A127,Curves_Table,Escalation!$V$291)</f>
        <v>1.40945468809218</v>
      </c>
      <c r="E127" s="1596" t="n">
        <f aca="false">C127*D127</f>
        <v>10478.985525934</v>
      </c>
      <c r="F127" s="1565" t="n">
        <f aca="false">IF(Assm!$L$74=0,VLOOKUP($A127,Curves_Table,Escalation!$D$291),VLOOKUP($A127,Curves_Table,Escalation!$E$291))</f>
        <v>2.64024047948862</v>
      </c>
      <c r="G127" s="427" t="n">
        <f aca="false">IF($A127&lt;EE_Date,VLOOKUP($A127,Curves_Table,Escalation!$D$291),Exch)</f>
        <v>1.065</v>
      </c>
      <c r="H127" s="1596" t="n">
        <f aca="false">E127*F127/G127</f>
        <v>25978.4429760997</v>
      </c>
      <c r="I127" s="1540" t="n">
        <f aca="false">VLOOKUP($A127,Plant_Table,'Plant Operations'!$C$270)</f>
        <v>480</v>
      </c>
      <c r="J127" s="1575" t="n">
        <f aca="false">H127*I127/1000</f>
        <v>12469.6526285279</v>
      </c>
      <c r="K127" s="1565" t="n">
        <f aca="false">F127</f>
        <v>2.64024047948862</v>
      </c>
      <c r="L127" s="394" t="n">
        <f aca="false">J127/K127</f>
        <v>4722.92305394207</v>
      </c>
      <c r="M127" s="1579" t="str">
        <f aca="false">IF(MONTH($A127)=12,SUM(L116:L127)," ")</f>
        <v> </v>
      </c>
      <c r="O127" s="1597" t="n">
        <f aca="false">IF($A127&gt;Endyr,0,VLOOKUP($A127,Tariff_Table,Tariff!$H$33))</f>
        <v>6151.18</v>
      </c>
      <c r="P127" s="1565" t="n">
        <f aca="false">$AS127</f>
        <v>1.31201031509344</v>
      </c>
      <c r="Q127" s="1575" t="n">
        <f aca="false">O127*P127</f>
        <v>8070.41160999649</v>
      </c>
      <c r="R127" s="1565" t="n">
        <f aca="false">$F127</f>
        <v>2.64024047948862</v>
      </c>
      <c r="S127" s="427" t="n">
        <f aca="false">$G127</f>
        <v>1.065</v>
      </c>
      <c r="T127" s="1575" t="n">
        <f aca="false">Q127*R127/S127</f>
        <v>20007.3496890588</v>
      </c>
      <c r="U127" s="1540" t="n">
        <f aca="false">$I127</f>
        <v>480</v>
      </c>
      <c r="V127" s="1575" t="n">
        <f aca="false">T127*U127/1000</f>
        <v>9603.52785074823</v>
      </c>
      <c r="W127" s="1565" t="n">
        <f aca="false">R127</f>
        <v>2.64024047948862</v>
      </c>
      <c r="X127" s="394" t="n">
        <f aca="false">V127/W127</f>
        <v>3637.36861295616</v>
      </c>
      <c r="Y127" s="1579" t="str">
        <f aca="false">IF(MONTH($A127)=12,SUM(X116:X127)," ")</f>
        <v> </v>
      </c>
      <c r="AA127" s="1595" t="n">
        <f aca="false">IF($A127&gt;Endyr,0,VLOOKUP($A127,Tariff_Table,Tariff!$I$33))</f>
        <v>2.32</v>
      </c>
      <c r="AB127" s="1565" t="n">
        <f aca="false">$AS127</f>
        <v>1.31201031509344</v>
      </c>
      <c r="AC127" s="1596" t="n">
        <f aca="false">AA127*AB127</f>
        <v>3.04386393101679</v>
      </c>
      <c r="AD127" s="1565" t="n">
        <f aca="false">$F127</f>
        <v>2.64024047948862</v>
      </c>
      <c r="AE127" s="427" t="n">
        <f aca="false">$G127</f>
        <v>1.065</v>
      </c>
      <c r="AF127" s="1596" t="n">
        <f aca="false">AC127*AD127/AE127</f>
        <v>7.54604015467219</v>
      </c>
      <c r="AG127" s="397" t="n">
        <f aca="false">VLOOKUP($A127,Plant_Table,'Plant Operations'!$M$270)</f>
        <v>298980.864</v>
      </c>
      <c r="AH127" s="1575" t="n">
        <f aca="false">AF127*AG127/1000</f>
        <v>2256.12160522258</v>
      </c>
      <c r="AI127" s="1565" t="n">
        <f aca="false">AD127</f>
        <v>2.64024047948862</v>
      </c>
      <c r="AJ127" s="1566" t="n">
        <f aca="false">AH127/AI127</f>
        <v>854.513678867452</v>
      </c>
      <c r="AK127" s="1567" t="str">
        <f aca="false">IF(MONTH($A127)=12,SUM(AJ116:AJ127)," ")</f>
        <v> </v>
      </c>
      <c r="AM127" s="488" t="n">
        <f aca="false">IF($A127&gt;Endyr,0,VLOOKUP($A127,Tariff_Table,Tariff!$L$33))</f>
        <v>1.21</v>
      </c>
      <c r="AN127" s="1576" t="n">
        <f aca="false">VLOOKUP($A127,Curves_Table,Escalation!$Z$291)</f>
        <v>1.37647525622845</v>
      </c>
      <c r="AO127" s="1314" t="n">
        <f aca="false">AM127*AN127</f>
        <v>1.66553506003643</v>
      </c>
      <c r="AP127" s="1314" t="n">
        <f aca="false">IF($A127&gt;Endyr,0,VLOOKUP($A127,Tariff_Table,Tariff!$M$33))</f>
        <v>0.25</v>
      </c>
      <c r="AQ127" s="1314" t="n">
        <f aca="false">SUM(AO127,AP127)</f>
        <v>1.91553506003643</v>
      </c>
      <c r="AR127" s="1314" t="n">
        <f aca="false">SUM(AM127,AP127)</f>
        <v>1.46</v>
      </c>
      <c r="AS127" s="1598" t="n">
        <f aca="false">IF(AR127=0,0,AQ127/AR127)</f>
        <v>1.31201031509344</v>
      </c>
    </row>
    <row r="128" customFormat="false" ht="12.75" hidden="false" customHeight="false" outlineLevel="0" collapsed="false">
      <c r="A128" s="1538" t="n">
        <f aca="false">EDATE(A127,1)</f>
        <v>40483</v>
      </c>
      <c r="C128" s="1595" t="n">
        <f aca="false">IF($A128&gt;Endyr,0,VLOOKUP($A128,Tariff_Table,Tariff!$G$33))</f>
        <v>7434.78</v>
      </c>
      <c r="D128" s="1565" t="n">
        <f aca="false">VLOOKUP($A128,Curves_Table,Escalation!$V$291)</f>
        <v>1.40945468809218</v>
      </c>
      <c r="E128" s="1596" t="n">
        <f aca="false">C128*D128</f>
        <v>10478.985525934</v>
      </c>
      <c r="F128" s="1565" t="n">
        <f aca="false">IF(Assm!$L$74=0,VLOOKUP($A128,Curves_Table,Escalation!$D$291),VLOOKUP($A128,Curves_Table,Escalation!$E$291))</f>
        <v>2.64538266490724</v>
      </c>
      <c r="G128" s="427" t="n">
        <f aca="false">IF($A128&lt;EE_Date,VLOOKUP($A128,Curves_Table,Escalation!$D$291),Exch)</f>
        <v>1.065</v>
      </c>
      <c r="H128" s="1596" t="n">
        <f aca="false">E128*F128/G128</f>
        <v>26029.0391137273</v>
      </c>
      <c r="I128" s="1540" t="n">
        <f aca="false">VLOOKUP($A128,Plant_Table,'Plant Operations'!$C$270)</f>
        <v>480</v>
      </c>
      <c r="J128" s="1575" t="n">
        <f aca="false">H128*I128/1000</f>
        <v>12493.9387745891</v>
      </c>
      <c r="K128" s="1565" t="n">
        <f aca="false">F128</f>
        <v>2.64538266490724</v>
      </c>
      <c r="L128" s="394" t="n">
        <f aca="false">J128/K128</f>
        <v>4722.92305394207</v>
      </c>
      <c r="M128" s="1579" t="str">
        <f aca="false">IF(MONTH($A128)=12,SUM(L117:L128)," ")</f>
        <v> </v>
      </c>
      <c r="O128" s="1597" t="n">
        <f aca="false">IF($A128&gt;Endyr,0,VLOOKUP($A128,Tariff_Table,Tariff!$H$33))</f>
        <v>6151.18</v>
      </c>
      <c r="P128" s="1565" t="n">
        <f aca="false">$AS128</f>
        <v>1.31201031509344</v>
      </c>
      <c r="Q128" s="1575" t="n">
        <f aca="false">O128*P128</f>
        <v>8070.41160999649</v>
      </c>
      <c r="R128" s="1565" t="n">
        <f aca="false">$F128</f>
        <v>2.64538266490724</v>
      </c>
      <c r="S128" s="427" t="n">
        <f aca="false">$G128</f>
        <v>1.065</v>
      </c>
      <c r="T128" s="1575" t="n">
        <f aca="false">Q128*R128/S128</f>
        <v>20046.3164053998</v>
      </c>
      <c r="U128" s="1540" t="n">
        <f aca="false">$I128</f>
        <v>480</v>
      </c>
      <c r="V128" s="1575" t="n">
        <f aca="false">T128*U128/1000</f>
        <v>9622.23187459193</v>
      </c>
      <c r="W128" s="1565" t="n">
        <f aca="false">R128</f>
        <v>2.64538266490724</v>
      </c>
      <c r="X128" s="394" t="n">
        <f aca="false">V128/W128</f>
        <v>3637.36861295616</v>
      </c>
      <c r="Y128" s="1579" t="str">
        <f aca="false">IF(MONTH($A128)=12,SUM(X117:X128)," ")</f>
        <v> </v>
      </c>
      <c r="AA128" s="1595" t="n">
        <f aca="false">IF($A128&gt;Endyr,0,VLOOKUP($A128,Tariff_Table,Tariff!$I$33))</f>
        <v>2.32</v>
      </c>
      <c r="AB128" s="1565" t="n">
        <f aca="false">$AS128</f>
        <v>1.31201031509344</v>
      </c>
      <c r="AC128" s="1596" t="n">
        <f aca="false">AA128*AB128</f>
        <v>3.04386393101679</v>
      </c>
      <c r="AD128" s="1565" t="n">
        <f aca="false">$F128</f>
        <v>2.64538266490724</v>
      </c>
      <c r="AE128" s="427" t="n">
        <f aca="false">$G128</f>
        <v>1.065</v>
      </c>
      <c r="AF128" s="1596" t="n">
        <f aca="false">AC128*AD128/AE128</f>
        <v>7.56073697412978</v>
      </c>
      <c r="AG128" s="397" t="n">
        <f aca="false">VLOOKUP($A128,Plant_Table,'Plant Operations'!$M$270)</f>
        <v>289336.32</v>
      </c>
      <c r="AH128" s="1575" t="n">
        <f aca="false">AF128*AG128/1000</f>
        <v>2187.59581258265</v>
      </c>
      <c r="AI128" s="1565" t="n">
        <f aca="false">AD128</f>
        <v>2.64538266490724</v>
      </c>
      <c r="AJ128" s="1566" t="n">
        <f aca="false">AH128/AI128</f>
        <v>826.948721484631</v>
      </c>
      <c r="AK128" s="1567" t="str">
        <f aca="false">IF(MONTH($A128)=12,SUM(AJ117:AJ128)," ")</f>
        <v> </v>
      </c>
      <c r="AM128" s="488" t="n">
        <f aca="false">IF($A128&gt;Endyr,0,VLOOKUP($A128,Tariff_Table,Tariff!$L$33))</f>
        <v>1.21</v>
      </c>
      <c r="AN128" s="1576" t="n">
        <f aca="false">VLOOKUP($A128,Curves_Table,Escalation!$Z$291)</f>
        <v>1.37647525622845</v>
      </c>
      <c r="AO128" s="1314" t="n">
        <f aca="false">AM128*AN128</f>
        <v>1.66553506003643</v>
      </c>
      <c r="AP128" s="1314" t="n">
        <f aca="false">IF($A128&gt;Endyr,0,VLOOKUP($A128,Tariff_Table,Tariff!$M$33))</f>
        <v>0.25</v>
      </c>
      <c r="AQ128" s="1314" t="n">
        <f aca="false">SUM(AO128,AP128)</f>
        <v>1.91553506003643</v>
      </c>
      <c r="AR128" s="1314" t="n">
        <f aca="false">SUM(AM128,AP128)</f>
        <v>1.46</v>
      </c>
      <c r="AS128" s="1598" t="n">
        <f aca="false">IF(AR128=0,0,AQ128/AR128)</f>
        <v>1.31201031509344</v>
      </c>
    </row>
    <row r="129" customFormat="false" ht="12.75" hidden="false" customHeight="false" outlineLevel="0" collapsed="false">
      <c r="A129" s="1538" t="n">
        <f aca="false">EDATE(A128,1)</f>
        <v>40513</v>
      </c>
      <c r="C129" s="1595" t="n">
        <f aca="false">IF($A129&gt;Endyr,0,VLOOKUP($A129,Tariff_Table,Tariff!$G$33))</f>
        <v>7434.78</v>
      </c>
      <c r="D129" s="1565" t="n">
        <f aca="false">VLOOKUP($A129,Curves_Table,Escalation!$V$291)</f>
        <v>1.40945468809218</v>
      </c>
      <c r="E129" s="1596" t="n">
        <f aca="false">C129*D129</f>
        <v>10478.985525934</v>
      </c>
      <c r="F129" s="1565" t="n">
        <f aca="false">IF(Assm!$L$74=0,VLOOKUP($A129,Curves_Table,Escalation!$D$291),VLOOKUP($A129,Curves_Table,Escalation!$E$291))</f>
        <v>2.65053486534952</v>
      </c>
      <c r="G129" s="427" t="n">
        <f aca="false">IF($A129&lt;EE_Date,VLOOKUP($A129,Curves_Table,Escalation!$D$291),Exch)</f>
        <v>1.065</v>
      </c>
      <c r="H129" s="1596" t="n">
        <f aca="false">E129*F129/G129</f>
        <v>26079.7337934094</v>
      </c>
      <c r="I129" s="1540" t="n">
        <f aca="false">VLOOKUP($A129,Plant_Table,'Plant Operations'!$C$270)</f>
        <v>480</v>
      </c>
      <c r="J129" s="1575" t="n">
        <f aca="false">H129*I129/1000</f>
        <v>12518.2722208365</v>
      </c>
      <c r="K129" s="1565" t="n">
        <f aca="false">F129</f>
        <v>2.65053486534952</v>
      </c>
      <c r="L129" s="394" t="n">
        <f aca="false">J129/K129</f>
        <v>4722.92305394207</v>
      </c>
      <c r="M129" s="1579" t="n">
        <f aca="false">IF(MONTH($A129)=12,SUM(L118:L129)," ")</f>
        <v>56191.2503754793</v>
      </c>
      <c r="O129" s="1597" t="n">
        <f aca="false">IF($A129&gt;Endyr,0,VLOOKUP($A129,Tariff_Table,Tariff!$H$33))</f>
        <v>6151.18</v>
      </c>
      <c r="P129" s="1565" t="n">
        <f aca="false">$AS129</f>
        <v>1.31201031509344</v>
      </c>
      <c r="Q129" s="1575" t="n">
        <f aca="false">O129*P129</f>
        <v>8070.41160999649</v>
      </c>
      <c r="R129" s="1565" t="n">
        <f aca="false">$F129</f>
        <v>2.65053486534952</v>
      </c>
      <c r="S129" s="427" t="n">
        <f aca="false">$G129</f>
        <v>1.065</v>
      </c>
      <c r="T129" s="1575" t="n">
        <f aca="false">Q129*R129/S129</f>
        <v>20085.3590141007</v>
      </c>
      <c r="U129" s="1540" t="n">
        <f aca="false">$I129</f>
        <v>480</v>
      </c>
      <c r="V129" s="1575" t="n">
        <f aca="false">T129*U129/1000</f>
        <v>9640.97232676835</v>
      </c>
      <c r="W129" s="1565" t="n">
        <f aca="false">R129</f>
        <v>2.65053486534952</v>
      </c>
      <c r="X129" s="394" t="n">
        <f aca="false">V129/W129</f>
        <v>3637.36861295616</v>
      </c>
      <c r="Y129" s="1579" t="n">
        <f aca="false">IF(MONTH($A129)=12,SUM(X118:X129)," ")</f>
        <v>43335.6353667785</v>
      </c>
      <c r="AA129" s="1595" t="n">
        <f aca="false">IF($A129&gt;Endyr,0,VLOOKUP($A129,Tariff_Table,Tariff!$I$33))</f>
        <v>2.32</v>
      </c>
      <c r="AB129" s="1565" t="n">
        <f aca="false">$AS129</f>
        <v>1.31201031509344</v>
      </c>
      <c r="AC129" s="1596" t="n">
        <f aca="false">AA129*AB129</f>
        <v>3.04386393101679</v>
      </c>
      <c r="AD129" s="1565" t="n">
        <f aca="false">$F129</f>
        <v>2.65053486534952</v>
      </c>
      <c r="AE129" s="427" t="n">
        <f aca="false">$G129</f>
        <v>1.065</v>
      </c>
      <c r="AF129" s="1596" t="n">
        <f aca="false">AC129*AD129/AE129</f>
        <v>7.57546241740831</v>
      </c>
      <c r="AG129" s="397" t="n">
        <f aca="false">VLOOKUP($A129,Plant_Table,'Plant Operations'!$M$270)</f>
        <v>298980.864</v>
      </c>
      <c r="AH129" s="1575" t="n">
        <f aca="false">AF129*AG129/1000</f>
        <v>2264.91829875627</v>
      </c>
      <c r="AI129" s="1565" t="n">
        <f aca="false">AD129</f>
        <v>2.65053486534952</v>
      </c>
      <c r="AJ129" s="1566" t="n">
        <f aca="false">AH129/AI129</f>
        <v>854.513678867452</v>
      </c>
      <c r="AK129" s="1567" t="n">
        <f aca="false">IF(MONTH($A129)=12,SUM(AJ118:AJ129)," ")</f>
        <v>9981.63602761059</v>
      </c>
      <c r="AM129" s="488" t="n">
        <f aca="false">IF($A129&gt;Endyr,0,VLOOKUP($A129,Tariff_Table,Tariff!$L$33))</f>
        <v>1.21</v>
      </c>
      <c r="AN129" s="1576" t="n">
        <f aca="false">VLOOKUP($A129,Curves_Table,Escalation!$Z$291)</f>
        <v>1.37647525622845</v>
      </c>
      <c r="AO129" s="1314" t="n">
        <f aca="false">AM129*AN129</f>
        <v>1.66553506003643</v>
      </c>
      <c r="AP129" s="1314" t="n">
        <f aca="false">IF($A129&gt;Endyr,0,VLOOKUP($A129,Tariff_Table,Tariff!$M$33))</f>
        <v>0.25</v>
      </c>
      <c r="AQ129" s="1314" t="n">
        <f aca="false">SUM(AO129,AP129)</f>
        <v>1.91553506003643</v>
      </c>
      <c r="AR129" s="1314" t="n">
        <f aca="false">SUM(AM129,AP129)</f>
        <v>1.46</v>
      </c>
      <c r="AS129" s="1598" t="n">
        <f aca="false">IF(AR129=0,0,AQ129/AR129)</f>
        <v>1.31201031509344</v>
      </c>
    </row>
    <row r="130" customFormat="false" ht="12.75" hidden="false" customHeight="false" outlineLevel="0" collapsed="false">
      <c r="A130" s="1538" t="n">
        <f aca="false">EDATE(A129,1)</f>
        <v>40544</v>
      </c>
      <c r="C130" s="1595" t="n">
        <f aca="false">IF($A130&gt;Endyr,0,VLOOKUP($A130,Tariff_Table,Tariff!$G$33))</f>
        <v>7434.78</v>
      </c>
      <c r="D130" s="1565" t="n">
        <f aca="false">VLOOKUP($A130,Curves_Table,Escalation!$V$291)</f>
        <v>1.40945468809218</v>
      </c>
      <c r="E130" s="1596" t="n">
        <f aca="false">C130*D130</f>
        <v>10478.985525934</v>
      </c>
      <c r="F130" s="1565" t="n">
        <f aca="false">IF(Assm!$L$74=0,VLOOKUP($A130,Curves_Table,Escalation!$D$291),VLOOKUP($A130,Curves_Table,Escalation!$E$291))</f>
        <v>2.65513335215341</v>
      </c>
      <c r="G130" s="427" t="n">
        <f aca="false">IF($A130&lt;EE_Date,VLOOKUP($A130,Curves_Table,Escalation!$D$291),Exch)</f>
        <v>1.065</v>
      </c>
      <c r="H130" s="1596" t="n">
        <f aca="false">E130*F130/G130</f>
        <v>26124.9802503663</v>
      </c>
      <c r="I130" s="1540" t="n">
        <f aca="false">VLOOKUP($A130,Plant_Table,'Plant Operations'!$C$270)</f>
        <v>480</v>
      </c>
      <c r="J130" s="1575" t="n">
        <f aca="false">H130*I130/1000</f>
        <v>12539.9905201758</v>
      </c>
      <c r="K130" s="1565" t="n">
        <f aca="false">F130</f>
        <v>2.65513335215341</v>
      </c>
      <c r="L130" s="394" t="n">
        <f aca="false">J130/K130</f>
        <v>4722.92305394207</v>
      </c>
      <c r="M130" s="1579" t="str">
        <f aca="false">IF(MONTH($A130)=12,SUM(L119:L130)," ")</f>
        <v> </v>
      </c>
      <c r="O130" s="1597" t="n">
        <f aca="false">IF($A130&gt;Endyr,0,VLOOKUP($A130,Tariff_Table,Tariff!$H$33))</f>
        <v>6151.18</v>
      </c>
      <c r="P130" s="1565" t="n">
        <f aca="false">$AS130</f>
        <v>1.31201031509344</v>
      </c>
      <c r="Q130" s="1575" t="n">
        <f aca="false">O130*P130</f>
        <v>8070.41160999649</v>
      </c>
      <c r="R130" s="1565" t="n">
        <f aca="false">$F130</f>
        <v>2.65513335215341</v>
      </c>
      <c r="S130" s="427" t="n">
        <f aca="false">$G130</f>
        <v>1.065</v>
      </c>
      <c r="T130" s="1575" t="n">
        <f aca="false">Q130*R130/S130</f>
        <v>20120.2056631998</v>
      </c>
      <c r="U130" s="1540" t="n">
        <f aca="false">$I130</f>
        <v>480</v>
      </c>
      <c r="V130" s="1575" t="n">
        <f aca="false">T130*U130/1000</f>
        <v>9657.69871833589</v>
      </c>
      <c r="W130" s="1565" t="n">
        <f aca="false">R130</f>
        <v>2.65513335215341</v>
      </c>
      <c r="X130" s="394" t="n">
        <f aca="false">V130/W130</f>
        <v>3637.36861295616</v>
      </c>
      <c r="Y130" s="1579" t="str">
        <f aca="false">IF(MONTH($A130)=12,SUM(X119:X130)," ")</f>
        <v> </v>
      </c>
      <c r="AA130" s="1595" t="n">
        <f aca="false">IF($A130&gt;Endyr,0,VLOOKUP($A130,Tariff_Table,Tariff!$I$33))</f>
        <v>2.32</v>
      </c>
      <c r="AB130" s="1565" t="n">
        <f aca="false">$AS130</f>
        <v>1.31201031509344</v>
      </c>
      <c r="AC130" s="1596" t="n">
        <f aca="false">AA130*AB130</f>
        <v>3.04386393101679</v>
      </c>
      <c r="AD130" s="1565" t="n">
        <f aca="false">$F130</f>
        <v>2.65513335215341</v>
      </c>
      <c r="AE130" s="427" t="n">
        <f aca="false">$G130</f>
        <v>1.065</v>
      </c>
      <c r="AF130" s="1596" t="n">
        <f aca="false">AC130*AD130/AE130</f>
        <v>7.58860529827179</v>
      </c>
      <c r="AG130" s="397" t="n">
        <f aca="false">VLOOKUP($A130,Plant_Table,'Plant Operations'!$M$270)</f>
        <v>298980.864</v>
      </c>
      <c r="AH130" s="1575" t="n">
        <f aca="false">AF130*AG130/1000</f>
        <v>2268.84776863228</v>
      </c>
      <c r="AI130" s="1565" t="n">
        <f aca="false">AD130</f>
        <v>2.65513335215341</v>
      </c>
      <c r="AJ130" s="1566" t="n">
        <f aca="false">AH130/AI130</f>
        <v>854.513678867452</v>
      </c>
      <c r="AK130" s="1567" t="str">
        <f aca="false">IF(MONTH($A130)=12,SUM(AJ119:AJ130)," ")</f>
        <v> </v>
      </c>
      <c r="AM130" s="488" t="n">
        <f aca="false">IF($A130&gt;Endyr,0,VLOOKUP($A130,Tariff_Table,Tariff!$L$33))</f>
        <v>1.21</v>
      </c>
      <c r="AN130" s="1576" t="n">
        <f aca="false">VLOOKUP($A130,Curves_Table,Escalation!$Z$291)</f>
        <v>1.37647525622845</v>
      </c>
      <c r="AO130" s="1314" t="n">
        <f aca="false">AM130*AN130</f>
        <v>1.66553506003643</v>
      </c>
      <c r="AP130" s="1314" t="n">
        <f aca="false">IF($A130&gt;Endyr,0,VLOOKUP($A130,Tariff_Table,Tariff!$M$33))</f>
        <v>0.25</v>
      </c>
      <c r="AQ130" s="1314" t="n">
        <f aca="false">SUM(AO130,AP130)</f>
        <v>1.91553506003643</v>
      </c>
      <c r="AR130" s="1314" t="n">
        <f aca="false">SUM(AM130,AP130)</f>
        <v>1.46</v>
      </c>
      <c r="AS130" s="1598" t="n">
        <f aca="false">IF(AR130=0,0,AQ130/AR130)</f>
        <v>1.31201031509344</v>
      </c>
    </row>
    <row r="131" customFormat="false" ht="12.75" hidden="false" customHeight="false" outlineLevel="0" collapsed="false">
      <c r="A131" s="1538" t="n">
        <f aca="false">EDATE(A130,1)</f>
        <v>40575</v>
      </c>
      <c r="C131" s="1595" t="n">
        <f aca="false">IF($A131&gt;Endyr,0,VLOOKUP($A131,Tariff_Table,Tariff!$G$33))</f>
        <v>7434.78</v>
      </c>
      <c r="D131" s="1565" t="n">
        <f aca="false">VLOOKUP($A131,Curves_Table,Escalation!$V$291)</f>
        <v>1.40945468809218</v>
      </c>
      <c r="E131" s="1596" t="n">
        <f aca="false">C131*D131</f>
        <v>10478.985525934</v>
      </c>
      <c r="F131" s="1565" t="n">
        <f aca="false">IF(Assm!$L$74=0,VLOOKUP($A131,Curves_Table,Escalation!$D$291),VLOOKUP($A131,Curves_Table,Escalation!$E$291))</f>
        <v>2.6597398170002</v>
      </c>
      <c r="G131" s="427" t="n">
        <f aca="false">IF($A131&lt;EE_Date,VLOOKUP($A131,Curves_Table,Escalation!$D$291),Exch)</f>
        <v>1.065</v>
      </c>
      <c r="H131" s="1596" t="n">
        <f aca="false">E131*F131/G131</f>
        <v>26170.3052066623</v>
      </c>
      <c r="I131" s="1540" t="n">
        <f aca="false">VLOOKUP($A131,Plant_Table,'Plant Operations'!$C$270)</f>
        <v>480</v>
      </c>
      <c r="J131" s="1575" t="n">
        <f aca="false">H131*I131/1000</f>
        <v>12561.7464991979</v>
      </c>
      <c r="K131" s="1565" t="n">
        <f aca="false">F131</f>
        <v>2.6597398170002</v>
      </c>
      <c r="L131" s="394" t="n">
        <f aca="false">J131/K131</f>
        <v>4722.92305394207</v>
      </c>
      <c r="M131" s="1579" t="str">
        <f aca="false">IF(MONTH($A131)=12,SUM(L120:L131)," ")</f>
        <v> </v>
      </c>
      <c r="O131" s="1597" t="n">
        <f aca="false">IF($A131&gt;Endyr,0,VLOOKUP($A131,Tariff_Table,Tariff!$H$33))</f>
        <v>6151.18</v>
      </c>
      <c r="P131" s="1565" t="n">
        <f aca="false">$AS131</f>
        <v>1.31201031509344</v>
      </c>
      <c r="Q131" s="1575" t="n">
        <f aca="false">O131*P131</f>
        <v>8070.41160999649</v>
      </c>
      <c r="R131" s="1565" t="n">
        <f aca="false">$F131</f>
        <v>2.6597398170002</v>
      </c>
      <c r="S131" s="427" t="n">
        <f aca="false">$G131</f>
        <v>1.065</v>
      </c>
      <c r="T131" s="1575" t="n">
        <f aca="false">Q131*R131/S131</f>
        <v>20155.1127687215</v>
      </c>
      <c r="U131" s="1540" t="n">
        <f aca="false">$I131</f>
        <v>480</v>
      </c>
      <c r="V131" s="1575" t="n">
        <f aca="false">T131*U131/1000</f>
        <v>9674.4541289863</v>
      </c>
      <c r="W131" s="1565" t="n">
        <f aca="false">R131</f>
        <v>2.6597398170002</v>
      </c>
      <c r="X131" s="394" t="n">
        <f aca="false">V131/W131</f>
        <v>3637.36861295616</v>
      </c>
      <c r="Y131" s="1579" t="str">
        <f aca="false">IF(MONTH($A131)=12,SUM(X120:X131)," ")</f>
        <v> </v>
      </c>
      <c r="AA131" s="1595" t="n">
        <f aca="false">IF($A131&gt;Endyr,0,VLOOKUP($A131,Tariff_Table,Tariff!$I$33))</f>
        <v>2.32</v>
      </c>
      <c r="AB131" s="1565" t="n">
        <f aca="false">$AS131</f>
        <v>1.31201031509344</v>
      </c>
      <c r="AC131" s="1596" t="n">
        <f aca="false">AA131*AB131</f>
        <v>3.04386393101679</v>
      </c>
      <c r="AD131" s="1565" t="n">
        <f aca="false">$F131</f>
        <v>2.6597398170002</v>
      </c>
      <c r="AE131" s="427" t="n">
        <f aca="false">$G131</f>
        <v>1.065</v>
      </c>
      <c r="AF131" s="1596" t="n">
        <f aca="false">AC131*AD131/AE131</f>
        <v>7.60177098108555</v>
      </c>
      <c r="AG131" s="397" t="n">
        <f aca="false">VLOOKUP($A131,Plant_Table,'Plant Operations'!$M$270)</f>
        <v>270047.232</v>
      </c>
      <c r="AH131" s="1575" t="n">
        <f aca="false">AF131*AG131/1000</f>
        <v>2052.83721174008</v>
      </c>
      <c r="AI131" s="1565" t="n">
        <f aca="false">AD131</f>
        <v>2.6597398170002</v>
      </c>
      <c r="AJ131" s="1566" t="n">
        <f aca="false">AH131/AI131</f>
        <v>771.818806718989</v>
      </c>
      <c r="AK131" s="1567" t="str">
        <f aca="false">IF(MONTH($A131)=12,SUM(AJ120:AJ131)," ")</f>
        <v> </v>
      </c>
      <c r="AM131" s="488" t="n">
        <f aca="false">IF($A131&gt;Endyr,0,VLOOKUP($A131,Tariff_Table,Tariff!$L$33))</f>
        <v>1.21</v>
      </c>
      <c r="AN131" s="1576" t="n">
        <f aca="false">VLOOKUP($A131,Curves_Table,Escalation!$Z$291)</f>
        <v>1.37647525622845</v>
      </c>
      <c r="AO131" s="1314" t="n">
        <f aca="false">AM131*AN131</f>
        <v>1.66553506003643</v>
      </c>
      <c r="AP131" s="1314" t="n">
        <f aca="false">IF($A131&gt;Endyr,0,VLOOKUP($A131,Tariff_Table,Tariff!$M$33))</f>
        <v>0.25</v>
      </c>
      <c r="AQ131" s="1314" t="n">
        <f aca="false">SUM(AO131,AP131)</f>
        <v>1.91553506003643</v>
      </c>
      <c r="AR131" s="1314" t="n">
        <f aca="false">SUM(AM131,AP131)</f>
        <v>1.46</v>
      </c>
      <c r="AS131" s="1598" t="n">
        <f aca="false">IF(AR131=0,0,AQ131/AR131)</f>
        <v>1.31201031509344</v>
      </c>
    </row>
    <row r="132" customFormat="false" ht="12.75" hidden="false" customHeight="false" outlineLevel="0" collapsed="false">
      <c r="A132" s="1538" t="n">
        <f aca="false">EDATE(A131,1)</f>
        <v>40603</v>
      </c>
      <c r="C132" s="1595" t="n">
        <f aca="false">IF($A132&gt;Endyr,0,VLOOKUP($A132,Tariff_Table,Tariff!$G$33))</f>
        <v>7434.78</v>
      </c>
      <c r="D132" s="1565" t="n">
        <f aca="false">VLOOKUP($A132,Curves_Table,Escalation!$V$291)</f>
        <v>1.40945468809218</v>
      </c>
      <c r="E132" s="1596" t="n">
        <f aca="false">C132*D132</f>
        <v>10478.985525934</v>
      </c>
      <c r="F132" s="1565" t="n">
        <f aca="false">IF(Assm!$L$74=0,VLOOKUP($A132,Curves_Table,Escalation!$D$291),VLOOKUP($A132,Curves_Table,Escalation!$E$291))</f>
        <v>2.66435427373123</v>
      </c>
      <c r="G132" s="427" t="n">
        <f aca="false">IF($A132&lt;EE_Date,VLOOKUP($A132,Curves_Table,Escalation!$D$291),Exch)</f>
        <v>1.065</v>
      </c>
      <c r="H132" s="1596" t="n">
        <f aca="false">E132*F132/G132</f>
        <v>26215.7087984882</v>
      </c>
      <c r="I132" s="1540" t="n">
        <f aca="false">VLOOKUP($A132,Plant_Table,'Plant Operations'!$C$270)</f>
        <v>480</v>
      </c>
      <c r="J132" s="1575" t="n">
        <f aca="false">H132*I132/1000</f>
        <v>12583.5402232743</v>
      </c>
      <c r="K132" s="1565" t="n">
        <f aca="false">F132</f>
        <v>2.66435427373123</v>
      </c>
      <c r="L132" s="394" t="n">
        <f aca="false">J132/K132</f>
        <v>4722.92305394207</v>
      </c>
      <c r="M132" s="1579" t="str">
        <f aca="false">IF(MONTH($A132)=12,SUM(L121:L132)," ")</f>
        <v> </v>
      </c>
      <c r="O132" s="1597" t="n">
        <f aca="false">IF($A132&gt;Endyr,0,VLOOKUP($A132,Tariff_Table,Tariff!$H$33))</f>
        <v>6151.18</v>
      </c>
      <c r="P132" s="1565" t="n">
        <f aca="false">$AS132</f>
        <v>1.31201031509344</v>
      </c>
      <c r="Q132" s="1575" t="n">
        <f aca="false">O132*P132</f>
        <v>8070.41160999649</v>
      </c>
      <c r="R132" s="1565" t="n">
        <f aca="false">$F132</f>
        <v>2.66435427373123</v>
      </c>
      <c r="S132" s="427" t="n">
        <f aca="false">$G132</f>
        <v>1.065</v>
      </c>
      <c r="T132" s="1575" t="n">
        <f aca="false">Q132*R132/S132</f>
        <v>20190.0804355533</v>
      </c>
      <c r="U132" s="1540" t="n">
        <f aca="false">$I132</f>
        <v>480</v>
      </c>
      <c r="V132" s="1575" t="n">
        <f aca="false">T132*U132/1000</f>
        <v>9691.2386090656</v>
      </c>
      <c r="W132" s="1565" t="n">
        <f aca="false">R132</f>
        <v>2.66435427373123</v>
      </c>
      <c r="X132" s="394" t="n">
        <f aca="false">V132/W132</f>
        <v>3637.36861295617</v>
      </c>
      <c r="Y132" s="1579" t="str">
        <f aca="false">IF(MONTH($A132)=12,SUM(X121:X132)," ")</f>
        <v> </v>
      </c>
      <c r="AA132" s="1595" t="n">
        <f aca="false">IF($A132&gt;Endyr,0,VLOOKUP($A132,Tariff_Table,Tariff!$I$33))</f>
        <v>2.32</v>
      </c>
      <c r="AB132" s="1565" t="n">
        <f aca="false">$AS132</f>
        <v>1.31201031509344</v>
      </c>
      <c r="AC132" s="1596" t="n">
        <f aca="false">AA132*AB132</f>
        <v>3.04386393101679</v>
      </c>
      <c r="AD132" s="1565" t="n">
        <f aca="false">$F132</f>
        <v>2.66435427373123</v>
      </c>
      <c r="AE132" s="427" t="n">
        <f aca="false">$G132</f>
        <v>1.065</v>
      </c>
      <c r="AF132" s="1596" t="n">
        <f aca="false">AC132*AD132/AE132</f>
        <v>7.61495950540932</v>
      </c>
      <c r="AG132" s="397" t="n">
        <f aca="false">VLOOKUP($A132,Plant_Table,'Plant Operations'!$M$270)</f>
        <v>298980.864</v>
      </c>
      <c r="AH132" s="1575" t="n">
        <f aca="false">AF132*AG132/1000</f>
        <v>2276.72717225229</v>
      </c>
      <c r="AI132" s="1565" t="n">
        <f aca="false">AD132</f>
        <v>2.66435427373123</v>
      </c>
      <c r="AJ132" s="1566" t="n">
        <f aca="false">AH132/AI132</f>
        <v>854.513678867452</v>
      </c>
      <c r="AK132" s="1567" t="str">
        <f aca="false">IF(MONTH($A132)=12,SUM(AJ121:AJ132)," ")</f>
        <v> </v>
      </c>
      <c r="AM132" s="488" t="n">
        <f aca="false">IF($A132&gt;Endyr,0,VLOOKUP($A132,Tariff_Table,Tariff!$L$33))</f>
        <v>1.21</v>
      </c>
      <c r="AN132" s="1576" t="n">
        <f aca="false">VLOOKUP($A132,Curves_Table,Escalation!$Z$291)</f>
        <v>1.37647525622845</v>
      </c>
      <c r="AO132" s="1314" t="n">
        <f aca="false">AM132*AN132</f>
        <v>1.66553506003643</v>
      </c>
      <c r="AP132" s="1314" t="n">
        <f aca="false">IF($A132&gt;Endyr,0,VLOOKUP($A132,Tariff_Table,Tariff!$M$33))</f>
        <v>0.25</v>
      </c>
      <c r="AQ132" s="1314" t="n">
        <f aca="false">SUM(AO132,AP132)</f>
        <v>1.91553506003643</v>
      </c>
      <c r="AR132" s="1314" t="n">
        <f aca="false">SUM(AM132,AP132)</f>
        <v>1.46</v>
      </c>
      <c r="AS132" s="1598" t="n">
        <f aca="false">IF(AR132=0,0,AQ132/AR132)</f>
        <v>1.31201031509344</v>
      </c>
    </row>
    <row r="133" customFormat="false" ht="12.75" hidden="false" customHeight="false" outlineLevel="0" collapsed="false">
      <c r="A133" s="1538" t="n">
        <f aca="false">EDATE(A132,1)</f>
        <v>40634</v>
      </c>
      <c r="C133" s="1595" t="n">
        <f aca="false">IF($A133&gt;Endyr,0,VLOOKUP($A133,Tariff_Table,Tariff!$G$33))</f>
        <v>7434.78</v>
      </c>
      <c r="D133" s="1565" t="n">
        <f aca="false">VLOOKUP($A133,Curves_Table,Escalation!$V$291)</f>
        <v>1.40945468809218</v>
      </c>
      <c r="E133" s="1596" t="n">
        <f aca="false">C133*D133</f>
        <v>10478.985525934</v>
      </c>
      <c r="F133" s="1565" t="n">
        <f aca="false">IF(Assm!$L$74=0,VLOOKUP($A133,Curves_Table,Escalation!$D$291),VLOOKUP($A133,Curves_Table,Escalation!$E$291))</f>
        <v>2.66897673621184</v>
      </c>
      <c r="G133" s="427" t="n">
        <f aca="false">IF($A133&lt;EE_Date,VLOOKUP($A133,Curves_Table,Escalation!$D$291),Exch)</f>
        <v>1.065</v>
      </c>
      <c r="H133" s="1596" t="n">
        <f aca="false">E133*F133/G133</f>
        <v>26261.1911622708</v>
      </c>
      <c r="I133" s="1540" t="n">
        <f aca="false">VLOOKUP($A133,Plant_Table,'Plant Operations'!$C$270)</f>
        <v>480</v>
      </c>
      <c r="J133" s="1575" t="n">
        <f aca="false">H133*I133/1000</f>
        <v>12605.37175789</v>
      </c>
      <c r="K133" s="1565" t="n">
        <f aca="false">F133</f>
        <v>2.66897673621184</v>
      </c>
      <c r="L133" s="394" t="n">
        <f aca="false">J133/K133</f>
        <v>4722.92305394207</v>
      </c>
      <c r="M133" s="1579" t="str">
        <f aca="false">IF(MONTH($A133)=12,SUM(L122:L133)," ")</f>
        <v> </v>
      </c>
      <c r="O133" s="1597" t="n">
        <f aca="false">IF($A133&gt;Endyr,0,VLOOKUP($A133,Tariff_Table,Tariff!$H$33))</f>
        <v>6151.18</v>
      </c>
      <c r="P133" s="1565" t="n">
        <f aca="false">$AS133</f>
        <v>1.31201031509344</v>
      </c>
      <c r="Q133" s="1575" t="n">
        <f aca="false">O133*P133</f>
        <v>8070.41160999649</v>
      </c>
      <c r="R133" s="1565" t="n">
        <f aca="false">$F133</f>
        <v>2.66897673621184</v>
      </c>
      <c r="S133" s="427" t="n">
        <f aca="false">$G133</f>
        <v>1.065</v>
      </c>
      <c r="T133" s="1575" t="n">
        <f aca="false">Q133*R133/S133</f>
        <v>20225.1087687649</v>
      </c>
      <c r="U133" s="1540" t="n">
        <f aca="false">$I133</f>
        <v>480</v>
      </c>
      <c r="V133" s="1575" t="n">
        <f aca="false">T133*U133/1000</f>
        <v>9708.05220900714</v>
      </c>
      <c r="W133" s="1565" t="n">
        <f aca="false">R133</f>
        <v>2.66897673621184</v>
      </c>
      <c r="X133" s="394" t="n">
        <f aca="false">V133/W133</f>
        <v>3637.36861295617</v>
      </c>
      <c r="Y133" s="1579" t="str">
        <f aca="false">IF(MONTH($A133)=12,SUM(X122:X133)," ")</f>
        <v> </v>
      </c>
      <c r="AA133" s="1595" t="n">
        <f aca="false">IF($A133&gt;Endyr,0,VLOOKUP($A133,Tariff_Table,Tariff!$I$33))</f>
        <v>2.32</v>
      </c>
      <c r="AB133" s="1565" t="n">
        <f aca="false">$AS133</f>
        <v>1.31201031509344</v>
      </c>
      <c r="AC133" s="1596" t="n">
        <f aca="false">AA133*AB133</f>
        <v>3.04386393101679</v>
      </c>
      <c r="AD133" s="1565" t="n">
        <f aca="false">$F133</f>
        <v>2.66897673621184</v>
      </c>
      <c r="AE133" s="427" t="n">
        <f aca="false">$G133</f>
        <v>1.065</v>
      </c>
      <c r="AF133" s="1596" t="n">
        <f aca="false">AC133*AD133/AE133</f>
        <v>7.62817091087149</v>
      </c>
      <c r="AG133" s="397" t="n">
        <f aca="false">VLOOKUP($A133,Plant_Table,'Plant Operations'!$M$270)</f>
        <v>289336.32</v>
      </c>
      <c r="AH133" s="1575" t="n">
        <f aca="false">AF133*AG133/1000</f>
        <v>2207.1068996826</v>
      </c>
      <c r="AI133" s="1565" t="n">
        <f aca="false">AD133</f>
        <v>2.66897673621184</v>
      </c>
      <c r="AJ133" s="1566" t="n">
        <f aca="false">AH133/AI133</f>
        <v>826.948721484631</v>
      </c>
      <c r="AK133" s="1567" t="str">
        <f aca="false">IF(MONTH($A133)=12,SUM(AJ122:AJ133)," ")</f>
        <v> </v>
      </c>
      <c r="AM133" s="488" t="n">
        <f aca="false">IF($A133&gt;Endyr,0,VLOOKUP($A133,Tariff_Table,Tariff!$L$33))</f>
        <v>1.21</v>
      </c>
      <c r="AN133" s="1576" t="n">
        <f aca="false">VLOOKUP($A133,Curves_Table,Escalation!$Z$291)</f>
        <v>1.37647525622845</v>
      </c>
      <c r="AO133" s="1314" t="n">
        <f aca="false">AM133*AN133</f>
        <v>1.66553506003643</v>
      </c>
      <c r="AP133" s="1314" t="n">
        <f aca="false">IF($A133&gt;Endyr,0,VLOOKUP($A133,Tariff_Table,Tariff!$M$33))</f>
        <v>0.25</v>
      </c>
      <c r="AQ133" s="1314" t="n">
        <f aca="false">SUM(AO133,AP133)</f>
        <v>1.91553506003643</v>
      </c>
      <c r="AR133" s="1314" t="n">
        <f aca="false">SUM(AM133,AP133)</f>
        <v>1.46</v>
      </c>
      <c r="AS133" s="1598" t="n">
        <f aca="false">IF(AR133=0,0,AQ133/AR133)</f>
        <v>1.31201031509344</v>
      </c>
    </row>
    <row r="134" customFormat="false" ht="12.75" hidden="false" customHeight="false" outlineLevel="0" collapsed="false">
      <c r="A134" s="1538" t="n">
        <f aca="false">EDATE(A133,1)</f>
        <v>40664</v>
      </c>
      <c r="C134" s="1595" t="n">
        <f aca="false">IF($A134&gt;Endyr,0,VLOOKUP($A134,Tariff_Table,Tariff!$G$33))</f>
        <v>7420.61</v>
      </c>
      <c r="D134" s="1565" t="n">
        <f aca="false">VLOOKUP($A134,Curves_Table,Escalation!$V$291)</f>
        <v>1.44536293026781</v>
      </c>
      <c r="E134" s="1596" t="n">
        <f aca="false">C134*D134</f>
        <v>10725.4746139746</v>
      </c>
      <c r="F134" s="1565" t="n">
        <f aca="false">IF(Assm!$L$74=0,VLOOKUP($A134,Curves_Table,Escalation!$D$291),VLOOKUP($A134,Curves_Table,Escalation!$E$291))</f>
        <v>2.67360721833143</v>
      </c>
      <c r="G134" s="427" t="n">
        <f aca="false">IF($A134&lt;EE_Date,VLOOKUP($A134,Curves_Table,Escalation!$D$291),Exch)</f>
        <v>1.065</v>
      </c>
      <c r="H134" s="1596" t="n">
        <f aca="false">E134*F134/G134</f>
        <v>26925.5458666225</v>
      </c>
      <c r="I134" s="1540" t="n">
        <f aca="false">VLOOKUP($A134,Plant_Table,'Plant Operations'!$C$270)</f>
        <v>480</v>
      </c>
      <c r="J134" s="1575" t="n">
        <f aca="false">H134*I134/1000</f>
        <v>12924.2620159788</v>
      </c>
      <c r="K134" s="1565" t="n">
        <f aca="false">F134</f>
        <v>2.67360721833143</v>
      </c>
      <c r="L134" s="394" t="n">
        <f aca="false">J134/K134</f>
        <v>4834.01672742517</v>
      </c>
      <c r="M134" s="1579" t="str">
        <f aca="false">IF(MONTH($A134)=12,SUM(L123:L134)," ")</f>
        <v> </v>
      </c>
      <c r="O134" s="1597" t="n">
        <f aca="false">IF($A134&gt;Endyr,0,VLOOKUP($A134,Tariff_Table,Tariff!$H$33))</f>
        <v>6104.93</v>
      </c>
      <c r="P134" s="1565" t="n">
        <f aca="false">$AS134</f>
        <v>1.33822160628749</v>
      </c>
      <c r="Q134" s="1575" t="n">
        <f aca="false">O134*P134</f>
        <v>8169.74923087266</v>
      </c>
      <c r="R134" s="1565" t="n">
        <f aca="false">$F134</f>
        <v>2.67360721833143</v>
      </c>
      <c r="S134" s="427" t="n">
        <f aca="false">$G134</f>
        <v>1.065</v>
      </c>
      <c r="T134" s="1575" t="n">
        <f aca="false">Q134*R134/S134</f>
        <v>20509.5779489378</v>
      </c>
      <c r="U134" s="1540" t="n">
        <f aca="false">$I134</f>
        <v>480</v>
      </c>
      <c r="V134" s="1575" t="n">
        <f aca="false">T134*U134/1000</f>
        <v>9844.59741549016</v>
      </c>
      <c r="W134" s="1565" t="n">
        <f aca="false">R134</f>
        <v>2.67360721833143</v>
      </c>
      <c r="X134" s="394" t="n">
        <f aca="false">V134/W134</f>
        <v>3682.14049842148</v>
      </c>
      <c r="Y134" s="1579" t="str">
        <f aca="false">IF(MONTH($A134)=12,SUM(X123:X134)," ")</f>
        <v> </v>
      </c>
      <c r="AA134" s="1595" t="n">
        <f aca="false">IF($A134&gt;Endyr,0,VLOOKUP($A134,Tariff_Table,Tariff!$I$33))</f>
        <v>2.3</v>
      </c>
      <c r="AB134" s="1565" t="n">
        <f aca="false">$AS134</f>
        <v>1.33822160628749</v>
      </c>
      <c r="AC134" s="1596" t="n">
        <f aca="false">AA134*AB134</f>
        <v>3.07790969446122</v>
      </c>
      <c r="AD134" s="1565" t="n">
        <f aca="false">$F134</f>
        <v>2.67360721833143</v>
      </c>
      <c r="AE134" s="427" t="n">
        <f aca="false">$G134</f>
        <v>1.065</v>
      </c>
      <c r="AF134" s="1596" t="n">
        <f aca="false">AC134*AD134/AE134</f>
        <v>7.72687471970309</v>
      </c>
      <c r="AG134" s="397" t="n">
        <f aca="false">VLOOKUP($A134,Plant_Table,'Plant Operations'!$M$270)</f>
        <v>298980.864</v>
      </c>
      <c r="AH134" s="1575" t="n">
        <f aca="false">AF134*AG134/1000</f>
        <v>2310.18767971659</v>
      </c>
      <c r="AI134" s="1565" t="n">
        <f aca="false">AD134</f>
        <v>2.67360721833143</v>
      </c>
      <c r="AJ134" s="1566" t="n">
        <f aca="false">AH134/AI134</f>
        <v>864.071455177456</v>
      </c>
      <c r="AK134" s="1567" t="str">
        <f aca="false">IF(MONTH($A134)=12,SUM(AJ123:AJ134)," ")</f>
        <v> </v>
      </c>
      <c r="AM134" s="488" t="n">
        <f aca="false">IF($A134&gt;Endyr,0,VLOOKUP($A134,Tariff_Table,Tariff!$L$33))</f>
        <v>1.21</v>
      </c>
      <c r="AN134" s="1576" t="n">
        <f aca="false">VLOOKUP($A134,Curves_Table,Escalation!$Z$291)</f>
        <v>1.40810210345432</v>
      </c>
      <c r="AO134" s="1314" t="n">
        <f aca="false">AM134*AN134</f>
        <v>1.70380354517973</v>
      </c>
      <c r="AP134" s="1314" t="n">
        <f aca="false">IF($A134&gt;Endyr,0,VLOOKUP($A134,Tariff_Table,Tariff!$M$33))</f>
        <v>0.25</v>
      </c>
      <c r="AQ134" s="1314" t="n">
        <f aca="false">SUM(AO134,AP134)</f>
        <v>1.95380354517973</v>
      </c>
      <c r="AR134" s="1314" t="n">
        <f aca="false">SUM(AM134,AP134)</f>
        <v>1.46</v>
      </c>
      <c r="AS134" s="1598" t="n">
        <f aca="false">IF(AR134=0,0,AQ134/AR134)</f>
        <v>1.33822160628749</v>
      </c>
    </row>
    <row r="135" customFormat="false" ht="12.75" hidden="false" customHeight="false" outlineLevel="0" collapsed="false">
      <c r="A135" s="1538" t="n">
        <f aca="false">EDATE(A134,1)</f>
        <v>40695</v>
      </c>
      <c r="C135" s="1595" t="n">
        <f aca="false">IF($A135&gt;Endyr,0,VLOOKUP($A135,Tariff_Table,Tariff!$G$33))</f>
        <v>7420.61</v>
      </c>
      <c r="D135" s="1565" t="n">
        <f aca="false">VLOOKUP($A135,Curves_Table,Escalation!$V$291)</f>
        <v>1.44536293026781</v>
      </c>
      <c r="E135" s="1596" t="n">
        <f aca="false">C135*D135</f>
        <v>10725.4746139746</v>
      </c>
      <c r="F135" s="1565" t="n">
        <f aca="false">IF(Assm!$L$74=0,VLOOKUP($A135,Curves_Table,Escalation!$D$291),VLOOKUP($A135,Curves_Table,Escalation!$E$291))</f>
        <v>2.67824573400349</v>
      </c>
      <c r="G135" s="427" t="n">
        <f aca="false">IF($A135&lt;EE_Date,VLOOKUP($A135,Curves_Table,Escalation!$D$291),Exch)</f>
        <v>1.065</v>
      </c>
      <c r="H135" s="1596" t="n">
        <f aca="false">E135*F135/G135</f>
        <v>26972.2597465166</v>
      </c>
      <c r="I135" s="1540" t="n">
        <f aca="false">VLOOKUP($A135,Plant_Table,'Plant Operations'!$C$270)</f>
        <v>480</v>
      </c>
      <c r="J135" s="1575" t="n">
        <f aca="false">H135*I135/1000</f>
        <v>12946.684678328</v>
      </c>
      <c r="K135" s="1565" t="n">
        <f aca="false">F135</f>
        <v>2.67824573400349</v>
      </c>
      <c r="L135" s="394" t="n">
        <f aca="false">J135/K135</f>
        <v>4834.01672742517</v>
      </c>
      <c r="M135" s="1579" t="str">
        <f aca="false">IF(MONTH($A135)=12,SUM(L124:L135)," ")</f>
        <v> </v>
      </c>
      <c r="O135" s="1597" t="n">
        <f aca="false">IF($A135&gt;Endyr,0,VLOOKUP($A135,Tariff_Table,Tariff!$H$33))</f>
        <v>6104.93</v>
      </c>
      <c r="P135" s="1565" t="n">
        <f aca="false">$AS135</f>
        <v>1.33822160628749</v>
      </c>
      <c r="Q135" s="1575" t="n">
        <f aca="false">O135*P135</f>
        <v>8169.74923087266</v>
      </c>
      <c r="R135" s="1565" t="n">
        <f aca="false">$F135</f>
        <v>2.67824573400349</v>
      </c>
      <c r="S135" s="427" t="n">
        <f aca="false">$G135</f>
        <v>1.065</v>
      </c>
      <c r="T135" s="1575" t="n">
        <f aca="false">Q135*R135/S135</f>
        <v>20545.1605872892</v>
      </c>
      <c r="U135" s="1540" t="n">
        <f aca="false">$I135</f>
        <v>480</v>
      </c>
      <c r="V135" s="1575" t="n">
        <f aca="false">T135*U135/1000</f>
        <v>9861.67708189882</v>
      </c>
      <c r="W135" s="1565" t="n">
        <f aca="false">R135</f>
        <v>2.67824573400349</v>
      </c>
      <c r="X135" s="394" t="n">
        <f aca="false">V135/W135</f>
        <v>3682.14049842148</v>
      </c>
      <c r="Y135" s="1579" t="str">
        <f aca="false">IF(MONTH($A135)=12,SUM(X124:X135)," ")</f>
        <v> </v>
      </c>
      <c r="AA135" s="1595" t="n">
        <f aca="false">IF($A135&gt;Endyr,0,VLOOKUP($A135,Tariff_Table,Tariff!$I$33))</f>
        <v>2.3</v>
      </c>
      <c r="AB135" s="1565" t="n">
        <f aca="false">$AS135</f>
        <v>1.33822160628749</v>
      </c>
      <c r="AC135" s="1596" t="n">
        <f aca="false">AA135*AB135</f>
        <v>3.07790969446122</v>
      </c>
      <c r="AD135" s="1565" t="n">
        <f aca="false">$F135</f>
        <v>2.67824573400349</v>
      </c>
      <c r="AE135" s="427" t="n">
        <f aca="false">$G135</f>
        <v>1.065</v>
      </c>
      <c r="AF135" s="1596" t="n">
        <f aca="false">AC135*AD135/AE135</f>
        <v>7.74028028998943</v>
      </c>
      <c r="AG135" s="397" t="n">
        <f aca="false">VLOOKUP($A135,Plant_Table,'Plant Operations'!$M$270)</f>
        <v>289336.32</v>
      </c>
      <c r="AH135" s="1575" t="n">
        <f aca="false">AF135*AG135/1000</f>
        <v>2239.54421487407</v>
      </c>
      <c r="AI135" s="1565" t="n">
        <f aca="false">AD135</f>
        <v>2.67824573400349</v>
      </c>
      <c r="AJ135" s="1566" t="n">
        <f aca="false">AH135/AI135</f>
        <v>836.198182429797</v>
      </c>
      <c r="AK135" s="1567" t="str">
        <f aca="false">IF(MONTH($A135)=12,SUM(AJ124:AJ135)," ")</f>
        <v> </v>
      </c>
      <c r="AM135" s="488" t="n">
        <f aca="false">IF($A135&gt;Endyr,0,VLOOKUP($A135,Tariff_Table,Tariff!$L$33))</f>
        <v>1.21</v>
      </c>
      <c r="AN135" s="1576" t="n">
        <f aca="false">VLOOKUP($A135,Curves_Table,Escalation!$Z$291)</f>
        <v>1.40810210345432</v>
      </c>
      <c r="AO135" s="1314" t="n">
        <f aca="false">AM135*AN135</f>
        <v>1.70380354517973</v>
      </c>
      <c r="AP135" s="1314" t="n">
        <f aca="false">IF($A135&gt;Endyr,0,VLOOKUP($A135,Tariff_Table,Tariff!$M$33))</f>
        <v>0.25</v>
      </c>
      <c r="AQ135" s="1314" t="n">
        <f aca="false">SUM(AO135,AP135)</f>
        <v>1.95380354517973</v>
      </c>
      <c r="AR135" s="1314" t="n">
        <f aca="false">SUM(AM135,AP135)</f>
        <v>1.46</v>
      </c>
      <c r="AS135" s="1598" t="n">
        <f aca="false">IF(AR135=0,0,AQ135/AR135)</f>
        <v>1.33822160628749</v>
      </c>
    </row>
    <row r="136" customFormat="false" ht="12.75" hidden="false" customHeight="false" outlineLevel="0" collapsed="false">
      <c r="A136" s="1538" t="n">
        <f aca="false">EDATE(A135,1)</f>
        <v>40725</v>
      </c>
      <c r="C136" s="1595" t="n">
        <f aca="false">IF($A136&gt;Endyr,0,VLOOKUP($A136,Tariff_Table,Tariff!$G$33))</f>
        <v>7420.61</v>
      </c>
      <c r="D136" s="1565" t="n">
        <f aca="false">VLOOKUP($A136,Curves_Table,Escalation!$V$291)</f>
        <v>1.44536293026781</v>
      </c>
      <c r="E136" s="1596" t="n">
        <f aca="false">C136*D136</f>
        <v>10725.4746139746</v>
      </c>
      <c r="F136" s="1565" t="n">
        <f aca="false">IF(Assm!$L$74=0,VLOOKUP($A136,Curves_Table,Escalation!$D$291),VLOOKUP($A136,Curves_Table,Escalation!$E$291))</f>
        <v>2.68289229716566</v>
      </c>
      <c r="G136" s="427" t="n">
        <f aca="false">IF($A136&lt;EE_Date,VLOOKUP($A136,Curves_Table,Escalation!$D$291),Exch)</f>
        <v>1.065</v>
      </c>
      <c r="H136" s="1596" t="n">
        <f aca="false">E136*F136/G136</f>
        <v>27019.0546716228</v>
      </c>
      <c r="I136" s="1540" t="n">
        <f aca="false">VLOOKUP($A136,Plant_Table,'Plant Operations'!$C$270)</f>
        <v>480</v>
      </c>
      <c r="J136" s="1575" t="n">
        <f aca="false">H136*I136/1000</f>
        <v>12969.1462423789</v>
      </c>
      <c r="K136" s="1565" t="n">
        <f aca="false">F136</f>
        <v>2.68289229716566</v>
      </c>
      <c r="L136" s="394" t="n">
        <f aca="false">J136/K136</f>
        <v>4834.01672742517</v>
      </c>
      <c r="M136" s="1579" t="str">
        <f aca="false">IF(MONTH($A136)=12,SUM(L125:L136)," ")</f>
        <v> </v>
      </c>
      <c r="O136" s="1597" t="n">
        <f aca="false">IF($A136&gt;Endyr,0,VLOOKUP($A136,Tariff_Table,Tariff!$H$33))</f>
        <v>6104.93</v>
      </c>
      <c r="P136" s="1565" t="n">
        <f aca="false">$AS136</f>
        <v>1.33822160628749</v>
      </c>
      <c r="Q136" s="1575" t="n">
        <f aca="false">O136*P136</f>
        <v>8169.74923087266</v>
      </c>
      <c r="R136" s="1565" t="n">
        <f aca="false">$F136</f>
        <v>2.68289229716566</v>
      </c>
      <c r="S136" s="427" t="n">
        <f aca="false">$G136</f>
        <v>1.065</v>
      </c>
      <c r="T136" s="1575" t="n">
        <f aca="false">Q136*R136/S136</f>
        <v>20580.8049589515</v>
      </c>
      <c r="U136" s="1540" t="n">
        <f aca="false">$I136</f>
        <v>480</v>
      </c>
      <c r="V136" s="1575" t="n">
        <f aca="false">T136*U136/1000</f>
        <v>9878.78638029671</v>
      </c>
      <c r="W136" s="1565" t="n">
        <f aca="false">R136</f>
        <v>2.68289229716566</v>
      </c>
      <c r="X136" s="394" t="n">
        <f aca="false">V136/W136</f>
        <v>3682.14049842148</v>
      </c>
      <c r="Y136" s="1579" t="str">
        <f aca="false">IF(MONTH($A136)=12,SUM(X125:X136)," ")</f>
        <v> </v>
      </c>
      <c r="AA136" s="1595" t="n">
        <f aca="false">IF($A136&gt;Endyr,0,VLOOKUP($A136,Tariff_Table,Tariff!$I$33))</f>
        <v>2.3</v>
      </c>
      <c r="AB136" s="1565" t="n">
        <f aca="false">$AS136</f>
        <v>1.33822160628749</v>
      </c>
      <c r="AC136" s="1596" t="n">
        <f aca="false">AA136*AB136</f>
        <v>3.07790969446122</v>
      </c>
      <c r="AD136" s="1565" t="n">
        <f aca="false">$F136</f>
        <v>2.68289229716566</v>
      </c>
      <c r="AE136" s="427" t="n">
        <f aca="false">$G136</f>
        <v>1.065</v>
      </c>
      <c r="AF136" s="1596" t="n">
        <f aca="false">AC136*AD136/AE136</f>
        <v>7.75370911797324</v>
      </c>
      <c r="AG136" s="397" t="n">
        <f aca="false">VLOOKUP($A136,Plant_Table,'Plant Operations'!$M$270)</f>
        <v>298980.864</v>
      </c>
      <c r="AH136" s="1575" t="n">
        <f aca="false">AF136*AG136/1000</f>
        <v>2318.21065129632</v>
      </c>
      <c r="AI136" s="1565" t="n">
        <f aca="false">AD136</f>
        <v>2.68289229716566</v>
      </c>
      <c r="AJ136" s="1566" t="n">
        <f aca="false">AH136/AI136</f>
        <v>864.071455177456</v>
      </c>
      <c r="AK136" s="1567" t="str">
        <f aca="false">IF(MONTH($A136)=12,SUM(AJ125:AJ136)," ")</f>
        <v> </v>
      </c>
      <c r="AM136" s="488" t="n">
        <f aca="false">IF($A136&gt;Endyr,0,VLOOKUP($A136,Tariff_Table,Tariff!$L$33))</f>
        <v>1.21</v>
      </c>
      <c r="AN136" s="1576" t="n">
        <f aca="false">VLOOKUP($A136,Curves_Table,Escalation!$Z$291)</f>
        <v>1.40810210345432</v>
      </c>
      <c r="AO136" s="1314" t="n">
        <f aca="false">AM136*AN136</f>
        <v>1.70380354517973</v>
      </c>
      <c r="AP136" s="1314" t="n">
        <f aca="false">IF($A136&gt;Endyr,0,VLOOKUP($A136,Tariff_Table,Tariff!$M$33))</f>
        <v>0.25</v>
      </c>
      <c r="AQ136" s="1314" t="n">
        <f aca="false">SUM(AO136,AP136)</f>
        <v>1.95380354517973</v>
      </c>
      <c r="AR136" s="1314" t="n">
        <f aca="false">SUM(AM136,AP136)</f>
        <v>1.46</v>
      </c>
      <c r="AS136" s="1598" t="n">
        <f aca="false">IF(AR136=0,0,AQ136/AR136)</f>
        <v>1.33822160628749</v>
      </c>
    </row>
    <row r="137" customFormat="false" ht="12.75" hidden="false" customHeight="false" outlineLevel="0" collapsed="false">
      <c r="A137" s="1538" t="n">
        <f aca="false">EDATE(A136,1)</f>
        <v>40756</v>
      </c>
      <c r="C137" s="1595" t="n">
        <f aca="false">IF($A137&gt;Endyr,0,VLOOKUP($A137,Tariff_Table,Tariff!$G$33))</f>
        <v>7420.61</v>
      </c>
      <c r="D137" s="1565" t="n">
        <f aca="false">VLOOKUP($A137,Curves_Table,Escalation!$V$291)</f>
        <v>1.44536293026781</v>
      </c>
      <c r="E137" s="1596" t="n">
        <f aca="false">C137*D137</f>
        <v>10725.4746139746</v>
      </c>
      <c r="F137" s="1565" t="n">
        <f aca="false">IF(Assm!$L$74=0,VLOOKUP($A137,Curves_Table,Escalation!$D$291),VLOOKUP($A137,Curves_Table,Escalation!$E$291))</f>
        <v>2.68754692177975</v>
      </c>
      <c r="G137" s="427" t="n">
        <f aca="false">IF($A137&lt;EE_Date,VLOOKUP($A137,Curves_Table,Escalation!$D$291),Exch)</f>
        <v>1.065</v>
      </c>
      <c r="H137" s="1596" t="n">
        <f aca="false">E137*F137/G137</f>
        <v>27065.9307825486</v>
      </c>
      <c r="I137" s="1540" t="n">
        <f aca="false">VLOOKUP($A137,Plant_Table,'Plant Operations'!$C$270)</f>
        <v>480</v>
      </c>
      <c r="J137" s="1575" t="n">
        <f aca="false">H137*I137/1000</f>
        <v>12991.6467756233</v>
      </c>
      <c r="K137" s="1565" t="n">
        <f aca="false">F137</f>
        <v>2.68754692177975</v>
      </c>
      <c r="L137" s="394" t="n">
        <f aca="false">J137/K137</f>
        <v>4834.01672742517</v>
      </c>
      <c r="M137" s="1579" t="str">
        <f aca="false">IF(MONTH($A137)=12,SUM(L126:L137)," ")</f>
        <v> </v>
      </c>
      <c r="O137" s="1597" t="n">
        <f aca="false">IF($A137&gt;Endyr,0,VLOOKUP($A137,Tariff_Table,Tariff!$H$33))</f>
        <v>6104.93</v>
      </c>
      <c r="P137" s="1565" t="n">
        <f aca="false">$AS137</f>
        <v>1.33822160628749</v>
      </c>
      <c r="Q137" s="1575" t="n">
        <f aca="false">O137*P137</f>
        <v>8169.74923087266</v>
      </c>
      <c r="R137" s="1565" t="n">
        <f aca="false">$F137</f>
        <v>2.68754692177975</v>
      </c>
      <c r="S137" s="427" t="n">
        <f aca="false">$G137</f>
        <v>1.065</v>
      </c>
      <c r="T137" s="1575" t="n">
        <f aca="false">Q137*R137/S137</f>
        <v>20616.5111710275</v>
      </c>
      <c r="U137" s="1540" t="n">
        <f aca="false">$I137</f>
        <v>480</v>
      </c>
      <c r="V137" s="1575" t="n">
        <f aca="false">T137*U137/1000</f>
        <v>9895.9253620932</v>
      </c>
      <c r="W137" s="1565" t="n">
        <f aca="false">R137</f>
        <v>2.68754692177975</v>
      </c>
      <c r="X137" s="394" t="n">
        <f aca="false">V137/W137</f>
        <v>3682.14049842148</v>
      </c>
      <c r="Y137" s="1579" t="str">
        <f aca="false">IF(MONTH($A137)=12,SUM(X126:X137)," ")</f>
        <v> </v>
      </c>
      <c r="AA137" s="1595" t="n">
        <f aca="false">IF($A137&gt;Endyr,0,VLOOKUP($A137,Tariff_Table,Tariff!$I$33))</f>
        <v>2.3</v>
      </c>
      <c r="AB137" s="1565" t="n">
        <f aca="false">$AS137</f>
        <v>1.33822160628749</v>
      </c>
      <c r="AC137" s="1596" t="n">
        <f aca="false">AA137*AB137</f>
        <v>3.07790969446122</v>
      </c>
      <c r="AD137" s="1565" t="n">
        <f aca="false">$F137</f>
        <v>2.68754692177975</v>
      </c>
      <c r="AE137" s="427" t="n">
        <f aca="false">$G137</f>
        <v>1.065</v>
      </c>
      <c r="AF137" s="1596" t="n">
        <f aca="false">AC137*AD137/AE137</f>
        <v>7.76716124400497</v>
      </c>
      <c r="AG137" s="397" t="n">
        <f aca="false">VLOOKUP($A137,Plant_Table,'Plant Operations'!$M$270)</f>
        <v>298980.864</v>
      </c>
      <c r="AH137" s="1575" t="n">
        <f aca="false">AF137*AG137/1000</f>
        <v>2322.23257955992</v>
      </c>
      <c r="AI137" s="1565" t="n">
        <f aca="false">AD137</f>
        <v>2.68754692177975</v>
      </c>
      <c r="AJ137" s="1566" t="n">
        <f aca="false">AH137/AI137</f>
        <v>864.071455177456</v>
      </c>
      <c r="AK137" s="1567" t="str">
        <f aca="false">IF(MONTH($A137)=12,SUM(AJ126:AJ137)," ")</f>
        <v> </v>
      </c>
      <c r="AM137" s="488" t="n">
        <f aca="false">IF($A137&gt;Endyr,0,VLOOKUP($A137,Tariff_Table,Tariff!$L$33))</f>
        <v>1.21</v>
      </c>
      <c r="AN137" s="1576" t="n">
        <f aca="false">VLOOKUP($A137,Curves_Table,Escalation!$Z$291)</f>
        <v>1.40810210345432</v>
      </c>
      <c r="AO137" s="1314" t="n">
        <f aca="false">AM137*AN137</f>
        <v>1.70380354517973</v>
      </c>
      <c r="AP137" s="1314" t="n">
        <f aca="false">IF($A137&gt;Endyr,0,VLOOKUP($A137,Tariff_Table,Tariff!$M$33))</f>
        <v>0.25</v>
      </c>
      <c r="AQ137" s="1314" t="n">
        <f aca="false">SUM(AO137,AP137)</f>
        <v>1.95380354517973</v>
      </c>
      <c r="AR137" s="1314" t="n">
        <f aca="false">SUM(AM137,AP137)</f>
        <v>1.46</v>
      </c>
      <c r="AS137" s="1598" t="n">
        <f aca="false">IF(AR137=0,0,AQ137/AR137)</f>
        <v>1.33822160628749</v>
      </c>
    </row>
    <row r="138" customFormat="false" ht="12.75" hidden="false" customHeight="false" outlineLevel="0" collapsed="false">
      <c r="A138" s="1538" t="n">
        <f aca="false">EDATE(A137,1)</f>
        <v>40787</v>
      </c>
      <c r="C138" s="1595" t="n">
        <f aca="false">IF($A138&gt;Endyr,0,VLOOKUP($A138,Tariff_Table,Tariff!$G$33))</f>
        <v>7420.61</v>
      </c>
      <c r="D138" s="1565" t="n">
        <f aca="false">VLOOKUP($A138,Curves_Table,Escalation!$V$291)</f>
        <v>1.44536293026781</v>
      </c>
      <c r="E138" s="1596" t="n">
        <f aca="false">C138*D138</f>
        <v>10725.4746139746</v>
      </c>
      <c r="F138" s="1565" t="n">
        <f aca="false">IF(Assm!$L$74=0,VLOOKUP($A138,Curves_Table,Escalation!$D$291),VLOOKUP($A138,Curves_Table,Escalation!$E$291))</f>
        <v>2.6922096218318</v>
      </c>
      <c r="G138" s="427" t="n">
        <f aca="false">IF($A138&lt;EE_Date,VLOOKUP($A138,Curves_Table,Escalation!$D$291),Exch)</f>
        <v>1.065</v>
      </c>
      <c r="H138" s="1596" t="n">
        <f aca="false">E138*F138/G138</f>
        <v>27112.8882201456</v>
      </c>
      <c r="I138" s="1540" t="n">
        <f aca="false">VLOOKUP($A138,Plant_Table,'Plant Operations'!$C$270)</f>
        <v>480</v>
      </c>
      <c r="J138" s="1575" t="n">
        <f aca="false">H138*I138/1000</f>
        <v>13014.1863456699</v>
      </c>
      <c r="K138" s="1565" t="n">
        <f aca="false">F138</f>
        <v>2.6922096218318</v>
      </c>
      <c r="L138" s="394" t="n">
        <f aca="false">J138/K138</f>
        <v>4834.01672742517</v>
      </c>
      <c r="M138" s="1579" t="str">
        <f aca="false">IF(MONTH($A138)=12,SUM(L127:L138)," ")</f>
        <v> </v>
      </c>
      <c r="O138" s="1597" t="n">
        <f aca="false">IF($A138&gt;Endyr,0,VLOOKUP($A138,Tariff_Table,Tariff!$H$33))</f>
        <v>6104.93</v>
      </c>
      <c r="P138" s="1565" t="n">
        <f aca="false">$AS138</f>
        <v>1.33822160628749</v>
      </c>
      <c r="Q138" s="1575" t="n">
        <f aca="false">O138*P138</f>
        <v>8169.74923087266</v>
      </c>
      <c r="R138" s="1565" t="n">
        <f aca="false">$F138</f>
        <v>2.6922096218318</v>
      </c>
      <c r="S138" s="427" t="n">
        <f aca="false">$G138</f>
        <v>1.065</v>
      </c>
      <c r="T138" s="1575" t="n">
        <f aca="false">Q138*R138/S138</f>
        <v>20652.2793308059</v>
      </c>
      <c r="U138" s="1540" t="n">
        <f aca="false">$I138</f>
        <v>480</v>
      </c>
      <c r="V138" s="1575" t="n">
        <f aca="false">T138*U138/1000</f>
        <v>9913.09407878684</v>
      </c>
      <c r="W138" s="1565" t="n">
        <f aca="false">R138</f>
        <v>2.6922096218318</v>
      </c>
      <c r="X138" s="394" t="n">
        <f aca="false">V138/W138</f>
        <v>3682.14049842148</v>
      </c>
      <c r="Y138" s="1579" t="str">
        <f aca="false">IF(MONTH($A138)=12,SUM(X127:X138)," ")</f>
        <v> </v>
      </c>
      <c r="AA138" s="1595" t="n">
        <f aca="false">IF($A138&gt;Endyr,0,VLOOKUP($A138,Tariff_Table,Tariff!$I$33))</f>
        <v>2.3</v>
      </c>
      <c r="AB138" s="1565" t="n">
        <f aca="false">$AS138</f>
        <v>1.33822160628749</v>
      </c>
      <c r="AC138" s="1596" t="n">
        <f aca="false">AA138*AB138</f>
        <v>3.07790969446122</v>
      </c>
      <c r="AD138" s="1565" t="n">
        <f aca="false">$F138</f>
        <v>2.6922096218318</v>
      </c>
      <c r="AE138" s="427" t="n">
        <f aca="false">$G138</f>
        <v>1.065</v>
      </c>
      <c r="AF138" s="1596" t="n">
        <f aca="false">AC138*AD138/AE138</f>
        <v>7.78063670850503</v>
      </c>
      <c r="AG138" s="397" t="n">
        <f aca="false">VLOOKUP($A138,Plant_Table,'Plant Operations'!$M$270)</f>
        <v>289336.32</v>
      </c>
      <c r="AH138" s="1575" t="n">
        <f aca="false">AF138*AG138/1000</f>
        <v>2251.22079249576</v>
      </c>
      <c r="AI138" s="1565" t="n">
        <f aca="false">AD138</f>
        <v>2.6922096218318</v>
      </c>
      <c r="AJ138" s="1566" t="n">
        <f aca="false">AH138/AI138</f>
        <v>836.198182429797</v>
      </c>
      <c r="AK138" s="1567" t="str">
        <f aca="false">IF(MONTH($A138)=12,SUM(AJ127:AJ138)," ")</f>
        <v> </v>
      </c>
      <c r="AM138" s="488" t="n">
        <f aca="false">IF($A138&gt;Endyr,0,VLOOKUP($A138,Tariff_Table,Tariff!$L$33))</f>
        <v>1.21</v>
      </c>
      <c r="AN138" s="1576" t="n">
        <f aca="false">VLOOKUP($A138,Curves_Table,Escalation!$Z$291)</f>
        <v>1.40810210345432</v>
      </c>
      <c r="AO138" s="1314" t="n">
        <f aca="false">AM138*AN138</f>
        <v>1.70380354517973</v>
      </c>
      <c r="AP138" s="1314" t="n">
        <f aca="false">IF($A138&gt;Endyr,0,VLOOKUP($A138,Tariff_Table,Tariff!$M$33))</f>
        <v>0.25</v>
      </c>
      <c r="AQ138" s="1314" t="n">
        <f aca="false">SUM(AO138,AP138)</f>
        <v>1.95380354517973</v>
      </c>
      <c r="AR138" s="1314" t="n">
        <f aca="false">SUM(AM138,AP138)</f>
        <v>1.46</v>
      </c>
      <c r="AS138" s="1598" t="n">
        <f aca="false">IF(AR138=0,0,AQ138/AR138)</f>
        <v>1.33822160628749</v>
      </c>
    </row>
    <row r="139" customFormat="false" ht="12.75" hidden="false" customHeight="false" outlineLevel="0" collapsed="false">
      <c r="A139" s="1538" t="n">
        <f aca="false">EDATE(A138,1)</f>
        <v>40817</v>
      </c>
      <c r="C139" s="1595" t="n">
        <f aca="false">IF($A139&gt;Endyr,0,VLOOKUP($A139,Tariff_Table,Tariff!$G$33))</f>
        <v>7420.61</v>
      </c>
      <c r="D139" s="1565" t="n">
        <f aca="false">VLOOKUP($A139,Curves_Table,Escalation!$V$291)</f>
        <v>1.44536293026781</v>
      </c>
      <c r="E139" s="1596" t="n">
        <f aca="false">C139*D139</f>
        <v>10725.4746139746</v>
      </c>
      <c r="F139" s="1565" t="n">
        <f aca="false">IF(Assm!$L$74=0,VLOOKUP($A139,Curves_Table,Escalation!$D$291),VLOOKUP($A139,Curves_Table,Escalation!$E$291))</f>
        <v>2.69688041133211</v>
      </c>
      <c r="G139" s="427" t="n">
        <f aca="false">IF($A139&lt;EE_Date,VLOOKUP($A139,Curves_Table,Escalation!$D$291),Exch)</f>
        <v>1.065</v>
      </c>
      <c r="H139" s="1596" t="n">
        <f aca="false">E139*F139/G139</f>
        <v>27159.9271255098</v>
      </c>
      <c r="I139" s="1540" t="n">
        <f aca="false">VLOOKUP($A139,Plant_Table,'Plant Operations'!$C$270)</f>
        <v>480</v>
      </c>
      <c r="J139" s="1575" t="n">
        <f aca="false">H139*I139/1000</f>
        <v>13036.7650202447</v>
      </c>
      <c r="K139" s="1565" t="n">
        <f aca="false">F139</f>
        <v>2.69688041133211</v>
      </c>
      <c r="L139" s="394" t="n">
        <f aca="false">J139/K139</f>
        <v>4834.01672742517</v>
      </c>
      <c r="M139" s="1579" t="str">
        <f aca="false">IF(MONTH($A139)=12,SUM(L128:L139)," ")</f>
        <v> </v>
      </c>
      <c r="O139" s="1597" t="n">
        <f aca="false">IF($A139&gt;Endyr,0,VLOOKUP($A139,Tariff_Table,Tariff!$H$33))</f>
        <v>6104.93</v>
      </c>
      <c r="P139" s="1565" t="n">
        <f aca="false">$AS139</f>
        <v>1.33822160628749</v>
      </c>
      <c r="Q139" s="1575" t="n">
        <f aca="false">O139*P139</f>
        <v>8169.74923087266</v>
      </c>
      <c r="R139" s="1565" t="n">
        <f aca="false">$F139</f>
        <v>2.69688041133211</v>
      </c>
      <c r="S139" s="427" t="n">
        <f aca="false">$G139</f>
        <v>1.065</v>
      </c>
      <c r="T139" s="1575" t="n">
        <f aca="false">Q139*R139/S139</f>
        <v>20688.1095457616</v>
      </c>
      <c r="U139" s="1540" t="n">
        <f aca="false">$I139</f>
        <v>480</v>
      </c>
      <c r="V139" s="1575" t="n">
        <f aca="false">T139*U139/1000</f>
        <v>9930.29258196555</v>
      </c>
      <c r="W139" s="1565" t="n">
        <f aca="false">R139</f>
        <v>2.69688041133211</v>
      </c>
      <c r="X139" s="394" t="n">
        <f aca="false">V139/W139</f>
        <v>3682.14049842148</v>
      </c>
      <c r="Y139" s="1579" t="str">
        <f aca="false">IF(MONTH($A139)=12,SUM(X128:X139)," ")</f>
        <v> </v>
      </c>
      <c r="AA139" s="1595" t="n">
        <f aca="false">IF($A139&gt;Endyr,0,VLOOKUP($A139,Tariff_Table,Tariff!$I$33))</f>
        <v>2.3</v>
      </c>
      <c r="AB139" s="1565" t="n">
        <f aca="false">$AS139</f>
        <v>1.33822160628749</v>
      </c>
      <c r="AC139" s="1596" t="n">
        <f aca="false">AA139*AB139</f>
        <v>3.07790969446122</v>
      </c>
      <c r="AD139" s="1565" t="n">
        <f aca="false">$F139</f>
        <v>2.69688041133211</v>
      </c>
      <c r="AE139" s="427" t="n">
        <f aca="false">$G139</f>
        <v>1.065</v>
      </c>
      <c r="AF139" s="1596" t="n">
        <f aca="false">AC139*AD139/AE139</f>
        <v>7.794135551964</v>
      </c>
      <c r="AG139" s="397" t="n">
        <f aca="false">VLOOKUP($A139,Plant_Table,'Plant Operations'!$M$270)</f>
        <v>298980.864</v>
      </c>
      <c r="AH139" s="1575" t="n">
        <f aca="false">AF139*AG139/1000</f>
        <v>2330.29738145931</v>
      </c>
      <c r="AI139" s="1565" t="n">
        <f aca="false">AD139</f>
        <v>2.69688041133211</v>
      </c>
      <c r="AJ139" s="1566" t="n">
        <f aca="false">AH139/AI139</f>
        <v>864.071455177456</v>
      </c>
      <c r="AK139" s="1567" t="str">
        <f aca="false">IF(MONTH($A139)=12,SUM(AJ128:AJ139)," ")</f>
        <v> </v>
      </c>
      <c r="AM139" s="488" t="n">
        <f aca="false">IF($A139&gt;Endyr,0,VLOOKUP($A139,Tariff_Table,Tariff!$L$33))</f>
        <v>1.21</v>
      </c>
      <c r="AN139" s="1576" t="n">
        <f aca="false">VLOOKUP($A139,Curves_Table,Escalation!$Z$291)</f>
        <v>1.40810210345432</v>
      </c>
      <c r="AO139" s="1314" t="n">
        <f aca="false">AM139*AN139</f>
        <v>1.70380354517973</v>
      </c>
      <c r="AP139" s="1314" t="n">
        <f aca="false">IF($A139&gt;Endyr,0,VLOOKUP($A139,Tariff_Table,Tariff!$M$33))</f>
        <v>0.25</v>
      </c>
      <c r="AQ139" s="1314" t="n">
        <f aca="false">SUM(AO139,AP139)</f>
        <v>1.95380354517973</v>
      </c>
      <c r="AR139" s="1314" t="n">
        <f aca="false">SUM(AM139,AP139)</f>
        <v>1.46</v>
      </c>
      <c r="AS139" s="1598" t="n">
        <f aca="false">IF(AR139=0,0,AQ139/AR139)</f>
        <v>1.33822160628749</v>
      </c>
    </row>
    <row r="140" customFormat="false" ht="12.75" hidden="false" customHeight="false" outlineLevel="0" collapsed="false">
      <c r="A140" s="1538" t="n">
        <f aca="false">EDATE(A139,1)</f>
        <v>40848</v>
      </c>
      <c r="C140" s="1595" t="n">
        <f aca="false">IF($A140&gt;Endyr,0,VLOOKUP($A140,Tariff_Table,Tariff!$G$33))</f>
        <v>7420.61</v>
      </c>
      <c r="D140" s="1565" t="n">
        <f aca="false">VLOOKUP($A140,Curves_Table,Escalation!$V$291)</f>
        <v>1.44536293026781</v>
      </c>
      <c r="E140" s="1596" t="n">
        <f aca="false">C140*D140</f>
        <v>10725.4746139746</v>
      </c>
      <c r="F140" s="1565" t="n">
        <f aca="false">IF(Assm!$L$74=0,VLOOKUP($A140,Curves_Table,Escalation!$D$291),VLOOKUP($A140,Curves_Table,Escalation!$E$291))</f>
        <v>2.70155930431529</v>
      </c>
      <c r="G140" s="427" t="n">
        <f aca="false">IF($A140&lt;EE_Date,VLOOKUP($A140,Curves_Table,Escalation!$D$291),Exch)</f>
        <v>1.065</v>
      </c>
      <c r="H140" s="1596" t="n">
        <f aca="false">E140*F140/G140</f>
        <v>27207.0476399817</v>
      </c>
      <c r="I140" s="1540" t="n">
        <f aca="false">VLOOKUP($A140,Plant_Table,'Plant Operations'!$C$270)</f>
        <v>480</v>
      </c>
      <c r="J140" s="1575" t="n">
        <f aca="false">H140*I140/1000</f>
        <v>13059.3828671912</v>
      </c>
      <c r="K140" s="1565" t="n">
        <f aca="false">F140</f>
        <v>2.70155930431529</v>
      </c>
      <c r="L140" s="394" t="n">
        <f aca="false">J140/K140</f>
        <v>4834.01672742517</v>
      </c>
      <c r="M140" s="1579" t="str">
        <f aca="false">IF(MONTH($A140)=12,SUM(L129:L140)," ")</f>
        <v> </v>
      </c>
      <c r="O140" s="1597" t="n">
        <f aca="false">IF($A140&gt;Endyr,0,VLOOKUP($A140,Tariff_Table,Tariff!$H$33))</f>
        <v>6104.93</v>
      </c>
      <c r="P140" s="1565" t="n">
        <f aca="false">$AS140</f>
        <v>1.33822160628749</v>
      </c>
      <c r="Q140" s="1575" t="n">
        <f aca="false">O140*P140</f>
        <v>8169.74923087266</v>
      </c>
      <c r="R140" s="1565" t="n">
        <f aca="false">$F140</f>
        <v>2.70155930431529</v>
      </c>
      <c r="S140" s="427" t="n">
        <f aca="false">$G140</f>
        <v>1.065</v>
      </c>
      <c r="T140" s="1575" t="n">
        <f aca="false">Q140*R140/S140</f>
        <v>20724.0019235556</v>
      </c>
      <c r="U140" s="1540" t="n">
        <f aca="false">$I140</f>
        <v>480</v>
      </c>
      <c r="V140" s="1575" t="n">
        <f aca="false">T140*U140/1000</f>
        <v>9947.5209233067</v>
      </c>
      <c r="W140" s="1565" t="n">
        <f aca="false">R140</f>
        <v>2.70155930431529</v>
      </c>
      <c r="X140" s="394" t="n">
        <f aca="false">V140/W140</f>
        <v>3682.14049842148</v>
      </c>
      <c r="Y140" s="1579" t="str">
        <f aca="false">IF(MONTH($A140)=12,SUM(X129:X140)," ")</f>
        <v> </v>
      </c>
      <c r="AA140" s="1595" t="n">
        <f aca="false">IF($A140&gt;Endyr,0,VLOOKUP($A140,Tariff_Table,Tariff!$I$33))</f>
        <v>2.3</v>
      </c>
      <c r="AB140" s="1565" t="n">
        <f aca="false">$AS140</f>
        <v>1.33822160628749</v>
      </c>
      <c r="AC140" s="1596" t="n">
        <f aca="false">AA140*AB140</f>
        <v>3.07790969446122</v>
      </c>
      <c r="AD140" s="1565" t="n">
        <f aca="false">$F140</f>
        <v>2.70155930431529</v>
      </c>
      <c r="AE140" s="427" t="n">
        <f aca="false">$G140</f>
        <v>1.065</v>
      </c>
      <c r="AF140" s="1596" t="n">
        <f aca="false">AC140*AD140/AE140</f>
        <v>7.80765781494267</v>
      </c>
      <c r="AG140" s="397" t="n">
        <f aca="false">VLOOKUP($A140,Plant_Table,'Plant Operations'!$M$270)</f>
        <v>289336.32</v>
      </c>
      <c r="AH140" s="1575" t="n">
        <f aca="false">AF140*AG140/1000</f>
        <v>2259.03897999475</v>
      </c>
      <c r="AI140" s="1565" t="n">
        <f aca="false">AD140</f>
        <v>2.70155930431529</v>
      </c>
      <c r="AJ140" s="1566" t="n">
        <f aca="false">AH140/AI140</f>
        <v>836.198182429797</v>
      </c>
      <c r="AK140" s="1567" t="str">
        <f aca="false">IF(MONTH($A140)=12,SUM(AJ129:AJ140)," ")</f>
        <v> </v>
      </c>
      <c r="AM140" s="488" t="n">
        <f aca="false">IF($A140&gt;Endyr,0,VLOOKUP($A140,Tariff_Table,Tariff!$L$33))</f>
        <v>1.21</v>
      </c>
      <c r="AN140" s="1576" t="n">
        <f aca="false">VLOOKUP($A140,Curves_Table,Escalation!$Z$291)</f>
        <v>1.40810210345432</v>
      </c>
      <c r="AO140" s="1314" t="n">
        <f aca="false">AM140*AN140</f>
        <v>1.70380354517973</v>
      </c>
      <c r="AP140" s="1314" t="n">
        <f aca="false">IF($A140&gt;Endyr,0,VLOOKUP($A140,Tariff_Table,Tariff!$M$33))</f>
        <v>0.25</v>
      </c>
      <c r="AQ140" s="1314" t="n">
        <f aca="false">SUM(AO140,AP140)</f>
        <v>1.95380354517973</v>
      </c>
      <c r="AR140" s="1314" t="n">
        <f aca="false">SUM(AM140,AP140)</f>
        <v>1.46</v>
      </c>
      <c r="AS140" s="1598" t="n">
        <f aca="false">IF(AR140=0,0,AQ140/AR140)</f>
        <v>1.33822160628749</v>
      </c>
    </row>
    <row r="141" customFormat="false" ht="12.75" hidden="false" customHeight="false" outlineLevel="0" collapsed="false">
      <c r="A141" s="1538" t="n">
        <f aca="false">EDATE(A140,1)</f>
        <v>40878</v>
      </c>
      <c r="C141" s="1595" t="n">
        <f aca="false">IF($A141&gt;Endyr,0,VLOOKUP($A141,Tariff_Table,Tariff!$G$33))</f>
        <v>7420.61</v>
      </c>
      <c r="D141" s="1565" t="n">
        <f aca="false">VLOOKUP($A141,Curves_Table,Escalation!$V$291)</f>
        <v>1.44536293026781</v>
      </c>
      <c r="E141" s="1596" t="n">
        <f aca="false">C141*D141</f>
        <v>10725.4746139746</v>
      </c>
      <c r="F141" s="1565" t="n">
        <f aca="false">IF(Assm!$L$74=0,VLOOKUP($A141,Curves_Table,Escalation!$D$291),VLOOKUP($A141,Curves_Table,Escalation!$E$291))</f>
        <v>2.70624631484031</v>
      </c>
      <c r="G141" s="427" t="n">
        <f aca="false">IF($A141&lt;EE_Date,VLOOKUP($A141,Curves_Table,Escalation!$D$291),Exch)</f>
        <v>1.065</v>
      </c>
      <c r="H141" s="1596" t="n">
        <f aca="false">E141*F141/G141</f>
        <v>27254.2499051474</v>
      </c>
      <c r="I141" s="1540" t="n">
        <f aca="false">VLOOKUP($A141,Plant_Table,'Plant Operations'!$C$270)</f>
        <v>480</v>
      </c>
      <c r="J141" s="1575" t="n">
        <f aca="false">H141*I141/1000</f>
        <v>13082.0399544708</v>
      </c>
      <c r="K141" s="1565" t="n">
        <f aca="false">F141</f>
        <v>2.70624631484031</v>
      </c>
      <c r="L141" s="394" t="n">
        <f aca="false">J141/K141</f>
        <v>4834.01672742517</v>
      </c>
      <c r="M141" s="1579" t="n">
        <f aca="false">IF(MONTH($A141)=12,SUM(L130:L141)," ")</f>
        <v>57563.8260351696</v>
      </c>
      <c r="O141" s="1597" t="n">
        <f aca="false">IF($A141&gt;Endyr,0,VLOOKUP($A141,Tariff_Table,Tariff!$H$33))</f>
        <v>6104.93</v>
      </c>
      <c r="P141" s="1565" t="n">
        <f aca="false">$AS141</f>
        <v>1.33822160628749</v>
      </c>
      <c r="Q141" s="1575" t="n">
        <f aca="false">O141*P141</f>
        <v>8169.74923087266</v>
      </c>
      <c r="R141" s="1565" t="n">
        <f aca="false">$F141</f>
        <v>2.70624631484031</v>
      </c>
      <c r="S141" s="427" t="n">
        <f aca="false">$G141</f>
        <v>1.065</v>
      </c>
      <c r="T141" s="1575" t="n">
        <f aca="false">Q141*R141/S141</f>
        <v>20759.9565720362</v>
      </c>
      <c r="U141" s="1540" t="n">
        <f aca="false">$I141</f>
        <v>480</v>
      </c>
      <c r="V141" s="1575" t="n">
        <f aca="false">T141*U141/1000</f>
        <v>9964.77915457739</v>
      </c>
      <c r="W141" s="1565" t="n">
        <f aca="false">R141</f>
        <v>2.70624631484031</v>
      </c>
      <c r="X141" s="394" t="n">
        <f aca="false">V141/W141</f>
        <v>3682.14049842148</v>
      </c>
      <c r="Y141" s="1579" t="n">
        <f aca="false">IF(MONTH($A141)=12,SUM(X130:X141)," ")</f>
        <v>44006.5984391965</v>
      </c>
      <c r="AA141" s="1595" t="n">
        <f aca="false">IF($A141&gt;Endyr,0,VLOOKUP($A141,Tariff_Table,Tariff!$I$33))</f>
        <v>2.3</v>
      </c>
      <c r="AB141" s="1565" t="n">
        <f aca="false">$AS141</f>
        <v>1.33822160628749</v>
      </c>
      <c r="AC141" s="1596" t="n">
        <f aca="false">AA141*AB141</f>
        <v>3.07790969446122</v>
      </c>
      <c r="AD141" s="1565" t="n">
        <f aca="false">$F141</f>
        <v>2.70624631484031</v>
      </c>
      <c r="AE141" s="427" t="n">
        <f aca="false">$G141</f>
        <v>1.065</v>
      </c>
      <c r="AF141" s="1596" t="n">
        <f aca="false">AC141*AD141/AE141</f>
        <v>7.82120353807223</v>
      </c>
      <c r="AG141" s="397" t="n">
        <f aca="false">VLOOKUP($A141,Plant_Table,'Plant Operations'!$M$270)</f>
        <v>298980.864</v>
      </c>
      <c r="AH141" s="1575" t="n">
        <f aca="false">AF141*AG141/1000</f>
        <v>2338.39019133269</v>
      </c>
      <c r="AI141" s="1565" t="n">
        <f aca="false">AD141</f>
        <v>2.70624631484031</v>
      </c>
      <c r="AJ141" s="1566" t="n">
        <f aca="false">AH141/AI141</f>
        <v>864.071455177456</v>
      </c>
      <c r="AK141" s="1567" t="n">
        <f aca="false">IF(MONTH($A141)=12,SUM(AJ130:AJ141)," ")</f>
        <v>10136.7467091152</v>
      </c>
      <c r="AM141" s="488" t="n">
        <f aca="false">IF($A141&gt;Endyr,0,VLOOKUP($A141,Tariff_Table,Tariff!$L$33))</f>
        <v>1.21</v>
      </c>
      <c r="AN141" s="1576" t="n">
        <f aca="false">VLOOKUP($A141,Curves_Table,Escalation!$Z$291)</f>
        <v>1.40810210345432</v>
      </c>
      <c r="AO141" s="1314" t="n">
        <f aca="false">AM141*AN141</f>
        <v>1.70380354517973</v>
      </c>
      <c r="AP141" s="1314" t="n">
        <f aca="false">IF($A141&gt;Endyr,0,VLOOKUP($A141,Tariff_Table,Tariff!$M$33))</f>
        <v>0.25</v>
      </c>
      <c r="AQ141" s="1314" t="n">
        <f aca="false">SUM(AO141,AP141)</f>
        <v>1.95380354517973</v>
      </c>
      <c r="AR141" s="1314" t="n">
        <f aca="false">SUM(AM141,AP141)</f>
        <v>1.46</v>
      </c>
      <c r="AS141" s="1598" t="n">
        <f aca="false">IF(AR141=0,0,AQ141/AR141)</f>
        <v>1.33822160628749</v>
      </c>
    </row>
    <row r="142" customFormat="false" ht="12.75" hidden="false" customHeight="false" outlineLevel="0" collapsed="false">
      <c r="A142" s="1538" t="n">
        <f aca="false">EDATE(A141,1)</f>
        <v>40909</v>
      </c>
      <c r="C142" s="1595" t="n">
        <f aca="false">IF($A142&gt;Endyr,0,VLOOKUP($A142,Tariff_Table,Tariff!$G$33))</f>
        <v>7420.61</v>
      </c>
      <c r="D142" s="1565" t="n">
        <f aca="false">VLOOKUP($A142,Curves_Table,Escalation!$V$291)</f>
        <v>1.44536293026781</v>
      </c>
      <c r="E142" s="1596" t="n">
        <f aca="false">C142*D142</f>
        <v>10725.4746139746</v>
      </c>
      <c r="F142" s="1565" t="n">
        <f aca="false">IF(Assm!$L$74=0,VLOOKUP($A142,Curves_Table,Escalation!$D$291),VLOOKUP($A142,Curves_Table,Escalation!$E$291))</f>
        <v>2.71071337566439</v>
      </c>
      <c r="G142" s="427" t="n">
        <f aca="false">IF($A142&lt;EE_Date,VLOOKUP($A142,Curves_Table,Escalation!$D$291),Exch)</f>
        <v>1.065</v>
      </c>
      <c r="H142" s="1596" t="n">
        <f aca="false">E142*F142/G142</f>
        <v>27299.2370858683</v>
      </c>
      <c r="I142" s="1540" t="n">
        <f aca="false">VLOOKUP($A142,Plant_Table,'Plant Operations'!$C$270)</f>
        <v>480</v>
      </c>
      <c r="J142" s="1575" t="n">
        <f aca="false">H142*I142/1000</f>
        <v>13103.6338012168</v>
      </c>
      <c r="K142" s="1565" t="n">
        <f aca="false">F142</f>
        <v>2.71071337566439</v>
      </c>
      <c r="L142" s="394" t="n">
        <f aca="false">J142/K142</f>
        <v>4834.01672742517</v>
      </c>
      <c r="M142" s="1579" t="str">
        <f aca="false">IF(MONTH($A142)=12,SUM(L131:L142)," ")</f>
        <v> </v>
      </c>
      <c r="O142" s="1597" t="n">
        <f aca="false">IF($A142&gt;Endyr,0,VLOOKUP($A142,Tariff_Table,Tariff!$H$33))</f>
        <v>6104.93</v>
      </c>
      <c r="P142" s="1565" t="n">
        <f aca="false">$AS142</f>
        <v>1.33822160628749</v>
      </c>
      <c r="Q142" s="1575" t="n">
        <f aca="false">O142*P142</f>
        <v>8169.74923087266</v>
      </c>
      <c r="R142" s="1565" t="n">
        <f aca="false">$F142</f>
        <v>2.71071337566439</v>
      </c>
      <c r="S142" s="427" t="n">
        <f aca="false">$G142</f>
        <v>1.065</v>
      </c>
      <c r="T142" s="1575" t="n">
        <f aca="false">Q142*R142/S142</f>
        <v>20794.2239586388</v>
      </c>
      <c r="U142" s="1540" t="n">
        <f aca="false">$I142</f>
        <v>480</v>
      </c>
      <c r="V142" s="1575" t="n">
        <f aca="false">T142*U142/1000</f>
        <v>9981.22750014665</v>
      </c>
      <c r="W142" s="1565" t="n">
        <f aca="false">R142</f>
        <v>2.71071337566439</v>
      </c>
      <c r="X142" s="394" t="n">
        <f aca="false">V142/W142</f>
        <v>3682.14049842148</v>
      </c>
      <c r="Y142" s="1579" t="str">
        <f aca="false">IF(MONTH($A142)=12,SUM(X131:X142)," ")</f>
        <v> </v>
      </c>
      <c r="AA142" s="1595" t="n">
        <f aca="false">IF($A142&gt;Endyr,0,VLOOKUP($A142,Tariff_Table,Tariff!$I$33))</f>
        <v>2.3</v>
      </c>
      <c r="AB142" s="1565" t="n">
        <f aca="false">$AS142</f>
        <v>1.33822160628749</v>
      </c>
      <c r="AC142" s="1596" t="n">
        <f aca="false">AA142*AB142</f>
        <v>3.07790969446122</v>
      </c>
      <c r="AD142" s="1565" t="n">
        <f aca="false">$F142</f>
        <v>2.71071337566439</v>
      </c>
      <c r="AE142" s="427" t="n">
        <f aca="false">$G142</f>
        <v>1.065</v>
      </c>
      <c r="AF142" s="1596" t="n">
        <f aca="false">AC142*AD142/AE142</f>
        <v>7.83411359423766</v>
      </c>
      <c r="AG142" s="397" t="n">
        <f aca="false">VLOOKUP($A142,Plant_Table,'Plant Operations'!$M$270)</f>
        <v>298980.864</v>
      </c>
      <c r="AH142" s="1575" t="n">
        <f aca="false">AF142*AG142/1000</f>
        <v>2342.25005107932</v>
      </c>
      <c r="AI142" s="1565" t="n">
        <f aca="false">AD142</f>
        <v>2.71071337566439</v>
      </c>
      <c r="AJ142" s="1566" t="n">
        <f aca="false">AH142/AI142</f>
        <v>864.071455177456</v>
      </c>
      <c r="AK142" s="1567" t="str">
        <f aca="false">IF(MONTH($A142)=12,SUM(AJ131:AJ142)," ")</f>
        <v> </v>
      </c>
      <c r="AM142" s="488" t="n">
        <f aca="false">IF($A142&gt;Endyr,0,VLOOKUP($A142,Tariff_Table,Tariff!$L$33))</f>
        <v>1.21</v>
      </c>
      <c r="AN142" s="1576" t="n">
        <f aca="false">VLOOKUP($A142,Curves_Table,Escalation!$Z$291)</f>
        <v>1.40810210345432</v>
      </c>
      <c r="AO142" s="1314" t="n">
        <f aca="false">AM142*AN142</f>
        <v>1.70380354517973</v>
      </c>
      <c r="AP142" s="1314" t="n">
        <f aca="false">IF($A142&gt;Endyr,0,VLOOKUP($A142,Tariff_Table,Tariff!$M$33))</f>
        <v>0.25</v>
      </c>
      <c r="AQ142" s="1314" t="n">
        <f aca="false">SUM(AO142,AP142)</f>
        <v>1.95380354517973</v>
      </c>
      <c r="AR142" s="1314" t="n">
        <f aca="false">SUM(AM142,AP142)</f>
        <v>1.46</v>
      </c>
      <c r="AS142" s="1598" t="n">
        <f aca="false">IF(AR142=0,0,AQ142/AR142)</f>
        <v>1.33822160628749</v>
      </c>
    </row>
    <row r="143" customFormat="false" ht="12.75" hidden="false" customHeight="false" outlineLevel="0" collapsed="false">
      <c r="A143" s="1538" t="n">
        <f aca="false">EDATE(A142,1)</f>
        <v>40940</v>
      </c>
      <c r="C143" s="1595" t="n">
        <f aca="false">IF($A143&gt;Endyr,0,VLOOKUP($A143,Tariff_Table,Tariff!$G$33))</f>
        <v>7420.61</v>
      </c>
      <c r="D143" s="1565" t="n">
        <f aca="false">VLOOKUP($A143,Curves_Table,Escalation!$V$291)</f>
        <v>1.44536293026781</v>
      </c>
      <c r="E143" s="1596" t="n">
        <f aca="false">C143*D143</f>
        <v>10725.4746139746</v>
      </c>
      <c r="F143" s="1565" t="n">
        <f aca="false">IF(Assm!$L$74=0,VLOOKUP($A143,Curves_Table,Escalation!$D$291),VLOOKUP($A143,Curves_Table,Escalation!$E$291))</f>
        <v>2.71518781003473</v>
      </c>
      <c r="G143" s="427" t="n">
        <f aca="false">IF($A143&lt;EE_Date,VLOOKUP($A143,Curves_Table,Escalation!$D$291),Exch)</f>
        <v>1.065</v>
      </c>
      <c r="H143" s="1596" t="n">
        <f aca="false">E143*F143/G143</f>
        <v>27344.2985246017</v>
      </c>
      <c r="I143" s="1540" t="n">
        <f aca="false">VLOOKUP($A143,Plant_Table,'Plant Operations'!$C$270)</f>
        <v>480</v>
      </c>
      <c r="J143" s="1575" t="n">
        <f aca="false">H143*I143/1000</f>
        <v>13125.2632918088</v>
      </c>
      <c r="K143" s="1565" t="n">
        <f aca="false">F143</f>
        <v>2.71518781003473</v>
      </c>
      <c r="L143" s="394" t="n">
        <f aca="false">J143/K143</f>
        <v>4834.01672742517</v>
      </c>
      <c r="M143" s="1579" t="str">
        <f aca="false">IF(MONTH($A143)=12,SUM(L132:L143)," ")</f>
        <v> </v>
      </c>
      <c r="O143" s="1597" t="n">
        <f aca="false">IF($A143&gt;Endyr,0,VLOOKUP($A143,Tariff_Table,Tariff!$H$33))</f>
        <v>6104.93</v>
      </c>
      <c r="P143" s="1565" t="n">
        <f aca="false">$AS143</f>
        <v>1.33822160628749</v>
      </c>
      <c r="Q143" s="1575" t="n">
        <f aca="false">O143*P143</f>
        <v>8169.74923087266</v>
      </c>
      <c r="R143" s="1565" t="n">
        <f aca="false">$F143</f>
        <v>2.71518781003473</v>
      </c>
      <c r="S143" s="427" t="n">
        <f aca="false">$G143</f>
        <v>1.065</v>
      </c>
      <c r="T143" s="1575" t="n">
        <f aca="false">Q143*R143/S143</f>
        <v>20828.5479086442</v>
      </c>
      <c r="U143" s="1540" t="n">
        <f aca="false">$I143</f>
        <v>480</v>
      </c>
      <c r="V143" s="1575" t="n">
        <f aca="false">T143*U143/1000</f>
        <v>9997.70299614922</v>
      </c>
      <c r="W143" s="1565" t="n">
        <f aca="false">R143</f>
        <v>2.71518781003473</v>
      </c>
      <c r="X143" s="394" t="n">
        <f aca="false">V143/W143</f>
        <v>3682.14049842148</v>
      </c>
      <c r="Y143" s="1579" t="str">
        <f aca="false">IF(MONTH($A143)=12,SUM(X132:X143)," ")</f>
        <v> </v>
      </c>
      <c r="AA143" s="1595" t="n">
        <f aca="false">IF($A143&gt;Endyr,0,VLOOKUP($A143,Tariff_Table,Tariff!$I$33))</f>
        <v>2.3</v>
      </c>
      <c r="AB143" s="1565" t="n">
        <f aca="false">$AS143</f>
        <v>1.33822160628749</v>
      </c>
      <c r="AC143" s="1596" t="n">
        <f aca="false">AA143*AB143</f>
        <v>3.07790969446122</v>
      </c>
      <c r="AD143" s="1565" t="n">
        <f aca="false">$F143</f>
        <v>2.71518781003473</v>
      </c>
      <c r="AE143" s="427" t="n">
        <f aca="false">$G143</f>
        <v>1.065</v>
      </c>
      <c r="AF143" s="1596" t="n">
        <f aca="false">AC143*AD143/AE143</f>
        <v>7.8470449603651</v>
      </c>
      <c r="AG143" s="397" t="n">
        <f aca="false">VLOOKUP($A143,Plant_Table,'Plant Operations'!$M$270)</f>
        <v>279691.776</v>
      </c>
      <c r="AH143" s="1575" t="n">
        <f aca="false">AF143*AG143/1000</f>
        <v>2194.75394131636</v>
      </c>
      <c r="AI143" s="1565" t="n">
        <f aca="false">AD143</f>
        <v>2.71518781003473</v>
      </c>
      <c r="AJ143" s="1566" t="n">
        <f aca="false">AH143/AI143</f>
        <v>808.324909682137</v>
      </c>
      <c r="AK143" s="1567" t="str">
        <f aca="false">IF(MONTH($A143)=12,SUM(AJ132:AJ143)," ")</f>
        <v> </v>
      </c>
      <c r="AM143" s="488" t="n">
        <f aca="false">IF($A143&gt;Endyr,0,VLOOKUP($A143,Tariff_Table,Tariff!$L$33))</f>
        <v>1.21</v>
      </c>
      <c r="AN143" s="1576" t="n">
        <f aca="false">VLOOKUP($A143,Curves_Table,Escalation!$Z$291)</f>
        <v>1.40810210345432</v>
      </c>
      <c r="AO143" s="1314" t="n">
        <f aca="false">AM143*AN143</f>
        <v>1.70380354517973</v>
      </c>
      <c r="AP143" s="1314" t="n">
        <f aca="false">IF($A143&gt;Endyr,0,VLOOKUP($A143,Tariff_Table,Tariff!$M$33))</f>
        <v>0.25</v>
      </c>
      <c r="AQ143" s="1314" t="n">
        <f aca="false">SUM(AO143,AP143)</f>
        <v>1.95380354517973</v>
      </c>
      <c r="AR143" s="1314" t="n">
        <f aca="false">SUM(AM143,AP143)</f>
        <v>1.46</v>
      </c>
      <c r="AS143" s="1598" t="n">
        <f aca="false">IF(AR143=0,0,AQ143/AR143)</f>
        <v>1.33822160628749</v>
      </c>
    </row>
    <row r="144" customFormat="false" ht="12.75" hidden="false" customHeight="false" outlineLevel="0" collapsed="false">
      <c r="A144" s="1538" t="n">
        <f aca="false">EDATE(A143,1)</f>
        <v>40969</v>
      </c>
      <c r="C144" s="1595" t="n">
        <f aca="false">IF($A144&gt;Endyr,0,VLOOKUP($A144,Tariff_Table,Tariff!$G$33))</f>
        <v>7420.61</v>
      </c>
      <c r="D144" s="1565" t="n">
        <f aca="false">VLOOKUP($A144,Curves_Table,Escalation!$V$291)</f>
        <v>1.44536293026781</v>
      </c>
      <c r="E144" s="1596" t="n">
        <f aca="false">C144*D144</f>
        <v>10725.4746139746</v>
      </c>
      <c r="F144" s="1565" t="n">
        <f aca="false">IF(Assm!$L$74=0,VLOOKUP($A144,Curves_Table,Escalation!$D$291),VLOOKUP($A144,Curves_Table,Escalation!$E$291))</f>
        <v>2.71966963012247</v>
      </c>
      <c r="G144" s="427" t="n">
        <f aca="false">IF($A144&lt;EE_Date,VLOOKUP($A144,Curves_Table,Escalation!$D$291),Exch)</f>
        <v>1.065</v>
      </c>
      <c r="H144" s="1596" t="n">
        <f aca="false">E144*F144/G144</f>
        <v>27389.4343439214</v>
      </c>
      <c r="I144" s="1540" t="n">
        <f aca="false">VLOOKUP($A144,Plant_Table,'Plant Operations'!$C$270)</f>
        <v>480</v>
      </c>
      <c r="J144" s="1575" t="n">
        <f aca="false">H144*I144/1000</f>
        <v>13146.9284850823</v>
      </c>
      <c r="K144" s="1565" t="n">
        <f aca="false">F144</f>
        <v>2.71966963012247</v>
      </c>
      <c r="L144" s="394" t="n">
        <f aca="false">J144/K144</f>
        <v>4834.01672742517</v>
      </c>
      <c r="M144" s="1579" t="str">
        <f aca="false">IF(MONTH($A144)=12,SUM(L133:L144)," ")</f>
        <v> </v>
      </c>
      <c r="O144" s="1597" t="n">
        <f aca="false">IF($A144&gt;Endyr,0,VLOOKUP($A144,Tariff_Table,Tariff!$H$33))</f>
        <v>6104.93</v>
      </c>
      <c r="P144" s="1565" t="n">
        <f aca="false">$AS144</f>
        <v>1.33822160628749</v>
      </c>
      <c r="Q144" s="1575" t="n">
        <f aca="false">O144*P144</f>
        <v>8169.74923087266</v>
      </c>
      <c r="R144" s="1565" t="n">
        <f aca="false">$F144</f>
        <v>2.71966963012247</v>
      </c>
      <c r="S144" s="427" t="n">
        <f aca="false">$G144</f>
        <v>1.065</v>
      </c>
      <c r="T144" s="1575" t="n">
        <f aca="false">Q144*R144/S144</f>
        <v>20862.9285154186</v>
      </c>
      <c r="U144" s="1540" t="n">
        <f aca="false">$I144</f>
        <v>480</v>
      </c>
      <c r="V144" s="1575" t="n">
        <f aca="false">T144*U144/1000</f>
        <v>10014.2056874009</v>
      </c>
      <c r="W144" s="1565" t="n">
        <f aca="false">R144</f>
        <v>2.71966963012247</v>
      </c>
      <c r="X144" s="394" t="n">
        <f aca="false">V144/W144</f>
        <v>3682.14049842148</v>
      </c>
      <c r="Y144" s="1579" t="str">
        <f aca="false">IF(MONTH($A144)=12,SUM(X133:X144)," ")</f>
        <v> </v>
      </c>
      <c r="AA144" s="1595" t="n">
        <f aca="false">IF($A144&gt;Endyr,0,VLOOKUP($A144,Tariff_Table,Tariff!$I$33))</f>
        <v>2.3</v>
      </c>
      <c r="AB144" s="1565" t="n">
        <f aca="false">$AS144</f>
        <v>1.33822160628749</v>
      </c>
      <c r="AC144" s="1596" t="n">
        <f aca="false">AA144*AB144</f>
        <v>3.07790969446122</v>
      </c>
      <c r="AD144" s="1565" t="n">
        <f aca="false">$F144</f>
        <v>2.71966963012247</v>
      </c>
      <c r="AE144" s="427" t="n">
        <f aca="false">$G144</f>
        <v>1.065</v>
      </c>
      <c r="AF144" s="1596" t="n">
        <f aca="false">AC144*AD144/AE144</f>
        <v>7.85999767162978</v>
      </c>
      <c r="AG144" s="397" t="n">
        <f aca="false">VLOOKUP($A144,Plant_Table,'Plant Operations'!$M$270)</f>
        <v>298980.864</v>
      </c>
      <c r="AH144" s="1575" t="n">
        <f aca="false">AF144*AG144/1000</f>
        <v>2349.98889490186</v>
      </c>
      <c r="AI144" s="1565" t="n">
        <f aca="false">AD144</f>
        <v>2.71966963012247</v>
      </c>
      <c r="AJ144" s="1566" t="n">
        <f aca="false">AH144/AI144</f>
        <v>864.071455177456</v>
      </c>
      <c r="AK144" s="1567" t="str">
        <f aca="false">IF(MONTH($A144)=12,SUM(AJ133:AJ144)," ")</f>
        <v> </v>
      </c>
      <c r="AM144" s="488" t="n">
        <f aca="false">IF($A144&gt;Endyr,0,VLOOKUP($A144,Tariff_Table,Tariff!$L$33))</f>
        <v>1.21</v>
      </c>
      <c r="AN144" s="1576" t="n">
        <f aca="false">VLOOKUP($A144,Curves_Table,Escalation!$Z$291)</f>
        <v>1.40810210345432</v>
      </c>
      <c r="AO144" s="1314" t="n">
        <f aca="false">AM144*AN144</f>
        <v>1.70380354517973</v>
      </c>
      <c r="AP144" s="1314" t="n">
        <f aca="false">IF($A144&gt;Endyr,0,VLOOKUP($A144,Tariff_Table,Tariff!$M$33))</f>
        <v>0.25</v>
      </c>
      <c r="AQ144" s="1314" t="n">
        <f aca="false">SUM(AO144,AP144)</f>
        <v>1.95380354517973</v>
      </c>
      <c r="AR144" s="1314" t="n">
        <f aca="false">SUM(AM144,AP144)</f>
        <v>1.46</v>
      </c>
      <c r="AS144" s="1598" t="n">
        <f aca="false">IF(AR144=0,0,AQ144/AR144)</f>
        <v>1.33822160628749</v>
      </c>
    </row>
    <row r="145" customFormat="false" ht="12.75" hidden="false" customHeight="false" outlineLevel="0" collapsed="false">
      <c r="A145" s="1538" t="n">
        <f aca="false">EDATE(A144,1)</f>
        <v>41000</v>
      </c>
      <c r="C145" s="1595" t="n">
        <f aca="false">IF($A145&gt;Endyr,0,VLOOKUP($A145,Tariff_Table,Tariff!$G$33))</f>
        <v>7420.61</v>
      </c>
      <c r="D145" s="1565" t="n">
        <f aca="false">VLOOKUP($A145,Curves_Table,Escalation!$V$291)</f>
        <v>1.44536293026781</v>
      </c>
      <c r="E145" s="1596" t="n">
        <f aca="false">C145*D145</f>
        <v>10725.4746139746</v>
      </c>
      <c r="F145" s="1565" t="n">
        <f aca="false">IF(Assm!$L$74=0,VLOOKUP($A145,Curves_Table,Escalation!$D$291),VLOOKUP($A145,Curves_Table,Escalation!$E$291))</f>
        <v>2.72415884811883</v>
      </c>
      <c r="G145" s="427" t="n">
        <f aca="false">IF($A145&lt;EE_Date,VLOOKUP($A145,Curves_Table,Escalation!$D$291),Exch)</f>
        <v>1.065</v>
      </c>
      <c r="H145" s="1596" t="n">
        <f aca="false">E145*F145/G145</f>
        <v>27434.6446666036</v>
      </c>
      <c r="I145" s="1540" t="n">
        <f aca="false">VLOOKUP($A145,Plant_Table,'Plant Operations'!$C$270)</f>
        <v>480</v>
      </c>
      <c r="J145" s="1575" t="n">
        <f aca="false">H145*I145/1000</f>
        <v>13168.6294399697</v>
      </c>
      <c r="K145" s="1565" t="n">
        <f aca="false">F145</f>
        <v>2.72415884811883</v>
      </c>
      <c r="L145" s="394" t="n">
        <f aca="false">J145/K145</f>
        <v>4834.01672742517</v>
      </c>
      <c r="M145" s="1579" t="str">
        <f aca="false">IF(MONTH($A145)=12,SUM(L134:L145)," ")</f>
        <v> </v>
      </c>
      <c r="O145" s="1597" t="n">
        <f aca="false">IF($A145&gt;Endyr,0,VLOOKUP($A145,Tariff_Table,Tariff!$H$33))</f>
        <v>6104.93</v>
      </c>
      <c r="P145" s="1565" t="n">
        <f aca="false">$AS145</f>
        <v>1.33822160628749</v>
      </c>
      <c r="Q145" s="1575" t="n">
        <f aca="false">O145*P145</f>
        <v>8169.74923087266</v>
      </c>
      <c r="R145" s="1565" t="n">
        <f aca="false">$F145</f>
        <v>2.72415884811883</v>
      </c>
      <c r="S145" s="427" t="n">
        <f aca="false">$G145</f>
        <v>1.065</v>
      </c>
      <c r="T145" s="1575" t="n">
        <f aca="false">Q145*R145/S145</f>
        <v>20897.3658724824</v>
      </c>
      <c r="U145" s="1540" t="n">
        <f aca="false">$I145</f>
        <v>480</v>
      </c>
      <c r="V145" s="1575" t="n">
        <f aca="false">T145*U145/1000</f>
        <v>10030.7356187916</v>
      </c>
      <c r="W145" s="1565" t="n">
        <f aca="false">R145</f>
        <v>2.72415884811883</v>
      </c>
      <c r="X145" s="394" t="n">
        <f aca="false">V145/W145</f>
        <v>3682.14049842148</v>
      </c>
      <c r="Y145" s="1579" t="str">
        <f aca="false">IF(MONTH($A145)=12,SUM(X134:X145)," ")</f>
        <v> </v>
      </c>
      <c r="AA145" s="1595" t="n">
        <f aca="false">IF($A145&gt;Endyr,0,VLOOKUP($A145,Tariff_Table,Tariff!$I$33))</f>
        <v>2.3</v>
      </c>
      <c r="AB145" s="1565" t="n">
        <f aca="false">$AS145</f>
        <v>1.33822160628749</v>
      </c>
      <c r="AC145" s="1596" t="n">
        <f aca="false">AA145*AB145</f>
        <v>3.07790969446122</v>
      </c>
      <c r="AD145" s="1565" t="n">
        <f aca="false">$F145</f>
        <v>2.72415884811883</v>
      </c>
      <c r="AE145" s="427" t="n">
        <f aca="false">$G145</f>
        <v>1.065</v>
      </c>
      <c r="AF145" s="1596" t="n">
        <f aca="false">AC145*AD145/AE145</f>
        <v>7.87297176326503</v>
      </c>
      <c r="AG145" s="397" t="n">
        <f aca="false">VLOOKUP($A145,Plant_Table,'Plant Operations'!$M$270)</f>
        <v>289336.32</v>
      </c>
      <c r="AH145" s="1575" t="n">
        <f aca="false">AF145*AG145/1000</f>
        <v>2277.93667744702</v>
      </c>
      <c r="AI145" s="1565" t="n">
        <f aca="false">AD145</f>
        <v>2.72415884811883</v>
      </c>
      <c r="AJ145" s="1566" t="n">
        <f aca="false">AH145/AI145</f>
        <v>836.198182429797</v>
      </c>
      <c r="AK145" s="1567" t="str">
        <f aca="false">IF(MONTH($A145)=12,SUM(AJ134:AJ145)," ")</f>
        <v> </v>
      </c>
      <c r="AM145" s="488" t="n">
        <f aca="false">IF($A145&gt;Endyr,0,VLOOKUP($A145,Tariff_Table,Tariff!$L$33))</f>
        <v>1.21</v>
      </c>
      <c r="AN145" s="1576" t="n">
        <f aca="false">VLOOKUP($A145,Curves_Table,Escalation!$Z$291)</f>
        <v>1.40810210345432</v>
      </c>
      <c r="AO145" s="1314" t="n">
        <f aca="false">AM145*AN145</f>
        <v>1.70380354517973</v>
      </c>
      <c r="AP145" s="1314" t="n">
        <f aca="false">IF($A145&gt;Endyr,0,VLOOKUP($A145,Tariff_Table,Tariff!$M$33))</f>
        <v>0.25</v>
      </c>
      <c r="AQ145" s="1314" t="n">
        <f aca="false">SUM(AO145,AP145)</f>
        <v>1.95380354517973</v>
      </c>
      <c r="AR145" s="1314" t="n">
        <f aca="false">SUM(AM145,AP145)</f>
        <v>1.46</v>
      </c>
      <c r="AS145" s="1598" t="n">
        <f aca="false">IF(AR145=0,0,AQ145/AR145)</f>
        <v>1.33822160628749</v>
      </c>
    </row>
    <row r="146" customFormat="false" ht="12.75" hidden="false" customHeight="false" outlineLevel="0" collapsed="false">
      <c r="A146" s="1538" t="n">
        <f aca="false">EDATE(A145,1)</f>
        <v>41030</v>
      </c>
      <c r="C146" s="1595" t="n">
        <f aca="false">IF($A146&gt;Endyr,0,VLOOKUP($A146,Tariff_Table,Tariff!$G$33))</f>
        <v>7429.43</v>
      </c>
      <c r="D146" s="1565" t="n">
        <f aca="false">VLOOKUP($A146,Curves_Table,Escalation!$V$291)</f>
        <v>1.48180861051097</v>
      </c>
      <c r="E146" s="1596" t="n">
        <f aca="false">C146*D146</f>
        <v>11008.9933451885</v>
      </c>
      <c r="F146" s="1565" t="n">
        <f aca="false">IF(Assm!$L$74=0,VLOOKUP($A146,Curves_Table,Escalation!$D$291),VLOOKUP($A146,Curves_Table,Escalation!$E$291))</f>
        <v>2.72865547623515</v>
      </c>
      <c r="G146" s="427" t="n">
        <f aca="false">IF($A146&lt;EE_Date,VLOOKUP($A146,Curves_Table,Escalation!$D$291),Exch)</f>
        <v>1.065</v>
      </c>
      <c r="H146" s="1596" t="n">
        <f aca="false">E146*F146/G146</f>
        <v>28206.3380086245</v>
      </c>
      <c r="I146" s="1540" t="n">
        <f aca="false">VLOOKUP($A146,Plant_Table,'Plant Operations'!$C$270)</f>
        <v>480</v>
      </c>
      <c r="J146" s="1575" t="n">
        <f aca="false">H146*I146/1000</f>
        <v>13539.0422441397</v>
      </c>
      <c r="K146" s="1565" t="n">
        <f aca="false">F146</f>
        <v>2.72865547623515</v>
      </c>
      <c r="L146" s="394" t="n">
        <f aca="false">J146/K146</f>
        <v>4961.79981754976</v>
      </c>
      <c r="M146" s="1579" t="str">
        <f aca="false">IF(MONTH($A146)=12,SUM(L135:L146)," ")</f>
        <v> </v>
      </c>
      <c r="O146" s="1597" t="n">
        <f aca="false">IF($A146&gt;Endyr,0,VLOOKUP($A146,Tariff_Table,Tariff!$H$33))</f>
        <v>6133.73</v>
      </c>
      <c r="P146" s="1565" t="n">
        <f aca="false">$AS146</f>
        <v>1.36473044476583</v>
      </c>
      <c r="Q146" s="1575" t="n">
        <f aca="false">O146*P146</f>
        <v>8370.8880709735</v>
      </c>
      <c r="R146" s="1565" t="n">
        <f aca="false">$F146</f>
        <v>2.72865547623515</v>
      </c>
      <c r="S146" s="427" t="n">
        <f aca="false">$G146</f>
        <v>1.065</v>
      </c>
      <c r="T146" s="1575" t="n">
        <f aca="false">Q146*R146/S146</f>
        <v>21447.201479637</v>
      </c>
      <c r="U146" s="1540" t="n">
        <f aca="false">$I146</f>
        <v>480</v>
      </c>
      <c r="V146" s="1575" t="n">
        <f aca="false">T146*U146/1000</f>
        <v>10294.6567102257</v>
      </c>
      <c r="W146" s="1565" t="n">
        <f aca="false">R146</f>
        <v>2.72865547623515</v>
      </c>
      <c r="X146" s="394" t="n">
        <f aca="false">V146/W146</f>
        <v>3772.79462353735</v>
      </c>
      <c r="Y146" s="1579" t="str">
        <f aca="false">IF(MONTH($A146)=12,SUM(X135:X146)," ")</f>
        <v> </v>
      </c>
      <c r="AA146" s="1595" t="n">
        <f aca="false">IF($A146&gt;Endyr,0,VLOOKUP($A146,Tariff_Table,Tariff!$I$33))</f>
        <v>2.31</v>
      </c>
      <c r="AB146" s="1565" t="n">
        <f aca="false">$AS146</f>
        <v>1.36473044476583</v>
      </c>
      <c r="AC146" s="1596" t="n">
        <f aca="false">AA146*AB146</f>
        <v>3.15252732740906</v>
      </c>
      <c r="AD146" s="1565" t="n">
        <f aca="false">$F146</f>
        <v>2.72865547623515</v>
      </c>
      <c r="AE146" s="427" t="n">
        <f aca="false">$G146</f>
        <v>1.065</v>
      </c>
      <c r="AF146" s="1596" t="n">
        <f aca="false">AC146*AD146/AE146</f>
        <v>8.07714643747954</v>
      </c>
      <c r="AG146" s="397" t="n">
        <f aca="false">VLOOKUP($A146,Plant_Table,'Plant Operations'!$M$270)</f>
        <v>298980.864</v>
      </c>
      <c r="AH146" s="1575" t="n">
        <f aca="false">AF146*AG146/1000</f>
        <v>2414.91222053216</v>
      </c>
      <c r="AI146" s="1565" t="n">
        <f aca="false">AD146</f>
        <v>2.72865547623515</v>
      </c>
      <c r="AJ146" s="1566" t="n">
        <f aca="false">AH146/AI146</f>
        <v>885.019102471711</v>
      </c>
      <c r="AK146" s="1567" t="str">
        <f aca="false">IF(MONTH($A146)=12,SUM(AJ135:AJ146)," ")</f>
        <v> </v>
      </c>
      <c r="AM146" s="488" t="n">
        <f aca="false">IF($A146&gt;Endyr,0,VLOOKUP($A146,Tariff_Table,Tariff!$L$33))</f>
        <v>1.21</v>
      </c>
      <c r="AN146" s="1576" t="n">
        <f aca="false">VLOOKUP($A146,Curves_Table,Escalation!$Z$291)</f>
        <v>1.44008797467612</v>
      </c>
      <c r="AO146" s="1314" t="n">
        <f aca="false">AM146*AN146</f>
        <v>1.74250644935811</v>
      </c>
      <c r="AP146" s="1314" t="n">
        <f aca="false">IF($A146&gt;Endyr,0,VLOOKUP($A146,Tariff_Table,Tariff!$M$33))</f>
        <v>0.25</v>
      </c>
      <c r="AQ146" s="1314" t="n">
        <f aca="false">SUM(AO146,AP146)</f>
        <v>1.99250644935811</v>
      </c>
      <c r="AR146" s="1314" t="n">
        <f aca="false">SUM(AM146,AP146)</f>
        <v>1.46</v>
      </c>
      <c r="AS146" s="1598" t="n">
        <f aca="false">IF(AR146=0,0,AQ146/AR146)</f>
        <v>1.36473044476583</v>
      </c>
    </row>
    <row r="147" customFormat="false" ht="12.75" hidden="false" customHeight="false" outlineLevel="0" collapsed="false">
      <c r="A147" s="1538" t="n">
        <f aca="false">EDATE(A146,1)</f>
        <v>41061</v>
      </c>
      <c r="C147" s="1595" t="n">
        <f aca="false">IF($A147&gt;Endyr,0,VLOOKUP($A147,Tariff_Table,Tariff!$G$33))</f>
        <v>7429.43</v>
      </c>
      <c r="D147" s="1565" t="n">
        <f aca="false">VLOOKUP($A147,Curves_Table,Escalation!$V$291)</f>
        <v>1.48180861051097</v>
      </c>
      <c r="E147" s="1596" t="n">
        <f aca="false">C147*D147</f>
        <v>11008.9933451885</v>
      </c>
      <c r="F147" s="1565" t="n">
        <f aca="false">IF(Assm!$L$74=0,VLOOKUP($A147,Curves_Table,Escalation!$D$291),VLOOKUP($A147,Curves_Table,Escalation!$E$291))</f>
        <v>2.73315952670294</v>
      </c>
      <c r="G147" s="427" t="n">
        <f aca="false">IF($A147&lt;EE_Date,VLOOKUP($A147,Curves_Table,Escalation!$D$291),Exch)</f>
        <v>1.065</v>
      </c>
      <c r="H147" s="1596" t="n">
        <f aca="false">E147*F147/G147</f>
        <v>28252.8967519355</v>
      </c>
      <c r="I147" s="1540" t="n">
        <f aca="false">VLOOKUP($A147,Plant_Table,'Plant Operations'!$C$270)</f>
        <v>480</v>
      </c>
      <c r="J147" s="1575" t="n">
        <f aca="false">H147*I147/1000</f>
        <v>13561.390440929</v>
      </c>
      <c r="K147" s="1565" t="n">
        <f aca="false">F147</f>
        <v>2.73315952670294</v>
      </c>
      <c r="L147" s="394" t="n">
        <f aca="false">J147/K147</f>
        <v>4961.79981754976</v>
      </c>
      <c r="M147" s="1579" t="str">
        <f aca="false">IF(MONTH($A147)=12,SUM(L136:L147)," ")</f>
        <v> </v>
      </c>
      <c r="O147" s="1597" t="n">
        <f aca="false">IF($A147&gt;Endyr,0,VLOOKUP($A147,Tariff_Table,Tariff!$H$33))</f>
        <v>6133.73</v>
      </c>
      <c r="P147" s="1565" t="n">
        <f aca="false">$AS147</f>
        <v>1.36473044476583</v>
      </c>
      <c r="Q147" s="1575" t="n">
        <f aca="false">O147*P147</f>
        <v>8370.8880709735</v>
      </c>
      <c r="R147" s="1565" t="n">
        <f aca="false">$F147</f>
        <v>2.73315952670294</v>
      </c>
      <c r="S147" s="427" t="n">
        <f aca="false">$G147</f>
        <v>1.065</v>
      </c>
      <c r="T147" s="1575" t="n">
        <f aca="false">Q147*R147/S147</f>
        <v>21482.6032658641</v>
      </c>
      <c r="U147" s="1540" t="n">
        <f aca="false">$I147</f>
        <v>480</v>
      </c>
      <c r="V147" s="1575" t="n">
        <f aca="false">T147*U147/1000</f>
        <v>10311.6495676148</v>
      </c>
      <c r="W147" s="1565" t="n">
        <f aca="false">R147</f>
        <v>2.73315952670294</v>
      </c>
      <c r="X147" s="394" t="n">
        <f aca="false">V147/W147</f>
        <v>3772.79462353735</v>
      </c>
      <c r="Y147" s="1579" t="str">
        <f aca="false">IF(MONTH($A147)=12,SUM(X136:X147)," ")</f>
        <v> </v>
      </c>
      <c r="AA147" s="1595" t="n">
        <f aca="false">IF($A147&gt;Endyr,0,VLOOKUP($A147,Tariff_Table,Tariff!$I$33))</f>
        <v>2.31</v>
      </c>
      <c r="AB147" s="1565" t="n">
        <f aca="false">$AS147</f>
        <v>1.36473044476583</v>
      </c>
      <c r="AC147" s="1596" t="n">
        <f aca="false">AA147*AB147</f>
        <v>3.15252732740906</v>
      </c>
      <c r="AD147" s="1565" t="n">
        <f aca="false">$F147</f>
        <v>2.73315952670294</v>
      </c>
      <c r="AE147" s="427" t="n">
        <f aca="false">$G147</f>
        <v>1.065</v>
      </c>
      <c r="AF147" s="1596" t="n">
        <f aca="false">AC147*AD147/AE147</f>
        <v>8.09047896535159</v>
      </c>
      <c r="AG147" s="397" t="n">
        <f aca="false">VLOOKUP($A147,Plant_Table,'Plant Operations'!$M$270)</f>
        <v>289336.32</v>
      </c>
      <c r="AH147" s="1575" t="n">
        <f aca="false">AF147*AG147/1000</f>
        <v>2340.86941087224</v>
      </c>
      <c r="AI147" s="1565" t="n">
        <f aca="false">AD147</f>
        <v>2.73315952670294</v>
      </c>
      <c r="AJ147" s="1566" t="n">
        <f aca="false">AH147/AI147</f>
        <v>856.470099166172</v>
      </c>
      <c r="AK147" s="1567" t="str">
        <f aca="false">IF(MONTH($A147)=12,SUM(AJ136:AJ147)," ")</f>
        <v> </v>
      </c>
      <c r="AM147" s="488" t="n">
        <f aca="false">IF($A147&gt;Endyr,0,VLOOKUP($A147,Tariff_Table,Tariff!$L$33))</f>
        <v>1.21</v>
      </c>
      <c r="AN147" s="1576" t="n">
        <f aca="false">VLOOKUP($A147,Curves_Table,Escalation!$Z$291)</f>
        <v>1.44008797467612</v>
      </c>
      <c r="AO147" s="1314" t="n">
        <f aca="false">AM147*AN147</f>
        <v>1.74250644935811</v>
      </c>
      <c r="AP147" s="1314" t="n">
        <f aca="false">IF($A147&gt;Endyr,0,VLOOKUP($A147,Tariff_Table,Tariff!$M$33))</f>
        <v>0.25</v>
      </c>
      <c r="AQ147" s="1314" t="n">
        <f aca="false">SUM(AO147,AP147)</f>
        <v>1.99250644935811</v>
      </c>
      <c r="AR147" s="1314" t="n">
        <f aca="false">SUM(AM147,AP147)</f>
        <v>1.46</v>
      </c>
      <c r="AS147" s="1598" t="n">
        <f aca="false">IF(AR147=0,0,AQ147/AR147)</f>
        <v>1.36473044476583</v>
      </c>
    </row>
    <row r="148" customFormat="false" ht="12.75" hidden="false" customHeight="false" outlineLevel="0" collapsed="false">
      <c r="A148" s="1538" t="n">
        <f aca="false">EDATE(A147,1)</f>
        <v>41091</v>
      </c>
      <c r="C148" s="1595" t="n">
        <f aca="false">IF($A148&gt;Endyr,0,VLOOKUP($A148,Tariff_Table,Tariff!$G$33))</f>
        <v>7429.43</v>
      </c>
      <c r="D148" s="1565" t="n">
        <f aca="false">VLOOKUP($A148,Curves_Table,Escalation!$V$291)</f>
        <v>1.48180861051097</v>
      </c>
      <c r="E148" s="1596" t="n">
        <f aca="false">C148*D148</f>
        <v>11008.9933451885</v>
      </c>
      <c r="F148" s="1565" t="n">
        <f aca="false">IF(Assm!$L$74=0,VLOOKUP($A148,Curves_Table,Escalation!$D$291),VLOOKUP($A148,Curves_Table,Escalation!$E$291))</f>
        <v>2.73767101177388</v>
      </c>
      <c r="G148" s="427" t="n">
        <f aca="false">IF($A148&lt;EE_Date,VLOOKUP($A148,Curves_Table,Escalation!$D$291),Exch)</f>
        <v>1.065</v>
      </c>
      <c r="H148" s="1596" t="n">
        <f aca="false">E148*F148/G148</f>
        <v>28299.5323473561</v>
      </c>
      <c r="I148" s="1540" t="n">
        <f aca="false">VLOOKUP($A148,Plant_Table,'Plant Operations'!$C$270)</f>
        <v>480</v>
      </c>
      <c r="J148" s="1575" t="n">
        <f aca="false">H148*I148/1000</f>
        <v>13583.7755267309</v>
      </c>
      <c r="K148" s="1565" t="n">
        <f aca="false">F148</f>
        <v>2.73767101177388</v>
      </c>
      <c r="L148" s="394" t="n">
        <f aca="false">J148/K148</f>
        <v>4961.79981754976</v>
      </c>
      <c r="M148" s="1579" t="str">
        <f aca="false">IF(MONTH($A148)=12,SUM(L137:L148)," ")</f>
        <v> </v>
      </c>
      <c r="O148" s="1597" t="n">
        <f aca="false">IF($A148&gt;Endyr,0,VLOOKUP($A148,Tariff_Table,Tariff!$H$33))</f>
        <v>6133.73</v>
      </c>
      <c r="P148" s="1565" t="n">
        <f aca="false">$AS148</f>
        <v>1.36473044476583</v>
      </c>
      <c r="Q148" s="1575" t="n">
        <f aca="false">O148*P148</f>
        <v>8370.8880709735</v>
      </c>
      <c r="R148" s="1565" t="n">
        <f aca="false">$F148</f>
        <v>2.73767101177388</v>
      </c>
      <c r="S148" s="427" t="n">
        <f aca="false">$G148</f>
        <v>1.065</v>
      </c>
      <c r="T148" s="1575" t="n">
        <f aca="false">Q148*R148/S148</f>
        <v>21518.0634879887</v>
      </c>
      <c r="U148" s="1540" t="n">
        <f aca="false">$I148</f>
        <v>480</v>
      </c>
      <c r="V148" s="1575" t="n">
        <f aca="false">T148*U148/1000</f>
        <v>10328.6704742346</v>
      </c>
      <c r="W148" s="1565" t="n">
        <f aca="false">R148</f>
        <v>2.73767101177388</v>
      </c>
      <c r="X148" s="394" t="n">
        <f aca="false">V148/W148</f>
        <v>3772.79462353735</v>
      </c>
      <c r="Y148" s="1579" t="str">
        <f aca="false">IF(MONTH($A148)=12,SUM(X137:X148)," ")</f>
        <v> </v>
      </c>
      <c r="AA148" s="1595" t="n">
        <f aca="false">IF($A148&gt;Endyr,0,VLOOKUP($A148,Tariff_Table,Tariff!$I$33))</f>
        <v>2.31</v>
      </c>
      <c r="AB148" s="1565" t="n">
        <f aca="false">$AS148</f>
        <v>1.36473044476583</v>
      </c>
      <c r="AC148" s="1596" t="n">
        <f aca="false">AA148*AB148</f>
        <v>3.15252732740906</v>
      </c>
      <c r="AD148" s="1565" t="n">
        <f aca="false">$F148</f>
        <v>2.73767101177388</v>
      </c>
      <c r="AE148" s="427" t="n">
        <f aca="false">$G148</f>
        <v>1.065</v>
      </c>
      <c r="AF148" s="1596" t="n">
        <f aca="false">AC148*AD148/AE148</f>
        <v>8.10383350053783</v>
      </c>
      <c r="AG148" s="397" t="n">
        <f aca="false">VLOOKUP($A148,Plant_Table,'Plant Operations'!$M$270)</f>
        <v>298980.864</v>
      </c>
      <c r="AH148" s="1575" t="n">
        <f aca="false">AF148*AG148/1000</f>
        <v>2422.89114170294</v>
      </c>
      <c r="AI148" s="1565" t="n">
        <f aca="false">AD148</f>
        <v>2.73767101177388</v>
      </c>
      <c r="AJ148" s="1566" t="n">
        <f aca="false">AH148/AI148</f>
        <v>885.019102471711</v>
      </c>
      <c r="AK148" s="1567" t="str">
        <f aca="false">IF(MONTH($A148)=12,SUM(AJ137:AJ148)," ")</f>
        <v> </v>
      </c>
      <c r="AM148" s="488" t="n">
        <f aca="false">IF($A148&gt;Endyr,0,VLOOKUP($A148,Tariff_Table,Tariff!$L$33))</f>
        <v>1.21</v>
      </c>
      <c r="AN148" s="1576" t="n">
        <f aca="false">VLOOKUP($A148,Curves_Table,Escalation!$Z$291)</f>
        <v>1.44008797467612</v>
      </c>
      <c r="AO148" s="1314" t="n">
        <f aca="false">AM148*AN148</f>
        <v>1.74250644935811</v>
      </c>
      <c r="AP148" s="1314" t="n">
        <f aca="false">IF($A148&gt;Endyr,0,VLOOKUP($A148,Tariff_Table,Tariff!$M$33))</f>
        <v>0.25</v>
      </c>
      <c r="AQ148" s="1314" t="n">
        <f aca="false">SUM(AO148,AP148)</f>
        <v>1.99250644935811</v>
      </c>
      <c r="AR148" s="1314" t="n">
        <f aca="false">SUM(AM148,AP148)</f>
        <v>1.46</v>
      </c>
      <c r="AS148" s="1598" t="n">
        <f aca="false">IF(AR148=0,0,AQ148/AR148)</f>
        <v>1.36473044476583</v>
      </c>
    </row>
    <row r="149" customFormat="false" ht="12.75" hidden="false" customHeight="false" outlineLevel="0" collapsed="false">
      <c r="A149" s="1538" t="n">
        <f aca="false">EDATE(A148,1)</f>
        <v>41122</v>
      </c>
      <c r="C149" s="1595" t="n">
        <f aca="false">IF($A149&gt;Endyr,0,VLOOKUP($A149,Tariff_Table,Tariff!$G$33))</f>
        <v>7429.43</v>
      </c>
      <c r="D149" s="1565" t="n">
        <f aca="false">VLOOKUP($A149,Curves_Table,Escalation!$V$291)</f>
        <v>1.48180861051097</v>
      </c>
      <c r="E149" s="1596" t="n">
        <f aca="false">C149*D149</f>
        <v>11008.9933451885</v>
      </c>
      <c r="F149" s="1565" t="n">
        <f aca="false">IF(Assm!$L$74=0,VLOOKUP($A149,Curves_Table,Escalation!$D$291),VLOOKUP($A149,Curves_Table,Escalation!$E$291))</f>
        <v>2.7421899437199</v>
      </c>
      <c r="G149" s="427" t="n">
        <f aca="false">IF($A149&lt;EE_Date,VLOOKUP($A149,Curves_Table,Escalation!$D$291),Exch)</f>
        <v>1.065</v>
      </c>
      <c r="H149" s="1596" t="n">
        <f aca="false">E149*F149/G149</f>
        <v>28346.244921742</v>
      </c>
      <c r="I149" s="1540" t="n">
        <f aca="false">VLOOKUP($A149,Plant_Table,'Plant Operations'!$C$270)</f>
        <v>480</v>
      </c>
      <c r="J149" s="1575" t="n">
        <f aca="false">H149*I149/1000</f>
        <v>13606.1975624362</v>
      </c>
      <c r="K149" s="1565" t="n">
        <f aca="false">F149</f>
        <v>2.7421899437199</v>
      </c>
      <c r="L149" s="394" t="n">
        <f aca="false">J149/K149</f>
        <v>4961.79981754976</v>
      </c>
      <c r="M149" s="1579" t="str">
        <f aca="false">IF(MONTH($A149)=12,SUM(L138:L149)," ")</f>
        <v> </v>
      </c>
      <c r="O149" s="1597" t="n">
        <f aca="false">IF($A149&gt;Endyr,0,VLOOKUP($A149,Tariff_Table,Tariff!$H$33))</f>
        <v>6133.73</v>
      </c>
      <c r="P149" s="1565" t="n">
        <f aca="false">$AS149</f>
        <v>1.36473044476583</v>
      </c>
      <c r="Q149" s="1575" t="n">
        <f aca="false">O149*P149</f>
        <v>8370.8880709735</v>
      </c>
      <c r="R149" s="1565" t="n">
        <f aca="false">$F149</f>
        <v>2.7421899437199</v>
      </c>
      <c r="S149" s="427" t="n">
        <f aca="false">$G149</f>
        <v>1.065</v>
      </c>
      <c r="T149" s="1575" t="n">
        <f aca="false">Q149*R149/S149</f>
        <v>21553.582242468</v>
      </c>
      <c r="U149" s="1540" t="n">
        <f aca="false">$I149</f>
        <v>480</v>
      </c>
      <c r="V149" s="1575" t="n">
        <f aca="false">T149*U149/1000</f>
        <v>10345.7194763846</v>
      </c>
      <c r="W149" s="1565" t="n">
        <f aca="false">R149</f>
        <v>2.7421899437199</v>
      </c>
      <c r="X149" s="394" t="n">
        <f aca="false">V149/W149</f>
        <v>3772.79462353735</v>
      </c>
      <c r="Y149" s="1579" t="str">
        <f aca="false">IF(MONTH($A149)=12,SUM(X138:X149)," ")</f>
        <v> </v>
      </c>
      <c r="AA149" s="1595" t="n">
        <f aca="false">IF($A149&gt;Endyr,0,VLOOKUP($A149,Tariff_Table,Tariff!$I$33))</f>
        <v>2.31</v>
      </c>
      <c r="AB149" s="1565" t="n">
        <f aca="false">$AS149</f>
        <v>1.36473044476583</v>
      </c>
      <c r="AC149" s="1596" t="n">
        <f aca="false">AA149*AB149</f>
        <v>3.15252732740906</v>
      </c>
      <c r="AD149" s="1565" t="n">
        <f aca="false">$F149</f>
        <v>2.7421899437199</v>
      </c>
      <c r="AE149" s="427" t="n">
        <f aca="false">$G149</f>
        <v>1.065</v>
      </c>
      <c r="AF149" s="1596" t="n">
        <f aca="false">AC149*AD149/AE149</f>
        <v>8.1172100793646</v>
      </c>
      <c r="AG149" s="397" t="n">
        <f aca="false">VLOOKUP($A149,Plant_Table,'Plant Operations'!$M$270)</f>
        <v>298980.864</v>
      </c>
      <c r="AH149" s="1575" t="n">
        <f aca="false">AF149*AG149/1000</f>
        <v>2426.89048279794</v>
      </c>
      <c r="AI149" s="1565" t="n">
        <f aca="false">AD149</f>
        <v>2.7421899437199</v>
      </c>
      <c r="AJ149" s="1566" t="n">
        <f aca="false">AH149/AI149</f>
        <v>885.019102471711</v>
      </c>
      <c r="AK149" s="1567" t="str">
        <f aca="false">IF(MONTH($A149)=12,SUM(AJ138:AJ149)," ")</f>
        <v> </v>
      </c>
      <c r="AM149" s="488" t="n">
        <f aca="false">IF($A149&gt;Endyr,0,VLOOKUP($A149,Tariff_Table,Tariff!$L$33))</f>
        <v>1.21</v>
      </c>
      <c r="AN149" s="1576" t="n">
        <f aca="false">VLOOKUP($A149,Curves_Table,Escalation!$Z$291)</f>
        <v>1.44008797467612</v>
      </c>
      <c r="AO149" s="1314" t="n">
        <f aca="false">AM149*AN149</f>
        <v>1.74250644935811</v>
      </c>
      <c r="AP149" s="1314" t="n">
        <f aca="false">IF($A149&gt;Endyr,0,VLOOKUP($A149,Tariff_Table,Tariff!$M$33))</f>
        <v>0.25</v>
      </c>
      <c r="AQ149" s="1314" t="n">
        <f aca="false">SUM(AO149,AP149)</f>
        <v>1.99250644935811</v>
      </c>
      <c r="AR149" s="1314" t="n">
        <f aca="false">SUM(AM149,AP149)</f>
        <v>1.46</v>
      </c>
      <c r="AS149" s="1598" t="n">
        <f aca="false">IF(AR149=0,0,AQ149/AR149)</f>
        <v>1.36473044476583</v>
      </c>
    </row>
    <row r="150" customFormat="false" ht="12.75" hidden="false" customHeight="false" outlineLevel="0" collapsed="false">
      <c r="A150" s="1538" t="n">
        <f aca="false">EDATE(A149,1)</f>
        <v>41153</v>
      </c>
      <c r="C150" s="1595" t="n">
        <f aca="false">IF($A150&gt;Endyr,0,VLOOKUP($A150,Tariff_Table,Tariff!$G$33))</f>
        <v>7429.43</v>
      </c>
      <c r="D150" s="1565" t="n">
        <f aca="false">VLOOKUP($A150,Curves_Table,Escalation!$V$291)</f>
        <v>1.48180861051097</v>
      </c>
      <c r="E150" s="1596" t="n">
        <f aca="false">C150*D150</f>
        <v>11008.9933451885</v>
      </c>
      <c r="F150" s="1565" t="n">
        <f aca="false">IF(Assm!$L$74=0,VLOOKUP($A150,Curves_Table,Escalation!$D$291),VLOOKUP($A150,Curves_Table,Escalation!$E$291))</f>
        <v>2.74671633483315</v>
      </c>
      <c r="G150" s="427" t="n">
        <f aca="false">IF($A150&lt;EE_Date,VLOOKUP($A150,Curves_Table,Escalation!$D$291),Exch)</f>
        <v>1.065</v>
      </c>
      <c r="H150" s="1596" t="n">
        <f aca="false">E150*F150/G150</f>
        <v>28393.0346021585</v>
      </c>
      <c r="I150" s="1540" t="n">
        <f aca="false">VLOOKUP($A150,Plant_Table,'Plant Operations'!$C$270)</f>
        <v>480</v>
      </c>
      <c r="J150" s="1575" t="n">
        <f aca="false">H150*I150/1000</f>
        <v>13628.6566090361</v>
      </c>
      <c r="K150" s="1565" t="n">
        <f aca="false">F150</f>
        <v>2.74671633483315</v>
      </c>
      <c r="L150" s="394" t="n">
        <f aca="false">J150/K150</f>
        <v>4961.79981754976</v>
      </c>
      <c r="M150" s="1579" t="str">
        <f aca="false">IF(MONTH($A150)=12,SUM(L139:L150)," ")</f>
        <v> </v>
      </c>
      <c r="O150" s="1597" t="n">
        <f aca="false">IF($A150&gt;Endyr,0,VLOOKUP($A150,Tariff_Table,Tariff!$H$33))</f>
        <v>6133.73</v>
      </c>
      <c r="P150" s="1565" t="n">
        <f aca="false">$AS150</f>
        <v>1.36473044476583</v>
      </c>
      <c r="Q150" s="1575" t="n">
        <f aca="false">O150*P150</f>
        <v>8370.8880709735</v>
      </c>
      <c r="R150" s="1565" t="n">
        <f aca="false">$F150</f>
        <v>2.74671633483315</v>
      </c>
      <c r="S150" s="427" t="n">
        <f aca="false">$G150</f>
        <v>1.065</v>
      </c>
      <c r="T150" s="1575" t="n">
        <f aca="false">Q150*R150/S150</f>
        <v>21589.1596259182</v>
      </c>
      <c r="U150" s="1540" t="n">
        <f aca="false">$I150</f>
        <v>480</v>
      </c>
      <c r="V150" s="1575" t="n">
        <f aca="false">T150*U150/1000</f>
        <v>10362.7966204407</v>
      </c>
      <c r="W150" s="1565" t="n">
        <f aca="false">R150</f>
        <v>2.74671633483315</v>
      </c>
      <c r="X150" s="394" t="n">
        <f aca="false">V150/W150</f>
        <v>3772.79462353735</v>
      </c>
      <c r="Y150" s="1579" t="str">
        <f aca="false">IF(MONTH($A150)=12,SUM(X139:X150)," ")</f>
        <v> </v>
      </c>
      <c r="AA150" s="1595" t="n">
        <f aca="false">IF($A150&gt;Endyr,0,VLOOKUP($A150,Tariff_Table,Tariff!$I$33))</f>
        <v>2.31</v>
      </c>
      <c r="AB150" s="1565" t="n">
        <f aca="false">$AS150</f>
        <v>1.36473044476583</v>
      </c>
      <c r="AC150" s="1596" t="n">
        <f aca="false">AA150*AB150</f>
        <v>3.15252732740906</v>
      </c>
      <c r="AD150" s="1565" t="n">
        <f aca="false">$F150</f>
        <v>2.74671633483315</v>
      </c>
      <c r="AE150" s="427" t="n">
        <f aca="false">$G150</f>
        <v>1.065</v>
      </c>
      <c r="AF150" s="1596" t="n">
        <f aca="false">AC150*AD150/AE150</f>
        <v>8.1306087382182</v>
      </c>
      <c r="AG150" s="397" t="n">
        <f aca="false">VLOOKUP($A150,Plant_Table,'Plant Operations'!$M$270)</f>
        <v>289336.32</v>
      </c>
      <c r="AH150" s="1575" t="n">
        <f aca="false">AF150*AG150/1000</f>
        <v>2352.4804116759</v>
      </c>
      <c r="AI150" s="1565" t="n">
        <f aca="false">AD150</f>
        <v>2.74671633483315</v>
      </c>
      <c r="AJ150" s="1566" t="n">
        <f aca="false">AH150/AI150</f>
        <v>856.470099166172</v>
      </c>
      <c r="AK150" s="1567" t="str">
        <f aca="false">IF(MONTH($A150)=12,SUM(AJ139:AJ150)," ")</f>
        <v> </v>
      </c>
      <c r="AM150" s="488" t="n">
        <f aca="false">IF($A150&gt;Endyr,0,VLOOKUP($A150,Tariff_Table,Tariff!$L$33))</f>
        <v>1.21</v>
      </c>
      <c r="AN150" s="1576" t="n">
        <f aca="false">VLOOKUP($A150,Curves_Table,Escalation!$Z$291)</f>
        <v>1.44008797467612</v>
      </c>
      <c r="AO150" s="1314" t="n">
        <f aca="false">AM150*AN150</f>
        <v>1.74250644935811</v>
      </c>
      <c r="AP150" s="1314" t="n">
        <f aca="false">IF($A150&gt;Endyr,0,VLOOKUP($A150,Tariff_Table,Tariff!$M$33))</f>
        <v>0.25</v>
      </c>
      <c r="AQ150" s="1314" t="n">
        <f aca="false">SUM(AO150,AP150)</f>
        <v>1.99250644935811</v>
      </c>
      <c r="AR150" s="1314" t="n">
        <f aca="false">SUM(AM150,AP150)</f>
        <v>1.46</v>
      </c>
      <c r="AS150" s="1598" t="n">
        <f aca="false">IF(AR150=0,0,AQ150/AR150)</f>
        <v>1.36473044476583</v>
      </c>
    </row>
    <row r="151" customFormat="false" ht="12.75" hidden="false" customHeight="false" outlineLevel="0" collapsed="false">
      <c r="A151" s="1538" t="n">
        <f aca="false">EDATE(A150,1)</f>
        <v>41183</v>
      </c>
      <c r="C151" s="1595" t="n">
        <f aca="false">IF($A151&gt;Endyr,0,VLOOKUP($A151,Tariff_Table,Tariff!$G$33))</f>
        <v>7429.43</v>
      </c>
      <c r="D151" s="1565" t="n">
        <f aca="false">VLOOKUP($A151,Curves_Table,Escalation!$V$291)</f>
        <v>1.48180861051097</v>
      </c>
      <c r="E151" s="1596" t="n">
        <f aca="false">C151*D151</f>
        <v>11008.9933451885</v>
      </c>
      <c r="F151" s="1565" t="n">
        <f aca="false">IF(Assm!$L$74=0,VLOOKUP($A151,Curves_Table,Escalation!$D$291),VLOOKUP($A151,Curves_Table,Escalation!$E$291))</f>
        <v>2.75125019742612</v>
      </c>
      <c r="G151" s="427" t="n">
        <f aca="false">IF($A151&lt;EE_Date,VLOOKUP($A151,Curves_Table,Escalation!$D$291),Exch)</f>
        <v>1.065</v>
      </c>
      <c r="H151" s="1596" t="n">
        <f aca="false">E151*F151/G151</f>
        <v>28439.9015158805</v>
      </c>
      <c r="I151" s="1540" t="n">
        <f aca="false">VLOOKUP($A151,Plant_Table,'Plant Operations'!$C$270)</f>
        <v>480</v>
      </c>
      <c r="J151" s="1575" t="n">
        <f aca="false">H151*I151/1000</f>
        <v>13651.1527276226</v>
      </c>
      <c r="K151" s="1565" t="n">
        <f aca="false">F151</f>
        <v>2.75125019742612</v>
      </c>
      <c r="L151" s="394" t="n">
        <f aca="false">J151/K151</f>
        <v>4961.79981754976</v>
      </c>
      <c r="M151" s="1579" t="str">
        <f aca="false">IF(MONTH($A151)=12,SUM(L140:L151)," ")</f>
        <v> </v>
      </c>
      <c r="O151" s="1597" t="n">
        <f aca="false">IF($A151&gt;Endyr,0,VLOOKUP($A151,Tariff_Table,Tariff!$H$33))</f>
        <v>6133.73</v>
      </c>
      <c r="P151" s="1565" t="n">
        <f aca="false">$AS151</f>
        <v>1.36473044476583</v>
      </c>
      <c r="Q151" s="1575" t="n">
        <f aca="false">O151*P151</f>
        <v>8370.8880709735</v>
      </c>
      <c r="R151" s="1565" t="n">
        <f aca="false">$F151</f>
        <v>2.75125019742612</v>
      </c>
      <c r="S151" s="427" t="n">
        <f aca="false">$G151</f>
        <v>1.065</v>
      </c>
      <c r="T151" s="1575" t="n">
        <f aca="false">Q151*R151/S151</f>
        <v>21624.7957351153</v>
      </c>
      <c r="U151" s="1540" t="n">
        <f aca="false">$I151</f>
        <v>480</v>
      </c>
      <c r="V151" s="1575" t="n">
        <f aca="false">T151*U151/1000</f>
        <v>10379.9019528553</v>
      </c>
      <c r="W151" s="1565" t="n">
        <f aca="false">R151</f>
        <v>2.75125019742612</v>
      </c>
      <c r="X151" s="394" t="n">
        <f aca="false">V151/W151</f>
        <v>3772.79462353735</v>
      </c>
      <c r="Y151" s="1579" t="str">
        <f aca="false">IF(MONTH($A151)=12,SUM(X140:X151)," ")</f>
        <v> </v>
      </c>
      <c r="AA151" s="1595" t="n">
        <f aca="false">IF($A151&gt;Endyr,0,VLOOKUP($A151,Tariff_Table,Tariff!$I$33))</f>
        <v>2.31</v>
      </c>
      <c r="AB151" s="1565" t="n">
        <f aca="false">$AS151</f>
        <v>1.36473044476583</v>
      </c>
      <c r="AC151" s="1596" t="n">
        <f aca="false">AA151*AB151</f>
        <v>3.15252732740906</v>
      </c>
      <c r="AD151" s="1565" t="n">
        <f aca="false">$F151</f>
        <v>2.75125019742612</v>
      </c>
      <c r="AE151" s="427" t="n">
        <f aca="false">$G151</f>
        <v>1.065</v>
      </c>
      <c r="AF151" s="1596" t="n">
        <f aca="false">AC151*AD151/AE151</f>
        <v>8.14402951354499</v>
      </c>
      <c r="AG151" s="397" t="n">
        <f aca="false">VLOOKUP($A151,Plant_Table,'Plant Operations'!$M$270)</f>
        <v>298980.864</v>
      </c>
      <c r="AH151" s="1575" t="n">
        <f aca="false">AF151*AG151/1000</f>
        <v>2434.90898040118</v>
      </c>
      <c r="AI151" s="1565" t="n">
        <f aca="false">AD151</f>
        <v>2.75125019742612</v>
      </c>
      <c r="AJ151" s="1566" t="n">
        <f aca="false">AH151/AI151</f>
        <v>885.019102471711</v>
      </c>
      <c r="AK151" s="1567" t="str">
        <f aca="false">IF(MONTH($A151)=12,SUM(AJ140:AJ151)," ")</f>
        <v> </v>
      </c>
      <c r="AM151" s="488" t="n">
        <f aca="false">IF($A151&gt;Endyr,0,VLOOKUP($A151,Tariff_Table,Tariff!$L$33))</f>
        <v>1.21</v>
      </c>
      <c r="AN151" s="1576" t="n">
        <f aca="false">VLOOKUP($A151,Curves_Table,Escalation!$Z$291)</f>
        <v>1.44008797467612</v>
      </c>
      <c r="AO151" s="1314" t="n">
        <f aca="false">AM151*AN151</f>
        <v>1.74250644935811</v>
      </c>
      <c r="AP151" s="1314" t="n">
        <f aca="false">IF($A151&gt;Endyr,0,VLOOKUP($A151,Tariff_Table,Tariff!$M$33))</f>
        <v>0.25</v>
      </c>
      <c r="AQ151" s="1314" t="n">
        <f aca="false">SUM(AO151,AP151)</f>
        <v>1.99250644935811</v>
      </c>
      <c r="AR151" s="1314" t="n">
        <f aca="false">SUM(AM151,AP151)</f>
        <v>1.46</v>
      </c>
      <c r="AS151" s="1598" t="n">
        <f aca="false">IF(AR151=0,0,AQ151/AR151)</f>
        <v>1.36473044476583</v>
      </c>
    </row>
    <row r="152" customFormat="false" ht="12.75" hidden="false" customHeight="false" outlineLevel="0" collapsed="false">
      <c r="A152" s="1538" t="n">
        <f aca="false">EDATE(A151,1)</f>
        <v>41214</v>
      </c>
      <c r="C152" s="1595" t="n">
        <f aca="false">IF($A152&gt;Endyr,0,VLOOKUP($A152,Tariff_Table,Tariff!$G$33))</f>
        <v>7429.43</v>
      </c>
      <c r="D152" s="1565" t="n">
        <f aca="false">VLOOKUP($A152,Curves_Table,Escalation!$V$291)</f>
        <v>1.48180861051097</v>
      </c>
      <c r="E152" s="1596" t="n">
        <f aca="false">C152*D152</f>
        <v>11008.9933451885</v>
      </c>
      <c r="F152" s="1565" t="n">
        <f aca="false">IF(Assm!$L$74=0,VLOOKUP($A152,Curves_Table,Escalation!$D$291),VLOOKUP($A152,Curves_Table,Escalation!$E$291))</f>
        <v>2.75579154383157</v>
      </c>
      <c r="G152" s="427" t="n">
        <f aca="false">IF($A152&lt;EE_Date,VLOOKUP($A152,Curves_Table,Escalation!$D$291),Exch)</f>
        <v>1.065</v>
      </c>
      <c r="H152" s="1596" t="n">
        <f aca="false">E152*F152/G152</f>
        <v>28486.845790393</v>
      </c>
      <c r="I152" s="1540" t="n">
        <f aca="false">VLOOKUP($A152,Plant_Table,'Plant Operations'!$C$270)</f>
        <v>480</v>
      </c>
      <c r="J152" s="1575" t="n">
        <f aca="false">H152*I152/1000</f>
        <v>13673.6859793886</v>
      </c>
      <c r="K152" s="1565" t="n">
        <f aca="false">F152</f>
        <v>2.75579154383157</v>
      </c>
      <c r="L152" s="394" t="n">
        <f aca="false">J152/K152</f>
        <v>4961.79981754976</v>
      </c>
      <c r="M152" s="1579" t="str">
        <f aca="false">IF(MONTH($A152)=12,SUM(L141:L152)," ")</f>
        <v> </v>
      </c>
      <c r="O152" s="1597" t="n">
        <f aca="false">IF($A152&gt;Endyr,0,VLOOKUP($A152,Tariff_Table,Tariff!$H$33))</f>
        <v>6133.73</v>
      </c>
      <c r="P152" s="1565" t="n">
        <f aca="false">$AS152</f>
        <v>1.36473044476583</v>
      </c>
      <c r="Q152" s="1575" t="n">
        <f aca="false">O152*P152</f>
        <v>8370.8880709735</v>
      </c>
      <c r="R152" s="1565" t="n">
        <f aca="false">$F152</f>
        <v>2.75579154383157</v>
      </c>
      <c r="S152" s="427" t="n">
        <f aca="false">$G152</f>
        <v>1.065</v>
      </c>
      <c r="T152" s="1575" t="n">
        <f aca="false">Q152*R152/S152</f>
        <v>21660.4906669947</v>
      </c>
      <c r="U152" s="1540" t="n">
        <f aca="false">$I152</f>
        <v>480</v>
      </c>
      <c r="V152" s="1575" t="n">
        <f aca="false">T152*U152/1000</f>
        <v>10397.0355201574</v>
      </c>
      <c r="W152" s="1565" t="n">
        <f aca="false">R152</f>
        <v>2.75579154383157</v>
      </c>
      <c r="X152" s="394" t="n">
        <f aca="false">V152/W152</f>
        <v>3772.79462353735</v>
      </c>
      <c r="Y152" s="1579" t="str">
        <f aca="false">IF(MONTH($A152)=12,SUM(X141:X152)," ")</f>
        <v> </v>
      </c>
      <c r="AA152" s="1595" t="n">
        <f aca="false">IF($A152&gt;Endyr,0,VLOOKUP($A152,Tariff_Table,Tariff!$I$33))</f>
        <v>2.31</v>
      </c>
      <c r="AB152" s="1565" t="n">
        <f aca="false">$AS152</f>
        <v>1.36473044476583</v>
      </c>
      <c r="AC152" s="1596" t="n">
        <f aca="false">AA152*AB152</f>
        <v>3.15252732740906</v>
      </c>
      <c r="AD152" s="1565" t="n">
        <f aca="false">$F152</f>
        <v>2.75579154383157</v>
      </c>
      <c r="AE152" s="427" t="n">
        <f aca="false">$G152</f>
        <v>1.065</v>
      </c>
      <c r="AF152" s="1596" t="n">
        <f aca="false">AC152*AD152/AE152</f>
        <v>8.15747244185148</v>
      </c>
      <c r="AG152" s="397" t="n">
        <f aca="false">VLOOKUP($A152,Plant_Table,'Plant Operations'!$M$270)</f>
        <v>289336.32</v>
      </c>
      <c r="AH152" s="1575" t="n">
        <f aca="false">AF152*AG152/1000</f>
        <v>2360.25305682672</v>
      </c>
      <c r="AI152" s="1565" t="n">
        <f aca="false">AD152</f>
        <v>2.75579154383157</v>
      </c>
      <c r="AJ152" s="1566" t="n">
        <f aca="false">AH152/AI152</f>
        <v>856.470099166172</v>
      </c>
      <c r="AK152" s="1567" t="str">
        <f aca="false">IF(MONTH($A152)=12,SUM(AJ141:AJ152)," ")</f>
        <v> </v>
      </c>
      <c r="AM152" s="488" t="n">
        <f aca="false">IF($A152&gt;Endyr,0,VLOOKUP($A152,Tariff_Table,Tariff!$L$33))</f>
        <v>1.21</v>
      </c>
      <c r="AN152" s="1576" t="n">
        <f aca="false">VLOOKUP($A152,Curves_Table,Escalation!$Z$291)</f>
        <v>1.44008797467612</v>
      </c>
      <c r="AO152" s="1314" t="n">
        <f aca="false">AM152*AN152</f>
        <v>1.74250644935811</v>
      </c>
      <c r="AP152" s="1314" t="n">
        <f aca="false">IF($A152&gt;Endyr,0,VLOOKUP($A152,Tariff_Table,Tariff!$M$33))</f>
        <v>0.25</v>
      </c>
      <c r="AQ152" s="1314" t="n">
        <f aca="false">SUM(AO152,AP152)</f>
        <v>1.99250644935811</v>
      </c>
      <c r="AR152" s="1314" t="n">
        <f aca="false">SUM(AM152,AP152)</f>
        <v>1.46</v>
      </c>
      <c r="AS152" s="1598" t="n">
        <f aca="false">IF(AR152=0,0,AQ152/AR152)</f>
        <v>1.36473044476583</v>
      </c>
    </row>
    <row r="153" customFormat="false" ht="12.75" hidden="false" customHeight="false" outlineLevel="0" collapsed="false">
      <c r="A153" s="1538" t="n">
        <f aca="false">EDATE(A152,1)</f>
        <v>41244</v>
      </c>
      <c r="C153" s="1595" t="n">
        <f aca="false">IF($A153&gt;Endyr,0,VLOOKUP($A153,Tariff_Table,Tariff!$G$33))</f>
        <v>7429.43</v>
      </c>
      <c r="D153" s="1565" t="n">
        <f aca="false">VLOOKUP($A153,Curves_Table,Escalation!$V$291)</f>
        <v>1.48180861051097</v>
      </c>
      <c r="E153" s="1596" t="n">
        <f aca="false">C153*D153</f>
        <v>11008.9933451885</v>
      </c>
      <c r="F153" s="1565" t="n">
        <f aca="false">IF(Assm!$L$74=0,VLOOKUP($A153,Curves_Table,Escalation!$D$291),VLOOKUP($A153,Curves_Table,Escalation!$E$291))</f>
        <v>2.76034038640265</v>
      </c>
      <c r="G153" s="427" t="n">
        <f aca="false">IF($A153&lt;EE_Date,VLOOKUP($A153,Curves_Table,Escalation!$D$291),Exch)</f>
        <v>1.065</v>
      </c>
      <c r="H153" s="1596" t="n">
        <f aca="false">E153*F153/G153</f>
        <v>28533.8675533915</v>
      </c>
      <c r="I153" s="1540" t="n">
        <f aca="false">VLOOKUP($A153,Plant_Table,'Plant Operations'!$C$270)</f>
        <v>480</v>
      </c>
      <c r="J153" s="1575" t="n">
        <f aca="false">H153*I153/1000</f>
        <v>13696.2564256279</v>
      </c>
      <c r="K153" s="1565" t="n">
        <f aca="false">F153</f>
        <v>2.76034038640265</v>
      </c>
      <c r="L153" s="394" t="n">
        <f aca="false">J153/K153</f>
        <v>4961.79981754976</v>
      </c>
      <c r="M153" s="1579" t="n">
        <f aca="false">IF(MONTH($A153)=12,SUM(L142:L153)," ")</f>
        <v>59030.4654500988</v>
      </c>
      <c r="O153" s="1597" t="n">
        <f aca="false">IF($A153&gt;Endyr,0,VLOOKUP($A153,Tariff_Table,Tariff!$H$33))</f>
        <v>6133.73</v>
      </c>
      <c r="P153" s="1565" t="n">
        <f aca="false">$AS153</f>
        <v>1.36473044476583</v>
      </c>
      <c r="Q153" s="1575" t="n">
        <f aca="false">O153*P153</f>
        <v>8370.8880709735</v>
      </c>
      <c r="R153" s="1565" t="n">
        <f aca="false">$F153</f>
        <v>2.76034038640265</v>
      </c>
      <c r="S153" s="427" t="n">
        <f aca="false">$G153</f>
        <v>1.065</v>
      </c>
      <c r="T153" s="1575" t="n">
        <f aca="false">Q153*R153/S153</f>
        <v>21696.2445186519</v>
      </c>
      <c r="U153" s="1540" t="n">
        <f aca="false">$I153</f>
        <v>480</v>
      </c>
      <c r="V153" s="1575" t="n">
        <f aca="false">T153*U153/1000</f>
        <v>10414.1973689529</v>
      </c>
      <c r="W153" s="1565" t="n">
        <f aca="false">R153</f>
        <v>2.76034038640265</v>
      </c>
      <c r="X153" s="394" t="n">
        <f aca="false">V153/W153</f>
        <v>3772.79462353735</v>
      </c>
      <c r="Y153" s="1579" t="n">
        <f aca="false">IF(MONTH($A153)=12,SUM(X142:X153)," ")</f>
        <v>44910.9189819848</v>
      </c>
      <c r="AA153" s="1595" t="n">
        <f aca="false">IF($A153&gt;Endyr,0,VLOOKUP($A153,Tariff_Table,Tariff!$I$33))</f>
        <v>2.31</v>
      </c>
      <c r="AB153" s="1565" t="n">
        <f aca="false">$AS153</f>
        <v>1.36473044476583</v>
      </c>
      <c r="AC153" s="1596" t="n">
        <f aca="false">AA153*AB153</f>
        <v>3.15252732740906</v>
      </c>
      <c r="AD153" s="1565" t="n">
        <f aca="false">$F153</f>
        <v>2.76034038640265</v>
      </c>
      <c r="AE153" s="427" t="n">
        <f aca="false">$G153</f>
        <v>1.065</v>
      </c>
      <c r="AF153" s="1596" t="n">
        <f aca="false">AC153*AD153/AE153</f>
        <v>8.17093755970446</v>
      </c>
      <c r="AG153" s="397" t="n">
        <f aca="false">VLOOKUP($A153,Plant_Table,'Plant Operations'!$M$270)</f>
        <v>298980.864</v>
      </c>
      <c r="AH153" s="1575" t="n">
        <f aca="false">AF153*AG153/1000</f>
        <v>2442.95397129049</v>
      </c>
      <c r="AI153" s="1565" t="n">
        <f aca="false">AD153</f>
        <v>2.76034038640265</v>
      </c>
      <c r="AJ153" s="1566" t="n">
        <f aca="false">AH153/AI153</f>
        <v>885.019102471711</v>
      </c>
      <c r="AK153" s="1567" t="n">
        <f aca="false">IF(MONTH($A153)=12,SUM(AJ142:AJ153)," ")</f>
        <v>10367.1718123239</v>
      </c>
      <c r="AM153" s="488" t="n">
        <f aca="false">IF($A153&gt;Endyr,0,VLOOKUP($A153,Tariff_Table,Tariff!$L$33))</f>
        <v>1.21</v>
      </c>
      <c r="AN153" s="1576" t="n">
        <f aca="false">VLOOKUP($A153,Curves_Table,Escalation!$Z$291)</f>
        <v>1.44008797467612</v>
      </c>
      <c r="AO153" s="1314" t="n">
        <f aca="false">AM153*AN153</f>
        <v>1.74250644935811</v>
      </c>
      <c r="AP153" s="1314" t="n">
        <f aca="false">IF($A153&gt;Endyr,0,VLOOKUP($A153,Tariff_Table,Tariff!$M$33))</f>
        <v>0.25</v>
      </c>
      <c r="AQ153" s="1314" t="n">
        <f aca="false">SUM(AO153,AP153)</f>
        <v>1.99250644935811</v>
      </c>
      <c r="AR153" s="1314" t="n">
        <f aca="false">SUM(AM153,AP153)</f>
        <v>1.46</v>
      </c>
      <c r="AS153" s="1598" t="n">
        <f aca="false">IF(AR153=0,0,AQ153/AR153)</f>
        <v>1.36473044476583</v>
      </c>
    </row>
    <row r="154" customFormat="false" ht="12.75" hidden="false" customHeight="false" outlineLevel="0" collapsed="false">
      <c r="A154" s="1538" t="n">
        <f aca="false">EDATE(A153,1)</f>
        <v>41275</v>
      </c>
      <c r="C154" s="1595" t="n">
        <f aca="false">IF($A154&gt;Endyr,0,VLOOKUP($A154,Tariff_Table,Tariff!$G$33))</f>
        <v>7429.43</v>
      </c>
      <c r="D154" s="1565" t="n">
        <f aca="false">VLOOKUP($A154,Curves_Table,Escalation!$V$291)</f>
        <v>1.48180861051097</v>
      </c>
      <c r="E154" s="1596" t="n">
        <f aca="false">C154*D154</f>
        <v>11008.9933451885</v>
      </c>
      <c r="F154" s="1565" t="n">
        <f aca="false">IF(Assm!$L$74=0,VLOOKUP($A154,Curves_Table,Escalation!$D$291),VLOOKUP($A154,Curves_Table,Escalation!$E$291))</f>
        <v>2.76492823407979</v>
      </c>
      <c r="G154" s="427" t="n">
        <f aca="false">IF($A154&lt;EE_Date,VLOOKUP($A154,Curves_Table,Escalation!$D$291),Exch)</f>
        <v>1.065</v>
      </c>
      <c r="H154" s="1596" t="n">
        <f aca="false">E154*F154/G154</f>
        <v>28581.2925154068</v>
      </c>
      <c r="I154" s="1540" t="n">
        <f aca="false">VLOOKUP($A154,Plant_Table,'Plant Operations'!$C$270)</f>
        <v>480</v>
      </c>
      <c r="J154" s="1575" t="n">
        <f aca="false">H154*I154/1000</f>
        <v>13719.0204073953</v>
      </c>
      <c r="K154" s="1565" t="n">
        <f aca="false">F154</f>
        <v>2.76492823407979</v>
      </c>
      <c r="L154" s="394" t="n">
        <f aca="false">J154/K154</f>
        <v>4961.79981754976</v>
      </c>
      <c r="M154" s="1579" t="str">
        <f aca="false">IF(MONTH($A154)=12,SUM(L143:L154)," ")</f>
        <v> </v>
      </c>
      <c r="O154" s="1597" t="n">
        <f aca="false">IF($A154&gt;Endyr,0,VLOOKUP($A154,Tariff_Table,Tariff!$H$33))</f>
        <v>6133.73</v>
      </c>
      <c r="P154" s="1565" t="n">
        <f aca="false">$AS154</f>
        <v>1.36473044476583</v>
      </c>
      <c r="Q154" s="1575" t="n">
        <f aca="false">O154*P154</f>
        <v>8370.8880709735</v>
      </c>
      <c r="R154" s="1565" t="n">
        <f aca="false">$F154</f>
        <v>2.76492823407979</v>
      </c>
      <c r="S154" s="427" t="n">
        <f aca="false">$G154</f>
        <v>1.065</v>
      </c>
      <c r="T154" s="1575" t="n">
        <f aca="false">Q154*R154/S154</f>
        <v>21732.3049500059</v>
      </c>
      <c r="U154" s="1540" t="n">
        <f aca="false">$I154</f>
        <v>480</v>
      </c>
      <c r="V154" s="1575" t="n">
        <f aca="false">T154*U154/1000</f>
        <v>10431.5063760028</v>
      </c>
      <c r="W154" s="1565" t="n">
        <f aca="false">R154</f>
        <v>2.76492823407979</v>
      </c>
      <c r="X154" s="394" t="n">
        <f aca="false">V154/W154</f>
        <v>3772.79462353735</v>
      </c>
      <c r="Y154" s="1579" t="str">
        <f aca="false">IF(MONTH($A154)=12,SUM(X143:X154)," ")</f>
        <v> </v>
      </c>
      <c r="AA154" s="1595" t="n">
        <f aca="false">IF($A154&gt;Endyr,0,VLOOKUP($A154,Tariff_Table,Tariff!$I$33))</f>
        <v>2.31</v>
      </c>
      <c r="AB154" s="1565" t="n">
        <f aca="false">$AS154</f>
        <v>1.36473044476583</v>
      </c>
      <c r="AC154" s="1596" t="n">
        <f aca="false">AA154*AB154</f>
        <v>3.15252732740906</v>
      </c>
      <c r="AD154" s="1565" t="n">
        <f aca="false">$F154</f>
        <v>2.76492823407979</v>
      </c>
      <c r="AE154" s="427" t="n">
        <f aca="false">$G154</f>
        <v>1.065</v>
      </c>
      <c r="AF154" s="1596" t="n">
        <f aca="false">AC154*AD154/AE154</f>
        <v>8.18451813733465</v>
      </c>
      <c r="AG154" s="397" t="n">
        <f aca="false">VLOOKUP($A154,Plant_Table,'Plant Operations'!$M$270)</f>
        <v>298980.864</v>
      </c>
      <c r="AH154" s="1575" t="n">
        <f aca="false">AF154*AG154/1000</f>
        <v>2447.01430412399</v>
      </c>
      <c r="AI154" s="1565" t="n">
        <f aca="false">AD154</f>
        <v>2.76492823407979</v>
      </c>
      <c r="AJ154" s="1566" t="n">
        <f aca="false">AH154/AI154</f>
        <v>885.019102471711</v>
      </c>
      <c r="AK154" s="1567" t="str">
        <f aca="false">IF(MONTH($A154)=12,SUM(AJ143:AJ154)," ")</f>
        <v> </v>
      </c>
      <c r="AM154" s="488" t="n">
        <f aca="false">IF($A154&gt;Endyr,0,VLOOKUP($A154,Tariff_Table,Tariff!$L$33))</f>
        <v>1.21</v>
      </c>
      <c r="AN154" s="1576" t="n">
        <f aca="false">VLOOKUP($A154,Curves_Table,Escalation!$Z$291)</f>
        <v>1.44008797467612</v>
      </c>
      <c r="AO154" s="1314" t="n">
        <f aca="false">AM154*AN154</f>
        <v>1.74250644935811</v>
      </c>
      <c r="AP154" s="1314" t="n">
        <f aca="false">IF($A154&gt;Endyr,0,VLOOKUP($A154,Tariff_Table,Tariff!$M$33))</f>
        <v>0.25</v>
      </c>
      <c r="AQ154" s="1314" t="n">
        <f aca="false">SUM(AO154,AP154)</f>
        <v>1.99250644935811</v>
      </c>
      <c r="AR154" s="1314" t="n">
        <f aca="false">SUM(AM154,AP154)</f>
        <v>1.46</v>
      </c>
      <c r="AS154" s="1598" t="n">
        <f aca="false">IF(AR154=0,0,AQ154/AR154)</f>
        <v>1.36473044476583</v>
      </c>
    </row>
    <row r="155" customFormat="false" ht="12.75" hidden="false" customHeight="false" outlineLevel="0" collapsed="false">
      <c r="A155" s="1538" t="n">
        <f aca="false">EDATE(A154,1)</f>
        <v>41306</v>
      </c>
      <c r="C155" s="1595" t="n">
        <f aca="false">IF($A155&gt;Endyr,0,VLOOKUP($A155,Tariff_Table,Tariff!$G$33))</f>
        <v>7429.43</v>
      </c>
      <c r="D155" s="1565" t="n">
        <f aca="false">VLOOKUP($A155,Curves_Table,Escalation!$V$291)</f>
        <v>1.48180861051097</v>
      </c>
      <c r="E155" s="1596" t="n">
        <f aca="false">C155*D155</f>
        <v>11008.9933451885</v>
      </c>
      <c r="F155" s="1565" t="n">
        <f aca="false">IF(Assm!$L$74=0,VLOOKUP($A155,Curves_Table,Escalation!$D$291),VLOOKUP($A155,Curves_Table,Escalation!$E$291))</f>
        <v>2.76952370702894</v>
      </c>
      <c r="G155" s="427" t="n">
        <f aca="false">IF($A155&lt;EE_Date,VLOOKUP($A155,Curves_Table,Escalation!$D$291),Exch)</f>
        <v>1.065</v>
      </c>
      <c r="H155" s="1596" t="n">
        <f aca="false">E155*F155/G155</f>
        <v>28628.7963004915</v>
      </c>
      <c r="I155" s="1540" t="n">
        <f aca="false">VLOOKUP($A155,Plant_Table,'Plant Operations'!$C$270)</f>
        <v>480</v>
      </c>
      <c r="J155" s="1575" t="n">
        <f aca="false">H155*I155/1000</f>
        <v>13741.8222242359</v>
      </c>
      <c r="K155" s="1565" t="n">
        <f aca="false">F155</f>
        <v>2.76952370702894</v>
      </c>
      <c r="L155" s="394" t="n">
        <f aca="false">J155/K155</f>
        <v>4961.79981754976</v>
      </c>
      <c r="M155" s="1579" t="str">
        <f aca="false">IF(MONTH($A155)=12,SUM(L144:L155)," ")</f>
        <v> </v>
      </c>
      <c r="O155" s="1597" t="n">
        <f aca="false">IF($A155&gt;Endyr,0,VLOOKUP($A155,Tariff_Table,Tariff!$H$33))</f>
        <v>6133.73</v>
      </c>
      <c r="P155" s="1565" t="n">
        <f aca="false">$AS155</f>
        <v>1.36473044476583</v>
      </c>
      <c r="Q155" s="1575" t="n">
        <f aca="false">O155*P155</f>
        <v>8370.8880709735</v>
      </c>
      <c r="R155" s="1565" t="n">
        <f aca="false">$F155</f>
        <v>2.76952370702894</v>
      </c>
      <c r="S155" s="427" t="n">
        <f aca="false">$G155</f>
        <v>1.065</v>
      </c>
      <c r="T155" s="1575" t="n">
        <f aca="false">Q155*R155/S155</f>
        <v>21768.4253159126</v>
      </c>
      <c r="U155" s="1540" t="n">
        <f aca="false">$I155</f>
        <v>480</v>
      </c>
      <c r="V155" s="1575" t="n">
        <f aca="false">T155*U155/1000</f>
        <v>10448.844151638</v>
      </c>
      <c r="W155" s="1565" t="n">
        <f aca="false">R155</f>
        <v>2.76952370702894</v>
      </c>
      <c r="X155" s="394" t="n">
        <f aca="false">V155/W155</f>
        <v>3772.79462353735</v>
      </c>
      <c r="Y155" s="1579" t="str">
        <f aca="false">IF(MONTH($A155)=12,SUM(X144:X155)," ")</f>
        <v> </v>
      </c>
      <c r="AA155" s="1595" t="n">
        <f aca="false">IF($A155&gt;Endyr,0,VLOOKUP($A155,Tariff_Table,Tariff!$I$33))</f>
        <v>2.31</v>
      </c>
      <c r="AB155" s="1565" t="n">
        <f aca="false">$AS155</f>
        <v>1.36473044476583</v>
      </c>
      <c r="AC155" s="1596" t="n">
        <f aca="false">AA155*AB155</f>
        <v>3.15252732740906</v>
      </c>
      <c r="AD155" s="1565" t="n">
        <f aca="false">$F155</f>
        <v>2.76952370702894</v>
      </c>
      <c r="AE155" s="427" t="n">
        <f aca="false">$G155</f>
        <v>1.065</v>
      </c>
      <c r="AF155" s="1596" t="n">
        <f aca="false">AC155*AD155/AE155</f>
        <v>8.19812128668168</v>
      </c>
      <c r="AG155" s="397" t="n">
        <f aca="false">VLOOKUP($A155,Plant_Table,'Plant Operations'!$M$270)</f>
        <v>270047.232</v>
      </c>
      <c r="AH155" s="1575" t="n">
        <f aca="false">AF155*AG155/1000</f>
        <v>2213.87996106867</v>
      </c>
      <c r="AI155" s="1565" t="n">
        <f aca="false">AD155</f>
        <v>2.76952370702894</v>
      </c>
      <c r="AJ155" s="1566" t="n">
        <f aca="false">AH155/AI155</f>
        <v>799.372092555094</v>
      </c>
      <c r="AK155" s="1567" t="str">
        <f aca="false">IF(MONTH($A155)=12,SUM(AJ144:AJ155)," ")</f>
        <v> </v>
      </c>
      <c r="AM155" s="488" t="n">
        <f aca="false">IF($A155&gt;Endyr,0,VLOOKUP($A155,Tariff_Table,Tariff!$L$33))</f>
        <v>1.21</v>
      </c>
      <c r="AN155" s="1576" t="n">
        <f aca="false">VLOOKUP($A155,Curves_Table,Escalation!$Z$291)</f>
        <v>1.44008797467612</v>
      </c>
      <c r="AO155" s="1314" t="n">
        <f aca="false">AM155*AN155</f>
        <v>1.74250644935811</v>
      </c>
      <c r="AP155" s="1314" t="n">
        <f aca="false">IF($A155&gt;Endyr,0,VLOOKUP($A155,Tariff_Table,Tariff!$M$33))</f>
        <v>0.25</v>
      </c>
      <c r="AQ155" s="1314" t="n">
        <f aca="false">SUM(AO155,AP155)</f>
        <v>1.99250644935811</v>
      </c>
      <c r="AR155" s="1314" t="n">
        <f aca="false">SUM(AM155,AP155)</f>
        <v>1.46</v>
      </c>
      <c r="AS155" s="1598" t="n">
        <f aca="false">IF(AR155=0,0,AQ155/AR155)</f>
        <v>1.36473044476583</v>
      </c>
    </row>
    <row r="156" customFormat="false" ht="12.75" hidden="false" customHeight="false" outlineLevel="0" collapsed="false">
      <c r="A156" s="1538" t="n">
        <f aca="false">EDATE(A155,1)</f>
        <v>41334</v>
      </c>
      <c r="C156" s="1595" t="n">
        <f aca="false">IF($A156&gt;Endyr,0,VLOOKUP($A156,Tariff_Table,Tariff!$G$33))</f>
        <v>7429.43</v>
      </c>
      <c r="D156" s="1565" t="n">
        <f aca="false">VLOOKUP($A156,Curves_Table,Escalation!$V$291)</f>
        <v>1.48180861051097</v>
      </c>
      <c r="E156" s="1596" t="n">
        <f aca="false">C156*D156</f>
        <v>11008.9933451885</v>
      </c>
      <c r="F156" s="1565" t="n">
        <f aca="false">IF(Assm!$L$74=0,VLOOKUP($A156,Curves_Table,Escalation!$D$291),VLOOKUP($A156,Curves_Table,Escalation!$E$291))</f>
        <v>2.77412681792376</v>
      </c>
      <c r="G156" s="427" t="n">
        <f aca="false">IF($A156&lt;EE_Date,VLOOKUP($A156,Curves_Table,Escalation!$D$291),Exch)</f>
        <v>1.065</v>
      </c>
      <c r="H156" s="1596" t="n">
        <f aca="false">E156*F156/G156</f>
        <v>28676.3790396542</v>
      </c>
      <c r="I156" s="1540" t="n">
        <f aca="false">VLOOKUP($A156,Plant_Table,'Plant Operations'!$C$270)</f>
        <v>480</v>
      </c>
      <c r="J156" s="1575" t="n">
        <f aca="false">H156*I156/1000</f>
        <v>13764.661939034</v>
      </c>
      <c r="K156" s="1565" t="n">
        <f aca="false">F156</f>
        <v>2.77412681792376</v>
      </c>
      <c r="L156" s="394" t="n">
        <f aca="false">J156/K156</f>
        <v>4961.79981754976</v>
      </c>
      <c r="M156" s="1579" t="str">
        <f aca="false">IF(MONTH($A156)=12,SUM(L145:L156)," ")</f>
        <v> </v>
      </c>
      <c r="O156" s="1597" t="n">
        <f aca="false">IF($A156&gt;Endyr,0,VLOOKUP($A156,Tariff_Table,Tariff!$H$33))</f>
        <v>6133.73</v>
      </c>
      <c r="P156" s="1565" t="n">
        <f aca="false">$AS156</f>
        <v>1.36473044476583</v>
      </c>
      <c r="Q156" s="1575" t="n">
        <f aca="false">O156*P156</f>
        <v>8370.8880709735</v>
      </c>
      <c r="R156" s="1565" t="n">
        <f aca="false">$F156</f>
        <v>2.77412681792376</v>
      </c>
      <c r="S156" s="427" t="n">
        <f aca="false">$G156</f>
        <v>1.065</v>
      </c>
      <c r="T156" s="1575" t="n">
        <f aca="false">Q156*R156/S156</f>
        <v>21804.6057159866</v>
      </c>
      <c r="U156" s="1540" t="n">
        <f aca="false">$I156</f>
        <v>480</v>
      </c>
      <c r="V156" s="1575" t="n">
        <f aca="false">T156*U156/1000</f>
        <v>10466.2107436736</v>
      </c>
      <c r="W156" s="1565" t="n">
        <f aca="false">R156</f>
        <v>2.77412681792376</v>
      </c>
      <c r="X156" s="394" t="n">
        <f aca="false">V156/W156</f>
        <v>3772.79462353735</v>
      </c>
      <c r="Y156" s="1579" t="str">
        <f aca="false">IF(MONTH($A156)=12,SUM(X145:X156)," ")</f>
        <v> </v>
      </c>
      <c r="AA156" s="1595" t="n">
        <f aca="false">IF($A156&gt;Endyr,0,VLOOKUP($A156,Tariff_Table,Tariff!$I$33))</f>
        <v>2.31</v>
      </c>
      <c r="AB156" s="1565" t="n">
        <f aca="false">$AS156</f>
        <v>1.36473044476583</v>
      </c>
      <c r="AC156" s="1596" t="n">
        <f aca="false">AA156*AB156</f>
        <v>3.15252732740906</v>
      </c>
      <c r="AD156" s="1565" t="n">
        <f aca="false">$F156</f>
        <v>2.77412681792376</v>
      </c>
      <c r="AE156" s="427" t="n">
        <f aca="false">$G156</f>
        <v>1.065</v>
      </c>
      <c r="AF156" s="1596" t="n">
        <f aca="false">AC156*AD156/AE156</f>
        <v>8.21174704526104</v>
      </c>
      <c r="AG156" s="397" t="n">
        <f aca="false">VLOOKUP($A156,Plant_Table,'Plant Operations'!$M$270)</f>
        <v>298980.864</v>
      </c>
      <c r="AH156" s="1575" t="n">
        <f aca="false">AF156*AG156/1000</f>
        <v>2455.15522654159</v>
      </c>
      <c r="AI156" s="1565" t="n">
        <f aca="false">AD156</f>
        <v>2.77412681792376</v>
      </c>
      <c r="AJ156" s="1566" t="n">
        <f aca="false">AH156/AI156</f>
        <v>885.019102471711</v>
      </c>
      <c r="AK156" s="1567" t="str">
        <f aca="false">IF(MONTH($A156)=12,SUM(AJ145:AJ156)," ")</f>
        <v> </v>
      </c>
      <c r="AM156" s="488" t="n">
        <f aca="false">IF($A156&gt;Endyr,0,VLOOKUP($A156,Tariff_Table,Tariff!$L$33))</f>
        <v>1.21</v>
      </c>
      <c r="AN156" s="1576" t="n">
        <f aca="false">VLOOKUP($A156,Curves_Table,Escalation!$Z$291)</f>
        <v>1.44008797467612</v>
      </c>
      <c r="AO156" s="1314" t="n">
        <f aca="false">AM156*AN156</f>
        <v>1.74250644935811</v>
      </c>
      <c r="AP156" s="1314" t="n">
        <f aca="false">IF($A156&gt;Endyr,0,VLOOKUP($A156,Tariff_Table,Tariff!$M$33))</f>
        <v>0.25</v>
      </c>
      <c r="AQ156" s="1314" t="n">
        <f aca="false">SUM(AO156,AP156)</f>
        <v>1.99250644935811</v>
      </c>
      <c r="AR156" s="1314" t="n">
        <f aca="false">SUM(AM156,AP156)</f>
        <v>1.46</v>
      </c>
      <c r="AS156" s="1598" t="n">
        <f aca="false">IF(AR156=0,0,AQ156/AR156)</f>
        <v>1.36473044476583</v>
      </c>
    </row>
    <row r="157" customFormat="false" ht="12.75" hidden="false" customHeight="false" outlineLevel="0" collapsed="false">
      <c r="A157" s="1538" t="n">
        <f aca="false">EDATE(A156,1)</f>
        <v>41365</v>
      </c>
      <c r="C157" s="1595" t="n">
        <f aca="false">IF($A157&gt;Endyr,0,VLOOKUP($A157,Tariff_Table,Tariff!$G$33))</f>
        <v>7429.43</v>
      </c>
      <c r="D157" s="1565" t="n">
        <f aca="false">VLOOKUP($A157,Curves_Table,Escalation!$V$291)</f>
        <v>1.48180861051097</v>
      </c>
      <c r="E157" s="1596" t="n">
        <f aca="false">C157*D157</f>
        <v>11008.9933451885</v>
      </c>
      <c r="F157" s="1565" t="n">
        <f aca="false">IF(Assm!$L$74=0,VLOOKUP($A157,Curves_Table,Escalation!$D$291),VLOOKUP($A157,Curves_Table,Escalation!$E$291))</f>
        <v>2.77873757945897</v>
      </c>
      <c r="G157" s="427" t="n">
        <f aca="false">IF($A157&lt;EE_Date,VLOOKUP($A157,Curves_Table,Escalation!$D$291),Exch)</f>
        <v>1.065</v>
      </c>
      <c r="H157" s="1596" t="n">
        <f aca="false">E157*F157/G157</f>
        <v>28724.0408641212</v>
      </c>
      <c r="I157" s="1540" t="n">
        <f aca="false">VLOOKUP($A157,Plant_Table,'Plant Operations'!$C$270)</f>
        <v>480</v>
      </c>
      <c r="J157" s="1575" t="n">
        <f aca="false">H157*I157/1000</f>
        <v>13787.5396147782</v>
      </c>
      <c r="K157" s="1565" t="n">
        <f aca="false">F157</f>
        <v>2.77873757945897</v>
      </c>
      <c r="L157" s="394" t="n">
        <f aca="false">J157/K157</f>
        <v>4961.79981754976</v>
      </c>
      <c r="M157" s="1579" t="str">
        <f aca="false">IF(MONTH($A157)=12,SUM(L146:L157)," ")</f>
        <v> </v>
      </c>
      <c r="O157" s="1597" t="n">
        <f aca="false">IF($A157&gt;Endyr,0,VLOOKUP($A157,Tariff_Table,Tariff!$H$33))</f>
        <v>6133.73</v>
      </c>
      <c r="P157" s="1565" t="n">
        <f aca="false">$AS157</f>
        <v>1.36473044476583</v>
      </c>
      <c r="Q157" s="1575" t="n">
        <f aca="false">O157*P157</f>
        <v>8370.8880709735</v>
      </c>
      <c r="R157" s="1565" t="n">
        <f aca="false">$F157</f>
        <v>2.77873757945897</v>
      </c>
      <c r="S157" s="427" t="n">
        <f aca="false">$G157</f>
        <v>1.065</v>
      </c>
      <c r="T157" s="1575" t="n">
        <f aca="false">Q157*R157/S157</f>
        <v>21840.8462500083</v>
      </c>
      <c r="U157" s="1540" t="n">
        <f aca="false">$I157</f>
        <v>480</v>
      </c>
      <c r="V157" s="1575" t="n">
        <f aca="false">T157*U157/1000</f>
        <v>10483.606200004</v>
      </c>
      <c r="W157" s="1565" t="n">
        <f aca="false">R157</f>
        <v>2.77873757945897</v>
      </c>
      <c r="X157" s="394" t="n">
        <f aca="false">V157/W157</f>
        <v>3772.79462353735</v>
      </c>
      <c r="Y157" s="1579" t="str">
        <f aca="false">IF(MONTH($A157)=12,SUM(X146:X157)," ")</f>
        <v> </v>
      </c>
      <c r="AA157" s="1595" t="n">
        <f aca="false">IF($A157&gt;Endyr,0,VLOOKUP($A157,Tariff_Table,Tariff!$I$33))</f>
        <v>2.31</v>
      </c>
      <c r="AB157" s="1565" t="n">
        <f aca="false">$AS157</f>
        <v>1.36473044476583</v>
      </c>
      <c r="AC157" s="1596" t="n">
        <f aca="false">AA157*AB157</f>
        <v>3.15252732740906</v>
      </c>
      <c r="AD157" s="1565" t="n">
        <f aca="false">$F157</f>
        <v>2.77873757945897</v>
      </c>
      <c r="AE157" s="427" t="n">
        <f aca="false">$G157</f>
        <v>1.065</v>
      </c>
      <c r="AF157" s="1596" t="n">
        <f aca="false">AC157*AD157/AE157</f>
        <v>8.22539545065061</v>
      </c>
      <c r="AG157" s="397" t="n">
        <f aca="false">VLOOKUP($A157,Plant_Table,'Plant Operations'!$M$270)</f>
        <v>289336.32</v>
      </c>
      <c r="AH157" s="1575" t="n">
        <f aca="false">AF157*AG157/1000</f>
        <v>2379.90565023599</v>
      </c>
      <c r="AI157" s="1565" t="n">
        <f aca="false">AD157</f>
        <v>2.77873757945897</v>
      </c>
      <c r="AJ157" s="1566" t="n">
        <f aca="false">AH157/AI157</f>
        <v>856.470099166172</v>
      </c>
      <c r="AK157" s="1567" t="str">
        <f aca="false">IF(MONTH($A157)=12,SUM(AJ146:AJ157)," ")</f>
        <v> </v>
      </c>
      <c r="AM157" s="488" t="n">
        <f aca="false">IF($A157&gt;Endyr,0,VLOOKUP($A157,Tariff_Table,Tariff!$L$33))</f>
        <v>1.21</v>
      </c>
      <c r="AN157" s="1576" t="n">
        <f aca="false">VLOOKUP($A157,Curves_Table,Escalation!$Z$291)</f>
        <v>1.44008797467612</v>
      </c>
      <c r="AO157" s="1314" t="n">
        <f aca="false">AM157*AN157</f>
        <v>1.74250644935811</v>
      </c>
      <c r="AP157" s="1314" t="n">
        <f aca="false">IF($A157&gt;Endyr,0,VLOOKUP($A157,Tariff_Table,Tariff!$M$33))</f>
        <v>0.25</v>
      </c>
      <c r="AQ157" s="1314" t="n">
        <f aca="false">SUM(AO157,AP157)</f>
        <v>1.99250644935811</v>
      </c>
      <c r="AR157" s="1314" t="n">
        <f aca="false">SUM(AM157,AP157)</f>
        <v>1.46</v>
      </c>
      <c r="AS157" s="1598" t="n">
        <f aca="false">IF(AR157=0,0,AQ157/AR157)</f>
        <v>1.36473044476583</v>
      </c>
    </row>
    <row r="158" customFormat="false" ht="12.75" hidden="false" customHeight="false" outlineLevel="0" collapsed="false">
      <c r="A158" s="1538" t="n">
        <f aca="false">EDATE(A157,1)</f>
        <v>41395</v>
      </c>
      <c r="C158" s="1595" t="n">
        <f aca="false">IF($A158&gt;Endyr,0,VLOOKUP($A158,Tariff_Table,Tariff!$G$33))</f>
        <v>7433.43</v>
      </c>
      <c r="D158" s="1565" t="n">
        <f aca="false">VLOOKUP($A158,Curves_Table,Escalation!$V$291)</f>
        <v>1.51901070889322</v>
      </c>
      <c r="E158" s="1596" t="n">
        <f aca="false">C158*D158</f>
        <v>11291.4597738082</v>
      </c>
      <c r="F158" s="1565" t="n">
        <f aca="false">IF(Assm!$L$74=0,VLOOKUP($A158,Curves_Table,Escalation!$D$291),VLOOKUP($A158,Curves_Table,Escalation!$E$291))</f>
        <v>2.78335600435036</v>
      </c>
      <c r="G158" s="427" t="n">
        <f aca="false">IF($A158&lt;EE_Date,VLOOKUP($A158,Curves_Table,Escalation!$D$291),Exch)</f>
        <v>1.065</v>
      </c>
      <c r="H158" s="1596" t="n">
        <f aca="false">E158*F158/G158</f>
        <v>29510.0022153141</v>
      </c>
      <c r="I158" s="1540" t="n">
        <f aca="false">VLOOKUP($A158,Plant_Table,'Plant Operations'!$C$270)</f>
        <v>480</v>
      </c>
      <c r="J158" s="1575" t="n">
        <f aca="false">H158*I158/1000</f>
        <v>14164.8010633508</v>
      </c>
      <c r="K158" s="1565" t="n">
        <f aca="false">F158</f>
        <v>2.78335600435036</v>
      </c>
      <c r="L158" s="394" t="n">
        <f aca="false">J158/K158</f>
        <v>5089.10863044874</v>
      </c>
      <c r="M158" s="1579" t="str">
        <f aca="false">IF(MONTH($A158)=12,SUM(L147:L158)," ")</f>
        <v> </v>
      </c>
      <c r="O158" s="1597" t="n">
        <f aca="false">IF($A158&gt;Endyr,0,VLOOKUP($A158,Tariff_Table,Tariff!$H$33))</f>
        <v>6146.82</v>
      </c>
      <c r="P158" s="1565" t="n">
        <f aca="false">$AS158</f>
        <v>1.39171049889003</v>
      </c>
      <c r="Q158" s="1575" t="n">
        <f aca="false">O158*P158</f>
        <v>8554.5939287872</v>
      </c>
      <c r="R158" s="1565" t="n">
        <f aca="false">$F158</f>
        <v>2.78335600435036</v>
      </c>
      <c r="S158" s="427" t="n">
        <f aca="false">$G158</f>
        <v>1.065</v>
      </c>
      <c r="T158" s="1575" t="n">
        <f aca="false">Q158*R158/S158</f>
        <v>22357.2585694545</v>
      </c>
      <c r="U158" s="1540" t="n">
        <f aca="false">$I158</f>
        <v>480</v>
      </c>
      <c r="V158" s="1575" t="n">
        <f aca="false">T158*U158/1000</f>
        <v>10731.4841133381</v>
      </c>
      <c r="W158" s="1565" t="n">
        <f aca="false">R158</f>
        <v>2.78335600435036</v>
      </c>
      <c r="X158" s="394" t="n">
        <f aca="false">V158/W158</f>
        <v>3855.59162987592</v>
      </c>
      <c r="Y158" s="1579" t="str">
        <f aca="false">IF(MONTH($A158)=12,SUM(X147:X158)," ")</f>
        <v> </v>
      </c>
      <c r="AA158" s="1595" t="n">
        <f aca="false">IF($A158&gt;Endyr,0,VLOOKUP($A158,Tariff_Table,Tariff!$I$33))</f>
        <v>2.32</v>
      </c>
      <c r="AB158" s="1565" t="n">
        <f aca="false">$AS158</f>
        <v>1.39171049889003</v>
      </c>
      <c r="AC158" s="1596" t="n">
        <f aca="false">AA158*AB158</f>
        <v>3.22876835742486</v>
      </c>
      <c r="AD158" s="1565" t="n">
        <f aca="false">$F158</f>
        <v>2.78335600435036</v>
      </c>
      <c r="AE158" s="427" t="n">
        <f aca="false">$G158</f>
        <v>1.065</v>
      </c>
      <c r="AF158" s="1596" t="n">
        <f aca="false">AC158*AD158/AE158</f>
        <v>8.43832093361028</v>
      </c>
      <c r="AG158" s="397" t="n">
        <f aca="false">VLOOKUP($A158,Plant_Table,'Plant Operations'!$M$270)</f>
        <v>298980.864</v>
      </c>
      <c r="AH158" s="1575" t="n">
        <f aca="false">AF158*AG158/1000</f>
        <v>2522.89648344009</v>
      </c>
      <c r="AI158" s="1565" t="n">
        <f aca="false">AD158</f>
        <v>2.78335600435036</v>
      </c>
      <c r="AJ158" s="1566" t="n">
        <f aca="false">AH158/AI158</f>
        <v>906.42249122887</v>
      </c>
      <c r="AK158" s="1567" t="str">
        <f aca="false">IF(MONTH($A158)=12,SUM(AJ147:AJ158)," ")</f>
        <v> </v>
      </c>
      <c r="AM158" s="488" t="n">
        <f aca="false">IF($A158&gt;Endyr,0,VLOOKUP($A158,Tariff_Table,Tariff!$L$33))</f>
        <v>1.21</v>
      </c>
      <c r="AN158" s="1576" t="n">
        <f aca="false">VLOOKUP($A158,Curves_Table,Escalation!$Z$291)</f>
        <v>1.4726424201483</v>
      </c>
      <c r="AO158" s="1314" t="n">
        <f aca="false">AM158*AN158</f>
        <v>1.78189732837944</v>
      </c>
      <c r="AP158" s="1314" t="n">
        <f aca="false">IF($A158&gt;Endyr,0,VLOOKUP($A158,Tariff_Table,Tariff!$M$33))</f>
        <v>0.25</v>
      </c>
      <c r="AQ158" s="1314" t="n">
        <f aca="false">SUM(AO158,AP158)</f>
        <v>2.03189732837944</v>
      </c>
      <c r="AR158" s="1314" t="n">
        <f aca="false">SUM(AM158,AP158)</f>
        <v>1.46</v>
      </c>
      <c r="AS158" s="1598" t="n">
        <f aca="false">IF(AR158=0,0,AQ158/AR158)</f>
        <v>1.39171049889003</v>
      </c>
    </row>
    <row r="159" customFormat="false" ht="12.75" hidden="false" customHeight="false" outlineLevel="0" collapsed="false">
      <c r="A159" s="1538" t="n">
        <f aca="false">EDATE(A158,1)</f>
        <v>41426</v>
      </c>
      <c r="C159" s="1595" t="n">
        <f aca="false">IF($A159&gt;Endyr,0,VLOOKUP($A159,Tariff_Table,Tariff!$G$33))</f>
        <v>7433.43</v>
      </c>
      <c r="D159" s="1565" t="n">
        <f aca="false">VLOOKUP($A159,Curves_Table,Escalation!$V$291)</f>
        <v>1.51901070889322</v>
      </c>
      <c r="E159" s="1596" t="n">
        <f aca="false">C159*D159</f>
        <v>11291.4597738082</v>
      </c>
      <c r="F159" s="1565" t="n">
        <f aca="false">IF(Assm!$L$74=0,VLOOKUP($A159,Curves_Table,Escalation!$D$291),VLOOKUP($A159,Curves_Table,Escalation!$E$291))</f>
        <v>2.7879821053349</v>
      </c>
      <c r="G159" s="427" t="n">
        <f aca="false">IF($A159&lt;EE_Date,VLOOKUP($A159,Curves_Table,Escalation!$D$291),Exch)</f>
        <v>1.065</v>
      </c>
      <c r="H159" s="1596" t="n">
        <f aca="false">E159*F159/G159</f>
        <v>29559.0495704094</v>
      </c>
      <c r="I159" s="1540" t="n">
        <f aca="false">VLOOKUP($A159,Plant_Table,'Plant Operations'!$C$270)</f>
        <v>480</v>
      </c>
      <c r="J159" s="1575" t="n">
        <f aca="false">H159*I159/1000</f>
        <v>14188.3437937965</v>
      </c>
      <c r="K159" s="1565" t="n">
        <f aca="false">F159</f>
        <v>2.7879821053349</v>
      </c>
      <c r="L159" s="394" t="n">
        <f aca="false">J159/K159</f>
        <v>5089.10863044874</v>
      </c>
      <c r="M159" s="1579" t="str">
        <f aca="false">IF(MONTH($A159)=12,SUM(L148:L159)," ")</f>
        <v> </v>
      </c>
      <c r="O159" s="1597" t="n">
        <f aca="false">IF($A159&gt;Endyr,0,VLOOKUP($A159,Tariff_Table,Tariff!$H$33))</f>
        <v>6146.82</v>
      </c>
      <c r="P159" s="1565" t="n">
        <f aca="false">$AS159</f>
        <v>1.39171049889003</v>
      </c>
      <c r="Q159" s="1575" t="n">
        <f aca="false">O159*P159</f>
        <v>8554.5939287872</v>
      </c>
      <c r="R159" s="1565" t="n">
        <f aca="false">$F159</f>
        <v>2.7879821053349</v>
      </c>
      <c r="S159" s="427" t="n">
        <f aca="false">$G159</f>
        <v>1.065</v>
      </c>
      <c r="T159" s="1575" t="n">
        <f aca="false">Q159*R159/S159</f>
        <v>22394.4176449439</v>
      </c>
      <c r="U159" s="1540" t="n">
        <f aca="false">$I159</f>
        <v>480</v>
      </c>
      <c r="V159" s="1575" t="n">
        <f aca="false">T159*U159/1000</f>
        <v>10749.3204695731</v>
      </c>
      <c r="W159" s="1565" t="n">
        <f aca="false">R159</f>
        <v>2.7879821053349</v>
      </c>
      <c r="X159" s="394" t="n">
        <f aca="false">V159/W159</f>
        <v>3855.59162987592</v>
      </c>
      <c r="Y159" s="1579" t="str">
        <f aca="false">IF(MONTH($A159)=12,SUM(X148:X159)," ")</f>
        <v> </v>
      </c>
      <c r="AA159" s="1595" t="n">
        <f aca="false">IF($A159&gt;Endyr,0,VLOOKUP($A159,Tariff_Table,Tariff!$I$33))</f>
        <v>2.32</v>
      </c>
      <c r="AB159" s="1565" t="n">
        <f aca="false">$AS159</f>
        <v>1.39171049889003</v>
      </c>
      <c r="AC159" s="1596" t="n">
        <f aca="false">AA159*AB159</f>
        <v>3.22876835742486</v>
      </c>
      <c r="AD159" s="1565" t="n">
        <f aca="false">$F159</f>
        <v>2.7879821053349</v>
      </c>
      <c r="AE159" s="427" t="n">
        <f aca="false">$G159</f>
        <v>1.065</v>
      </c>
      <c r="AF159" s="1596" t="n">
        <f aca="false">AC159*AD159/AE159</f>
        <v>8.45234591809585</v>
      </c>
      <c r="AG159" s="397" t="n">
        <f aca="false">VLOOKUP($A159,Plant_Table,'Plant Operations'!$M$270)</f>
        <v>289336.32</v>
      </c>
      <c r="AH159" s="1575" t="n">
        <f aca="false">AF159*AG159/1000</f>
        <v>2445.57066330888</v>
      </c>
      <c r="AI159" s="1565" t="n">
        <f aca="false">AD159</f>
        <v>2.7879821053349</v>
      </c>
      <c r="AJ159" s="1566" t="n">
        <f aca="false">AH159/AI159</f>
        <v>877.183056027939</v>
      </c>
      <c r="AK159" s="1567" t="str">
        <f aca="false">IF(MONTH($A159)=12,SUM(AJ148:AJ159)," ")</f>
        <v> </v>
      </c>
      <c r="AM159" s="488" t="n">
        <f aca="false">IF($A159&gt;Endyr,0,VLOOKUP($A159,Tariff_Table,Tariff!$L$33))</f>
        <v>1.21</v>
      </c>
      <c r="AN159" s="1576" t="n">
        <f aca="false">VLOOKUP($A159,Curves_Table,Escalation!$Z$291)</f>
        <v>1.4726424201483</v>
      </c>
      <c r="AO159" s="1314" t="n">
        <f aca="false">AM159*AN159</f>
        <v>1.78189732837944</v>
      </c>
      <c r="AP159" s="1314" t="n">
        <f aca="false">IF($A159&gt;Endyr,0,VLOOKUP($A159,Tariff_Table,Tariff!$M$33))</f>
        <v>0.25</v>
      </c>
      <c r="AQ159" s="1314" t="n">
        <f aca="false">SUM(AO159,AP159)</f>
        <v>2.03189732837944</v>
      </c>
      <c r="AR159" s="1314" t="n">
        <f aca="false">SUM(AM159,AP159)</f>
        <v>1.46</v>
      </c>
      <c r="AS159" s="1598" t="n">
        <f aca="false">IF(AR159=0,0,AQ159/AR159)</f>
        <v>1.39171049889003</v>
      </c>
    </row>
    <row r="160" customFormat="false" ht="12.75" hidden="false" customHeight="false" outlineLevel="0" collapsed="false">
      <c r="A160" s="1538" t="n">
        <f aca="false">EDATE(A159,1)</f>
        <v>41456</v>
      </c>
      <c r="C160" s="1595" t="n">
        <f aca="false">IF($A160&gt;Endyr,0,VLOOKUP($A160,Tariff_Table,Tariff!$G$33))</f>
        <v>7433.43</v>
      </c>
      <c r="D160" s="1565" t="n">
        <f aca="false">VLOOKUP($A160,Curves_Table,Escalation!$V$291)</f>
        <v>1.51901070889322</v>
      </c>
      <c r="E160" s="1596" t="n">
        <f aca="false">C160*D160</f>
        <v>11291.4597738082</v>
      </c>
      <c r="F160" s="1565" t="n">
        <f aca="false">IF(Assm!$L$74=0,VLOOKUP($A160,Curves_Table,Escalation!$D$291),VLOOKUP($A160,Curves_Table,Escalation!$E$291))</f>
        <v>2.7926158951707</v>
      </c>
      <c r="G160" s="427" t="n">
        <f aca="false">IF($A160&lt;EE_Date,VLOOKUP($A160,Curves_Table,Escalation!$D$291),Exch)</f>
        <v>1.065</v>
      </c>
      <c r="H160" s="1596" t="n">
        <f aca="false">E160*F160/G160</f>
        <v>29608.1784450866</v>
      </c>
      <c r="I160" s="1540" t="n">
        <f aca="false">VLOOKUP($A160,Plant_Table,'Plant Operations'!$C$270)</f>
        <v>480</v>
      </c>
      <c r="J160" s="1575" t="n">
        <f aca="false">H160*I160/1000</f>
        <v>14211.9256536416</v>
      </c>
      <c r="K160" s="1565" t="n">
        <f aca="false">F160</f>
        <v>2.7926158951707</v>
      </c>
      <c r="L160" s="394" t="n">
        <f aca="false">J160/K160</f>
        <v>5089.10863044874</v>
      </c>
      <c r="M160" s="1579" t="str">
        <f aca="false">IF(MONTH($A160)=12,SUM(L149:L160)," ")</f>
        <v> </v>
      </c>
      <c r="O160" s="1597" t="n">
        <f aca="false">IF($A160&gt;Endyr,0,VLOOKUP($A160,Tariff_Table,Tariff!$H$33))</f>
        <v>6146.82</v>
      </c>
      <c r="P160" s="1565" t="n">
        <f aca="false">$AS160</f>
        <v>1.39171049889003</v>
      </c>
      <c r="Q160" s="1575" t="n">
        <f aca="false">O160*P160</f>
        <v>8554.5939287872</v>
      </c>
      <c r="R160" s="1565" t="n">
        <f aca="false">$F160</f>
        <v>2.7926158951707</v>
      </c>
      <c r="S160" s="427" t="n">
        <f aca="false">$G160</f>
        <v>1.065</v>
      </c>
      <c r="T160" s="1575" t="n">
        <f aca="false">Q160*R160/S160</f>
        <v>22431.6384809971</v>
      </c>
      <c r="U160" s="1540" t="n">
        <f aca="false">$I160</f>
        <v>480</v>
      </c>
      <c r="V160" s="1575" t="n">
        <f aca="false">T160*U160/1000</f>
        <v>10767.1864708786</v>
      </c>
      <c r="W160" s="1565" t="n">
        <f aca="false">R160</f>
        <v>2.7926158951707</v>
      </c>
      <c r="X160" s="394" t="n">
        <f aca="false">V160/W160</f>
        <v>3855.59162987592</v>
      </c>
      <c r="Y160" s="1579" t="str">
        <f aca="false">IF(MONTH($A160)=12,SUM(X149:X160)," ")</f>
        <v> </v>
      </c>
      <c r="AA160" s="1595" t="n">
        <f aca="false">IF($A160&gt;Endyr,0,VLOOKUP($A160,Tariff_Table,Tariff!$I$33))</f>
        <v>2.32</v>
      </c>
      <c r="AB160" s="1565" t="n">
        <f aca="false">$AS160</f>
        <v>1.39171049889003</v>
      </c>
      <c r="AC160" s="1596" t="n">
        <f aca="false">AA160*AB160</f>
        <v>3.22876835742486</v>
      </c>
      <c r="AD160" s="1565" t="n">
        <f aca="false">$F160</f>
        <v>2.7926158951707</v>
      </c>
      <c r="AE160" s="427" t="n">
        <f aca="false">$G160</f>
        <v>1.065</v>
      </c>
      <c r="AF160" s="1596" t="n">
        <f aca="false">AC160*AD160/AE160</f>
        <v>8.46639421292851</v>
      </c>
      <c r="AG160" s="397" t="n">
        <f aca="false">VLOOKUP($A160,Plant_Table,'Plant Operations'!$M$270)</f>
        <v>298980.864</v>
      </c>
      <c r="AH160" s="1575" t="n">
        <f aca="false">AF160*AG160/1000</f>
        <v>2531.28985674597</v>
      </c>
      <c r="AI160" s="1565" t="n">
        <f aca="false">AD160</f>
        <v>2.7926158951707</v>
      </c>
      <c r="AJ160" s="1566" t="n">
        <f aca="false">AH160/AI160</f>
        <v>906.42249122887</v>
      </c>
      <c r="AK160" s="1567" t="str">
        <f aca="false">IF(MONTH($A160)=12,SUM(AJ149:AJ160)," ")</f>
        <v> </v>
      </c>
      <c r="AM160" s="488" t="n">
        <f aca="false">IF($A160&gt;Endyr,0,VLOOKUP($A160,Tariff_Table,Tariff!$L$33))</f>
        <v>1.21</v>
      </c>
      <c r="AN160" s="1576" t="n">
        <f aca="false">VLOOKUP($A160,Curves_Table,Escalation!$Z$291)</f>
        <v>1.4726424201483</v>
      </c>
      <c r="AO160" s="1314" t="n">
        <f aca="false">AM160*AN160</f>
        <v>1.78189732837944</v>
      </c>
      <c r="AP160" s="1314" t="n">
        <f aca="false">IF($A160&gt;Endyr,0,VLOOKUP($A160,Tariff_Table,Tariff!$M$33))</f>
        <v>0.25</v>
      </c>
      <c r="AQ160" s="1314" t="n">
        <f aca="false">SUM(AO160,AP160)</f>
        <v>2.03189732837944</v>
      </c>
      <c r="AR160" s="1314" t="n">
        <f aca="false">SUM(AM160,AP160)</f>
        <v>1.46</v>
      </c>
      <c r="AS160" s="1598" t="n">
        <f aca="false">IF(AR160=0,0,AQ160/AR160)</f>
        <v>1.39171049889003</v>
      </c>
    </row>
    <row r="161" customFormat="false" ht="12.75" hidden="false" customHeight="false" outlineLevel="0" collapsed="false">
      <c r="A161" s="1538" t="n">
        <f aca="false">EDATE(A160,1)</f>
        <v>41487</v>
      </c>
      <c r="C161" s="1595" t="n">
        <f aca="false">IF($A161&gt;Endyr,0,VLOOKUP($A161,Tariff_Table,Tariff!$G$33))</f>
        <v>7433.43</v>
      </c>
      <c r="D161" s="1565" t="n">
        <f aca="false">VLOOKUP($A161,Curves_Table,Escalation!$V$291)</f>
        <v>1.51901070889322</v>
      </c>
      <c r="E161" s="1596" t="n">
        <f aca="false">C161*D161</f>
        <v>11291.4597738082</v>
      </c>
      <c r="F161" s="1565" t="n">
        <f aca="false">IF(Assm!$L$74=0,VLOOKUP($A161,Curves_Table,Escalation!$D$291),VLOOKUP($A161,Curves_Table,Escalation!$E$291))</f>
        <v>2.79725738663708</v>
      </c>
      <c r="G161" s="427" t="n">
        <f aca="false">IF($A161&lt;EE_Date,VLOOKUP($A161,Curves_Table,Escalation!$D$291),Exch)</f>
        <v>1.065</v>
      </c>
      <c r="H161" s="1596" t="n">
        <f aca="false">E161*F161/G161</f>
        <v>29657.388974836</v>
      </c>
      <c r="I161" s="1540" t="n">
        <f aca="false">VLOOKUP($A161,Plant_Table,'Plant Operations'!$C$270)</f>
        <v>480</v>
      </c>
      <c r="J161" s="1575" t="n">
        <f aca="false">H161*I161/1000</f>
        <v>14235.5467079213</v>
      </c>
      <c r="K161" s="1565" t="n">
        <f aca="false">F161</f>
        <v>2.79725738663708</v>
      </c>
      <c r="L161" s="394" t="n">
        <f aca="false">J161/K161</f>
        <v>5089.10863044874</v>
      </c>
      <c r="M161" s="1579" t="str">
        <f aca="false">IF(MONTH($A161)=12,SUM(L150:L161)," ")</f>
        <v> </v>
      </c>
      <c r="O161" s="1597" t="n">
        <f aca="false">IF($A161&gt;Endyr,0,VLOOKUP($A161,Tariff_Table,Tariff!$H$33))</f>
        <v>6146.82</v>
      </c>
      <c r="P161" s="1565" t="n">
        <f aca="false">$AS161</f>
        <v>1.39171049889003</v>
      </c>
      <c r="Q161" s="1575" t="n">
        <f aca="false">O161*P161</f>
        <v>8554.5939287872</v>
      </c>
      <c r="R161" s="1565" t="n">
        <f aca="false">$F161</f>
        <v>2.79725738663708</v>
      </c>
      <c r="S161" s="427" t="n">
        <f aca="false">$G161</f>
        <v>1.065</v>
      </c>
      <c r="T161" s="1575" t="n">
        <f aca="false">Q161*R161/S161</f>
        <v>22468.9211802636</v>
      </c>
      <c r="U161" s="1540" t="n">
        <f aca="false">$I161</f>
        <v>480</v>
      </c>
      <c r="V161" s="1575" t="n">
        <f aca="false">T161*U161/1000</f>
        <v>10785.0821665265</v>
      </c>
      <c r="W161" s="1565" t="n">
        <f aca="false">R161</f>
        <v>2.79725738663708</v>
      </c>
      <c r="X161" s="394" t="n">
        <f aca="false">V161/W161</f>
        <v>3855.59162987592</v>
      </c>
      <c r="Y161" s="1579" t="str">
        <f aca="false">IF(MONTH($A161)=12,SUM(X150:X161)," ")</f>
        <v> </v>
      </c>
      <c r="AA161" s="1595" t="n">
        <f aca="false">IF($A161&gt;Endyr,0,VLOOKUP($A161,Tariff_Table,Tariff!$I$33))</f>
        <v>2.32</v>
      </c>
      <c r="AB161" s="1565" t="n">
        <f aca="false">$AS161</f>
        <v>1.39171049889003</v>
      </c>
      <c r="AC161" s="1596" t="n">
        <f aca="false">AA161*AB161</f>
        <v>3.22876835742486</v>
      </c>
      <c r="AD161" s="1565" t="n">
        <f aca="false">$F161</f>
        <v>2.79725738663708</v>
      </c>
      <c r="AE161" s="427" t="n">
        <f aca="false">$G161</f>
        <v>1.065</v>
      </c>
      <c r="AF161" s="1596" t="n">
        <f aca="false">AC161*AD161/AE161</f>
        <v>8.48046585685143</v>
      </c>
      <c r="AG161" s="397" t="n">
        <f aca="false">VLOOKUP($A161,Plant_Table,'Plant Operations'!$M$270)</f>
        <v>298980.864</v>
      </c>
      <c r="AH161" s="1575" t="n">
        <f aca="false">AF161*AG161/1000</f>
        <v>2535.49700900394</v>
      </c>
      <c r="AI161" s="1565" t="n">
        <f aca="false">AD161</f>
        <v>2.79725738663708</v>
      </c>
      <c r="AJ161" s="1566" t="n">
        <f aca="false">AH161/AI161</f>
        <v>906.42249122887</v>
      </c>
      <c r="AK161" s="1567" t="str">
        <f aca="false">IF(MONTH($A161)=12,SUM(AJ150:AJ161)," ")</f>
        <v> </v>
      </c>
      <c r="AM161" s="488" t="n">
        <f aca="false">IF($A161&gt;Endyr,0,VLOOKUP($A161,Tariff_Table,Tariff!$L$33))</f>
        <v>1.21</v>
      </c>
      <c r="AN161" s="1576" t="n">
        <f aca="false">VLOOKUP($A161,Curves_Table,Escalation!$Z$291)</f>
        <v>1.4726424201483</v>
      </c>
      <c r="AO161" s="1314" t="n">
        <f aca="false">AM161*AN161</f>
        <v>1.78189732837944</v>
      </c>
      <c r="AP161" s="1314" t="n">
        <f aca="false">IF($A161&gt;Endyr,0,VLOOKUP($A161,Tariff_Table,Tariff!$M$33))</f>
        <v>0.25</v>
      </c>
      <c r="AQ161" s="1314" t="n">
        <f aca="false">SUM(AO161,AP161)</f>
        <v>2.03189732837944</v>
      </c>
      <c r="AR161" s="1314" t="n">
        <f aca="false">SUM(AM161,AP161)</f>
        <v>1.46</v>
      </c>
      <c r="AS161" s="1598" t="n">
        <f aca="false">IF(AR161=0,0,AQ161/AR161)</f>
        <v>1.39171049889003</v>
      </c>
    </row>
    <row r="162" customFormat="false" ht="12.75" hidden="false" customHeight="false" outlineLevel="0" collapsed="false">
      <c r="A162" s="1538" t="n">
        <f aca="false">EDATE(A161,1)</f>
        <v>41518</v>
      </c>
      <c r="C162" s="1595" t="n">
        <f aca="false">IF($A162&gt;Endyr,0,VLOOKUP($A162,Tariff_Table,Tariff!$G$33))</f>
        <v>7433.43</v>
      </c>
      <c r="D162" s="1565" t="n">
        <f aca="false">VLOOKUP($A162,Curves_Table,Escalation!$V$291)</f>
        <v>1.51901070889322</v>
      </c>
      <c r="E162" s="1596" t="n">
        <f aca="false">C162*D162</f>
        <v>11291.4597738082</v>
      </c>
      <c r="F162" s="1565" t="n">
        <f aca="false">IF(Assm!$L$74=0,VLOOKUP($A162,Curves_Table,Escalation!$D$291),VLOOKUP($A162,Curves_Table,Escalation!$E$291))</f>
        <v>2.8019065925346</v>
      </c>
      <c r="G162" s="427" t="n">
        <f aca="false">IF($A162&lt;EE_Date,VLOOKUP($A162,Curves_Table,Escalation!$D$291),Exch)</f>
        <v>1.065</v>
      </c>
      <c r="H162" s="1596" t="n">
        <f aca="false">E162*F162/G162</f>
        <v>29706.6812953731</v>
      </c>
      <c r="I162" s="1540" t="n">
        <f aca="false">VLOOKUP($A162,Plant_Table,'Plant Operations'!$C$270)</f>
        <v>480</v>
      </c>
      <c r="J162" s="1575" t="n">
        <f aca="false">H162*I162/1000</f>
        <v>14259.2070217791</v>
      </c>
      <c r="K162" s="1565" t="n">
        <f aca="false">F162</f>
        <v>2.8019065925346</v>
      </c>
      <c r="L162" s="394" t="n">
        <f aca="false">J162/K162</f>
        <v>5089.10863044874</v>
      </c>
      <c r="M162" s="1579" t="str">
        <f aca="false">IF(MONTH($A162)=12,SUM(L151:L162)," ")</f>
        <v> </v>
      </c>
      <c r="O162" s="1597" t="n">
        <f aca="false">IF($A162&gt;Endyr,0,VLOOKUP($A162,Tariff_Table,Tariff!$H$33))</f>
        <v>6146.82</v>
      </c>
      <c r="P162" s="1565" t="n">
        <f aca="false">$AS162</f>
        <v>1.39171049889003</v>
      </c>
      <c r="Q162" s="1575" t="n">
        <f aca="false">O162*P162</f>
        <v>8554.5939287872</v>
      </c>
      <c r="R162" s="1565" t="n">
        <f aca="false">$F162</f>
        <v>2.8019065925346</v>
      </c>
      <c r="S162" s="427" t="n">
        <f aca="false">$G162</f>
        <v>1.065</v>
      </c>
      <c r="T162" s="1575" t="n">
        <f aca="false">Q162*R162/S162</f>
        <v>22506.2658455637</v>
      </c>
      <c r="U162" s="1540" t="n">
        <f aca="false">$I162</f>
        <v>480</v>
      </c>
      <c r="V162" s="1575" t="n">
        <f aca="false">T162*U162/1000</f>
        <v>10803.0076058706</v>
      </c>
      <c r="W162" s="1565" t="n">
        <f aca="false">R162</f>
        <v>2.8019065925346</v>
      </c>
      <c r="X162" s="394" t="n">
        <f aca="false">V162/W162</f>
        <v>3855.59162987592</v>
      </c>
      <c r="Y162" s="1579" t="str">
        <f aca="false">IF(MONTH($A162)=12,SUM(X151:X162)," ")</f>
        <v> </v>
      </c>
      <c r="AA162" s="1595" t="n">
        <f aca="false">IF($A162&gt;Endyr,0,VLOOKUP($A162,Tariff_Table,Tariff!$I$33))</f>
        <v>2.32</v>
      </c>
      <c r="AB162" s="1565" t="n">
        <f aca="false">$AS162</f>
        <v>1.39171049889003</v>
      </c>
      <c r="AC162" s="1596" t="n">
        <f aca="false">AA162*AB162</f>
        <v>3.22876835742486</v>
      </c>
      <c r="AD162" s="1565" t="n">
        <f aca="false">$F162</f>
        <v>2.8019065925346</v>
      </c>
      <c r="AE162" s="427" t="n">
        <f aca="false">$G162</f>
        <v>1.065</v>
      </c>
      <c r="AF162" s="1596" t="n">
        <f aca="false">AC162*AD162/AE162</f>
        <v>8.49456088867216</v>
      </c>
      <c r="AG162" s="397" t="n">
        <f aca="false">VLOOKUP($A162,Plant_Table,'Plant Operations'!$M$270)</f>
        <v>289336.32</v>
      </c>
      <c r="AH162" s="1575" t="n">
        <f aca="false">AF162*AG162/1000</f>
        <v>2457.78498754433</v>
      </c>
      <c r="AI162" s="1565" t="n">
        <f aca="false">AD162</f>
        <v>2.8019065925346</v>
      </c>
      <c r="AJ162" s="1566" t="n">
        <f aca="false">AH162/AI162</f>
        <v>877.183056027938</v>
      </c>
      <c r="AK162" s="1567" t="str">
        <f aca="false">IF(MONTH($A162)=12,SUM(AJ151:AJ162)," ")</f>
        <v> </v>
      </c>
      <c r="AM162" s="488" t="n">
        <f aca="false">IF($A162&gt;Endyr,0,VLOOKUP($A162,Tariff_Table,Tariff!$L$33))</f>
        <v>1.21</v>
      </c>
      <c r="AN162" s="1576" t="n">
        <f aca="false">VLOOKUP($A162,Curves_Table,Escalation!$Z$291)</f>
        <v>1.4726424201483</v>
      </c>
      <c r="AO162" s="1314" t="n">
        <f aca="false">AM162*AN162</f>
        <v>1.78189732837944</v>
      </c>
      <c r="AP162" s="1314" t="n">
        <f aca="false">IF($A162&gt;Endyr,0,VLOOKUP($A162,Tariff_Table,Tariff!$M$33))</f>
        <v>0.25</v>
      </c>
      <c r="AQ162" s="1314" t="n">
        <f aca="false">SUM(AO162,AP162)</f>
        <v>2.03189732837944</v>
      </c>
      <c r="AR162" s="1314" t="n">
        <f aca="false">SUM(AM162,AP162)</f>
        <v>1.46</v>
      </c>
      <c r="AS162" s="1598" t="n">
        <f aca="false">IF(AR162=0,0,AQ162/AR162)</f>
        <v>1.39171049889003</v>
      </c>
    </row>
    <row r="163" customFormat="false" ht="12.75" hidden="false" customHeight="false" outlineLevel="0" collapsed="false">
      <c r="A163" s="1538" t="n">
        <f aca="false">EDATE(A162,1)</f>
        <v>41548</v>
      </c>
      <c r="C163" s="1595" t="n">
        <f aca="false">IF($A163&gt;Endyr,0,VLOOKUP($A163,Tariff_Table,Tariff!$G$33))</f>
        <v>7433.43</v>
      </c>
      <c r="D163" s="1565" t="n">
        <f aca="false">VLOOKUP($A163,Curves_Table,Escalation!$V$291)</f>
        <v>1.51901070889322</v>
      </c>
      <c r="E163" s="1596" t="n">
        <f aca="false">C163*D163</f>
        <v>11291.4597738082</v>
      </c>
      <c r="F163" s="1565" t="n">
        <f aca="false">IF(Assm!$L$74=0,VLOOKUP($A163,Curves_Table,Escalation!$D$291),VLOOKUP($A163,Curves_Table,Escalation!$E$291))</f>
        <v>2.80656352568511</v>
      </c>
      <c r="G163" s="427" t="n">
        <f aca="false">IF($A163&lt;EE_Date,VLOOKUP($A163,Curves_Table,Escalation!$D$291),Exch)</f>
        <v>1.065</v>
      </c>
      <c r="H163" s="1596" t="n">
        <f aca="false">E163*F163/G163</f>
        <v>29756.055542639</v>
      </c>
      <c r="I163" s="1540" t="n">
        <f aca="false">VLOOKUP($A163,Plant_Table,'Plant Operations'!$C$270)</f>
        <v>480</v>
      </c>
      <c r="J163" s="1575" t="n">
        <f aca="false">H163*I163/1000</f>
        <v>14282.9066604667</v>
      </c>
      <c r="K163" s="1565" t="n">
        <f aca="false">F163</f>
        <v>2.80656352568511</v>
      </c>
      <c r="L163" s="394" t="n">
        <f aca="false">J163/K163</f>
        <v>5089.10863044874</v>
      </c>
      <c r="M163" s="1579" t="str">
        <f aca="false">IF(MONTH($A163)=12,SUM(L152:L163)," ")</f>
        <v> </v>
      </c>
      <c r="O163" s="1597" t="n">
        <f aca="false">IF($A163&gt;Endyr,0,VLOOKUP($A163,Tariff_Table,Tariff!$H$33))</f>
        <v>6146.82</v>
      </c>
      <c r="P163" s="1565" t="n">
        <f aca="false">$AS163</f>
        <v>1.39171049889003</v>
      </c>
      <c r="Q163" s="1575" t="n">
        <f aca="false">O163*P163</f>
        <v>8554.5939287872</v>
      </c>
      <c r="R163" s="1565" t="n">
        <f aca="false">$F163</f>
        <v>2.80656352568511</v>
      </c>
      <c r="S163" s="427" t="n">
        <f aca="false">$G163</f>
        <v>1.065</v>
      </c>
      <c r="T163" s="1575" t="n">
        <f aca="false">Q163*R163/S163</f>
        <v>22543.6725798887</v>
      </c>
      <c r="U163" s="1540" t="n">
        <f aca="false">$I163</f>
        <v>480</v>
      </c>
      <c r="V163" s="1575" t="n">
        <f aca="false">T163*U163/1000</f>
        <v>10820.9628383466</v>
      </c>
      <c r="W163" s="1565" t="n">
        <f aca="false">R163</f>
        <v>2.80656352568511</v>
      </c>
      <c r="X163" s="394" t="n">
        <f aca="false">V163/W163</f>
        <v>3855.59162987592</v>
      </c>
      <c r="Y163" s="1579" t="str">
        <f aca="false">IF(MONTH($A163)=12,SUM(X152:X163)," ")</f>
        <v> </v>
      </c>
      <c r="AA163" s="1595" t="n">
        <f aca="false">IF($A163&gt;Endyr,0,VLOOKUP($A163,Tariff_Table,Tariff!$I$33))</f>
        <v>2.32</v>
      </c>
      <c r="AB163" s="1565" t="n">
        <f aca="false">$AS163</f>
        <v>1.39171049889003</v>
      </c>
      <c r="AC163" s="1596" t="n">
        <f aca="false">AA163*AB163</f>
        <v>3.22876835742486</v>
      </c>
      <c r="AD163" s="1565" t="n">
        <f aca="false">$F163</f>
        <v>2.80656352568511</v>
      </c>
      <c r="AE163" s="427" t="n">
        <f aca="false">$G163</f>
        <v>1.065</v>
      </c>
      <c r="AF163" s="1596" t="n">
        <f aca="false">AC163*AD163/AE163</f>
        <v>8.50867934726276</v>
      </c>
      <c r="AG163" s="397" t="n">
        <f aca="false">VLOOKUP($A163,Plant_Table,'Plant Operations'!$M$270)</f>
        <v>298980.864</v>
      </c>
      <c r="AH163" s="1575" t="n">
        <f aca="false">AF163*AG163/1000</f>
        <v>2543.93230274358</v>
      </c>
      <c r="AI163" s="1565" t="n">
        <f aca="false">AD163</f>
        <v>2.80656352568511</v>
      </c>
      <c r="AJ163" s="1566" t="n">
        <f aca="false">AH163/AI163</f>
        <v>906.42249122887</v>
      </c>
      <c r="AK163" s="1567" t="str">
        <f aca="false">IF(MONTH($A163)=12,SUM(AJ152:AJ163)," ")</f>
        <v> </v>
      </c>
      <c r="AM163" s="488" t="n">
        <f aca="false">IF($A163&gt;Endyr,0,VLOOKUP($A163,Tariff_Table,Tariff!$L$33))</f>
        <v>1.21</v>
      </c>
      <c r="AN163" s="1576" t="n">
        <f aca="false">VLOOKUP($A163,Curves_Table,Escalation!$Z$291)</f>
        <v>1.4726424201483</v>
      </c>
      <c r="AO163" s="1314" t="n">
        <f aca="false">AM163*AN163</f>
        <v>1.78189732837944</v>
      </c>
      <c r="AP163" s="1314" t="n">
        <f aca="false">IF($A163&gt;Endyr,0,VLOOKUP($A163,Tariff_Table,Tariff!$M$33))</f>
        <v>0.25</v>
      </c>
      <c r="AQ163" s="1314" t="n">
        <f aca="false">SUM(AO163,AP163)</f>
        <v>2.03189732837944</v>
      </c>
      <c r="AR163" s="1314" t="n">
        <f aca="false">SUM(AM163,AP163)</f>
        <v>1.46</v>
      </c>
      <c r="AS163" s="1598" t="n">
        <f aca="false">IF(AR163=0,0,AQ163/AR163)</f>
        <v>1.39171049889003</v>
      </c>
    </row>
    <row r="164" customFormat="false" ht="12.75" hidden="false" customHeight="false" outlineLevel="0" collapsed="false">
      <c r="A164" s="1538" t="n">
        <f aca="false">EDATE(A163,1)</f>
        <v>41579</v>
      </c>
      <c r="C164" s="1595" t="n">
        <f aca="false">IF($A164&gt;Endyr,0,VLOOKUP($A164,Tariff_Table,Tariff!$G$33))</f>
        <v>7433.43</v>
      </c>
      <c r="D164" s="1565" t="n">
        <f aca="false">VLOOKUP($A164,Curves_Table,Escalation!$V$291)</f>
        <v>1.51901070889322</v>
      </c>
      <c r="E164" s="1596" t="n">
        <f aca="false">C164*D164</f>
        <v>11291.4597738082</v>
      </c>
      <c r="F164" s="1565" t="n">
        <f aca="false">IF(Assm!$L$74=0,VLOOKUP($A164,Curves_Table,Escalation!$D$291),VLOOKUP($A164,Curves_Table,Escalation!$E$291))</f>
        <v>2.81122819893174</v>
      </c>
      <c r="G164" s="427" t="n">
        <f aca="false">IF($A164&lt;EE_Date,VLOOKUP($A164,Curves_Table,Escalation!$D$291),Exch)</f>
        <v>1.065</v>
      </c>
      <c r="H164" s="1596" t="n">
        <f aca="false">E164*F164/G164</f>
        <v>29805.5118528008</v>
      </c>
      <c r="I164" s="1540" t="n">
        <f aca="false">VLOOKUP($A164,Plant_Table,'Plant Operations'!$C$270)</f>
        <v>480</v>
      </c>
      <c r="J164" s="1575" t="n">
        <f aca="false">H164*I164/1000</f>
        <v>14306.6456893444</v>
      </c>
      <c r="K164" s="1565" t="n">
        <f aca="false">F164</f>
        <v>2.81122819893174</v>
      </c>
      <c r="L164" s="394" t="n">
        <f aca="false">J164/K164</f>
        <v>5089.10863044874</v>
      </c>
      <c r="M164" s="1579" t="str">
        <f aca="false">IF(MONTH($A164)=12,SUM(L153:L164)," ")</f>
        <v> </v>
      </c>
      <c r="O164" s="1597" t="n">
        <f aca="false">IF($A164&gt;Endyr,0,VLOOKUP($A164,Tariff_Table,Tariff!$H$33))</f>
        <v>6146.82</v>
      </c>
      <c r="P164" s="1565" t="n">
        <f aca="false">$AS164</f>
        <v>1.39171049889003</v>
      </c>
      <c r="Q164" s="1575" t="n">
        <f aca="false">O164*P164</f>
        <v>8554.5939287872</v>
      </c>
      <c r="R164" s="1565" t="n">
        <f aca="false">$F164</f>
        <v>2.81122819893174</v>
      </c>
      <c r="S164" s="427" t="n">
        <f aca="false">$G164</f>
        <v>1.065</v>
      </c>
      <c r="T164" s="1575" t="n">
        <f aca="false">Q164*R164/S164</f>
        <v>22581.1414864008</v>
      </c>
      <c r="U164" s="1540" t="n">
        <f aca="false">$I164</f>
        <v>480</v>
      </c>
      <c r="V164" s="1575" t="n">
        <f aca="false">T164*U164/1000</f>
        <v>10838.9479134724</v>
      </c>
      <c r="W164" s="1565" t="n">
        <f aca="false">R164</f>
        <v>2.81122819893174</v>
      </c>
      <c r="X164" s="394" t="n">
        <f aca="false">V164/W164</f>
        <v>3855.59162987592</v>
      </c>
      <c r="Y164" s="1579" t="str">
        <f aca="false">IF(MONTH($A164)=12,SUM(X153:X164)," ")</f>
        <v> </v>
      </c>
      <c r="AA164" s="1595" t="n">
        <f aca="false">IF($A164&gt;Endyr,0,VLOOKUP($A164,Tariff_Table,Tariff!$I$33))</f>
        <v>2.32</v>
      </c>
      <c r="AB164" s="1565" t="n">
        <f aca="false">$AS164</f>
        <v>1.39171049889003</v>
      </c>
      <c r="AC164" s="1596" t="n">
        <f aca="false">AA164*AB164</f>
        <v>3.22876835742486</v>
      </c>
      <c r="AD164" s="1565" t="n">
        <f aca="false">$F164</f>
        <v>2.81122819893174</v>
      </c>
      <c r="AE164" s="427" t="n">
        <f aca="false">$G164</f>
        <v>1.065</v>
      </c>
      <c r="AF164" s="1596" t="n">
        <f aca="false">AC164*AD164/AE164</f>
        <v>8.5228212715599</v>
      </c>
      <c r="AG164" s="397" t="n">
        <f aca="false">VLOOKUP($A164,Plant_Table,'Plant Operations'!$M$270)</f>
        <v>289336.32</v>
      </c>
      <c r="AH164" s="1575" t="n">
        <f aca="false">AF164*AG164/1000</f>
        <v>2465.96174273086</v>
      </c>
      <c r="AI164" s="1565" t="n">
        <f aca="false">AD164</f>
        <v>2.81122819893174</v>
      </c>
      <c r="AJ164" s="1566" t="n">
        <f aca="false">AH164/AI164</f>
        <v>877.183056027939</v>
      </c>
      <c r="AK164" s="1567" t="str">
        <f aca="false">IF(MONTH($A164)=12,SUM(AJ153:AJ164)," ")</f>
        <v> </v>
      </c>
      <c r="AM164" s="488" t="n">
        <f aca="false">IF($A164&gt;Endyr,0,VLOOKUP($A164,Tariff_Table,Tariff!$L$33))</f>
        <v>1.21</v>
      </c>
      <c r="AN164" s="1576" t="n">
        <f aca="false">VLOOKUP($A164,Curves_Table,Escalation!$Z$291)</f>
        <v>1.4726424201483</v>
      </c>
      <c r="AO164" s="1314" t="n">
        <f aca="false">AM164*AN164</f>
        <v>1.78189732837944</v>
      </c>
      <c r="AP164" s="1314" t="n">
        <f aca="false">IF($A164&gt;Endyr,0,VLOOKUP($A164,Tariff_Table,Tariff!$M$33))</f>
        <v>0.25</v>
      </c>
      <c r="AQ164" s="1314" t="n">
        <f aca="false">SUM(AO164,AP164)</f>
        <v>2.03189732837944</v>
      </c>
      <c r="AR164" s="1314" t="n">
        <f aca="false">SUM(AM164,AP164)</f>
        <v>1.46</v>
      </c>
      <c r="AS164" s="1598" t="n">
        <f aca="false">IF(AR164=0,0,AQ164/AR164)</f>
        <v>1.39171049889003</v>
      </c>
    </row>
    <row r="165" customFormat="false" ht="12.75" hidden="false" customHeight="false" outlineLevel="0" collapsed="false">
      <c r="A165" s="1538" t="n">
        <f aca="false">EDATE(A164,1)</f>
        <v>41609</v>
      </c>
      <c r="C165" s="1595" t="n">
        <f aca="false">IF($A165&gt;Endyr,0,VLOOKUP($A165,Tariff_Table,Tariff!$G$33))</f>
        <v>7433.43</v>
      </c>
      <c r="D165" s="1565" t="n">
        <f aca="false">VLOOKUP($A165,Curves_Table,Escalation!$V$291)</f>
        <v>1.51901070889322</v>
      </c>
      <c r="E165" s="1596" t="n">
        <f aca="false">C165*D165</f>
        <v>11291.4597738082</v>
      </c>
      <c r="F165" s="1565" t="n">
        <f aca="false">IF(Assm!$L$74=0,VLOOKUP($A165,Curves_Table,Escalation!$D$291),VLOOKUP($A165,Curves_Table,Escalation!$E$291))</f>
        <v>2.81590062513899</v>
      </c>
      <c r="G165" s="427" t="n">
        <f aca="false">IF($A165&lt;EE_Date,VLOOKUP($A165,Curves_Table,Escalation!$D$291),Exch)</f>
        <v>1.065</v>
      </c>
      <c r="H165" s="1596" t="n">
        <f aca="false">E165*F165/G165</f>
        <v>29855.0503622518</v>
      </c>
      <c r="I165" s="1540" t="n">
        <f aca="false">VLOOKUP($A165,Plant_Table,'Plant Operations'!$C$270)</f>
        <v>480</v>
      </c>
      <c r="J165" s="1575" t="n">
        <f aca="false">H165*I165/1000</f>
        <v>14330.4241738809</v>
      </c>
      <c r="K165" s="1565" t="n">
        <f aca="false">F165</f>
        <v>2.81590062513899</v>
      </c>
      <c r="L165" s="394" t="n">
        <f aca="false">J165/K165</f>
        <v>5089.10863044874</v>
      </c>
      <c r="M165" s="1579" t="n">
        <f aca="false">IF(MONTH($A165)=12,SUM(L154:L165)," ")</f>
        <v>60560.068313789</v>
      </c>
      <c r="O165" s="1597" t="n">
        <f aca="false">IF($A165&gt;Endyr,0,VLOOKUP($A165,Tariff_Table,Tariff!$H$33))</f>
        <v>6146.82</v>
      </c>
      <c r="P165" s="1565" t="n">
        <f aca="false">$AS165</f>
        <v>1.39171049889003</v>
      </c>
      <c r="Q165" s="1575" t="n">
        <f aca="false">O165*P165</f>
        <v>8554.5939287872</v>
      </c>
      <c r="R165" s="1565" t="n">
        <f aca="false">$F165</f>
        <v>2.81590062513899</v>
      </c>
      <c r="S165" s="427" t="n">
        <f aca="false">$G165</f>
        <v>1.065</v>
      </c>
      <c r="T165" s="1575" t="n">
        <f aca="false">Q165*R165/S165</f>
        <v>22618.6726684339</v>
      </c>
      <c r="U165" s="1540" t="n">
        <f aca="false">$I165</f>
        <v>480</v>
      </c>
      <c r="V165" s="1575" t="n">
        <f aca="false">T165*U165/1000</f>
        <v>10856.9628808483</v>
      </c>
      <c r="W165" s="1565" t="n">
        <f aca="false">R165</f>
        <v>2.81590062513899</v>
      </c>
      <c r="X165" s="394" t="n">
        <f aca="false">V165/W165</f>
        <v>3855.59162987592</v>
      </c>
      <c r="Y165" s="1579" t="n">
        <f aca="false">IF(MONTH($A165)=12,SUM(X154:X165)," ")</f>
        <v>45935.9115331568</v>
      </c>
      <c r="AA165" s="1595" t="n">
        <f aca="false">IF($A165&gt;Endyr,0,VLOOKUP($A165,Tariff_Table,Tariff!$I$33))</f>
        <v>2.32</v>
      </c>
      <c r="AB165" s="1565" t="n">
        <f aca="false">$AS165</f>
        <v>1.39171049889003</v>
      </c>
      <c r="AC165" s="1596" t="n">
        <f aca="false">AA165*AB165</f>
        <v>3.22876835742486</v>
      </c>
      <c r="AD165" s="1565" t="n">
        <f aca="false">$F165</f>
        <v>2.81590062513899</v>
      </c>
      <c r="AE165" s="427" t="n">
        <f aca="false">$G165</f>
        <v>1.065</v>
      </c>
      <c r="AF165" s="1596" t="n">
        <f aca="false">AC165*AD165/AE165</f>
        <v>8.53698670056494</v>
      </c>
      <c r="AG165" s="397" t="n">
        <f aca="false">VLOOKUP($A165,Plant_Table,'Plant Operations'!$M$270)</f>
        <v>298980.864</v>
      </c>
      <c r="AH165" s="1575" t="n">
        <f aca="false">AF165*AG165/1000</f>
        <v>2552.39565969142</v>
      </c>
      <c r="AI165" s="1565" t="n">
        <f aca="false">AD165</f>
        <v>2.81590062513899</v>
      </c>
      <c r="AJ165" s="1566" t="n">
        <f aca="false">AH165/AI165</f>
        <v>906.42249122887</v>
      </c>
      <c r="AK165" s="1567" t="n">
        <f aca="false">IF(MONTH($A165)=12,SUM(AJ154:AJ165)," ")</f>
        <v>10589.5420208929</v>
      </c>
      <c r="AM165" s="488" t="n">
        <f aca="false">IF($A165&gt;Endyr,0,VLOOKUP($A165,Tariff_Table,Tariff!$L$33))</f>
        <v>1.21</v>
      </c>
      <c r="AN165" s="1576" t="n">
        <f aca="false">VLOOKUP($A165,Curves_Table,Escalation!$Z$291)</f>
        <v>1.4726424201483</v>
      </c>
      <c r="AO165" s="1314" t="n">
        <f aca="false">AM165*AN165</f>
        <v>1.78189732837944</v>
      </c>
      <c r="AP165" s="1314" t="n">
        <f aca="false">IF($A165&gt;Endyr,0,VLOOKUP($A165,Tariff_Table,Tariff!$M$33))</f>
        <v>0.25</v>
      </c>
      <c r="AQ165" s="1314" t="n">
        <f aca="false">SUM(AO165,AP165)</f>
        <v>2.03189732837944</v>
      </c>
      <c r="AR165" s="1314" t="n">
        <f aca="false">SUM(AM165,AP165)</f>
        <v>1.46</v>
      </c>
      <c r="AS165" s="1598" t="n">
        <f aca="false">IF(AR165=0,0,AQ165/AR165)</f>
        <v>1.39171049889003</v>
      </c>
    </row>
    <row r="166" customFormat="false" ht="12.75" hidden="false" customHeight="false" outlineLevel="0" collapsed="false">
      <c r="A166" s="1538" t="n">
        <f aca="false">EDATE(A165,1)</f>
        <v>41640</v>
      </c>
      <c r="C166" s="1595" t="n">
        <f aca="false">IF($A166&gt;Endyr,0,VLOOKUP($A166,Tariff_Table,Tariff!$G$33))</f>
        <v>7433.43</v>
      </c>
      <c r="D166" s="1565" t="n">
        <f aca="false">VLOOKUP($A166,Curves_Table,Escalation!$V$291)</f>
        <v>1.51901070889322</v>
      </c>
      <c r="E166" s="1596" t="n">
        <f aca="false">C166*D166</f>
        <v>11291.4597738082</v>
      </c>
      <c r="F166" s="1565" t="n">
        <f aca="false">IF(Assm!$L$74=0,VLOOKUP($A166,Curves_Table,Escalation!$D$291),VLOOKUP($A166,Curves_Table,Escalation!$E$291))</f>
        <v>2.82055022749078</v>
      </c>
      <c r="G166" s="427" t="n">
        <f aca="false">IF($A166&lt;EE_Date,VLOOKUP($A166,Curves_Table,Escalation!$D$291),Exch)</f>
        <v>1.065</v>
      </c>
      <c r="H166" s="1596" t="n">
        <f aca="false">E166*F166/G166</f>
        <v>29904.3468861198</v>
      </c>
      <c r="I166" s="1540" t="n">
        <f aca="false">VLOOKUP($A166,Plant_Table,'Plant Operations'!$C$270)</f>
        <v>480</v>
      </c>
      <c r="J166" s="1575" t="n">
        <f aca="false">H166*I166/1000</f>
        <v>14354.0865053375</v>
      </c>
      <c r="K166" s="1565" t="n">
        <f aca="false">F166</f>
        <v>2.82055022749078</v>
      </c>
      <c r="L166" s="394" t="n">
        <f aca="false">J166/K166</f>
        <v>5089.10863044874</v>
      </c>
      <c r="M166" s="1579" t="str">
        <f aca="false">IF(MONTH($A166)=12,SUM(L155:L166)," ")</f>
        <v> </v>
      </c>
      <c r="O166" s="1597" t="n">
        <f aca="false">IF($A166&gt;Endyr,0,VLOOKUP($A166,Tariff_Table,Tariff!$H$33))</f>
        <v>6146.82</v>
      </c>
      <c r="P166" s="1565" t="n">
        <f aca="false">$AS166</f>
        <v>1.39171049889003</v>
      </c>
      <c r="Q166" s="1575" t="n">
        <f aca="false">O166*P166</f>
        <v>8554.5939287872</v>
      </c>
      <c r="R166" s="1565" t="n">
        <f aca="false">$F166</f>
        <v>2.82055022749078</v>
      </c>
      <c r="S166" s="427" t="n">
        <f aca="false">$G166</f>
        <v>1.065</v>
      </c>
      <c r="T166" s="1575" t="n">
        <f aca="false">Q166*R166/S166</f>
        <v>22656.020518246</v>
      </c>
      <c r="U166" s="1540" t="n">
        <f aca="false">$I166</f>
        <v>480</v>
      </c>
      <c r="V166" s="1575" t="n">
        <f aca="false">T166*U166/1000</f>
        <v>10874.8898487581</v>
      </c>
      <c r="W166" s="1565" t="n">
        <f aca="false">R166</f>
        <v>2.82055022749078</v>
      </c>
      <c r="X166" s="394" t="n">
        <f aca="false">V166/W166</f>
        <v>3855.59162987592</v>
      </c>
      <c r="Y166" s="1579" t="str">
        <f aca="false">IF(MONTH($A166)=12,SUM(X155:X166)," ")</f>
        <v> </v>
      </c>
      <c r="AA166" s="1595" t="n">
        <f aca="false">IF($A166&gt;Endyr,0,VLOOKUP($A166,Tariff_Table,Tariff!$I$33))</f>
        <v>2.32</v>
      </c>
      <c r="AB166" s="1565" t="n">
        <f aca="false">$AS166</f>
        <v>1.39171049889003</v>
      </c>
      <c r="AC166" s="1596" t="n">
        <f aca="false">AA166*AB166</f>
        <v>3.22876835742486</v>
      </c>
      <c r="AD166" s="1565" t="n">
        <f aca="false">$F166</f>
        <v>2.82055022749078</v>
      </c>
      <c r="AE166" s="427" t="n">
        <f aca="false">$G166</f>
        <v>1.065</v>
      </c>
      <c r="AF166" s="1596" t="n">
        <f aca="false">AC166*AD166/AE166</f>
        <v>8.551082934319</v>
      </c>
      <c r="AG166" s="397" t="n">
        <f aca="false">VLOOKUP($A166,Plant_Table,'Plant Operations'!$M$270)</f>
        <v>298980.864</v>
      </c>
      <c r="AH166" s="1575" t="n">
        <f aca="false">AF166*AG166/1000</f>
        <v>2556.61016383835</v>
      </c>
      <c r="AI166" s="1565" t="n">
        <f aca="false">AD166</f>
        <v>2.82055022749078</v>
      </c>
      <c r="AJ166" s="1566" t="n">
        <f aca="false">AH166/AI166</f>
        <v>906.42249122887</v>
      </c>
      <c r="AK166" s="1567" t="str">
        <f aca="false">IF(MONTH($A166)=12,SUM(AJ155:AJ166)," ")</f>
        <v> </v>
      </c>
      <c r="AM166" s="488" t="n">
        <f aca="false">IF($A166&gt;Endyr,0,VLOOKUP($A166,Tariff_Table,Tariff!$L$33))</f>
        <v>1.21</v>
      </c>
      <c r="AN166" s="1576" t="n">
        <f aca="false">VLOOKUP($A166,Curves_Table,Escalation!$Z$291)</f>
        <v>1.4726424201483</v>
      </c>
      <c r="AO166" s="1314" t="n">
        <f aca="false">AM166*AN166</f>
        <v>1.78189732837944</v>
      </c>
      <c r="AP166" s="1314" t="n">
        <f aca="false">IF($A166&gt;Endyr,0,VLOOKUP($A166,Tariff_Table,Tariff!$M$33))</f>
        <v>0.25</v>
      </c>
      <c r="AQ166" s="1314" t="n">
        <f aca="false">SUM(AO166,AP166)</f>
        <v>2.03189732837944</v>
      </c>
      <c r="AR166" s="1314" t="n">
        <f aca="false">SUM(AM166,AP166)</f>
        <v>1.46</v>
      </c>
      <c r="AS166" s="1598" t="n">
        <f aca="false">IF(AR166=0,0,AQ166/AR166)</f>
        <v>1.39171049889003</v>
      </c>
    </row>
    <row r="167" customFormat="false" ht="12.75" hidden="false" customHeight="false" outlineLevel="0" collapsed="false">
      <c r="A167" s="1538" t="n">
        <f aca="false">EDATE(A166,1)</f>
        <v>41671</v>
      </c>
      <c r="C167" s="1595" t="n">
        <f aca="false">IF($A167&gt;Endyr,0,VLOOKUP($A167,Tariff_Table,Tariff!$G$33))</f>
        <v>7433.43</v>
      </c>
      <c r="D167" s="1565" t="n">
        <f aca="false">VLOOKUP($A167,Curves_Table,Escalation!$V$291)</f>
        <v>1.51901070889322</v>
      </c>
      <c r="E167" s="1596" t="n">
        <f aca="false">C167*D167</f>
        <v>11291.4597738082</v>
      </c>
      <c r="F167" s="1565" t="n">
        <f aca="false">IF(Assm!$L$74=0,VLOOKUP($A167,Curves_Table,Escalation!$D$291),VLOOKUP($A167,Curves_Table,Escalation!$E$291))</f>
        <v>2.82520750724491</v>
      </c>
      <c r="G167" s="427" t="n">
        <f aca="false">IF($A167&lt;EE_Date,VLOOKUP($A167,Curves_Table,Escalation!$D$291),Exch)</f>
        <v>1.065</v>
      </c>
      <c r="H167" s="1596" t="n">
        <f aca="false">E167*F167/G167</f>
        <v>29953.7248081847</v>
      </c>
      <c r="I167" s="1540" t="n">
        <f aca="false">VLOOKUP($A167,Plant_Table,'Plant Operations'!$C$270)</f>
        <v>480</v>
      </c>
      <c r="J167" s="1575" t="n">
        <f aca="false">H167*I167/1000</f>
        <v>14377.7879079286</v>
      </c>
      <c r="K167" s="1565" t="n">
        <f aca="false">F167</f>
        <v>2.82520750724491</v>
      </c>
      <c r="L167" s="394" t="n">
        <f aca="false">J167/K167</f>
        <v>5089.10863044874</v>
      </c>
      <c r="M167" s="1579" t="str">
        <f aca="false">IF(MONTH($A167)=12,SUM(L156:L167)," ")</f>
        <v> </v>
      </c>
      <c r="O167" s="1597" t="n">
        <f aca="false">IF($A167&gt;Endyr,0,VLOOKUP($A167,Tariff_Table,Tariff!$H$33))</f>
        <v>6146.82</v>
      </c>
      <c r="P167" s="1565" t="n">
        <f aca="false">$AS167</f>
        <v>1.39171049889003</v>
      </c>
      <c r="Q167" s="1575" t="n">
        <f aca="false">O167*P167</f>
        <v>8554.5939287872</v>
      </c>
      <c r="R167" s="1565" t="n">
        <f aca="false">$F167</f>
        <v>2.82520750724491</v>
      </c>
      <c r="S167" s="427" t="n">
        <f aca="false">$G167</f>
        <v>1.065</v>
      </c>
      <c r="T167" s="1575" t="n">
        <f aca="false">Q167*R167/S167</f>
        <v>22693.4300366585</v>
      </c>
      <c r="U167" s="1540" t="n">
        <f aca="false">$I167</f>
        <v>480</v>
      </c>
      <c r="V167" s="1575" t="n">
        <f aca="false">T167*U167/1000</f>
        <v>10892.8464175961</v>
      </c>
      <c r="W167" s="1565" t="n">
        <f aca="false">R167</f>
        <v>2.82520750724491</v>
      </c>
      <c r="X167" s="394" t="n">
        <f aca="false">V167/W167</f>
        <v>3855.59162987592</v>
      </c>
      <c r="Y167" s="1579" t="str">
        <f aca="false">IF(MONTH($A167)=12,SUM(X156:X167)," ")</f>
        <v> </v>
      </c>
      <c r="AA167" s="1595" t="n">
        <f aca="false">IF($A167&gt;Endyr,0,VLOOKUP($A167,Tariff_Table,Tariff!$I$33))</f>
        <v>2.32</v>
      </c>
      <c r="AB167" s="1565" t="n">
        <f aca="false">$AS167</f>
        <v>1.39171049889003</v>
      </c>
      <c r="AC167" s="1596" t="n">
        <f aca="false">AA167*AB167</f>
        <v>3.22876835742486</v>
      </c>
      <c r="AD167" s="1565" t="n">
        <f aca="false">$F167</f>
        <v>2.82520750724491</v>
      </c>
      <c r="AE167" s="427" t="n">
        <f aca="false">$G167</f>
        <v>1.065</v>
      </c>
      <c r="AF167" s="1596" t="n">
        <f aca="false">AC167*AD167/AE167</f>
        <v>8.56520244371036</v>
      </c>
      <c r="AG167" s="397" t="n">
        <f aca="false">VLOOKUP($A167,Plant_Table,'Plant Operations'!$M$270)</f>
        <v>270047.232</v>
      </c>
      <c r="AH167" s="1575" t="n">
        <f aca="false">AF167*AG167/1000</f>
        <v>2313.00921144362</v>
      </c>
      <c r="AI167" s="1565" t="n">
        <f aca="false">AD167</f>
        <v>2.82520750724491</v>
      </c>
      <c r="AJ167" s="1566" t="n">
        <f aca="false">AH167/AI167</f>
        <v>818.704185626076</v>
      </c>
      <c r="AK167" s="1567" t="str">
        <f aca="false">IF(MONTH($A167)=12,SUM(AJ156:AJ167)," ")</f>
        <v> </v>
      </c>
      <c r="AM167" s="488" t="n">
        <f aca="false">IF($A167&gt;Endyr,0,VLOOKUP($A167,Tariff_Table,Tariff!$L$33))</f>
        <v>1.21</v>
      </c>
      <c r="AN167" s="1576" t="n">
        <f aca="false">VLOOKUP($A167,Curves_Table,Escalation!$Z$291)</f>
        <v>1.4726424201483</v>
      </c>
      <c r="AO167" s="1314" t="n">
        <f aca="false">AM167*AN167</f>
        <v>1.78189732837944</v>
      </c>
      <c r="AP167" s="1314" t="n">
        <f aca="false">IF($A167&gt;Endyr,0,VLOOKUP($A167,Tariff_Table,Tariff!$M$33))</f>
        <v>0.25</v>
      </c>
      <c r="AQ167" s="1314" t="n">
        <f aca="false">SUM(AO167,AP167)</f>
        <v>2.03189732837944</v>
      </c>
      <c r="AR167" s="1314" t="n">
        <f aca="false">SUM(AM167,AP167)</f>
        <v>1.46</v>
      </c>
      <c r="AS167" s="1598" t="n">
        <f aca="false">IF(AR167=0,0,AQ167/AR167)</f>
        <v>1.39171049889003</v>
      </c>
    </row>
    <row r="168" customFormat="false" ht="12.75" hidden="false" customHeight="false" outlineLevel="0" collapsed="false">
      <c r="A168" s="1538" t="n">
        <f aca="false">EDATE(A167,1)</f>
        <v>41699</v>
      </c>
      <c r="C168" s="1595" t="n">
        <f aca="false">IF($A168&gt;Endyr,0,VLOOKUP($A168,Tariff_Table,Tariff!$G$33))</f>
        <v>7433.43</v>
      </c>
      <c r="D168" s="1565" t="n">
        <f aca="false">VLOOKUP($A168,Curves_Table,Escalation!$V$291)</f>
        <v>1.51901070889322</v>
      </c>
      <c r="E168" s="1596" t="n">
        <f aca="false">C168*D168</f>
        <v>11291.4597738082</v>
      </c>
      <c r="F168" s="1565" t="n">
        <f aca="false">IF(Assm!$L$74=0,VLOOKUP($A168,Curves_Table,Escalation!$D$291),VLOOKUP($A168,Curves_Table,Escalation!$E$291))</f>
        <v>2.82987247707826</v>
      </c>
      <c r="G168" s="427" t="n">
        <f aca="false">IF($A168&lt;EE_Date,VLOOKUP($A168,Curves_Table,Escalation!$D$291),Exch)</f>
        <v>1.065</v>
      </c>
      <c r="H168" s="1596" t="n">
        <f aca="false">E168*F168/G168</f>
        <v>30003.1842628507</v>
      </c>
      <c r="I168" s="1540" t="n">
        <f aca="false">VLOOKUP($A168,Plant_Table,'Plant Operations'!$C$270)</f>
        <v>480</v>
      </c>
      <c r="J168" s="1575" t="n">
        <f aca="false">H168*I168/1000</f>
        <v>14401.5284461683</v>
      </c>
      <c r="K168" s="1565" t="n">
        <f aca="false">F168</f>
        <v>2.82987247707826</v>
      </c>
      <c r="L168" s="394" t="n">
        <f aca="false">J168/K168</f>
        <v>5089.10863044874</v>
      </c>
      <c r="M168" s="1579" t="str">
        <f aca="false">IF(MONTH($A168)=12,SUM(L157:L168)," ")</f>
        <v> </v>
      </c>
      <c r="O168" s="1597" t="n">
        <f aca="false">IF($A168&gt;Endyr,0,VLOOKUP($A168,Tariff_Table,Tariff!$H$33))</f>
        <v>6146.82</v>
      </c>
      <c r="P168" s="1565" t="n">
        <f aca="false">$AS168</f>
        <v>1.39171049889003</v>
      </c>
      <c r="Q168" s="1575" t="n">
        <f aca="false">O168*P168</f>
        <v>8554.5939287872</v>
      </c>
      <c r="R168" s="1565" t="n">
        <f aca="false">$F168</f>
        <v>2.82987247707826</v>
      </c>
      <c r="S168" s="427" t="n">
        <f aca="false">$G168</f>
        <v>1.065</v>
      </c>
      <c r="T168" s="1575" t="n">
        <f aca="false">Q168*R168/S168</f>
        <v>22730.9013254983</v>
      </c>
      <c r="U168" s="1540" t="n">
        <f aca="false">$I168</f>
        <v>480</v>
      </c>
      <c r="V168" s="1575" t="n">
        <f aca="false">T168*U168/1000</f>
        <v>10910.8326362392</v>
      </c>
      <c r="W168" s="1565" t="n">
        <f aca="false">R168</f>
        <v>2.82987247707826</v>
      </c>
      <c r="X168" s="394" t="n">
        <f aca="false">V168/W168</f>
        <v>3855.59162987592</v>
      </c>
      <c r="Y168" s="1579" t="str">
        <f aca="false">IF(MONTH($A168)=12,SUM(X157:X168)," ")</f>
        <v> </v>
      </c>
      <c r="AA168" s="1595" t="n">
        <f aca="false">IF($A168&gt;Endyr,0,VLOOKUP($A168,Tariff_Table,Tariff!$I$33))</f>
        <v>2.32</v>
      </c>
      <c r="AB168" s="1565" t="n">
        <f aca="false">$AS168</f>
        <v>1.39171049889003</v>
      </c>
      <c r="AC168" s="1596" t="n">
        <f aca="false">AA168*AB168</f>
        <v>3.22876835742486</v>
      </c>
      <c r="AD168" s="1565" t="n">
        <f aca="false">$F168</f>
        <v>2.82987247707826</v>
      </c>
      <c r="AE168" s="427" t="n">
        <f aca="false">$G168</f>
        <v>1.065</v>
      </c>
      <c r="AF168" s="1596" t="n">
        <f aca="false">AC168*AD168/AE168</f>
        <v>8.57934526717164</v>
      </c>
      <c r="AG168" s="397" t="n">
        <f aca="false">VLOOKUP($A168,Plant_Table,'Plant Operations'!$M$270)</f>
        <v>298980.864</v>
      </c>
      <c r="AH168" s="1575" t="n">
        <f aca="false">AF168*AG168/1000</f>
        <v>2565.06006053329</v>
      </c>
      <c r="AI168" s="1565" t="n">
        <f aca="false">AD168</f>
        <v>2.82987247707826</v>
      </c>
      <c r="AJ168" s="1566" t="n">
        <f aca="false">AH168/AI168</f>
        <v>906.42249122887</v>
      </c>
      <c r="AK168" s="1567" t="str">
        <f aca="false">IF(MONTH($A168)=12,SUM(AJ157:AJ168)," ")</f>
        <v> </v>
      </c>
      <c r="AM168" s="488" t="n">
        <f aca="false">IF($A168&gt;Endyr,0,VLOOKUP($A168,Tariff_Table,Tariff!$L$33))</f>
        <v>1.21</v>
      </c>
      <c r="AN168" s="1576" t="n">
        <f aca="false">VLOOKUP($A168,Curves_Table,Escalation!$Z$291)</f>
        <v>1.4726424201483</v>
      </c>
      <c r="AO168" s="1314" t="n">
        <f aca="false">AM168*AN168</f>
        <v>1.78189732837944</v>
      </c>
      <c r="AP168" s="1314" t="n">
        <f aca="false">IF($A168&gt;Endyr,0,VLOOKUP($A168,Tariff_Table,Tariff!$M$33))</f>
        <v>0.25</v>
      </c>
      <c r="AQ168" s="1314" t="n">
        <f aca="false">SUM(AO168,AP168)</f>
        <v>2.03189732837944</v>
      </c>
      <c r="AR168" s="1314" t="n">
        <f aca="false">SUM(AM168,AP168)</f>
        <v>1.46</v>
      </c>
      <c r="AS168" s="1598" t="n">
        <f aca="false">IF(AR168=0,0,AQ168/AR168)</f>
        <v>1.39171049889003</v>
      </c>
    </row>
    <row r="169" customFormat="false" ht="12.75" hidden="false" customHeight="false" outlineLevel="0" collapsed="false">
      <c r="A169" s="1538" t="n">
        <f aca="false">EDATE(A168,1)</f>
        <v>41730</v>
      </c>
      <c r="C169" s="1595" t="n">
        <f aca="false">IF($A169&gt;Endyr,0,VLOOKUP($A169,Tariff_Table,Tariff!$G$33))</f>
        <v>7433.43</v>
      </c>
      <c r="D169" s="1565" t="n">
        <f aca="false">VLOOKUP($A169,Curves_Table,Escalation!$V$291)</f>
        <v>1.51901070889322</v>
      </c>
      <c r="E169" s="1596" t="n">
        <f aca="false">C169*D169</f>
        <v>11291.4597738082</v>
      </c>
      <c r="F169" s="1565" t="n">
        <f aca="false">IF(Assm!$L$74=0,VLOOKUP($A169,Curves_Table,Escalation!$D$291),VLOOKUP($A169,Curves_Table,Escalation!$E$291))</f>
        <v>2.83454514968866</v>
      </c>
      <c r="G169" s="427" t="n">
        <f aca="false">IF($A169&lt;EE_Date,VLOOKUP($A169,Curves_Table,Escalation!$D$291),Exch)</f>
        <v>1.065</v>
      </c>
      <c r="H169" s="1596" t="n">
        <f aca="false">E169*F169/G169</f>
        <v>30052.7253847441</v>
      </c>
      <c r="I169" s="1540" t="n">
        <f aca="false">VLOOKUP($A169,Plant_Table,'Plant Operations'!$C$270)</f>
        <v>480</v>
      </c>
      <c r="J169" s="1575" t="n">
        <f aca="false">H169*I169/1000</f>
        <v>14425.3081846772</v>
      </c>
      <c r="K169" s="1565" t="n">
        <f aca="false">F169</f>
        <v>2.83454514968866</v>
      </c>
      <c r="L169" s="394" t="n">
        <f aca="false">J169/K169</f>
        <v>5089.10863044874</v>
      </c>
      <c r="M169" s="1579" t="str">
        <f aca="false">IF(MONTH($A169)=12,SUM(L158:L169)," ")</f>
        <v> </v>
      </c>
      <c r="O169" s="1597" t="n">
        <f aca="false">IF($A169&gt;Endyr,0,VLOOKUP($A169,Tariff_Table,Tariff!$H$33))</f>
        <v>6146.82</v>
      </c>
      <c r="P169" s="1565" t="n">
        <f aca="false">$AS169</f>
        <v>1.39171049889003</v>
      </c>
      <c r="Q169" s="1575" t="n">
        <f aca="false">O169*P169</f>
        <v>8554.5939287872</v>
      </c>
      <c r="R169" s="1565" t="n">
        <f aca="false">$F169</f>
        <v>2.83454514968866</v>
      </c>
      <c r="S169" s="427" t="n">
        <f aca="false">$G169</f>
        <v>1.065</v>
      </c>
      <c r="T169" s="1575" t="n">
        <f aca="false">Q169*R169/S169</f>
        <v>22768.4344867604</v>
      </c>
      <c r="U169" s="1540" t="n">
        <f aca="false">$I169</f>
        <v>480</v>
      </c>
      <c r="V169" s="1575" t="n">
        <f aca="false">T169*U169/1000</f>
        <v>10928.848553645</v>
      </c>
      <c r="W169" s="1565" t="n">
        <f aca="false">R169</f>
        <v>2.83454514968866</v>
      </c>
      <c r="X169" s="394" t="n">
        <f aca="false">V169/W169</f>
        <v>3855.59162987592</v>
      </c>
      <c r="Y169" s="1579" t="str">
        <f aca="false">IF(MONTH($A169)=12,SUM(X158:X169)," ")</f>
        <v> </v>
      </c>
      <c r="AA169" s="1595" t="n">
        <f aca="false">IF($A169&gt;Endyr,0,VLOOKUP($A169,Tariff_Table,Tariff!$I$33))</f>
        <v>2.32</v>
      </c>
      <c r="AB169" s="1565" t="n">
        <f aca="false">$AS169</f>
        <v>1.39171049889003</v>
      </c>
      <c r="AC169" s="1596" t="n">
        <f aca="false">AA169*AB169</f>
        <v>3.22876835742486</v>
      </c>
      <c r="AD169" s="1565" t="n">
        <f aca="false">$F169</f>
        <v>2.83454514968866</v>
      </c>
      <c r="AE169" s="427" t="n">
        <f aca="false">$G169</f>
        <v>1.065</v>
      </c>
      <c r="AF169" s="1596" t="n">
        <f aca="false">AC169*AD169/AE169</f>
        <v>8.59351144319893</v>
      </c>
      <c r="AG169" s="397" t="n">
        <f aca="false">VLOOKUP($A169,Plant_Table,'Plant Operations'!$M$270)</f>
        <v>289336.32</v>
      </c>
      <c r="AH169" s="1575" t="n">
        <f aca="false">AF169*AG169/1000</f>
        <v>2486.41497685307</v>
      </c>
      <c r="AI169" s="1565" t="n">
        <f aca="false">AD169</f>
        <v>2.83454514968866</v>
      </c>
      <c r="AJ169" s="1566" t="n">
        <f aca="false">AH169/AI169</f>
        <v>877.183056027939</v>
      </c>
      <c r="AK169" s="1567" t="str">
        <f aca="false">IF(MONTH($A169)=12,SUM(AJ158:AJ169)," ")</f>
        <v> </v>
      </c>
      <c r="AM169" s="488" t="n">
        <f aca="false">IF($A169&gt;Endyr,0,VLOOKUP($A169,Tariff_Table,Tariff!$L$33))</f>
        <v>1.21</v>
      </c>
      <c r="AN169" s="1576" t="n">
        <f aca="false">VLOOKUP($A169,Curves_Table,Escalation!$Z$291)</f>
        <v>1.4726424201483</v>
      </c>
      <c r="AO169" s="1314" t="n">
        <f aca="false">AM169*AN169</f>
        <v>1.78189732837944</v>
      </c>
      <c r="AP169" s="1314" t="n">
        <f aca="false">IF($A169&gt;Endyr,0,VLOOKUP($A169,Tariff_Table,Tariff!$M$33))</f>
        <v>0.25</v>
      </c>
      <c r="AQ169" s="1314" t="n">
        <f aca="false">SUM(AO169,AP169)</f>
        <v>2.03189732837944</v>
      </c>
      <c r="AR169" s="1314" t="n">
        <f aca="false">SUM(AM169,AP169)</f>
        <v>1.46</v>
      </c>
      <c r="AS169" s="1598" t="n">
        <f aca="false">IF(AR169=0,0,AQ169/AR169)</f>
        <v>1.39171049889003</v>
      </c>
    </row>
    <row r="170" customFormat="false" ht="12.75" hidden="false" customHeight="false" outlineLevel="0" collapsed="false">
      <c r="A170" s="1538" t="n">
        <f aca="false">EDATE(A169,1)</f>
        <v>41760</v>
      </c>
      <c r="C170" s="1595" t="n">
        <f aca="false">IF($A170&gt;Endyr,0,VLOOKUP($A170,Tariff_Table,Tariff!$G$33))</f>
        <v>7424.62</v>
      </c>
      <c r="D170" s="1565" t="n">
        <f aca="false">VLOOKUP($A170,Curves_Table,Escalation!$V$291)</f>
        <v>1.55739783154092</v>
      </c>
      <c r="E170" s="1596" t="n">
        <f aca="false">C170*D170</f>
        <v>11563.0870880153</v>
      </c>
      <c r="F170" s="1565" t="n">
        <f aca="false">IF(Assm!$L$74=0,VLOOKUP($A170,Curves_Table,Escalation!$D$291),VLOOKUP($A170,Curves_Table,Escalation!$E$291))</f>
        <v>2.8392255377949</v>
      </c>
      <c r="G170" s="427" t="n">
        <f aca="false">IF($A170&lt;EE_Date,VLOOKUP($A170,Curves_Table,Escalation!$D$291),Exch)</f>
        <v>1.065</v>
      </c>
      <c r="H170" s="1596" t="n">
        <f aca="false">E170*F170/G170</f>
        <v>30826.4902873611</v>
      </c>
      <c r="I170" s="1540" t="n">
        <f aca="false">VLOOKUP($A170,Plant_Table,'Plant Operations'!$C$270)</f>
        <v>480</v>
      </c>
      <c r="J170" s="1575" t="n">
        <f aca="false">H170*I170/1000</f>
        <v>14796.7153379333</v>
      </c>
      <c r="K170" s="1565" t="n">
        <f aca="false">F170</f>
        <v>2.8392255377949</v>
      </c>
      <c r="L170" s="394" t="n">
        <f aca="false">J170/K170</f>
        <v>5211.53220868297</v>
      </c>
      <c r="M170" s="1579" t="str">
        <f aca="false">IF(MONTH($A170)=12,SUM(L159:L170)," ")</f>
        <v> </v>
      </c>
      <c r="O170" s="1597" t="n">
        <f aca="false">IF($A170&gt;Endyr,0,VLOOKUP($A170,Tariff_Table,Tariff!$H$33))</f>
        <v>6118.02</v>
      </c>
      <c r="P170" s="1565" t="n">
        <f aca="false">$AS170</f>
        <v>1.41950215794747</v>
      </c>
      <c r="Q170" s="1575" t="n">
        <f aca="false">O170*P170</f>
        <v>8684.5425923658</v>
      </c>
      <c r="R170" s="1565" t="n">
        <f aca="false">$F170</f>
        <v>2.8392255377949</v>
      </c>
      <c r="S170" s="427" t="n">
        <f aca="false">$G170</f>
        <v>1.065</v>
      </c>
      <c r="T170" s="1575" t="n">
        <f aca="false">Q170*R170/S170</f>
        <v>23152.4648941901</v>
      </c>
      <c r="U170" s="1540" t="n">
        <f aca="false">$I170</f>
        <v>480</v>
      </c>
      <c r="V170" s="1575" t="n">
        <f aca="false">T170*U170/1000</f>
        <v>11113.1831492113</v>
      </c>
      <c r="W170" s="1565" t="n">
        <f aca="false">R170</f>
        <v>2.8392255377949</v>
      </c>
      <c r="X170" s="394" t="n">
        <f aca="false">V170/W170</f>
        <v>3914.16004162966</v>
      </c>
      <c r="Y170" s="1579" t="str">
        <f aca="false">IF(MONTH($A170)=12,SUM(X159:X170)," ")</f>
        <v> </v>
      </c>
      <c r="AA170" s="1595" t="n">
        <f aca="false">IF($A170&gt;Endyr,0,VLOOKUP($A170,Tariff_Table,Tariff!$I$33))</f>
        <v>2.31</v>
      </c>
      <c r="AB170" s="1565" t="n">
        <f aca="false">$AS170</f>
        <v>1.41950215794747</v>
      </c>
      <c r="AC170" s="1596" t="n">
        <f aca="false">AA170*AB170</f>
        <v>3.27904998485866</v>
      </c>
      <c r="AD170" s="1565" t="n">
        <f aca="false">$F170</f>
        <v>2.8392255377949</v>
      </c>
      <c r="AE170" s="427" t="n">
        <f aca="false">$G170</f>
        <v>1.065</v>
      </c>
      <c r="AF170" s="1596" t="n">
        <f aca="false">AC170*AD170/AE170</f>
        <v>8.74174878564947</v>
      </c>
      <c r="AG170" s="397" t="n">
        <f aca="false">VLOOKUP($A170,Plant_Table,'Plant Operations'!$M$270)</f>
        <v>298980.864</v>
      </c>
      <c r="AH170" s="1575" t="n">
        <f aca="false">AF170*AG170/1000</f>
        <v>2613.61560480443</v>
      </c>
      <c r="AI170" s="1565" t="n">
        <f aca="false">AD170</f>
        <v>2.8392255377949</v>
      </c>
      <c r="AJ170" s="1566" t="n">
        <f aca="false">AH170/AI170</f>
        <v>920.538213682845</v>
      </c>
      <c r="AK170" s="1567" t="str">
        <f aca="false">IF(MONTH($A170)=12,SUM(AJ159:AJ170)," ")</f>
        <v> </v>
      </c>
      <c r="AM170" s="488" t="n">
        <f aca="false">IF($A170&gt;Endyr,0,VLOOKUP($A170,Tariff_Table,Tariff!$L$33))</f>
        <v>1.21</v>
      </c>
      <c r="AN170" s="1576" t="n">
        <f aca="false">VLOOKUP($A170,Curves_Table,Escalation!$Z$291)</f>
        <v>1.5061761575234</v>
      </c>
      <c r="AO170" s="1314" t="n">
        <f aca="false">AM170*AN170</f>
        <v>1.82247315060331</v>
      </c>
      <c r="AP170" s="1314" t="n">
        <f aca="false">IF($A170&gt;Endyr,0,VLOOKUP($A170,Tariff_Table,Tariff!$M$33))</f>
        <v>0.25</v>
      </c>
      <c r="AQ170" s="1314" t="n">
        <f aca="false">SUM(AO170,AP170)</f>
        <v>2.07247315060331</v>
      </c>
      <c r="AR170" s="1314" t="n">
        <f aca="false">SUM(AM170,AP170)</f>
        <v>1.46</v>
      </c>
      <c r="AS170" s="1598" t="n">
        <f aca="false">IF(AR170=0,0,AQ170/AR170)</f>
        <v>1.41950215794747</v>
      </c>
    </row>
    <row r="171" customFormat="false" ht="12.75" hidden="false" customHeight="false" outlineLevel="0" collapsed="false">
      <c r="A171" s="1538" t="n">
        <f aca="false">EDATE(A170,1)</f>
        <v>41791</v>
      </c>
      <c r="C171" s="1595" t="n">
        <f aca="false">IF($A171&gt;Endyr,0,VLOOKUP($A171,Tariff_Table,Tariff!$G$33))</f>
        <v>7424.62</v>
      </c>
      <c r="D171" s="1565" t="n">
        <f aca="false">VLOOKUP($A171,Curves_Table,Escalation!$V$291)</f>
        <v>1.55739783154092</v>
      </c>
      <c r="E171" s="1596" t="n">
        <f aca="false">C171*D171</f>
        <v>11563.0870880153</v>
      </c>
      <c r="F171" s="1565" t="n">
        <f aca="false">IF(Assm!$L$74=0,VLOOKUP($A171,Curves_Table,Escalation!$D$291),VLOOKUP($A171,Curves_Table,Escalation!$E$291))</f>
        <v>2.84391365413677</v>
      </c>
      <c r="G171" s="427" t="n">
        <f aca="false">IF($A171&lt;EE_Date,VLOOKUP($A171,Curves_Table,Escalation!$D$291),Exch)</f>
        <v>1.065</v>
      </c>
      <c r="H171" s="1596" t="n">
        <f aca="false">E171*F171/G171</f>
        <v>30877.3908484313</v>
      </c>
      <c r="I171" s="1540" t="n">
        <f aca="false">VLOOKUP($A171,Plant_Table,'Plant Operations'!$C$270)</f>
        <v>480</v>
      </c>
      <c r="J171" s="1575" t="n">
        <f aca="false">H171*I171/1000</f>
        <v>14821.147607247</v>
      </c>
      <c r="K171" s="1565" t="n">
        <f aca="false">F171</f>
        <v>2.84391365413677</v>
      </c>
      <c r="L171" s="394" t="n">
        <f aca="false">J171/K171</f>
        <v>5211.53220868297</v>
      </c>
      <c r="M171" s="1579" t="str">
        <f aca="false">IF(MONTH($A171)=12,SUM(L160:L171)," ")</f>
        <v> </v>
      </c>
      <c r="O171" s="1597" t="n">
        <f aca="false">IF($A171&gt;Endyr,0,VLOOKUP($A171,Tariff_Table,Tariff!$H$33))</f>
        <v>6118.02</v>
      </c>
      <c r="P171" s="1565" t="n">
        <f aca="false">$AS171</f>
        <v>1.41950215794747</v>
      </c>
      <c r="Q171" s="1575" t="n">
        <f aca="false">O171*P171</f>
        <v>8684.5425923658</v>
      </c>
      <c r="R171" s="1565" t="n">
        <f aca="false">$F171</f>
        <v>2.84391365413677</v>
      </c>
      <c r="S171" s="427" t="n">
        <f aca="false">$G171</f>
        <v>1.065</v>
      </c>
      <c r="T171" s="1575" t="n">
        <f aca="false">Q171*R171/S171</f>
        <v>23190.6941393065</v>
      </c>
      <c r="U171" s="1540" t="n">
        <f aca="false">$I171</f>
        <v>480</v>
      </c>
      <c r="V171" s="1575" t="n">
        <f aca="false">T171*U171/1000</f>
        <v>11131.5331868671</v>
      </c>
      <c r="W171" s="1565" t="n">
        <f aca="false">R171</f>
        <v>2.84391365413677</v>
      </c>
      <c r="X171" s="394" t="n">
        <f aca="false">V171/W171</f>
        <v>3914.16004162966</v>
      </c>
      <c r="Y171" s="1579" t="str">
        <f aca="false">IF(MONTH($A171)=12,SUM(X160:X171)," ")</f>
        <v> </v>
      </c>
      <c r="AA171" s="1595" t="n">
        <f aca="false">IF($A171&gt;Endyr,0,VLOOKUP($A171,Tariff_Table,Tariff!$I$33))</f>
        <v>2.31</v>
      </c>
      <c r="AB171" s="1565" t="n">
        <f aca="false">$AS171</f>
        <v>1.41950215794747</v>
      </c>
      <c r="AC171" s="1596" t="n">
        <f aca="false">AA171*AB171</f>
        <v>3.27904998485866</v>
      </c>
      <c r="AD171" s="1565" t="n">
        <f aca="false">$F171</f>
        <v>2.84391365413677</v>
      </c>
      <c r="AE171" s="427" t="n">
        <f aca="false">$G171</f>
        <v>1.065</v>
      </c>
      <c r="AF171" s="1596" t="n">
        <f aca="false">AC171*AD171/AE171</f>
        <v>8.75618312163053</v>
      </c>
      <c r="AG171" s="397" t="n">
        <f aca="false">VLOOKUP($A171,Plant_Table,'Plant Operations'!$M$270)</f>
        <v>289336.32</v>
      </c>
      <c r="AH171" s="1575" t="n">
        <f aca="false">AF171*AG171/1000</f>
        <v>2533.48180165869</v>
      </c>
      <c r="AI171" s="1565" t="n">
        <f aca="false">AD171</f>
        <v>2.84391365413677</v>
      </c>
      <c r="AJ171" s="1566" t="n">
        <f aca="false">AH171/AI171</f>
        <v>890.843432596302</v>
      </c>
      <c r="AK171" s="1567" t="str">
        <f aca="false">IF(MONTH($A171)=12,SUM(AJ160:AJ171)," ")</f>
        <v> </v>
      </c>
      <c r="AM171" s="488" t="n">
        <f aca="false">IF($A171&gt;Endyr,0,VLOOKUP($A171,Tariff_Table,Tariff!$L$33))</f>
        <v>1.21</v>
      </c>
      <c r="AN171" s="1576" t="n">
        <f aca="false">VLOOKUP($A171,Curves_Table,Escalation!$Z$291)</f>
        <v>1.5061761575234</v>
      </c>
      <c r="AO171" s="1314" t="n">
        <f aca="false">AM171*AN171</f>
        <v>1.82247315060331</v>
      </c>
      <c r="AP171" s="1314" t="n">
        <f aca="false">IF($A171&gt;Endyr,0,VLOOKUP($A171,Tariff_Table,Tariff!$M$33))</f>
        <v>0.25</v>
      </c>
      <c r="AQ171" s="1314" t="n">
        <f aca="false">SUM(AO171,AP171)</f>
        <v>2.07247315060331</v>
      </c>
      <c r="AR171" s="1314" t="n">
        <f aca="false">SUM(AM171,AP171)</f>
        <v>1.46</v>
      </c>
      <c r="AS171" s="1598" t="n">
        <f aca="false">IF(AR171=0,0,AQ171/AR171)</f>
        <v>1.41950215794747</v>
      </c>
    </row>
    <row r="172" customFormat="false" ht="12.75" hidden="false" customHeight="false" outlineLevel="0" collapsed="false">
      <c r="A172" s="1538" t="n">
        <f aca="false">EDATE(A171,1)</f>
        <v>41821</v>
      </c>
      <c r="C172" s="1595" t="n">
        <f aca="false">IF($A172&gt;Endyr,0,VLOOKUP($A172,Tariff_Table,Tariff!$G$33))</f>
        <v>7424.62</v>
      </c>
      <c r="D172" s="1565" t="n">
        <f aca="false">VLOOKUP($A172,Curves_Table,Escalation!$V$291)</f>
        <v>1.55739783154092</v>
      </c>
      <c r="E172" s="1596" t="n">
        <f aca="false">C172*D172</f>
        <v>11563.0870880153</v>
      </c>
      <c r="F172" s="1565" t="n">
        <f aca="false">IF(Assm!$L$74=0,VLOOKUP($A172,Curves_Table,Escalation!$D$291),VLOOKUP($A172,Curves_Table,Escalation!$E$291))</f>
        <v>2.8486095114751</v>
      </c>
      <c r="G172" s="427" t="n">
        <f aca="false">IF($A172&lt;EE_Date,VLOOKUP($A172,Curves_Table,Escalation!$D$291),Exch)</f>
        <v>1.065</v>
      </c>
      <c r="H172" s="1596" t="n">
        <f aca="false">E172*F172/G172</f>
        <v>30928.3754562773</v>
      </c>
      <c r="I172" s="1540" t="n">
        <f aca="false">VLOOKUP($A172,Plant_Table,'Plant Operations'!$C$270)</f>
        <v>480</v>
      </c>
      <c r="J172" s="1575" t="n">
        <f aca="false">H172*I172/1000</f>
        <v>14845.6202190131</v>
      </c>
      <c r="K172" s="1565" t="n">
        <f aca="false">F172</f>
        <v>2.8486095114751</v>
      </c>
      <c r="L172" s="394" t="n">
        <f aca="false">J172/K172</f>
        <v>5211.53220868297</v>
      </c>
      <c r="M172" s="1579" t="str">
        <f aca="false">IF(MONTH($A172)=12,SUM(L161:L172)," ")</f>
        <v> </v>
      </c>
      <c r="O172" s="1597" t="n">
        <f aca="false">IF($A172&gt;Endyr,0,VLOOKUP($A172,Tariff_Table,Tariff!$H$33))</f>
        <v>6118.02</v>
      </c>
      <c r="P172" s="1565" t="n">
        <f aca="false">$AS172</f>
        <v>1.41950215794747</v>
      </c>
      <c r="Q172" s="1575" t="n">
        <f aca="false">O172*P172</f>
        <v>8684.5425923658</v>
      </c>
      <c r="R172" s="1565" t="n">
        <f aca="false">$F172</f>
        <v>2.8486095114751</v>
      </c>
      <c r="S172" s="427" t="n">
        <f aca="false">$G172</f>
        <v>1.065</v>
      </c>
      <c r="T172" s="1575" t="n">
        <f aca="false">Q172*R172/S172</f>
        <v>23228.9865083792</v>
      </c>
      <c r="U172" s="1540" t="n">
        <f aca="false">$I172</f>
        <v>480</v>
      </c>
      <c r="V172" s="1575" t="n">
        <f aca="false">T172*U172/1000</f>
        <v>11149.913524022</v>
      </c>
      <c r="W172" s="1565" t="n">
        <f aca="false">R172</f>
        <v>2.8486095114751</v>
      </c>
      <c r="X172" s="394" t="n">
        <f aca="false">V172/W172</f>
        <v>3914.16004162966</v>
      </c>
      <c r="Y172" s="1579" t="str">
        <f aca="false">IF(MONTH($A172)=12,SUM(X161:X172)," ")</f>
        <v> </v>
      </c>
      <c r="AA172" s="1595" t="n">
        <f aca="false">IF($A172&gt;Endyr,0,VLOOKUP($A172,Tariff_Table,Tariff!$I$33))</f>
        <v>2.31</v>
      </c>
      <c r="AB172" s="1565" t="n">
        <f aca="false">$AS172</f>
        <v>1.41950215794747</v>
      </c>
      <c r="AC172" s="1596" t="n">
        <f aca="false">AA172*AB172</f>
        <v>3.27904998485866</v>
      </c>
      <c r="AD172" s="1565" t="n">
        <f aca="false">$F172</f>
        <v>2.8486095114751</v>
      </c>
      <c r="AE172" s="427" t="n">
        <f aca="false">$G172</f>
        <v>1.065</v>
      </c>
      <c r="AF172" s="1596" t="n">
        <f aca="false">AC172*AD172/AE172</f>
        <v>8.77064129152175</v>
      </c>
      <c r="AG172" s="397" t="n">
        <f aca="false">VLOOKUP($A172,Plant_Table,'Plant Operations'!$M$270)</f>
        <v>298980.864</v>
      </c>
      <c r="AH172" s="1575" t="n">
        <f aca="false">AF172*AG172/1000</f>
        <v>2622.25391117325</v>
      </c>
      <c r="AI172" s="1565" t="n">
        <f aca="false">AD172</f>
        <v>2.8486095114751</v>
      </c>
      <c r="AJ172" s="1566" t="n">
        <f aca="false">AH172/AI172</f>
        <v>920.538213682846</v>
      </c>
      <c r="AK172" s="1567" t="str">
        <f aca="false">IF(MONTH($A172)=12,SUM(AJ161:AJ172)," ")</f>
        <v> </v>
      </c>
      <c r="AM172" s="488" t="n">
        <f aca="false">IF($A172&gt;Endyr,0,VLOOKUP($A172,Tariff_Table,Tariff!$L$33))</f>
        <v>1.21</v>
      </c>
      <c r="AN172" s="1576" t="n">
        <f aca="false">VLOOKUP($A172,Curves_Table,Escalation!$Z$291)</f>
        <v>1.5061761575234</v>
      </c>
      <c r="AO172" s="1314" t="n">
        <f aca="false">AM172*AN172</f>
        <v>1.82247315060331</v>
      </c>
      <c r="AP172" s="1314" t="n">
        <f aca="false">IF($A172&gt;Endyr,0,VLOOKUP($A172,Tariff_Table,Tariff!$M$33))</f>
        <v>0.25</v>
      </c>
      <c r="AQ172" s="1314" t="n">
        <f aca="false">SUM(AO172,AP172)</f>
        <v>2.07247315060331</v>
      </c>
      <c r="AR172" s="1314" t="n">
        <f aca="false">SUM(AM172,AP172)</f>
        <v>1.46</v>
      </c>
      <c r="AS172" s="1598" t="n">
        <f aca="false">IF(AR172=0,0,AQ172/AR172)</f>
        <v>1.41950215794747</v>
      </c>
    </row>
    <row r="173" customFormat="false" ht="12.75" hidden="false" customHeight="false" outlineLevel="0" collapsed="false">
      <c r="A173" s="1538" t="n">
        <f aca="false">EDATE(A172,1)</f>
        <v>41852</v>
      </c>
      <c r="C173" s="1595" t="n">
        <f aca="false">IF($A173&gt;Endyr,0,VLOOKUP($A173,Tariff_Table,Tariff!$G$33))</f>
        <v>7424.62</v>
      </c>
      <c r="D173" s="1565" t="n">
        <f aca="false">VLOOKUP($A173,Curves_Table,Escalation!$V$291)</f>
        <v>1.55739783154092</v>
      </c>
      <c r="E173" s="1596" t="n">
        <f aca="false">C173*D173</f>
        <v>11563.0870880153</v>
      </c>
      <c r="F173" s="1565" t="n">
        <f aca="false">IF(Assm!$L$74=0,VLOOKUP($A173,Curves_Table,Escalation!$D$291),VLOOKUP($A173,Curves_Table,Escalation!$E$291))</f>
        <v>2.85331312259178</v>
      </c>
      <c r="G173" s="427" t="n">
        <f aca="false">IF($A173&lt;EE_Date,VLOOKUP($A173,Curves_Table,Escalation!$D$291),Exch)</f>
        <v>1.065</v>
      </c>
      <c r="H173" s="1596" t="n">
        <f aca="false">E173*F173/G173</f>
        <v>30979.4442496768</v>
      </c>
      <c r="I173" s="1540" t="n">
        <f aca="false">VLOOKUP($A173,Plant_Table,'Plant Operations'!$C$270)</f>
        <v>480</v>
      </c>
      <c r="J173" s="1575" t="n">
        <f aca="false">H173*I173/1000</f>
        <v>14870.1332398449</v>
      </c>
      <c r="K173" s="1565" t="n">
        <f aca="false">F173</f>
        <v>2.85331312259178</v>
      </c>
      <c r="L173" s="394" t="n">
        <f aca="false">J173/K173</f>
        <v>5211.53220868297</v>
      </c>
      <c r="M173" s="1579" t="str">
        <f aca="false">IF(MONTH($A173)=12,SUM(L162:L173)," ")</f>
        <v> </v>
      </c>
      <c r="O173" s="1597" t="n">
        <f aca="false">IF($A173&gt;Endyr,0,VLOOKUP($A173,Tariff_Table,Tariff!$H$33))</f>
        <v>6118.02</v>
      </c>
      <c r="P173" s="1565" t="n">
        <f aca="false">$AS173</f>
        <v>1.41950215794747</v>
      </c>
      <c r="Q173" s="1575" t="n">
        <f aca="false">O173*P173</f>
        <v>8684.5425923658</v>
      </c>
      <c r="R173" s="1565" t="n">
        <f aca="false">$F173</f>
        <v>2.85331312259178</v>
      </c>
      <c r="S173" s="427" t="n">
        <f aca="false">$G173</f>
        <v>1.065</v>
      </c>
      <c r="T173" s="1575" t="n">
        <f aca="false">Q173*R173/S173</f>
        <v>23267.3421056381</v>
      </c>
      <c r="U173" s="1540" t="n">
        <f aca="false">$I173</f>
        <v>480</v>
      </c>
      <c r="V173" s="1575" t="n">
        <f aca="false">T173*U173/1000</f>
        <v>11168.3242107063</v>
      </c>
      <c r="W173" s="1565" t="n">
        <f aca="false">R173</f>
        <v>2.85331312259178</v>
      </c>
      <c r="X173" s="394" t="n">
        <f aca="false">V173/W173</f>
        <v>3914.16004162966</v>
      </c>
      <c r="Y173" s="1579" t="str">
        <f aca="false">IF(MONTH($A173)=12,SUM(X162:X173)," ")</f>
        <v> </v>
      </c>
      <c r="AA173" s="1595" t="n">
        <f aca="false">IF($A173&gt;Endyr,0,VLOOKUP($A173,Tariff_Table,Tariff!$I$33))</f>
        <v>2.31</v>
      </c>
      <c r="AB173" s="1565" t="n">
        <f aca="false">$AS173</f>
        <v>1.41950215794747</v>
      </c>
      <c r="AC173" s="1596" t="n">
        <f aca="false">AA173*AB173</f>
        <v>3.27904998485866</v>
      </c>
      <c r="AD173" s="1565" t="n">
        <f aca="false">$F173</f>
        <v>2.85331312259178</v>
      </c>
      <c r="AE173" s="427" t="n">
        <f aca="false">$G173</f>
        <v>1.065</v>
      </c>
      <c r="AF173" s="1596" t="n">
        <f aca="false">AC173*AD173/AE173</f>
        <v>8.78512333467758</v>
      </c>
      <c r="AG173" s="397" t="n">
        <f aca="false">VLOOKUP($A173,Plant_Table,'Plant Operations'!$M$270)</f>
        <v>298980.864</v>
      </c>
      <c r="AH173" s="1575" t="n">
        <f aca="false">AF173*AG173/1000</f>
        <v>2626.58376494846</v>
      </c>
      <c r="AI173" s="1565" t="n">
        <f aca="false">AD173</f>
        <v>2.85331312259178</v>
      </c>
      <c r="AJ173" s="1566" t="n">
        <f aca="false">AH173/AI173</f>
        <v>920.538213682846</v>
      </c>
      <c r="AK173" s="1567" t="str">
        <f aca="false">IF(MONTH($A173)=12,SUM(AJ162:AJ173)," ")</f>
        <v> </v>
      </c>
      <c r="AM173" s="488" t="n">
        <f aca="false">IF($A173&gt;Endyr,0,VLOOKUP($A173,Tariff_Table,Tariff!$L$33))</f>
        <v>1.21</v>
      </c>
      <c r="AN173" s="1576" t="n">
        <f aca="false">VLOOKUP($A173,Curves_Table,Escalation!$Z$291)</f>
        <v>1.5061761575234</v>
      </c>
      <c r="AO173" s="1314" t="n">
        <f aca="false">AM173*AN173</f>
        <v>1.82247315060331</v>
      </c>
      <c r="AP173" s="1314" t="n">
        <f aca="false">IF($A173&gt;Endyr,0,VLOOKUP($A173,Tariff_Table,Tariff!$M$33))</f>
        <v>0.25</v>
      </c>
      <c r="AQ173" s="1314" t="n">
        <f aca="false">SUM(AO173,AP173)</f>
        <v>2.07247315060331</v>
      </c>
      <c r="AR173" s="1314" t="n">
        <f aca="false">SUM(AM173,AP173)</f>
        <v>1.46</v>
      </c>
      <c r="AS173" s="1598" t="n">
        <f aca="false">IF(AR173=0,0,AQ173/AR173)</f>
        <v>1.41950215794747</v>
      </c>
    </row>
    <row r="174" customFormat="false" ht="12.75" hidden="false" customHeight="false" outlineLevel="0" collapsed="false">
      <c r="A174" s="1538" t="n">
        <f aca="false">EDATE(A173,1)</f>
        <v>41883</v>
      </c>
      <c r="C174" s="1595" t="n">
        <f aca="false">IF($A174&gt;Endyr,0,VLOOKUP($A174,Tariff_Table,Tariff!$G$33))</f>
        <v>7424.62</v>
      </c>
      <c r="D174" s="1565" t="n">
        <f aca="false">VLOOKUP($A174,Curves_Table,Escalation!$V$291)</f>
        <v>1.55739783154092</v>
      </c>
      <c r="E174" s="1596" t="n">
        <f aca="false">C174*D174</f>
        <v>11563.0870880153</v>
      </c>
      <c r="F174" s="1565" t="n">
        <f aca="false">IF(Assm!$L$74=0,VLOOKUP($A174,Curves_Table,Escalation!$D$291),VLOOKUP($A174,Curves_Table,Escalation!$E$291))</f>
        <v>2.85802450028983</v>
      </c>
      <c r="G174" s="427" t="n">
        <f aca="false">IF($A174&lt;EE_Date,VLOOKUP($A174,Curves_Table,Escalation!$D$291),Exch)</f>
        <v>1.065</v>
      </c>
      <c r="H174" s="1596" t="n">
        <f aca="false">E174*F174/G174</f>
        <v>31030.5973676365</v>
      </c>
      <c r="I174" s="1540" t="n">
        <f aca="false">VLOOKUP($A174,Plant_Table,'Plant Operations'!$C$270)</f>
        <v>480</v>
      </c>
      <c r="J174" s="1575" t="n">
        <f aca="false">H174*I174/1000</f>
        <v>14894.6867364655</v>
      </c>
      <c r="K174" s="1565" t="n">
        <f aca="false">F174</f>
        <v>2.85802450028983</v>
      </c>
      <c r="L174" s="394" t="n">
        <f aca="false">J174/K174</f>
        <v>5211.53220868297</v>
      </c>
      <c r="M174" s="1579" t="str">
        <f aca="false">IF(MONTH($A174)=12,SUM(L163:L174)," ")</f>
        <v> </v>
      </c>
      <c r="O174" s="1597" t="n">
        <f aca="false">IF($A174&gt;Endyr,0,VLOOKUP($A174,Tariff_Table,Tariff!$H$33))</f>
        <v>6118.02</v>
      </c>
      <c r="P174" s="1565" t="n">
        <f aca="false">$AS174</f>
        <v>1.41950215794747</v>
      </c>
      <c r="Q174" s="1575" t="n">
        <f aca="false">O174*P174</f>
        <v>8684.5425923658</v>
      </c>
      <c r="R174" s="1565" t="n">
        <f aca="false">$F174</f>
        <v>2.85802450028983</v>
      </c>
      <c r="S174" s="427" t="n">
        <f aca="false">$G174</f>
        <v>1.065</v>
      </c>
      <c r="T174" s="1575" t="n">
        <f aca="false">Q174*R174/S174</f>
        <v>23305.7610354855</v>
      </c>
      <c r="U174" s="1540" t="n">
        <f aca="false">$I174</f>
        <v>480</v>
      </c>
      <c r="V174" s="1575" t="n">
        <f aca="false">T174*U174/1000</f>
        <v>11186.765297033</v>
      </c>
      <c r="W174" s="1565" t="n">
        <f aca="false">R174</f>
        <v>2.85802450028983</v>
      </c>
      <c r="X174" s="394" t="n">
        <f aca="false">V174/W174</f>
        <v>3914.16004162966</v>
      </c>
      <c r="Y174" s="1579" t="str">
        <f aca="false">IF(MONTH($A174)=12,SUM(X163:X174)," ")</f>
        <v> </v>
      </c>
      <c r="AA174" s="1595" t="n">
        <f aca="false">IF($A174&gt;Endyr,0,VLOOKUP($A174,Tariff_Table,Tariff!$I$33))</f>
        <v>2.31</v>
      </c>
      <c r="AB174" s="1565" t="n">
        <f aca="false">$AS174</f>
        <v>1.41950215794747</v>
      </c>
      <c r="AC174" s="1596" t="n">
        <f aca="false">AA174*AB174</f>
        <v>3.27904998485866</v>
      </c>
      <c r="AD174" s="1565" t="n">
        <f aca="false">$F174</f>
        <v>2.85802450028983</v>
      </c>
      <c r="AE174" s="427" t="n">
        <f aca="false">$G174</f>
        <v>1.065</v>
      </c>
      <c r="AF174" s="1596" t="n">
        <f aca="false">AC174*AD174/AE174</f>
        <v>8.79962929051744</v>
      </c>
      <c r="AG174" s="397" t="n">
        <f aca="false">VLOOKUP($A174,Plant_Table,'Plant Operations'!$M$270)</f>
        <v>289336.32</v>
      </c>
      <c r="AH174" s="1575" t="n">
        <f aca="false">AF174*AG174/1000</f>
        <v>2546.05235628253</v>
      </c>
      <c r="AI174" s="1565" t="n">
        <f aca="false">AD174</f>
        <v>2.85802450028983</v>
      </c>
      <c r="AJ174" s="1566" t="n">
        <f aca="false">AH174/AI174</f>
        <v>890.843432596302</v>
      </c>
      <c r="AK174" s="1567" t="str">
        <f aca="false">IF(MONTH($A174)=12,SUM(AJ163:AJ174)," ")</f>
        <v> </v>
      </c>
      <c r="AM174" s="488" t="n">
        <f aca="false">IF($A174&gt;Endyr,0,VLOOKUP($A174,Tariff_Table,Tariff!$L$33))</f>
        <v>1.21</v>
      </c>
      <c r="AN174" s="1576" t="n">
        <f aca="false">VLOOKUP($A174,Curves_Table,Escalation!$Z$291)</f>
        <v>1.5061761575234</v>
      </c>
      <c r="AO174" s="1314" t="n">
        <f aca="false">AM174*AN174</f>
        <v>1.82247315060331</v>
      </c>
      <c r="AP174" s="1314" t="n">
        <f aca="false">IF($A174&gt;Endyr,0,VLOOKUP($A174,Tariff_Table,Tariff!$M$33))</f>
        <v>0.25</v>
      </c>
      <c r="AQ174" s="1314" t="n">
        <f aca="false">SUM(AO174,AP174)</f>
        <v>2.07247315060331</v>
      </c>
      <c r="AR174" s="1314" t="n">
        <f aca="false">SUM(AM174,AP174)</f>
        <v>1.46</v>
      </c>
      <c r="AS174" s="1598" t="n">
        <f aca="false">IF(AR174=0,0,AQ174/AR174)</f>
        <v>1.41950215794747</v>
      </c>
    </row>
    <row r="175" customFormat="false" ht="12.75" hidden="false" customHeight="false" outlineLevel="0" collapsed="false">
      <c r="A175" s="1538" t="n">
        <f aca="false">EDATE(A174,1)</f>
        <v>41913</v>
      </c>
      <c r="C175" s="1595" t="n">
        <f aca="false">IF($A175&gt;Endyr,0,VLOOKUP($A175,Tariff_Table,Tariff!$G$33))</f>
        <v>7424.62</v>
      </c>
      <c r="D175" s="1565" t="n">
        <f aca="false">VLOOKUP($A175,Curves_Table,Escalation!$V$291)</f>
        <v>1.55739783154092</v>
      </c>
      <c r="E175" s="1596" t="n">
        <f aca="false">C175*D175</f>
        <v>11563.0870880153</v>
      </c>
      <c r="F175" s="1565" t="n">
        <f aca="false">IF(Assm!$L$74=0,VLOOKUP($A175,Curves_Table,Escalation!$D$291),VLOOKUP($A175,Curves_Table,Escalation!$E$291))</f>
        <v>2.86274365739339</v>
      </c>
      <c r="G175" s="427" t="n">
        <f aca="false">IF($A175&lt;EE_Date,VLOOKUP($A175,Curves_Table,Escalation!$D$291),Exch)</f>
        <v>1.065</v>
      </c>
      <c r="H175" s="1596" t="n">
        <f aca="false">E175*F175/G175</f>
        <v>31081.8349493927</v>
      </c>
      <c r="I175" s="1540" t="n">
        <f aca="false">VLOOKUP($A175,Plant_Table,'Plant Operations'!$C$270)</f>
        <v>480</v>
      </c>
      <c r="J175" s="1575" t="n">
        <f aca="false">H175*I175/1000</f>
        <v>14919.2807757085</v>
      </c>
      <c r="K175" s="1565" t="n">
        <f aca="false">F175</f>
        <v>2.86274365739339</v>
      </c>
      <c r="L175" s="394" t="n">
        <f aca="false">J175/K175</f>
        <v>5211.53220868297</v>
      </c>
      <c r="M175" s="1579" t="str">
        <f aca="false">IF(MONTH($A175)=12,SUM(L164:L175)," ")</f>
        <v> </v>
      </c>
      <c r="O175" s="1597" t="n">
        <f aca="false">IF($A175&gt;Endyr,0,VLOOKUP($A175,Tariff_Table,Tariff!$H$33))</f>
        <v>6118.02</v>
      </c>
      <c r="P175" s="1565" t="n">
        <f aca="false">$AS175</f>
        <v>1.41950215794747</v>
      </c>
      <c r="Q175" s="1575" t="n">
        <f aca="false">O175*P175</f>
        <v>8684.5425923658</v>
      </c>
      <c r="R175" s="1565" t="n">
        <f aca="false">$F175</f>
        <v>2.86274365739339</v>
      </c>
      <c r="S175" s="427" t="n">
        <f aca="false">$G175</f>
        <v>1.065</v>
      </c>
      <c r="T175" s="1575" t="n">
        <f aca="false">Q175*R175/S175</f>
        <v>23344.2434024957</v>
      </c>
      <c r="U175" s="1540" t="n">
        <f aca="false">$I175</f>
        <v>480</v>
      </c>
      <c r="V175" s="1575" t="n">
        <f aca="false">T175*U175/1000</f>
        <v>11205.2368331979</v>
      </c>
      <c r="W175" s="1565" t="n">
        <f aca="false">R175</f>
        <v>2.86274365739339</v>
      </c>
      <c r="X175" s="394" t="n">
        <f aca="false">V175/W175</f>
        <v>3914.16004162966</v>
      </c>
      <c r="Y175" s="1579" t="str">
        <f aca="false">IF(MONTH($A175)=12,SUM(X164:X175)," ")</f>
        <v> </v>
      </c>
      <c r="AA175" s="1595" t="n">
        <f aca="false">IF($A175&gt;Endyr,0,VLOOKUP($A175,Tariff_Table,Tariff!$I$33))</f>
        <v>2.31</v>
      </c>
      <c r="AB175" s="1565" t="n">
        <f aca="false">$AS175</f>
        <v>1.41950215794747</v>
      </c>
      <c r="AC175" s="1596" t="n">
        <f aca="false">AA175*AB175</f>
        <v>3.27904998485866</v>
      </c>
      <c r="AD175" s="1565" t="n">
        <f aca="false">$F175</f>
        <v>2.86274365739339</v>
      </c>
      <c r="AE175" s="427" t="n">
        <f aca="false">$G175</f>
        <v>1.065</v>
      </c>
      <c r="AF175" s="1596" t="n">
        <f aca="false">AC175*AD175/AE175</f>
        <v>8.81415919852585</v>
      </c>
      <c r="AG175" s="397" t="n">
        <f aca="false">VLOOKUP($A175,Plant_Table,'Plant Operations'!$M$270)</f>
        <v>298980.864</v>
      </c>
      <c r="AH175" s="1575" t="n">
        <f aca="false">AF175*AG175/1000</f>
        <v>2635.26493260881</v>
      </c>
      <c r="AI175" s="1565" t="n">
        <f aca="false">AD175</f>
        <v>2.86274365739339</v>
      </c>
      <c r="AJ175" s="1566" t="n">
        <f aca="false">AH175/AI175</f>
        <v>920.538213682846</v>
      </c>
      <c r="AK175" s="1567" t="str">
        <f aca="false">IF(MONTH($A175)=12,SUM(AJ164:AJ175)," ")</f>
        <v> </v>
      </c>
      <c r="AM175" s="488" t="n">
        <f aca="false">IF($A175&gt;Endyr,0,VLOOKUP($A175,Tariff_Table,Tariff!$L$33))</f>
        <v>1.21</v>
      </c>
      <c r="AN175" s="1576" t="n">
        <f aca="false">VLOOKUP($A175,Curves_Table,Escalation!$Z$291)</f>
        <v>1.5061761575234</v>
      </c>
      <c r="AO175" s="1314" t="n">
        <f aca="false">AM175*AN175</f>
        <v>1.82247315060331</v>
      </c>
      <c r="AP175" s="1314" t="n">
        <f aca="false">IF($A175&gt;Endyr,0,VLOOKUP($A175,Tariff_Table,Tariff!$M$33))</f>
        <v>0.25</v>
      </c>
      <c r="AQ175" s="1314" t="n">
        <f aca="false">SUM(AO175,AP175)</f>
        <v>2.07247315060331</v>
      </c>
      <c r="AR175" s="1314" t="n">
        <f aca="false">SUM(AM175,AP175)</f>
        <v>1.46</v>
      </c>
      <c r="AS175" s="1598" t="n">
        <f aca="false">IF(AR175=0,0,AQ175/AR175)</f>
        <v>1.41950215794747</v>
      </c>
    </row>
    <row r="176" customFormat="false" ht="12.75" hidden="false" customHeight="false" outlineLevel="0" collapsed="false">
      <c r="A176" s="1538" t="n">
        <f aca="false">EDATE(A175,1)</f>
        <v>41944</v>
      </c>
      <c r="C176" s="1595" t="n">
        <f aca="false">IF($A176&gt;Endyr,0,VLOOKUP($A176,Tariff_Table,Tariff!$G$33))</f>
        <v>7424.62</v>
      </c>
      <c r="D176" s="1565" t="n">
        <f aca="false">VLOOKUP($A176,Curves_Table,Escalation!$V$291)</f>
        <v>1.55739783154092</v>
      </c>
      <c r="E176" s="1596" t="n">
        <f aca="false">C176*D176</f>
        <v>11563.0870880153</v>
      </c>
      <c r="F176" s="1565" t="n">
        <f aca="false">IF(Assm!$L$74=0,VLOOKUP($A176,Curves_Table,Escalation!$D$291),VLOOKUP($A176,Curves_Table,Escalation!$E$291))</f>
        <v>2.86747060674777</v>
      </c>
      <c r="G176" s="427" t="n">
        <f aca="false">IF($A176&lt;EE_Date,VLOOKUP($A176,Curves_Table,Escalation!$D$291),Exch)</f>
        <v>1.065</v>
      </c>
      <c r="H176" s="1596" t="n">
        <f aca="false">E176*F176/G176</f>
        <v>31133.1571344118</v>
      </c>
      <c r="I176" s="1540" t="n">
        <f aca="false">VLOOKUP($A176,Plant_Table,'Plant Operations'!$C$270)</f>
        <v>480</v>
      </c>
      <c r="J176" s="1575" t="n">
        <f aca="false">H176*I176/1000</f>
        <v>14943.9154245177</v>
      </c>
      <c r="K176" s="1565" t="n">
        <f aca="false">F176</f>
        <v>2.86747060674777</v>
      </c>
      <c r="L176" s="394" t="n">
        <f aca="false">J176/K176</f>
        <v>5211.53220868297</v>
      </c>
      <c r="M176" s="1579" t="str">
        <f aca="false">IF(MONTH($A176)=12,SUM(L165:L176)," ")</f>
        <v> </v>
      </c>
      <c r="O176" s="1597" t="n">
        <f aca="false">IF($A176&gt;Endyr,0,VLOOKUP($A176,Tariff_Table,Tariff!$H$33))</f>
        <v>6118.02</v>
      </c>
      <c r="P176" s="1565" t="n">
        <f aca="false">$AS176</f>
        <v>1.41950215794747</v>
      </c>
      <c r="Q176" s="1575" t="n">
        <f aca="false">O176*P176</f>
        <v>8684.5425923658</v>
      </c>
      <c r="R176" s="1565" t="n">
        <f aca="false">$F176</f>
        <v>2.86747060674777</v>
      </c>
      <c r="S176" s="427" t="n">
        <f aca="false">$G176</f>
        <v>1.065</v>
      </c>
      <c r="T176" s="1575" t="n">
        <f aca="false">Q176*R176/S176</f>
        <v>23382.789311416</v>
      </c>
      <c r="U176" s="1540" t="n">
        <f aca="false">$I176</f>
        <v>480</v>
      </c>
      <c r="V176" s="1575" t="n">
        <f aca="false">T176*U176/1000</f>
        <v>11223.7388694797</v>
      </c>
      <c r="W176" s="1565" t="n">
        <f aca="false">R176</f>
        <v>2.86747060674777</v>
      </c>
      <c r="X176" s="394" t="n">
        <f aca="false">V176/W176</f>
        <v>3914.16004162966</v>
      </c>
      <c r="Y176" s="1579" t="str">
        <f aca="false">IF(MONTH($A176)=12,SUM(X165:X176)," ")</f>
        <v> </v>
      </c>
      <c r="AA176" s="1595" t="n">
        <f aca="false">IF($A176&gt;Endyr,0,VLOOKUP($A176,Tariff_Table,Tariff!$I$33))</f>
        <v>2.31</v>
      </c>
      <c r="AB176" s="1565" t="n">
        <f aca="false">$AS176</f>
        <v>1.41950215794747</v>
      </c>
      <c r="AC176" s="1596" t="n">
        <f aca="false">AA176*AB176</f>
        <v>3.27904998485866</v>
      </c>
      <c r="AD176" s="1565" t="n">
        <f aca="false">$F176</f>
        <v>2.86747060674777</v>
      </c>
      <c r="AE176" s="427" t="n">
        <f aca="false">$G176</f>
        <v>1.065</v>
      </c>
      <c r="AF176" s="1596" t="n">
        <f aca="false">AC176*AD176/AE176</f>
        <v>8.82871309825251</v>
      </c>
      <c r="AG176" s="397" t="n">
        <f aca="false">VLOOKUP($A176,Plant_Table,'Plant Operations'!$M$270)</f>
        <v>289336.32</v>
      </c>
      <c r="AH176" s="1575" t="n">
        <f aca="false">AF176*AG176/1000</f>
        <v>2554.46735818418</v>
      </c>
      <c r="AI176" s="1565" t="n">
        <f aca="false">AD176</f>
        <v>2.86747060674777</v>
      </c>
      <c r="AJ176" s="1566" t="n">
        <f aca="false">AH176/AI176</f>
        <v>890.843432596302</v>
      </c>
      <c r="AK176" s="1567" t="str">
        <f aca="false">IF(MONTH($A176)=12,SUM(AJ165:AJ176)," ")</f>
        <v> </v>
      </c>
      <c r="AM176" s="488" t="n">
        <f aca="false">IF($A176&gt;Endyr,0,VLOOKUP($A176,Tariff_Table,Tariff!$L$33))</f>
        <v>1.21</v>
      </c>
      <c r="AN176" s="1576" t="n">
        <f aca="false">VLOOKUP($A176,Curves_Table,Escalation!$Z$291)</f>
        <v>1.5061761575234</v>
      </c>
      <c r="AO176" s="1314" t="n">
        <f aca="false">AM176*AN176</f>
        <v>1.82247315060331</v>
      </c>
      <c r="AP176" s="1314" t="n">
        <f aca="false">IF($A176&gt;Endyr,0,VLOOKUP($A176,Tariff_Table,Tariff!$M$33))</f>
        <v>0.25</v>
      </c>
      <c r="AQ176" s="1314" t="n">
        <f aca="false">SUM(AO176,AP176)</f>
        <v>2.07247315060331</v>
      </c>
      <c r="AR176" s="1314" t="n">
        <f aca="false">SUM(AM176,AP176)</f>
        <v>1.46</v>
      </c>
      <c r="AS176" s="1598" t="n">
        <f aca="false">IF(AR176=0,0,AQ176/AR176)</f>
        <v>1.41950215794747</v>
      </c>
    </row>
    <row r="177" customFormat="false" ht="12.75" hidden="false" customHeight="false" outlineLevel="0" collapsed="false">
      <c r="A177" s="1538" t="n">
        <f aca="false">EDATE(A176,1)</f>
        <v>41974</v>
      </c>
      <c r="C177" s="1595" t="n">
        <f aca="false">IF($A177&gt;Endyr,0,VLOOKUP($A177,Tariff_Table,Tariff!$G$33))</f>
        <v>7424.62</v>
      </c>
      <c r="D177" s="1565" t="n">
        <f aca="false">VLOOKUP($A177,Curves_Table,Escalation!$V$291)</f>
        <v>1.55739783154092</v>
      </c>
      <c r="E177" s="1596" t="n">
        <f aca="false">C177*D177</f>
        <v>11563.0870880153</v>
      </c>
      <c r="F177" s="1565" t="n">
        <f aca="false">IF(Assm!$L$74=0,VLOOKUP($A177,Curves_Table,Escalation!$D$291),VLOOKUP($A177,Curves_Table,Escalation!$E$291))</f>
        <v>2.8722053612195</v>
      </c>
      <c r="G177" s="427" t="n">
        <f aca="false">IF($A177&lt;EE_Date,VLOOKUP($A177,Curves_Table,Escalation!$D$291),Exch)</f>
        <v>1.065</v>
      </c>
      <c r="H177" s="1596" t="n">
        <f aca="false">E177*F177/G177</f>
        <v>31184.5640623902</v>
      </c>
      <c r="I177" s="1540" t="n">
        <f aca="false">VLOOKUP($A177,Plant_Table,'Plant Operations'!$C$270)</f>
        <v>480</v>
      </c>
      <c r="J177" s="1575" t="n">
        <f aca="false">H177*I177/1000</f>
        <v>14968.5907499473</v>
      </c>
      <c r="K177" s="1565" t="n">
        <f aca="false">F177</f>
        <v>2.8722053612195</v>
      </c>
      <c r="L177" s="394" t="n">
        <f aca="false">J177/K177</f>
        <v>5211.53220868296</v>
      </c>
      <c r="M177" s="1579" t="n">
        <f aca="false">IF(MONTH($A177)=12,SUM(L166:L177)," ")</f>
        <v>62048.6921912587</v>
      </c>
      <c r="O177" s="1597" t="n">
        <f aca="false">IF($A177&gt;Endyr,0,VLOOKUP($A177,Tariff_Table,Tariff!$H$33))</f>
        <v>6118.02</v>
      </c>
      <c r="P177" s="1565" t="n">
        <f aca="false">$AS177</f>
        <v>1.41950215794747</v>
      </c>
      <c r="Q177" s="1575" t="n">
        <f aca="false">O177*P177</f>
        <v>8684.5425923658</v>
      </c>
      <c r="R177" s="1565" t="n">
        <f aca="false">$F177</f>
        <v>2.8722053612195</v>
      </c>
      <c r="S177" s="427" t="n">
        <f aca="false">$G177</f>
        <v>1.065</v>
      </c>
      <c r="T177" s="1575" t="n">
        <f aca="false">Q177*R177/S177</f>
        <v>23421.3988671663</v>
      </c>
      <c r="U177" s="1540" t="n">
        <f aca="false">$I177</f>
        <v>480</v>
      </c>
      <c r="V177" s="1575" t="n">
        <f aca="false">T177*U177/1000</f>
        <v>11242.2714562398</v>
      </c>
      <c r="W177" s="1565" t="n">
        <f aca="false">R177</f>
        <v>2.8722053612195</v>
      </c>
      <c r="X177" s="394" t="n">
        <f aca="false">V177/W177</f>
        <v>3914.16004162966</v>
      </c>
      <c r="Y177" s="1579" t="n">
        <f aca="false">IF(MONTH($A177)=12,SUM(X166:X177)," ")</f>
        <v>46735.6468525409</v>
      </c>
      <c r="AA177" s="1595" t="n">
        <f aca="false">IF($A177&gt;Endyr,0,VLOOKUP($A177,Tariff_Table,Tariff!$I$33))</f>
        <v>2.31</v>
      </c>
      <c r="AB177" s="1565" t="n">
        <f aca="false">$AS177</f>
        <v>1.41950215794747</v>
      </c>
      <c r="AC177" s="1596" t="n">
        <f aca="false">AA177*AB177</f>
        <v>3.27904998485866</v>
      </c>
      <c r="AD177" s="1565" t="n">
        <f aca="false">$F177</f>
        <v>2.8722053612195</v>
      </c>
      <c r="AE177" s="427" t="n">
        <f aca="false">$G177</f>
        <v>1.065</v>
      </c>
      <c r="AF177" s="1596" t="n">
        <f aca="false">AC177*AD177/AE177</f>
        <v>8.84329102931245</v>
      </c>
      <c r="AG177" s="397" t="n">
        <f aca="false">VLOOKUP($A177,Plant_Table,'Plant Operations'!$M$270)</f>
        <v>298980.864</v>
      </c>
      <c r="AH177" s="1575" t="n">
        <f aca="false">AF177*AG177/1000</f>
        <v>2643.97479254729</v>
      </c>
      <c r="AI177" s="1565" t="n">
        <f aca="false">AD177</f>
        <v>2.8722053612195</v>
      </c>
      <c r="AJ177" s="1566" t="n">
        <f aca="false">AH177/AI177</f>
        <v>920.538213682846</v>
      </c>
      <c r="AK177" s="1567" t="n">
        <f aca="false">IF(MONTH($A177)=12,SUM(AJ166:AJ177)," ")</f>
        <v>10783.9535903149</v>
      </c>
      <c r="AM177" s="488" t="n">
        <f aca="false">IF($A177&gt;Endyr,0,VLOOKUP($A177,Tariff_Table,Tariff!$L$33))</f>
        <v>1.21</v>
      </c>
      <c r="AN177" s="1576" t="n">
        <f aca="false">VLOOKUP($A177,Curves_Table,Escalation!$Z$291)</f>
        <v>1.5061761575234</v>
      </c>
      <c r="AO177" s="1314" t="n">
        <f aca="false">AM177*AN177</f>
        <v>1.82247315060331</v>
      </c>
      <c r="AP177" s="1314" t="n">
        <f aca="false">IF($A177&gt;Endyr,0,VLOOKUP($A177,Tariff_Table,Tariff!$M$33))</f>
        <v>0.25</v>
      </c>
      <c r="AQ177" s="1314" t="n">
        <f aca="false">SUM(AO177,AP177)</f>
        <v>2.07247315060331</v>
      </c>
      <c r="AR177" s="1314" t="n">
        <f aca="false">SUM(AM177,AP177)</f>
        <v>1.46</v>
      </c>
      <c r="AS177" s="1598" t="n">
        <f aca="false">IF(AR177=0,0,AQ177/AR177)</f>
        <v>1.41950215794747</v>
      </c>
    </row>
    <row r="178" customFormat="false" ht="12.75" hidden="false" customHeight="false" outlineLevel="0" collapsed="false">
      <c r="A178" s="1538" t="n">
        <f aca="false">EDATE(A177,1)</f>
        <v>42005</v>
      </c>
      <c r="C178" s="1595" t="n">
        <f aca="false">IF($A178&gt;Endyr,0,VLOOKUP($A178,Tariff_Table,Tariff!$G$33))</f>
        <v>7424.62</v>
      </c>
      <c r="D178" s="1565" t="n">
        <f aca="false">VLOOKUP($A178,Curves_Table,Escalation!$V$291)</f>
        <v>1.55739783154092</v>
      </c>
      <c r="E178" s="1596" t="n">
        <f aca="false">C178*D178</f>
        <v>11563.0870880153</v>
      </c>
      <c r="F178" s="1565" t="n">
        <f aca="false">IF(Assm!$L$74=0,VLOOKUP($A178,Curves_Table,Escalation!$D$291),VLOOKUP($A178,Curves_Table,Escalation!$E$291))</f>
        <v>2.87694237018618</v>
      </c>
      <c r="G178" s="427" t="n">
        <f aca="false">IF($A178&lt;EE_Date,VLOOKUP($A178,Curves_Table,Escalation!$D$291),Exch)</f>
        <v>1.065</v>
      </c>
      <c r="H178" s="1596" t="n">
        <f aca="false">E178*F178/G178</f>
        <v>31235.9954682292</v>
      </c>
      <c r="I178" s="1540" t="n">
        <f aca="false">VLOOKUP($A178,Plant_Table,'Plant Operations'!$C$270)</f>
        <v>480</v>
      </c>
      <c r="J178" s="1575" t="n">
        <f aca="false">H178*I178/1000</f>
        <v>14993.27782475</v>
      </c>
      <c r="K178" s="1565" t="n">
        <f aca="false">F178</f>
        <v>2.87694237018618</v>
      </c>
      <c r="L178" s="394" t="n">
        <f aca="false">J178/K178</f>
        <v>5211.53220868297</v>
      </c>
      <c r="M178" s="1579" t="str">
        <f aca="false">IF(MONTH($A178)=12,SUM(L167:L178)," ")</f>
        <v> </v>
      </c>
      <c r="O178" s="1597" t="n">
        <f aca="false">IF($A178&gt;Endyr,0,VLOOKUP($A178,Tariff_Table,Tariff!$H$33))</f>
        <v>6118.02</v>
      </c>
      <c r="P178" s="1565" t="n">
        <f aca="false">$AS178</f>
        <v>1.41950215794747</v>
      </c>
      <c r="Q178" s="1575" t="n">
        <f aca="false">O178*P178</f>
        <v>8684.5425923658</v>
      </c>
      <c r="R178" s="1565" t="n">
        <f aca="false">$F178</f>
        <v>2.87694237018618</v>
      </c>
      <c r="S178" s="427" t="n">
        <f aca="false">$G178</f>
        <v>1.065</v>
      </c>
      <c r="T178" s="1575" t="n">
        <f aca="false">Q178*R178/S178</f>
        <v>23460.026807196</v>
      </c>
      <c r="U178" s="1540" t="n">
        <f aca="false">$I178</f>
        <v>480</v>
      </c>
      <c r="V178" s="1575" t="n">
        <f aca="false">T178*U178/1000</f>
        <v>11260.8128674541</v>
      </c>
      <c r="W178" s="1565" t="n">
        <f aca="false">R178</f>
        <v>2.87694237018618</v>
      </c>
      <c r="X178" s="394" t="n">
        <f aca="false">V178/W178</f>
        <v>3914.16004162966</v>
      </c>
      <c r="Y178" s="1579" t="str">
        <f aca="false">IF(MONTH($A178)=12,SUM(X167:X178)," ")</f>
        <v> </v>
      </c>
      <c r="AA178" s="1595" t="n">
        <f aca="false">IF($A178&gt;Endyr,0,VLOOKUP($A178,Tariff_Table,Tariff!$I$33))</f>
        <v>2.31</v>
      </c>
      <c r="AB178" s="1565" t="n">
        <f aca="false">$AS178</f>
        <v>1.41950215794747</v>
      </c>
      <c r="AC178" s="1596" t="n">
        <f aca="false">AA178*AB178</f>
        <v>3.27904998485866</v>
      </c>
      <c r="AD178" s="1565" t="n">
        <f aca="false">$F178</f>
        <v>2.87694237018618</v>
      </c>
      <c r="AE178" s="427" t="n">
        <f aca="false">$G178</f>
        <v>1.065</v>
      </c>
      <c r="AF178" s="1596" t="n">
        <f aca="false">AC178*AD178/AE178</f>
        <v>8.8578759017824</v>
      </c>
      <c r="AG178" s="397" t="n">
        <f aca="false">VLOOKUP($A178,Plant_Table,'Plant Operations'!$M$270)</f>
        <v>298980.864</v>
      </c>
      <c r="AH178" s="1575" t="n">
        <f aca="false">AF178*AG178/1000</f>
        <v>2648.33539031968</v>
      </c>
      <c r="AI178" s="1565" t="n">
        <f aca="false">AD178</f>
        <v>2.87694237018618</v>
      </c>
      <c r="AJ178" s="1566" t="n">
        <f aca="false">AH178/AI178</f>
        <v>920.538213682846</v>
      </c>
      <c r="AK178" s="1567" t="str">
        <f aca="false">IF(MONTH($A178)=12,SUM(AJ167:AJ178)," ")</f>
        <v> </v>
      </c>
      <c r="AM178" s="488" t="n">
        <f aca="false">IF($A178&gt;Endyr,0,VLOOKUP($A178,Tariff_Table,Tariff!$L$33))</f>
        <v>1.21</v>
      </c>
      <c r="AN178" s="1576" t="n">
        <f aca="false">VLOOKUP($A178,Curves_Table,Escalation!$Z$291)</f>
        <v>1.5061761575234</v>
      </c>
      <c r="AO178" s="1314" t="n">
        <f aca="false">AM178*AN178</f>
        <v>1.82247315060331</v>
      </c>
      <c r="AP178" s="1314" t="n">
        <f aca="false">IF($A178&gt;Endyr,0,VLOOKUP($A178,Tariff_Table,Tariff!$M$33))</f>
        <v>0.25</v>
      </c>
      <c r="AQ178" s="1314" t="n">
        <f aca="false">SUM(AO178,AP178)</f>
        <v>2.07247315060331</v>
      </c>
      <c r="AR178" s="1314" t="n">
        <f aca="false">SUM(AM178,AP178)</f>
        <v>1.46</v>
      </c>
      <c r="AS178" s="1598" t="n">
        <f aca="false">IF(AR178=0,0,AQ178/AR178)</f>
        <v>1.41950215794747</v>
      </c>
    </row>
    <row r="179" customFormat="false" ht="12.75" hidden="false" customHeight="false" outlineLevel="0" collapsed="false">
      <c r="A179" s="1538" t="n">
        <f aca="false">EDATE(A178,1)</f>
        <v>42036</v>
      </c>
      <c r="C179" s="1595" t="n">
        <f aca="false">IF($A179&gt;Endyr,0,VLOOKUP($A179,Tariff_Table,Tariff!$G$33))</f>
        <v>7424.62</v>
      </c>
      <c r="D179" s="1565" t="n">
        <f aca="false">VLOOKUP($A179,Curves_Table,Escalation!$V$291)</f>
        <v>1.55739783154092</v>
      </c>
      <c r="E179" s="1596" t="n">
        <f aca="false">C179*D179</f>
        <v>11563.0870880153</v>
      </c>
      <c r="F179" s="1565" t="n">
        <f aca="false">IF(Assm!$L$74=0,VLOOKUP($A179,Curves_Table,Escalation!$D$291),VLOOKUP($A179,Curves_Table,Escalation!$E$291))</f>
        <v>2.88168719170494</v>
      </c>
      <c r="G179" s="427" t="n">
        <f aca="false">IF($A179&lt;EE_Date,VLOOKUP($A179,Curves_Table,Escalation!$D$291),Exch)</f>
        <v>1.065</v>
      </c>
      <c r="H179" s="1596" t="n">
        <f aca="false">E179*F179/G179</f>
        <v>31287.5116977489</v>
      </c>
      <c r="I179" s="1540" t="n">
        <f aca="false">VLOOKUP($A179,Plant_Table,'Plant Operations'!$C$270)</f>
        <v>480</v>
      </c>
      <c r="J179" s="1575" t="n">
        <f aca="false">H179*I179/1000</f>
        <v>15018.0056149195</v>
      </c>
      <c r="K179" s="1565" t="n">
        <f aca="false">F179</f>
        <v>2.88168719170494</v>
      </c>
      <c r="L179" s="394" t="n">
        <f aca="false">J179/K179</f>
        <v>5211.53220868297</v>
      </c>
      <c r="M179" s="1579" t="str">
        <f aca="false">IF(MONTH($A179)=12,SUM(L168:L179)," ")</f>
        <v> </v>
      </c>
      <c r="O179" s="1597" t="n">
        <f aca="false">IF($A179&gt;Endyr,0,VLOOKUP($A179,Tariff_Table,Tariff!$H$33))</f>
        <v>6118.02</v>
      </c>
      <c r="P179" s="1565" t="n">
        <f aca="false">$AS179</f>
        <v>1.41950215794747</v>
      </c>
      <c r="Q179" s="1575" t="n">
        <f aca="false">O179*P179</f>
        <v>8684.5425923658</v>
      </c>
      <c r="R179" s="1565" t="n">
        <f aca="false">$F179</f>
        <v>2.88168719170494</v>
      </c>
      <c r="S179" s="427" t="n">
        <f aca="false">$G179</f>
        <v>1.065</v>
      </c>
      <c r="T179" s="1575" t="n">
        <f aca="false">Q179*R179/S179</f>
        <v>23498.7184546822</v>
      </c>
      <c r="U179" s="1540" t="n">
        <f aca="false">$I179</f>
        <v>480</v>
      </c>
      <c r="V179" s="1575" t="n">
        <f aca="false">T179*U179/1000</f>
        <v>11279.3848582475</v>
      </c>
      <c r="W179" s="1565" t="n">
        <f aca="false">R179</f>
        <v>2.88168719170494</v>
      </c>
      <c r="X179" s="394" t="n">
        <f aca="false">V179/W179</f>
        <v>3914.16004162966</v>
      </c>
      <c r="Y179" s="1579" t="str">
        <f aca="false">IF(MONTH($A179)=12,SUM(X168:X179)," ")</f>
        <v> </v>
      </c>
      <c r="AA179" s="1595" t="n">
        <f aca="false">IF($A179&gt;Endyr,0,VLOOKUP($A179,Tariff_Table,Tariff!$I$33))</f>
        <v>2.31</v>
      </c>
      <c r="AB179" s="1565" t="n">
        <f aca="false">$AS179</f>
        <v>1.41950215794747</v>
      </c>
      <c r="AC179" s="1596" t="n">
        <f aca="false">AA179*AB179</f>
        <v>3.27904998485866</v>
      </c>
      <c r="AD179" s="1565" t="n">
        <f aca="false">$F179</f>
        <v>2.88168719170494</v>
      </c>
      <c r="AE179" s="427" t="n">
        <f aca="false">$G179</f>
        <v>1.065</v>
      </c>
      <c r="AF179" s="1596" t="n">
        <f aca="false">AC179*AD179/AE179</f>
        <v>8.87248482847653</v>
      </c>
      <c r="AG179" s="397" t="n">
        <f aca="false">VLOOKUP($A179,Plant_Table,'Plant Operations'!$M$270)</f>
        <v>270047.232</v>
      </c>
      <c r="AH179" s="1575" t="n">
        <f aca="false">AF179*AG179/1000</f>
        <v>2395.98996889208</v>
      </c>
      <c r="AI179" s="1565" t="n">
        <f aca="false">AD179</f>
        <v>2.88168719170494</v>
      </c>
      <c r="AJ179" s="1566" t="n">
        <f aca="false">AH179/AI179</f>
        <v>831.453870423215</v>
      </c>
      <c r="AK179" s="1567" t="str">
        <f aca="false">IF(MONTH($A179)=12,SUM(AJ168:AJ179)," ")</f>
        <v> </v>
      </c>
      <c r="AM179" s="488" t="n">
        <f aca="false">IF($A179&gt;Endyr,0,VLOOKUP($A179,Tariff_Table,Tariff!$L$33))</f>
        <v>1.21</v>
      </c>
      <c r="AN179" s="1576" t="n">
        <f aca="false">VLOOKUP($A179,Curves_Table,Escalation!$Z$291)</f>
        <v>1.5061761575234</v>
      </c>
      <c r="AO179" s="1314" t="n">
        <f aca="false">AM179*AN179</f>
        <v>1.82247315060331</v>
      </c>
      <c r="AP179" s="1314" t="n">
        <f aca="false">IF($A179&gt;Endyr,0,VLOOKUP($A179,Tariff_Table,Tariff!$M$33))</f>
        <v>0.25</v>
      </c>
      <c r="AQ179" s="1314" t="n">
        <f aca="false">SUM(AO179,AP179)</f>
        <v>2.07247315060331</v>
      </c>
      <c r="AR179" s="1314" t="n">
        <f aca="false">SUM(AM179,AP179)</f>
        <v>1.46</v>
      </c>
      <c r="AS179" s="1598" t="n">
        <f aca="false">IF(AR179=0,0,AQ179/AR179)</f>
        <v>1.41950215794747</v>
      </c>
    </row>
    <row r="180" customFormat="false" ht="12.75" hidden="false" customHeight="false" outlineLevel="0" collapsed="false">
      <c r="A180" s="1538" t="n">
        <f aca="false">EDATE(A179,1)</f>
        <v>42064</v>
      </c>
      <c r="C180" s="1595" t="n">
        <f aca="false">IF($A180&gt;Endyr,0,VLOOKUP($A180,Tariff_Table,Tariff!$G$33))</f>
        <v>7424.62</v>
      </c>
      <c r="D180" s="1565" t="n">
        <f aca="false">VLOOKUP($A180,Curves_Table,Escalation!$V$291)</f>
        <v>1.55739783154092</v>
      </c>
      <c r="E180" s="1596" t="n">
        <f aca="false">C180*D180</f>
        <v>11563.0870880153</v>
      </c>
      <c r="F180" s="1565" t="n">
        <f aca="false">IF(Assm!$L$74=0,VLOOKUP($A180,Curves_Table,Escalation!$D$291),VLOOKUP($A180,Curves_Table,Escalation!$E$291))</f>
        <v>2.8864398386607</v>
      </c>
      <c r="G180" s="427" t="n">
        <f aca="false">IF($A180&lt;EE_Date,VLOOKUP($A180,Curves_Table,Escalation!$D$291),Exch)</f>
        <v>1.065</v>
      </c>
      <c r="H180" s="1596" t="n">
        <f aca="false">E180*F180/G180</f>
        <v>31339.1128908456</v>
      </c>
      <c r="I180" s="1540" t="n">
        <f aca="false">VLOOKUP($A180,Plant_Table,'Plant Operations'!$C$270)</f>
        <v>480</v>
      </c>
      <c r="J180" s="1575" t="n">
        <f aca="false">H180*I180/1000</f>
        <v>15042.7741876059</v>
      </c>
      <c r="K180" s="1565" t="n">
        <f aca="false">F180</f>
        <v>2.8864398386607</v>
      </c>
      <c r="L180" s="394" t="n">
        <f aca="false">J180/K180</f>
        <v>5211.53220868297</v>
      </c>
      <c r="M180" s="1579" t="str">
        <f aca="false">IF(MONTH($A180)=12,SUM(L169:L180)," ")</f>
        <v> </v>
      </c>
      <c r="O180" s="1597" t="n">
        <f aca="false">IF($A180&gt;Endyr,0,VLOOKUP($A180,Tariff_Table,Tariff!$H$33))</f>
        <v>6118.02</v>
      </c>
      <c r="P180" s="1565" t="n">
        <f aca="false">$AS180</f>
        <v>1.41950215794747</v>
      </c>
      <c r="Q180" s="1575" t="n">
        <f aca="false">O180*P180</f>
        <v>8684.5425923658</v>
      </c>
      <c r="R180" s="1565" t="n">
        <f aca="false">$F180</f>
        <v>2.8864398386607</v>
      </c>
      <c r="S180" s="427" t="n">
        <f aca="false">$G180</f>
        <v>1.065</v>
      </c>
      <c r="T180" s="1575" t="n">
        <f aca="false">Q180*R180/S180</f>
        <v>23537.4739146951</v>
      </c>
      <c r="U180" s="1540" t="n">
        <f aca="false">$I180</f>
        <v>480</v>
      </c>
      <c r="V180" s="1575" t="n">
        <f aca="false">T180*U180/1000</f>
        <v>11297.9874790537</v>
      </c>
      <c r="W180" s="1565" t="n">
        <f aca="false">R180</f>
        <v>2.8864398386607</v>
      </c>
      <c r="X180" s="394" t="n">
        <f aca="false">V180/W180</f>
        <v>3914.16004162966</v>
      </c>
      <c r="Y180" s="1579" t="str">
        <f aca="false">IF(MONTH($A180)=12,SUM(X169:X180)," ")</f>
        <v> </v>
      </c>
      <c r="AA180" s="1595" t="n">
        <f aca="false">IF($A180&gt;Endyr,0,VLOOKUP($A180,Tariff_Table,Tariff!$I$33))</f>
        <v>2.31</v>
      </c>
      <c r="AB180" s="1565" t="n">
        <f aca="false">$AS180</f>
        <v>1.41950215794747</v>
      </c>
      <c r="AC180" s="1596" t="n">
        <f aca="false">AA180*AB180</f>
        <v>3.27904998485866</v>
      </c>
      <c r="AD180" s="1565" t="n">
        <f aca="false">$F180</f>
        <v>2.8864398386607</v>
      </c>
      <c r="AE180" s="427" t="n">
        <f aca="false">$G180</f>
        <v>1.065</v>
      </c>
      <c r="AF180" s="1596" t="n">
        <f aca="false">AC180*AD180/AE180</f>
        <v>8.88711784906648</v>
      </c>
      <c r="AG180" s="397" t="n">
        <f aca="false">VLOOKUP($A180,Plant_Table,'Plant Operations'!$M$270)</f>
        <v>298980.864</v>
      </c>
      <c r="AH180" s="1575" t="n">
        <f aca="false">AF180*AG180/1000</f>
        <v>2657.07817298372</v>
      </c>
      <c r="AI180" s="1565" t="n">
        <f aca="false">AD180</f>
        <v>2.8864398386607</v>
      </c>
      <c r="AJ180" s="1566" t="n">
        <f aca="false">AH180/AI180</f>
        <v>920.538213682846</v>
      </c>
      <c r="AK180" s="1567" t="str">
        <f aca="false">IF(MONTH($A180)=12,SUM(AJ169:AJ180)," ")</f>
        <v> </v>
      </c>
      <c r="AM180" s="488" t="n">
        <f aca="false">IF($A180&gt;Endyr,0,VLOOKUP($A180,Tariff_Table,Tariff!$L$33))</f>
        <v>1.21</v>
      </c>
      <c r="AN180" s="1576" t="n">
        <f aca="false">VLOOKUP($A180,Curves_Table,Escalation!$Z$291)</f>
        <v>1.5061761575234</v>
      </c>
      <c r="AO180" s="1314" t="n">
        <f aca="false">AM180*AN180</f>
        <v>1.82247315060331</v>
      </c>
      <c r="AP180" s="1314" t="n">
        <f aca="false">IF($A180&gt;Endyr,0,VLOOKUP($A180,Tariff_Table,Tariff!$M$33))</f>
        <v>0.25</v>
      </c>
      <c r="AQ180" s="1314" t="n">
        <f aca="false">SUM(AO180,AP180)</f>
        <v>2.07247315060331</v>
      </c>
      <c r="AR180" s="1314" t="n">
        <f aca="false">SUM(AM180,AP180)</f>
        <v>1.46</v>
      </c>
      <c r="AS180" s="1598" t="n">
        <f aca="false">IF(AR180=0,0,AQ180/AR180)</f>
        <v>1.41950215794747</v>
      </c>
    </row>
    <row r="181" customFormat="false" ht="12.75" hidden="false" customHeight="false" outlineLevel="0" collapsed="false">
      <c r="A181" s="1538" t="n">
        <f aca="false">EDATE(A180,1)</f>
        <v>42095</v>
      </c>
      <c r="C181" s="1595" t="n">
        <f aca="false">IF($A181&gt;Endyr,0,VLOOKUP($A181,Tariff_Table,Tariff!$G$33))</f>
        <v>7424.62</v>
      </c>
      <c r="D181" s="1565" t="n">
        <f aca="false">VLOOKUP($A181,Curves_Table,Escalation!$V$291)</f>
        <v>1.55739783154092</v>
      </c>
      <c r="E181" s="1596" t="n">
        <f aca="false">C181*D181</f>
        <v>11563.0870880153</v>
      </c>
      <c r="F181" s="1565" t="n">
        <f aca="false">IF(Assm!$L$74=0,VLOOKUP($A181,Curves_Table,Escalation!$D$291),VLOOKUP($A181,Curves_Table,Escalation!$E$291))</f>
        <v>2.89120032395961</v>
      </c>
      <c r="G181" s="427" t="n">
        <f aca="false">IF($A181&lt;EE_Date,VLOOKUP($A181,Curves_Table,Escalation!$D$291),Exch)</f>
        <v>1.065</v>
      </c>
      <c r="H181" s="1596" t="n">
        <f aca="false">E181*F181/G181</f>
        <v>31390.7991876461</v>
      </c>
      <c r="I181" s="1540" t="n">
        <f aca="false">VLOOKUP($A181,Plant_Table,'Plant Operations'!$C$270)</f>
        <v>480</v>
      </c>
      <c r="J181" s="1575" t="n">
        <f aca="false">H181*I181/1000</f>
        <v>15067.5836100701</v>
      </c>
      <c r="K181" s="1565" t="n">
        <f aca="false">F181</f>
        <v>2.89120032395961</v>
      </c>
      <c r="L181" s="394" t="n">
        <f aca="false">J181/K181</f>
        <v>5211.53220868297</v>
      </c>
      <c r="M181" s="1579" t="str">
        <f aca="false">IF(MONTH($A181)=12,SUM(L170:L181)," ")</f>
        <v> </v>
      </c>
      <c r="O181" s="1597" t="n">
        <f aca="false">IF($A181&gt;Endyr,0,VLOOKUP($A181,Tariff_Table,Tariff!$H$33))</f>
        <v>6118.02</v>
      </c>
      <c r="P181" s="1565" t="n">
        <f aca="false">$AS181</f>
        <v>1.41950215794747</v>
      </c>
      <c r="Q181" s="1575" t="n">
        <f aca="false">O181*P181</f>
        <v>8684.5425923658</v>
      </c>
      <c r="R181" s="1565" t="n">
        <f aca="false">$F181</f>
        <v>2.89120032395961</v>
      </c>
      <c r="S181" s="427" t="n">
        <f aca="false">$G181</f>
        <v>1.065</v>
      </c>
      <c r="T181" s="1575" t="n">
        <f aca="false">Q181*R181/S181</f>
        <v>23576.293292478</v>
      </c>
      <c r="U181" s="1540" t="n">
        <f aca="false">$I181</f>
        <v>480</v>
      </c>
      <c r="V181" s="1575" t="n">
        <f aca="false">T181*U181/1000</f>
        <v>11316.6207803894</v>
      </c>
      <c r="W181" s="1565" t="n">
        <f aca="false">R181</f>
        <v>2.89120032395961</v>
      </c>
      <c r="X181" s="394" t="n">
        <f aca="false">V181/W181</f>
        <v>3914.16004162966</v>
      </c>
      <c r="Y181" s="1579" t="str">
        <f aca="false">IF(MONTH($A181)=12,SUM(X170:X181)," ")</f>
        <v> </v>
      </c>
      <c r="AA181" s="1595" t="n">
        <f aca="false">IF($A181&gt;Endyr,0,VLOOKUP($A181,Tariff_Table,Tariff!$I$33))</f>
        <v>2.31</v>
      </c>
      <c r="AB181" s="1565" t="n">
        <f aca="false">$AS181</f>
        <v>1.41950215794747</v>
      </c>
      <c r="AC181" s="1596" t="n">
        <f aca="false">AA181*AB181</f>
        <v>3.27904998485866</v>
      </c>
      <c r="AD181" s="1565" t="n">
        <f aca="false">$F181</f>
        <v>2.89120032395961</v>
      </c>
      <c r="AE181" s="427" t="n">
        <f aca="false">$G181</f>
        <v>1.065</v>
      </c>
      <c r="AF181" s="1596" t="n">
        <f aca="false">AC181*AD181/AE181</f>
        <v>8.90177500328931</v>
      </c>
      <c r="AG181" s="397" t="n">
        <f aca="false">VLOOKUP($A181,Plant_Table,'Plant Operations'!$M$270)</f>
        <v>289336.32</v>
      </c>
      <c r="AH181" s="1575" t="n">
        <f aca="false">AF181*AG181/1000</f>
        <v>2575.60682091972</v>
      </c>
      <c r="AI181" s="1565" t="n">
        <f aca="false">AD181</f>
        <v>2.89120032395961</v>
      </c>
      <c r="AJ181" s="1566" t="n">
        <f aca="false">AH181/AI181</f>
        <v>890.843432596302</v>
      </c>
      <c r="AK181" s="1567" t="str">
        <f aca="false">IF(MONTH($A181)=12,SUM(AJ170:AJ181)," ")</f>
        <v> </v>
      </c>
      <c r="AM181" s="488" t="n">
        <f aca="false">IF($A181&gt;Endyr,0,VLOOKUP($A181,Tariff_Table,Tariff!$L$33))</f>
        <v>1.21</v>
      </c>
      <c r="AN181" s="1576" t="n">
        <f aca="false">VLOOKUP($A181,Curves_Table,Escalation!$Z$291)</f>
        <v>1.5061761575234</v>
      </c>
      <c r="AO181" s="1314" t="n">
        <f aca="false">AM181*AN181</f>
        <v>1.82247315060331</v>
      </c>
      <c r="AP181" s="1314" t="n">
        <f aca="false">IF($A181&gt;Endyr,0,VLOOKUP($A181,Tariff_Table,Tariff!$M$33))</f>
        <v>0.25</v>
      </c>
      <c r="AQ181" s="1314" t="n">
        <f aca="false">SUM(AO181,AP181)</f>
        <v>2.07247315060331</v>
      </c>
      <c r="AR181" s="1314" t="n">
        <f aca="false">SUM(AM181,AP181)</f>
        <v>1.46</v>
      </c>
      <c r="AS181" s="1598" t="n">
        <f aca="false">IF(AR181=0,0,AQ181/AR181)</f>
        <v>1.41950215794747</v>
      </c>
    </row>
    <row r="182" customFormat="false" ht="12.75" hidden="false" customHeight="false" outlineLevel="0" collapsed="false">
      <c r="A182" s="1538" t="n">
        <f aca="false">EDATE(A181,1)</f>
        <v>42125</v>
      </c>
      <c r="C182" s="1595" t="n">
        <f aca="false">IF($A182&gt;Endyr,0,VLOOKUP($A182,Tariff_Table,Tariff!$G$33))</f>
        <v>7431.57</v>
      </c>
      <c r="D182" s="1565" t="n">
        <f aca="false">VLOOKUP($A182,Curves_Table,Escalation!$V$291)</f>
        <v>1.59733039824151</v>
      </c>
      <c r="E182" s="1596" t="n">
        <f aca="false">C182*D182</f>
        <v>11870.6726676596</v>
      </c>
      <c r="F182" s="1565" t="n">
        <f aca="false">IF(Assm!$L$74=0,VLOOKUP($A182,Curves_Table,Escalation!$D$291),VLOOKUP($A182,Curves_Table,Escalation!$E$291))</f>
        <v>2.89596866052913</v>
      </c>
      <c r="G182" s="427" t="n">
        <f aca="false">IF($A182&lt;EE_Date,VLOOKUP($A182,Curves_Table,Escalation!$D$291),Exch)</f>
        <v>1.065</v>
      </c>
      <c r="H182" s="1596" t="n">
        <f aca="false">E182*F182/G182</f>
        <v>32278.9634037015</v>
      </c>
      <c r="I182" s="1540" t="n">
        <f aca="false">VLOOKUP($A182,Plant_Table,'Plant Operations'!$C$270)</f>
        <v>480</v>
      </c>
      <c r="J182" s="1575" t="n">
        <f aca="false">H182*I182/1000</f>
        <v>15493.9024337767</v>
      </c>
      <c r="K182" s="1565" t="n">
        <f aca="false">F182</f>
        <v>2.89596866052913</v>
      </c>
      <c r="L182" s="394" t="n">
        <f aca="false">J182/K182</f>
        <v>5350.16232908604</v>
      </c>
      <c r="M182" s="1579" t="str">
        <f aca="false">IF(MONTH($A182)=12,SUM(L171:L182)," ")</f>
        <v> </v>
      </c>
      <c r="O182" s="1597" t="n">
        <f aca="false">IF($A182&gt;Endyr,0,VLOOKUP($A182,Tariff_Table,Tariff!$H$33))</f>
        <v>6140.72</v>
      </c>
      <c r="P182" s="1565" t="n">
        <f aca="false">$AS182</f>
        <v>1.4483878194931</v>
      </c>
      <c r="Q182" s="1575" t="n">
        <f aca="false">O182*P182</f>
        <v>8894.14405091767</v>
      </c>
      <c r="R182" s="1565" t="n">
        <f aca="false">$F182</f>
        <v>2.89596866052913</v>
      </c>
      <c r="S182" s="427" t="n">
        <f aca="false">$G182</f>
        <v>1.065</v>
      </c>
      <c r="T182" s="1575" t="n">
        <f aca="false">Q182*R182/S182</f>
        <v>24185.1290457175</v>
      </c>
      <c r="U182" s="1540" t="n">
        <f aca="false">$I182</f>
        <v>480</v>
      </c>
      <c r="V182" s="1575" t="n">
        <f aca="false">T182*U182/1000</f>
        <v>11608.8619419444</v>
      </c>
      <c r="W182" s="1565" t="n">
        <f aca="false">R182</f>
        <v>2.89596866052913</v>
      </c>
      <c r="X182" s="394" t="n">
        <f aca="false">V182/W182</f>
        <v>4008.62830463895</v>
      </c>
      <c r="Y182" s="1579" t="str">
        <f aca="false">IF(MONTH($A182)=12,SUM(X171:X182)," ")</f>
        <v> </v>
      </c>
      <c r="AA182" s="1595" t="n">
        <f aca="false">IF($A182&gt;Endyr,0,VLOOKUP($A182,Tariff_Table,Tariff!$I$33))</f>
        <v>2.31</v>
      </c>
      <c r="AB182" s="1565" t="n">
        <f aca="false">$AS182</f>
        <v>1.4483878194931</v>
      </c>
      <c r="AC182" s="1596" t="n">
        <f aca="false">AA182*AB182</f>
        <v>3.34577586302906</v>
      </c>
      <c r="AD182" s="1565" t="n">
        <f aca="false">$F182</f>
        <v>2.89596866052913</v>
      </c>
      <c r="AE182" s="427" t="n">
        <f aca="false">$G182</f>
        <v>1.065</v>
      </c>
      <c r="AF182" s="1596" t="n">
        <f aca="false">AC182*AD182/AE182</f>
        <v>9.0978986333211</v>
      </c>
      <c r="AG182" s="397" t="n">
        <f aca="false">VLOOKUP($A182,Plant_Table,'Plant Operations'!$M$270)</f>
        <v>298980.864</v>
      </c>
      <c r="AH182" s="1575" t="n">
        <f aca="false">AF182*AG182/1000</f>
        <v>2720.09759397476</v>
      </c>
      <c r="AI182" s="1565" t="n">
        <f aca="false">AD182</f>
        <v>2.89596866052913</v>
      </c>
      <c r="AJ182" s="1566" t="n">
        <f aca="false">AH182/AI182</f>
        <v>939.270383360352</v>
      </c>
      <c r="AK182" s="1567" t="str">
        <f aca="false">IF(MONTH($A182)=12,SUM(AJ171:AJ182)," ")</f>
        <v> </v>
      </c>
      <c r="AM182" s="488" t="n">
        <f aca="false">IF($A182&gt;Endyr,0,VLOOKUP($A182,Tariff_Table,Tariff!$L$33))</f>
        <v>1.21</v>
      </c>
      <c r="AN182" s="1576" t="n">
        <f aca="false">VLOOKUP($A182,Curves_Table,Escalation!$Z$291)</f>
        <v>1.54102993095862</v>
      </c>
      <c r="AO182" s="1314" t="n">
        <f aca="false">AM182*AN182</f>
        <v>1.86464621645993</v>
      </c>
      <c r="AP182" s="1314" t="n">
        <f aca="false">IF($A182&gt;Endyr,0,VLOOKUP($A182,Tariff_Table,Tariff!$M$33))</f>
        <v>0.25</v>
      </c>
      <c r="AQ182" s="1314" t="n">
        <f aca="false">SUM(AO182,AP182)</f>
        <v>2.11464621645993</v>
      </c>
      <c r="AR182" s="1314" t="n">
        <f aca="false">SUM(AM182,AP182)</f>
        <v>1.46</v>
      </c>
      <c r="AS182" s="1598" t="n">
        <f aca="false">IF(AR182=0,0,AQ182/AR182)</f>
        <v>1.4483878194931</v>
      </c>
    </row>
    <row r="183" customFormat="false" ht="12.75" hidden="false" customHeight="false" outlineLevel="0" collapsed="false">
      <c r="A183" s="1538" t="n">
        <f aca="false">EDATE(A182,1)</f>
        <v>42156</v>
      </c>
      <c r="C183" s="1595" t="n">
        <f aca="false">IF($A183&gt;Endyr,0,VLOOKUP($A183,Tariff_Table,Tariff!$G$33))</f>
        <v>7431.57</v>
      </c>
      <c r="D183" s="1565" t="n">
        <f aca="false">VLOOKUP($A183,Curves_Table,Escalation!$V$291)</f>
        <v>1.59733039824151</v>
      </c>
      <c r="E183" s="1596" t="n">
        <f aca="false">C183*D183</f>
        <v>11870.6726676596</v>
      </c>
      <c r="F183" s="1565" t="n">
        <f aca="false">IF(Assm!$L$74=0,VLOOKUP($A183,Curves_Table,Escalation!$D$291),VLOOKUP($A183,Curves_Table,Escalation!$E$291))</f>
        <v>2.90074486131804</v>
      </c>
      <c r="G183" s="427" t="n">
        <f aca="false">IF($A183&lt;EE_Date,VLOOKUP($A183,Curves_Table,Escalation!$D$291),Exch)</f>
        <v>1.065</v>
      </c>
      <c r="H183" s="1596" t="n">
        <f aca="false">E183*F183/G183</f>
        <v>32332.1997569035</v>
      </c>
      <c r="I183" s="1540" t="n">
        <f aca="false">VLOOKUP($A183,Plant_Table,'Plant Operations'!$C$270)</f>
        <v>480</v>
      </c>
      <c r="J183" s="1575" t="n">
        <f aca="false">H183*I183/1000</f>
        <v>15519.4558833137</v>
      </c>
      <c r="K183" s="1565" t="n">
        <f aca="false">F183</f>
        <v>2.90074486131804</v>
      </c>
      <c r="L183" s="394" t="n">
        <f aca="false">J183/K183</f>
        <v>5350.16232908604</v>
      </c>
      <c r="M183" s="1579" t="str">
        <f aca="false">IF(MONTH($A183)=12,SUM(L172:L183)," ")</f>
        <v> </v>
      </c>
      <c r="O183" s="1597" t="n">
        <f aca="false">IF($A183&gt;Endyr,0,VLOOKUP($A183,Tariff_Table,Tariff!$H$33))</f>
        <v>6140.72</v>
      </c>
      <c r="P183" s="1565" t="n">
        <f aca="false">$AS183</f>
        <v>1.4483878194931</v>
      </c>
      <c r="Q183" s="1575" t="n">
        <f aca="false">O183*P183</f>
        <v>8894.14405091767</v>
      </c>
      <c r="R183" s="1565" t="n">
        <f aca="false">$F183</f>
        <v>2.90074486131804</v>
      </c>
      <c r="S183" s="427" t="n">
        <f aca="false">$G183</f>
        <v>1.065</v>
      </c>
      <c r="T183" s="1575" t="n">
        <f aca="false">Q183*R183/S183</f>
        <v>24225.0165741989</v>
      </c>
      <c r="U183" s="1540" t="n">
        <f aca="false">$I183</f>
        <v>480</v>
      </c>
      <c r="V183" s="1575" t="n">
        <f aca="false">T183*U183/1000</f>
        <v>11628.0079556155</v>
      </c>
      <c r="W183" s="1565" t="n">
        <f aca="false">R183</f>
        <v>2.90074486131804</v>
      </c>
      <c r="X183" s="394" t="n">
        <f aca="false">V183/W183</f>
        <v>4008.62830463895</v>
      </c>
      <c r="Y183" s="1579" t="str">
        <f aca="false">IF(MONTH($A183)=12,SUM(X172:X183)," ")</f>
        <v> </v>
      </c>
      <c r="AA183" s="1595" t="n">
        <f aca="false">IF($A183&gt;Endyr,0,VLOOKUP($A183,Tariff_Table,Tariff!$I$33))</f>
        <v>2.31</v>
      </c>
      <c r="AB183" s="1565" t="n">
        <f aca="false">$AS183</f>
        <v>1.4483878194931</v>
      </c>
      <c r="AC183" s="1596" t="n">
        <f aca="false">AA183*AB183</f>
        <v>3.34577586302906</v>
      </c>
      <c r="AD183" s="1565" t="n">
        <f aca="false">$F183</f>
        <v>2.90074486131804</v>
      </c>
      <c r="AE183" s="427" t="n">
        <f aca="false">$G183</f>
        <v>1.065</v>
      </c>
      <c r="AF183" s="1596" t="n">
        <f aca="false">AC183*AD183/AE183</f>
        <v>9.11290341953379</v>
      </c>
      <c r="AG183" s="397" t="n">
        <f aca="false">VLOOKUP($A183,Plant_Table,'Plant Operations'!$M$270)</f>
        <v>289336.32</v>
      </c>
      <c r="AH183" s="1575" t="n">
        <f aca="false">AF183*AG183/1000</f>
        <v>2636.69393992332</v>
      </c>
      <c r="AI183" s="1565" t="n">
        <f aca="false">AD183</f>
        <v>2.90074486131804</v>
      </c>
      <c r="AJ183" s="1566" t="n">
        <f aca="false">AH183/AI183</f>
        <v>908.971338735824</v>
      </c>
      <c r="AK183" s="1567" t="str">
        <f aca="false">IF(MONTH($A183)=12,SUM(AJ172:AJ183)," ")</f>
        <v> </v>
      </c>
      <c r="AM183" s="488" t="n">
        <f aca="false">IF($A183&gt;Endyr,0,VLOOKUP($A183,Tariff_Table,Tariff!$L$33))</f>
        <v>1.21</v>
      </c>
      <c r="AN183" s="1576" t="n">
        <f aca="false">VLOOKUP($A183,Curves_Table,Escalation!$Z$291)</f>
        <v>1.54102993095862</v>
      </c>
      <c r="AO183" s="1314" t="n">
        <f aca="false">AM183*AN183</f>
        <v>1.86464621645993</v>
      </c>
      <c r="AP183" s="1314" t="n">
        <f aca="false">IF($A183&gt;Endyr,0,VLOOKUP($A183,Tariff_Table,Tariff!$M$33))</f>
        <v>0.25</v>
      </c>
      <c r="AQ183" s="1314" t="n">
        <f aca="false">SUM(AO183,AP183)</f>
        <v>2.11464621645993</v>
      </c>
      <c r="AR183" s="1314" t="n">
        <f aca="false">SUM(AM183,AP183)</f>
        <v>1.46</v>
      </c>
      <c r="AS183" s="1598" t="n">
        <f aca="false">IF(AR183=0,0,AQ183/AR183)</f>
        <v>1.4483878194931</v>
      </c>
    </row>
    <row r="184" customFormat="false" ht="12.75" hidden="false" customHeight="false" outlineLevel="0" collapsed="false">
      <c r="A184" s="1538" t="n">
        <f aca="false">EDATE(A183,1)</f>
        <v>42186</v>
      </c>
      <c r="C184" s="1595" t="n">
        <f aca="false">IF($A184&gt;Endyr,0,VLOOKUP($A184,Tariff_Table,Tariff!$G$33))</f>
        <v>7431.57</v>
      </c>
      <c r="D184" s="1565" t="n">
        <f aca="false">VLOOKUP($A184,Curves_Table,Escalation!$V$291)</f>
        <v>1.59733039824151</v>
      </c>
      <c r="E184" s="1596" t="n">
        <f aca="false">C184*D184</f>
        <v>11870.6726676596</v>
      </c>
      <c r="F184" s="1565" t="n">
        <f aca="false">IF(Assm!$L$74=0,VLOOKUP($A184,Curves_Table,Escalation!$D$291),VLOOKUP($A184,Curves_Table,Escalation!$E$291))</f>
        <v>2.90552893929647</v>
      </c>
      <c r="G184" s="427" t="n">
        <f aca="false">IF($A184&lt;EE_Date,VLOOKUP($A184,Curves_Table,Escalation!$D$291),Exch)</f>
        <v>1.065</v>
      </c>
      <c r="H184" s="1596" t="n">
        <f aca="false">E184*F184/G184</f>
        <v>32385.523910611</v>
      </c>
      <c r="I184" s="1540" t="n">
        <f aca="false">VLOOKUP($A184,Plant_Table,'Plant Operations'!$C$270)</f>
        <v>480</v>
      </c>
      <c r="J184" s="1575" t="n">
        <f aca="false">H184*I184/1000</f>
        <v>15545.0514770933</v>
      </c>
      <c r="K184" s="1565" t="n">
        <f aca="false">F184</f>
        <v>2.90552893929647</v>
      </c>
      <c r="L184" s="394" t="n">
        <f aca="false">J184/K184</f>
        <v>5350.16232908604</v>
      </c>
      <c r="M184" s="1579" t="str">
        <f aca="false">IF(MONTH($A184)=12,SUM(L173:L184)," ")</f>
        <v> </v>
      </c>
      <c r="O184" s="1597" t="n">
        <f aca="false">IF($A184&gt;Endyr,0,VLOOKUP($A184,Tariff_Table,Tariff!$H$33))</f>
        <v>6140.72</v>
      </c>
      <c r="P184" s="1565" t="n">
        <f aca="false">$AS184</f>
        <v>1.4483878194931</v>
      </c>
      <c r="Q184" s="1575" t="n">
        <f aca="false">O184*P184</f>
        <v>8894.14405091767</v>
      </c>
      <c r="R184" s="1565" t="n">
        <f aca="false">$F184</f>
        <v>2.90552893929647</v>
      </c>
      <c r="S184" s="427" t="n">
        <f aca="false">$G184</f>
        <v>1.065</v>
      </c>
      <c r="T184" s="1575" t="n">
        <f aca="false">Q184*R184/S184</f>
        <v>24264.9698875238</v>
      </c>
      <c r="U184" s="1540" t="n">
        <f aca="false">$I184</f>
        <v>480</v>
      </c>
      <c r="V184" s="1575" t="n">
        <f aca="false">T184*U184/1000</f>
        <v>11647.1855460114</v>
      </c>
      <c r="W184" s="1565" t="n">
        <f aca="false">R184</f>
        <v>2.90552893929647</v>
      </c>
      <c r="X184" s="394" t="n">
        <f aca="false">V184/W184</f>
        <v>4008.62830463895</v>
      </c>
      <c r="Y184" s="1579" t="str">
        <f aca="false">IF(MONTH($A184)=12,SUM(X173:X184)," ")</f>
        <v> </v>
      </c>
      <c r="AA184" s="1595" t="n">
        <f aca="false">IF($A184&gt;Endyr,0,VLOOKUP($A184,Tariff_Table,Tariff!$I$33))</f>
        <v>2.31</v>
      </c>
      <c r="AB184" s="1565" t="n">
        <f aca="false">$AS184</f>
        <v>1.4483878194931</v>
      </c>
      <c r="AC184" s="1596" t="n">
        <f aca="false">AA184*AB184</f>
        <v>3.34577586302906</v>
      </c>
      <c r="AD184" s="1565" t="n">
        <f aca="false">$F184</f>
        <v>2.90552893929647</v>
      </c>
      <c r="AE184" s="427" t="n">
        <f aca="false">$G184</f>
        <v>1.065</v>
      </c>
      <c r="AF184" s="1596" t="n">
        <f aca="false">AC184*AD184/AE184</f>
        <v>9.12793295251696</v>
      </c>
      <c r="AG184" s="397" t="n">
        <f aca="false">VLOOKUP($A184,Plant_Table,'Plant Operations'!$M$270)</f>
        <v>298980.864</v>
      </c>
      <c r="AH184" s="1575" t="n">
        <f aca="false">AF184*AG184/1000</f>
        <v>2729.07728067759</v>
      </c>
      <c r="AI184" s="1565" t="n">
        <f aca="false">AD184</f>
        <v>2.90552893929647</v>
      </c>
      <c r="AJ184" s="1566" t="n">
        <f aca="false">AH184/AI184</f>
        <v>939.270383360352</v>
      </c>
      <c r="AK184" s="1567" t="str">
        <f aca="false">IF(MONTH($A184)=12,SUM(AJ173:AJ184)," ")</f>
        <v> </v>
      </c>
      <c r="AM184" s="488" t="n">
        <f aca="false">IF($A184&gt;Endyr,0,VLOOKUP($A184,Tariff_Table,Tariff!$L$33))</f>
        <v>1.21</v>
      </c>
      <c r="AN184" s="1576" t="n">
        <f aca="false">VLOOKUP($A184,Curves_Table,Escalation!$Z$291)</f>
        <v>1.54102993095862</v>
      </c>
      <c r="AO184" s="1314" t="n">
        <f aca="false">AM184*AN184</f>
        <v>1.86464621645993</v>
      </c>
      <c r="AP184" s="1314" t="n">
        <f aca="false">IF($A184&gt;Endyr,0,VLOOKUP($A184,Tariff_Table,Tariff!$M$33))</f>
        <v>0.25</v>
      </c>
      <c r="AQ184" s="1314" t="n">
        <f aca="false">SUM(AO184,AP184)</f>
        <v>2.11464621645993</v>
      </c>
      <c r="AR184" s="1314" t="n">
        <f aca="false">SUM(AM184,AP184)</f>
        <v>1.46</v>
      </c>
      <c r="AS184" s="1598" t="n">
        <f aca="false">IF(AR184=0,0,AQ184/AR184)</f>
        <v>1.4483878194931</v>
      </c>
    </row>
    <row r="185" customFormat="false" ht="12.75" hidden="false" customHeight="false" outlineLevel="0" collapsed="false">
      <c r="A185" s="1538" t="n">
        <f aca="false">EDATE(A184,1)</f>
        <v>42217</v>
      </c>
      <c r="C185" s="1595" t="n">
        <f aca="false">IF($A185&gt;Endyr,0,VLOOKUP($A185,Tariff_Table,Tariff!$G$33))</f>
        <v>7431.57</v>
      </c>
      <c r="D185" s="1565" t="n">
        <f aca="false">VLOOKUP($A185,Curves_Table,Escalation!$V$291)</f>
        <v>1.59733039824151</v>
      </c>
      <c r="E185" s="1596" t="n">
        <f aca="false">C185*D185</f>
        <v>11870.6726676596</v>
      </c>
      <c r="F185" s="1565" t="n">
        <f aca="false">IF(Assm!$L$74=0,VLOOKUP($A185,Curves_Table,Escalation!$D$291),VLOOKUP($A185,Curves_Table,Escalation!$E$291))</f>
        <v>2.91032090745594</v>
      </c>
      <c r="G185" s="427" t="n">
        <f aca="false">IF($A185&lt;EE_Date,VLOOKUP($A185,Curves_Table,Escalation!$D$291),Exch)</f>
        <v>1.065</v>
      </c>
      <c r="H185" s="1596" t="n">
        <f aca="false">E185*F185/G185</f>
        <v>32438.9360096297</v>
      </c>
      <c r="I185" s="1540" t="n">
        <f aca="false">VLOOKUP($A185,Plant_Table,'Plant Operations'!$C$270)</f>
        <v>480</v>
      </c>
      <c r="J185" s="1575" t="n">
        <f aca="false">H185*I185/1000</f>
        <v>15570.6892846223</v>
      </c>
      <c r="K185" s="1565" t="n">
        <f aca="false">F185</f>
        <v>2.91032090745594</v>
      </c>
      <c r="L185" s="394" t="n">
        <f aca="false">J185/K185</f>
        <v>5350.16232908604</v>
      </c>
      <c r="M185" s="1579" t="str">
        <f aca="false">IF(MONTH($A185)=12,SUM(L174:L185)," ")</f>
        <v> </v>
      </c>
      <c r="O185" s="1597" t="n">
        <f aca="false">IF($A185&gt;Endyr,0,VLOOKUP($A185,Tariff_Table,Tariff!$H$33))</f>
        <v>6140.72</v>
      </c>
      <c r="P185" s="1565" t="n">
        <f aca="false">$AS185</f>
        <v>1.4483878194931</v>
      </c>
      <c r="Q185" s="1575" t="n">
        <f aca="false">O185*P185</f>
        <v>8894.14405091767</v>
      </c>
      <c r="R185" s="1565" t="n">
        <f aca="false">$F185</f>
        <v>2.91032090745594</v>
      </c>
      <c r="S185" s="427" t="n">
        <f aca="false">$G185</f>
        <v>1.065</v>
      </c>
      <c r="T185" s="1575" t="n">
        <f aca="false">Q185*R185/S185</f>
        <v>24304.9890941883</v>
      </c>
      <c r="U185" s="1540" t="n">
        <f aca="false">$I185</f>
        <v>480</v>
      </c>
      <c r="V185" s="1575" t="n">
        <f aca="false">T185*U185/1000</f>
        <v>11666.3947652104</v>
      </c>
      <c r="W185" s="1565" t="n">
        <f aca="false">R185</f>
        <v>2.91032090745594</v>
      </c>
      <c r="X185" s="394" t="n">
        <f aca="false">V185/W185</f>
        <v>4008.62830463895</v>
      </c>
      <c r="Y185" s="1579" t="str">
        <f aca="false">IF(MONTH($A185)=12,SUM(X174:X185)," ")</f>
        <v> </v>
      </c>
      <c r="AA185" s="1595" t="n">
        <f aca="false">IF($A185&gt;Endyr,0,VLOOKUP($A185,Tariff_Table,Tariff!$I$33))</f>
        <v>2.31</v>
      </c>
      <c r="AB185" s="1565" t="n">
        <f aca="false">$AS185</f>
        <v>1.4483878194931</v>
      </c>
      <c r="AC185" s="1596" t="n">
        <f aca="false">AA185*AB185</f>
        <v>3.34577586302906</v>
      </c>
      <c r="AD185" s="1565" t="n">
        <f aca="false">$F185</f>
        <v>2.91032090745594</v>
      </c>
      <c r="AE185" s="427" t="n">
        <f aca="false">$G185</f>
        <v>1.065</v>
      </c>
      <c r="AF185" s="1596" t="n">
        <f aca="false">AC185*AD185/AE185</f>
        <v>9.14298727308443</v>
      </c>
      <c r="AG185" s="397" t="n">
        <f aca="false">VLOOKUP($A185,Plant_Table,'Plant Operations'!$M$270)</f>
        <v>298980.864</v>
      </c>
      <c r="AH185" s="1575" t="n">
        <f aca="false">AF185*AG185/1000</f>
        <v>2733.57823444779</v>
      </c>
      <c r="AI185" s="1565" t="n">
        <f aca="false">AD185</f>
        <v>2.91032090745594</v>
      </c>
      <c r="AJ185" s="1566" t="n">
        <f aca="false">AH185/AI185</f>
        <v>939.270383360352</v>
      </c>
      <c r="AK185" s="1567" t="str">
        <f aca="false">IF(MONTH($A185)=12,SUM(AJ174:AJ185)," ")</f>
        <v> </v>
      </c>
      <c r="AM185" s="488" t="n">
        <f aca="false">IF($A185&gt;Endyr,0,VLOOKUP($A185,Tariff_Table,Tariff!$L$33))</f>
        <v>1.21</v>
      </c>
      <c r="AN185" s="1576" t="n">
        <f aca="false">VLOOKUP($A185,Curves_Table,Escalation!$Z$291)</f>
        <v>1.54102993095862</v>
      </c>
      <c r="AO185" s="1314" t="n">
        <f aca="false">AM185*AN185</f>
        <v>1.86464621645993</v>
      </c>
      <c r="AP185" s="1314" t="n">
        <f aca="false">IF($A185&gt;Endyr,0,VLOOKUP($A185,Tariff_Table,Tariff!$M$33))</f>
        <v>0.25</v>
      </c>
      <c r="AQ185" s="1314" t="n">
        <f aca="false">SUM(AO185,AP185)</f>
        <v>2.11464621645993</v>
      </c>
      <c r="AR185" s="1314" t="n">
        <f aca="false">SUM(AM185,AP185)</f>
        <v>1.46</v>
      </c>
      <c r="AS185" s="1598" t="n">
        <f aca="false">IF(AR185=0,0,AQ185/AR185)</f>
        <v>1.4483878194931</v>
      </c>
    </row>
    <row r="186" customFormat="false" ht="12.75" hidden="false" customHeight="false" outlineLevel="0" collapsed="false">
      <c r="A186" s="1538" t="n">
        <f aca="false">EDATE(A185,1)</f>
        <v>42248</v>
      </c>
      <c r="C186" s="1595" t="n">
        <f aca="false">IF($A186&gt;Endyr,0,VLOOKUP($A186,Tariff_Table,Tariff!$G$33))</f>
        <v>7431.57</v>
      </c>
      <c r="D186" s="1565" t="n">
        <f aca="false">VLOOKUP($A186,Curves_Table,Escalation!$V$291)</f>
        <v>1.59733039824151</v>
      </c>
      <c r="E186" s="1596" t="n">
        <f aca="false">C186*D186</f>
        <v>11870.6726676596</v>
      </c>
      <c r="F186" s="1565" t="n">
        <f aca="false">IF(Assm!$L$74=0,VLOOKUP($A186,Curves_Table,Escalation!$D$291),VLOOKUP($A186,Curves_Table,Escalation!$E$291))</f>
        <v>2.91512077880939</v>
      </c>
      <c r="G186" s="427" t="n">
        <f aca="false">IF($A186&lt;EE_Date,VLOOKUP($A186,Curves_Table,Escalation!$D$291),Exch)</f>
        <v>1.065</v>
      </c>
      <c r="H186" s="1596" t="n">
        <f aca="false">E186*F186/G186</f>
        <v>32492.4361990041</v>
      </c>
      <c r="I186" s="1540" t="n">
        <f aca="false">VLOOKUP($A186,Plant_Table,'Plant Operations'!$C$270)</f>
        <v>480</v>
      </c>
      <c r="J186" s="1575" t="n">
        <f aca="false">H186*I186/1000</f>
        <v>15596.369375522</v>
      </c>
      <c r="K186" s="1565" t="n">
        <f aca="false">F186</f>
        <v>2.91512077880939</v>
      </c>
      <c r="L186" s="394" t="n">
        <f aca="false">J186/K186</f>
        <v>5350.16232908604</v>
      </c>
      <c r="M186" s="1579" t="str">
        <f aca="false">IF(MONTH($A186)=12,SUM(L175:L186)," ")</f>
        <v> </v>
      </c>
      <c r="O186" s="1597" t="n">
        <f aca="false">IF($A186&gt;Endyr,0,VLOOKUP($A186,Tariff_Table,Tariff!$H$33))</f>
        <v>6140.72</v>
      </c>
      <c r="P186" s="1565" t="n">
        <f aca="false">$AS186</f>
        <v>1.4483878194931</v>
      </c>
      <c r="Q186" s="1575" t="n">
        <f aca="false">O186*P186</f>
        <v>8894.14405091767</v>
      </c>
      <c r="R186" s="1565" t="n">
        <f aca="false">$F186</f>
        <v>2.91512077880939</v>
      </c>
      <c r="S186" s="427" t="n">
        <f aca="false">$G186</f>
        <v>1.065</v>
      </c>
      <c r="T186" s="1575" t="n">
        <f aca="false">Q186*R186/S186</f>
        <v>24345.0743028677</v>
      </c>
      <c r="U186" s="1540" t="n">
        <f aca="false">$I186</f>
        <v>480</v>
      </c>
      <c r="V186" s="1575" t="n">
        <f aca="false">T186*U186/1000</f>
        <v>11685.6356653765</v>
      </c>
      <c r="W186" s="1565" t="n">
        <f aca="false">R186</f>
        <v>2.91512077880939</v>
      </c>
      <c r="X186" s="394" t="n">
        <f aca="false">V186/W186</f>
        <v>4008.62830463895</v>
      </c>
      <c r="Y186" s="1579" t="str">
        <f aca="false">IF(MONTH($A186)=12,SUM(X175:X186)," ")</f>
        <v> </v>
      </c>
      <c r="AA186" s="1595" t="n">
        <f aca="false">IF($A186&gt;Endyr,0,VLOOKUP($A186,Tariff_Table,Tariff!$I$33))</f>
        <v>2.31</v>
      </c>
      <c r="AB186" s="1565" t="n">
        <f aca="false">$AS186</f>
        <v>1.4483878194931</v>
      </c>
      <c r="AC186" s="1596" t="n">
        <f aca="false">AA186*AB186</f>
        <v>3.34577586302906</v>
      </c>
      <c r="AD186" s="1565" t="n">
        <f aca="false">$F186</f>
        <v>2.91512077880939</v>
      </c>
      <c r="AE186" s="427" t="n">
        <f aca="false">$G186</f>
        <v>1.065</v>
      </c>
      <c r="AF186" s="1596" t="n">
        <f aca="false">AC186*AD186/AE186</f>
        <v>9.15806642211732</v>
      </c>
      <c r="AG186" s="397" t="n">
        <f aca="false">VLOOKUP($A186,Plant_Table,'Plant Operations'!$M$270)</f>
        <v>289336.32</v>
      </c>
      <c r="AH186" s="1575" t="n">
        <f aca="false">AF186*AG186/1000</f>
        <v>2649.76123689099</v>
      </c>
      <c r="AI186" s="1565" t="n">
        <f aca="false">AD186</f>
        <v>2.91512077880939</v>
      </c>
      <c r="AJ186" s="1566" t="n">
        <f aca="false">AH186/AI186</f>
        <v>908.971338735824</v>
      </c>
      <c r="AK186" s="1567" t="str">
        <f aca="false">IF(MONTH($A186)=12,SUM(AJ175:AJ186)," ")</f>
        <v> </v>
      </c>
      <c r="AM186" s="488" t="n">
        <f aca="false">IF($A186&gt;Endyr,0,VLOOKUP($A186,Tariff_Table,Tariff!$L$33))</f>
        <v>1.21</v>
      </c>
      <c r="AN186" s="1576" t="n">
        <f aca="false">VLOOKUP($A186,Curves_Table,Escalation!$Z$291)</f>
        <v>1.54102993095862</v>
      </c>
      <c r="AO186" s="1314" t="n">
        <f aca="false">AM186*AN186</f>
        <v>1.86464621645993</v>
      </c>
      <c r="AP186" s="1314" t="n">
        <f aca="false">IF($A186&gt;Endyr,0,VLOOKUP($A186,Tariff_Table,Tariff!$M$33))</f>
        <v>0.25</v>
      </c>
      <c r="AQ186" s="1314" t="n">
        <f aca="false">SUM(AO186,AP186)</f>
        <v>2.11464621645993</v>
      </c>
      <c r="AR186" s="1314" t="n">
        <f aca="false">SUM(AM186,AP186)</f>
        <v>1.46</v>
      </c>
      <c r="AS186" s="1598" t="n">
        <f aca="false">IF(AR186=0,0,AQ186/AR186)</f>
        <v>1.4483878194931</v>
      </c>
    </row>
    <row r="187" customFormat="false" ht="12.75" hidden="false" customHeight="false" outlineLevel="0" collapsed="false">
      <c r="A187" s="1538" t="n">
        <f aca="false">EDATE(A186,1)</f>
        <v>42278</v>
      </c>
      <c r="C187" s="1595" t="n">
        <f aca="false">IF($A187&gt;Endyr,0,VLOOKUP($A187,Tariff_Table,Tariff!$G$33))</f>
        <v>7431.57</v>
      </c>
      <c r="D187" s="1565" t="n">
        <f aca="false">VLOOKUP($A187,Curves_Table,Escalation!$V$291)</f>
        <v>1.59733039824151</v>
      </c>
      <c r="E187" s="1596" t="n">
        <f aca="false">C187*D187</f>
        <v>11870.6726676596</v>
      </c>
      <c r="F187" s="1565" t="n">
        <f aca="false">IF(Assm!$L$74=0,VLOOKUP($A187,Curves_Table,Escalation!$D$291),VLOOKUP($A187,Curves_Table,Escalation!$E$291))</f>
        <v>2.91992856639125</v>
      </c>
      <c r="G187" s="427" t="n">
        <f aca="false">IF($A187&lt;EE_Date,VLOOKUP($A187,Curves_Table,Escalation!$D$291),Exch)</f>
        <v>1.065</v>
      </c>
      <c r="H187" s="1596" t="n">
        <f aca="false">E187*F187/G187</f>
        <v>32546.024624018</v>
      </c>
      <c r="I187" s="1540" t="n">
        <f aca="false">VLOOKUP($A187,Plant_Table,'Plant Operations'!$C$270)</f>
        <v>480</v>
      </c>
      <c r="J187" s="1575" t="n">
        <f aca="false">H187*I187/1000</f>
        <v>15622.0918195286</v>
      </c>
      <c r="K187" s="1565" t="n">
        <f aca="false">F187</f>
        <v>2.91992856639125</v>
      </c>
      <c r="L187" s="394" t="n">
        <f aca="false">J187/K187</f>
        <v>5350.16232908604</v>
      </c>
      <c r="M187" s="1579" t="str">
        <f aca="false">IF(MONTH($A187)=12,SUM(L176:L187)," ")</f>
        <v> </v>
      </c>
      <c r="O187" s="1597" t="n">
        <f aca="false">IF($A187&gt;Endyr,0,VLOOKUP($A187,Tariff_Table,Tariff!$H$33))</f>
        <v>6140.72</v>
      </c>
      <c r="P187" s="1565" t="n">
        <f aca="false">$AS187</f>
        <v>1.4483878194931</v>
      </c>
      <c r="Q187" s="1575" t="n">
        <f aca="false">O187*P187</f>
        <v>8894.14405091767</v>
      </c>
      <c r="R187" s="1565" t="n">
        <f aca="false">$F187</f>
        <v>2.91992856639125</v>
      </c>
      <c r="S187" s="427" t="n">
        <f aca="false">$G187</f>
        <v>1.065</v>
      </c>
      <c r="T187" s="1575" t="n">
        <f aca="false">Q187*R187/S187</f>
        <v>24385.2256224162</v>
      </c>
      <c r="U187" s="1540" t="n">
        <f aca="false">$I187</f>
        <v>480</v>
      </c>
      <c r="V187" s="1575" t="n">
        <f aca="false">T187*U187/1000</f>
        <v>11704.9082987598</v>
      </c>
      <c r="W187" s="1565" t="n">
        <f aca="false">R187</f>
        <v>2.91992856639125</v>
      </c>
      <c r="X187" s="394" t="n">
        <f aca="false">V187/W187</f>
        <v>4008.62830463895</v>
      </c>
      <c r="Y187" s="1579" t="str">
        <f aca="false">IF(MONTH($A187)=12,SUM(X176:X187)," ")</f>
        <v> </v>
      </c>
      <c r="AA187" s="1595" t="n">
        <f aca="false">IF($A187&gt;Endyr,0,VLOOKUP($A187,Tariff_Table,Tariff!$I$33))</f>
        <v>2.31</v>
      </c>
      <c r="AB187" s="1565" t="n">
        <f aca="false">$AS187</f>
        <v>1.4483878194931</v>
      </c>
      <c r="AC187" s="1596" t="n">
        <f aca="false">AA187*AB187</f>
        <v>3.34577586302906</v>
      </c>
      <c r="AD187" s="1565" t="n">
        <f aca="false">$F187</f>
        <v>2.91992856639125</v>
      </c>
      <c r="AE187" s="427" t="n">
        <f aca="false">$G187</f>
        <v>1.065</v>
      </c>
      <c r="AF187" s="1596" t="n">
        <f aca="false">AC187*AD187/AE187</f>
        <v>9.1731704405642</v>
      </c>
      <c r="AG187" s="397" t="n">
        <f aca="false">VLOOKUP($A187,Plant_Table,'Plant Operations'!$M$270)</f>
        <v>298980.864</v>
      </c>
      <c r="AH187" s="1575" t="n">
        <f aca="false">AF187*AG187/1000</f>
        <v>2742.60242393915</v>
      </c>
      <c r="AI187" s="1565" t="n">
        <f aca="false">AD187</f>
        <v>2.91992856639125</v>
      </c>
      <c r="AJ187" s="1566" t="n">
        <f aca="false">AH187/AI187</f>
        <v>939.270383360352</v>
      </c>
      <c r="AK187" s="1567" t="str">
        <f aca="false">IF(MONTH($A187)=12,SUM(AJ176:AJ187)," ")</f>
        <v> </v>
      </c>
      <c r="AM187" s="488" t="n">
        <f aca="false">IF($A187&gt;Endyr,0,VLOOKUP($A187,Tariff_Table,Tariff!$L$33))</f>
        <v>1.21</v>
      </c>
      <c r="AN187" s="1576" t="n">
        <f aca="false">VLOOKUP($A187,Curves_Table,Escalation!$Z$291)</f>
        <v>1.54102993095862</v>
      </c>
      <c r="AO187" s="1314" t="n">
        <f aca="false">AM187*AN187</f>
        <v>1.86464621645993</v>
      </c>
      <c r="AP187" s="1314" t="n">
        <f aca="false">IF($A187&gt;Endyr,0,VLOOKUP($A187,Tariff_Table,Tariff!$M$33))</f>
        <v>0.25</v>
      </c>
      <c r="AQ187" s="1314" t="n">
        <f aca="false">SUM(AO187,AP187)</f>
        <v>2.11464621645993</v>
      </c>
      <c r="AR187" s="1314" t="n">
        <f aca="false">SUM(AM187,AP187)</f>
        <v>1.46</v>
      </c>
      <c r="AS187" s="1598" t="n">
        <f aca="false">IF(AR187=0,0,AQ187/AR187)</f>
        <v>1.4483878194931</v>
      </c>
    </row>
    <row r="188" customFormat="false" ht="12.75" hidden="false" customHeight="false" outlineLevel="0" collapsed="false">
      <c r="A188" s="1538" t="n">
        <f aca="false">EDATE(A187,1)</f>
        <v>42309</v>
      </c>
      <c r="C188" s="1595" t="n">
        <f aca="false">IF($A188&gt;Endyr,0,VLOOKUP($A188,Tariff_Table,Tariff!$G$33))</f>
        <v>7431.57</v>
      </c>
      <c r="D188" s="1565" t="n">
        <f aca="false">VLOOKUP($A188,Curves_Table,Escalation!$V$291)</f>
        <v>1.59733039824151</v>
      </c>
      <c r="E188" s="1596" t="n">
        <f aca="false">C188*D188</f>
        <v>11870.6726676596</v>
      </c>
      <c r="F188" s="1565" t="n">
        <f aca="false">IF(Assm!$L$74=0,VLOOKUP($A188,Curves_Table,Escalation!$D$291),VLOOKUP($A188,Curves_Table,Escalation!$E$291))</f>
        <v>2.9247442832574</v>
      </c>
      <c r="G188" s="427" t="n">
        <f aca="false">IF($A188&lt;EE_Date,VLOOKUP($A188,Curves_Table,Escalation!$D$291),Exch)</f>
        <v>1.065</v>
      </c>
      <c r="H188" s="1596" t="n">
        <f aca="false">E188*F188/G188</f>
        <v>32599.7014301947</v>
      </c>
      <c r="I188" s="1540" t="n">
        <f aca="false">VLOOKUP($A188,Plant_Table,'Plant Operations'!$C$270)</f>
        <v>480</v>
      </c>
      <c r="J188" s="1575" t="n">
        <f aca="false">H188*I188/1000</f>
        <v>15647.8566864935</v>
      </c>
      <c r="K188" s="1565" t="n">
        <f aca="false">F188</f>
        <v>2.9247442832574</v>
      </c>
      <c r="L188" s="394" t="n">
        <f aca="false">J188/K188</f>
        <v>5350.16232908604</v>
      </c>
      <c r="M188" s="1579" t="str">
        <f aca="false">IF(MONTH($A188)=12,SUM(L177:L188)," ")</f>
        <v> </v>
      </c>
      <c r="O188" s="1597" t="n">
        <f aca="false">IF($A188&gt;Endyr,0,VLOOKUP($A188,Tariff_Table,Tariff!$H$33))</f>
        <v>6140.72</v>
      </c>
      <c r="P188" s="1565" t="n">
        <f aca="false">$AS188</f>
        <v>1.4483878194931</v>
      </c>
      <c r="Q188" s="1575" t="n">
        <f aca="false">O188*P188</f>
        <v>8894.14405091767</v>
      </c>
      <c r="R188" s="1565" t="n">
        <f aca="false">$F188</f>
        <v>2.9247442832574</v>
      </c>
      <c r="S188" s="427" t="n">
        <f aca="false">$G188</f>
        <v>1.065</v>
      </c>
      <c r="T188" s="1575" t="n">
        <f aca="false">Q188*R188/S188</f>
        <v>24425.4431618679</v>
      </c>
      <c r="U188" s="1540" t="n">
        <f aca="false">$I188</f>
        <v>480</v>
      </c>
      <c r="V188" s="1575" t="n">
        <f aca="false">T188*U188/1000</f>
        <v>11724.2127176966</v>
      </c>
      <c r="W188" s="1565" t="n">
        <f aca="false">R188</f>
        <v>2.9247442832574</v>
      </c>
      <c r="X188" s="394" t="n">
        <f aca="false">V188/W188</f>
        <v>4008.62830463895</v>
      </c>
      <c r="Y188" s="1579" t="str">
        <f aca="false">IF(MONTH($A188)=12,SUM(X177:X188)," ")</f>
        <v> </v>
      </c>
      <c r="AA188" s="1595" t="n">
        <f aca="false">IF($A188&gt;Endyr,0,VLOOKUP($A188,Tariff_Table,Tariff!$I$33))</f>
        <v>2.31</v>
      </c>
      <c r="AB188" s="1565" t="n">
        <f aca="false">$AS188</f>
        <v>1.4483878194931</v>
      </c>
      <c r="AC188" s="1596" t="n">
        <f aca="false">AA188*AB188</f>
        <v>3.34577586302906</v>
      </c>
      <c r="AD188" s="1565" t="n">
        <f aca="false">$F188</f>
        <v>2.9247442832574</v>
      </c>
      <c r="AE188" s="427" t="n">
        <f aca="false">$G188</f>
        <v>1.065</v>
      </c>
      <c r="AF188" s="1596" t="n">
        <f aca="false">AC188*AD188/AE188</f>
        <v>9.18829936944116</v>
      </c>
      <c r="AG188" s="397" t="n">
        <f aca="false">VLOOKUP($A188,Plant_Table,'Plant Operations'!$M$270)</f>
        <v>289336.32</v>
      </c>
      <c r="AH188" s="1575" t="n">
        <f aca="false">AF188*AG188/1000</f>
        <v>2658.50872661243</v>
      </c>
      <c r="AI188" s="1565" t="n">
        <f aca="false">AD188</f>
        <v>2.9247442832574</v>
      </c>
      <c r="AJ188" s="1566" t="n">
        <f aca="false">AH188/AI188</f>
        <v>908.971338735824</v>
      </c>
      <c r="AK188" s="1567" t="str">
        <f aca="false">IF(MONTH($A188)=12,SUM(AJ177:AJ188)," ")</f>
        <v> </v>
      </c>
      <c r="AM188" s="488" t="n">
        <f aca="false">IF($A188&gt;Endyr,0,VLOOKUP($A188,Tariff_Table,Tariff!$L$33))</f>
        <v>1.21</v>
      </c>
      <c r="AN188" s="1576" t="n">
        <f aca="false">VLOOKUP($A188,Curves_Table,Escalation!$Z$291)</f>
        <v>1.54102993095862</v>
      </c>
      <c r="AO188" s="1314" t="n">
        <f aca="false">AM188*AN188</f>
        <v>1.86464621645993</v>
      </c>
      <c r="AP188" s="1314" t="n">
        <f aca="false">IF($A188&gt;Endyr,0,VLOOKUP($A188,Tariff_Table,Tariff!$M$33))</f>
        <v>0.25</v>
      </c>
      <c r="AQ188" s="1314" t="n">
        <f aca="false">SUM(AO188,AP188)</f>
        <v>2.11464621645993</v>
      </c>
      <c r="AR188" s="1314" t="n">
        <f aca="false">SUM(AM188,AP188)</f>
        <v>1.46</v>
      </c>
      <c r="AS188" s="1598" t="n">
        <f aca="false">IF(AR188=0,0,AQ188/AR188)</f>
        <v>1.4483878194931</v>
      </c>
    </row>
    <row r="189" customFormat="false" ht="12.75" hidden="false" customHeight="false" outlineLevel="0" collapsed="false">
      <c r="A189" s="1538" t="n">
        <f aca="false">EDATE(A188,1)</f>
        <v>42339</v>
      </c>
      <c r="C189" s="1595" t="n">
        <f aca="false">IF($A189&gt;Endyr,0,VLOOKUP($A189,Tariff_Table,Tariff!$G$33))</f>
        <v>7431.57</v>
      </c>
      <c r="D189" s="1565" t="n">
        <f aca="false">VLOOKUP($A189,Curves_Table,Escalation!$V$291)</f>
        <v>1.59733039824151</v>
      </c>
      <c r="E189" s="1596" t="n">
        <f aca="false">C189*D189</f>
        <v>11870.6726676596</v>
      </c>
      <c r="F189" s="1565" t="n">
        <f aca="false">IF(Assm!$L$74=0,VLOOKUP($A189,Curves_Table,Escalation!$D$291),VLOOKUP($A189,Curves_Table,Escalation!$E$291))</f>
        <v>2.9295679424853</v>
      </c>
      <c r="G189" s="427" t="n">
        <f aca="false">IF($A189&lt;EE_Date,VLOOKUP($A189,Curves_Table,Escalation!$D$291),Exch)</f>
        <v>1.065</v>
      </c>
      <c r="H189" s="1596" t="n">
        <f aca="false">E189*F189/G189</f>
        <v>32653.4667632977</v>
      </c>
      <c r="I189" s="1540" t="n">
        <f aca="false">VLOOKUP($A189,Plant_Table,'Plant Operations'!$C$270)</f>
        <v>480</v>
      </c>
      <c r="J189" s="1575" t="n">
        <f aca="false">H189*I189/1000</f>
        <v>15673.6640463829</v>
      </c>
      <c r="K189" s="1565" t="n">
        <f aca="false">F189</f>
        <v>2.9295679424853</v>
      </c>
      <c r="L189" s="394" t="n">
        <f aca="false">J189/K189</f>
        <v>5350.16232908604</v>
      </c>
      <c r="M189" s="1579" t="n">
        <f aca="false">IF(MONTH($A189)=12,SUM(L178:L189)," ")</f>
        <v>63647.4274674201</v>
      </c>
      <c r="O189" s="1597" t="n">
        <f aca="false">IF($A189&gt;Endyr,0,VLOOKUP($A189,Tariff_Table,Tariff!$H$33))</f>
        <v>6140.72</v>
      </c>
      <c r="P189" s="1565" t="n">
        <f aca="false">$AS189</f>
        <v>1.4483878194931</v>
      </c>
      <c r="Q189" s="1575" t="n">
        <f aca="false">O189*P189</f>
        <v>8894.14405091767</v>
      </c>
      <c r="R189" s="1565" t="n">
        <f aca="false">$F189</f>
        <v>2.9295679424853</v>
      </c>
      <c r="S189" s="427" t="n">
        <f aca="false">$G189</f>
        <v>1.065</v>
      </c>
      <c r="T189" s="1575" t="n">
        <f aca="false">Q189*R189/S189</f>
        <v>24465.7270304364</v>
      </c>
      <c r="U189" s="1540" t="n">
        <f aca="false">$I189</f>
        <v>480</v>
      </c>
      <c r="V189" s="1575" t="n">
        <f aca="false">T189*U189/1000</f>
        <v>11743.5489746094</v>
      </c>
      <c r="W189" s="1565" t="n">
        <f aca="false">R189</f>
        <v>2.9295679424853</v>
      </c>
      <c r="X189" s="394" t="n">
        <f aca="false">V189/W189</f>
        <v>4008.62830463895</v>
      </c>
      <c r="Y189" s="1579" t="n">
        <f aca="false">IF(MONTH($A189)=12,SUM(X178:X189)," ")</f>
        <v>47725.6666036302</v>
      </c>
      <c r="AA189" s="1595" t="n">
        <f aca="false">IF($A189&gt;Endyr,0,VLOOKUP($A189,Tariff_Table,Tariff!$I$33))</f>
        <v>2.31</v>
      </c>
      <c r="AB189" s="1565" t="n">
        <f aca="false">$AS189</f>
        <v>1.4483878194931</v>
      </c>
      <c r="AC189" s="1596" t="n">
        <f aca="false">AA189*AB189</f>
        <v>3.34577586302906</v>
      </c>
      <c r="AD189" s="1565" t="n">
        <f aca="false">$F189</f>
        <v>2.9295679424853</v>
      </c>
      <c r="AE189" s="427" t="n">
        <f aca="false">$G189</f>
        <v>1.065</v>
      </c>
      <c r="AF189" s="1596" t="n">
        <f aca="false">AC189*AD189/AE189</f>
        <v>9.20345324983194</v>
      </c>
      <c r="AG189" s="397" t="n">
        <f aca="false">VLOOKUP($A189,Plant_Table,'Plant Operations'!$M$270)</f>
        <v>298980.864</v>
      </c>
      <c r="AH189" s="1575" t="n">
        <f aca="false">AF189*AG189/1000</f>
        <v>2751.65640441836</v>
      </c>
      <c r="AI189" s="1565" t="n">
        <f aca="false">AD189</f>
        <v>2.9295679424853</v>
      </c>
      <c r="AJ189" s="1566" t="n">
        <f aca="false">AH189/AI189</f>
        <v>939.270383360352</v>
      </c>
      <c r="AK189" s="1567" t="n">
        <f aca="false">IF(MONTH($A189)=12,SUM(AJ178:AJ189)," ")</f>
        <v>10986.6396633944</v>
      </c>
      <c r="AM189" s="488" t="n">
        <f aca="false">IF($A189&gt;Endyr,0,VLOOKUP($A189,Tariff_Table,Tariff!$L$33))</f>
        <v>1.21</v>
      </c>
      <c r="AN189" s="1576" t="n">
        <f aca="false">VLOOKUP($A189,Curves_Table,Escalation!$Z$291)</f>
        <v>1.54102993095862</v>
      </c>
      <c r="AO189" s="1314" t="n">
        <f aca="false">AM189*AN189</f>
        <v>1.86464621645993</v>
      </c>
      <c r="AP189" s="1314" t="n">
        <f aca="false">IF($A189&gt;Endyr,0,VLOOKUP($A189,Tariff_Table,Tariff!$M$33))</f>
        <v>0.25</v>
      </c>
      <c r="AQ189" s="1314" t="n">
        <f aca="false">SUM(AO189,AP189)</f>
        <v>2.11464621645993</v>
      </c>
      <c r="AR189" s="1314" t="n">
        <f aca="false">SUM(AM189,AP189)</f>
        <v>1.46</v>
      </c>
      <c r="AS189" s="1598" t="n">
        <f aca="false">IF(AR189=0,0,AQ189/AR189)</f>
        <v>1.4483878194931</v>
      </c>
    </row>
    <row r="190" customFormat="false" ht="12.75" hidden="false" customHeight="false" outlineLevel="0" collapsed="false">
      <c r="A190" s="1538" t="n">
        <f aca="false">EDATE(A189,1)</f>
        <v>42370</v>
      </c>
      <c r="C190" s="1595" t="n">
        <f aca="false">IF($A190&gt;Endyr,0,VLOOKUP($A190,Tariff_Table,Tariff!$G$33))</f>
        <v>7431.57</v>
      </c>
      <c r="D190" s="1565" t="n">
        <f aca="false">VLOOKUP($A190,Curves_Table,Escalation!$V$291)</f>
        <v>1.59733039824151</v>
      </c>
      <c r="E190" s="1596" t="n">
        <f aca="false">C190*D190</f>
        <v>11870.6726676596</v>
      </c>
      <c r="F190" s="1565" t="n">
        <f aca="false">IF(Assm!$L$74=0,VLOOKUP($A190,Curves_Table,Escalation!$D$291),VLOOKUP($A190,Curves_Table,Escalation!$E$291))</f>
        <v>2.9344084151188</v>
      </c>
      <c r="G190" s="427" t="n">
        <f aca="false">IF($A190&lt;EE_Date,VLOOKUP($A190,Curves_Table,Escalation!$D$291),Exch)</f>
        <v>1.065</v>
      </c>
      <c r="H190" s="1596" t="n">
        <f aca="false">E190*F190/G190</f>
        <v>32707.4195015035</v>
      </c>
      <c r="I190" s="1540" t="n">
        <f aca="false">VLOOKUP($A190,Plant_Table,'Plant Operations'!$C$270)</f>
        <v>480</v>
      </c>
      <c r="J190" s="1575" t="n">
        <f aca="false">H190*I190/1000</f>
        <v>15699.5613607217</v>
      </c>
      <c r="K190" s="1565" t="n">
        <f aca="false">F190</f>
        <v>2.9344084151188</v>
      </c>
      <c r="L190" s="394" t="n">
        <f aca="false">J190/K190</f>
        <v>5350.16232908604</v>
      </c>
      <c r="M190" s="1579" t="str">
        <f aca="false">IF(MONTH($A190)=12,SUM(L179:L190)," ")</f>
        <v> </v>
      </c>
      <c r="O190" s="1597" t="n">
        <f aca="false">IF($A190&gt;Endyr,0,VLOOKUP($A190,Tariff_Table,Tariff!$H$33))</f>
        <v>6140.72</v>
      </c>
      <c r="P190" s="1565" t="n">
        <f aca="false">$AS190</f>
        <v>1.4483878194931</v>
      </c>
      <c r="Q190" s="1575" t="n">
        <f aca="false">O190*P190</f>
        <v>8894.14405091767</v>
      </c>
      <c r="R190" s="1565" t="n">
        <f aca="false">$F190</f>
        <v>2.9344084151188</v>
      </c>
      <c r="S190" s="427" t="n">
        <f aca="false">$G190</f>
        <v>1.065</v>
      </c>
      <c r="T190" s="1575" t="n">
        <f aca="false">Q190*R190/S190</f>
        <v>24506.1513129499</v>
      </c>
      <c r="U190" s="1540" t="n">
        <f aca="false">$I190</f>
        <v>480</v>
      </c>
      <c r="V190" s="1575" t="n">
        <f aca="false">T190*U190/1000</f>
        <v>11762.952630216</v>
      </c>
      <c r="W190" s="1565" t="n">
        <f aca="false">R190</f>
        <v>2.9344084151188</v>
      </c>
      <c r="X190" s="394" t="n">
        <f aca="false">V190/W190</f>
        <v>4008.62830463895</v>
      </c>
      <c r="Y190" s="1579" t="str">
        <f aca="false">IF(MONTH($A190)=12,SUM(X179:X190)," ")</f>
        <v> </v>
      </c>
      <c r="AA190" s="1595" t="n">
        <f aca="false">IF($A190&gt;Endyr,0,VLOOKUP($A190,Tariff_Table,Tariff!$I$33))</f>
        <v>2.31</v>
      </c>
      <c r="AB190" s="1565" t="n">
        <f aca="false">$AS190</f>
        <v>1.4483878194931</v>
      </c>
      <c r="AC190" s="1596" t="n">
        <f aca="false">AA190*AB190</f>
        <v>3.34577586302906</v>
      </c>
      <c r="AD190" s="1565" t="n">
        <f aca="false">$F190</f>
        <v>2.9344084151188</v>
      </c>
      <c r="AE190" s="427" t="n">
        <f aca="false">$G190</f>
        <v>1.065</v>
      </c>
      <c r="AF190" s="1596" t="n">
        <f aca="false">AC190*AD190/AE190</f>
        <v>9.21865995077357</v>
      </c>
      <c r="AG190" s="397" t="n">
        <f aca="false">VLOOKUP($A190,Plant_Table,'Plant Operations'!$M$270)</f>
        <v>298980.864</v>
      </c>
      <c r="AH190" s="1575" t="n">
        <f aca="false">AF190*AG190/1000</f>
        <v>2756.20291700448</v>
      </c>
      <c r="AI190" s="1565" t="n">
        <f aca="false">AD190</f>
        <v>2.9344084151188</v>
      </c>
      <c r="AJ190" s="1566" t="n">
        <f aca="false">AH190/AI190</f>
        <v>939.270383360352</v>
      </c>
      <c r="AK190" s="1567" t="str">
        <f aca="false">IF(MONTH($A190)=12,SUM(AJ179:AJ190)," ")</f>
        <v> </v>
      </c>
      <c r="AM190" s="488" t="n">
        <f aca="false">IF($A190&gt;Endyr,0,VLOOKUP($A190,Tariff_Table,Tariff!$L$33))</f>
        <v>1.21</v>
      </c>
      <c r="AN190" s="1576" t="n">
        <f aca="false">VLOOKUP($A190,Curves_Table,Escalation!$Z$291)</f>
        <v>1.54102993095862</v>
      </c>
      <c r="AO190" s="1314" t="n">
        <f aca="false">AM190*AN190</f>
        <v>1.86464621645993</v>
      </c>
      <c r="AP190" s="1314" t="n">
        <f aca="false">IF($A190&gt;Endyr,0,VLOOKUP($A190,Tariff_Table,Tariff!$M$33))</f>
        <v>0.25</v>
      </c>
      <c r="AQ190" s="1314" t="n">
        <f aca="false">SUM(AO190,AP190)</f>
        <v>2.11464621645993</v>
      </c>
      <c r="AR190" s="1314" t="n">
        <f aca="false">SUM(AM190,AP190)</f>
        <v>1.46</v>
      </c>
      <c r="AS190" s="1598" t="n">
        <f aca="false">IF(AR190=0,0,AQ190/AR190)</f>
        <v>1.4483878194931</v>
      </c>
    </row>
    <row r="191" customFormat="false" ht="12.75" hidden="false" customHeight="false" outlineLevel="0" collapsed="false">
      <c r="A191" s="1538" t="n">
        <f aca="false">EDATE(A190,1)</f>
        <v>42401</v>
      </c>
      <c r="C191" s="1595" t="n">
        <f aca="false">IF($A191&gt;Endyr,0,VLOOKUP($A191,Tariff_Table,Tariff!$G$33))</f>
        <v>7431.57</v>
      </c>
      <c r="D191" s="1565" t="n">
        <f aca="false">VLOOKUP($A191,Curves_Table,Escalation!$V$291)</f>
        <v>1.59733039824151</v>
      </c>
      <c r="E191" s="1596" t="n">
        <f aca="false">C191*D191</f>
        <v>11870.6726676596</v>
      </c>
      <c r="F191" s="1565" t="n">
        <f aca="false">IF(Assm!$L$74=0,VLOOKUP($A191,Curves_Table,Escalation!$D$291),VLOOKUP($A191,Curves_Table,Escalation!$E$291))</f>
        <v>2.93925688557853</v>
      </c>
      <c r="G191" s="427" t="n">
        <f aca="false">IF($A191&lt;EE_Date,VLOOKUP($A191,Curves_Table,Escalation!$D$291),Exch)</f>
        <v>1.065</v>
      </c>
      <c r="H191" s="1596" t="n">
        <f aca="false">E191*F191/G191</f>
        <v>32761.4613848521</v>
      </c>
      <c r="I191" s="1540" t="n">
        <f aca="false">VLOOKUP($A191,Plant_Table,'Plant Operations'!$C$270)</f>
        <v>480</v>
      </c>
      <c r="J191" s="1575" t="n">
        <f aca="false">H191*I191/1000</f>
        <v>15725.501464729</v>
      </c>
      <c r="K191" s="1565" t="n">
        <f aca="false">F191</f>
        <v>2.93925688557853</v>
      </c>
      <c r="L191" s="394" t="n">
        <f aca="false">J191/K191</f>
        <v>5350.16232908604</v>
      </c>
      <c r="M191" s="1579" t="str">
        <f aca="false">IF(MONTH($A191)=12,SUM(L180:L191)," ")</f>
        <v> </v>
      </c>
      <c r="O191" s="1597" t="n">
        <f aca="false">IF($A191&gt;Endyr,0,VLOOKUP($A191,Tariff_Table,Tariff!$H$33))</f>
        <v>6140.72</v>
      </c>
      <c r="P191" s="1565" t="n">
        <f aca="false">$AS191</f>
        <v>1.4483878194931</v>
      </c>
      <c r="Q191" s="1575" t="n">
        <f aca="false">O191*P191</f>
        <v>8894.14405091767</v>
      </c>
      <c r="R191" s="1565" t="n">
        <f aca="false">$F191</f>
        <v>2.93925688557853</v>
      </c>
      <c r="S191" s="427" t="n">
        <f aca="false">$G191</f>
        <v>1.065</v>
      </c>
      <c r="T191" s="1575" t="n">
        <f aca="false">Q191*R191/S191</f>
        <v>24546.6423877813</v>
      </c>
      <c r="U191" s="1540" t="n">
        <f aca="false">$I191</f>
        <v>480</v>
      </c>
      <c r="V191" s="1575" t="n">
        <f aca="false">T191*U191/1000</f>
        <v>11782.388346135</v>
      </c>
      <c r="W191" s="1565" t="n">
        <f aca="false">R191</f>
        <v>2.93925688557853</v>
      </c>
      <c r="X191" s="394" t="n">
        <f aca="false">V191/W191</f>
        <v>4008.62830463895</v>
      </c>
      <c r="Y191" s="1579" t="str">
        <f aca="false">IF(MONTH($A191)=12,SUM(X180:X191)," ")</f>
        <v> </v>
      </c>
      <c r="AA191" s="1595" t="n">
        <f aca="false">IF($A191&gt;Endyr,0,VLOOKUP($A191,Tariff_Table,Tariff!$I$33))</f>
        <v>2.31</v>
      </c>
      <c r="AB191" s="1565" t="n">
        <f aca="false">$AS191</f>
        <v>1.4483878194931</v>
      </c>
      <c r="AC191" s="1596" t="n">
        <f aca="false">AA191*AB191</f>
        <v>3.34577586302906</v>
      </c>
      <c r="AD191" s="1565" t="n">
        <f aca="false">$F191</f>
        <v>2.93925688557853</v>
      </c>
      <c r="AE191" s="427" t="n">
        <f aca="false">$G191</f>
        <v>1.065</v>
      </c>
      <c r="AF191" s="1596" t="n">
        <f aca="false">AC191*AD191/AE191</f>
        <v>9.23389177747477</v>
      </c>
      <c r="AG191" s="397" t="n">
        <f aca="false">VLOOKUP($A191,Plant_Table,'Plant Operations'!$M$270)</f>
        <v>279691.776</v>
      </c>
      <c r="AH191" s="1575" t="n">
        <f aca="false">AF191*AG191/1000</f>
        <v>2582.64359063372</v>
      </c>
      <c r="AI191" s="1565" t="n">
        <f aca="false">AD191</f>
        <v>2.93925688557853</v>
      </c>
      <c r="AJ191" s="1566" t="n">
        <f aca="false">AH191/AI191</f>
        <v>878.672294111297</v>
      </c>
      <c r="AK191" s="1567" t="str">
        <f aca="false">IF(MONTH($A191)=12,SUM(AJ180:AJ191)," ")</f>
        <v> </v>
      </c>
      <c r="AM191" s="488" t="n">
        <f aca="false">IF($A191&gt;Endyr,0,VLOOKUP($A191,Tariff_Table,Tariff!$L$33))</f>
        <v>1.21</v>
      </c>
      <c r="AN191" s="1576" t="n">
        <f aca="false">VLOOKUP($A191,Curves_Table,Escalation!$Z$291)</f>
        <v>1.54102993095862</v>
      </c>
      <c r="AO191" s="1314" t="n">
        <f aca="false">AM191*AN191</f>
        <v>1.86464621645993</v>
      </c>
      <c r="AP191" s="1314" t="n">
        <f aca="false">IF($A191&gt;Endyr,0,VLOOKUP($A191,Tariff_Table,Tariff!$M$33))</f>
        <v>0.25</v>
      </c>
      <c r="AQ191" s="1314" t="n">
        <f aca="false">SUM(AO191,AP191)</f>
        <v>2.11464621645993</v>
      </c>
      <c r="AR191" s="1314" t="n">
        <f aca="false">SUM(AM191,AP191)</f>
        <v>1.46</v>
      </c>
      <c r="AS191" s="1598" t="n">
        <f aca="false">IF(AR191=0,0,AQ191/AR191)</f>
        <v>1.4483878194931</v>
      </c>
    </row>
    <row r="192" customFormat="false" ht="12.75" hidden="false" customHeight="false" outlineLevel="0" collapsed="false">
      <c r="A192" s="1538" t="n">
        <f aca="false">EDATE(A191,1)</f>
        <v>42430</v>
      </c>
      <c r="C192" s="1595" t="n">
        <f aca="false">IF($A192&gt;Endyr,0,VLOOKUP($A192,Tariff_Table,Tariff!$G$33))</f>
        <v>7431.57</v>
      </c>
      <c r="D192" s="1565" t="n">
        <f aca="false">VLOOKUP($A192,Curves_Table,Escalation!$V$291)</f>
        <v>1.59733039824151</v>
      </c>
      <c r="E192" s="1596" t="n">
        <f aca="false">C192*D192</f>
        <v>11870.6726676596</v>
      </c>
      <c r="F192" s="1565" t="n">
        <f aca="false">IF(Assm!$L$74=0,VLOOKUP($A192,Curves_Table,Escalation!$D$291),VLOOKUP($A192,Curves_Table,Escalation!$E$291))</f>
        <v>2.94411336707915</v>
      </c>
      <c r="G192" s="427" t="n">
        <f aca="false">IF($A192&lt;EE_Date,VLOOKUP($A192,Curves_Table,Escalation!$D$291),Exch)</f>
        <v>1.065</v>
      </c>
      <c r="H192" s="1596" t="n">
        <f aca="false">E192*F192/G192</f>
        <v>32815.5925606365</v>
      </c>
      <c r="I192" s="1540" t="n">
        <f aca="false">VLOOKUP($A192,Plant_Table,'Plant Operations'!$C$270)</f>
        <v>480</v>
      </c>
      <c r="J192" s="1575" t="n">
        <f aca="false">H192*I192/1000</f>
        <v>15751.4844291055</v>
      </c>
      <c r="K192" s="1565" t="n">
        <f aca="false">F192</f>
        <v>2.94411336707915</v>
      </c>
      <c r="L192" s="394" t="n">
        <f aca="false">J192/K192</f>
        <v>5350.16232908604</v>
      </c>
      <c r="M192" s="1579" t="str">
        <f aca="false">IF(MONTH($A192)=12,SUM(L181:L192)," ")</f>
        <v> </v>
      </c>
      <c r="O192" s="1597" t="n">
        <f aca="false">IF($A192&gt;Endyr,0,VLOOKUP($A192,Tariff_Table,Tariff!$H$33))</f>
        <v>6140.72</v>
      </c>
      <c r="P192" s="1565" t="n">
        <f aca="false">$AS192</f>
        <v>1.4483878194931</v>
      </c>
      <c r="Q192" s="1575" t="n">
        <f aca="false">O192*P192</f>
        <v>8894.14405091767</v>
      </c>
      <c r="R192" s="1565" t="n">
        <f aca="false">$F192</f>
        <v>2.94411336707915</v>
      </c>
      <c r="S192" s="427" t="n">
        <f aca="false">$G192</f>
        <v>1.065</v>
      </c>
      <c r="T192" s="1575" t="n">
        <f aca="false">Q192*R192/S192</f>
        <v>24587.2003652904</v>
      </c>
      <c r="U192" s="1540" t="n">
        <f aca="false">$I192</f>
        <v>480</v>
      </c>
      <c r="V192" s="1575" t="n">
        <f aca="false">T192*U192/1000</f>
        <v>11801.8561753394</v>
      </c>
      <c r="W192" s="1565" t="n">
        <f aca="false">R192</f>
        <v>2.94411336707915</v>
      </c>
      <c r="X192" s="394" t="n">
        <f aca="false">V192/W192</f>
        <v>4008.62830463895</v>
      </c>
      <c r="Y192" s="1579" t="str">
        <f aca="false">IF(MONTH($A192)=12,SUM(X181:X192)," ")</f>
        <v> </v>
      </c>
      <c r="AA192" s="1595" t="n">
        <f aca="false">IF($A192&gt;Endyr,0,VLOOKUP($A192,Tariff_Table,Tariff!$I$33))</f>
        <v>2.31</v>
      </c>
      <c r="AB192" s="1565" t="n">
        <f aca="false">$AS192</f>
        <v>1.4483878194931</v>
      </c>
      <c r="AC192" s="1596" t="n">
        <f aca="false">AA192*AB192</f>
        <v>3.34577586302906</v>
      </c>
      <c r="AD192" s="1565" t="n">
        <f aca="false">$F192</f>
        <v>2.94411336707915</v>
      </c>
      <c r="AE192" s="427" t="n">
        <f aca="false">$G192</f>
        <v>1.065</v>
      </c>
      <c r="AF192" s="1596" t="n">
        <f aca="false">AC192*AD192/AE192</f>
        <v>9.24914877145037</v>
      </c>
      <c r="AG192" s="397" t="n">
        <f aca="false">VLOOKUP($A192,Plant_Table,'Plant Operations'!$M$270)</f>
        <v>298980.864</v>
      </c>
      <c r="AH192" s="1575" t="n">
        <f aca="false">AF192*AG192/1000</f>
        <v>2765.31849095277</v>
      </c>
      <c r="AI192" s="1565" t="n">
        <f aca="false">AD192</f>
        <v>2.94411336707915</v>
      </c>
      <c r="AJ192" s="1566" t="n">
        <f aca="false">AH192/AI192</f>
        <v>939.270383360352</v>
      </c>
      <c r="AK192" s="1567" t="str">
        <f aca="false">IF(MONTH($A192)=12,SUM(AJ181:AJ192)," ")</f>
        <v> </v>
      </c>
      <c r="AM192" s="488" t="n">
        <f aca="false">IF($A192&gt;Endyr,0,VLOOKUP($A192,Tariff_Table,Tariff!$L$33))</f>
        <v>1.21</v>
      </c>
      <c r="AN192" s="1576" t="n">
        <f aca="false">VLOOKUP($A192,Curves_Table,Escalation!$Z$291)</f>
        <v>1.54102993095862</v>
      </c>
      <c r="AO192" s="1314" t="n">
        <f aca="false">AM192*AN192</f>
        <v>1.86464621645993</v>
      </c>
      <c r="AP192" s="1314" t="n">
        <f aca="false">IF($A192&gt;Endyr,0,VLOOKUP($A192,Tariff_Table,Tariff!$M$33))</f>
        <v>0.25</v>
      </c>
      <c r="AQ192" s="1314" t="n">
        <f aca="false">SUM(AO192,AP192)</f>
        <v>2.11464621645993</v>
      </c>
      <c r="AR192" s="1314" t="n">
        <f aca="false">SUM(AM192,AP192)</f>
        <v>1.46</v>
      </c>
      <c r="AS192" s="1598" t="n">
        <f aca="false">IF(AR192=0,0,AQ192/AR192)</f>
        <v>1.4483878194931</v>
      </c>
    </row>
    <row r="193" customFormat="false" ht="12.75" hidden="false" customHeight="false" outlineLevel="0" collapsed="false">
      <c r="A193" s="1538" t="n">
        <f aca="false">EDATE(A192,1)</f>
        <v>42461</v>
      </c>
      <c r="C193" s="1595" t="n">
        <f aca="false">IF($A193&gt;Endyr,0,VLOOKUP($A193,Tariff_Table,Tariff!$G$33))</f>
        <v>7431.57</v>
      </c>
      <c r="D193" s="1565" t="n">
        <f aca="false">VLOOKUP($A193,Curves_Table,Escalation!$V$291)</f>
        <v>1.59733039824151</v>
      </c>
      <c r="E193" s="1596" t="n">
        <f aca="false">C193*D193</f>
        <v>11870.6726676596</v>
      </c>
      <c r="F193" s="1565" t="n">
        <f aca="false">IF(Assm!$L$74=0,VLOOKUP($A193,Curves_Table,Escalation!$D$291),VLOOKUP($A193,Curves_Table,Escalation!$E$291))</f>
        <v>2.94897787285716</v>
      </c>
      <c r="G193" s="427" t="n">
        <f aca="false">IF($A193&lt;EE_Date,VLOOKUP($A193,Curves_Table,Escalation!$D$291),Exch)</f>
        <v>1.065</v>
      </c>
      <c r="H193" s="1596" t="n">
        <f aca="false">E193*F193/G193</f>
        <v>32869.813176393</v>
      </c>
      <c r="I193" s="1540" t="n">
        <f aca="false">VLOOKUP($A193,Plant_Table,'Plant Operations'!$C$270)</f>
        <v>480</v>
      </c>
      <c r="J193" s="1575" t="n">
        <f aca="false">H193*I193/1000</f>
        <v>15777.5103246687</v>
      </c>
      <c r="K193" s="1565" t="n">
        <f aca="false">F193</f>
        <v>2.94897787285716</v>
      </c>
      <c r="L193" s="394" t="n">
        <f aca="false">J193/K193</f>
        <v>5350.16232908604</v>
      </c>
      <c r="M193" s="1579" t="str">
        <f aca="false">IF(MONTH($A193)=12,SUM(L182:L193)," ")</f>
        <v> </v>
      </c>
      <c r="O193" s="1597" t="n">
        <f aca="false">IF($A193&gt;Endyr,0,VLOOKUP($A193,Tariff_Table,Tariff!$H$33))</f>
        <v>6140.72</v>
      </c>
      <c r="P193" s="1565" t="n">
        <f aca="false">$AS193</f>
        <v>1.4483878194931</v>
      </c>
      <c r="Q193" s="1575" t="n">
        <f aca="false">O193*P193</f>
        <v>8894.14405091767</v>
      </c>
      <c r="R193" s="1565" t="n">
        <f aca="false">$F193</f>
        <v>2.94897787285716</v>
      </c>
      <c r="S193" s="427" t="n">
        <f aca="false">$G193</f>
        <v>1.065</v>
      </c>
      <c r="T193" s="1575" t="n">
        <f aca="false">Q193*R193/S193</f>
        <v>24627.8253560191</v>
      </c>
      <c r="U193" s="1540" t="n">
        <f aca="false">$I193</f>
        <v>480</v>
      </c>
      <c r="V193" s="1575" t="n">
        <f aca="false">T193*U193/1000</f>
        <v>11821.3561708892</v>
      </c>
      <c r="W193" s="1565" t="n">
        <f aca="false">R193</f>
        <v>2.94897787285716</v>
      </c>
      <c r="X193" s="394" t="n">
        <f aca="false">V193/W193</f>
        <v>4008.62830463895</v>
      </c>
      <c r="Y193" s="1579" t="str">
        <f aca="false">IF(MONTH($A193)=12,SUM(X182:X193)," ")</f>
        <v> </v>
      </c>
      <c r="AA193" s="1595" t="n">
        <f aca="false">IF($A193&gt;Endyr,0,VLOOKUP($A193,Tariff_Table,Tariff!$I$33))</f>
        <v>2.31</v>
      </c>
      <c r="AB193" s="1565" t="n">
        <f aca="false">$AS193</f>
        <v>1.4483878194931</v>
      </c>
      <c r="AC193" s="1596" t="n">
        <f aca="false">AA193*AB193</f>
        <v>3.34577586302906</v>
      </c>
      <c r="AD193" s="1565" t="n">
        <f aca="false">$F193</f>
        <v>2.94897787285716</v>
      </c>
      <c r="AE193" s="427" t="n">
        <f aca="false">$G193</f>
        <v>1.065</v>
      </c>
      <c r="AF193" s="1596" t="n">
        <f aca="false">AC193*AD193/AE193</f>
        <v>9.26443097428383</v>
      </c>
      <c r="AG193" s="397" t="n">
        <f aca="false">VLOOKUP($A193,Plant_Table,'Plant Operations'!$M$270)</f>
        <v>289336.32</v>
      </c>
      <c r="AH193" s="1575" t="n">
        <f aca="false">AF193*AG193/1000</f>
        <v>2680.5363649933</v>
      </c>
      <c r="AI193" s="1565" t="n">
        <f aca="false">AD193</f>
        <v>2.94897787285716</v>
      </c>
      <c r="AJ193" s="1566" t="n">
        <f aca="false">AH193/AI193</f>
        <v>908.971338735824</v>
      </c>
      <c r="AK193" s="1567" t="str">
        <f aca="false">IF(MONTH($A193)=12,SUM(AJ182:AJ193)," ")</f>
        <v> </v>
      </c>
      <c r="AM193" s="488" t="n">
        <f aca="false">IF($A193&gt;Endyr,0,VLOOKUP($A193,Tariff_Table,Tariff!$L$33))</f>
        <v>1.21</v>
      </c>
      <c r="AN193" s="1576" t="n">
        <f aca="false">VLOOKUP($A193,Curves_Table,Escalation!$Z$291)</f>
        <v>1.54102993095862</v>
      </c>
      <c r="AO193" s="1314" t="n">
        <f aca="false">AM193*AN193</f>
        <v>1.86464621645993</v>
      </c>
      <c r="AP193" s="1314" t="n">
        <f aca="false">IF($A193&gt;Endyr,0,VLOOKUP($A193,Tariff_Table,Tariff!$M$33))</f>
        <v>0.25</v>
      </c>
      <c r="AQ193" s="1314" t="n">
        <f aca="false">SUM(AO193,AP193)</f>
        <v>2.11464621645993</v>
      </c>
      <c r="AR193" s="1314" t="n">
        <f aca="false">SUM(AM193,AP193)</f>
        <v>1.46</v>
      </c>
      <c r="AS193" s="1598" t="n">
        <f aca="false">IF(AR193=0,0,AQ193/AR193)</f>
        <v>1.4483878194931</v>
      </c>
    </row>
    <row r="194" customFormat="false" ht="12.75" hidden="false" customHeight="false" outlineLevel="0" collapsed="false">
      <c r="A194" s="1538" t="n">
        <f aca="false">EDATE(A193,1)</f>
        <v>42491</v>
      </c>
      <c r="C194" s="1595" t="n">
        <f aca="false">IF($A194&gt;Endyr,0,VLOOKUP($A194,Tariff_Table,Tariff!$G$33))</f>
        <v>7434.78</v>
      </c>
      <c r="D194" s="1565" t="n">
        <f aca="false">VLOOKUP($A194,Curves_Table,Escalation!$V$291)</f>
        <v>1.63898344452994</v>
      </c>
      <c r="E194" s="1596" t="n">
        <f aca="false">C194*D194</f>
        <v>12185.4813337223</v>
      </c>
      <c r="F194" s="1565" t="n">
        <f aca="false">IF(Assm!$L$74=0,VLOOKUP($A194,Curves_Table,Escalation!$D$291),VLOOKUP($A194,Curves_Table,Escalation!$E$291))</f>
        <v>2.95385041617093</v>
      </c>
      <c r="G194" s="427" t="n">
        <f aca="false">IF($A194&lt;EE_Date,VLOOKUP($A194,Curves_Table,Escalation!$D$291),Exch)</f>
        <v>1.065</v>
      </c>
      <c r="H194" s="1596" t="n">
        <f aca="false">E194*F194/G194</f>
        <v>33797.2667688815</v>
      </c>
      <c r="I194" s="1540" t="n">
        <f aca="false">VLOOKUP($A194,Plant_Table,'Plant Operations'!$C$270)</f>
        <v>480</v>
      </c>
      <c r="J194" s="1575" t="n">
        <f aca="false">H194*I194/1000</f>
        <v>16222.6880490631</v>
      </c>
      <c r="K194" s="1565" t="n">
        <f aca="false">F194</f>
        <v>2.95385041617093</v>
      </c>
      <c r="L194" s="394" t="n">
        <f aca="false">J194/K194</f>
        <v>5492.04792505795</v>
      </c>
      <c r="M194" s="1579" t="str">
        <f aca="false">IF(MONTH($A194)=12,SUM(L183:L194)," ")</f>
        <v> </v>
      </c>
      <c r="O194" s="1597" t="n">
        <f aca="false">IF($A194&gt;Endyr,0,VLOOKUP($A194,Tariff_Table,Tariff!$H$33))</f>
        <v>6151.18</v>
      </c>
      <c r="P194" s="1565" t="n">
        <f aca="false">$AS194</f>
        <v>1.47849887101299</v>
      </c>
      <c r="Q194" s="1575" t="n">
        <f aca="false">O194*P194</f>
        <v>9094.51268539766</v>
      </c>
      <c r="R194" s="1565" t="n">
        <f aca="false">$F194</f>
        <v>2.95385041617093</v>
      </c>
      <c r="S194" s="427" t="n">
        <f aca="false">$G194</f>
        <v>1.065</v>
      </c>
      <c r="T194" s="1575" t="n">
        <f aca="false">Q194*R194/S194</f>
        <v>25224.2535968391</v>
      </c>
      <c r="U194" s="1540" t="n">
        <f aca="false">$I194</f>
        <v>480</v>
      </c>
      <c r="V194" s="1575" t="n">
        <f aca="false">T194*U194/1000</f>
        <v>12107.6417264828</v>
      </c>
      <c r="W194" s="1565" t="n">
        <f aca="false">R194</f>
        <v>2.95385041617093</v>
      </c>
      <c r="X194" s="394" t="n">
        <f aca="false">V194/W194</f>
        <v>4098.93529482712</v>
      </c>
      <c r="Y194" s="1579" t="str">
        <f aca="false">IF(MONTH($A194)=12,SUM(X183:X194)," ")</f>
        <v> </v>
      </c>
      <c r="AA194" s="1595" t="n">
        <f aca="false">IF($A194&gt;Endyr,0,VLOOKUP($A194,Tariff_Table,Tariff!$I$33))</f>
        <v>2.32</v>
      </c>
      <c r="AB194" s="1565" t="n">
        <f aca="false">$AS194</f>
        <v>1.47849887101299</v>
      </c>
      <c r="AC194" s="1596" t="n">
        <f aca="false">AA194*AB194</f>
        <v>3.43011738075013</v>
      </c>
      <c r="AD194" s="1565" t="n">
        <f aca="false">$F194</f>
        <v>2.95385041617093</v>
      </c>
      <c r="AE194" s="427" t="n">
        <f aca="false">$G194</f>
        <v>1.065</v>
      </c>
      <c r="AF194" s="1596" t="n">
        <f aca="false">AC194*AD194/AE194</f>
        <v>9.51366540154357</v>
      </c>
      <c r="AG194" s="397" t="n">
        <f aca="false">VLOOKUP($A194,Plant_Table,'Plant Operations'!$M$270)</f>
        <v>298980.864</v>
      </c>
      <c r="AH194" s="1575" t="n">
        <f aca="false">AF194*AG194/1000</f>
        <v>2844.4039015604</v>
      </c>
      <c r="AI194" s="1565" t="n">
        <f aca="false">AD194</f>
        <v>2.95385041617093</v>
      </c>
      <c r="AJ194" s="1566" t="n">
        <f aca="false">AH194/AI194</f>
        <v>962.947847998207</v>
      </c>
      <c r="AK194" s="1567" t="str">
        <f aca="false">IF(MONTH($A194)=12,SUM(AJ183:AJ194)," ")</f>
        <v> </v>
      </c>
      <c r="AM194" s="488" t="n">
        <f aca="false">IF($A194&gt;Endyr,0,VLOOKUP($A194,Tariff_Table,Tariff!$L$33))</f>
        <v>1.21</v>
      </c>
      <c r="AN194" s="1576" t="n">
        <f aca="false">VLOOKUP($A194,Curves_Table,Escalation!$Z$291)</f>
        <v>1.57736227411484</v>
      </c>
      <c r="AO194" s="1314" t="n">
        <f aca="false">AM194*AN194</f>
        <v>1.90860835167896</v>
      </c>
      <c r="AP194" s="1314" t="n">
        <f aca="false">IF($A194&gt;Endyr,0,VLOOKUP($A194,Tariff_Table,Tariff!$M$33))</f>
        <v>0.25</v>
      </c>
      <c r="AQ194" s="1314" t="n">
        <f aca="false">SUM(AO194,AP194)</f>
        <v>2.15860835167896</v>
      </c>
      <c r="AR194" s="1314" t="n">
        <f aca="false">SUM(AM194,AP194)</f>
        <v>1.46</v>
      </c>
      <c r="AS194" s="1598" t="n">
        <f aca="false">IF(AR194=0,0,AQ194/AR194)</f>
        <v>1.47849887101299</v>
      </c>
    </row>
    <row r="195" customFormat="false" ht="12.75" hidden="false" customHeight="false" outlineLevel="0" collapsed="false">
      <c r="A195" s="1538" t="n">
        <f aca="false">EDATE(A194,1)</f>
        <v>42522</v>
      </c>
      <c r="C195" s="1595" t="n">
        <f aca="false">IF($A195&gt;Endyr,0,VLOOKUP($A195,Tariff_Table,Tariff!$G$33))</f>
        <v>7434.78</v>
      </c>
      <c r="D195" s="1565" t="n">
        <f aca="false">VLOOKUP($A195,Curves_Table,Escalation!$V$291)</f>
        <v>1.63898344452994</v>
      </c>
      <c r="E195" s="1596" t="n">
        <f aca="false">C195*D195</f>
        <v>12185.4813337223</v>
      </c>
      <c r="F195" s="1565" t="n">
        <f aca="false">IF(Assm!$L$74=0,VLOOKUP($A195,Curves_Table,Escalation!$D$291),VLOOKUP($A195,Curves_Table,Escalation!$E$291))</f>
        <v>2.95873101030073</v>
      </c>
      <c r="G195" s="427" t="n">
        <f aca="false">IF($A195&lt;EE_Date,VLOOKUP($A195,Curves_Table,Escalation!$D$291),Exch)</f>
        <v>1.065</v>
      </c>
      <c r="H195" s="1596" t="n">
        <f aca="false">E195*F195/G195</f>
        <v>33853.1093873474</v>
      </c>
      <c r="I195" s="1540" t="n">
        <f aca="false">VLOOKUP($A195,Plant_Table,'Plant Operations'!$C$270)</f>
        <v>480</v>
      </c>
      <c r="J195" s="1575" t="n">
        <f aca="false">H195*I195/1000</f>
        <v>16249.4925059267</v>
      </c>
      <c r="K195" s="1565" t="n">
        <f aca="false">F195</f>
        <v>2.95873101030073</v>
      </c>
      <c r="L195" s="394" t="n">
        <f aca="false">J195/K195</f>
        <v>5492.04792505795</v>
      </c>
      <c r="M195" s="1579" t="str">
        <f aca="false">IF(MONTH($A195)=12,SUM(L184:L195)," ")</f>
        <v> </v>
      </c>
      <c r="O195" s="1597" t="n">
        <f aca="false">IF($A195&gt;Endyr,0,VLOOKUP($A195,Tariff_Table,Tariff!$H$33))</f>
        <v>6151.18</v>
      </c>
      <c r="P195" s="1565" t="n">
        <f aca="false">$AS195</f>
        <v>1.47849887101299</v>
      </c>
      <c r="Q195" s="1575" t="n">
        <f aca="false">O195*P195</f>
        <v>9094.51268539766</v>
      </c>
      <c r="R195" s="1565" t="n">
        <f aca="false">$F195</f>
        <v>2.95873101030073</v>
      </c>
      <c r="S195" s="427" t="n">
        <f aca="false">$G195</f>
        <v>1.065</v>
      </c>
      <c r="T195" s="1575" t="n">
        <f aca="false">Q195*R195/S195</f>
        <v>25265.9311792107</v>
      </c>
      <c r="U195" s="1540" t="n">
        <f aca="false">$I195</f>
        <v>480</v>
      </c>
      <c r="V195" s="1575" t="n">
        <f aca="false">T195*U195/1000</f>
        <v>12127.6469660211</v>
      </c>
      <c r="W195" s="1565" t="n">
        <f aca="false">R195</f>
        <v>2.95873101030073</v>
      </c>
      <c r="X195" s="394" t="n">
        <f aca="false">V195/W195</f>
        <v>4098.93529482712</v>
      </c>
      <c r="Y195" s="1579" t="str">
        <f aca="false">IF(MONTH($A195)=12,SUM(X184:X195)," ")</f>
        <v> </v>
      </c>
      <c r="AA195" s="1595" t="n">
        <f aca="false">IF($A195&gt;Endyr,0,VLOOKUP($A195,Tariff_Table,Tariff!$I$33))</f>
        <v>2.32</v>
      </c>
      <c r="AB195" s="1565" t="n">
        <f aca="false">$AS195</f>
        <v>1.47849887101299</v>
      </c>
      <c r="AC195" s="1596" t="n">
        <f aca="false">AA195*AB195</f>
        <v>3.43011738075013</v>
      </c>
      <c r="AD195" s="1565" t="n">
        <f aca="false">$F195</f>
        <v>2.95873101030073</v>
      </c>
      <c r="AE195" s="427" t="n">
        <f aca="false">$G195</f>
        <v>1.065</v>
      </c>
      <c r="AF195" s="1596" t="n">
        <f aca="false">AC195*AD195/AE195</f>
        <v>9.52938466046659</v>
      </c>
      <c r="AG195" s="397" t="n">
        <f aca="false">VLOOKUP($A195,Plant_Table,'Plant Operations'!$M$270)</f>
        <v>289336.32</v>
      </c>
      <c r="AH195" s="1575" t="n">
        <f aca="false">AF195*AG195/1000</f>
        <v>2757.19708952385</v>
      </c>
      <c r="AI195" s="1565" t="n">
        <f aca="false">AD195</f>
        <v>2.95873101030073</v>
      </c>
      <c r="AJ195" s="1566" t="n">
        <f aca="false">AH195/AI195</f>
        <v>931.885014191813</v>
      </c>
      <c r="AK195" s="1567" t="str">
        <f aca="false">IF(MONTH($A195)=12,SUM(AJ184:AJ195)," ")</f>
        <v> </v>
      </c>
      <c r="AM195" s="488" t="n">
        <f aca="false">IF($A195&gt;Endyr,0,VLOOKUP($A195,Tariff_Table,Tariff!$L$33))</f>
        <v>1.21</v>
      </c>
      <c r="AN195" s="1576" t="n">
        <f aca="false">VLOOKUP($A195,Curves_Table,Escalation!$Z$291)</f>
        <v>1.57736227411484</v>
      </c>
      <c r="AO195" s="1314" t="n">
        <f aca="false">AM195*AN195</f>
        <v>1.90860835167896</v>
      </c>
      <c r="AP195" s="1314" t="n">
        <f aca="false">IF($A195&gt;Endyr,0,VLOOKUP($A195,Tariff_Table,Tariff!$M$33))</f>
        <v>0.25</v>
      </c>
      <c r="AQ195" s="1314" t="n">
        <f aca="false">SUM(AO195,AP195)</f>
        <v>2.15860835167896</v>
      </c>
      <c r="AR195" s="1314" t="n">
        <f aca="false">SUM(AM195,AP195)</f>
        <v>1.46</v>
      </c>
      <c r="AS195" s="1598" t="n">
        <f aca="false">IF(AR195=0,0,AQ195/AR195)</f>
        <v>1.47849887101299</v>
      </c>
    </row>
    <row r="196" customFormat="false" ht="12.75" hidden="false" customHeight="false" outlineLevel="0" collapsed="false">
      <c r="A196" s="1538" t="n">
        <f aca="false">EDATE(A195,1)</f>
        <v>42552</v>
      </c>
      <c r="C196" s="1595" t="n">
        <f aca="false">IF($A196&gt;Endyr,0,VLOOKUP($A196,Tariff_Table,Tariff!$G$33))</f>
        <v>7434.78</v>
      </c>
      <c r="D196" s="1565" t="n">
        <f aca="false">VLOOKUP($A196,Curves_Table,Escalation!$V$291)</f>
        <v>1.63898344452994</v>
      </c>
      <c r="E196" s="1596" t="n">
        <f aca="false">C196*D196</f>
        <v>12185.4813337223</v>
      </c>
      <c r="F196" s="1565" t="n">
        <f aca="false">IF(Assm!$L$74=0,VLOOKUP($A196,Curves_Table,Escalation!$D$291),VLOOKUP($A196,Curves_Table,Escalation!$E$291))</f>
        <v>2.96361966854878</v>
      </c>
      <c r="G196" s="427" t="n">
        <f aca="false">IF($A196&lt;EE_Date,VLOOKUP($A196,Curves_Table,Escalation!$D$291),Exch)</f>
        <v>1.065</v>
      </c>
      <c r="H196" s="1596" t="n">
        <f aca="false">E196*F196/G196</f>
        <v>33909.0442735714</v>
      </c>
      <c r="I196" s="1540" t="n">
        <f aca="false">VLOOKUP($A196,Plant_Table,'Plant Operations'!$C$270)</f>
        <v>480</v>
      </c>
      <c r="J196" s="1575" t="n">
        <f aca="false">H196*I196/1000</f>
        <v>16276.3412513143</v>
      </c>
      <c r="K196" s="1565" t="n">
        <f aca="false">F196</f>
        <v>2.96361966854878</v>
      </c>
      <c r="L196" s="394" t="n">
        <f aca="false">J196/K196</f>
        <v>5492.04792505795</v>
      </c>
      <c r="M196" s="1579" t="str">
        <f aca="false">IF(MONTH($A196)=12,SUM(L185:L196)," ")</f>
        <v> </v>
      </c>
      <c r="O196" s="1597" t="n">
        <f aca="false">IF($A196&gt;Endyr,0,VLOOKUP($A196,Tariff_Table,Tariff!$H$33))</f>
        <v>6151.18</v>
      </c>
      <c r="P196" s="1565" t="n">
        <f aca="false">$AS196</f>
        <v>1.47849887101299</v>
      </c>
      <c r="Q196" s="1575" t="n">
        <f aca="false">O196*P196</f>
        <v>9094.51268539766</v>
      </c>
      <c r="R196" s="1565" t="n">
        <f aca="false">$F196</f>
        <v>2.96361966854878</v>
      </c>
      <c r="S196" s="427" t="n">
        <f aca="false">$G196</f>
        <v>1.065</v>
      </c>
      <c r="T196" s="1575" t="n">
        <f aca="false">Q196*R196/S196</f>
        <v>25307.6776247051</v>
      </c>
      <c r="U196" s="1540" t="n">
        <f aca="false">$I196</f>
        <v>480</v>
      </c>
      <c r="V196" s="1575" t="n">
        <f aca="false">T196*U196/1000</f>
        <v>12147.6852598584</v>
      </c>
      <c r="W196" s="1565" t="n">
        <f aca="false">R196</f>
        <v>2.96361966854878</v>
      </c>
      <c r="X196" s="394" t="n">
        <f aca="false">V196/W196</f>
        <v>4098.93529482712</v>
      </c>
      <c r="Y196" s="1579" t="str">
        <f aca="false">IF(MONTH($A196)=12,SUM(X185:X196)," ")</f>
        <v> </v>
      </c>
      <c r="AA196" s="1595" t="n">
        <f aca="false">IF($A196&gt;Endyr,0,VLOOKUP($A196,Tariff_Table,Tariff!$I$33))</f>
        <v>2.32</v>
      </c>
      <c r="AB196" s="1565" t="n">
        <f aca="false">$AS196</f>
        <v>1.47849887101299</v>
      </c>
      <c r="AC196" s="1596" t="n">
        <f aca="false">AA196*AB196</f>
        <v>3.43011738075013</v>
      </c>
      <c r="AD196" s="1565" t="n">
        <f aca="false">$F196</f>
        <v>2.96361966854878</v>
      </c>
      <c r="AE196" s="427" t="n">
        <f aca="false">$G196</f>
        <v>1.065</v>
      </c>
      <c r="AF196" s="1596" t="n">
        <f aca="false">AC196*AD196/AE196</f>
        <v>9.54512989203955</v>
      </c>
      <c r="AG196" s="397" t="n">
        <f aca="false">VLOOKUP($A196,Plant_Table,'Plant Operations'!$M$270)</f>
        <v>298980.864</v>
      </c>
      <c r="AH196" s="1575" t="n">
        <f aca="false">AF196*AG196/1000</f>
        <v>2853.81118211421</v>
      </c>
      <c r="AI196" s="1565" t="n">
        <f aca="false">AD196</f>
        <v>2.96361966854878</v>
      </c>
      <c r="AJ196" s="1566" t="n">
        <f aca="false">AH196/AI196</f>
        <v>962.947847998207</v>
      </c>
      <c r="AK196" s="1567" t="str">
        <f aca="false">IF(MONTH($A196)=12,SUM(AJ185:AJ196)," ")</f>
        <v> </v>
      </c>
      <c r="AM196" s="488" t="n">
        <f aca="false">IF($A196&gt;Endyr,0,VLOOKUP($A196,Tariff_Table,Tariff!$L$33))</f>
        <v>1.21</v>
      </c>
      <c r="AN196" s="1576" t="n">
        <f aca="false">VLOOKUP($A196,Curves_Table,Escalation!$Z$291)</f>
        <v>1.57736227411484</v>
      </c>
      <c r="AO196" s="1314" t="n">
        <f aca="false">AM196*AN196</f>
        <v>1.90860835167896</v>
      </c>
      <c r="AP196" s="1314" t="n">
        <f aca="false">IF($A196&gt;Endyr,0,VLOOKUP($A196,Tariff_Table,Tariff!$M$33))</f>
        <v>0.25</v>
      </c>
      <c r="AQ196" s="1314" t="n">
        <f aca="false">SUM(AO196,AP196)</f>
        <v>2.15860835167896</v>
      </c>
      <c r="AR196" s="1314" t="n">
        <f aca="false">SUM(AM196,AP196)</f>
        <v>1.46</v>
      </c>
      <c r="AS196" s="1598" t="n">
        <f aca="false">IF(AR196=0,0,AQ196/AR196)</f>
        <v>1.47849887101299</v>
      </c>
    </row>
    <row r="197" customFormat="false" ht="12.75" hidden="false" customHeight="false" outlineLevel="0" collapsed="false">
      <c r="A197" s="1538" t="n">
        <f aca="false">EDATE(A196,1)</f>
        <v>42583</v>
      </c>
      <c r="C197" s="1595" t="n">
        <f aca="false">IF($A197&gt;Endyr,0,VLOOKUP($A197,Tariff_Table,Tariff!$G$33))</f>
        <v>7434.78</v>
      </c>
      <c r="D197" s="1565" t="n">
        <f aca="false">VLOOKUP($A197,Curves_Table,Escalation!$V$291)</f>
        <v>1.63898344452994</v>
      </c>
      <c r="E197" s="1596" t="n">
        <f aca="false">C197*D197</f>
        <v>12185.4813337223</v>
      </c>
      <c r="F197" s="1565" t="n">
        <f aca="false">IF(Assm!$L$74=0,VLOOKUP($A197,Curves_Table,Escalation!$D$291),VLOOKUP($A197,Curves_Table,Escalation!$E$291))</f>
        <v>2.96851640423929</v>
      </c>
      <c r="G197" s="427" t="n">
        <f aca="false">IF($A197&lt;EE_Date,VLOOKUP($A197,Curves_Table,Escalation!$D$291),Exch)</f>
        <v>1.065</v>
      </c>
      <c r="H197" s="1596" t="n">
        <f aca="false">E197*F197/G197</f>
        <v>33965.071580006</v>
      </c>
      <c r="I197" s="1540" t="n">
        <f aca="false">VLOOKUP($A197,Plant_Table,'Plant Operations'!$C$270)</f>
        <v>480</v>
      </c>
      <c r="J197" s="1575" t="n">
        <f aca="false">H197*I197/1000</f>
        <v>16303.2343584029</v>
      </c>
      <c r="K197" s="1565" t="n">
        <f aca="false">F197</f>
        <v>2.96851640423929</v>
      </c>
      <c r="L197" s="394" t="n">
        <f aca="false">J197/K197</f>
        <v>5492.04792505795</v>
      </c>
      <c r="M197" s="1579" t="str">
        <f aca="false">IF(MONTH($A197)=12,SUM(L186:L197)," ")</f>
        <v> </v>
      </c>
      <c r="O197" s="1597" t="n">
        <f aca="false">IF($A197&gt;Endyr,0,VLOOKUP($A197,Tariff_Table,Tariff!$H$33))</f>
        <v>6151.18</v>
      </c>
      <c r="P197" s="1565" t="n">
        <f aca="false">$AS197</f>
        <v>1.47849887101299</v>
      </c>
      <c r="Q197" s="1575" t="n">
        <f aca="false">O197*P197</f>
        <v>9094.51268539766</v>
      </c>
      <c r="R197" s="1565" t="n">
        <f aca="false">$F197</f>
        <v>2.96851640423929</v>
      </c>
      <c r="S197" s="427" t="n">
        <f aca="false">$G197</f>
        <v>1.065</v>
      </c>
      <c r="T197" s="1575" t="n">
        <f aca="false">Q197*R197/S197</f>
        <v>25349.4930471036</v>
      </c>
      <c r="U197" s="1540" t="n">
        <f aca="false">$I197</f>
        <v>480</v>
      </c>
      <c r="V197" s="1575" t="n">
        <f aca="false">T197*U197/1000</f>
        <v>12167.7566626097</v>
      </c>
      <c r="W197" s="1565" t="n">
        <f aca="false">R197</f>
        <v>2.96851640423929</v>
      </c>
      <c r="X197" s="394" t="n">
        <f aca="false">V197/W197</f>
        <v>4098.93529482712</v>
      </c>
      <c r="Y197" s="1579" t="str">
        <f aca="false">IF(MONTH($A197)=12,SUM(X186:X197)," ")</f>
        <v> </v>
      </c>
      <c r="AA197" s="1595" t="n">
        <f aca="false">IF($A197&gt;Endyr,0,VLOOKUP($A197,Tariff_Table,Tariff!$I$33))</f>
        <v>2.32</v>
      </c>
      <c r="AB197" s="1565" t="n">
        <f aca="false">$AS197</f>
        <v>1.47849887101299</v>
      </c>
      <c r="AC197" s="1596" t="n">
        <f aca="false">AA197*AB197</f>
        <v>3.43011738075013</v>
      </c>
      <c r="AD197" s="1565" t="n">
        <f aca="false">$F197</f>
        <v>2.96851640423929</v>
      </c>
      <c r="AE197" s="427" t="n">
        <f aca="false">$G197</f>
        <v>1.065</v>
      </c>
      <c r="AF197" s="1596" t="n">
        <f aca="false">AC197*AD197/AE197</f>
        <v>9.56090113917659</v>
      </c>
      <c r="AG197" s="397" t="n">
        <f aca="false">VLOOKUP($A197,Plant_Table,'Plant Operations'!$M$270)</f>
        <v>298980.864</v>
      </c>
      <c r="AH197" s="1575" t="n">
        <f aca="false">AF197*AG197/1000</f>
        <v>2858.5264832096</v>
      </c>
      <c r="AI197" s="1565" t="n">
        <f aca="false">AD197</f>
        <v>2.96851640423929</v>
      </c>
      <c r="AJ197" s="1566" t="n">
        <f aca="false">AH197/AI197</f>
        <v>962.947847998207</v>
      </c>
      <c r="AK197" s="1567" t="str">
        <f aca="false">IF(MONTH($A197)=12,SUM(AJ186:AJ197)," ")</f>
        <v> </v>
      </c>
      <c r="AM197" s="488" t="n">
        <f aca="false">IF($A197&gt;Endyr,0,VLOOKUP($A197,Tariff_Table,Tariff!$L$33))</f>
        <v>1.21</v>
      </c>
      <c r="AN197" s="1576" t="n">
        <f aca="false">VLOOKUP($A197,Curves_Table,Escalation!$Z$291)</f>
        <v>1.57736227411484</v>
      </c>
      <c r="AO197" s="1314" t="n">
        <f aca="false">AM197*AN197</f>
        <v>1.90860835167896</v>
      </c>
      <c r="AP197" s="1314" t="n">
        <f aca="false">IF($A197&gt;Endyr,0,VLOOKUP($A197,Tariff_Table,Tariff!$M$33))</f>
        <v>0.25</v>
      </c>
      <c r="AQ197" s="1314" t="n">
        <f aca="false">SUM(AO197,AP197)</f>
        <v>2.15860835167896</v>
      </c>
      <c r="AR197" s="1314" t="n">
        <f aca="false">SUM(AM197,AP197)</f>
        <v>1.46</v>
      </c>
      <c r="AS197" s="1598" t="n">
        <f aca="false">IF(AR197=0,0,AQ197/AR197)</f>
        <v>1.47849887101299</v>
      </c>
    </row>
    <row r="198" customFormat="false" ht="12.75" hidden="false" customHeight="false" outlineLevel="0" collapsed="false">
      <c r="A198" s="1538" t="n">
        <f aca="false">EDATE(A197,1)</f>
        <v>42614</v>
      </c>
      <c r="C198" s="1595" t="n">
        <f aca="false">IF($A198&gt;Endyr,0,VLOOKUP($A198,Tariff_Table,Tariff!$G$33))</f>
        <v>7434.78</v>
      </c>
      <c r="D198" s="1565" t="n">
        <f aca="false">VLOOKUP($A198,Curves_Table,Escalation!$V$291)</f>
        <v>1.63898344452994</v>
      </c>
      <c r="E198" s="1596" t="n">
        <f aca="false">C198*D198</f>
        <v>12185.4813337223</v>
      </c>
      <c r="F198" s="1565" t="n">
        <f aca="false">IF(Assm!$L$74=0,VLOOKUP($A198,Curves_Table,Escalation!$D$291),VLOOKUP($A198,Curves_Table,Escalation!$E$291))</f>
        <v>2.97342123071846</v>
      </c>
      <c r="G198" s="427" t="n">
        <f aca="false">IF($A198&lt;EE_Date,VLOOKUP($A198,Curves_Table,Escalation!$D$291),Exch)</f>
        <v>1.065</v>
      </c>
      <c r="H198" s="1596" t="n">
        <f aca="false">E198*F198/G198</f>
        <v>34021.1914593554</v>
      </c>
      <c r="I198" s="1540" t="n">
        <f aca="false">VLOOKUP($A198,Plant_Table,'Plant Operations'!$C$270)</f>
        <v>480</v>
      </c>
      <c r="J198" s="1575" t="n">
        <f aca="false">H198*I198/1000</f>
        <v>16330.1719004906</v>
      </c>
      <c r="K198" s="1565" t="n">
        <f aca="false">F198</f>
        <v>2.97342123071846</v>
      </c>
      <c r="L198" s="394" t="n">
        <f aca="false">J198/K198</f>
        <v>5492.04792505795</v>
      </c>
      <c r="M198" s="1579" t="str">
        <f aca="false">IF(MONTH($A198)=12,SUM(L187:L198)," ")</f>
        <v> </v>
      </c>
      <c r="O198" s="1597" t="n">
        <f aca="false">IF($A198&gt;Endyr,0,VLOOKUP($A198,Tariff_Table,Tariff!$H$33))</f>
        <v>6151.18</v>
      </c>
      <c r="P198" s="1565" t="n">
        <f aca="false">$AS198</f>
        <v>1.47849887101299</v>
      </c>
      <c r="Q198" s="1575" t="n">
        <f aca="false">O198*P198</f>
        <v>9094.51268539766</v>
      </c>
      <c r="R198" s="1565" t="n">
        <f aca="false">$F198</f>
        <v>2.97342123071846</v>
      </c>
      <c r="S198" s="427" t="n">
        <f aca="false">$G198</f>
        <v>1.065</v>
      </c>
      <c r="T198" s="1575" t="n">
        <f aca="false">Q198*R198/S198</f>
        <v>25391.3775603754</v>
      </c>
      <c r="U198" s="1540" t="n">
        <f aca="false">$I198</f>
        <v>480</v>
      </c>
      <c r="V198" s="1575" t="n">
        <f aca="false">T198*U198/1000</f>
        <v>12187.8612289802</v>
      </c>
      <c r="W198" s="1565" t="n">
        <f aca="false">R198</f>
        <v>2.97342123071846</v>
      </c>
      <c r="X198" s="394" t="n">
        <f aca="false">V198/W198</f>
        <v>4098.93529482712</v>
      </c>
      <c r="Y198" s="1579" t="str">
        <f aca="false">IF(MONTH($A198)=12,SUM(X187:X198)," ")</f>
        <v> </v>
      </c>
      <c r="AA198" s="1595" t="n">
        <f aca="false">IF($A198&gt;Endyr,0,VLOOKUP($A198,Tariff_Table,Tariff!$I$33))</f>
        <v>2.32</v>
      </c>
      <c r="AB198" s="1565" t="n">
        <f aca="false">$AS198</f>
        <v>1.47849887101299</v>
      </c>
      <c r="AC198" s="1596" t="n">
        <f aca="false">AA198*AB198</f>
        <v>3.43011738075013</v>
      </c>
      <c r="AD198" s="1565" t="n">
        <f aca="false">$F198</f>
        <v>2.97342123071846</v>
      </c>
      <c r="AE198" s="427" t="n">
        <f aca="false">$G198</f>
        <v>1.065</v>
      </c>
      <c r="AF198" s="1596" t="n">
        <f aca="false">AC198*AD198/AE198</f>
        <v>9.57669844486276</v>
      </c>
      <c r="AG198" s="397" t="n">
        <f aca="false">VLOOKUP($A198,Plant_Table,'Plant Operations'!$M$270)</f>
        <v>289336.32</v>
      </c>
      <c r="AH198" s="1575" t="n">
        <f aca="false">AF198*AG198/1000</f>
        <v>2770.88668578631</v>
      </c>
      <c r="AI198" s="1565" t="n">
        <f aca="false">AD198</f>
        <v>2.97342123071846</v>
      </c>
      <c r="AJ198" s="1566" t="n">
        <f aca="false">AH198/AI198</f>
        <v>931.885014191813</v>
      </c>
      <c r="AK198" s="1567" t="str">
        <f aca="false">IF(MONTH($A198)=12,SUM(AJ187:AJ198)," ")</f>
        <v> </v>
      </c>
      <c r="AM198" s="488" t="n">
        <f aca="false">IF($A198&gt;Endyr,0,VLOOKUP($A198,Tariff_Table,Tariff!$L$33))</f>
        <v>1.21</v>
      </c>
      <c r="AN198" s="1576" t="n">
        <f aca="false">VLOOKUP($A198,Curves_Table,Escalation!$Z$291)</f>
        <v>1.57736227411484</v>
      </c>
      <c r="AO198" s="1314" t="n">
        <f aca="false">AM198*AN198</f>
        <v>1.90860835167896</v>
      </c>
      <c r="AP198" s="1314" t="n">
        <f aca="false">IF($A198&gt;Endyr,0,VLOOKUP($A198,Tariff_Table,Tariff!$M$33))</f>
        <v>0.25</v>
      </c>
      <c r="AQ198" s="1314" t="n">
        <f aca="false">SUM(AO198,AP198)</f>
        <v>2.15860835167896</v>
      </c>
      <c r="AR198" s="1314" t="n">
        <f aca="false">SUM(AM198,AP198)</f>
        <v>1.46</v>
      </c>
      <c r="AS198" s="1598" t="n">
        <f aca="false">IF(AR198=0,0,AQ198/AR198)</f>
        <v>1.47849887101299</v>
      </c>
    </row>
    <row r="199" customFormat="false" ht="12.75" hidden="false" customHeight="false" outlineLevel="0" collapsed="false">
      <c r="A199" s="1538" t="n">
        <f aca="false">EDATE(A198,1)</f>
        <v>42644</v>
      </c>
      <c r="C199" s="1595" t="n">
        <f aca="false">IF($A199&gt;Endyr,0,VLOOKUP($A199,Tariff_Table,Tariff!$G$33))</f>
        <v>7434.78</v>
      </c>
      <c r="D199" s="1565" t="n">
        <f aca="false">VLOOKUP($A199,Curves_Table,Escalation!$V$291)</f>
        <v>1.63898344452994</v>
      </c>
      <c r="E199" s="1596" t="n">
        <f aca="false">C199*D199</f>
        <v>12185.4813337223</v>
      </c>
      <c r="F199" s="1565" t="n">
        <f aca="false">IF(Assm!$L$74=0,VLOOKUP($A199,Curves_Table,Escalation!$D$291),VLOOKUP($A199,Curves_Table,Escalation!$E$291))</f>
        <v>2.97833416135456</v>
      </c>
      <c r="G199" s="427" t="n">
        <f aca="false">IF($A199&lt;EE_Date,VLOOKUP($A199,Curves_Table,Escalation!$D$291),Exch)</f>
        <v>1.065</v>
      </c>
      <c r="H199" s="1596" t="n">
        <f aca="false">E199*F199/G199</f>
        <v>34077.4040645762</v>
      </c>
      <c r="I199" s="1540" t="n">
        <f aca="false">VLOOKUP($A199,Plant_Table,'Plant Operations'!$C$270)</f>
        <v>480</v>
      </c>
      <c r="J199" s="1575" t="n">
        <f aca="false">H199*I199/1000</f>
        <v>16357.1539509966</v>
      </c>
      <c r="K199" s="1565" t="n">
        <f aca="false">F199</f>
        <v>2.97833416135456</v>
      </c>
      <c r="L199" s="394" t="n">
        <f aca="false">J199/K199</f>
        <v>5492.04792505795</v>
      </c>
      <c r="M199" s="1579" t="str">
        <f aca="false">IF(MONTH($A199)=12,SUM(L188:L199)," ")</f>
        <v> </v>
      </c>
      <c r="O199" s="1597" t="n">
        <f aca="false">IF($A199&gt;Endyr,0,VLOOKUP($A199,Tariff_Table,Tariff!$H$33))</f>
        <v>6151.18</v>
      </c>
      <c r="P199" s="1565" t="n">
        <f aca="false">$AS199</f>
        <v>1.47849887101299</v>
      </c>
      <c r="Q199" s="1575" t="n">
        <f aca="false">O199*P199</f>
        <v>9094.51268539766</v>
      </c>
      <c r="R199" s="1565" t="n">
        <f aca="false">$F199</f>
        <v>2.97833416135456</v>
      </c>
      <c r="S199" s="427" t="n">
        <f aca="false">$G199</f>
        <v>1.065</v>
      </c>
      <c r="T199" s="1575" t="n">
        <f aca="false">Q199*R199/S199</f>
        <v>25433.3312786782</v>
      </c>
      <c r="U199" s="1540" t="n">
        <f aca="false">$I199</f>
        <v>480</v>
      </c>
      <c r="V199" s="1575" t="n">
        <f aca="false">T199*U199/1000</f>
        <v>12207.9990137655</v>
      </c>
      <c r="W199" s="1565" t="n">
        <f aca="false">R199</f>
        <v>2.97833416135456</v>
      </c>
      <c r="X199" s="394" t="n">
        <f aca="false">V199/W199</f>
        <v>4098.93529482712</v>
      </c>
      <c r="Y199" s="1579" t="str">
        <f aca="false">IF(MONTH($A199)=12,SUM(X188:X199)," ")</f>
        <v> </v>
      </c>
      <c r="AA199" s="1595" t="n">
        <f aca="false">IF($A199&gt;Endyr,0,VLOOKUP($A199,Tariff_Table,Tariff!$I$33))</f>
        <v>2.32</v>
      </c>
      <c r="AB199" s="1565" t="n">
        <f aca="false">$AS199</f>
        <v>1.47849887101299</v>
      </c>
      <c r="AC199" s="1596" t="n">
        <f aca="false">AA199*AB199</f>
        <v>3.43011738075013</v>
      </c>
      <c r="AD199" s="1565" t="n">
        <f aca="false">$F199</f>
        <v>2.97833416135456</v>
      </c>
      <c r="AE199" s="427" t="n">
        <f aca="false">$G199</f>
        <v>1.065</v>
      </c>
      <c r="AF199" s="1596" t="n">
        <f aca="false">AC199*AD199/AE199</f>
        <v>9.59252185215413</v>
      </c>
      <c r="AG199" s="397" t="n">
        <f aca="false">VLOOKUP($A199,Plant_Table,'Plant Operations'!$M$270)</f>
        <v>298980.864</v>
      </c>
      <c r="AH199" s="1575" t="n">
        <f aca="false">AF199*AG199/1000</f>
        <v>2867.98047129592</v>
      </c>
      <c r="AI199" s="1565" t="n">
        <f aca="false">AD199</f>
        <v>2.97833416135456</v>
      </c>
      <c r="AJ199" s="1566" t="n">
        <f aca="false">AH199/AI199</f>
        <v>962.947847998207</v>
      </c>
      <c r="AK199" s="1567" t="str">
        <f aca="false">IF(MONTH($A199)=12,SUM(AJ188:AJ199)," ")</f>
        <v> </v>
      </c>
      <c r="AM199" s="488" t="n">
        <f aca="false">IF($A199&gt;Endyr,0,VLOOKUP($A199,Tariff_Table,Tariff!$L$33))</f>
        <v>1.21</v>
      </c>
      <c r="AN199" s="1576" t="n">
        <f aca="false">VLOOKUP($A199,Curves_Table,Escalation!$Z$291)</f>
        <v>1.57736227411484</v>
      </c>
      <c r="AO199" s="1314" t="n">
        <f aca="false">AM199*AN199</f>
        <v>1.90860835167896</v>
      </c>
      <c r="AP199" s="1314" t="n">
        <f aca="false">IF($A199&gt;Endyr,0,VLOOKUP($A199,Tariff_Table,Tariff!$M$33))</f>
        <v>0.25</v>
      </c>
      <c r="AQ199" s="1314" t="n">
        <f aca="false">SUM(AO199,AP199)</f>
        <v>2.15860835167896</v>
      </c>
      <c r="AR199" s="1314" t="n">
        <f aca="false">SUM(AM199,AP199)</f>
        <v>1.46</v>
      </c>
      <c r="AS199" s="1598" t="n">
        <f aca="false">IF(AR199=0,0,AQ199/AR199)</f>
        <v>1.47849887101299</v>
      </c>
    </row>
    <row r="200" customFormat="false" ht="12.75" hidden="false" customHeight="false" outlineLevel="0" collapsed="false">
      <c r="A200" s="1538" t="n">
        <f aca="false">EDATE(A199,1)</f>
        <v>42675</v>
      </c>
      <c r="C200" s="1595" t="n">
        <f aca="false">IF($A200&gt;Endyr,0,VLOOKUP($A200,Tariff_Table,Tariff!$G$33))</f>
        <v>7434.78</v>
      </c>
      <c r="D200" s="1565" t="n">
        <f aca="false">VLOOKUP($A200,Curves_Table,Escalation!$V$291)</f>
        <v>1.63898344452994</v>
      </c>
      <c r="E200" s="1596" t="n">
        <f aca="false">C200*D200</f>
        <v>12185.4813337223</v>
      </c>
      <c r="F200" s="1565" t="n">
        <f aca="false">IF(Assm!$L$74=0,VLOOKUP($A200,Curves_Table,Escalation!$D$291),VLOOKUP($A200,Curves_Table,Escalation!$E$291))</f>
        <v>2.98325520953795</v>
      </c>
      <c r="G200" s="427" t="n">
        <f aca="false">IF($A200&lt;EE_Date,VLOOKUP($A200,Curves_Table,Escalation!$D$291),Exch)</f>
        <v>1.065</v>
      </c>
      <c r="H200" s="1596" t="n">
        <f aca="false">E200*F200/G200</f>
        <v>34133.7095488776</v>
      </c>
      <c r="I200" s="1540" t="n">
        <f aca="false">VLOOKUP($A200,Plant_Table,'Plant Operations'!$C$270)</f>
        <v>480</v>
      </c>
      <c r="J200" s="1575" t="n">
        <f aca="false">H200*I200/1000</f>
        <v>16384.1805834612</v>
      </c>
      <c r="K200" s="1565" t="n">
        <f aca="false">F200</f>
        <v>2.98325520953795</v>
      </c>
      <c r="L200" s="394" t="n">
        <f aca="false">J200/K200</f>
        <v>5492.04792505795</v>
      </c>
      <c r="M200" s="1579" t="str">
        <f aca="false">IF(MONTH($A200)=12,SUM(L189:L200)," ")</f>
        <v> </v>
      </c>
      <c r="O200" s="1597" t="n">
        <f aca="false">IF($A200&gt;Endyr,0,VLOOKUP($A200,Tariff_Table,Tariff!$H$33))</f>
        <v>6151.18</v>
      </c>
      <c r="P200" s="1565" t="n">
        <f aca="false">$AS200</f>
        <v>1.47849887101299</v>
      </c>
      <c r="Q200" s="1575" t="n">
        <f aca="false">O200*P200</f>
        <v>9094.51268539766</v>
      </c>
      <c r="R200" s="1565" t="n">
        <f aca="false">$F200</f>
        <v>2.98325520953795</v>
      </c>
      <c r="S200" s="427" t="n">
        <f aca="false">$G200</f>
        <v>1.065</v>
      </c>
      <c r="T200" s="1575" t="n">
        <f aca="false">Q200*R200/S200</f>
        <v>25475.3543163583</v>
      </c>
      <c r="U200" s="1540" t="n">
        <f aca="false">$I200</f>
        <v>480</v>
      </c>
      <c r="V200" s="1575" t="n">
        <f aca="false">T200*U200/1000</f>
        <v>12228.170071852</v>
      </c>
      <c r="W200" s="1565" t="n">
        <f aca="false">R200</f>
        <v>2.98325520953795</v>
      </c>
      <c r="X200" s="394" t="n">
        <f aca="false">V200/W200</f>
        <v>4098.93529482712</v>
      </c>
      <c r="Y200" s="1579" t="str">
        <f aca="false">IF(MONTH($A200)=12,SUM(X189:X200)," ")</f>
        <v> </v>
      </c>
      <c r="AA200" s="1595" t="n">
        <f aca="false">IF($A200&gt;Endyr,0,VLOOKUP($A200,Tariff_Table,Tariff!$I$33))</f>
        <v>2.32</v>
      </c>
      <c r="AB200" s="1565" t="n">
        <f aca="false">$AS200</f>
        <v>1.47849887101299</v>
      </c>
      <c r="AC200" s="1596" t="n">
        <f aca="false">AA200*AB200</f>
        <v>3.43011738075013</v>
      </c>
      <c r="AD200" s="1565" t="n">
        <f aca="false">$F200</f>
        <v>2.98325520953795</v>
      </c>
      <c r="AE200" s="427" t="n">
        <f aca="false">$G200</f>
        <v>1.065</v>
      </c>
      <c r="AF200" s="1596" t="n">
        <f aca="false">AC200*AD200/AE200</f>
        <v>9.60837140417793</v>
      </c>
      <c r="AG200" s="397" t="n">
        <f aca="false">VLOOKUP($A200,Plant_Table,'Plant Operations'!$M$270)</f>
        <v>289336.32</v>
      </c>
      <c r="AH200" s="1575" t="n">
        <f aca="false">AF200*AG200/1000</f>
        <v>2780.05082327807</v>
      </c>
      <c r="AI200" s="1565" t="n">
        <f aca="false">AD200</f>
        <v>2.98325520953795</v>
      </c>
      <c r="AJ200" s="1566" t="n">
        <f aca="false">AH200/AI200</f>
        <v>931.885014191813</v>
      </c>
      <c r="AK200" s="1567" t="str">
        <f aca="false">IF(MONTH($A200)=12,SUM(AJ189:AJ200)," ")</f>
        <v> </v>
      </c>
      <c r="AM200" s="488" t="n">
        <f aca="false">IF($A200&gt;Endyr,0,VLOOKUP($A200,Tariff_Table,Tariff!$L$33))</f>
        <v>1.21</v>
      </c>
      <c r="AN200" s="1576" t="n">
        <f aca="false">VLOOKUP($A200,Curves_Table,Escalation!$Z$291)</f>
        <v>1.57736227411484</v>
      </c>
      <c r="AO200" s="1314" t="n">
        <f aca="false">AM200*AN200</f>
        <v>1.90860835167896</v>
      </c>
      <c r="AP200" s="1314" t="n">
        <f aca="false">IF($A200&gt;Endyr,0,VLOOKUP($A200,Tariff_Table,Tariff!$M$33))</f>
        <v>0.25</v>
      </c>
      <c r="AQ200" s="1314" t="n">
        <f aca="false">SUM(AO200,AP200)</f>
        <v>2.15860835167896</v>
      </c>
      <c r="AR200" s="1314" t="n">
        <f aca="false">SUM(AM200,AP200)</f>
        <v>1.46</v>
      </c>
      <c r="AS200" s="1598" t="n">
        <f aca="false">IF(AR200=0,0,AQ200/AR200)</f>
        <v>1.47849887101299</v>
      </c>
    </row>
    <row r="201" customFormat="false" ht="12.75" hidden="false" customHeight="false" outlineLevel="0" collapsed="false">
      <c r="A201" s="1538" t="n">
        <f aca="false">EDATE(A200,1)</f>
        <v>42705</v>
      </c>
      <c r="C201" s="1595" t="n">
        <f aca="false">IF($A201&gt;Endyr,0,VLOOKUP($A201,Tariff_Table,Tariff!$G$33))</f>
        <v>7434.78</v>
      </c>
      <c r="D201" s="1565" t="n">
        <f aca="false">VLOOKUP($A201,Curves_Table,Escalation!$V$291)</f>
        <v>1.63898344452994</v>
      </c>
      <c r="E201" s="1596" t="n">
        <f aca="false">C201*D201</f>
        <v>12185.4813337223</v>
      </c>
      <c r="F201" s="1565" t="n">
        <f aca="false">IF(Assm!$L$74=0,VLOOKUP($A201,Curves_Table,Escalation!$D$291),VLOOKUP($A201,Curves_Table,Escalation!$E$291))</f>
        <v>2.9881843886811</v>
      </c>
      <c r="G201" s="427" t="n">
        <f aca="false">IF($A201&lt;EE_Date,VLOOKUP($A201,Curves_Table,Escalation!$D$291),Exch)</f>
        <v>1.065</v>
      </c>
      <c r="H201" s="1596" t="n">
        <f aca="false">E201*F201/G201</f>
        <v>34190.108065722</v>
      </c>
      <c r="I201" s="1540" t="n">
        <f aca="false">VLOOKUP($A201,Plant_Table,'Plant Operations'!$C$270)</f>
        <v>480</v>
      </c>
      <c r="J201" s="1575" t="n">
        <f aca="false">H201*I201/1000</f>
        <v>16411.2518715466</v>
      </c>
      <c r="K201" s="1565" t="n">
        <f aca="false">F201</f>
        <v>2.9881843886811</v>
      </c>
      <c r="L201" s="394" t="n">
        <f aca="false">J201/K201</f>
        <v>5492.04792505795</v>
      </c>
      <c r="M201" s="1579" t="n">
        <f aca="false">IF(MONTH($A201)=12,SUM(L190:L201)," ")</f>
        <v>65337.0327168078</v>
      </c>
      <c r="O201" s="1597" t="n">
        <f aca="false">IF($A201&gt;Endyr,0,VLOOKUP($A201,Tariff_Table,Tariff!$H$33))</f>
        <v>6151.18</v>
      </c>
      <c r="P201" s="1565" t="n">
        <f aca="false">$AS201</f>
        <v>1.47849887101299</v>
      </c>
      <c r="Q201" s="1575" t="n">
        <f aca="false">O201*P201</f>
        <v>9094.51268539766</v>
      </c>
      <c r="R201" s="1565" t="n">
        <f aca="false">$F201</f>
        <v>2.9881843886811</v>
      </c>
      <c r="S201" s="427" t="n">
        <f aca="false">$G201</f>
        <v>1.065</v>
      </c>
      <c r="T201" s="1575" t="n">
        <f aca="false">Q201*R201/S201</f>
        <v>25517.4467879507</v>
      </c>
      <c r="U201" s="1540" t="n">
        <f aca="false">$I201</f>
        <v>480</v>
      </c>
      <c r="V201" s="1575" t="n">
        <f aca="false">T201*U201/1000</f>
        <v>12248.3744582163</v>
      </c>
      <c r="W201" s="1565" t="n">
        <f aca="false">R201</f>
        <v>2.9881843886811</v>
      </c>
      <c r="X201" s="394" t="n">
        <f aca="false">V201/W201</f>
        <v>4098.93529482712</v>
      </c>
      <c r="Y201" s="1579" t="n">
        <f aca="false">IF(MONTH($A201)=12,SUM(X190:X201)," ")</f>
        <v>48825.9955771727</v>
      </c>
      <c r="AA201" s="1595" t="n">
        <f aca="false">IF($A201&gt;Endyr,0,VLOOKUP($A201,Tariff_Table,Tariff!$I$33))</f>
        <v>2.32</v>
      </c>
      <c r="AB201" s="1565" t="n">
        <f aca="false">$AS201</f>
        <v>1.47849887101299</v>
      </c>
      <c r="AC201" s="1596" t="n">
        <f aca="false">AA201*AB201</f>
        <v>3.43011738075013</v>
      </c>
      <c r="AD201" s="1565" t="n">
        <f aca="false">$F201</f>
        <v>2.9881843886811</v>
      </c>
      <c r="AE201" s="427" t="n">
        <f aca="false">$G201</f>
        <v>1.065</v>
      </c>
      <c r="AF201" s="1596" t="n">
        <f aca="false">AC201*AD201/AE201</f>
        <v>9.62424714413261</v>
      </c>
      <c r="AG201" s="397" t="n">
        <f aca="false">VLOOKUP($A201,Plant_Table,'Plant Operations'!$M$270)</f>
        <v>298980.864</v>
      </c>
      <c r="AH201" s="1575" t="n">
        <f aca="false">AF201*AG201/1000</f>
        <v>2877.4657265023</v>
      </c>
      <c r="AI201" s="1565" t="n">
        <f aca="false">AD201</f>
        <v>2.9881843886811</v>
      </c>
      <c r="AJ201" s="1566" t="n">
        <f aca="false">AH201/AI201</f>
        <v>962.947847998207</v>
      </c>
      <c r="AK201" s="1567" t="n">
        <f aca="false">IF(MONTH($A201)=12,SUM(AJ190:AJ201)," ")</f>
        <v>11276.5786821343</v>
      </c>
      <c r="AM201" s="488" t="n">
        <f aca="false">IF($A201&gt;Endyr,0,VLOOKUP($A201,Tariff_Table,Tariff!$L$33))</f>
        <v>1.21</v>
      </c>
      <c r="AN201" s="1576" t="n">
        <f aca="false">VLOOKUP($A201,Curves_Table,Escalation!$Z$291)</f>
        <v>1.57736227411484</v>
      </c>
      <c r="AO201" s="1314" t="n">
        <f aca="false">AM201*AN201</f>
        <v>1.90860835167896</v>
      </c>
      <c r="AP201" s="1314" t="n">
        <f aca="false">IF($A201&gt;Endyr,0,VLOOKUP($A201,Tariff_Table,Tariff!$M$33))</f>
        <v>0.25</v>
      </c>
      <c r="AQ201" s="1314" t="n">
        <f aca="false">SUM(AO201,AP201)</f>
        <v>2.15860835167896</v>
      </c>
      <c r="AR201" s="1314" t="n">
        <f aca="false">SUM(AM201,AP201)</f>
        <v>1.46</v>
      </c>
      <c r="AS201" s="1598" t="n">
        <f aca="false">IF(AR201=0,0,AQ201/AR201)</f>
        <v>1.47849887101299</v>
      </c>
    </row>
    <row r="202" customFormat="false" ht="12.75" hidden="false" customHeight="false" outlineLevel="0" collapsed="false">
      <c r="A202" s="1538" t="n">
        <f aca="false">EDATE(A201,1)</f>
        <v>42736</v>
      </c>
      <c r="C202" s="1595" t="n">
        <f aca="false">IF($A202&gt;Endyr,0,VLOOKUP($A202,Tariff_Table,Tariff!$G$33))</f>
        <v>7434.78</v>
      </c>
      <c r="D202" s="1565" t="n">
        <f aca="false">VLOOKUP($A202,Curves_Table,Escalation!$V$291)</f>
        <v>1.63898344452994</v>
      </c>
      <c r="E202" s="1596" t="n">
        <f aca="false">C202*D202</f>
        <v>12185.4813337223</v>
      </c>
      <c r="F202" s="1565" t="n">
        <f aca="false">IF(Assm!$L$74=0,VLOOKUP($A202,Curves_Table,Escalation!$D$291),VLOOKUP($A202,Curves_Table,Escalation!$E$291))</f>
        <v>2.99310910169973</v>
      </c>
      <c r="G202" s="427" t="n">
        <f aca="false">IF($A202&lt;EE_Date,VLOOKUP($A202,Curves_Table,Escalation!$D$291),Exch)</f>
        <v>1.065</v>
      </c>
      <c r="H202" s="1596" t="n">
        <f aca="false">E202*F202/G202</f>
        <v>34246.4554822126</v>
      </c>
      <c r="I202" s="1540" t="n">
        <f aca="false">VLOOKUP($A202,Plant_Table,'Plant Operations'!$C$270)</f>
        <v>480</v>
      </c>
      <c r="J202" s="1575" t="n">
        <f aca="false">H202*I202/1000</f>
        <v>16438.2986314621</v>
      </c>
      <c r="K202" s="1565" t="n">
        <f aca="false">F202</f>
        <v>2.99310910169973</v>
      </c>
      <c r="L202" s="394" t="n">
        <f aca="false">J202/K202</f>
        <v>5492.04792505795</v>
      </c>
      <c r="M202" s="1579" t="str">
        <f aca="false">IF(MONTH($A202)=12,SUM(L191:L202)," ")</f>
        <v> </v>
      </c>
      <c r="O202" s="1597" t="n">
        <f aca="false">IF($A202&gt;Endyr,0,VLOOKUP($A202,Tariff_Table,Tariff!$H$33))</f>
        <v>6151.18</v>
      </c>
      <c r="P202" s="1565" t="n">
        <f aca="false">$AS202</f>
        <v>1.47849887101299</v>
      </c>
      <c r="Q202" s="1575" t="n">
        <f aca="false">O202*P202</f>
        <v>9094.51268539766</v>
      </c>
      <c r="R202" s="1565" t="n">
        <f aca="false">$F202</f>
        <v>2.99310910169973</v>
      </c>
      <c r="S202" s="427" t="n">
        <f aca="false">$G202</f>
        <v>1.065</v>
      </c>
      <c r="T202" s="1575" t="n">
        <f aca="false">Q202*R202/S202</f>
        <v>25559.5011213027</v>
      </c>
      <c r="U202" s="1540" t="n">
        <f aca="false">$I202</f>
        <v>480</v>
      </c>
      <c r="V202" s="1575" t="n">
        <f aca="false">T202*U202/1000</f>
        <v>12268.5605382253</v>
      </c>
      <c r="W202" s="1565" t="n">
        <f aca="false">R202</f>
        <v>2.99310910169973</v>
      </c>
      <c r="X202" s="394" t="n">
        <f aca="false">V202/W202</f>
        <v>4098.93529482712</v>
      </c>
      <c r="Y202" s="1579" t="str">
        <f aca="false">IF(MONTH($A202)=12,SUM(X191:X202)," ")</f>
        <v> </v>
      </c>
      <c r="AA202" s="1595" t="n">
        <f aca="false">IF($A202&gt;Endyr,0,VLOOKUP($A202,Tariff_Table,Tariff!$I$33))</f>
        <v>2.32</v>
      </c>
      <c r="AB202" s="1565" t="n">
        <f aca="false">$AS202</f>
        <v>1.47849887101299</v>
      </c>
      <c r="AC202" s="1596" t="n">
        <f aca="false">AA202*AB202</f>
        <v>3.43011738075013</v>
      </c>
      <c r="AD202" s="1565" t="n">
        <f aca="false">$F202</f>
        <v>2.99310910169973</v>
      </c>
      <c r="AE202" s="427" t="n">
        <f aca="false">$G202</f>
        <v>1.065</v>
      </c>
      <c r="AF202" s="1596" t="n">
        <f aca="false">AC202*AD202/AE202</f>
        <v>9.64010849973863</v>
      </c>
      <c r="AG202" s="397" t="n">
        <f aca="false">VLOOKUP($A202,Plant_Table,'Plant Operations'!$M$270)</f>
        <v>298980.864</v>
      </c>
      <c r="AH202" s="1575" t="n">
        <f aca="false">AF202*AG202/1000</f>
        <v>2882.2079683056</v>
      </c>
      <c r="AI202" s="1565" t="n">
        <f aca="false">AD202</f>
        <v>2.99310910169973</v>
      </c>
      <c r="AJ202" s="1566" t="n">
        <f aca="false">AH202/AI202</f>
        <v>962.947847998207</v>
      </c>
      <c r="AK202" s="1567" t="str">
        <f aca="false">IF(MONTH($A202)=12,SUM(AJ191:AJ202)," ")</f>
        <v> </v>
      </c>
      <c r="AM202" s="488" t="n">
        <f aca="false">IF($A202&gt;Endyr,0,VLOOKUP($A202,Tariff_Table,Tariff!$L$33))</f>
        <v>1.21</v>
      </c>
      <c r="AN202" s="1576" t="n">
        <f aca="false">VLOOKUP($A202,Curves_Table,Escalation!$Z$291)</f>
        <v>1.57736227411484</v>
      </c>
      <c r="AO202" s="1314" t="n">
        <f aca="false">AM202*AN202</f>
        <v>1.90860835167896</v>
      </c>
      <c r="AP202" s="1314" t="n">
        <f aca="false">IF($A202&gt;Endyr,0,VLOOKUP($A202,Tariff_Table,Tariff!$M$33))</f>
        <v>0.25</v>
      </c>
      <c r="AQ202" s="1314" t="n">
        <f aca="false">SUM(AO202,AP202)</f>
        <v>2.15860835167896</v>
      </c>
      <c r="AR202" s="1314" t="n">
        <f aca="false">SUM(AM202,AP202)</f>
        <v>1.46</v>
      </c>
      <c r="AS202" s="1598" t="n">
        <f aca="false">IF(AR202=0,0,AQ202/AR202)</f>
        <v>1.47849887101299</v>
      </c>
    </row>
    <row r="203" customFormat="false" ht="12.75" hidden="false" customHeight="false" outlineLevel="0" collapsed="false">
      <c r="A203" s="1538" t="n">
        <f aca="false">EDATE(A202,1)</f>
        <v>42767</v>
      </c>
      <c r="C203" s="1595" t="n">
        <f aca="false">IF($A203&gt;Endyr,0,VLOOKUP($A203,Tariff_Table,Tariff!$G$33))</f>
        <v>7434.78</v>
      </c>
      <c r="D203" s="1565" t="n">
        <f aca="false">VLOOKUP($A203,Curves_Table,Escalation!$V$291)</f>
        <v>1.63898344452994</v>
      </c>
      <c r="E203" s="1596" t="n">
        <f aca="false">C203*D203</f>
        <v>12185.4813337223</v>
      </c>
      <c r="F203" s="1565" t="n">
        <f aca="false">IF(Assm!$L$74=0,VLOOKUP($A203,Curves_Table,Escalation!$D$291),VLOOKUP($A203,Curves_Table,Escalation!$E$291))</f>
        <v>2.99804193095055</v>
      </c>
      <c r="G203" s="427" t="n">
        <f aca="false">IF($A203&lt;EE_Date,VLOOKUP($A203,Curves_Table,Escalation!$D$291),Exch)</f>
        <v>1.065</v>
      </c>
      <c r="H203" s="1596" t="n">
        <f aca="false">E203*F203/G203</f>
        <v>34302.8957627369</v>
      </c>
      <c r="I203" s="1540" t="n">
        <f aca="false">VLOOKUP($A203,Plant_Table,'Plant Operations'!$C$270)</f>
        <v>480</v>
      </c>
      <c r="J203" s="1575" t="n">
        <f aca="false">H203*I203/1000</f>
        <v>16465.3899661137</v>
      </c>
      <c r="K203" s="1565" t="n">
        <f aca="false">F203</f>
        <v>2.99804193095055</v>
      </c>
      <c r="L203" s="394" t="n">
        <f aca="false">J203/K203</f>
        <v>5492.04792505795</v>
      </c>
      <c r="M203" s="1579" t="str">
        <f aca="false">IF(MONTH($A203)=12,SUM(L192:L203)," ")</f>
        <v> </v>
      </c>
      <c r="O203" s="1597" t="n">
        <f aca="false">IF($A203&gt;Endyr,0,VLOOKUP($A203,Tariff_Table,Tariff!$H$33))</f>
        <v>6151.18</v>
      </c>
      <c r="P203" s="1565" t="n">
        <f aca="false">$AS203</f>
        <v>1.47849887101299</v>
      </c>
      <c r="Q203" s="1575" t="n">
        <f aca="false">O203*P203</f>
        <v>9094.51268539766</v>
      </c>
      <c r="R203" s="1565" t="n">
        <f aca="false">$F203</f>
        <v>2.99804193095055</v>
      </c>
      <c r="S203" s="427" t="n">
        <f aca="false">$G203</f>
        <v>1.065</v>
      </c>
      <c r="T203" s="1575" t="n">
        <f aca="false">Q203*R203/S203</f>
        <v>25601.6247628018</v>
      </c>
      <c r="U203" s="1540" t="n">
        <f aca="false">$I203</f>
        <v>480</v>
      </c>
      <c r="V203" s="1575" t="n">
        <f aca="false">T203*U203/1000</f>
        <v>12288.7798861448</v>
      </c>
      <c r="W203" s="1565" t="n">
        <f aca="false">R203</f>
        <v>2.99804193095055</v>
      </c>
      <c r="X203" s="394" t="n">
        <f aca="false">V203/W203</f>
        <v>4098.93529482712</v>
      </c>
      <c r="Y203" s="1579" t="str">
        <f aca="false">IF(MONTH($A203)=12,SUM(X192:X203)," ")</f>
        <v> </v>
      </c>
      <c r="AA203" s="1595" t="n">
        <f aca="false">IF($A203&gt;Endyr,0,VLOOKUP($A203,Tariff_Table,Tariff!$I$33))</f>
        <v>2.32</v>
      </c>
      <c r="AB203" s="1565" t="n">
        <f aca="false">$AS203</f>
        <v>1.47849887101299</v>
      </c>
      <c r="AC203" s="1596" t="n">
        <f aca="false">AA203*AB203</f>
        <v>3.43011738075013</v>
      </c>
      <c r="AD203" s="1565" t="n">
        <f aca="false">$F203</f>
        <v>2.99804193095055</v>
      </c>
      <c r="AE203" s="427" t="n">
        <f aca="false">$G203</f>
        <v>1.065</v>
      </c>
      <c r="AF203" s="1596" t="n">
        <f aca="false">AC203*AD203/AE203</f>
        <v>9.65599599584146</v>
      </c>
      <c r="AG203" s="397" t="n">
        <f aca="false">VLOOKUP($A203,Plant_Table,'Plant Operations'!$M$270)</f>
        <v>270047.232</v>
      </c>
      <c r="AH203" s="1575" t="n">
        <f aca="false">AF203*AG203/1000</f>
        <v>2607.57499088007</v>
      </c>
      <c r="AI203" s="1565" t="n">
        <f aca="false">AD203</f>
        <v>2.99804193095055</v>
      </c>
      <c r="AJ203" s="1566" t="n">
        <f aca="false">AH203/AI203</f>
        <v>869.759346579026</v>
      </c>
      <c r="AK203" s="1567" t="str">
        <f aca="false">IF(MONTH($A203)=12,SUM(AJ192:AJ203)," ")</f>
        <v> </v>
      </c>
      <c r="AM203" s="488" t="n">
        <f aca="false">IF($A203&gt;Endyr,0,VLOOKUP($A203,Tariff_Table,Tariff!$L$33))</f>
        <v>1.21</v>
      </c>
      <c r="AN203" s="1576" t="n">
        <f aca="false">VLOOKUP($A203,Curves_Table,Escalation!$Z$291)</f>
        <v>1.57736227411484</v>
      </c>
      <c r="AO203" s="1314" t="n">
        <f aca="false">AM203*AN203</f>
        <v>1.90860835167896</v>
      </c>
      <c r="AP203" s="1314" t="n">
        <f aca="false">IF($A203&gt;Endyr,0,VLOOKUP($A203,Tariff_Table,Tariff!$M$33))</f>
        <v>0.25</v>
      </c>
      <c r="AQ203" s="1314" t="n">
        <f aca="false">SUM(AO203,AP203)</f>
        <v>2.15860835167896</v>
      </c>
      <c r="AR203" s="1314" t="n">
        <f aca="false">SUM(AM203,AP203)</f>
        <v>1.46</v>
      </c>
      <c r="AS203" s="1598" t="n">
        <f aca="false">IF(AR203=0,0,AQ203/AR203)</f>
        <v>1.47849887101299</v>
      </c>
    </row>
    <row r="204" customFormat="false" ht="12.75" hidden="false" customHeight="false" outlineLevel="0" collapsed="false">
      <c r="A204" s="1538" t="n">
        <f aca="false">EDATE(A203,1)</f>
        <v>42795</v>
      </c>
      <c r="C204" s="1595" t="n">
        <f aca="false">IF($A204&gt;Endyr,0,VLOOKUP($A204,Tariff_Table,Tariff!$G$33))</f>
        <v>7434.78</v>
      </c>
      <c r="D204" s="1565" t="n">
        <f aca="false">VLOOKUP($A204,Curves_Table,Escalation!$V$291)</f>
        <v>1.63898344452994</v>
      </c>
      <c r="E204" s="1596" t="n">
        <f aca="false">C204*D204</f>
        <v>12185.4813337223</v>
      </c>
      <c r="F204" s="1565" t="n">
        <f aca="false">IF(Assm!$L$74=0,VLOOKUP($A204,Curves_Table,Escalation!$D$291),VLOOKUP($A204,Curves_Table,Escalation!$E$291))</f>
        <v>3.00298288980961</v>
      </c>
      <c r="G204" s="427" t="n">
        <f aca="false">IF($A204&lt;EE_Date,VLOOKUP($A204,Curves_Table,Escalation!$D$291),Exch)</f>
        <v>1.065</v>
      </c>
      <c r="H204" s="1596" t="n">
        <f aca="false">E204*F204/G204</f>
        <v>34359.4290603404</v>
      </c>
      <c r="I204" s="1540" t="n">
        <f aca="false">VLOOKUP($A204,Plant_Table,'Plant Operations'!$C$270)</f>
        <v>480</v>
      </c>
      <c r="J204" s="1575" t="n">
        <f aca="false">H204*I204/1000</f>
        <v>16492.5259489634</v>
      </c>
      <c r="K204" s="1565" t="n">
        <f aca="false">F204</f>
        <v>3.00298288980961</v>
      </c>
      <c r="L204" s="394" t="n">
        <f aca="false">J204/K204</f>
        <v>5492.04792505795</v>
      </c>
      <c r="M204" s="1579" t="str">
        <f aca="false">IF(MONTH($A204)=12,SUM(L193:L204)," ")</f>
        <v> </v>
      </c>
      <c r="O204" s="1597" t="n">
        <f aca="false">IF($A204&gt;Endyr,0,VLOOKUP($A204,Tariff_Table,Tariff!$H$33))</f>
        <v>6151.18</v>
      </c>
      <c r="P204" s="1565" t="n">
        <f aca="false">$AS204</f>
        <v>1.47849887101299</v>
      </c>
      <c r="Q204" s="1575" t="n">
        <f aca="false">O204*P204</f>
        <v>9094.51268539766</v>
      </c>
      <c r="R204" s="1565" t="n">
        <f aca="false">$F204</f>
        <v>3.00298288980961</v>
      </c>
      <c r="S204" s="427" t="n">
        <f aca="false">$G204</f>
        <v>1.065</v>
      </c>
      <c r="T204" s="1575" t="n">
        <f aca="false">Q204*R204/S204</f>
        <v>25643.8178266719</v>
      </c>
      <c r="U204" s="1540" t="n">
        <f aca="false">$I204</f>
        <v>480</v>
      </c>
      <c r="V204" s="1575" t="n">
        <f aca="false">T204*U204/1000</f>
        <v>12309.0325568025</v>
      </c>
      <c r="W204" s="1565" t="n">
        <f aca="false">R204</f>
        <v>3.00298288980961</v>
      </c>
      <c r="X204" s="394" t="n">
        <f aca="false">V204/W204</f>
        <v>4098.93529482712</v>
      </c>
      <c r="Y204" s="1579" t="str">
        <f aca="false">IF(MONTH($A204)=12,SUM(X193:X204)," ")</f>
        <v> </v>
      </c>
      <c r="AA204" s="1595" t="n">
        <f aca="false">IF($A204&gt;Endyr,0,VLOOKUP($A204,Tariff_Table,Tariff!$I$33))</f>
        <v>2.32</v>
      </c>
      <c r="AB204" s="1565" t="n">
        <f aca="false">$AS204</f>
        <v>1.47849887101299</v>
      </c>
      <c r="AC204" s="1596" t="n">
        <f aca="false">AA204*AB204</f>
        <v>3.43011738075013</v>
      </c>
      <c r="AD204" s="1565" t="n">
        <f aca="false">$F204</f>
        <v>3.00298288980961</v>
      </c>
      <c r="AE204" s="427" t="n">
        <f aca="false">$G204</f>
        <v>1.065</v>
      </c>
      <c r="AF204" s="1596" t="n">
        <f aca="false">AC204*AD204/AE204</f>
        <v>9.67190967552224</v>
      </c>
      <c r="AG204" s="397" t="n">
        <f aca="false">VLOOKUP($A204,Plant_Table,'Plant Operations'!$M$270)</f>
        <v>298980.864</v>
      </c>
      <c r="AH204" s="1575" t="n">
        <f aca="false">AF204*AG204/1000</f>
        <v>2891.7159113176</v>
      </c>
      <c r="AI204" s="1565" t="n">
        <f aca="false">AD204</f>
        <v>3.00298288980961</v>
      </c>
      <c r="AJ204" s="1566" t="n">
        <f aca="false">AH204/AI204</f>
        <v>962.947847998207</v>
      </c>
      <c r="AK204" s="1567" t="str">
        <f aca="false">IF(MONTH($A204)=12,SUM(AJ193:AJ204)," ")</f>
        <v> </v>
      </c>
      <c r="AM204" s="488" t="n">
        <f aca="false">IF($A204&gt;Endyr,0,VLOOKUP($A204,Tariff_Table,Tariff!$L$33))</f>
        <v>1.21</v>
      </c>
      <c r="AN204" s="1576" t="n">
        <f aca="false">VLOOKUP($A204,Curves_Table,Escalation!$Z$291)</f>
        <v>1.57736227411484</v>
      </c>
      <c r="AO204" s="1314" t="n">
        <f aca="false">AM204*AN204</f>
        <v>1.90860835167896</v>
      </c>
      <c r="AP204" s="1314" t="n">
        <f aca="false">IF($A204&gt;Endyr,0,VLOOKUP($A204,Tariff_Table,Tariff!$M$33))</f>
        <v>0.25</v>
      </c>
      <c r="AQ204" s="1314" t="n">
        <f aca="false">SUM(AO204,AP204)</f>
        <v>2.15860835167896</v>
      </c>
      <c r="AR204" s="1314" t="n">
        <f aca="false">SUM(AM204,AP204)</f>
        <v>1.46</v>
      </c>
      <c r="AS204" s="1598" t="n">
        <f aca="false">IF(AR204=0,0,AQ204/AR204)</f>
        <v>1.47849887101299</v>
      </c>
    </row>
    <row r="205" customFormat="false" ht="12.75" hidden="false" customHeight="false" outlineLevel="0" collapsed="false">
      <c r="A205" s="1538" t="n">
        <f aca="false">EDATE(A204,1)</f>
        <v>42826</v>
      </c>
      <c r="C205" s="1595" t="n">
        <f aca="false">IF($A205&gt;Endyr,0,VLOOKUP($A205,Tariff_Table,Tariff!$G$33))</f>
        <v>7434.78</v>
      </c>
      <c r="D205" s="1565" t="n">
        <f aca="false">VLOOKUP($A205,Curves_Table,Escalation!$V$291)</f>
        <v>1.63898344452994</v>
      </c>
      <c r="E205" s="1596" t="n">
        <f aca="false">C205*D205</f>
        <v>12185.4813337223</v>
      </c>
      <c r="F205" s="1565" t="n">
        <f aca="false">IF(Assm!$L$74=0,VLOOKUP($A205,Curves_Table,Escalation!$D$291),VLOOKUP($A205,Curves_Table,Escalation!$E$291))</f>
        <v>3.00793199167501</v>
      </c>
      <c r="G205" s="427" t="n">
        <f aca="false">IF($A205&lt;EE_Date,VLOOKUP($A205,Curves_Table,Escalation!$D$291),Exch)</f>
        <v>1.065</v>
      </c>
      <c r="H205" s="1596" t="n">
        <f aca="false">E205*F205/G205</f>
        <v>34416.0555283212</v>
      </c>
      <c r="I205" s="1540" t="n">
        <f aca="false">VLOOKUP($A205,Plant_Table,'Plant Operations'!$C$270)</f>
        <v>480</v>
      </c>
      <c r="J205" s="1575" t="n">
        <f aca="false">H205*I205/1000</f>
        <v>16519.7066535942</v>
      </c>
      <c r="K205" s="1565" t="n">
        <f aca="false">F205</f>
        <v>3.00793199167501</v>
      </c>
      <c r="L205" s="394" t="n">
        <f aca="false">J205/K205</f>
        <v>5492.04792505795</v>
      </c>
      <c r="M205" s="1579" t="str">
        <f aca="false">IF(MONTH($A205)=12,SUM(L194:L205)," ")</f>
        <v> </v>
      </c>
      <c r="O205" s="1597" t="n">
        <f aca="false">IF($A205&gt;Endyr,0,VLOOKUP($A205,Tariff_Table,Tariff!$H$33))</f>
        <v>6151.18</v>
      </c>
      <c r="P205" s="1565" t="n">
        <f aca="false">$AS205</f>
        <v>1.47849887101299</v>
      </c>
      <c r="Q205" s="1575" t="n">
        <f aca="false">O205*P205</f>
        <v>9094.51268539766</v>
      </c>
      <c r="R205" s="1565" t="n">
        <f aca="false">$F205</f>
        <v>3.00793199167501</v>
      </c>
      <c r="S205" s="427" t="n">
        <f aca="false">$G205</f>
        <v>1.065</v>
      </c>
      <c r="T205" s="1575" t="n">
        <f aca="false">Q205*R205/S205</f>
        <v>25686.0804273257</v>
      </c>
      <c r="U205" s="1540" t="n">
        <f aca="false">$I205</f>
        <v>480</v>
      </c>
      <c r="V205" s="1575" t="n">
        <f aca="false">T205*U205/1000</f>
        <v>12329.3186051163</v>
      </c>
      <c r="W205" s="1565" t="n">
        <f aca="false">R205</f>
        <v>3.00793199167501</v>
      </c>
      <c r="X205" s="394" t="n">
        <f aca="false">V205/W205</f>
        <v>4098.93529482712</v>
      </c>
      <c r="Y205" s="1579" t="str">
        <f aca="false">IF(MONTH($A205)=12,SUM(X194:X205)," ")</f>
        <v> </v>
      </c>
      <c r="AA205" s="1595" t="n">
        <f aca="false">IF($A205&gt;Endyr,0,VLOOKUP($A205,Tariff_Table,Tariff!$I$33))</f>
        <v>2.32</v>
      </c>
      <c r="AB205" s="1565" t="n">
        <f aca="false">$AS205</f>
        <v>1.47849887101299</v>
      </c>
      <c r="AC205" s="1596" t="n">
        <f aca="false">AA205*AB205</f>
        <v>3.43011738075013</v>
      </c>
      <c r="AD205" s="1565" t="n">
        <f aca="false">$F205</f>
        <v>3.00793199167501</v>
      </c>
      <c r="AE205" s="427" t="n">
        <f aca="false">$G205</f>
        <v>1.065</v>
      </c>
      <c r="AF205" s="1596" t="n">
        <f aca="false">AC205*AD205/AE205</f>
        <v>9.68784958193314</v>
      </c>
      <c r="AG205" s="397" t="n">
        <f aca="false">VLOOKUP($A205,Plant_Table,'Plant Operations'!$M$270)</f>
        <v>289336.32</v>
      </c>
      <c r="AH205" s="1575" t="n">
        <f aca="false">AF205*AG205/1000</f>
        <v>2803.04674675007</v>
      </c>
      <c r="AI205" s="1565" t="n">
        <f aca="false">AD205</f>
        <v>3.00793199167501</v>
      </c>
      <c r="AJ205" s="1566" t="n">
        <f aca="false">AH205/AI205</f>
        <v>931.885014191813</v>
      </c>
      <c r="AK205" s="1567" t="str">
        <f aca="false">IF(MONTH($A205)=12,SUM(AJ194:AJ205)," ")</f>
        <v> </v>
      </c>
      <c r="AM205" s="488" t="n">
        <f aca="false">IF($A205&gt;Endyr,0,VLOOKUP($A205,Tariff_Table,Tariff!$L$33))</f>
        <v>1.21</v>
      </c>
      <c r="AN205" s="1576" t="n">
        <f aca="false">VLOOKUP($A205,Curves_Table,Escalation!$Z$291)</f>
        <v>1.57736227411484</v>
      </c>
      <c r="AO205" s="1314" t="n">
        <f aca="false">AM205*AN205</f>
        <v>1.90860835167896</v>
      </c>
      <c r="AP205" s="1314" t="n">
        <f aca="false">IF($A205&gt;Endyr,0,VLOOKUP($A205,Tariff_Table,Tariff!$M$33))</f>
        <v>0.25</v>
      </c>
      <c r="AQ205" s="1314" t="n">
        <f aca="false">SUM(AO205,AP205)</f>
        <v>2.15860835167896</v>
      </c>
      <c r="AR205" s="1314" t="n">
        <f aca="false">SUM(AM205,AP205)</f>
        <v>1.46</v>
      </c>
      <c r="AS205" s="1598" t="n">
        <f aca="false">IF(AR205=0,0,AQ205/AR205)</f>
        <v>1.47849887101299</v>
      </c>
    </row>
    <row r="206" customFormat="false" ht="12.75" hidden="false" customHeight="false" outlineLevel="0" collapsed="false">
      <c r="A206" s="1538" t="n">
        <f aca="false">EDATE(A205,1)</f>
        <v>42856</v>
      </c>
      <c r="C206" s="1595" t="n">
        <f aca="false">IF($A206&gt;Endyr,0,VLOOKUP($A206,Tariff_Table,Tariff!$G$33))</f>
        <v>7420.61</v>
      </c>
      <c r="D206" s="1565" t="n">
        <f aca="false">VLOOKUP($A206,Curves_Table,Escalation!$V$291)</f>
        <v>1.68254669873615</v>
      </c>
      <c r="E206" s="1596" t="n">
        <f aca="false">C206*D206</f>
        <v>12485.5228581085</v>
      </c>
      <c r="F206" s="1565" t="n">
        <f aca="false">IF(Assm!$L$74=0,VLOOKUP($A206,Curves_Table,Escalation!$D$291),VLOOKUP($A206,Curves_Table,Escalation!$E$291))</f>
        <v>3.01288924996692</v>
      </c>
      <c r="G206" s="427" t="n">
        <f aca="false">IF($A206&lt;EE_Date,VLOOKUP($A206,Curves_Table,Escalation!$D$291),Exch)</f>
        <v>1.065</v>
      </c>
      <c r="H206" s="1596" t="n">
        <f aca="false">E206*F206/G206</f>
        <v>35321.5939900575</v>
      </c>
      <c r="I206" s="1540" t="n">
        <f aca="false">VLOOKUP($A206,Plant_Table,'Plant Operations'!$C$270)</f>
        <v>480</v>
      </c>
      <c r="J206" s="1575" t="n">
        <f aca="false">H206*I206/1000</f>
        <v>16954.3651152276</v>
      </c>
      <c r="K206" s="1565" t="n">
        <f aca="false">F206</f>
        <v>3.01288924996692</v>
      </c>
      <c r="L206" s="394" t="n">
        <f aca="false">J206/K206</f>
        <v>5627.27790787987</v>
      </c>
      <c r="M206" s="1579" t="str">
        <f aca="false">IF(MONTH($A206)=12,SUM(L195:L206)," ")</f>
        <v> </v>
      </c>
      <c r="O206" s="1597" t="n">
        <f aca="false">IF($A206&gt;Endyr,0,VLOOKUP($A206,Tariff_Table,Tariff!$H$33))</f>
        <v>6104.93</v>
      </c>
      <c r="P206" s="1565" t="n">
        <f aca="false">$AS206</f>
        <v>1.5099770977708</v>
      </c>
      <c r="Q206" s="1575" t="n">
        <f aca="false">O206*P206</f>
        <v>9218.30448349387</v>
      </c>
      <c r="R206" s="1565" t="n">
        <f aca="false">$F206</f>
        <v>3.01288924996692</v>
      </c>
      <c r="S206" s="427" t="n">
        <f aca="false">$G206</f>
        <v>1.065</v>
      </c>
      <c r="T206" s="1575" t="n">
        <f aca="false">Q206*R206/S206</f>
        <v>26078.6201701789</v>
      </c>
      <c r="U206" s="1540" t="n">
        <f aca="false">$I206</f>
        <v>480</v>
      </c>
      <c r="V206" s="1575" t="n">
        <f aca="false">T206*U206/1000</f>
        <v>12517.7376816859</v>
      </c>
      <c r="W206" s="1565" t="n">
        <f aca="false">R206</f>
        <v>3.01288924996692</v>
      </c>
      <c r="X206" s="394" t="n">
        <f aca="false">V206/W206</f>
        <v>4154.72878129301</v>
      </c>
      <c r="Y206" s="1579" t="str">
        <f aca="false">IF(MONTH($A206)=12,SUM(X195:X206)," ")</f>
        <v> </v>
      </c>
      <c r="AA206" s="1595" t="n">
        <f aca="false">IF($A206&gt;Endyr,0,VLOOKUP($A206,Tariff_Table,Tariff!$I$33))</f>
        <v>2.3</v>
      </c>
      <c r="AB206" s="1565" t="n">
        <f aca="false">$AS206</f>
        <v>1.5099770977708</v>
      </c>
      <c r="AC206" s="1596" t="n">
        <f aca="false">AA206*AB206</f>
        <v>3.47294732487283</v>
      </c>
      <c r="AD206" s="1565" t="n">
        <f aca="false">$F206</f>
        <v>3.01288924996692</v>
      </c>
      <c r="AE206" s="427" t="n">
        <f aca="false">$G206</f>
        <v>1.065</v>
      </c>
      <c r="AF206" s="1596" t="n">
        <f aca="false">AC206*AD206/AE206</f>
        <v>9.82498184113684</v>
      </c>
      <c r="AG206" s="397" t="n">
        <f aca="false">VLOOKUP($A206,Plant_Table,'Plant Operations'!$M$270)</f>
        <v>298980.864</v>
      </c>
      <c r="AH206" s="1575" t="n">
        <f aca="false">AF206*AG206/1000</f>
        <v>2937.4815596474</v>
      </c>
      <c r="AI206" s="1565" t="n">
        <f aca="false">AD206</f>
        <v>3.01288924996692</v>
      </c>
      <c r="AJ206" s="1566" t="n">
        <f aca="false">AH206/AI206</f>
        <v>974.97163550889</v>
      </c>
      <c r="AK206" s="1567" t="str">
        <f aca="false">IF(MONTH($A206)=12,SUM(AJ195:AJ206)," ")</f>
        <v> </v>
      </c>
      <c r="AM206" s="488" t="n">
        <f aca="false">IF($A206&gt;Endyr,0,VLOOKUP($A206,Tariff_Table,Tariff!$L$33))</f>
        <v>1.21</v>
      </c>
      <c r="AN206" s="1576" t="n">
        <f aca="false">VLOOKUP($A206,Curves_Table,Escalation!$Z$291)</f>
        <v>1.6153442667317</v>
      </c>
      <c r="AO206" s="1314" t="n">
        <f aca="false">AM206*AN206</f>
        <v>1.95456656274536</v>
      </c>
      <c r="AP206" s="1314" t="n">
        <f aca="false">IF($A206&gt;Endyr,0,VLOOKUP($A206,Tariff_Table,Tariff!$M$33))</f>
        <v>0.25</v>
      </c>
      <c r="AQ206" s="1314" t="n">
        <f aca="false">SUM(AO206,AP206)</f>
        <v>2.20456656274536</v>
      </c>
      <c r="AR206" s="1314" t="n">
        <f aca="false">SUM(AM206,AP206)</f>
        <v>1.46</v>
      </c>
      <c r="AS206" s="1598" t="n">
        <f aca="false">IF(AR206=0,0,AQ206/AR206)</f>
        <v>1.5099770977708</v>
      </c>
    </row>
    <row r="207" customFormat="false" ht="12.75" hidden="false" customHeight="false" outlineLevel="0" collapsed="false">
      <c r="A207" s="1538" t="n">
        <f aca="false">EDATE(A206,1)</f>
        <v>42887</v>
      </c>
      <c r="C207" s="1595" t="n">
        <f aca="false">IF($A207&gt;Endyr,0,VLOOKUP($A207,Tariff_Table,Tariff!$G$33))</f>
        <v>7420.61</v>
      </c>
      <c r="D207" s="1565" t="n">
        <f aca="false">VLOOKUP($A207,Curves_Table,Escalation!$V$291)</f>
        <v>1.68254669873615</v>
      </c>
      <c r="E207" s="1596" t="n">
        <f aca="false">C207*D207</f>
        <v>12485.5228581085</v>
      </c>
      <c r="F207" s="1565" t="n">
        <f aca="false">IF(Assm!$L$74=0,VLOOKUP($A207,Curves_Table,Escalation!$D$291),VLOOKUP($A207,Curves_Table,Escalation!$E$291))</f>
        <v>3.01785467812765</v>
      </c>
      <c r="G207" s="427" t="n">
        <f aca="false">IF($A207&lt;EE_Date,VLOOKUP($A207,Curves_Table,Escalation!$D$291),Exch)</f>
        <v>1.065</v>
      </c>
      <c r="H207" s="1596" t="n">
        <f aca="false">E207*F207/G207</f>
        <v>35379.8061654576</v>
      </c>
      <c r="I207" s="1540" t="n">
        <f aca="false">VLOOKUP($A207,Plant_Table,'Plant Operations'!$C$270)</f>
        <v>480</v>
      </c>
      <c r="J207" s="1575" t="n">
        <f aca="false">H207*I207/1000</f>
        <v>16982.3069594197</v>
      </c>
      <c r="K207" s="1565" t="n">
        <f aca="false">F207</f>
        <v>3.01785467812765</v>
      </c>
      <c r="L207" s="394" t="n">
        <f aca="false">J207/K207</f>
        <v>5627.27790787987</v>
      </c>
      <c r="M207" s="1579" t="str">
        <f aca="false">IF(MONTH($A207)=12,SUM(L196:L207)," ")</f>
        <v> </v>
      </c>
      <c r="O207" s="1597" t="n">
        <f aca="false">IF($A207&gt;Endyr,0,VLOOKUP($A207,Tariff_Table,Tariff!$H$33))</f>
        <v>6104.93</v>
      </c>
      <c r="P207" s="1565" t="n">
        <f aca="false">$AS207</f>
        <v>1.5099770977708</v>
      </c>
      <c r="Q207" s="1575" t="n">
        <f aca="false">O207*P207</f>
        <v>9218.30448349387</v>
      </c>
      <c r="R207" s="1565" t="n">
        <f aca="false">$F207</f>
        <v>3.01785467812765</v>
      </c>
      <c r="S207" s="427" t="n">
        <f aca="false">$G207</f>
        <v>1.065</v>
      </c>
      <c r="T207" s="1575" t="n">
        <f aca="false">Q207*R207/S207</f>
        <v>26121.5993520348</v>
      </c>
      <c r="U207" s="1540" t="n">
        <f aca="false">$I207</f>
        <v>480</v>
      </c>
      <c r="V207" s="1575" t="n">
        <f aca="false">T207*U207/1000</f>
        <v>12538.3676889767</v>
      </c>
      <c r="W207" s="1565" t="n">
        <f aca="false">R207</f>
        <v>3.01785467812765</v>
      </c>
      <c r="X207" s="394" t="n">
        <f aca="false">V207/W207</f>
        <v>4154.72878129301</v>
      </c>
      <c r="Y207" s="1579" t="str">
        <f aca="false">IF(MONTH($A207)=12,SUM(X196:X207)," ")</f>
        <v> </v>
      </c>
      <c r="AA207" s="1595" t="n">
        <f aca="false">IF($A207&gt;Endyr,0,VLOOKUP($A207,Tariff_Table,Tariff!$I$33))</f>
        <v>2.3</v>
      </c>
      <c r="AB207" s="1565" t="n">
        <f aca="false">$AS207</f>
        <v>1.5099770977708</v>
      </c>
      <c r="AC207" s="1596" t="n">
        <f aca="false">AA207*AB207</f>
        <v>3.47294732487283</v>
      </c>
      <c r="AD207" s="1565" t="n">
        <f aca="false">$F207</f>
        <v>3.01785467812765</v>
      </c>
      <c r="AE207" s="427" t="n">
        <f aca="false">$G207</f>
        <v>1.065</v>
      </c>
      <c r="AF207" s="1596" t="n">
        <f aca="false">AC207*AD207/AE207</f>
        <v>9.84117401996093</v>
      </c>
      <c r="AG207" s="397" t="n">
        <f aca="false">VLOOKUP($A207,Plant_Table,'Plant Operations'!$M$270)</f>
        <v>289336.32</v>
      </c>
      <c r="AH207" s="1575" t="n">
        <f aca="false">AF207*AG207/1000</f>
        <v>2847.4090754151</v>
      </c>
      <c r="AI207" s="1565" t="n">
        <f aca="false">AD207</f>
        <v>3.01785467812765</v>
      </c>
      <c r="AJ207" s="1566" t="n">
        <f aca="false">AH207/AI207</f>
        <v>943.520937589248</v>
      </c>
      <c r="AK207" s="1567" t="str">
        <f aca="false">IF(MONTH($A207)=12,SUM(AJ196:AJ207)," ")</f>
        <v> </v>
      </c>
      <c r="AM207" s="488" t="n">
        <f aca="false">IF($A207&gt;Endyr,0,VLOOKUP($A207,Tariff_Table,Tariff!$L$33))</f>
        <v>1.21</v>
      </c>
      <c r="AN207" s="1576" t="n">
        <f aca="false">VLOOKUP($A207,Curves_Table,Escalation!$Z$291)</f>
        <v>1.6153442667317</v>
      </c>
      <c r="AO207" s="1314" t="n">
        <f aca="false">AM207*AN207</f>
        <v>1.95456656274536</v>
      </c>
      <c r="AP207" s="1314" t="n">
        <f aca="false">IF($A207&gt;Endyr,0,VLOOKUP($A207,Tariff_Table,Tariff!$M$33))</f>
        <v>0.25</v>
      </c>
      <c r="AQ207" s="1314" t="n">
        <f aca="false">SUM(AO207,AP207)</f>
        <v>2.20456656274536</v>
      </c>
      <c r="AR207" s="1314" t="n">
        <f aca="false">SUM(AM207,AP207)</f>
        <v>1.46</v>
      </c>
      <c r="AS207" s="1598" t="n">
        <f aca="false">IF(AR207=0,0,AQ207/AR207)</f>
        <v>1.5099770977708</v>
      </c>
    </row>
    <row r="208" customFormat="false" ht="12.75" hidden="false" customHeight="false" outlineLevel="0" collapsed="false">
      <c r="A208" s="1538" t="n">
        <f aca="false">EDATE(A207,1)</f>
        <v>42917</v>
      </c>
      <c r="C208" s="1595" t="n">
        <f aca="false">IF($A208&gt;Endyr,0,VLOOKUP($A208,Tariff_Table,Tariff!$G$33))</f>
        <v>7420.61</v>
      </c>
      <c r="D208" s="1565" t="n">
        <f aca="false">VLOOKUP($A208,Curves_Table,Escalation!$V$291)</f>
        <v>1.68254669873615</v>
      </c>
      <c r="E208" s="1596" t="n">
        <f aca="false">C208*D208</f>
        <v>12485.5228581085</v>
      </c>
      <c r="F208" s="1565" t="n">
        <f aca="false">IF(Assm!$L$74=0,VLOOKUP($A208,Curves_Table,Escalation!$D$291),VLOOKUP($A208,Curves_Table,Escalation!$E$291))</f>
        <v>3.02282828962165</v>
      </c>
      <c r="G208" s="427" t="n">
        <f aca="false">IF($A208&lt;EE_Date,VLOOKUP($A208,Curves_Table,Escalation!$D$291),Exch)</f>
        <v>1.065</v>
      </c>
      <c r="H208" s="1596" t="n">
        <f aca="false">E208*F208/G208</f>
        <v>35438.1142781295</v>
      </c>
      <c r="I208" s="1540" t="n">
        <f aca="false">VLOOKUP($A208,Plant_Table,'Plant Operations'!$C$270)</f>
        <v>480</v>
      </c>
      <c r="J208" s="1575" t="n">
        <f aca="false">H208*I208/1000</f>
        <v>17010.2948535022</v>
      </c>
      <c r="K208" s="1565" t="n">
        <f aca="false">F208</f>
        <v>3.02282828962165</v>
      </c>
      <c r="L208" s="394" t="n">
        <f aca="false">J208/K208</f>
        <v>5627.27790787987</v>
      </c>
      <c r="M208" s="1579" t="str">
        <f aca="false">IF(MONTH($A208)=12,SUM(L197:L208)," ")</f>
        <v> </v>
      </c>
      <c r="O208" s="1597" t="n">
        <f aca="false">IF($A208&gt;Endyr,0,VLOOKUP($A208,Tariff_Table,Tariff!$H$33))</f>
        <v>6104.93</v>
      </c>
      <c r="P208" s="1565" t="n">
        <f aca="false">$AS208</f>
        <v>1.5099770977708</v>
      </c>
      <c r="Q208" s="1575" t="n">
        <f aca="false">O208*P208</f>
        <v>9218.30448349387</v>
      </c>
      <c r="R208" s="1565" t="n">
        <f aca="false">$F208</f>
        <v>3.02282828962165</v>
      </c>
      <c r="S208" s="427" t="n">
        <f aca="false">$G208</f>
        <v>1.065</v>
      </c>
      <c r="T208" s="1575" t="n">
        <f aca="false">Q208*R208/S208</f>
        <v>26164.6493662454</v>
      </c>
      <c r="U208" s="1540" t="n">
        <f aca="false">$I208</f>
        <v>480</v>
      </c>
      <c r="V208" s="1575" t="n">
        <f aca="false">T208*U208/1000</f>
        <v>12559.0316957978</v>
      </c>
      <c r="W208" s="1565" t="n">
        <f aca="false">R208</f>
        <v>3.02282828962165</v>
      </c>
      <c r="X208" s="394" t="n">
        <f aca="false">V208/W208</f>
        <v>4154.72878129301</v>
      </c>
      <c r="Y208" s="1579" t="str">
        <f aca="false">IF(MONTH($A208)=12,SUM(X197:X208)," ")</f>
        <v> </v>
      </c>
      <c r="AA208" s="1595" t="n">
        <f aca="false">IF($A208&gt;Endyr,0,VLOOKUP($A208,Tariff_Table,Tariff!$I$33))</f>
        <v>2.3</v>
      </c>
      <c r="AB208" s="1565" t="n">
        <f aca="false">$AS208</f>
        <v>1.5099770977708</v>
      </c>
      <c r="AC208" s="1596" t="n">
        <f aca="false">AA208*AB208</f>
        <v>3.47294732487283</v>
      </c>
      <c r="AD208" s="1565" t="n">
        <f aca="false">$F208</f>
        <v>3.02282828962165</v>
      </c>
      <c r="AE208" s="427" t="n">
        <f aca="false">$G208</f>
        <v>1.065</v>
      </c>
      <c r="AF208" s="1596" t="n">
        <f aca="false">AC208*AD208/AE208</f>
        <v>9.85739288449898</v>
      </c>
      <c r="AG208" s="397" t="n">
        <f aca="false">VLOOKUP($A208,Plant_Table,'Plant Operations'!$M$270)</f>
        <v>298980.864</v>
      </c>
      <c r="AH208" s="1575" t="n">
        <f aca="false">AF208*AG208/1000</f>
        <v>2947.17184139496</v>
      </c>
      <c r="AI208" s="1565" t="n">
        <f aca="false">AD208</f>
        <v>3.02282828962165</v>
      </c>
      <c r="AJ208" s="1566" t="n">
        <f aca="false">AH208/AI208</f>
        <v>974.97163550889</v>
      </c>
      <c r="AK208" s="1567" t="str">
        <f aca="false">IF(MONTH($A208)=12,SUM(AJ197:AJ208)," ")</f>
        <v> </v>
      </c>
      <c r="AM208" s="488" t="n">
        <f aca="false">IF($A208&gt;Endyr,0,VLOOKUP($A208,Tariff_Table,Tariff!$L$33))</f>
        <v>1.21</v>
      </c>
      <c r="AN208" s="1576" t="n">
        <f aca="false">VLOOKUP($A208,Curves_Table,Escalation!$Z$291)</f>
        <v>1.6153442667317</v>
      </c>
      <c r="AO208" s="1314" t="n">
        <f aca="false">AM208*AN208</f>
        <v>1.95456656274536</v>
      </c>
      <c r="AP208" s="1314" t="n">
        <f aca="false">IF($A208&gt;Endyr,0,VLOOKUP($A208,Tariff_Table,Tariff!$M$33))</f>
        <v>0.25</v>
      </c>
      <c r="AQ208" s="1314" t="n">
        <f aca="false">SUM(AO208,AP208)</f>
        <v>2.20456656274536</v>
      </c>
      <c r="AR208" s="1314" t="n">
        <f aca="false">SUM(AM208,AP208)</f>
        <v>1.46</v>
      </c>
      <c r="AS208" s="1598" t="n">
        <f aca="false">IF(AR208=0,0,AQ208/AR208)</f>
        <v>1.5099770977708</v>
      </c>
    </row>
    <row r="209" customFormat="false" ht="12.75" hidden="false" customHeight="false" outlineLevel="0" collapsed="false">
      <c r="A209" s="1538" t="n">
        <f aca="false">EDATE(A208,1)</f>
        <v>42948</v>
      </c>
      <c r="C209" s="1595" t="n">
        <f aca="false">IF($A209&gt;Endyr,0,VLOOKUP($A209,Tariff_Table,Tariff!$G$33))</f>
        <v>7420.61</v>
      </c>
      <c r="D209" s="1565" t="n">
        <f aca="false">VLOOKUP($A209,Curves_Table,Escalation!$V$291)</f>
        <v>1.68254669873615</v>
      </c>
      <c r="E209" s="1596" t="n">
        <f aca="false">C209*D209</f>
        <v>12485.5228581085</v>
      </c>
      <c r="F209" s="1565" t="n">
        <f aca="false">IF(Assm!$L$74=0,VLOOKUP($A209,Curves_Table,Escalation!$D$291),VLOOKUP($A209,Curves_Table,Escalation!$E$291))</f>
        <v>3.02781009793555</v>
      </c>
      <c r="G209" s="427" t="n">
        <f aca="false">IF($A209&lt;EE_Date,VLOOKUP($A209,Curves_Table,Escalation!$D$291),Exch)</f>
        <v>1.065</v>
      </c>
      <c r="H209" s="1596" t="n">
        <f aca="false">E209*F209/G209</f>
        <v>35496.5184861839</v>
      </c>
      <c r="I209" s="1540" t="n">
        <f aca="false">VLOOKUP($A209,Plant_Table,'Plant Operations'!$C$270)</f>
        <v>480</v>
      </c>
      <c r="J209" s="1575" t="n">
        <f aca="false">H209*I209/1000</f>
        <v>17038.3288733683</v>
      </c>
      <c r="K209" s="1565" t="n">
        <f aca="false">F209</f>
        <v>3.02781009793555</v>
      </c>
      <c r="L209" s="394" t="n">
        <f aca="false">J209/K209</f>
        <v>5627.27790787987</v>
      </c>
      <c r="M209" s="1579" t="str">
        <f aca="false">IF(MONTH($A209)=12,SUM(L198:L209)," ")</f>
        <v> </v>
      </c>
      <c r="O209" s="1597" t="n">
        <f aca="false">IF($A209&gt;Endyr,0,VLOOKUP($A209,Tariff_Table,Tariff!$H$33))</f>
        <v>6104.93</v>
      </c>
      <c r="P209" s="1565" t="n">
        <f aca="false">$AS209</f>
        <v>1.5099770977708</v>
      </c>
      <c r="Q209" s="1575" t="n">
        <f aca="false">O209*P209</f>
        <v>9218.30448349387</v>
      </c>
      <c r="R209" s="1565" t="n">
        <f aca="false">$F209</f>
        <v>3.02781009793555</v>
      </c>
      <c r="S209" s="427" t="n">
        <f aca="false">$G209</f>
        <v>1.065</v>
      </c>
      <c r="T209" s="1575" t="n">
        <f aca="false">Q209*R209/S209</f>
        <v>26207.7703295467</v>
      </c>
      <c r="U209" s="1540" t="n">
        <f aca="false">$I209</f>
        <v>480</v>
      </c>
      <c r="V209" s="1575" t="n">
        <f aca="false">T209*U209/1000</f>
        <v>12579.7297581824</v>
      </c>
      <c r="W209" s="1565" t="n">
        <f aca="false">R209</f>
        <v>3.02781009793555</v>
      </c>
      <c r="X209" s="394" t="n">
        <f aca="false">V209/W209</f>
        <v>4154.72878129301</v>
      </c>
      <c r="Y209" s="1579" t="str">
        <f aca="false">IF(MONTH($A209)=12,SUM(X198:X209)," ")</f>
        <v> </v>
      </c>
      <c r="AA209" s="1595" t="n">
        <f aca="false">IF($A209&gt;Endyr,0,VLOOKUP($A209,Tariff_Table,Tariff!$I$33))</f>
        <v>2.3</v>
      </c>
      <c r="AB209" s="1565" t="n">
        <f aca="false">$AS209</f>
        <v>1.5099770977708</v>
      </c>
      <c r="AC209" s="1596" t="n">
        <f aca="false">AA209*AB209</f>
        <v>3.47294732487283</v>
      </c>
      <c r="AD209" s="1565" t="n">
        <f aca="false">$F209</f>
        <v>3.02781009793555</v>
      </c>
      <c r="AE209" s="427" t="n">
        <f aca="false">$G209</f>
        <v>1.065</v>
      </c>
      <c r="AF209" s="1596" t="n">
        <f aca="false">AC209*AD209/AE209</f>
        <v>9.8736384787307</v>
      </c>
      <c r="AG209" s="397" t="n">
        <f aca="false">VLOOKUP($A209,Plant_Table,'Plant Operations'!$M$270)</f>
        <v>298980.864</v>
      </c>
      <c r="AH209" s="1575" t="n">
        <f aca="false">AF209*AG209/1000</f>
        <v>2952.02896319455</v>
      </c>
      <c r="AI209" s="1565" t="n">
        <f aca="false">AD209</f>
        <v>3.02781009793555</v>
      </c>
      <c r="AJ209" s="1566" t="n">
        <f aca="false">AH209/AI209</f>
        <v>974.97163550889</v>
      </c>
      <c r="AK209" s="1567" t="str">
        <f aca="false">IF(MONTH($A209)=12,SUM(AJ198:AJ209)," ")</f>
        <v> </v>
      </c>
      <c r="AM209" s="488" t="n">
        <f aca="false">IF($A209&gt;Endyr,0,VLOOKUP($A209,Tariff_Table,Tariff!$L$33))</f>
        <v>1.21</v>
      </c>
      <c r="AN209" s="1576" t="n">
        <f aca="false">VLOOKUP($A209,Curves_Table,Escalation!$Z$291)</f>
        <v>1.6153442667317</v>
      </c>
      <c r="AO209" s="1314" t="n">
        <f aca="false">AM209*AN209</f>
        <v>1.95456656274536</v>
      </c>
      <c r="AP209" s="1314" t="n">
        <f aca="false">IF($A209&gt;Endyr,0,VLOOKUP($A209,Tariff_Table,Tariff!$M$33))</f>
        <v>0.25</v>
      </c>
      <c r="AQ209" s="1314" t="n">
        <f aca="false">SUM(AO209,AP209)</f>
        <v>2.20456656274536</v>
      </c>
      <c r="AR209" s="1314" t="n">
        <f aca="false">SUM(AM209,AP209)</f>
        <v>1.46</v>
      </c>
      <c r="AS209" s="1598" t="n">
        <f aca="false">IF(AR209=0,0,AQ209/AR209)</f>
        <v>1.5099770977708</v>
      </c>
    </row>
    <row r="210" customFormat="false" ht="12.75" hidden="false" customHeight="false" outlineLevel="0" collapsed="false">
      <c r="A210" s="1538" t="n">
        <f aca="false">EDATE(A209,1)</f>
        <v>42979</v>
      </c>
      <c r="C210" s="1595" t="n">
        <f aca="false">IF($A210&gt;Endyr,0,VLOOKUP($A210,Tariff_Table,Tariff!$G$33))</f>
        <v>7420.61</v>
      </c>
      <c r="D210" s="1565" t="n">
        <f aca="false">VLOOKUP($A210,Curves_Table,Escalation!$V$291)</f>
        <v>1.68254669873615</v>
      </c>
      <c r="E210" s="1596" t="n">
        <f aca="false">C210*D210</f>
        <v>12485.5228581085</v>
      </c>
      <c r="F210" s="1565" t="n">
        <f aca="false">IF(Assm!$L$74=0,VLOOKUP($A210,Curves_Table,Escalation!$D$291),VLOOKUP($A210,Curves_Table,Escalation!$E$291))</f>
        <v>3.03280011657821</v>
      </c>
      <c r="G210" s="427" t="n">
        <f aca="false">IF($A210&lt;EE_Date,VLOOKUP($A210,Curves_Table,Escalation!$D$291),Exch)</f>
        <v>1.065</v>
      </c>
      <c r="H210" s="1596" t="n">
        <f aca="false">E210*F210/G210</f>
        <v>35555.0189479918</v>
      </c>
      <c r="I210" s="1540" t="n">
        <f aca="false">VLOOKUP($A210,Plant_Table,'Plant Operations'!$C$270)</f>
        <v>480</v>
      </c>
      <c r="J210" s="1575" t="n">
        <f aca="false">H210*I210/1000</f>
        <v>17066.4090950361</v>
      </c>
      <c r="K210" s="1565" t="n">
        <f aca="false">F210</f>
        <v>3.03280011657821</v>
      </c>
      <c r="L210" s="394" t="n">
        <f aca="false">J210/K210</f>
        <v>5627.27790787987</v>
      </c>
      <c r="M210" s="1579" t="str">
        <f aca="false">IF(MONTH($A210)=12,SUM(L199:L210)," ")</f>
        <v> </v>
      </c>
      <c r="O210" s="1597" t="n">
        <f aca="false">IF($A210&gt;Endyr,0,VLOOKUP($A210,Tariff_Table,Tariff!$H$33))</f>
        <v>6104.93</v>
      </c>
      <c r="P210" s="1565" t="n">
        <f aca="false">$AS210</f>
        <v>1.5099770977708</v>
      </c>
      <c r="Q210" s="1575" t="n">
        <f aca="false">O210*P210</f>
        <v>9218.30448349387</v>
      </c>
      <c r="R210" s="1565" t="n">
        <f aca="false">$F210</f>
        <v>3.03280011657821</v>
      </c>
      <c r="S210" s="427" t="n">
        <f aca="false">$G210</f>
        <v>1.065</v>
      </c>
      <c r="T210" s="1575" t="n">
        <f aca="false">Q210*R210/S210</f>
        <v>26250.9623588673</v>
      </c>
      <c r="U210" s="1540" t="n">
        <f aca="false">$I210</f>
        <v>480</v>
      </c>
      <c r="V210" s="1575" t="n">
        <f aca="false">T210*U210/1000</f>
        <v>12600.4619322563</v>
      </c>
      <c r="W210" s="1565" t="n">
        <f aca="false">R210</f>
        <v>3.03280011657821</v>
      </c>
      <c r="X210" s="394" t="n">
        <f aca="false">V210/W210</f>
        <v>4154.72878129301</v>
      </c>
      <c r="Y210" s="1579" t="str">
        <f aca="false">IF(MONTH($A210)=12,SUM(X199:X210)," ")</f>
        <v> </v>
      </c>
      <c r="AA210" s="1595" t="n">
        <f aca="false">IF($A210&gt;Endyr,0,VLOOKUP($A210,Tariff_Table,Tariff!$I$33))</f>
        <v>2.3</v>
      </c>
      <c r="AB210" s="1565" t="n">
        <f aca="false">$AS210</f>
        <v>1.5099770977708</v>
      </c>
      <c r="AC210" s="1596" t="n">
        <f aca="false">AA210*AB210</f>
        <v>3.47294732487283</v>
      </c>
      <c r="AD210" s="1565" t="n">
        <f aca="false">$F210</f>
        <v>3.03280011657821</v>
      </c>
      <c r="AE210" s="427" t="n">
        <f aca="false">$G210</f>
        <v>1.065</v>
      </c>
      <c r="AF210" s="1596" t="n">
        <f aca="false">AC210*AD210/AE210</f>
        <v>9.88991084670828</v>
      </c>
      <c r="AG210" s="397" t="n">
        <f aca="false">VLOOKUP($A210,Plant_Table,'Plant Operations'!$M$270)</f>
        <v>289336.32</v>
      </c>
      <c r="AH210" s="1575" t="n">
        <f aca="false">AF210*AG210/1000</f>
        <v>2861.51040951466</v>
      </c>
      <c r="AI210" s="1565" t="n">
        <f aca="false">AD210</f>
        <v>3.03280011657821</v>
      </c>
      <c r="AJ210" s="1566" t="n">
        <f aca="false">AH210/AI210</f>
        <v>943.520937589248</v>
      </c>
      <c r="AK210" s="1567" t="str">
        <f aca="false">IF(MONTH($A210)=12,SUM(AJ199:AJ210)," ")</f>
        <v> </v>
      </c>
      <c r="AM210" s="488" t="n">
        <f aca="false">IF($A210&gt;Endyr,0,VLOOKUP($A210,Tariff_Table,Tariff!$L$33))</f>
        <v>1.21</v>
      </c>
      <c r="AN210" s="1576" t="n">
        <f aca="false">VLOOKUP($A210,Curves_Table,Escalation!$Z$291)</f>
        <v>1.6153442667317</v>
      </c>
      <c r="AO210" s="1314" t="n">
        <f aca="false">AM210*AN210</f>
        <v>1.95456656274536</v>
      </c>
      <c r="AP210" s="1314" t="n">
        <f aca="false">IF($A210&gt;Endyr,0,VLOOKUP($A210,Tariff_Table,Tariff!$M$33))</f>
        <v>0.25</v>
      </c>
      <c r="AQ210" s="1314" t="n">
        <f aca="false">SUM(AO210,AP210)</f>
        <v>2.20456656274536</v>
      </c>
      <c r="AR210" s="1314" t="n">
        <f aca="false">SUM(AM210,AP210)</f>
        <v>1.46</v>
      </c>
      <c r="AS210" s="1598" t="n">
        <f aca="false">IF(AR210=0,0,AQ210/AR210)</f>
        <v>1.5099770977708</v>
      </c>
    </row>
    <row r="211" customFormat="false" ht="12.75" hidden="false" customHeight="false" outlineLevel="0" collapsed="false">
      <c r="A211" s="1538" t="n">
        <f aca="false">EDATE(A210,1)</f>
        <v>43009</v>
      </c>
      <c r="C211" s="1595" t="n">
        <f aca="false">IF($A211&gt;Endyr,0,VLOOKUP($A211,Tariff_Table,Tariff!$G$33))</f>
        <v>7420.61</v>
      </c>
      <c r="D211" s="1565" t="n">
        <f aca="false">VLOOKUP($A211,Curves_Table,Escalation!$V$291)</f>
        <v>1.68254669873615</v>
      </c>
      <c r="E211" s="1596" t="n">
        <f aca="false">C211*D211</f>
        <v>12485.5228581085</v>
      </c>
      <c r="F211" s="1565" t="n">
        <f aca="false">IF(Assm!$L$74=0,VLOOKUP($A211,Curves_Table,Escalation!$D$291),VLOOKUP($A211,Curves_Table,Escalation!$E$291))</f>
        <v>3.03779835908079</v>
      </c>
      <c r="G211" s="427" t="n">
        <f aca="false">IF($A211&lt;EE_Date,VLOOKUP($A211,Curves_Table,Escalation!$D$291),Exch)</f>
        <v>1.065</v>
      </c>
      <c r="H211" s="1596" t="n">
        <f aca="false">E211*F211/G211</f>
        <v>35613.6158221854</v>
      </c>
      <c r="I211" s="1540" t="n">
        <f aca="false">VLOOKUP($A211,Plant_Table,'Plant Operations'!$C$270)</f>
        <v>480</v>
      </c>
      <c r="J211" s="1575" t="n">
        <f aca="false">H211*I211/1000</f>
        <v>17094.535594649</v>
      </c>
      <c r="K211" s="1565" t="n">
        <f aca="false">F211</f>
        <v>3.03779835908079</v>
      </c>
      <c r="L211" s="394" t="n">
        <f aca="false">J211/K211</f>
        <v>5627.27790787987</v>
      </c>
      <c r="M211" s="1579" t="str">
        <f aca="false">IF(MONTH($A211)=12,SUM(L200:L211)," ")</f>
        <v> </v>
      </c>
      <c r="O211" s="1597" t="n">
        <f aca="false">IF($A211&gt;Endyr,0,VLOOKUP($A211,Tariff_Table,Tariff!$H$33))</f>
        <v>6104.93</v>
      </c>
      <c r="P211" s="1565" t="n">
        <f aca="false">$AS211</f>
        <v>1.5099770977708</v>
      </c>
      <c r="Q211" s="1575" t="n">
        <f aca="false">O211*P211</f>
        <v>9218.30448349387</v>
      </c>
      <c r="R211" s="1565" t="n">
        <f aca="false">$F211</f>
        <v>3.03779835908079</v>
      </c>
      <c r="S211" s="427" t="n">
        <f aca="false">$G211</f>
        <v>1.065</v>
      </c>
      <c r="T211" s="1575" t="n">
        <f aca="false">Q211*R211/S211</f>
        <v>26294.2255713284</v>
      </c>
      <c r="U211" s="1540" t="n">
        <f aca="false">$I211</f>
        <v>480</v>
      </c>
      <c r="V211" s="1575" t="n">
        <f aca="false">T211*U211/1000</f>
        <v>12621.2282742376</v>
      </c>
      <c r="W211" s="1565" t="n">
        <f aca="false">R211</f>
        <v>3.03779835908079</v>
      </c>
      <c r="X211" s="394" t="n">
        <f aca="false">V211/W211</f>
        <v>4154.72878129301</v>
      </c>
      <c r="Y211" s="1579" t="str">
        <f aca="false">IF(MONTH($A211)=12,SUM(X200:X211)," ")</f>
        <v> </v>
      </c>
      <c r="AA211" s="1595" t="n">
        <f aca="false">IF($A211&gt;Endyr,0,VLOOKUP($A211,Tariff_Table,Tariff!$I$33))</f>
        <v>2.3</v>
      </c>
      <c r="AB211" s="1565" t="n">
        <f aca="false">$AS211</f>
        <v>1.5099770977708</v>
      </c>
      <c r="AC211" s="1596" t="n">
        <f aca="false">AA211*AB211</f>
        <v>3.47294732487283</v>
      </c>
      <c r="AD211" s="1565" t="n">
        <f aca="false">$F211</f>
        <v>3.03779835908079</v>
      </c>
      <c r="AE211" s="427" t="n">
        <f aca="false">$G211</f>
        <v>1.065</v>
      </c>
      <c r="AF211" s="1596" t="n">
        <f aca="false">AC211*AD211/AE211</f>
        <v>9.90621003255651</v>
      </c>
      <c r="AG211" s="397" t="n">
        <f aca="false">VLOOKUP($A211,Plant_Table,'Plant Operations'!$M$270)</f>
        <v>298980.864</v>
      </c>
      <c r="AH211" s="1575" t="n">
        <f aca="false">AF211*AG211/1000</f>
        <v>2961.76723449921</v>
      </c>
      <c r="AI211" s="1565" t="n">
        <f aca="false">AD211</f>
        <v>3.03779835908079</v>
      </c>
      <c r="AJ211" s="1566" t="n">
        <f aca="false">AH211/AI211</f>
        <v>974.97163550889</v>
      </c>
      <c r="AK211" s="1567" t="str">
        <f aca="false">IF(MONTH($A211)=12,SUM(AJ200:AJ211)," ")</f>
        <v> </v>
      </c>
      <c r="AM211" s="488" t="n">
        <f aca="false">IF($A211&gt;Endyr,0,VLOOKUP($A211,Tariff_Table,Tariff!$L$33))</f>
        <v>1.21</v>
      </c>
      <c r="AN211" s="1576" t="n">
        <f aca="false">VLOOKUP($A211,Curves_Table,Escalation!$Z$291)</f>
        <v>1.6153442667317</v>
      </c>
      <c r="AO211" s="1314" t="n">
        <f aca="false">AM211*AN211</f>
        <v>1.95456656274536</v>
      </c>
      <c r="AP211" s="1314" t="n">
        <f aca="false">IF($A211&gt;Endyr,0,VLOOKUP($A211,Tariff_Table,Tariff!$M$33))</f>
        <v>0.25</v>
      </c>
      <c r="AQ211" s="1314" t="n">
        <f aca="false">SUM(AO211,AP211)</f>
        <v>2.20456656274536</v>
      </c>
      <c r="AR211" s="1314" t="n">
        <f aca="false">SUM(AM211,AP211)</f>
        <v>1.46</v>
      </c>
      <c r="AS211" s="1598" t="n">
        <f aca="false">IF(AR211=0,0,AQ211/AR211)</f>
        <v>1.5099770977708</v>
      </c>
    </row>
    <row r="212" customFormat="false" ht="12.75" hidden="false" customHeight="false" outlineLevel="0" collapsed="false">
      <c r="A212" s="1538" t="n">
        <f aca="false">EDATE(A211,1)</f>
        <v>43040</v>
      </c>
      <c r="C212" s="1595" t="n">
        <f aca="false">IF($A212&gt;Endyr,0,VLOOKUP($A212,Tariff_Table,Tariff!$G$33))</f>
        <v>7420.61</v>
      </c>
      <c r="D212" s="1565" t="n">
        <f aca="false">VLOOKUP($A212,Curves_Table,Escalation!$V$291)</f>
        <v>1.68254669873615</v>
      </c>
      <c r="E212" s="1596" t="n">
        <f aca="false">C212*D212</f>
        <v>12485.5228581085</v>
      </c>
      <c r="F212" s="1565" t="n">
        <f aca="false">IF(Assm!$L$74=0,VLOOKUP($A212,Curves_Table,Escalation!$D$291),VLOOKUP($A212,Curves_Table,Escalation!$E$291))</f>
        <v>3.04280483899669</v>
      </c>
      <c r="G212" s="427" t="n">
        <f aca="false">IF($A212&lt;EE_Date,VLOOKUP($A212,Curves_Table,Escalation!$D$291),Exch)</f>
        <v>1.065</v>
      </c>
      <c r="H212" s="1596" t="n">
        <f aca="false">E212*F212/G212</f>
        <v>35672.3092676584</v>
      </c>
      <c r="I212" s="1540" t="n">
        <f aca="false">VLOOKUP($A212,Plant_Table,'Plant Operations'!$C$270)</f>
        <v>480</v>
      </c>
      <c r="J212" s="1575" t="n">
        <f aca="false">H212*I212/1000</f>
        <v>17122.708448476</v>
      </c>
      <c r="K212" s="1565" t="n">
        <f aca="false">F212</f>
        <v>3.04280483899669</v>
      </c>
      <c r="L212" s="394" t="n">
        <f aca="false">J212/K212</f>
        <v>5627.27790787987</v>
      </c>
      <c r="M212" s="1579" t="str">
        <f aca="false">IF(MONTH($A212)=12,SUM(L201:L212)," ")</f>
        <v> </v>
      </c>
      <c r="O212" s="1597" t="n">
        <f aca="false">IF($A212&gt;Endyr,0,VLOOKUP($A212,Tariff_Table,Tariff!$H$33))</f>
        <v>6104.93</v>
      </c>
      <c r="P212" s="1565" t="n">
        <f aca="false">$AS212</f>
        <v>1.5099770977708</v>
      </c>
      <c r="Q212" s="1575" t="n">
        <f aca="false">O212*P212</f>
        <v>9218.30448349387</v>
      </c>
      <c r="R212" s="1565" t="n">
        <f aca="false">$F212</f>
        <v>3.04280483899669</v>
      </c>
      <c r="S212" s="427" t="n">
        <f aca="false">$G212</f>
        <v>1.065</v>
      </c>
      <c r="T212" s="1575" t="n">
        <f aca="false">Q212*R212/S212</f>
        <v>26337.5600842441</v>
      </c>
      <c r="U212" s="1540" t="n">
        <f aca="false">$I212</f>
        <v>480</v>
      </c>
      <c r="V212" s="1575" t="n">
        <f aca="false">T212*U212/1000</f>
        <v>12642.0288404372</v>
      </c>
      <c r="W212" s="1565" t="n">
        <f aca="false">R212</f>
        <v>3.04280483899669</v>
      </c>
      <c r="X212" s="394" t="n">
        <f aca="false">V212/W212</f>
        <v>4154.72878129301</v>
      </c>
      <c r="Y212" s="1579" t="str">
        <f aca="false">IF(MONTH($A212)=12,SUM(X201:X212)," ")</f>
        <v> </v>
      </c>
      <c r="AA212" s="1595" t="n">
        <f aca="false">IF($A212&gt;Endyr,0,VLOOKUP($A212,Tariff_Table,Tariff!$I$33))</f>
        <v>2.3</v>
      </c>
      <c r="AB212" s="1565" t="n">
        <f aca="false">$AS212</f>
        <v>1.5099770977708</v>
      </c>
      <c r="AC212" s="1596" t="n">
        <f aca="false">AA212*AB212</f>
        <v>3.47294732487283</v>
      </c>
      <c r="AD212" s="1565" t="n">
        <f aca="false">$F212</f>
        <v>3.04280483899669</v>
      </c>
      <c r="AE212" s="427" t="n">
        <f aca="false">$G212</f>
        <v>1.065</v>
      </c>
      <c r="AF212" s="1596" t="n">
        <f aca="false">AC212*AD212/AE212</f>
        <v>9.92253608047291</v>
      </c>
      <c r="AG212" s="397" t="n">
        <f aca="false">VLOOKUP($A212,Plant_Table,'Plant Operations'!$M$270)</f>
        <v>289336.32</v>
      </c>
      <c r="AH212" s="1575" t="n">
        <f aca="false">AF212*AG212/1000</f>
        <v>2870.95007459126</v>
      </c>
      <c r="AI212" s="1565" t="n">
        <f aca="false">AD212</f>
        <v>3.04280483899669</v>
      </c>
      <c r="AJ212" s="1566" t="n">
        <f aca="false">AH212/AI212</f>
        <v>943.520937589248</v>
      </c>
      <c r="AK212" s="1567" t="str">
        <f aca="false">IF(MONTH($A212)=12,SUM(AJ201:AJ212)," ")</f>
        <v> </v>
      </c>
      <c r="AM212" s="488" t="n">
        <f aca="false">IF($A212&gt;Endyr,0,VLOOKUP($A212,Tariff_Table,Tariff!$L$33))</f>
        <v>1.21</v>
      </c>
      <c r="AN212" s="1576" t="n">
        <f aca="false">VLOOKUP($A212,Curves_Table,Escalation!$Z$291)</f>
        <v>1.6153442667317</v>
      </c>
      <c r="AO212" s="1314" t="n">
        <f aca="false">AM212*AN212</f>
        <v>1.95456656274536</v>
      </c>
      <c r="AP212" s="1314" t="n">
        <f aca="false">IF($A212&gt;Endyr,0,VLOOKUP($A212,Tariff_Table,Tariff!$M$33))</f>
        <v>0.25</v>
      </c>
      <c r="AQ212" s="1314" t="n">
        <f aca="false">SUM(AO212,AP212)</f>
        <v>2.20456656274536</v>
      </c>
      <c r="AR212" s="1314" t="n">
        <f aca="false">SUM(AM212,AP212)</f>
        <v>1.46</v>
      </c>
      <c r="AS212" s="1598" t="n">
        <f aca="false">IF(AR212=0,0,AQ212/AR212)</f>
        <v>1.5099770977708</v>
      </c>
    </row>
    <row r="213" customFormat="false" ht="12.75" hidden="false" customHeight="false" outlineLevel="0" collapsed="false">
      <c r="A213" s="1538" t="n">
        <f aca="false">EDATE(A212,1)</f>
        <v>43070</v>
      </c>
      <c r="C213" s="1595" t="n">
        <f aca="false">IF($A213&gt;Endyr,0,VLOOKUP($A213,Tariff_Table,Tariff!$G$33))</f>
        <v>7420.61</v>
      </c>
      <c r="D213" s="1565" t="n">
        <f aca="false">VLOOKUP($A213,Curves_Table,Escalation!$V$291)</f>
        <v>1.68254669873615</v>
      </c>
      <c r="E213" s="1596" t="n">
        <f aca="false">C213*D213</f>
        <v>12485.5228581085</v>
      </c>
      <c r="F213" s="1565" t="n">
        <f aca="false">IF(Assm!$L$74=0,VLOOKUP($A213,Curves_Table,Escalation!$D$291),VLOOKUP($A213,Curves_Table,Escalation!$E$291))</f>
        <v>3.04781956990169</v>
      </c>
      <c r="G213" s="427" t="n">
        <f aca="false">IF($A213&lt;EE_Date,VLOOKUP($A213,Curves_Table,Escalation!$D$291),Exch)</f>
        <v>1.065</v>
      </c>
      <c r="H213" s="1596" t="n">
        <f aca="false">E213*F213/G213</f>
        <v>35731.0994435661</v>
      </c>
      <c r="I213" s="1540" t="n">
        <f aca="false">VLOOKUP($A213,Plant_Table,'Plant Operations'!$C$270)</f>
        <v>480</v>
      </c>
      <c r="J213" s="1575" t="n">
        <f aca="false">H213*I213/1000</f>
        <v>17150.9277329117</v>
      </c>
      <c r="K213" s="1565" t="n">
        <f aca="false">F213</f>
        <v>3.04781956990169</v>
      </c>
      <c r="L213" s="394" t="n">
        <f aca="false">J213/K213</f>
        <v>5627.27790787987</v>
      </c>
      <c r="M213" s="1579" t="n">
        <f aca="false">IF(MONTH($A213)=12,SUM(L202:L213)," ")</f>
        <v>66986.4149632707</v>
      </c>
      <c r="O213" s="1597" t="n">
        <f aca="false">IF($A213&gt;Endyr,0,VLOOKUP($A213,Tariff_Table,Tariff!$H$33))</f>
        <v>6104.93</v>
      </c>
      <c r="P213" s="1565" t="n">
        <f aca="false">$AS213</f>
        <v>1.5099770977708</v>
      </c>
      <c r="Q213" s="1575" t="n">
        <f aca="false">O213*P213</f>
        <v>9218.30448349387</v>
      </c>
      <c r="R213" s="1565" t="n">
        <f aca="false">$F213</f>
        <v>3.04781956990169</v>
      </c>
      <c r="S213" s="427" t="n">
        <f aca="false">$G213</f>
        <v>1.065</v>
      </c>
      <c r="T213" s="1575" t="n">
        <f aca="false">Q213*R213/S213</f>
        <v>26380.9660151222</v>
      </c>
      <c r="U213" s="1540" t="n">
        <f aca="false">$I213</f>
        <v>480</v>
      </c>
      <c r="V213" s="1575" t="n">
        <f aca="false">T213*U213/1000</f>
        <v>12662.8636872586</v>
      </c>
      <c r="W213" s="1565" t="n">
        <f aca="false">R213</f>
        <v>3.04781956990169</v>
      </c>
      <c r="X213" s="394" t="n">
        <f aca="false">V213/W213</f>
        <v>4154.72878129301</v>
      </c>
      <c r="Y213" s="1579" t="n">
        <f aca="false">IF(MONTH($A213)=12,SUM(X202:X213)," ")</f>
        <v>49633.5714296526</v>
      </c>
      <c r="AA213" s="1595" t="n">
        <f aca="false">IF($A213&gt;Endyr,0,VLOOKUP($A213,Tariff_Table,Tariff!$I$33))</f>
        <v>2.3</v>
      </c>
      <c r="AB213" s="1565" t="n">
        <f aca="false">$AS213</f>
        <v>1.5099770977708</v>
      </c>
      <c r="AC213" s="1596" t="n">
        <f aca="false">AA213*AB213</f>
        <v>3.47294732487283</v>
      </c>
      <c r="AD213" s="1565" t="n">
        <f aca="false">$F213</f>
        <v>3.04781956990169</v>
      </c>
      <c r="AE213" s="427" t="n">
        <f aca="false">$G213</f>
        <v>1.065</v>
      </c>
      <c r="AF213" s="1596" t="n">
        <f aca="false">AC213*AD213/AE213</f>
        <v>9.93888903472783</v>
      </c>
      <c r="AG213" s="397" t="n">
        <f aca="false">VLOOKUP($A213,Plant_Table,'Plant Operations'!$M$270)</f>
        <v>298980.864</v>
      </c>
      <c r="AH213" s="1575" t="n">
        <f aca="false">AF213*AG213/1000</f>
        <v>2971.53763080305</v>
      </c>
      <c r="AI213" s="1565" t="n">
        <f aca="false">AD213</f>
        <v>3.04781956990169</v>
      </c>
      <c r="AJ213" s="1566" t="n">
        <f aca="false">AH213/AI213</f>
        <v>974.97163550889</v>
      </c>
      <c r="AK213" s="1567" t="n">
        <f aca="false">IF(MONTH($A213)=12,SUM(AJ202:AJ213)," ")</f>
        <v>11432.9610470794</v>
      </c>
      <c r="AM213" s="488" t="n">
        <f aca="false">IF($A213&gt;Endyr,0,VLOOKUP($A213,Tariff_Table,Tariff!$L$33))</f>
        <v>1.21</v>
      </c>
      <c r="AN213" s="1576" t="n">
        <f aca="false">VLOOKUP($A213,Curves_Table,Escalation!$Z$291)</f>
        <v>1.6153442667317</v>
      </c>
      <c r="AO213" s="1314" t="n">
        <f aca="false">AM213*AN213</f>
        <v>1.95456656274536</v>
      </c>
      <c r="AP213" s="1314" t="n">
        <f aca="false">IF($A213&gt;Endyr,0,VLOOKUP($A213,Tariff_Table,Tariff!$M$33))</f>
        <v>0.25</v>
      </c>
      <c r="AQ213" s="1314" t="n">
        <f aca="false">SUM(AO213,AP213)</f>
        <v>2.20456656274536</v>
      </c>
      <c r="AR213" s="1314" t="n">
        <f aca="false">SUM(AM213,AP213)</f>
        <v>1.46</v>
      </c>
      <c r="AS213" s="1598" t="n">
        <f aca="false">IF(AR213=0,0,AQ213/AR213)</f>
        <v>1.5099770977708</v>
      </c>
    </row>
    <row r="214" customFormat="false" ht="12.75" hidden="false" customHeight="false" outlineLevel="0" collapsed="false">
      <c r="A214" s="1538" t="n">
        <f aca="false">EDATE(A213,1)</f>
        <v>43101</v>
      </c>
      <c r="C214" s="1595" t="n">
        <f aca="false">IF($A214&gt;Endyr,0,VLOOKUP($A214,Tariff_Table,Tariff!$G$33))</f>
        <v>7420.61</v>
      </c>
      <c r="D214" s="1565" t="n">
        <f aca="false">VLOOKUP($A214,Curves_Table,Escalation!$V$291)</f>
        <v>1.68254669873615</v>
      </c>
      <c r="E214" s="1596" t="n">
        <f aca="false">C214*D214</f>
        <v>12485.5228581085</v>
      </c>
      <c r="F214" s="1565" t="n">
        <f aca="false">IF(Assm!$L$74=0,VLOOKUP($A214,Curves_Table,Escalation!$D$291),VLOOKUP($A214,Curves_Table,Escalation!$E$291))</f>
        <v>3.05285098115965</v>
      </c>
      <c r="G214" s="427" t="n">
        <f aca="false">IF($A214&lt;EE_Date,VLOOKUP($A214,Curves_Table,Escalation!$D$291),Exch)</f>
        <v>1.065</v>
      </c>
      <c r="H214" s="1596" t="n">
        <f aca="false">E214*F214/G214</f>
        <v>35790.0851715189</v>
      </c>
      <c r="I214" s="1540" t="n">
        <f aca="false">VLOOKUP($A214,Plant_Table,'Plant Operations'!$C$270)</f>
        <v>480</v>
      </c>
      <c r="J214" s="1575" t="n">
        <f aca="false">H214*I214/1000</f>
        <v>17179.2408823291</v>
      </c>
      <c r="K214" s="1565" t="n">
        <f aca="false">F214</f>
        <v>3.05285098115965</v>
      </c>
      <c r="L214" s="394" t="n">
        <f aca="false">J214/K214</f>
        <v>5627.27790787987</v>
      </c>
      <c r="M214" s="1579" t="str">
        <f aca="false">IF(MONTH($A214)=12,SUM(L203:L214)," ")</f>
        <v> </v>
      </c>
      <c r="O214" s="1597" t="n">
        <f aca="false">IF($A214&gt;Endyr,0,VLOOKUP($A214,Tariff_Table,Tariff!$H$33))</f>
        <v>6104.93</v>
      </c>
      <c r="P214" s="1565" t="n">
        <f aca="false">$AS214</f>
        <v>1.5099770977708</v>
      </c>
      <c r="Q214" s="1575" t="n">
        <f aca="false">O214*P214</f>
        <v>9218.30448349387</v>
      </c>
      <c r="R214" s="1565" t="n">
        <f aca="false">$F214</f>
        <v>3.05285098115965</v>
      </c>
      <c r="S214" s="427" t="n">
        <f aca="false">$G214</f>
        <v>1.065</v>
      </c>
      <c r="T214" s="1575" t="n">
        <f aca="false">Q214*R214/S214</f>
        <v>26424.5163258804</v>
      </c>
      <c r="U214" s="1540" t="n">
        <f aca="false">$I214</f>
        <v>480</v>
      </c>
      <c r="V214" s="1575" t="n">
        <f aca="false">T214*U214/1000</f>
        <v>12683.7678364226</v>
      </c>
      <c r="W214" s="1565" t="n">
        <f aca="false">R214</f>
        <v>3.05285098115965</v>
      </c>
      <c r="X214" s="394" t="n">
        <f aca="false">V214/W214</f>
        <v>4154.72878129301</v>
      </c>
      <c r="Y214" s="1579" t="str">
        <f aca="false">IF(MONTH($A214)=12,SUM(X203:X214)," ")</f>
        <v> </v>
      </c>
      <c r="AA214" s="1595" t="n">
        <f aca="false">IF($A214&gt;Endyr,0,VLOOKUP($A214,Tariff_Table,Tariff!$I$33))</f>
        <v>2.3</v>
      </c>
      <c r="AB214" s="1565" t="n">
        <f aca="false">$AS214</f>
        <v>1.5099770977708</v>
      </c>
      <c r="AC214" s="1596" t="n">
        <f aca="false">AA214*AB214</f>
        <v>3.47294732487283</v>
      </c>
      <c r="AD214" s="1565" t="n">
        <f aca="false">$F214</f>
        <v>3.05285098115965</v>
      </c>
      <c r="AE214" s="427" t="n">
        <f aca="false">$G214</f>
        <v>1.065</v>
      </c>
      <c r="AF214" s="1596" t="n">
        <f aca="false">AC214*AD214/AE214</f>
        <v>9.95529638333689</v>
      </c>
      <c r="AG214" s="397" t="n">
        <f aca="false">VLOOKUP($A214,Plant_Table,'Plant Operations'!$M$270)</f>
        <v>298980.864</v>
      </c>
      <c r="AH214" s="1575" t="n">
        <f aca="false">AF214*AG214/1000</f>
        <v>2976.44311406614</v>
      </c>
      <c r="AI214" s="1565" t="n">
        <f aca="false">AD214</f>
        <v>3.05285098115965</v>
      </c>
      <c r="AJ214" s="1566" t="n">
        <f aca="false">AH214/AI214</f>
        <v>974.97163550889</v>
      </c>
      <c r="AK214" s="1567" t="str">
        <f aca="false">IF(MONTH($A214)=12,SUM(AJ203:AJ214)," ")</f>
        <v> </v>
      </c>
      <c r="AM214" s="488" t="n">
        <f aca="false">IF($A214&gt;Endyr,0,VLOOKUP($A214,Tariff_Table,Tariff!$L$33))</f>
        <v>1.21</v>
      </c>
      <c r="AN214" s="1576" t="n">
        <f aca="false">VLOOKUP($A214,Curves_Table,Escalation!$Z$291)</f>
        <v>1.6153442667317</v>
      </c>
      <c r="AO214" s="1314" t="n">
        <f aca="false">AM214*AN214</f>
        <v>1.95456656274536</v>
      </c>
      <c r="AP214" s="1314" t="n">
        <f aca="false">IF($A214&gt;Endyr,0,VLOOKUP($A214,Tariff_Table,Tariff!$M$33))</f>
        <v>0.25</v>
      </c>
      <c r="AQ214" s="1314" t="n">
        <f aca="false">SUM(AO214,AP214)</f>
        <v>2.20456656274536</v>
      </c>
      <c r="AR214" s="1314" t="n">
        <f aca="false">SUM(AM214,AP214)</f>
        <v>1.46</v>
      </c>
      <c r="AS214" s="1598" t="n">
        <f aca="false">IF(AR214=0,0,AQ214/AR214)</f>
        <v>1.5099770977708</v>
      </c>
    </row>
    <row r="215" customFormat="false" ht="12.75" hidden="false" customHeight="false" outlineLevel="0" collapsed="false">
      <c r="A215" s="1538" t="n">
        <f aca="false">EDATE(A214,1)</f>
        <v>43132</v>
      </c>
      <c r="C215" s="1595" t="n">
        <f aca="false">IF($A215&gt;Endyr,0,VLOOKUP($A215,Tariff_Table,Tariff!$G$33))</f>
        <v>7420.61</v>
      </c>
      <c r="D215" s="1565" t="n">
        <f aca="false">VLOOKUP($A215,Curves_Table,Escalation!$V$291)</f>
        <v>1.68254669873615</v>
      </c>
      <c r="E215" s="1596" t="n">
        <f aca="false">C215*D215</f>
        <v>12485.5228581085</v>
      </c>
      <c r="F215" s="1565" t="n">
        <f aca="false">IF(Assm!$L$74=0,VLOOKUP($A215,Curves_Table,Escalation!$D$291),VLOOKUP($A215,Curves_Table,Escalation!$E$291))</f>
        <v>3.05789069838804</v>
      </c>
      <c r="G215" s="427" t="n">
        <f aca="false">IF($A215&lt;EE_Date,VLOOKUP($A215,Curves_Table,Escalation!$D$291),Exch)</f>
        <v>1.065</v>
      </c>
      <c r="H215" s="1596" t="n">
        <f aca="false">E215*F215/G215</f>
        <v>35849.1682744799</v>
      </c>
      <c r="I215" s="1540" t="n">
        <f aca="false">VLOOKUP($A215,Plant_Table,'Plant Operations'!$C$270)</f>
        <v>480</v>
      </c>
      <c r="J215" s="1575" t="n">
        <f aca="false">H215*I215/1000</f>
        <v>17207.6007717503</v>
      </c>
      <c r="K215" s="1565" t="n">
        <f aca="false">F215</f>
        <v>3.05789069838804</v>
      </c>
      <c r="L215" s="394" t="n">
        <f aca="false">J215/K215</f>
        <v>5627.27790787987</v>
      </c>
      <c r="M215" s="1579" t="str">
        <f aca="false">IF(MONTH($A215)=12,SUM(L204:L215)," ")</f>
        <v> </v>
      </c>
      <c r="O215" s="1597" t="n">
        <f aca="false">IF($A215&gt;Endyr,0,VLOOKUP($A215,Tariff_Table,Tariff!$H$33))</f>
        <v>6104.93</v>
      </c>
      <c r="P215" s="1565" t="n">
        <f aca="false">$AS215</f>
        <v>1.5099770977708</v>
      </c>
      <c r="Q215" s="1575" t="n">
        <f aca="false">O215*P215</f>
        <v>9218.30448349387</v>
      </c>
      <c r="R215" s="1565" t="n">
        <f aca="false">$F215</f>
        <v>3.05789069838804</v>
      </c>
      <c r="S215" s="427" t="n">
        <f aca="false">$G215</f>
        <v>1.065</v>
      </c>
      <c r="T215" s="1575" t="n">
        <f aca="false">Q215*R215/S215</f>
        <v>26468.138530502</v>
      </c>
      <c r="U215" s="1540" t="n">
        <f aca="false">$I215</f>
        <v>480</v>
      </c>
      <c r="V215" s="1575" t="n">
        <f aca="false">T215*U215/1000</f>
        <v>12704.706494641</v>
      </c>
      <c r="W215" s="1565" t="n">
        <f aca="false">R215</f>
        <v>3.05789069838804</v>
      </c>
      <c r="X215" s="394" t="n">
        <f aca="false">V215/W215</f>
        <v>4154.72878129301</v>
      </c>
      <c r="Y215" s="1579" t="str">
        <f aca="false">IF(MONTH($A215)=12,SUM(X204:X215)," ")</f>
        <v> </v>
      </c>
      <c r="AA215" s="1595" t="n">
        <f aca="false">IF($A215&gt;Endyr,0,VLOOKUP($A215,Tariff_Table,Tariff!$I$33))</f>
        <v>2.3</v>
      </c>
      <c r="AB215" s="1565" t="n">
        <f aca="false">$AS215</f>
        <v>1.5099770977708</v>
      </c>
      <c r="AC215" s="1596" t="n">
        <f aca="false">AA215*AB215</f>
        <v>3.47294732487283</v>
      </c>
      <c r="AD215" s="1565" t="n">
        <f aca="false">$F215</f>
        <v>3.05789069838804</v>
      </c>
      <c r="AE215" s="427" t="n">
        <f aca="false">$G215</f>
        <v>1.065</v>
      </c>
      <c r="AF215" s="1596" t="n">
        <f aca="false">AC215*AD215/AE215</f>
        <v>9.9717308175777</v>
      </c>
      <c r="AG215" s="397" t="n">
        <f aca="false">VLOOKUP($A215,Plant_Table,'Plant Operations'!$M$270)</f>
        <v>270047.232</v>
      </c>
      <c r="AH215" s="1575" t="n">
        <f aca="false">AF215*AG215/1000</f>
        <v>2692.83830553596</v>
      </c>
      <c r="AI215" s="1565" t="n">
        <f aca="false">AD215</f>
        <v>3.05789069838804</v>
      </c>
      <c r="AJ215" s="1566" t="n">
        <f aca="false">AH215/AI215</f>
        <v>880.619541749965</v>
      </c>
      <c r="AK215" s="1567" t="str">
        <f aca="false">IF(MONTH($A215)=12,SUM(AJ204:AJ215)," ")</f>
        <v> </v>
      </c>
      <c r="AM215" s="488" t="n">
        <f aca="false">IF($A215&gt;Endyr,0,VLOOKUP($A215,Tariff_Table,Tariff!$L$33))</f>
        <v>1.21</v>
      </c>
      <c r="AN215" s="1576" t="n">
        <f aca="false">VLOOKUP($A215,Curves_Table,Escalation!$Z$291)</f>
        <v>1.6153442667317</v>
      </c>
      <c r="AO215" s="1314" t="n">
        <f aca="false">AM215*AN215</f>
        <v>1.95456656274536</v>
      </c>
      <c r="AP215" s="1314" t="n">
        <f aca="false">IF($A215&gt;Endyr,0,VLOOKUP($A215,Tariff_Table,Tariff!$M$33))</f>
        <v>0.25</v>
      </c>
      <c r="AQ215" s="1314" t="n">
        <f aca="false">SUM(AO215,AP215)</f>
        <v>2.20456656274536</v>
      </c>
      <c r="AR215" s="1314" t="n">
        <f aca="false">SUM(AM215,AP215)</f>
        <v>1.46</v>
      </c>
      <c r="AS215" s="1598" t="n">
        <f aca="false">IF(AR215=0,0,AQ215/AR215)</f>
        <v>1.5099770977708</v>
      </c>
    </row>
    <row r="216" customFormat="false" ht="12.75" hidden="false" customHeight="false" outlineLevel="0" collapsed="false">
      <c r="A216" s="1538" t="n">
        <f aca="false">EDATE(A215,1)</f>
        <v>43160</v>
      </c>
      <c r="C216" s="1595" t="n">
        <f aca="false">IF($A216&gt;Endyr,0,VLOOKUP($A216,Tariff_Table,Tariff!$G$33))</f>
        <v>7420.61</v>
      </c>
      <c r="D216" s="1565" t="n">
        <f aca="false">VLOOKUP($A216,Curves_Table,Escalation!$V$291)</f>
        <v>1.68254669873615</v>
      </c>
      <c r="E216" s="1596" t="n">
        <f aca="false">C216*D216</f>
        <v>12485.5228581085</v>
      </c>
      <c r="F216" s="1565" t="n">
        <f aca="false">IF(Assm!$L$74=0,VLOOKUP($A216,Curves_Table,Escalation!$D$291),VLOOKUP($A216,Curves_Table,Escalation!$E$291))</f>
        <v>3.06293873529856</v>
      </c>
      <c r="G216" s="427" t="n">
        <f aca="false">IF($A216&lt;EE_Date,VLOOKUP($A216,Curves_Table,Escalation!$D$291),Exch)</f>
        <v>1.065</v>
      </c>
      <c r="H216" s="1596" t="n">
        <f aca="false">E216*F216/G216</f>
        <v>35908.3489131981</v>
      </c>
      <c r="I216" s="1540" t="n">
        <f aca="false">VLOOKUP($A216,Plant_Table,'Plant Operations'!$C$270)</f>
        <v>480</v>
      </c>
      <c r="J216" s="1575" t="n">
        <f aca="false">H216*I216/1000</f>
        <v>17236.0074783351</v>
      </c>
      <c r="K216" s="1565" t="n">
        <f aca="false">F216</f>
        <v>3.06293873529856</v>
      </c>
      <c r="L216" s="394" t="n">
        <f aca="false">J216/K216</f>
        <v>5627.27790787987</v>
      </c>
      <c r="M216" s="1579" t="str">
        <f aca="false">IF(MONTH($A216)=12,SUM(L205:L216)," ")</f>
        <v> </v>
      </c>
      <c r="O216" s="1597" t="n">
        <f aca="false">IF($A216&gt;Endyr,0,VLOOKUP($A216,Tariff_Table,Tariff!$H$33))</f>
        <v>6104.93</v>
      </c>
      <c r="P216" s="1565" t="n">
        <f aca="false">$AS216</f>
        <v>1.5099770977708</v>
      </c>
      <c r="Q216" s="1575" t="n">
        <f aca="false">O216*P216</f>
        <v>9218.30448349387</v>
      </c>
      <c r="R216" s="1565" t="n">
        <f aca="false">$F216</f>
        <v>3.06293873529856</v>
      </c>
      <c r="S216" s="427" t="n">
        <f aca="false">$G216</f>
        <v>1.065</v>
      </c>
      <c r="T216" s="1575" t="n">
        <f aca="false">Q216*R216/S216</f>
        <v>26511.8327476711</v>
      </c>
      <c r="U216" s="1540" t="n">
        <f aca="false">$I216</f>
        <v>480</v>
      </c>
      <c r="V216" s="1575" t="n">
        <f aca="false">T216*U216/1000</f>
        <v>12725.6797188821</v>
      </c>
      <c r="W216" s="1565" t="n">
        <f aca="false">R216</f>
        <v>3.06293873529856</v>
      </c>
      <c r="X216" s="394" t="n">
        <f aca="false">V216/W216</f>
        <v>4154.72878129301</v>
      </c>
      <c r="Y216" s="1579" t="str">
        <f aca="false">IF(MONTH($A216)=12,SUM(X205:X216)," ")</f>
        <v> </v>
      </c>
      <c r="AA216" s="1595" t="n">
        <f aca="false">IF($A216&gt;Endyr,0,VLOOKUP($A216,Tariff_Table,Tariff!$I$33))</f>
        <v>2.3</v>
      </c>
      <c r="AB216" s="1565" t="n">
        <f aca="false">$AS216</f>
        <v>1.5099770977708</v>
      </c>
      <c r="AC216" s="1596" t="n">
        <f aca="false">AA216*AB216</f>
        <v>3.47294732487283</v>
      </c>
      <c r="AD216" s="1565" t="n">
        <f aca="false">$F216</f>
        <v>3.06293873529856</v>
      </c>
      <c r="AE216" s="427" t="n">
        <f aca="false">$G216</f>
        <v>1.065</v>
      </c>
      <c r="AF216" s="1596" t="n">
        <f aca="false">AC216*AD216/AE216</f>
        <v>9.98819238216385</v>
      </c>
      <c r="AG216" s="397" t="n">
        <f aca="false">VLOOKUP($A216,Plant_Table,'Plant Operations'!$M$270)</f>
        <v>298980.864</v>
      </c>
      <c r="AH216" s="1575" t="n">
        <f aca="false">AF216*AG216/1000</f>
        <v>2986.27838821757</v>
      </c>
      <c r="AI216" s="1565" t="n">
        <f aca="false">AD216</f>
        <v>3.06293873529856</v>
      </c>
      <c r="AJ216" s="1566" t="n">
        <f aca="false">AH216/AI216</f>
        <v>974.97163550889</v>
      </c>
      <c r="AK216" s="1567" t="str">
        <f aca="false">IF(MONTH($A216)=12,SUM(AJ205:AJ216)," ")</f>
        <v> </v>
      </c>
      <c r="AM216" s="488" t="n">
        <f aca="false">IF($A216&gt;Endyr,0,VLOOKUP($A216,Tariff_Table,Tariff!$L$33))</f>
        <v>1.21</v>
      </c>
      <c r="AN216" s="1576" t="n">
        <f aca="false">VLOOKUP($A216,Curves_Table,Escalation!$Z$291)</f>
        <v>1.6153442667317</v>
      </c>
      <c r="AO216" s="1314" t="n">
        <f aca="false">AM216*AN216</f>
        <v>1.95456656274536</v>
      </c>
      <c r="AP216" s="1314" t="n">
        <f aca="false">IF($A216&gt;Endyr,0,VLOOKUP($A216,Tariff_Table,Tariff!$M$33))</f>
        <v>0.25</v>
      </c>
      <c r="AQ216" s="1314" t="n">
        <f aca="false">SUM(AO216,AP216)</f>
        <v>2.20456656274536</v>
      </c>
      <c r="AR216" s="1314" t="n">
        <f aca="false">SUM(AM216,AP216)</f>
        <v>1.46</v>
      </c>
      <c r="AS216" s="1598" t="n">
        <f aca="false">IF(AR216=0,0,AQ216/AR216)</f>
        <v>1.5099770977708</v>
      </c>
    </row>
    <row r="217" customFormat="false" ht="12.75" hidden="false" customHeight="false" outlineLevel="0" collapsed="false">
      <c r="A217" s="1538" t="n">
        <f aca="false">EDATE(A216,1)</f>
        <v>43191</v>
      </c>
      <c r="C217" s="1595" t="n">
        <f aca="false">IF($A217&gt;Endyr,0,VLOOKUP($A217,Tariff_Table,Tariff!$G$33))</f>
        <v>7420.61</v>
      </c>
      <c r="D217" s="1565" t="n">
        <f aca="false">VLOOKUP($A217,Curves_Table,Escalation!$V$291)</f>
        <v>1.68254669873615</v>
      </c>
      <c r="E217" s="1596" t="n">
        <f aca="false">C217*D217</f>
        <v>12485.5228581085</v>
      </c>
      <c r="F217" s="1565" t="n">
        <f aca="false">IF(Assm!$L$74=0,VLOOKUP($A217,Curves_Table,Escalation!$D$291),VLOOKUP($A217,Curves_Table,Escalation!$E$291))</f>
        <v>3.06799510562553</v>
      </c>
      <c r="G217" s="427" t="n">
        <f aca="false">IF($A217&lt;EE_Date,VLOOKUP($A217,Curves_Table,Escalation!$D$291),Exch)</f>
        <v>1.065</v>
      </c>
      <c r="H217" s="1596" t="n">
        <f aca="false">E217*F217/G217</f>
        <v>35967.6272486877</v>
      </c>
      <c r="I217" s="1540" t="n">
        <f aca="false">VLOOKUP($A217,Plant_Table,'Plant Operations'!$C$270)</f>
        <v>480</v>
      </c>
      <c r="J217" s="1575" t="n">
        <f aca="false">H217*I217/1000</f>
        <v>17264.4610793701</v>
      </c>
      <c r="K217" s="1565" t="n">
        <f aca="false">F217</f>
        <v>3.06799510562553</v>
      </c>
      <c r="L217" s="394" t="n">
        <f aca="false">J217/K217</f>
        <v>5627.27790787987</v>
      </c>
      <c r="M217" s="1579" t="str">
        <f aca="false">IF(MONTH($A217)=12,SUM(L206:L217)," ")</f>
        <v> </v>
      </c>
      <c r="O217" s="1597" t="n">
        <f aca="false">IF($A217&gt;Endyr,0,VLOOKUP($A217,Tariff_Table,Tariff!$H$33))</f>
        <v>6104.93</v>
      </c>
      <c r="P217" s="1565" t="n">
        <f aca="false">$AS217</f>
        <v>1.5099770977708</v>
      </c>
      <c r="Q217" s="1575" t="n">
        <f aca="false">O217*P217</f>
        <v>9218.30448349387</v>
      </c>
      <c r="R217" s="1565" t="n">
        <f aca="false">$F217</f>
        <v>3.06799510562553</v>
      </c>
      <c r="S217" s="427" t="n">
        <f aca="false">$G217</f>
        <v>1.065</v>
      </c>
      <c r="T217" s="1575" t="n">
        <f aca="false">Q217*R217/S217</f>
        <v>26555.5990962676</v>
      </c>
      <c r="U217" s="1540" t="n">
        <f aca="false">$I217</f>
        <v>480</v>
      </c>
      <c r="V217" s="1575" t="n">
        <f aca="false">T217*U217/1000</f>
        <v>12746.6875662085</v>
      </c>
      <c r="W217" s="1565" t="n">
        <f aca="false">R217</f>
        <v>3.06799510562553</v>
      </c>
      <c r="X217" s="394" t="n">
        <f aca="false">V217/W217</f>
        <v>4154.72878129301</v>
      </c>
      <c r="Y217" s="1579" t="str">
        <f aca="false">IF(MONTH($A217)=12,SUM(X206:X217)," ")</f>
        <v> </v>
      </c>
      <c r="AA217" s="1595" t="n">
        <f aca="false">IF($A217&gt;Endyr,0,VLOOKUP($A217,Tariff_Table,Tariff!$I$33))</f>
        <v>2.3</v>
      </c>
      <c r="AB217" s="1565" t="n">
        <f aca="false">$AS217</f>
        <v>1.5099770977708</v>
      </c>
      <c r="AC217" s="1596" t="n">
        <f aca="false">AA217*AB217</f>
        <v>3.47294732487283</v>
      </c>
      <c r="AD217" s="1565" t="n">
        <f aca="false">$F217</f>
        <v>3.06799510562553</v>
      </c>
      <c r="AE217" s="427" t="n">
        <f aca="false">$G217</f>
        <v>1.065</v>
      </c>
      <c r="AF217" s="1596" t="n">
        <f aca="false">AC217*AD217/AE217</f>
        <v>10.0046811218827</v>
      </c>
      <c r="AG217" s="397" t="n">
        <f aca="false">VLOOKUP($A217,Plant_Table,'Plant Operations'!$M$270)</f>
        <v>289336.32</v>
      </c>
      <c r="AH217" s="1575" t="n">
        <f aca="false">AF217*AG217/1000</f>
        <v>2894.71761857902</v>
      </c>
      <c r="AI217" s="1565" t="n">
        <f aca="false">AD217</f>
        <v>3.06799510562553</v>
      </c>
      <c r="AJ217" s="1566" t="n">
        <f aca="false">AH217/AI217</f>
        <v>943.520937589248</v>
      </c>
      <c r="AK217" s="1567" t="str">
        <f aca="false">IF(MONTH($A217)=12,SUM(AJ206:AJ217)," ")</f>
        <v> </v>
      </c>
      <c r="AM217" s="488" t="n">
        <f aca="false">IF($A217&gt;Endyr,0,VLOOKUP($A217,Tariff_Table,Tariff!$L$33))</f>
        <v>1.21</v>
      </c>
      <c r="AN217" s="1576" t="n">
        <f aca="false">VLOOKUP($A217,Curves_Table,Escalation!$Z$291)</f>
        <v>1.6153442667317</v>
      </c>
      <c r="AO217" s="1314" t="n">
        <f aca="false">AM217*AN217</f>
        <v>1.95456656274536</v>
      </c>
      <c r="AP217" s="1314" t="n">
        <f aca="false">IF($A217&gt;Endyr,0,VLOOKUP($A217,Tariff_Table,Tariff!$M$33))</f>
        <v>0.25</v>
      </c>
      <c r="AQ217" s="1314" t="n">
        <f aca="false">SUM(AO217,AP217)</f>
        <v>2.20456656274536</v>
      </c>
      <c r="AR217" s="1314" t="n">
        <f aca="false">SUM(AM217,AP217)</f>
        <v>1.46</v>
      </c>
      <c r="AS217" s="1598" t="n">
        <f aca="false">IF(AR217=0,0,AQ217/AR217)</f>
        <v>1.5099770977708</v>
      </c>
    </row>
    <row r="218" customFormat="false" ht="12.75" hidden="false" customHeight="false" outlineLevel="0" collapsed="false">
      <c r="A218" s="1538" t="n">
        <f aca="false">EDATE(A217,1)</f>
        <v>43221</v>
      </c>
      <c r="C218" s="1595" t="n">
        <f aca="false">IF($A218&gt;Endyr,0,VLOOKUP($A218,Tariff_Table,Tariff!$G$33))</f>
        <v>7429.43</v>
      </c>
      <c r="D218" s="1565" t="n">
        <f aca="false">VLOOKUP($A218,Curves_Table,Escalation!$V$291)</f>
        <v>1.72801332733687</v>
      </c>
      <c r="E218" s="1596" t="n">
        <f aca="false">C218*D218</f>
        <v>12838.1540545163</v>
      </c>
      <c r="F218" s="1565" t="n">
        <f aca="false">IF(Assm!$L$74=0,VLOOKUP($A218,Curves_Table,Escalation!$D$291),VLOOKUP($A218,Curves_Table,Escalation!$E$291))</f>
        <v>3.07305982312594</v>
      </c>
      <c r="G218" s="427" t="n">
        <f aca="false">IF($A218&lt;EE_Date,VLOOKUP($A218,Curves_Table,Escalation!$D$291),Exch)</f>
        <v>1.065</v>
      </c>
      <c r="H218" s="1596" t="n">
        <f aca="false">E218*F218/G218</f>
        <v>37044.5215286719</v>
      </c>
      <c r="I218" s="1540" t="n">
        <f aca="false">VLOOKUP($A218,Plant_Table,'Plant Operations'!$C$270)</f>
        <v>480</v>
      </c>
      <c r="J218" s="1575" t="n">
        <f aca="false">H218*I218/1000</f>
        <v>17781.3703337625</v>
      </c>
      <c r="K218" s="1565" t="n">
        <f aca="false">F218</f>
        <v>3.07305982312594</v>
      </c>
      <c r="L218" s="394" t="n">
        <f aca="false">J218/K218</f>
        <v>5786.21027809187</v>
      </c>
      <c r="M218" s="1579" t="str">
        <f aca="false">IF(MONTH($A218)=12,SUM(L207:L218)," ")</f>
        <v> </v>
      </c>
      <c r="O218" s="1597" t="n">
        <f aca="false">IF($A218&gt;Endyr,0,VLOOKUP($A218,Tariff_Table,Tariff!$H$33))</f>
        <v>6133.73</v>
      </c>
      <c r="P218" s="1565" t="n">
        <f aca="false">$AS218</f>
        <v>1.54280646123377</v>
      </c>
      <c r="Q218" s="1575" t="n">
        <f aca="false">O218*P218</f>
        <v>9463.15827546342</v>
      </c>
      <c r="R218" s="1565" t="n">
        <f aca="false">$F218</f>
        <v>3.07305982312594</v>
      </c>
      <c r="S218" s="427" t="n">
        <f aca="false">$G218</f>
        <v>1.065</v>
      </c>
      <c r="T218" s="1575" t="n">
        <f aca="false">Q218*R218/S218</f>
        <v>27305.9638462051</v>
      </c>
      <c r="U218" s="1540" t="n">
        <f aca="false">$I218</f>
        <v>480</v>
      </c>
      <c r="V218" s="1575" t="n">
        <f aca="false">T218*U218/1000</f>
        <v>13106.8626461785</v>
      </c>
      <c r="W218" s="1565" t="n">
        <f aca="false">R218</f>
        <v>3.07305982312594</v>
      </c>
      <c r="X218" s="394" t="n">
        <f aca="false">V218/W218</f>
        <v>4265.08541992718</v>
      </c>
      <c r="Y218" s="1579" t="str">
        <f aca="false">IF(MONTH($A218)=12,SUM(X207:X218)," ")</f>
        <v> </v>
      </c>
      <c r="AA218" s="1595" t="n">
        <f aca="false">IF($A218&gt;Endyr,0,VLOOKUP($A218,Tariff_Table,Tariff!$I$33))</f>
        <v>2.31</v>
      </c>
      <c r="AB218" s="1565" t="n">
        <f aca="false">$AS218</f>
        <v>1.54280646123377</v>
      </c>
      <c r="AC218" s="1596" t="n">
        <f aca="false">AA218*AB218</f>
        <v>3.56388292545001</v>
      </c>
      <c r="AD218" s="1565" t="n">
        <f aca="false">$F218</f>
        <v>3.07305982312594</v>
      </c>
      <c r="AE218" s="427" t="n">
        <f aca="false">$G218</f>
        <v>1.065</v>
      </c>
      <c r="AF218" s="1596" t="n">
        <f aca="false">AC218*AD218/AE218</f>
        <v>10.2835919554225</v>
      </c>
      <c r="AG218" s="397" t="n">
        <f aca="false">VLOOKUP($A218,Plant_Table,'Plant Operations'!$M$270)</f>
        <v>298980.864</v>
      </c>
      <c r="AH218" s="1575" t="n">
        <f aca="false">AF218*AG218/1000</f>
        <v>3074.59720785568</v>
      </c>
      <c r="AI218" s="1565" t="n">
        <f aca="false">AD218</f>
        <v>3.07305982312594</v>
      </c>
      <c r="AJ218" s="1566" t="n">
        <f aca="false">AH218/AI218</f>
        <v>1000.50027816516</v>
      </c>
      <c r="AK218" s="1567" t="str">
        <f aca="false">IF(MONTH($A218)=12,SUM(AJ207:AJ218)," ")</f>
        <v> </v>
      </c>
      <c r="AM218" s="488" t="n">
        <f aca="false">IF($A218&gt;Endyr,0,VLOOKUP($A218,Tariff_Table,Tariff!$L$33))</f>
        <v>1.21</v>
      </c>
      <c r="AN218" s="1576" t="n">
        <f aca="false">VLOOKUP($A218,Curves_Table,Escalation!$Z$291)</f>
        <v>1.65495655653001</v>
      </c>
      <c r="AO218" s="1314" t="n">
        <f aca="false">AM218*AN218</f>
        <v>2.00249743340131</v>
      </c>
      <c r="AP218" s="1314" t="n">
        <f aca="false">IF($A218&gt;Endyr,0,VLOOKUP($A218,Tariff_Table,Tariff!$M$33))</f>
        <v>0.25</v>
      </c>
      <c r="AQ218" s="1314" t="n">
        <f aca="false">SUM(AO218,AP218)</f>
        <v>2.25249743340131</v>
      </c>
      <c r="AR218" s="1314" t="n">
        <f aca="false">SUM(AM218,AP218)</f>
        <v>1.46</v>
      </c>
      <c r="AS218" s="1598" t="n">
        <f aca="false">IF(AR218=0,0,AQ218/AR218)</f>
        <v>1.54280646123377</v>
      </c>
    </row>
    <row r="219" customFormat="false" ht="12.75" hidden="false" customHeight="false" outlineLevel="0" collapsed="false">
      <c r="A219" s="1538" t="n">
        <f aca="false">EDATE(A218,1)</f>
        <v>43252</v>
      </c>
      <c r="C219" s="1595" t="n">
        <f aca="false">IF($A219&gt;Endyr,0,VLOOKUP($A219,Tariff_Table,Tariff!$G$33))</f>
        <v>7429.43</v>
      </c>
      <c r="D219" s="1565" t="n">
        <f aca="false">VLOOKUP($A219,Curves_Table,Escalation!$V$291)</f>
        <v>1.72801332733687</v>
      </c>
      <c r="E219" s="1596" t="n">
        <f aca="false">C219*D219</f>
        <v>12838.1540545163</v>
      </c>
      <c r="F219" s="1565" t="n">
        <f aca="false">IF(Assm!$L$74=0,VLOOKUP($A219,Curves_Table,Escalation!$D$291),VLOOKUP($A219,Curves_Table,Escalation!$E$291))</f>
        <v>3.07813290157952</v>
      </c>
      <c r="G219" s="427" t="n">
        <f aca="false">IF($A219&lt;EE_Date,VLOOKUP($A219,Curves_Table,Escalation!$D$291),Exch)</f>
        <v>1.065</v>
      </c>
      <c r="H219" s="1596" t="n">
        <f aca="false">E219*F219/G219</f>
        <v>37105.6754842753</v>
      </c>
      <c r="I219" s="1540" t="n">
        <f aca="false">VLOOKUP($A219,Plant_Table,'Plant Operations'!$C$270)</f>
        <v>480</v>
      </c>
      <c r="J219" s="1575" t="n">
        <f aca="false">H219*I219/1000</f>
        <v>17810.7242324522</v>
      </c>
      <c r="K219" s="1565" t="n">
        <f aca="false">F219</f>
        <v>3.07813290157952</v>
      </c>
      <c r="L219" s="394" t="n">
        <f aca="false">J219/K219</f>
        <v>5786.21027809187</v>
      </c>
      <c r="M219" s="1579" t="str">
        <f aca="false">IF(MONTH($A219)=12,SUM(L208:L219)," ")</f>
        <v> </v>
      </c>
      <c r="O219" s="1597" t="n">
        <f aca="false">IF($A219&gt;Endyr,0,VLOOKUP($A219,Tariff_Table,Tariff!$H$33))</f>
        <v>6133.73</v>
      </c>
      <c r="P219" s="1565" t="n">
        <f aca="false">$AS219</f>
        <v>1.54280646123377</v>
      </c>
      <c r="Q219" s="1575" t="n">
        <f aca="false">O219*P219</f>
        <v>9463.15827546342</v>
      </c>
      <c r="R219" s="1565" t="n">
        <f aca="false">$F219</f>
        <v>3.07813290157952</v>
      </c>
      <c r="S219" s="427" t="n">
        <f aca="false">$G219</f>
        <v>1.065</v>
      </c>
      <c r="T219" s="1575" t="n">
        <f aca="false">Q219*R219/S219</f>
        <v>27351.0411648436</v>
      </c>
      <c r="U219" s="1540" t="n">
        <f aca="false">$I219</f>
        <v>480</v>
      </c>
      <c r="V219" s="1575" t="n">
        <f aca="false">T219*U219/1000</f>
        <v>13128.4997591249</v>
      </c>
      <c r="W219" s="1565" t="n">
        <f aca="false">R219</f>
        <v>3.07813290157952</v>
      </c>
      <c r="X219" s="394" t="n">
        <f aca="false">V219/W219</f>
        <v>4265.08541992718</v>
      </c>
      <c r="Y219" s="1579" t="str">
        <f aca="false">IF(MONTH($A219)=12,SUM(X208:X219)," ")</f>
        <v> </v>
      </c>
      <c r="AA219" s="1595" t="n">
        <f aca="false">IF($A219&gt;Endyr,0,VLOOKUP($A219,Tariff_Table,Tariff!$I$33))</f>
        <v>2.31</v>
      </c>
      <c r="AB219" s="1565" t="n">
        <f aca="false">$AS219</f>
        <v>1.54280646123377</v>
      </c>
      <c r="AC219" s="1596" t="n">
        <f aca="false">AA219*AB219</f>
        <v>3.56388292545001</v>
      </c>
      <c r="AD219" s="1565" t="n">
        <f aca="false">$F219</f>
        <v>3.07813290157952</v>
      </c>
      <c r="AE219" s="427" t="n">
        <f aca="false">$G219</f>
        <v>1.065</v>
      </c>
      <c r="AF219" s="1596" t="n">
        <f aca="false">AC219*AD219/AE219</f>
        <v>10.3005683476105</v>
      </c>
      <c r="AG219" s="397" t="n">
        <f aca="false">VLOOKUP($A219,Plant_Table,'Plant Operations'!$M$270)</f>
        <v>289336.32</v>
      </c>
      <c r="AH219" s="1575" t="n">
        <f aca="false">AF219*AG219/1000</f>
        <v>2980.32853960609</v>
      </c>
      <c r="AI219" s="1565" t="n">
        <f aca="false">AD219</f>
        <v>3.07813290157952</v>
      </c>
      <c r="AJ219" s="1566" t="n">
        <f aca="false">AH219/AI219</f>
        <v>968.226075643701</v>
      </c>
      <c r="AK219" s="1567" t="str">
        <f aca="false">IF(MONTH($A219)=12,SUM(AJ208:AJ219)," ")</f>
        <v> </v>
      </c>
      <c r="AM219" s="488" t="n">
        <f aca="false">IF($A219&gt;Endyr,0,VLOOKUP($A219,Tariff_Table,Tariff!$L$33))</f>
        <v>1.21</v>
      </c>
      <c r="AN219" s="1576" t="n">
        <f aca="false">VLOOKUP($A219,Curves_Table,Escalation!$Z$291)</f>
        <v>1.65495655653001</v>
      </c>
      <c r="AO219" s="1314" t="n">
        <f aca="false">AM219*AN219</f>
        <v>2.00249743340131</v>
      </c>
      <c r="AP219" s="1314" t="n">
        <f aca="false">IF($A219&gt;Endyr,0,VLOOKUP($A219,Tariff_Table,Tariff!$M$33))</f>
        <v>0.25</v>
      </c>
      <c r="AQ219" s="1314" t="n">
        <f aca="false">SUM(AO219,AP219)</f>
        <v>2.25249743340131</v>
      </c>
      <c r="AR219" s="1314" t="n">
        <f aca="false">SUM(AM219,AP219)</f>
        <v>1.46</v>
      </c>
      <c r="AS219" s="1598" t="n">
        <f aca="false">IF(AR219=0,0,AQ219/AR219)</f>
        <v>1.54280646123377</v>
      </c>
    </row>
    <row r="220" customFormat="false" ht="12.75" hidden="false" customHeight="false" outlineLevel="0" collapsed="false">
      <c r="A220" s="1538" t="n">
        <f aca="false">EDATE(A219,1)</f>
        <v>43282</v>
      </c>
      <c r="C220" s="1595" t="n">
        <f aca="false">IF($A220&gt;Endyr,0,VLOOKUP($A220,Tariff_Table,Tariff!$G$33))</f>
        <v>7429.43</v>
      </c>
      <c r="D220" s="1565" t="n">
        <f aca="false">VLOOKUP($A220,Curves_Table,Escalation!$V$291)</f>
        <v>1.72801332733687</v>
      </c>
      <c r="E220" s="1596" t="n">
        <f aca="false">C220*D220</f>
        <v>12838.1540545163</v>
      </c>
      <c r="F220" s="1565" t="n">
        <f aca="false">IF(Assm!$L$74=0,VLOOKUP($A220,Curves_Table,Escalation!$D$291),VLOOKUP($A220,Curves_Table,Escalation!$E$291))</f>
        <v>3.0832143547887</v>
      </c>
      <c r="G220" s="427" t="n">
        <f aca="false">IF($A220&lt;EE_Date,VLOOKUP($A220,Curves_Table,Escalation!$D$291),Exch)</f>
        <v>1.065</v>
      </c>
      <c r="H220" s="1596" t="n">
        <f aca="false">E220*F220/G220</f>
        <v>37166.9303942475</v>
      </c>
      <c r="I220" s="1540" t="n">
        <f aca="false">VLOOKUP($A220,Plant_Table,'Plant Operations'!$C$270)</f>
        <v>480</v>
      </c>
      <c r="J220" s="1575" t="n">
        <f aca="false">H220*I220/1000</f>
        <v>17840.1265892388</v>
      </c>
      <c r="K220" s="1565" t="n">
        <f aca="false">F220</f>
        <v>3.0832143547887</v>
      </c>
      <c r="L220" s="394" t="n">
        <f aca="false">J220/K220</f>
        <v>5786.21027809187</v>
      </c>
      <c r="M220" s="1579" t="str">
        <f aca="false">IF(MONTH($A220)=12,SUM(L209:L220)," ")</f>
        <v> </v>
      </c>
      <c r="O220" s="1597" t="n">
        <f aca="false">IF($A220&gt;Endyr,0,VLOOKUP($A220,Tariff_Table,Tariff!$H$33))</f>
        <v>6133.73</v>
      </c>
      <c r="P220" s="1565" t="n">
        <f aca="false">$AS220</f>
        <v>1.54280646123377</v>
      </c>
      <c r="Q220" s="1575" t="n">
        <f aca="false">O220*P220</f>
        <v>9463.15827546342</v>
      </c>
      <c r="R220" s="1565" t="n">
        <f aca="false">$F220</f>
        <v>3.0832143547887</v>
      </c>
      <c r="S220" s="427" t="n">
        <f aca="false">$G220</f>
        <v>1.065</v>
      </c>
      <c r="T220" s="1575" t="n">
        <f aca="false">Q220*R220/S220</f>
        <v>27396.1928981655</v>
      </c>
      <c r="U220" s="1540" t="n">
        <f aca="false">$I220</f>
        <v>480</v>
      </c>
      <c r="V220" s="1575" t="n">
        <f aca="false">T220*U220/1000</f>
        <v>13150.1725911195</v>
      </c>
      <c r="W220" s="1565" t="n">
        <f aca="false">R220</f>
        <v>3.0832143547887</v>
      </c>
      <c r="X220" s="394" t="n">
        <f aca="false">V220/W220</f>
        <v>4265.08541992718</v>
      </c>
      <c r="Y220" s="1579" t="str">
        <f aca="false">IF(MONTH($A220)=12,SUM(X209:X220)," ")</f>
        <v> </v>
      </c>
      <c r="AA220" s="1595" t="n">
        <f aca="false">IF($A220&gt;Endyr,0,VLOOKUP($A220,Tariff_Table,Tariff!$I$33))</f>
        <v>2.31</v>
      </c>
      <c r="AB220" s="1565" t="n">
        <f aca="false">$AS220</f>
        <v>1.54280646123377</v>
      </c>
      <c r="AC220" s="1596" t="n">
        <f aca="false">AA220*AB220</f>
        <v>3.56388292545001</v>
      </c>
      <c r="AD220" s="1565" t="n">
        <f aca="false">$F220</f>
        <v>3.0832143547887</v>
      </c>
      <c r="AE220" s="427" t="n">
        <f aca="false">$G220</f>
        <v>1.065</v>
      </c>
      <c r="AF220" s="1596" t="n">
        <f aca="false">AC220*AD220/AE220</f>
        <v>10.3175727648205</v>
      </c>
      <c r="AG220" s="397" t="n">
        <f aca="false">VLOOKUP($A220,Plant_Table,'Plant Operations'!$M$270)</f>
        <v>298980.864</v>
      </c>
      <c r="AH220" s="1575" t="n">
        <f aca="false">AF220*AG220/1000</f>
        <v>3084.7568196089</v>
      </c>
      <c r="AI220" s="1565" t="n">
        <f aca="false">AD220</f>
        <v>3.0832143547887</v>
      </c>
      <c r="AJ220" s="1566" t="n">
        <f aca="false">AH220/AI220</f>
        <v>1000.50027816516</v>
      </c>
      <c r="AK220" s="1567" t="str">
        <f aca="false">IF(MONTH($A220)=12,SUM(AJ209:AJ220)," ")</f>
        <v> </v>
      </c>
      <c r="AM220" s="488" t="n">
        <f aca="false">IF($A220&gt;Endyr,0,VLOOKUP($A220,Tariff_Table,Tariff!$L$33))</f>
        <v>1.21</v>
      </c>
      <c r="AN220" s="1576" t="n">
        <f aca="false">VLOOKUP($A220,Curves_Table,Escalation!$Z$291)</f>
        <v>1.65495655653001</v>
      </c>
      <c r="AO220" s="1314" t="n">
        <f aca="false">AM220*AN220</f>
        <v>2.00249743340131</v>
      </c>
      <c r="AP220" s="1314" t="n">
        <f aca="false">IF($A220&gt;Endyr,0,VLOOKUP($A220,Tariff_Table,Tariff!$M$33))</f>
        <v>0.25</v>
      </c>
      <c r="AQ220" s="1314" t="n">
        <f aca="false">SUM(AO220,AP220)</f>
        <v>2.25249743340131</v>
      </c>
      <c r="AR220" s="1314" t="n">
        <f aca="false">SUM(AM220,AP220)</f>
        <v>1.46</v>
      </c>
      <c r="AS220" s="1598" t="n">
        <f aca="false">IF(AR220=0,0,AQ220/AR220)</f>
        <v>1.54280646123377</v>
      </c>
    </row>
    <row r="221" customFormat="false" ht="12.75" hidden="false" customHeight="false" outlineLevel="0" collapsed="false">
      <c r="A221" s="1538" t="n">
        <f aca="false">EDATE(A220,1)</f>
        <v>43313</v>
      </c>
      <c r="C221" s="1595" t="n">
        <f aca="false">IF($A221&gt;Endyr,0,VLOOKUP($A221,Tariff_Table,Tariff!$G$33))</f>
        <v>7429.43</v>
      </c>
      <c r="D221" s="1565" t="n">
        <f aca="false">VLOOKUP($A221,Curves_Table,Escalation!$V$291)</f>
        <v>1.72801332733687</v>
      </c>
      <c r="E221" s="1596" t="n">
        <f aca="false">C221*D221</f>
        <v>12838.1540545163</v>
      </c>
      <c r="F221" s="1565" t="n">
        <f aca="false">IF(Assm!$L$74=0,VLOOKUP($A221,Curves_Table,Escalation!$D$291),VLOOKUP($A221,Curves_Table,Escalation!$E$291))</f>
        <v>3.08830419657873</v>
      </c>
      <c r="G221" s="427" t="n">
        <f aca="false">IF($A221&lt;EE_Date,VLOOKUP($A221,Curves_Table,Escalation!$D$291),Exch)</f>
        <v>1.065</v>
      </c>
      <c r="H221" s="1596" t="n">
        <f aca="false">E221*F221/G221</f>
        <v>37228.2864252461</v>
      </c>
      <c r="I221" s="1540" t="n">
        <f aca="false">VLOOKUP($A221,Plant_Table,'Plant Operations'!$C$270)</f>
        <v>480</v>
      </c>
      <c r="J221" s="1575" t="n">
        <f aca="false">H221*I221/1000</f>
        <v>17869.5774841181</v>
      </c>
      <c r="K221" s="1565" t="n">
        <f aca="false">F221</f>
        <v>3.08830419657873</v>
      </c>
      <c r="L221" s="394" t="n">
        <f aca="false">J221/K221</f>
        <v>5786.21027809187</v>
      </c>
      <c r="M221" s="1579" t="str">
        <f aca="false">IF(MONTH($A221)=12,SUM(L210:L221)," ")</f>
        <v> </v>
      </c>
      <c r="O221" s="1597" t="n">
        <f aca="false">IF($A221&gt;Endyr,0,VLOOKUP($A221,Tariff_Table,Tariff!$H$33))</f>
        <v>6133.73</v>
      </c>
      <c r="P221" s="1565" t="n">
        <f aca="false">$AS221</f>
        <v>1.54280646123377</v>
      </c>
      <c r="Q221" s="1575" t="n">
        <f aca="false">O221*P221</f>
        <v>9463.15827546342</v>
      </c>
      <c r="R221" s="1565" t="n">
        <f aca="false">$F221</f>
        <v>3.08830419657873</v>
      </c>
      <c r="S221" s="427" t="n">
        <f aca="false">$G221</f>
        <v>1.065</v>
      </c>
      <c r="T221" s="1575" t="n">
        <f aca="false">Q221*R221/S221</f>
        <v>27441.4191690164</v>
      </c>
      <c r="U221" s="1540" t="n">
        <f aca="false">$I221</f>
        <v>480</v>
      </c>
      <c r="V221" s="1575" t="n">
        <f aca="false">T221*U221/1000</f>
        <v>13171.8812011279</v>
      </c>
      <c r="W221" s="1565" t="n">
        <f aca="false">R221</f>
        <v>3.08830419657873</v>
      </c>
      <c r="X221" s="394" t="n">
        <f aca="false">V221/W221</f>
        <v>4265.08541992718</v>
      </c>
      <c r="Y221" s="1579" t="str">
        <f aca="false">IF(MONTH($A221)=12,SUM(X210:X221)," ")</f>
        <v> </v>
      </c>
      <c r="AA221" s="1595" t="n">
        <f aca="false">IF($A221&gt;Endyr,0,VLOOKUP($A221,Tariff_Table,Tariff!$I$33))</f>
        <v>2.31</v>
      </c>
      <c r="AB221" s="1565" t="n">
        <f aca="false">$AS221</f>
        <v>1.54280646123377</v>
      </c>
      <c r="AC221" s="1596" t="n">
        <f aca="false">AA221*AB221</f>
        <v>3.56388292545001</v>
      </c>
      <c r="AD221" s="1565" t="n">
        <f aca="false">$F221</f>
        <v>3.08830419657873</v>
      </c>
      <c r="AE221" s="427" t="n">
        <f aca="false">$G221</f>
        <v>1.065</v>
      </c>
      <c r="AF221" s="1596" t="n">
        <f aca="false">AC221*AD221/AE221</f>
        <v>10.334605253317</v>
      </c>
      <c r="AG221" s="397" t="n">
        <f aca="false">VLOOKUP($A221,Plant_Table,'Plant Operations'!$M$270)</f>
        <v>298980.864</v>
      </c>
      <c r="AH221" s="1575" t="n">
        <f aca="false">AF221*AG221/1000</f>
        <v>3089.84920773565</v>
      </c>
      <c r="AI221" s="1565" t="n">
        <f aca="false">AD221</f>
        <v>3.08830419657873</v>
      </c>
      <c r="AJ221" s="1566" t="n">
        <f aca="false">AH221/AI221</f>
        <v>1000.50027816516</v>
      </c>
      <c r="AK221" s="1567" t="str">
        <f aca="false">IF(MONTH($A221)=12,SUM(AJ210:AJ221)," ")</f>
        <v> </v>
      </c>
      <c r="AM221" s="488" t="n">
        <f aca="false">IF($A221&gt;Endyr,0,VLOOKUP($A221,Tariff_Table,Tariff!$L$33))</f>
        <v>1.21</v>
      </c>
      <c r="AN221" s="1576" t="n">
        <f aca="false">VLOOKUP($A221,Curves_Table,Escalation!$Z$291)</f>
        <v>1.65495655653001</v>
      </c>
      <c r="AO221" s="1314" t="n">
        <f aca="false">AM221*AN221</f>
        <v>2.00249743340131</v>
      </c>
      <c r="AP221" s="1314" t="n">
        <f aca="false">IF($A221&gt;Endyr,0,VLOOKUP($A221,Tariff_Table,Tariff!$M$33))</f>
        <v>0.25</v>
      </c>
      <c r="AQ221" s="1314" t="n">
        <f aca="false">SUM(AO221,AP221)</f>
        <v>2.25249743340131</v>
      </c>
      <c r="AR221" s="1314" t="n">
        <f aca="false">SUM(AM221,AP221)</f>
        <v>1.46</v>
      </c>
      <c r="AS221" s="1598" t="n">
        <f aca="false">IF(AR221=0,0,AQ221/AR221)</f>
        <v>1.54280646123377</v>
      </c>
    </row>
    <row r="222" customFormat="false" ht="12.75" hidden="false" customHeight="false" outlineLevel="0" collapsed="false">
      <c r="A222" s="1538" t="n">
        <f aca="false">EDATE(A221,1)</f>
        <v>43344</v>
      </c>
      <c r="C222" s="1595" t="n">
        <f aca="false">IF($A222&gt;Endyr,0,VLOOKUP($A222,Tariff_Table,Tariff!$G$33))</f>
        <v>7429.43</v>
      </c>
      <c r="D222" s="1565" t="n">
        <f aca="false">VLOOKUP($A222,Curves_Table,Escalation!$V$291)</f>
        <v>1.72801332733687</v>
      </c>
      <c r="E222" s="1596" t="n">
        <f aca="false">C222*D222</f>
        <v>12838.1540545163</v>
      </c>
      <c r="F222" s="1565" t="n">
        <f aca="false">IF(Assm!$L$74=0,VLOOKUP($A222,Curves_Table,Escalation!$D$291),VLOOKUP($A222,Curves_Table,Escalation!$E$291))</f>
        <v>3.09340244079768</v>
      </c>
      <c r="G222" s="427" t="n">
        <f aca="false">IF($A222&lt;EE_Date,VLOOKUP($A222,Curves_Table,Escalation!$D$291),Exch)</f>
        <v>1.065</v>
      </c>
      <c r="H222" s="1596" t="n">
        <f aca="false">E222*F222/G222</f>
        <v>37289.7437442043</v>
      </c>
      <c r="I222" s="1540" t="n">
        <f aca="false">VLOOKUP($A222,Plant_Table,'Plant Operations'!$C$270)</f>
        <v>480</v>
      </c>
      <c r="J222" s="1575" t="n">
        <f aca="false">H222*I222/1000</f>
        <v>17899.0769972181</v>
      </c>
      <c r="K222" s="1565" t="n">
        <f aca="false">F222</f>
        <v>3.09340244079768</v>
      </c>
      <c r="L222" s="394" t="n">
        <f aca="false">J222/K222</f>
        <v>5786.21027809187</v>
      </c>
      <c r="M222" s="1579" t="str">
        <f aca="false">IF(MONTH($A222)=12,SUM(L211:L222)," ")</f>
        <v> </v>
      </c>
      <c r="O222" s="1597" t="n">
        <f aca="false">IF($A222&gt;Endyr,0,VLOOKUP($A222,Tariff_Table,Tariff!$H$33))</f>
        <v>6133.73</v>
      </c>
      <c r="P222" s="1565" t="n">
        <f aca="false">$AS222</f>
        <v>1.54280646123377</v>
      </c>
      <c r="Q222" s="1575" t="n">
        <f aca="false">O222*P222</f>
        <v>9463.15827546342</v>
      </c>
      <c r="R222" s="1565" t="n">
        <f aca="false">$F222</f>
        <v>3.09340244079768</v>
      </c>
      <c r="S222" s="427" t="n">
        <f aca="false">$G222</f>
        <v>1.065</v>
      </c>
      <c r="T222" s="1575" t="n">
        <f aca="false">Q222*R222/S222</f>
        <v>27486.7201004445</v>
      </c>
      <c r="U222" s="1540" t="n">
        <f aca="false">$I222</f>
        <v>480</v>
      </c>
      <c r="V222" s="1575" t="n">
        <f aca="false">T222*U222/1000</f>
        <v>13193.6256482133</v>
      </c>
      <c r="W222" s="1565" t="n">
        <f aca="false">R222</f>
        <v>3.09340244079768</v>
      </c>
      <c r="X222" s="394" t="n">
        <f aca="false">V222/W222</f>
        <v>4265.08541992718</v>
      </c>
      <c r="Y222" s="1579" t="str">
        <f aca="false">IF(MONTH($A222)=12,SUM(X211:X222)," ")</f>
        <v> </v>
      </c>
      <c r="AA222" s="1595" t="n">
        <f aca="false">IF($A222&gt;Endyr,0,VLOOKUP($A222,Tariff_Table,Tariff!$I$33))</f>
        <v>2.31</v>
      </c>
      <c r="AB222" s="1565" t="n">
        <f aca="false">$AS222</f>
        <v>1.54280646123377</v>
      </c>
      <c r="AC222" s="1596" t="n">
        <f aca="false">AA222*AB222</f>
        <v>3.56388292545001</v>
      </c>
      <c r="AD222" s="1565" t="n">
        <f aca="false">$F222</f>
        <v>3.09340244079768</v>
      </c>
      <c r="AE222" s="427" t="n">
        <f aca="false">$G222</f>
        <v>1.065</v>
      </c>
      <c r="AF222" s="1596" t="n">
        <f aca="false">AC222*AD222/AE222</f>
        <v>10.3516658594406</v>
      </c>
      <c r="AG222" s="397" t="n">
        <f aca="false">VLOOKUP($A222,Plant_Table,'Plant Operations'!$M$270)</f>
        <v>289336.32</v>
      </c>
      <c r="AH222" s="1575" t="n">
        <f aca="false">AF222*AG222/1000</f>
        <v>2995.11290564019</v>
      </c>
      <c r="AI222" s="1565" t="n">
        <f aca="false">AD222</f>
        <v>3.09340244079768</v>
      </c>
      <c r="AJ222" s="1566" t="n">
        <f aca="false">AH222/AI222</f>
        <v>968.226075643701</v>
      </c>
      <c r="AK222" s="1567" t="str">
        <f aca="false">IF(MONTH($A222)=12,SUM(AJ211:AJ222)," ")</f>
        <v> </v>
      </c>
      <c r="AM222" s="488" t="n">
        <f aca="false">IF($A222&gt;Endyr,0,VLOOKUP($A222,Tariff_Table,Tariff!$L$33))</f>
        <v>1.21</v>
      </c>
      <c r="AN222" s="1576" t="n">
        <f aca="false">VLOOKUP($A222,Curves_Table,Escalation!$Z$291)</f>
        <v>1.65495655653001</v>
      </c>
      <c r="AO222" s="1314" t="n">
        <f aca="false">AM222*AN222</f>
        <v>2.00249743340131</v>
      </c>
      <c r="AP222" s="1314" t="n">
        <f aca="false">IF($A222&gt;Endyr,0,VLOOKUP($A222,Tariff_Table,Tariff!$M$33))</f>
        <v>0.25</v>
      </c>
      <c r="AQ222" s="1314" t="n">
        <f aca="false">SUM(AO222,AP222)</f>
        <v>2.25249743340131</v>
      </c>
      <c r="AR222" s="1314" t="n">
        <f aca="false">SUM(AM222,AP222)</f>
        <v>1.46</v>
      </c>
      <c r="AS222" s="1598" t="n">
        <f aca="false">IF(AR222=0,0,AQ222/AR222)</f>
        <v>1.54280646123377</v>
      </c>
    </row>
    <row r="223" customFormat="false" ht="12.75" hidden="false" customHeight="false" outlineLevel="0" collapsed="false">
      <c r="A223" s="1538" t="n">
        <f aca="false">EDATE(A222,1)</f>
        <v>43374</v>
      </c>
      <c r="C223" s="1595" t="n">
        <f aca="false">IF($A223&gt;Endyr,0,VLOOKUP($A223,Tariff_Table,Tariff!$G$33))</f>
        <v>7429.43</v>
      </c>
      <c r="D223" s="1565" t="n">
        <f aca="false">VLOOKUP($A223,Curves_Table,Escalation!$V$291)</f>
        <v>1.72801332733687</v>
      </c>
      <c r="E223" s="1596" t="n">
        <f aca="false">C223*D223</f>
        <v>12838.1540545163</v>
      </c>
      <c r="F223" s="1565" t="n">
        <f aca="false">IF(Assm!$L$74=0,VLOOKUP($A223,Curves_Table,Escalation!$D$291),VLOOKUP($A223,Curves_Table,Escalation!$E$291))</f>
        <v>3.09850910131647</v>
      </c>
      <c r="G223" s="427" t="n">
        <f aca="false">IF($A223&lt;EE_Date,VLOOKUP($A223,Curves_Table,Escalation!$D$291),Exch)</f>
        <v>1.065</v>
      </c>
      <c r="H223" s="1596" t="n">
        <f aca="false">E223*F223/G223</f>
        <v>37351.3025183304</v>
      </c>
      <c r="I223" s="1540" t="n">
        <f aca="false">VLOOKUP($A223,Plant_Table,'Plant Operations'!$C$270)</f>
        <v>480</v>
      </c>
      <c r="J223" s="1575" t="n">
        <f aca="false">H223*I223/1000</f>
        <v>17928.6252087986</v>
      </c>
      <c r="K223" s="1565" t="n">
        <f aca="false">F223</f>
        <v>3.09850910131647</v>
      </c>
      <c r="L223" s="394" t="n">
        <f aca="false">J223/K223</f>
        <v>5786.21027809187</v>
      </c>
      <c r="M223" s="1579" t="str">
        <f aca="false">IF(MONTH($A223)=12,SUM(L212:L223)," ")</f>
        <v> </v>
      </c>
      <c r="O223" s="1597" t="n">
        <f aca="false">IF($A223&gt;Endyr,0,VLOOKUP($A223,Tariff_Table,Tariff!$H$33))</f>
        <v>6133.73</v>
      </c>
      <c r="P223" s="1565" t="n">
        <f aca="false">$AS223</f>
        <v>1.54280646123377</v>
      </c>
      <c r="Q223" s="1575" t="n">
        <f aca="false">O223*P223</f>
        <v>9463.15827546342</v>
      </c>
      <c r="R223" s="1565" t="n">
        <f aca="false">$F223</f>
        <v>3.09850910131647</v>
      </c>
      <c r="S223" s="427" t="n">
        <f aca="false">$G223</f>
        <v>1.065</v>
      </c>
      <c r="T223" s="1575" t="n">
        <f aca="false">Q223*R223/S223</f>
        <v>27532.0958157012</v>
      </c>
      <c r="U223" s="1540" t="n">
        <f aca="false">$I223</f>
        <v>480</v>
      </c>
      <c r="V223" s="1575" t="n">
        <f aca="false">T223*U223/1000</f>
        <v>13215.4059915366</v>
      </c>
      <c r="W223" s="1565" t="n">
        <f aca="false">R223</f>
        <v>3.09850910131647</v>
      </c>
      <c r="X223" s="394" t="n">
        <f aca="false">V223/W223</f>
        <v>4265.08541992718</v>
      </c>
      <c r="Y223" s="1579" t="str">
        <f aca="false">IF(MONTH($A223)=12,SUM(X212:X223)," ")</f>
        <v> </v>
      </c>
      <c r="AA223" s="1595" t="n">
        <f aca="false">IF($A223&gt;Endyr,0,VLOOKUP($A223,Tariff_Table,Tariff!$I$33))</f>
        <v>2.31</v>
      </c>
      <c r="AB223" s="1565" t="n">
        <f aca="false">$AS223</f>
        <v>1.54280646123377</v>
      </c>
      <c r="AC223" s="1596" t="n">
        <f aca="false">AA223*AB223</f>
        <v>3.56388292545001</v>
      </c>
      <c r="AD223" s="1565" t="n">
        <f aca="false">$F223</f>
        <v>3.09850910131647</v>
      </c>
      <c r="AE223" s="427" t="n">
        <f aca="false">$G223</f>
        <v>1.065</v>
      </c>
      <c r="AF223" s="1596" t="n">
        <f aca="false">AC223*AD223/AE223</f>
        <v>10.3687546296087</v>
      </c>
      <c r="AG223" s="397" t="n">
        <f aca="false">VLOOKUP($A223,Plant_Table,'Plant Operations'!$M$270)</f>
        <v>298980.864</v>
      </c>
      <c r="AH223" s="1575" t="n">
        <f aca="false">AF223*AG223/1000</f>
        <v>3100.05921776441</v>
      </c>
      <c r="AI223" s="1565" t="n">
        <f aca="false">AD223</f>
        <v>3.09850910131647</v>
      </c>
      <c r="AJ223" s="1566" t="n">
        <f aca="false">AH223/AI223</f>
        <v>1000.50027816516</v>
      </c>
      <c r="AK223" s="1567" t="str">
        <f aca="false">IF(MONTH($A223)=12,SUM(AJ212:AJ223)," ")</f>
        <v> </v>
      </c>
      <c r="AM223" s="488" t="n">
        <f aca="false">IF($A223&gt;Endyr,0,VLOOKUP($A223,Tariff_Table,Tariff!$L$33))</f>
        <v>1.21</v>
      </c>
      <c r="AN223" s="1576" t="n">
        <f aca="false">VLOOKUP($A223,Curves_Table,Escalation!$Z$291)</f>
        <v>1.65495655653001</v>
      </c>
      <c r="AO223" s="1314" t="n">
        <f aca="false">AM223*AN223</f>
        <v>2.00249743340131</v>
      </c>
      <c r="AP223" s="1314" t="n">
        <f aca="false">IF($A223&gt;Endyr,0,VLOOKUP($A223,Tariff_Table,Tariff!$M$33))</f>
        <v>0.25</v>
      </c>
      <c r="AQ223" s="1314" t="n">
        <f aca="false">SUM(AO223,AP223)</f>
        <v>2.25249743340131</v>
      </c>
      <c r="AR223" s="1314" t="n">
        <f aca="false">SUM(AM223,AP223)</f>
        <v>1.46</v>
      </c>
      <c r="AS223" s="1598" t="n">
        <f aca="false">IF(AR223=0,0,AQ223/AR223)</f>
        <v>1.54280646123377</v>
      </c>
    </row>
    <row r="224" customFormat="false" ht="12.75" hidden="false" customHeight="false" outlineLevel="0" collapsed="false">
      <c r="A224" s="1538" t="n">
        <f aca="false">EDATE(A223,1)</f>
        <v>43405</v>
      </c>
      <c r="C224" s="1595" t="n">
        <f aca="false">IF($A224&gt;Endyr,0,VLOOKUP($A224,Tariff_Table,Tariff!$G$33))</f>
        <v>7429.43</v>
      </c>
      <c r="D224" s="1565" t="n">
        <f aca="false">VLOOKUP($A224,Curves_Table,Escalation!$V$291)</f>
        <v>1.72801332733687</v>
      </c>
      <c r="E224" s="1596" t="n">
        <f aca="false">C224*D224</f>
        <v>12838.1540545163</v>
      </c>
      <c r="F224" s="1565" t="n">
        <f aca="false">IF(Assm!$L$74=0,VLOOKUP($A224,Curves_Table,Escalation!$D$291),VLOOKUP($A224,Curves_Table,Escalation!$E$291))</f>
        <v>3.10362419202893</v>
      </c>
      <c r="G224" s="427" t="n">
        <f aca="false">IF($A224&lt;EE_Date,VLOOKUP($A224,Curves_Table,Escalation!$D$291),Exch)</f>
        <v>1.065</v>
      </c>
      <c r="H224" s="1596" t="n">
        <f aca="false">E224*F224/G224</f>
        <v>37412.9629151091</v>
      </c>
      <c r="I224" s="1540" t="n">
        <f aca="false">VLOOKUP($A224,Plant_Table,'Plant Operations'!$C$270)</f>
        <v>480</v>
      </c>
      <c r="J224" s="1575" t="n">
        <f aca="false">H224*I224/1000</f>
        <v>17958.2221992524</v>
      </c>
      <c r="K224" s="1565" t="n">
        <f aca="false">F224</f>
        <v>3.10362419202893</v>
      </c>
      <c r="L224" s="394" t="n">
        <f aca="false">J224/K224</f>
        <v>5786.21027809187</v>
      </c>
      <c r="M224" s="1579" t="str">
        <f aca="false">IF(MONTH($A224)=12,SUM(L213:L224)," ")</f>
        <v> </v>
      </c>
      <c r="O224" s="1597" t="n">
        <f aca="false">IF($A224&gt;Endyr,0,VLOOKUP($A224,Tariff_Table,Tariff!$H$33))</f>
        <v>6133.73</v>
      </c>
      <c r="P224" s="1565" t="n">
        <f aca="false">$AS224</f>
        <v>1.54280646123377</v>
      </c>
      <c r="Q224" s="1575" t="n">
        <f aca="false">O224*P224</f>
        <v>9463.15827546342</v>
      </c>
      <c r="R224" s="1565" t="n">
        <f aca="false">$F224</f>
        <v>3.10362419202893</v>
      </c>
      <c r="S224" s="427" t="n">
        <f aca="false">$G224</f>
        <v>1.065</v>
      </c>
      <c r="T224" s="1575" t="n">
        <f aca="false">Q224*R224/S224</f>
        <v>27577.5464382413</v>
      </c>
      <c r="U224" s="1540" t="n">
        <f aca="false">$I224</f>
        <v>480</v>
      </c>
      <c r="V224" s="1575" t="n">
        <f aca="false">T224*U224/1000</f>
        <v>13237.2222903558</v>
      </c>
      <c r="W224" s="1565" t="n">
        <f aca="false">R224</f>
        <v>3.10362419202893</v>
      </c>
      <c r="X224" s="394" t="n">
        <f aca="false">V224/W224</f>
        <v>4265.08541992718</v>
      </c>
      <c r="Y224" s="1579" t="str">
        <f aca="false">IF(MONTH($A224)=12,SUM(X213:X224)," ")</f>
        <v> </v>
      </c>
      <c r="AA224" s="1595" t="n">
        <f aca="false">IF($A224&gt;Endyr,0,VLOOKUP($A224,Tariff_Table,Tariff!$I$33))</f>
        <v>2.31</v>
      </c>
      <c r="AB224" s="1565" t="n">
        <f aca="false">$AS224</f>
        <v>1.54280646123377</v>
      </c>
      <c r="AC224" s="1596" t="n">
        <f aca="false">AA224*AB224</f>
        <v>3.56388292545001</v>
      </c>
      <c r="AD224" s="1565" t="n">
        <f aca="false">$F224</f>
        <v>3.10362419202893</v>
      </c>
      <c r="AE224" s="427" t="n">
        <f aca="false">$G224</f>
        <v>1.065</v>
      </c>
      <c r="AF224" s="1596" t="n">
        <f aca="false">AC224*AD224/AE224</f>
        <v>10.385871610315</v>
      </c>
      <c r="AG224" s="397" t="n">
        <f aca="false">VLOOKUP($A224,Plant_Table,'Plant Operations'!$M$270)</f>
        <v>289336.32</v>
      </c>
      <c r="AH224" s="1575" t="n">
        <f aca="false">AF224*AG224/1000</f>
        <v>3005.00987172102</v>
      </c>
      <c r="AI224" s="1565" t="n">
        <f aca="false">AD224</f>
        <v>3.10362419202893</v>
      </c>
      <c r="AJ224" s="1566" t="n">
        <f aca="false">AH224/AI224</f>
        <v>968.226075643701</v>
      </c>
      <c r="AK224" s="1567" t="str">
        <f aca="false">IF(MONTH($A224)=12,SUM(AJ213:AJ224)," ")</f>
        <v> </v>
      </c>
      <c r="AM224" s="488" t="n">
        <f aca="false">IF($A224&gt;Endyr,0,VLOOKUP($A224,Tariff_Table,Tariff!$L$33))</f>
        <v>1.21</v>
      </c>
      <c r="AN224" s="1576" t="n">
        <f aca="false">VLOOKUP($A224,Curves_Table,Escalation!$Z$291)</f>
        <v>1.65495655653001</v>
      </c>
      <c r="AO224" s="1314" t="n">
        <f aca="false">AM224*AN224</f>
        <v>2.00249743340131</v>
      </c>
      <c r="AP224" s="1314" t="n">
        <f aca="false">IF($A224&gt;Endyr,0,VLOOKUP($A224,Tariff_Table,Tariff!$M$33))</f>
        <v>0.25</v>
      </c>
      <c r="AQ224" s="1314" t="n">
        <f aca="false">SUM(AO224,AP224)</f>
        <v>2.25249743340131</v>
      </c>
      <c r="AR224" s="1314" t="n">
        <f aca="false">SUM(AM224,AP224)</f>
        <v>1.46</v>
      </c>
      <c r="AS224" s="1598" t="n">
        <f aca="false">IF(AR224=0,0,AQ224/AR224)</f>
        <v>1.54280646123377</v>
      </c>
    </row>
    <row r="225" customFormat="false" ht="12.75" hidden="false" customHeight="false" outlineLevel="0" collapsed="false">
      <c r="A225" s="1538" t="n">
        <f aca="false">EDATE(A224,1)</f>
        <v>43435</v>
      </c>
      <c r="C225" s="1595" t="n">
        <f aca="false">IF($A225&gt;Endyr,0,VLOOKUP($A225,Tariff_Table,Tariff!$G$33))</f>
        <v>7429.43</v>
      </c>
      <c r="D225" s="1565" t="n">
        <f aca="false">VLOOKUP($A225,Curves_Table,Escalation!$V$291)</f>
        <v>1.72801332733687</v>
      </c>
      <c r="E225" s="1596" t="n">
        <f aca="false">C225*D225</f>
        <v>12838.1540545163</v>
      </c>
      <c r="F225" s="1565" t="n">
        <f aca="false">IF(Assm!$L$74=0,VLOOKUP($A225,Curves_Table,Escalation!$D$291),VLOOKUP($A225,Curves_Table,Escalation!$E$291))</f>
        <v>3.10874772685181</v>
      </c>
      <c r="G225" s="427" t="n">
        <f aca="false">IF($A225&lt;EE_Date,VLOOKUP($A225,Curves_Table,Escalation!$D$291),Exch)</f>
        <v>1.065</v>
      </c>
      <c r="H225" s="1596" t="n">
        <f aca="false">E225*F225/G225</f>
        <v>37474.7251023014</v>
      </c>
      <c r="I225" s="1540" t="n">
        <f aca="false">VLOOKUP($A225,Plant_Table,'Plant Operations'!$C$270)</f>
        <v>480</v>
      </c>
      <c r="J225" s="1575" t="n">
        <f aca="false">H225*I225/1000</f>
        <v>17987.8680491047</v>
      </c>
      <c r="K225" s="1565" t="n">
        <f aca="false">F225</f>
        <v>3.10874772685181</v>
      </c>
      <c r="L225" s="394" t="n">
        <f aca="false">J225/K225</f>
        <v>5786.21027809187</v>
      </c>
      <c r="M225" s="1579" t="n">
        <f aca="false">IF(MONTH($A225)=12,SUM(L214:L225)," ")</f>
        <v>68798.7938562545</v>
      </c>
      <c r="O225" s="1597" t="n">
        <f aca="false">IF($A225&gt;Endyr,0,VLOOKUP($A225,Tariff_Table,Tariff!$H$33))</f>
        <v>6133.73</v>
      </c>
      <c r="P225" s="1565" t="n">
        <f aca="false">$AS225</f>
        <v>1.54280646123377</v>
      </c>
      <c r="Q225" s="1575" t="n">
        <f aca="false">O225*P225</f>
        <v>9463.15827546342</v>
      </c>
      <c r="R225" s="1565" t="n">
        <f aca="false">$F225</f>
        <v>3.10874772685181</v>
      </c>
      <c r="S225" s="427" t="n">
        <f aca="false">$G225</f>
        <v>1.065</v>
      </c>
      <c r="T225" s="1575" t="n">
        <f aca="false">Q225*R225/S225</f>
        <v>27623.0720917237</v>
      </c>
      <c r="U225" s="1540" t="n">
        <f aca="false">$I225</f>
        <v>480</v>
      </c>
      <c r="V225" s="1575" t="n">
        <f aca="false">T225*U225/1000</f>
        <v>13259.0746040274</v>
      </c>
      <c r="W225" s="1565" t="n">
        <f aca="false">R225</f>
        <v>3.10874772685181</v>
      </c>
      <c r="X225" s="394" t="n">
        <f aca="false">V225/W225</f>
        <v>4265.08541992718</v>
      </c>
      <c r="Y225" s="1579" t="n">
        <f aca="false">IF(MONTH($A225)=12,SUM(X214:X225)," ")</f>
        <v>50739.5984845895</v>
      </c>
      <c r="AA225" s="1595" t="n">
        <f aca="false">IF($A225&gt;Endyr,0,VLOOKUP($A225,Tariff_Table,Tariff!$I$33))</f>
        <v>2.31</v>
      </c>
      <c r="AB225" s="1565" t="n">
        <f aca="false">$AS225</f>
        <v>1.54280646123377</v>
      </c>
      <c r="AC225" s="1596" t="n">
        <f aca="false">AA225*AB225</f>
        <v>3.56388292545001</v>
      </c>
      <c r="AD225" s="1565" t="n">
        <f aca="false">$F225</f>
        <v>3.10874772685181</v>
      </c>
      <c r="AE225" s="427" t="n">
        <f aca="false">$G225</f>
        <v>1.065</v>
      </c>
      <c r="AF225" s="1596" t="n">
        <f aca="false">AC225*AD225/AE225</f>
        <v>10.4030168481302</v>
      </c>
      <c r="AG225" s="397" t="n">
        <f aca="false">VLOOKUP($A225,Plant_Table,'Plant Operations'!$M$270)</f>
        <v>298980.864</v>
      </c>
      <c r="AH225" s="1575" t="n">
        <f aca="false">AF225*AG225/1000</f>
        <v>3110.30296546053</v>
      </c>
      <c r="AI225" s="1565" t="n">
        <f aca="false">AD225</f>
        <v>3.10874772685181</v>
      </c>
      <c r="AJ225" s="1566" t="n">
        <f aca="false">AH225/AI225</f>
        <v>1000.50027816516</v>
      </c>
      <c r="AK225" s="1567" t="n">
        <f aca="false">IF(MONTH($A225)=12,SUM(AJ214:AJ225)," ")</f>
        <v>11681.2633681139</v>
      </c>
      <c r="AM225" s="488" t="n">
        <f aca="false">IF($A225&gt;Endyr,0,VLOOKUP($A225,Tariff_Table,Tariff!$L$33))</f>
        <v>1.21</v>
      </c>
      <c r="AN225" s="1576" t="n">
        <f aca="false">VLOOKUP($A225,Curves_Table,Escalation!$Z$291)</f>
        <v>1.65495655653001</v>
      </c>
      <c r="AO225" s="1314" t="n">
        <f aca="false">AM225*AN225</f>
        <v>2.00249743340131</v>
      </c>
      <c r="AP225" s="1314" t="n">
        <f aca="false">IF($A225&gt;Endyr,0,VLOOKUP($A225,Tariff_Table,Tariff!$M$33))</f>
        <v>0.25</v>
      </c>
      <c r="AQ225" s="1314" t="n">
        <f aca="false">SUM(AO225,AP225)</f>
        <v>2.25249743340131</v>
      </c>
      <c r="AR225" s="1314" t="n">
        <f aca="false">SUM(AM225,AP225)</f>
        <v>1.46</v>
      </c>
      <c r="AS225" s="1598" t="n">
        <f aca="false">IF(AR225=0,0,AQ225/AR225)</f>
        <v>1.54280646123377</v>
      </c>
    </row>
    <row r="226" customFormat="false" ht="12.75" hidden="false" customHeight="false" outlineLevel="0" collapsed="false">
      <c r="A226" s="1538" t="n">
        <f aca="false">EDATE(A225,1)</f>
        <v>43466</v>
      </c>
      <c r="C226" s="1595" t="n">
        <f aca="false">IF($A226&gt;Endyr,0,VLOOKUP($A226,Tariff_Table,Tariff!$G$33))</f>
        <v>7429.43</v>
      </c>
      <c r="D226" s="1565" t="n">
        <f aca="false">VLOOKUP($A226,Curves_Table,Escalation!$V$291)</f>
        <v>1.72801332733687</v>
      </c>
      <c r="E226" s="1596" t="n">
        <f aca="false">C226*D226</f>
        <v>12838.1540545163</v>
      </c>
      <c r="F226" s="1565" t="n">
        <f aca="false">IF(Assm!$L$74=0,VLOOKUP($A226,Curves_Table,Escalation!$D$291),VLOOKUP($A226,Curves_Table,Escalation!$E$291))</f>
        <v>3.11389218833154</v>
      </c>
      <c r="G226" s="427" t="n">
        <f aca="false">IF($A226&lt;EE_Date,VLOOKUP($A226,Curves_Table,Escalation!$D$291),Exch)</f>
        <v>1.065</v>
      </c>
      <c r="H226" s="1596" t="n">
        <f aca="false">E226*F226/G226</f>
        <v>37536.7395520707</v>
      </c>
      <c r="I226" s="1540" t="n">
        <f aca="false">VLOOKUP($A226,Plant_Table,'Plant Operations'!$C$270)</f>
        <v>480</v>
      </c>
      <c r="J226" s="1575" t="n">
        <f aca="false">H226*I226/1000</f>
        <v>18017.6349849939</v>
      </c>
      <c r="K226" s="1565" t="n">
        <f aca="false">F226</f>
        <v>3.11389218833154</v>
      </c>
      <c r="L226" s="394" t="n">
        <f aca="false">J226/K226</f>
        <v>5786.21027809187</v>
      </c>
      <c r="M226" s="1579" t="str">
        <f aca="false">IF(MONTH($A226)=12,SUM(L215:L226)," ")</f>
        <v> </v>
      </c>
      <c r="O226" s="1597" t="n">
        <f aca="false">IF($A226&gt;Endyr,0,VLOOKUP($A226,Tariff_Table,Tariff!$H$33))</f>
        <v>6133.73</v>
      </c>
      <c r="P226" s="1565" t="n">
        <f aca="false">$AS226</f>
        <v>1.54280646123377</v>
      </c>
      <c r="Q226" s="1575" t="n">
        <f aca="false">O226*P226</f>
        <v>9463.15827546342</v>
      </c>
      <c r="R226" s="1565" t="n">
        <f aca="false">$F226</f>
        <v>3.11389218833154</v>
      </c>
      <c r="S226" s="427" t="n">
        <f aca="false">$G226</f>
        <v>1.065</v>
      </c>
      <c r="T226" s="1575" t="n">
        <f aca="false">Q226*R226/S226</f>
        <v>27668.7836909958</v>
      </c>
      <c r="U226" s="1540" t="n">
        <f aca="false">$I226</f>
        <v>480</v>
      </c>
      <c r="V226" s="1575" t="n">
        <f aca="false">T226*U226/1000</f>
        <v>13281.016171678</v>
      </c>
      <c r="W226" s="1565" t="n">
        <f aca="false">R226</f>
        <v>3.11389218833154</v>
      </c>
      <c r="X226" s="394" t="n">
        <f aca="false">V226/W226</f>
        <v>4265.08541992718</v>
      </c>
      <c r="Y226" s="1579" t="str">
        <f aca="false">IF(MONTH($A226)=12,SUM(X215:X226)," ")</f>
        <v> </v>
      </c>
      <c r="AA226" s="1595" t="n">
        <f aca="false">IF($A226&gt;Endyr,0,VLOOKUP($A226,Tariff_Table,Tariff!$I$33))</f>
        <v>2.31</v>
      </c>
      <c r="AB226" s="1565" t="n">
        <f aca="false">$AS226</f>
        <v>1.54280646123377</v>
      </c>
      <c r="AC226" s="1596" t="n">
        <f aca="false">AA226*AB226</f>
        <v>3.56388292545001</v>
      </c>
      <c r="AD226" s="1565" t="n">
        <f aca="false">$F226</f>
        <v>3.11389218833154</v>
      </c>
      <c r="AE226" s="427" t="n">
        <f aca="false">$G226</f>
        <v>1.065</v>
      </c>
      <c r="AF226" s="1596" t="n">
        <f aca="false">AC226*AD226/AE226</f>
        <v>10.42023211426</v>
      </c>
      <c r="AG226" s="397" t="n">
        <f aca="false">VLOOKUP($A226,Plant_Table,'Plant Operations'!$M$270)</f>
        <v>298980.864</v>
      </c>
      <c r="AH226" s="1575" t="n">
        <f aca="false">AF226*AG226/1000</f>
        <v>3115.45000060201</v>
      </c>
      <c r="AI226" s="1565" t="n">
        <f aca="false">AD226</f>
        <v>3.11389218833154</v>
      </c>
      <c r="AJ226" s="1566" t="n">
        <f aca="false">AH226/AI226</f>
        <v>1000.50027816516</v>
      </c>
      <c r="AK226" s="1567" t="str">
        <f aca="false">IF(MONTH($A226)=12,SUM(AJ215:AJ226)," ")</f>
        <v> </v>
      </c>
      <c r="AM226" s="488" t="n">
        <f aca="false">IF($A226&gt;Endyr,0,VLOOKUP($A226,Tariff_Table,Tariff!$L$33))</f>
        <v>1.21</v>
      </c>
      <c r="AN226" s="1576" t="n">
        <f aca="false">VLOOKUP($A226,Curves_Table,Escalation!$Z$291)</f>
        <v>1.65495655653001</v>
      </c>
      <c r="AO226" s="1314" t="n">
        <f aca="false">AM226*AN226</f>
        <v>2.00249743340131</v>
      </c>
      <c r="AP226" s="1314" t="n">
        <f aca="false">IF($A226&gt;Endyr,0,VLOOKUP($A226,Tariff_Table,Tariff!$M$33))</f>
        <v>0.25</v>
      </c>
      <c r="AQ226" s="1314" t="n">
        <f aca="false">SUM(AO226,AP226)</f>
        <v>2.25249743340131</v>
      </c>
      <c r="AR226" s="1314" t="n">
        <f aca="false">SUM(AM226,AP226)</f>
        <v>1.46</v>
      </c>
      <c r="AS226" s="1598" t="n">
        <f aca="false">IF(AR226=0,0,AQ226/AR226)</f>
        <v>1.54280646123377</v>
      </c>
    </row>
    <row r="227" customFormat="false" ht="12.75" hidden="false" customHeight="false" outlineLevel="0" collapsed="false">
      <c r="A227" s="1538" t="n">
        <f aca="false">EDATE(A226,1)</f>
        <v>43497</v>
      </c>
      <c r="C227" s="1595" t="n">
        <f aca="false">IF($A227&gt;Endyr,0,VLOOKUP($A227,Tariff_Table,Tariff!$G$33))</f>
        <v>7429.43</v>
      </c>
      <c r="D227" s="1565" t="n">
        <f aca="false">VLOOKUP($A227,Curves_Table,Escalation!$V$291)</f>
        <v>1.72801332733687</v>
      </c>
      <c r="E227" s="1596" t="n">
        <f aca="false">C227*D227</f>
        <v>12838.1540545163</v>
      </c>
      <c r="F227" s="1565" t="n">
        <f aca="false">IF(Assm!$L$74=0,VLOOKUP($A227,Curves_Table,Escalation!$D$291),VLOOKUP($A227,Curves_Table,Escalation!$E$291))</f>
        <v>3.11904516304111</v>
      </c>
      <c r="G227" s="427" t="n">
        <f aca="false">IF($A227&lt;EE_Date,VLOOKUP($A227,Curves_Table,Escalation!$D$291),Exch)</f>
        <v>1.065</v>
      </c>
      <c r="H227" s="1596" t="n">
        <f aca="false">E227*F227/G227</f>
        <v>37598.8566254609</v>
      </c>
      <c r="I227" s="1540" t="n">
        <f aca="false">VLOOKUP($A227,Plant_Table,'Plant Operations'!$C$270)</f>
        <v>480</v>
      </c>
      <c r="J227" s="1575" t="n">
        <f aca="false">H227*I227/1000</f>
        <v>18047.4511802212</v>
      </c>
      <c r="K227" s="1565" t="n">
        <f aca="false">F227</f>
        <v>3.11904516304111</v>
      </c>
      <c r="L227" s="394" t="n">
        <f aca="false">J227/K227</f>
        <v>5786.21027809187</v>
      </c>
      <c r="M227" s="1579" t="str">
        <f aca="false">IF(MONTH($A227)=12,SUM(L216:L227)," ")</f>
        <v> </v>
      </c>
      <c r="O227" s="1597" t="n">
        <f aca="false">IF($A227&gt;Endyr,0,VLOOKUP($A227,Tariff_Table,Tariff!$H$33))</f>
        <v>6133.73</v>
      </c>
      <c r="P227" s="1565" t="n">
        <f aca="false">$AS227</f>
        <v>1.54280646123377</v>
      </c>
      <c r="Q227" s="1575" t="n">
        <f aca="false">O227*P227</f>
        <v>9463.15827546342</v>
      </c>
      <c r="R227" s="1565" t="n">
        <f aca="false">$F227</f>
        <v>3.11904516304111</v>
      </c>
      <c r="S227" s="427" t="n">
        <f aca="false">$G227</f>
        <v>1.065</v>
      </c>
      <c r="T227" s="1575" t="n">
        <f aca="false">Q227*R227/S227</f>
        <v>27714.5709353772</v>
      </c>
      <c r="U227" s="1540" t="n">
        <f aca="false">$I227</f>
        <v>480</v>
      </c>
      <c r="V227" s="1575" t="n">
        <f aca="false">T227*U227/1000</f>
        <v>13302.994048981</v>
      </c>
      <c r="W227" s="1565" t="n">
        <f aca="false">R227</f>
        <v>3.11904516304111</v>
      </c>
      <c r="X227" s="394" t="n">
        <f aca="false">V227/W227</f>
        <v>4265.08541992718</v>
      </c>
      <c r="Y227" s="1579" t="str">
        <f aca="false">IF(MONTH($A227)=12,SUM(X216:X227)," ")</f>
        <v> </v>
      </c>
      <c r="AA227" s="1595" t="n">
        <f aca="false">IF($A227&gt;Endyr,0,VLOOKUP($A227,Tariff_Table,Tariff!$I$33))</f>
        <v>2.31</v>
      </c>
      <c r="AB227" s="1565" t="n">
        <f aca="false">$AS227</f>
        <v>1.54280646123377</v>
      </c>
      <c r="AC227" s="1596" t="n">
        <f aca="false">AA227*AB227</f>
        <v>3.56388292545001</v>
      </c>
      <c r="AD227" s="1565" t="n">
        <f aca="false">$F227</f>
        <v>3.11904516304111</v>
      </c>
      <c r="AE227" s="427" t="n">
        <f aca="false">$G227</f>
        <v>1.065</v>
      </c>
      <c r="AF227" s="1596" t="n">
        <f aca="false">AC227*AD227/AE227</f>
        <v>10.4374758687978</v>
      </c>
      <c r="AG227" s="397" t="n">
        <f aca="false">VLOOKUP($A227,Plant_Table,'Plant Operations'!$M$270)</f>
        <v>270047.232</v>
      </c>
      <c r="AH227" s="1575" t="n">
        <f aca="false">AF227*AG227/1000</f>
        <v>2818.61146743565</v>
      </c>
      <c r="AI227" s="1565" t="n">
        <f aca="false">AD227</f>
        <v>3.11904516304111</v>
      </c>
      <c r="AJ227" s="1566" t="n">
        <f aca="false">AH227/AI227</f>
        <v>903.677670600787</v>
      </c>
      <c r="AK227" s="1567" t="str">
        <f aca="false">IF(MONTH($A227)=12,SUM(AJ216:AJ227)," ")</f>
        <v> </v>
      </c>
      <c r="AM227" s="488" t="n">
        <f aca="false">IF($A227&gt;Endyr,0,VLOOKUP($A227,Tariff_Table,Tariff!$L$33))</f>
        <v>1.21</v>
      </c>
      <c r="AN227" s="1576" t="n">
        <f aca="false">VLOOKUP($A227,Curves_Table,Escalation!$Z$291)</f>
        <v>1.65495655653001</v>
      </c>
      <c r="AO227" s="1314" t="n">
        <f aca="false">AM227*AN227</f>
        <v>2.00249743340131</v>
      </c>
      <c r="AP227" s="1314" t="n">
        <f aca="false">IF($A227&gt;Endyr,0,VLOOKUP($A227,Tariff_Table,Tariff!$M$33))</f>
        <v>0.25</v>
      </c>
      <c r="AQ227" s="1314" t="n">
        <f aca="false">SUM(AO227,AP227)</f>
        <v>2.25249743340131</v>
      </c>
      <c r="AR227" s="1314" t="n">
        <f aca="false">SUM(AM227,AP227)</f>
        <v>1.46</v>
      </c>
      <c r="AS227" s="1598" t="n">
        <f aca="false">IF(AR227=0,0,AQ227/AR227)</f>
        <v>1.54280646123377</v>
      </c>
    </row>
    <row r="228" customFormat="false" ht="12.75" hidden="false" customHeight="false" outlineLevel="0" collapsed="false">
      <c r="A228" s="1538" t="n">
        <f aca="false">EDATE(A227,1)</f>
        <v>43525</v>
      </c>
      <c r="C228" s="1595" t="n">
        <f aca="false">IF($A228&gt;Endyr,0,VLOOKUP($A228,Tariff_Table,Tariff!$G$33))</f>
        <v>7429.43</v>
      </c>
      <c r="D228" s="1565" t="n">
        <f aca="false">VLOOKUP($A228,Curves_Table,Escalation!$V$291)</f>
        <v>1.72801332733687</v>
      </c>
      <c r="E228" s="1596" t="n">
        <f aca="false">C228*D228</f>
        <v>12838.1540545163</v>
      </c>
      <c r="F228" s="1565" t="n">
        <f aca="false">IF(Assm!$L$74=0,VLOOKUP($A228,Curves_Table,Escalation!$D$291),VLOOKUP($A228,Curves_Table,Escalation!$E$291))</f>
        <v>3.12420666506851</v>
      </c>
      <c r="G228" s="427" t="n">
        <f aca="false">IF($A228&lt;EE_Date,VLOOKUP($A228,Curves_Table,Escalation!$D$291),Exch)</f>
        <v>1.065</v>
      </c>
      <c r="H228" s="1596" t="n">
        <f aca="false">E228*F228/G228</f>
        <v>37661.076492297</v>
      </c>
      <c r="I228" s="1540" t="n">
        <f aca="false">VLOOKUP($A228,Plant_Table,'Plant Operations'!$C$270)</f>
        <v>480</v>
      </c>
      <c r="J228" s="1575" t="n">
        <f aca="false">H228*I228/1000</f>
        <v>18077.3167163026</v>
      </c>
      <c r="K228" s="1565" t="n">
        <f aca="false">F228</f>
        <v>3.12420666506851</v>
      </c>
      <c r="L228" s="394" t="n">
        <f aca="false">J228/K228</f>
        <v>5786.21027809187</v>
      </c>
      <c r="M228" s="1579" t="str">
        <f aca="false">IF(MONTH($A228)=12,SUM(L217:L228)," ")</f>
        <v> </v>
      </c>
      <c r="O228" s="1597" t="n">
        <f aca="false">IF($A228&gt;Endyr,0,VLOOKUP($A228,Tariff_Table,Tariff!$H$33))</f>
        <v>6133.73</v>
      </c>
      <c r="P228" s="1565" t="n">
        <f aca="false">$AS228</f>
        <v>1.54280646123377</v>
      </c>
      <c r="Q228" s="1575" t="n">
        <f aca="false">O228*P228</f>
        <v>9463.15827546342</v>
      </c>
      <c r="R228" s="1565" t="n">
        <f aca="false">$F228</f>
        <v>3.12420666506851</v>
      </c>
      <c r="S228" s="427" t="n">
        <f aca="false">$G228</f>
        <v>1.065</v>
      </c>
      <c r="T228" s="1575" t="n">
        <f aca="false">Q228*R228/S228</f>
        <v>27760.433950048</v>
      </c>
      <c r="U228" s="1540" t="n">
        <f aca="false">$I228</f>
        <v>480</v>
      </c>
      <c r="V228" s="1575" t="n">
        <f aca="false">T228*U228/1000</f>
        <v>13325.008296023</v>
      </c>
      <c r="W228" s="1565" t="n">
        <f aca="false">R228</f>
        <v>3.12420666506851</v>
      </c>
      <c r="X228" s="394" t="n">
        <f aca="false">V228/W228</f>
        <v>4265.08541992718</v>
      </c>
      <c r="Y228" s="1579" t="str">
        <f aca="false">IF(MONTH($A228)=12,SUM(X217:X228)," ")</f>
        <v> </v>
      </c>
      <c r="AA228" s="1595" t="n">
        <f aca="false">IF($A228&gt;Endyr,0,VLOOKUP($A228,Tariff_Table,Tariff!$I$33))</f>
        <v>2.31</v>
      </c>
      <c r="AB228" s="1565" t="n">
        <f aca="false">$AS228</f>
        <v>1.54280646123377</v>
      </c>
      <c r="AC228" s="1596" t="n">
        <f aca="false">AA228*AB228</f>
        <v>3.56388292545001</v>
      </c>
      <c r="AD228" s="1565" t="n">
        <f aca="false">$F228</f>
        <v>3.12420666506851</v>
      </c>
      <c r="AE228" s="427" t="n">
        <f aca="false">$G228</f>
        <v>1.065</v>
      </c>
      <c r="AF228" s="1596" t="n">
        <f aca="false">AC228*AD228/AE228</f>
        <v>10.4547481588871</v>
      </c>
      <c r="AG228" s="397" t="n">
        <f aca="false">VLOOKUP($A228,Plant_Table,'Plant Operations'!$M$270)</f>
        <v>298980.864</v>
      </c>
      <c r="AH228" s="1575" t="n">
        <f aca="false">AF228*AG228/1000</f>
        <v>3125.76963744649</v>
      </c>
      <c r="AI228" s="1565" t="n">
        <f aca="false">AD228</f>
        <v>3.12420666506851</v>
      </c>
      <c r="AJ228" s="1566" t="n">
        <f aca="false">AH228/AI228</f>
        <v>1000.50027816516</v>
      </c>
      <c r="AK228" s="1567" t="str">
        <f aca="false">IF(MONTH($A228)=12,SUM(AJ217:AJ228)," ")</f>
        <v> </v>
      </c>
      <c r="AM228" s="488" t="n">
        <f aca="false">IF($A228&gt;Endyr,0,VLOOKUP($A228,Tariff_Table,Tariff!$L$33))</f>
        <v>1.21</v>
      </c>
      <c r="AN228" s="1576" t="n">
        <f aca="false">VLOOKUP($A228,Curves_Table,Escalation!$Z$291)</f>
        <v>1.65495655653001</v>
      </c>
      <c r="AO228" s="1314" t="n">
        <f aca="false">AM228*AN228</f>
        <v>2.00249743340131</v>
      </c>
      <c r="AP228" s="1314" t="n">
        <f aca="false">IF($A228&gt;Endyr,0,VLOOKUP($A228,Tariff_Table,Tariff!$M$33))</f>
        <v>0.25</v>
      </c>
      <c r="AQ228" s="1314" t="n">
        <f aca="false">SUM(AO228,AP228)</f>
        <v>2.25249743340131</v>
      </c>
      <c r="AR228" s="1314" t="n">
        <f aca="false">SUM(AM228,AP228)</f>
        <v>1.46</v>
      </c>
      <c r="AS228" s="1598" t="n">
        <f aca="false">IF(AR228=0,0,AQ228/AR228)</f>
        <v>1.54280646123377</v>
      </c>
    </row>
    <row r="229" customFormat="false" ht="12.75" hidden="false" customHeight="false" outlineLevel="0" collapsed="false">
      <c r="A229" s="1538" t="n">
        <f aca="false">EDATE(A228,1)</f>
        <v>43556</v>
      </c>
      <c r="C229" s="1595" t="n">
        <f aca="false">IF($A229&gt;Endyr,0,VLOOKUP($A229,Tariff_Table,Tariff!$G$33))</f>
        <v>7429.43</v>
      </c>
      <c r="D229" s="1565" t="n">
        <f aca="false">VLOOKUP($A229,Curves_Table,Escalation!$V$291)</f>
        <v>1.72801332733687</v>
      </c>
      <c r="E229" s="1596" t="n">
        <f aca="false">C229*D229</f>
        <v>12838.1540545163</v>
      </c>
      <c r="F229" s="1565" t="n">
        <f aca="false">IF(Assm!$L$74=0,VLOOKUP($A229,Curves_Table,Escalation!$D$291),VLOOKUP($A229,Curves_Table,Escalation!$E$291))</f>
        <v>3.12937670852503</v>
      </c>
      <c r="G229" s="427" t="n">
        <f aca="false">IF($A229&lt;EE_Date,VLOOKUP($A229,Curves_Table,Escalation!$D$291),Exch)</f>
        <v>1.065</v>
      </c>
      <c r="H229" s="1596" t="n">
        <f aca="false">E229*F229/G229</f>
        <v>37723.3993226851</v>
      </c>
      <c r="I229" s="1540" t="n">
        <f aca="false">VLOOKUP($A229,Plant_Table,'Plant Operations'!$C$270)</f>
        <v>480</v>
      </c>
      <c r="J229" s="1575" t="n">
        <f aca="false">H229*I229/1000</f>
        <v>18107.2316748888</v>
      </c>
      <c r="K229" s="1565" t="n">
        <f aca="false">F229</f>
        <v>3.12937670852503</v>
      </c>
      <c r="L229" s="394" t="n">
        <f aca="false">J229/K229</f>
        <v>5786.21027809187</v>
      </c>
      <c r="M229" s="1579" t="str">
        <f aca="false">IF(MONTH($A229)=12,SUM(L218:L229)," ")</f>
        <v> </v>
      </c>
      <c r="O229" s="1597" t="n">
        <f aca="false">IF($A229&gt;Endyr,0,VLOOKUP($A229,Tariff_Table,Tariff!$H$33))</f>
        <v>6133.73</v>
      </c>
      <c r="P229" s="1565" t="n">
        <f aca="false">$AS229</f>
        <v>1.54280646123377</v>
      </c>
      <c r="Q229" s="1575" t="n">
        <f aca="false">O229*P229</f>
        <v>9463.15827546342</v>
      </c>
      <c r="R229" s="1565" t="n">
        <f aca="false">$F229</f>
        <v>3.12937670852503</v>
      </c>
      <c r="S229" s="427" t="n">
        <f aca="false">$G229</f>
        <v>1.065</v>
      </c>
      <c r="T229" s="1575" t="n">
        <f aca="false">Q229*R229/S229</f>
        <v>27806.3728603954</v>
      </c>
      <c r="U229" s="1540" t="n">
        <f aca="false">$I229</f>
        <v>480</v>
      </c>
      <c r="V229" s="1575" t="n">
        <f aca="false">T229*U229/1000</f>
        <v>13347.0589729898</v>
      </c>
      <c r="W229" s="1565" t="n">
        <f aca="false">R229</f>
        <v>3.12937670852503</v>
      </c>
      <c r="X229" s="394" t="n">
        <f aca="false">V229/W229</f>
        <v>4265.08541992718</v>
      </c>
      <c r="Y229" s="1579" t="str">
        <f aca="false">IF(MONTH($A229)=12,SUM(X218:X229)," ")</f>
        <v> </v>
      </c>
      <c r="AA229" s="1595" t="n">
        <f aca="false">IF($A229&gt;Endyr,0,VLOOKUP($A229,Tariff_Table,Tariff!$I$33))</f>
        <v>2.31</v>
      </c>
      <c r="AB229" s="1565" t="n">
        <f aca="false">$AS229</f>
        <v>1.54280646123377</v>
      </c>
      <c r="AC229" s="1596" t="n">
        <f aca="false">AA229*AB229</f>
        <v>3.56388292545001</v>
      </c>
      <c r="AD229" s="1565" t="n">
        <f aca="false">$F229</f>
        <v>3.12937670852503</v>
      </c>
      <c r="AE229" s="427" t="n">
        <f aca="false">$G229</f>
        <v>1.065</v>
      </c>
      <c r="AF229" s="1596" t="n">
        <f aca="false">AC229*AD229/AE229</f>
        <v>10.4720490317496</v>
      </c>
      <c r="AG229" s="397" t="n">
        <f aca="false">VLOOKUP($A229,Plant_Table,'Plant Operations'!$M$270)</f>
        <v>289336.32</v>
      </c>
      <c r="AH229" s="1575" t="n">
        <f aca="false">AF229*AG229/1000</f>
        <v>3029.94412970599</v>
      </c>
      <c r="AI229" s="1565" t="n">
        <f aca="false">AD229</f>
        <v>3.12937670852503</v>
      </c>
      <c r="AJ229" s="1566" t="n">
        <f aca="false">AH229/AI229</f>
        <v>968.226075643701</v>
      </c>
      <c r="AK229" s="1567" t="str">
        <f aca="false">IF(MONTH($A229)=12,SUM(AJ218:AJ229)," ")</f>
        <v> </v>
      </c>
      <c r="AM229" s="488" t="n">
        <f aca="false">IF($A229&gt;Endyr,0,VLOOKUP($A229,Tariff_Table,Tariff!$L$33))</f>
        <v>1.21</v>
      </c>
      <c r="AN229" s="1576" t="n">
        <f aca="false">VLOOKUP($A229,Curves_Table,Escalation!$Z$291)</f>
        <v>1.65495655653001</v>
      </c>
      <c r="AO229" s="1314" t="n">
        <f aca="false">AM229*AN229</f>
        <v>2.00249743340131</v>
      </c>
      <c r="AP229" s="1314" t="n">
        <f aca="false">IF($A229&gt;Endyr,0,VLOOKUP($A229,Tariff_Table,Tariff!$M$33))</f>
        <v>0.25</v>
      </c>
      <c r="AQ229" s="1314" t="n">
        <f aca="false">SUM(AO229,AP229)</f>
        <v>2.25249743340131</v>
      </c>
      <c r="AR229" s="1314" t="n">
        <f aca="false">SUM(AM229,AP229)</f>
        <v>1.46</v>
      </c>
      <c r="AS229" s="1598" t="n">
        <f aca="false">IF(AR229=0,0,AQ229/AR229)</f>
        <v>1.54280646123377</v>
      </c>
    </row>
    <row r="230" customFormat="false" ht="12.75" hidden="false" customHeight="false" outlineLevel="0" collapsed="false">
      <c r="A230" s="1538" t="n">
        <f aca="false">EDATE(A229,1)</f>
        <v>43586</v>
      </c>
      <c r="C230" s="1595" t="n">
        <f aca="false">IF($A230&gt;Endyr,0,VLOOKUP($A230,Tariff_Table,Tariff!$G$33))</f>
        <v>0</v>
      </c>
      <c r="D230" s="1565" t="n">
        <f aca="false">VLOOKUP($A230,Curves_Table,Escalation!$V$291)</f>
        <v>1.77543572910631</v>
      </c>
      <c r="E230" s="1596" t="n">
        <f aca="false">C230*D230</f>
        <v>0</v>
      </c>
      <c r="F230" s="1565" t="n">
        <f aca="false">IF(Assm!$L$74=0,VLOOKUP($A230,Curves_Table,Escalation!$D$291),VLOOKUP($A230,Curves_Table,Escalation!$E$291))</f>
        <v>3.13455530754531</v>
      </c>
      <c r="G230" s="427" t="n">
        <f aca="false">IF($A230&lt;EE_Date,VLOOKUP($A230,Curves_Table,Escalation!$D$291),Exch)</f>
        <v>1.065</v>
      </c>
      <c r="H230" s="1596" t="n">
        <f aca="false">E230*F230/G230</f>
        <v>0</v>
      </c>
      <c r="I230" s="1540" t="n">
        <f aca="false">VLOOKUP($A230,Plant_Table,'Plant Operations'!$C$270)</f>
        <v>0</v>
      </c>
      <c r="J230" s="1575" t="n">
        <f aca="false">H230*I230/1000</f>
        <v>0</v>
      </c>
      <c r="K230" s="1565" t="n">
        <f aca="false">F230</f>
        <v>3.13455530754531</v>
      </c>
      <c r="L230" s="394" t="n">
        <f aca="false">J230/K230</f>
        <v>0</v>
      </c>
      <c r="M230" s="1579" t="str">
        <f aca="false">IF(MONTH($A230)=12,SUM(L219:L230)," ")</f>
        <v> </v>
      </c>
      <c r="O230" s="1597" t="n">
        <f aca="false">IF($A230&gt;Endyr,0,VLOOKUP($A230,Tariff_Table,Tariff!$H$33))</f>
        <v>0</v>
      </c>
      <c r="P230" s="1565" t="n">
        <f aca="false">$AS230</f>
        <v>0</v>
      </c>
      <c r="Q230" s="1575" t="n">
        <f aca="false">O230*P230</f>
        <v>0</v>
      </c>
      <c r="R230" s="1565" t="n">
        <f aca="false">$F230</f>
        <v>3.13455530754531</v>
      </c>
      <c r="S230" s="427" t="n">
        <f aca="false">$G230</f>
        <v>1.065</v>
      </c>
      <c r="T230" s="1575" t="n">
        <f aca="false">Q230*R230/S230</f>
        <v>0</v>
      </c>
      <c r="U230" s="1540" t="n">
        <f aca="false">$I230</f>
        <v>0</v>
      </c>
      <c r="V230" s="1575" t="n">
        <f aca="false">T230*U230/1000</f>
        <v>0</v>
      </c>
      <c r="W230" s="1565" t="n">
        <f aca="false">R230</f>
        <v>3.13455530754531</v>
      </c>
      <c r="X230" s="394" t="n">
        <f aca="false">V230/W230</f>
        <v>0</v>
      </c>
      <c r="Y230" s="1579" t="str">
        <f aca="false">IF(MONTH($A230)=12,SUM(X219:X230)," ")</f>
        <v> </v>
      </c>
      <c r="AA230" s="1595" t="n">
        <f aca="false">IF($A230&gt;Endyr,0,VLOOKUP($A230,Tariff_Table,Tariff!$I$33))</f>
        <v>0</v>
      </c>
      <c r="AB230" s="1565" t="n">
        <f aca="false">$AS230</f>
        <v>0</v>
      </c>
      <c r="AC230" s="1596" t="n">
        <f aca="false">AA230*AB230</f>
        <v>0</v>
      </c>
      <c r="AD230" s="1565" t="n">
        <f aca="false">$F230</f>
        <v>3.13455530754531</v>
      </c>
      <c r="AE230" s="427" t="n">
        <f aca="false">$G230</f>
        <v>1.065</v>
      </c>
      <c r="AF230" s="1596" t="n">
        <f aca="false">AC230*AD230/AE230</f>
        <v>0</v>
      </c>
      <c r="AG230" s="397" t="n">
        <f aca="false">VLOOKUP($A230,Plant_Table,'Plant Operations'!$M$270)</f>
        <v>0</v>
      </c>
      <c r="AH230" s="1575" t="n">
        <f aca="false">AF230*AG230/1000</f>
        <v>0</v>
      </c>
      <c r="AI230" s="1565" t="n">
        <f aca="false">AD230</f>
        <v>3.13455530754531</v>
      </c>
      <c r="AJ230" s="1566" t="n">
        <f aca="false">AH230/AI230</f>
        <v>0</v>
      </c>
      <c r="AK230" s="1567" t="str">
        <f aca="false">IF(MONTH($A230)=12,SUM(AJ219:AJ230)," ")</f>
        <v> </v>
      </c>
      <c r="AM230" s="488" t="n">
        <f aca="false">IF($A230&gt;Endyr,0,VLOOKUP($A230,Tariff_Table,Tariff!$L$33))</f>
        <v>0</v>
      </c>
      <c r="AN230" s="1576" t="n">
        <f aca="false">VLOOKUP($A230,Curves_Table,Escalation!$Z$291)</f>
        <v>1.69623664745388</v>
      </c>
      <c r="AO230" s="1314" t="n">
        <f aca="false">AM230*AN230</f>
        <v>0</v>
      </c>
      <c r="AP230" s="1314" t="n">
        <f aca="false">IF($A230&gt;Endyr,0,VLOOKUP($A230,Tariff_Table,Tariff!$M$33))</f>
        <v>0</v>
      </c>
      <c r="AQ230" s="1314" t="n">
        <f aca="false">SUM(AO230,AP230)</f>
        <v>0</v>
      </c>
      <c r="AR230" s="1314" t="n">
        <f aca="false">SUM(AM230,AP230)</f>
        <v>0</v>
      </c>
      <c r="AS230" s="1598" t="n">
        <f aca="false">IF(AR230=0,0,AQ230/AR230)</f>
        <v>0</v>
      </c>
    </row>
    <row r="231" customFormat="false" ht="12.75" hidden="false" customHeight="false" outlineLevel="0" collapsed="false">
      <c r="A231" s="1538" t="n">
        <f aca="false">EDATE(A230,1)</f>
        <v>43617</v>
      </c>
      <c r="C231" s="1595" t="n">
        <f aca="false">IF($A231&gt;Endyr,0,VLOOKUP($A231,Tariff_Table,Tariff!$G$33))</f>
        <v>0</v>
      </c>
      <c r="D231" s="1565" t="n">
        <f aca="false">VLOOKUP($A231,Curves_Table,Escalation!$V$291)</f>
        <v>1.77543572910631</v>
      </c>
      <c r="E231" s="1596" t="n">
        <f aca="false">C231*D231</f>
        <v>0</v>
      </c>
      <c r="F231" s="1565" t="n">
        <f aca="false">IF(Assm!$L$74=0,VLOOKUP($A231,Curves_Table,Escalation!$D$291),VLOOKUP($A231,Curves_Table,Escalation!$E$291))</f>
        <v>3.13455530754531</v>
      </c>
      <c r="G231" s="427" t="n">
        <f aca="false">IF($A231&lt;EE_Date,VLOOKUP($A231,Curves_Table,Escalation!$D$291),Exch)</f>
        <v>1.065</v>
      </c>
      <c r="H231" s="1596" t="n">
        <f aca="false">E231*F231/G231</f>
        <v>0</v>
      </c>
      <c r="I231" s="1540" t="n">
        <f aca="false">VLOOKUP($A231,Plant_Table,'Plant Operations'!$C$270)</f>
        <v>0</v>
      </c>
      <c r="J231" s="1575" t="n">
        <f aca="false">H231*I231/1000</f>
        <v>0</v>
      </c>
      <c r="K231" s="1565" t="n">
        <f aca="false">F231</f>
        <v>3.13455530754531</v>
      </c>
      <c r="L231" s="394" t="n">
        <f aca="false">J231/K231</f>
        <v>0</v>
      </c>
      <c r="M231" s="1579" t="str">
        <f aca="false">IF(MONTH($A231)=12,SUM(L220:L231)," ")</f>
        <v> </v>
      </c>
      <c r="O231" s="1597" t="n">
        <f aca="false">IF($A231&gt;Endyr,0,VLOOKUP($A231,Tariff_Table,Tariff!$H$33))</f>
        <v>0</v>
      </c>
      <c r="P231" s="1565" t="n">
        <f aca="false">$AS231</f>
        <v>0</v>
      </c>
      <c r="Q231" s="1575" t="n">
        <f aca="false">O231*P231</f>
        <v>0</v>
      </c>
      <c r="R231" s="1565" t="n">
        <f aca="false">$F231</f>
        <v>3.13455530754531</v>
      </c>
      <c r="S231" s="427" t="n">
        <f aca="false">$G231</f>
        <v>1.065</v>
      </c>
      <c r="T231" s="1575" t="n">
        <f aca="false">Q231*R231/S231</f>
        <v>0</v>
      </c>
      <c r="U231" s="1540" t="n">
        <f aca="false">$I231</f>
        <v>0</v>
      </c>
      <c r="V231" s="1575" t="n">
        <f aca="false">T231*U231/1000</f>
        <v>0</v>
      </c>
      <c r="W231" s="1565" t="n">
        <f aca="false">R231</f>
        <v>3.13455530754531</v>
      </c>
      <c r="X231" s="394" t="n">
        <f aca="false">V231/W231</f>
        <v>0</v>
      </c>
      <c r="Y231" s="1579" t="str">
        <f aca="false">IF(MONTH($A231)=12,SUM(X220:X231)," ")</f>
        <v> </v>
      </c>
      <c r="AA231" s="1595" t="n">
        <f aca="false">IF($A231&gt;Endyr,0,VLOOKUP($A231,Tariff_Table,Tariff!$I$33))</f>
        <v>0</v>
      </c>
      <c r="AB231" s="1565" t="n">
        <f aca="false">$AS231</f>
        <v>0</v>
      </c>
      <c r="AC231" s="1596" t="n">
        <f aca="false">AA231*AB231</f>
        <v>0</v>
      </c>
      <c r="AD231" s="1565" t="n">
        <f aca="false">$F231</f>
        <v>3.13455530754531</v>
      </c>
      <c r="AE231" s="427" t="n">
        <f aca="false">$G231</f>
        <v>1.065</v>
      </c>
      <c r="AF231" s="1596" t="n">
        <f aca="false">AC231*AD231/AE231</f>
        <v>0</v>
      </c>
      <c r="AG231" s="397" t="n">
        <f aca="false">VLOOKUP($A231,Plant_Table,'Plant Operations'!$M$270)</f>
        <v>0</v>
      </c>
      <c r="AH231" s="1575" t="n">
        <f aca="false">AF231*AG231/1000</f>
        <v>0</v>
      </c>
      <c r="AI231" s="1565" t="n">
        <f aca="false">AD231</f>
        <v>3.13455530754531</v>
      </c>
      <c r="AJ231" s="1566" t="n">
        <f aca="false">AH231/AI231</f>
        <v>0</v>
      </c>
      <c r="AK231" s="1567" t="str">
        <f aca="false">IF(MONTH($A231)=12,SUM(AJ220:AJ231)," ")</f>
        <v> </v>
      </c>
      <c r="AM231" s="488" t="n">
        <f aca="false">IF($A231&gt;Endyr,0,VLOOKUP($A231,Tariff_Table,Tariff!$L$33))</f>
        <v>0</v>
      </c>
      <c r="AN231" s="1576" t="n">
        <f aca="false">VLOOKUP($A231,Curves_Table,Escalation!$Z$291)</f>
        <v>1.69623664745388</v>
      </c>
      <c r="AO231" s="1314" t="n">
        <f aca="false">AM231*AN231</f>
        <v>0</v>
      </c>
      <c r="AP231" s="1314" t="n">
        <f aca="false">IF($A231&gt;Endyr,0,VLOOKUP($A231,Tariff_Table,Tariff!$M$33))</f>
        <v>0</v>
      </c>
      <c r="AQ231" s="1314" t="n">
        <f aca="false">SUM(AO231,AP231)</f>
        <v>0</v>
      </c>
      <c r="AR231" s="1314" t="n">
        <f aca="false">SUM(AM231,AP231)</f>
        <v>0</v>
      </c>
      <c r="AS231" s="1598" t="n">
        <f aca="false">IF(AR231=0,0,AQ231/AR231)</f>
        <v>0</v>
      </c>
    </row>
    <row r="232" customFormat="false" ht="12.75" hidden="false" customHeight="false" outlineLevel="0" collapsed="false">
      <c r="A232" s="1538" t="n">
        <f aca="false">EDATE(A231,1)</f>
        <v>43647</v>
      </c>
      <c r="C232" s="1595" t="n">
        <f aca="false">IF($A232&gt;Endyr,0,VLOOKUP($A232,Tariff_Table,Tariff!$G$33))</f>
        <v>0</v>
      </c>
      <c r="D232" s="1565" t="n">
        <f aca="false">VLOOKUP($A232,Curves_Table,Escalation!$V$291)</f>
        <v>1.77543572910631</v>
      </c>
      <c r="E232" s="1596" t="n">
        <f aca="false">C232*D232</f>
        <v>0</v>
      </c>
      <c r="F232" s="1565" t="n">
        <f aca="false">IF(Assm!$L$74=0,VLOOKUP($A232,Curves_Table,Escalation!$D$291),VLOOKUP($A232,Curves_Table,Escalation!$E$291))</f>
        <v>3.13455530754531</v>
      </c>
      <c r="G232" s="427" t="n">
        <f aca="false">IF($A232&lt;EE_Date,VLOOKUP($A232,Curves_Table,Escalation!$D$291),Exch)</f>
        <v>1.065</v>
      </c>
      <c r="H232" s="1596" t="n">
        <f aca="false">E232*F232/G232</f>
        <v>0</v>
      </c>
      <c r="I232" s="1540" t="n">
        <f aca="false">VLOOKUP($A232,Plant_Table,'Plant Operations'!$C$270)</f>
        <v>0</v>
      </c>
      <c r="J232" s="1575" t="n">
        <f aca="false">H232*I232/1000</f>
        <v>0</v>
      </c>
      <c r="K232" s="1565" t="n">
        <f aca="false">F232</f>
        <v>3.13455530754531</v>
      </c>
      <c r="L232" s="394" t="n">
        <f aca="false">J232/K232</f>
        <v>0</v>
      </c>
      <c r="M232" s="1579" t="str">
        <f aca="false">IF(MONTH($A232)=12,SUM(L221:L232)," ")</f>
        <v> </v>
      </c>
      <c r="O232" s="1597" t="n">
        <f aca="false">IF($A232&gt;Endyr,0,VLOOKUP($A232,Tariff_Table,Tariff!$H$33))</f>
        <v>0</v>
      </c>
      <c r="P232" s="1565" t="n">
        <f aca="false">$AS232</f>
        <v>0</v>
      </c>
      <c r="Q232" s="1575" t="n">
        <f aca="false">O232*P232</f>
        <v>0</v>
      </c>
      <c r="R232" s="1565" t="n">
        <f aca="false">$F232</f>
        <v>3.13455530754531</v>
      </c>
      <c r="S232" s="427" t="n">
        <f aca="false">$G232</f>
        <v>1.065</v>
      </c>
      <c r="T232" s="1575" t="n">
        <f aca="false">Q232*R232/S232</f>
        <v>0</v>
      </c>
      <c r="U232" s="1540" t="n">
        <f aca="false">$I232</f>
        <v>0</v>
      </c>
      <c r="V232" s="1575" t="n">
        <f aca="false">T232*U232/1000</f>
        <v>0</v>
      </c>
      <c r="W232" s="1565" t="n">
        <f aca="false">R232</f>
        <v>3.13455530754531</v>
      </c>
      <c r="X232" s="394" t="n">
        <f aca="false">V232/W232</f>
        <v>0</v>
      </c>
      <c r="Y232" s="1579" t="str">
        <f aca="false">IF(MONTH($A232)=12,SUM(X221:X232)," ")</f>
        <v> </v>
      </c>
      <c r="AA232" s="1595" t="n">
        <f aca="false">IF($A232&gt;Endyr,0,VLOOKUP($A232,Tariff_Table,Tariff!$I$33))</f>
        <v>0</v>
      </c>
      <c r="AB232" s="1565" t="n">
        <f aca="false">$AS232</f>
        <v>0</v>
      </c>
      <c r="AC232" s="1596" t="n">
        <f aca="false">AA232*AB232</f>
        <v>0</v>
      </c>
      <c r="AD232" s="1565" t="n">
        <f aca="false">$F232</f>
        <v>3.13455530754531</v>
      </c>
      <c r="AE232" s="427" t="n">
        <f aca="false">$G232</f>
        <v>1.065</v>
      </c>
      <c r="AF232" s="1596" t="n">
        <f aca="false">AC232*AD232/AE232</f>
        <v>0</v>
      </c>
      <c r="AG232" s="397" t="n">
        <f aca="false">VLOOKUP($A232,Plant_Table,'Plant Operations'!$M$270)</f>
        <v>0</v>
      </c>
      <c r="AH232" s="1575" t="n">
        <f aca="false">AF232*AG232/1000</f>
        <v>0</v>
      </c>
      <c r="AI232" s="1565" t="n">
        <f aca="false">AD232</f>
        <v>3.13455530754531</v>
      </c>
      <c r="AJ232" s="1566" t="n">
        <f aca="false">AH232/AI232</f>
        <v>0</v>
      </c>
      <c r="AK232" s="1567" t="str">
        <f aca="false">IF(MONTH($A232)=12,SUM(AJ221:AJ232)," ")</f>
        <v> </v>
      </c>
      <c r="AM232" s="488" t="n">
        <f aca="false">IF($A232&gt;Endyr,0,VLOOKUP($A232,Tariff_Table,Tariff!$L$33))</f>
        <v>0</v>
      </c>
      <c r="AN232" s="1576" t="n">
        <f aca="false">VLOOKUP($A232,Curves_Table,Escalation!$Z$291)</f>
        <v>1.69623664745388</v>
      </c>
      <c r="AO232" s="1314" t="n">
        <f aca="false">AM232*AN232</f>
        <v>0</v>
      </c>
      <c r="AP232" s="1314" t="n">
        <f aca="false">IF($A232&gt;Endyr,0,VLOOKUP($A232,Tariff_Table,Tariff!$M$33))</f>
        <v>0</v>
      </c>
      <c r="AQ232" s="1314" t="n">
        <f aca="false">SUM(AO232,AP232)</f>
        <v>0</v>
      </c>
      <c r="AR232" s="1314" t="n">
        <f aca="false">SUM(AM232,AP232)</f>
        <v>0</v>
      </c>
      <c r="AS232" s="1598" t="n">
        <f aca="false">IF(AR232=0,0,AQ232/AR232)</f>
        <v>0</v>
      </c>
    </row>
    <row r="233" customFormat="false" ht="12.75" hidden="false" customHeight="false" outlineLevel="0" collapsed="false">
      <c r="A233" s="1538" t="n">
        <f aca="false">EDATE(A232,1)</f>
        <v>43678</v>
      </c>
      <c r="C233" s="1595" t="n">
        <f aca="false">IF($A233&gt;Endyr,0,VLOOKUP($A233,Tariff_Table,Tariff!$G$33))</f>
        <v>0</v>
      </c>
      <c r="D233" s="1565" t="n">
        <f aca="false">VLOOKUP($A233,Curves_Table,Escalation!$V$291)</f>
        <v>1.77543572910631</v>
      </c>
      <c r="E233" s="1596" t="n">
        <f aca="false">C233*D233</f>
        <v>0</v>
      </c>
      <c r="F233" s="1565" t="n">
        <f aca="false">IF(Assm!$L$74=0,VLOOKUP($A233,Curves_Table,Escalation!$D$291),VLOOKUP($A233,Curves_Table,Escalation!$E$291))</f>
        <v>3.13455530754531</v>
      </c>
      <c r="G233" s="427" t="n">
        <f aca="false">IF($A233&lt;EE_Date,VLOOKUP($A233,Curves_Table,Escalation!$D$291),Exch)</f>
        <v>1.065</v>
      </c>
      <c r="H233" s="1596" t="n">
        <f aca="false">E233*F233/G233</f>
        <v>0</v>
      </c>
      <c r="I233" s="1540" t="n">
        <f aca="false">VLOOKUP($A233,Plant_Table,'Plant Operations'!$C$270)</f>
        <v>0</v>
      </c>
      <c r="J233" s="1575" t="n">
        <f aca="false">H233*I233/1000</f>
        <v>0</v>
      </c>
      <c r="K233" s="1565" t="n">
        <f aca="false">F233</f>
        <v>3.13455530754531</v>
      </c>
      <c r="L233" s="394" t="n">
        <f aca="false">J233/K233</f>
        <v>0</v>
      </c>
      <c r="M233" s="1579" t="str">
        <f aca="false">IF(MONTH($A233)=12,SUM(L222:L233)," ")</f>
        <v> </v>
      </c>
      <c r="O233" s="1597" t="n">
        <f aca="false">IF($A233&gt;Endyr,0,VLOOKUP($A233,Tariff_Table,Tariff!$H$33))</f>
        <v>0</v>
      </c>
      <c r="P233" s="1565" t="n">
        <f aca="false">$AS233</f>
        <v>0</v>
      </c>
      <c r="Q233" s="1575" t="n">
        <f aca="false">O233*P233</f>
        <v>0</v>
      </c>
      <c r="R233" s="1565" t="n">
        <f aca="false">$F233</f>
        <v>3.13455530754531</v>
      </c>
      <c r="S233" s="427" t="n">
        <f aca="false">$G233</f>
        <v>1.065</v>
      </c>
      <c r="T233" s="1575" t="n">
        <f aca="false">Q233*R233/S233</f>
        <v>0</v>
      </c>
      <c r="U233" s="1540" t="n">
        <f aca="false">$I233</f>
        <v>0</v>
      </c>
      <c r="V233" s="1575" t="n">
        <f aca="false">T233*U233/1000</f>
        <v>0</v>
      </c>
      <c r="W233" s="1565" t="n">
        <f aca="false">R233</f>
        <v>3.13455530754531</v>
      </c>
      <c r="X233" s="394" t="n">
        <f aca="false">V233/W233</f>
        <v>0</v>
      </c>
      <c r="Y233" s="1579" t="str">
        <f aca="false">IF(MONTH($A233)=12,SUM(X222:X233)," ")</f>
        <v> </v>
      </c>
      <c r="AA233" s="1595" t="n">
        <f aca="false">IF($A233&gt;Endyr,0,VLOOKUP($A233,Tariff_Table,Tariff!$I$33))</f>
        <v>0</v>
      </c>
      <c r="AB233" s="1565" t="n">
        <f aca="false">$AS233</f>
        <v>0</v>
      </c>
      <c r="AC233" s="1596" t="n">
        <f aca="false">AA233*AB233</f>
        <v>0</v>
      </c>
      <c r="AD233" s="1565" t="n">
        <f aca="false">$F233</f>
        <v>3.13455530754531</v>
      </c>
      <c r="AE233" s="427" t="n">
        <f aca="false">$G233</f>
        <v>1.065</v>
      </c>
      <c r="AF233" s="1596" t="n">
        <f aca="false">AC233*AD233/AE233</f>
        <v>0</v>
      </c>
      <c r="AG233" s="397" t="n">
        <f aca="false">VLOOKUP($A233,Plant_Table,'Plant Operations'!$M$270)</f>
        <v>0</v>
      </c>
      <c r="AH233" s="1575" t="n">
        <f aca="false">AF233*AG233/1000</f>
        <v>0</v>
      </c>
      <c r="AI233" s="1565" t="n">
        <f aca="false">AD233</f>
        <v>3.13455530754531</v>
      </c>
      <c r="AJ233" s="1566" t="n">
        <f aca="false">AH233/AI233</f>
        <v>0</v>
      </c>
      <c r="AK233" s="1567" t="str">
        <f aca="false">IF(MONTH($A233)=12,SUM(AJ222:AJ233)," ")</f>
        <v> </v>
      </c>
      <c r="AM233" s="488" t="n">
        <f aca="false">IF($A233&gt;Endyr,0,VLOOKUP($A233,Tariff_Table,Tariff!$L$33))</f>
        <v>0</v>
      </c>
      <c r="AN233" s="1576" t="n">
        <f aca="false">VLOOKUP($A233,Curves_Table,Escalation!$Z$291)</f>
        <v>1.69623664745388</v>
      </c>
      <c r="AO233" s="1314" t="n">
        <f aca="false">AM233*AN233</f>
        <v>0</v>
      </c>
      <c r="AP233" s="1314" t="n">
        <f aca="false">IF($A233&gt;Endyr,0,VLOOKUP($A233,Tariff_Table,Tariff!$M$33))</f>
        <v>0</v>
      </c>
      <c r="AQ233" s="1314" t="n">
        <f aca="false">SUM(AO233,AP233)</f>
        <v>0</v>
      </c>
      <c r="AR233" s="1314" t="n">
        <f aca="false">SUM(AM233,AP233)</f>
        <v>0</v>
      </c>
      <c r="AS233" s="1598" t="n">
        <f aca="false">IF(AR233=0,0,AQ233/AR233)</f>
        <v>0</v>
      </c>
    </row>
    <row r="234" customFormat="false" ht="12.75" hidden="false" customHeight="false" outlineLevel="0" collapsed="false">
      <c r="A234" s="1538" t="n">
        <f aca="false">EDATE(A233,1)</f>
        <v>43709</v>
      </c>
      <c r="C234" s="1595" t="n">
        <f aca="false">IF($A234&gt;Endyr,0,VLOOKUP($A234,Tariff_Table,Tariff!$G$33))</f>
        <v>0</v>
      </c>
      <c r="D234" s="1565" t="n">
        <f aca="false">VLOOKUP($A234,Curves_Table,Escalation!$V$291)</f>
        <v>1.77543572910631</v>
      </c>
      <c r="E234" s="1596" t="n">
        <f aca="false">C234*D234</f>
        <v>0</v>
      </c>
      <c r="F234" s="1565" t="n">
        <f aca="false">IF(Assm!$L$74=0,VLOOKUP($A234,Curves_Table,Escalation!$D$291),VLOOKUP($A234,Curves_Table,Escalation!$E$291))</f>
        <v>3.13455530754531</v>
      </c>
      <c r="G234" s="427" t="n">
        <f aca="false">IF($A234&lt;EE_Date,VLOOKUP($A234,Curves_Table,Escalation!$D$291),Exch)</f>
        <v>1.065</v>
      </c>
      <c r="H234" s="1596" t="n">
        <f aca="false">E234*F234/G234</f>
        <v>0</v>
      </c>
      <c r="I234" s="1540" t="n">
        <f aca="false">VLOOKUP($A234,Plant_Table,'Plant Operations'!$C$270)</f>
        <v>0</v>
      </c>
      <c r="J234" s="1575" t="n">
        <f aca="false">H234*I234/1000</f>
        <v>0</v>
      </c>
      <c r="K234" s="1565" t="n">
        <f aca="false">F234</f>
        <v>3.13455530754531</v>
      </c>
      <c r="L234" s="394" t="n">
        <f aca="false">J234/K234</f>
        <v>0</v>
      </c>
      <c r="M234" s="1579" t="str">
        <f aca="false">IF(MONTH($A234)=12,SUM(L223:L234)," ")</f>
        <v> </v>
      </c>
      <c r="O234" s="1597" t="n">
        <f aca="false">IF($A234&gt;Endyr,0,VLOOKUP($A234,Tariff_Table,Tariff!$H$33))</f>
        <v>0</v>
      </c>
      <c r="P234" s="1565" t="n">
        <f aca="false">$AS234</f>
        <v>0</v>
      </c>
      <c r="Q234" s="1575" t="n">
        <f aca="false">O234*P234</f>
        <v>0</v>
      </c>
      <c r="R234" s="1565" t="n">
        <f aca="false">$F234</f>
        <v>3.13455530754531</v>
      </c>
      <c r="S234" s="427" t="n">
        <f aca="false">$G234</f>
        <v>1.065</v>
      </c>
      <c r="T234" s="1575" t="n">
        <f aca="false">Q234*R234/S234</f>
        <v>0</v>
      </c>
      <c r="U234" s="1540" t="n">
        <f aca="false">$I234</f>
        <v>0</v>
      </c>
      <c r="V234" s="1575" t="n">
        <f aca="false">T234*U234/1000</f>
        <v>0</v>
      </c>
      <c r="W234" s="1565" t="n">
        <f aca="false">R234</f>
        <v>3.13455530754531</v>
      </c>
      <c r="X234" s="394" t="n">
        <f aca="false">V234/W234</f>
        <v>0</v>
      </c>
      <c r="Y234" s="1579" t="str">
        <f aca="false">IF(MONTH($A234)=12,SUM(X223:X234)," ")</f>
        <v> </v>
      </c>
      <c r="AA234" s="1595" t="n">
        <f aca="false">IF($A234&gt;Endyr,0,VLOOKUP($A234,Tariff_Table,Tariff!$I$33))</f>
        <v>0</v>
      </c>
      <c r="AB234" s="1565" t="n">
        <f aca="false">$AS234</f>
        <v>0</v>
      </c>
      <c r="AC234" s="1596" t="n">
        <f aca="false">AA234*AB234</f>
        <v>0</v>
      </c>
      <c r="AD234" s="1565" t="n">
        <f aca="false">$F234</f>
        <v>3.13455530754531</v>
      </c>
      <c r="AE234" s="427" t="n">
        <f aca="false">$G234</f>
        <v>1.065</v>
      </c>
      <c r="AF234" s="1596" t="n">
        <f aca="false">AC234*AD234/AE234</f>
        <v>0</v>
      </c>
      <c r="AG234" s="397" t="n">
        <f aca="false">VLOOKUP($A234,Plant_Table,'Plant Operations'!$M$270)</f>
        <v>0</v>
      </c>
      <c r="AH234" s="1575" t="n">
        <f aca="false">AF234*AG234/1000</f>
        <v>0</v>
      </c>
      <c r="AI234" s="1565" t="n">
        <f aca="false">AD234</f>
        <v>3.13455530754531</v>
      </c>
      <c r="AJ234" s="1566" t="n">
        <f aca="false">AH234/AI234</f>
        <v>0</v>
      </c>
      <c r="AK234" s="1567" t="str">
        <f aca="false">IF(MONTH($A234)=12,SUM(AJ223:AJ234)," ")</f>
        <v> </v>
      </c>
      <c r="AM234" s="488" t="n">
        <f aca="false">IF($A234&gt;Endyr,0,VLOOKUP($A234,Tariff_Table,Tariff!$L$33))</f>
        <v>0</v>
      </c>
      <c r="AN234" s="1576" t="n">
        <f aca="false">VLOOKUP($A234,Curves_Table,Escalation!$Z$291)</f>
        <v>1.69623664745388</v>
      </c>
      <c r="AO234" s="1314" t="n">
        <f aca="false">AM234*AN234</f>
        <v>0</v>
      </c>
      <c r="AP234" s="1314" t="n">
        <f aca="false">IF($A234&gt;Endyr,0,VLOOKUP($A234,Tariff_Table,Tariff!$M$33))</f>
        <v>0</v>
      </c>
      <c r="AQ234" s="1314" t="n">
        <f aca="false">SUM(AO234,AP234)</f>
        <v>0</v>
      </c>
      <c r="AR234" s="1314" t="n">
        <f aca="false">SUM(AM234,AP234)</f>
        <v>0</v>
      </c>
      <c r="AS234" s="1598" t="n">
        <f aca="false">IF(AR234=0,0,AQ234/AR234)</f>
        <v>0</v>
      </c>
    </row>
    <row r="235" customFormat="false" ht="12.75" hidden="false" customHeight="false" outlineLevel="0" collapsed="false">
      <c r="A235" s="1538" t="n">
        <f aca="false">EDATE(A234,1)</f>
        <v>43739</v>
      </c>
      <c r="C235" s="1595" t="n">
        <f aca="false">IF($A235&gt;Endyr,0,VLOOKUP($A235,Tariff_Table,Tariff!$G$33))</f>
        <v>0</v>
      </c>
      <c r="D235" s="1565" t="n">
        <f aca="false">VLOOKUP($A235,Curves_Table,Escalation!$V$291)</f>
        <v>1.77543572910631</v>
      </c>
      <c r="E235" s="1596" t="n">
        <f aca="false">C235*D235</f>
        <v>0</v>
      </c>
      <c r="F235" s="1565" t="n">
        <f aca="false">IF(Assm!$L$74=0,VLOOKUP($A235,Curves_Table,Escalation!$D$291),VLOOKUP($A235,Curves_Table,Escalation!$E$291))</f>
        <v>3.13455530754531</v>
      </c>
      <c r="G235" s="427" t="n">
        <f aca="false">IF($A235&lt;EE_Date,VLOOKUP($A235,Curves_Table,Escalation!$D$291),Exch)</f>
        <v>1.065</v>
      </c>
      <c r="H235" s="1596" t="n">
        <f aca="false">E235*F235/G235</f>
        <v>0</v>
      </c>
      <c r="I235" s="1540" t="n">
        <f aca="false">VLOOKUP($A235,Plant_Table,'Plant Operations'!$C$270)</f>
        <v>0</v>
      </c>
      <c r="J235" s="1575" t="n">
        <f aca="false">H235*I235/1000</f>
        <v>0</v>
      </c>
      <c r="K235" s="1565" t="n">
        <f aca="false">F235</f>
        <v>3.13455530754531</v>
      </c>
      <c r="L235" s="394" t="n">
        <f aca="false">J235/K235</f>
        <v>0</v>
      </c>
      <c r="M235" s="1579" t="str">
        <f aca="false">IF(MONTH($A235)=12,SUM(L224:L235)," ")</f>
        <v> </v>
      </c>
      <c r="O235" s="1597" t="n">
        <f aca="false">IF($A235&gt;Endyr,0,VLOOKUP($A235,Tariff_Table,Tariff!$H$33))</f>
        <v>0</v>
      </c>
      <c r="P235" s="1565" t="n">
        <f aca="false">$AS235</f>
        <v>0</v>
      </c>
      <c r="Q235" s="1575" t="n">
        <f aca="false">O235*P235</f>
        <v>0</v>
      </c>
      <c r="R235" s="1565" t="n">
        <f aca="false">$F235</f>
        <v>3.13455530754531</v>
      </c>
      <c r="S235" s="427" t="n">
        <f aca="false">$G235</f>
        <v>1.065</v>
      </c>
      <c r="T235" s="1575" t="n">
        <f aca="false">Q235*R235/S235</f>
        <v>0</v>
      </c>
      <c r="U235" s="1540" t="n">
        <f aca="false">$I235</f>
        <v>0</v>
      </c>
      <c r="V235" s="1575" t="n">
        <f aca="false">T235*U235/1000</f>
        <v>0</v>
      </c>
      <c r="W235" s="1565" t="n">
        <f aca="false">R235</f>
        <v>3.13455530754531</v>
      </c>
      <c r="X235" s="394" t="n">
        <f aca="false">V235/W235</f>
        <v>0</v>
      </c>
      <c r="Y235" s="1579" t="str">
        <f aca="false">IF(MONTH($A235)=12,SUM(X224:X235)," ")</f>
        <v> </v>
      </c>
      <c r="AA235" s="1595" t="n">
        <f aca="false">IF($A235&gt;Endyr,0,VLOOKUP($A235,Tariff_Table,Tariff!$I$33))</f>
        <v>0</v>
      </c>
      <c r="AB235" s="1565" t="n">
        <f aca="false">$AS235</f>
        <v>0</v>
      </c>
      <c r="AC235" s="1596" t="n">
        <f aca="false">AA235*AB235</f>
        <v>0</v>
      </c>
      <c r="AD235" s="1565" t="n">
        <f aca="false">$F235</f>
        <v>3.13455530754531</v>
      </c>
      <c r="AE235" s="427" t="n">
        <f aca="false">$G235</f>
        <v>1.065</v>
      </c>
      <c r="AF235" s="1596" t="n">
        <f aca="false">AC235*AD235/AE235</f>
        <v>0</v>
      </c>
      <c r="AG235" s="397" t="n">
        <f aca="false">VLOOKUP($A235,Plant_Table,'Plant Operations'!$M$270)</f>
        <v>0</v>
      </c>
      <c r="AH235" s="1575" t="n">
        <f aca="false">AF235*AG235/1000</f>
        <v>0</v>
      </c>
      <c r="AI235" s="1565" t="n">
        <f aca="false">AD235</f>
        <v>3.13455530754531</v>
      </c>
      <c r="AJ235" s="1566" t="n">
        <f aca="false">AH235/AI235</f>
        <v>0</v>
      </c>
      <c r="AK235" s="1567" t="str">
        <f aca="false">IF(MONTH($A235)=12,SUM(AJ224:AJ235)," ")</f>
        <v> </v>
      </c>
      <c r="AM235" s="488" t="n">
        <f aca="false">IF($A235&gt;Endyr,0,VLOOKUP($A235,Tariff_Table,Tariff!$L$33))</f>
        <v>0</v>
      </c>
      <c r="AN235" s="1576" t="n">
        <f aca="false">VLOOKUP($A235,Curves_Table,Escalation!$Z$291)</f>
        <v>1.69623664745388</v>
      </c>
      <c r="AO235" s="1314" t="n">
        <f aca="false">AM235*AN235</f>
        <v>0</v>
      </c>
      <c r="AP235" s="1314" t="n">
        <f aca="false">IF($A235&gt;Endyr,0,VLOOKUP($A235,Tariff_Table,Tariff!$M$33))</f>
        <v>0</v>
      </c>
      <c r="AQ235" s="1314" t="n">
        <f aca="false">SUM(AO235,AP235)</f>
        <v>0</v>
      </c>
      <c r="AR235" s="1314" t="n">
        <f aca="false">SUM(AM235,AP235)</f>
        <v>0</v>
      </c>
      <c r="AS235" s="1598" t="n">
        <f aca="false">IF(AR235=0,0,AQ235/AR235)</f>
        <v>0</v>
      </c>
    </row>
    <row r="236" customFormat="false" ht="12.75" hidden="false" customHeight="false" outlineLevel="0" collapsed="false">
      <c r="A236" s="1538" t="n">
        <f aca="false">EDATE(A235,1)</f>
        <v>43770</v>
      </c>
      <c r="C236" s="1595" t="n">
        <f aca="false">IF($A236&gt;Endyr,0,VLOOKUP($A236,Tariff_Table,Tariff!$G$33))</f>
        <v>0</v>
      </c>
      <c r="D236" s="1565" t="n">
        <f aca="false">VLOOKUP($A236,Curves_Table,Escalation!$V$291)</f>
        <v>1.77543572910631</v>
      </c>
      <c r="E236" s="1596" t="n">
        <f aca="false">C236*D236</f>
        <v>0</v>
      </c>
      <c r="F236" s="1565" t="n">
        <f aca="false">IF(Assm!$L$74=0,VLOOKUP($A236,Curves_Table,Escalation!$D$291),VLOOKUP($A236,Curves_Table,Escalation!$E$291))</f>
        <v>3.13455530754531</v>
      </c>
      <c r="G236" s="427" t="n">
        <f aca="false">IF($A236&lt;EE_Date,VLOOKUP($A236,Curves_Table,Escalation!$D$291),Exch)</f>
        <v>1.065</v>
      </c>
      <c r="H236" s="1596" t="n">
        <f aca="false">E236*F236/G236</f>
        <v>0</v>
      </c>
      <c r="I236" s="1540" t="n">
        <f aca="false">VLOOKUP($A236,Plant_Table,'Plant Operations'!$C$270)</f>
        <v>0</v>
      </c>
      <c r="J236" s="1575" t="n">
        <f aca="false">H236*I236/1000</f>
        <v>0</v>
      </c>
      <c r="K236" s="1565" t="n">
        <f aca="false">F236</f>
        <v>3.13455530754531</v>
      </c>
      <c r="L236" s="394" t="n">
        <f aca="false">J236/K236</f>
        <v>0</v>
      </c>
      <c r="M236" s="1579" t="str">
        <f aca="false">IF(MONTH($A236)=12,SUM(L225:L236)," ")</f>
        <v> </v>
      </c>
      <c r="O236" s="1597" t="n">
        <f aca="false">IF($A236&gt;Endyr,0,VLOOKUP($A236,Tariff_Table,Tariff!$H$33))</f>
        <v>0</v>
      </c>
      <c r="P236" s="1565" t="n">
        <f aca="false">$AS236</f>
        <v>0</v>
      </c>
      <c r="Q236" s="1575" t="n">
        <f aca="false">O236*P236</f>
        <v>0</v>
      </c>
      <c r="R236" s="1565" t="n">
        <f aca="false">$F236</f>
        <v>3.13455530754531</v>
      </c>
      <c r="S236" s="427" t="n">
        <f aca="false">$G236</f>
        <v>1.065</v>
      </c>
      <c r="T236" s="1575" t="n">
        <f aca="false">Q236*R236/S236</f>
        <v>0</v>
      </c>
      <c r="U236" s="1540" t="n">
        <f aca="false">$I236</f>
        <v>0</v>
      </c>
      <c r="V236" s="1575" t="n">
        <f aca="false">T236*U236/1000</f>
        <v>0</v>
      </c>
      <c r="W236" s="1565" t="n">
        <f aca="false">R236</f>
        <v>3.13455530754531</v>
      </c>
      <c r="X236" s="394" t="n">
        <f aca="false">V236/W236</f>
        <v>0</v>
      </c>
      <c r="Y236" s="1579" t="str">
        <f aca="false">IF(MONTH($A236)=12,SUM(X225:X236)," ")</f>
        <v> </v>
      </c>
      <c r="AA236" s="1595" t="n">
        <f aca="false">IF($A236&gt;Endyr,0,VLOOKUP($A236,Tariff_Table,Tariff!$I$33))</f>
        <v>0</v>
      </c>
      <c r="AB236" s="1565" t="n">
        <f aca="false">$AS236</f>
        <v>0</v>
      </c>
      <c r="AC236" s="1596" t="n">
        <f aca="false">AA236*AB236</f>
        <v>0</v>
      </c>
      <c r="AD236" s="1565" t="n">
        <f aca="false">$F236</f>
        <v>3.13455530754531</v>
      </c>
      <c r="AE236" s="427" t="n">
        <f aca="false">$G236</f>
        <v>1.065</v>
      </c>
      <c r="AF236" s="1596" t="n">
        <f aca="false">AC236*AD236/AE236</f>
        <v>0</v>
      </c>
      <c r="AG236" s="397" t="n">
        <f aca="false">VLOOKUP($A236,Plant_Table,'Plant Operations'!$M$270)</f>
        <v>0</v>
      </c>
      <c r="AH236" s="1575" t="n">
        <f aca="false">AF236*AG236/1000</f>
        <v>0</v>
      </c>
      <c r="AI236" s="1565" t="n">
        <f aca="false">AD236</f>
        <v>3.13455530754531</v>
      </c>
      <c r="AJ236" s="1566" t="n">
        <f aca="false">AH236/AI236</f>
        <v>0</v>
      </c>
      <c r="AK236" s="1567" t="str">
        <f aca="false">IF(MONTH($A236)=12,SUM(AJ225:AJ236)," ")</f>
        <v> </v>
      </c>
      <c r="AM236" s="488" t="n">
        <f aca="false">IF($A236&gt;Endyr,0,VLOOKUP($A236,Tariff_Table,Tariff!$L$33))</f>
        <v>0</v>
      </c>
      <c r="AN236" s="1576" t="n">
        <f aca="false">VLOOKUP($A236,Curves_Table,Escalation!$Z$291)</f>
        <v>1.69623664745388</v>
      </c>
      <c r="AO236" s="1314" t="n">
        <f aca="false">AM236*AN236</f>
        <v>0</v>
      </c>
      <c r="AP236" s="1314" t="n">
        <f aca="false">IF($A236&gt;Endyr,0,VLOOKUP($A236,Tariff_Table,Tariff!$M$33))</f>
        <v>0</v>
      </c>
      <c r="AQ236" s="1314" t="n">
        <f aca="false">SUM(AO236,AP236)</f>
        <v>0</v>
      </c>
      <c r="AR236" s="1314" t="n">
        <f aca="false">SUM(AM236,AP236)</f>
        <v>0</v>
      </c>
      <c r="AS236" s="1598" t="n">
        <f aca="false">IF(AR236=0,0,AQ236/AR236)</f>
        <v>0</v>
      </c>
    </row>
    <row r="237" customFormat="false" ht="12.75" hidden="false" customHeight="false" outlineLevel="0" collapsed="false">
      <c r="A237" s="1538" t="n">
        <f aca="false">EDATE(A236,1)</f>
        <v>43800</v>
      </c>
      <c r="C237" s="1595" t="n">
        <f aca="false">IF($A237&gt;Endyr,0,VLOOKUP($A237,Tariff_Table,Tariff!$G$33))</f>
        <v>0</v>
      </c>
      <c r="D237" s="1565" t="n">
        <f aca="false">VLOOKUP($A237,Curves_Table,Escalation!$V$291)</f>
        <v>1.77543572910631</v>
      </c>
      <c r="E237" s="1596" t="n">
        <f aca="false">C237*D237</f>
        <v>0</v>
      </c>
      <c r="F237" s="1565" t="n">
        <f aca="false">IF(Assm!$L$74=0,VLOOKUP($A237,Curves_Table,Escalation!$D$291),VLOOKUP($A237,Curves_Table,Escalation!$E$291))</f>
        <v>3.13455530754531</v>
      </c>
      <c r="G237" s="427" t="n">
        <f aca="false">IF($A237&lt;EE_Date,VLOOKUP($A237,Curves_Table,Escalation!$D$291),Exch)</f>
        <v>1.065</v>
      </c>
      <c r="H237" s="1596" t="n">
        <f aca="false">E237*F237/G237</f>
        <v>0</v>
      </c>
      <c r="I237" s="1540" t="n">
        <f aca="false">VLOOKUP($A237,Plant_Table,'Plant Operations'!$C$270)</f>
        <v>0</v>
      </c>
      <c r="J237" s="1575" t="n">
        <f aca="false">H237*I237/1000</f>
        <v>0</v>
      </c>
      <c r="K237" s="1565" t="n">
        <f aca="false">F237</f>
        <v>3.13455530754531</v>
      </c>
      <c r="L237" s="394" t="n">
        <f aca="false">J237/K237</f>
        <v>0</v>
      </c>
      <c r="M237" s="1579" t="n">
        <f aca="false">IF(MONTH($A237)=12,SUM(L226:L237)," ")</f>
        <v>23144.8411123675</v>
      </c>
      <c r="O237" s="1597" t="n">
        <f aca="false">IF($A237&gt;Endyr,0,VLOOKUP($A237,Tariff_Table,Tariff!$H$33))</f>
        <v>0</v>
      </c>
      <c r="P237" s="1565" t="n">
        <f aca="false">$AS237</f>
        <v>0</v>
      </c>
      <c r="Q237" s="1575" t="n">
        <f aca="false">O237*P237</f>
        <v>0</v>
      </c>
      <c r="R237" s="1565" t="n">
        <f aca="false">$F237</f>
        <v>3.13455530754531</v>
      </c>
      <c r="S237" s="427" t="n">
        <f aca="false">$G237</f>
        <v>1.065</v>
      </c>
      <c r="T237" s="1575" t="n">
        <f aca="false">Q237*R237/S237</f>
        <v>0</v>
      </c>
      <c r="U237" s="1540" t="n">
        <f aca="false">$I237</f>
        <v>0</v>
      </c>
      <c r="V237" s="1575" t="n">
        <f aca="false">T237*U237/1000</f>
        <v>0</v>
      </c>
      <c r="W237" s="1565" t="n">
        <f aca="false">R237</f>
        <v>3.13455530754531</v>
      </c>
      <c r="X237" s="394" t="n">
        <f aca="false">V237/W237</f>
        <v>0</v>
      </c>
      <c r="Y237" s="1579" t="n">
        <f aca="false">IF(MONTH($A237)=12,SUM(X226:X237)," ")</f>
        <v>17060.3416797087</v>
      </c>
      <c r="AA237" s="1595" t="n">
        <f aca="false">IF($A237&gt;Endyr,0,VLOOKUP($A237,Tariff_Table,Tariff!$I$33))</f>
        <v>0</v>
      </c>
      <c r="AB237" s="1565" t="n">
        <f aca="false">$AS237</f>
        <v>0</v>
      </c>
      <c r="AC237" s="1596" t="n">
        <f aca="false">AA237*AB237</f>
        <v>0</v>
      </c>
      <c r="AD237" s="1565" t="n">
        <f aca="false">$F237</f>
        <v>3.13455530754531</v>
      </c>
      <c r="AE237" s="427" t="n">
        <f aca="false">$G237</f>
        <v>1.065</v>
      </c>
      <c r="AF237" s="1596" t="n">
        <f aca="false">AC237*AD237/AE237</f>
        <v>0</v>
      </c>
      <c r="AG237" s="397" t="n">
        <f aca="false">VLOOKUP($A237,Plant_Table,'Plant Operations'!$M$270)</f>
        <v>0</v>
      </c>
      <c r="AH237" s="1575" t="n">
        <f aca="false">AF237*AG237/1000</f>
        <v>0</v>
      </c>
      <c r="AI237" s="1565" t="n">
        <f aca="false">AD237</f>
        <v>3.13455530754531</v>
      </c>
      <c r="AJ237" s="1566" t="n">
        <f aca="false">AH237/AI237</f>
        <v>0</v>
      </c>
      <c r="AK237" s="1567" t="n">
        <f aca="false">IF(MONTH($A237)=12,SUM(AJ226:AJ237)," ")</f>
        <v>3872.9043025748</v>
      </c>
      <c r="AM237" s="488" t="n">
        <f aca="false">IF($A237&gt;Endyr,0,VLOOKUP($A237,Tariff_Table,Tariff!$L$33))</f>
        <v>0</v>
      </c>
      <c r="AN237" s="1576" t="n">
        <f aca="false">VLOOKUP($A237,Curves_Table,Escalation!$Z$291)</f>
        <v>1.69623664745388</v>
      </c>
      <c r="AO237" s="1314" t="n">
        <f aca="false">AM237*AN237</f>
        <v>0</v>
      </c>
      <c r="AP237" s="1314" t="n">
        <f aca="false">IF($A237&gt;Endyr,0,VLOOKUP($A237,Tariff_Table,Tariff!$M$33))</f>
        <v>0</v>
      </c>
      <c r="AQ237" s="1314" t="n">
        <f aca="false">SUM(AO237,AP237)</f>
        <v>0</v>
      </c>
      <c r="AR237" s="1314" t="n">
        <f aca="false">SUM(AM237,AP237)</f>
        <v>0</v>
      </c>
      <c r="AS237" s="1598" t="n">
        <f aca="false">IF(AR237=0,0,AQ237/AR237)</f>
        <v>0</v>
      </c>
    </row>
    <row r="238" customFormat="false" ht="12.75" hidden="false" customHeight="false" outlineLevel="0" collapsed="false">
      <c r="A238" s="1538" t="n">
        <f aca="false">EDATE(A237,1)</f>
        <v>43831</v>
      </c>
      <c r="C238" s="1595" t="n">
        <f aca="false">IF($A238&gt;Endyr,0,VLOOKUP($A238,Tariff_Table,Tariff!$G$33))</f>
        <v>0</v>
      </c>
      <c r="D238" s="1565" t="n">
        <f aca="false">VLOOKUP($A238,Curves_Table,Escalation!$V$291)</f>
        <v>1.77543572910631</v>
      </c>
      <c r="E238" s="1596" t="n">
        <f aca="false">C238*D238</f>
        <v>0</v>
      </c>
      <c r="F238" s="1565" t="n">
        <f aca="false">IF(Assm!$L$74=0,VLOOKUP($A238,Curves_Table,Escalation!$D$291),VLOOKUP($A238,Curves_Table,Escalation!$E$291))</f>
        <v>3.13455530754531</v>
      </c>
      <c r="G238" s="427" t="n">
        <f aca="false">IF($A238&lt;EE_Date,VLOOKUP($A238,Curves_Table,Escalation!$D$291),Exch)</f>
        <v>1.065</v>
      </c>
      <c r="H238" s="1596" t="n">
        <f aca="false">E238*F238/G238</f>
        <v>0</v>
      </c>
      <c r="I238" s="1540" t="n">
        <f aca="false">VLOOKUP($A238,Plant_Table,'Plant Operations'!$C$270)</f>
        <v>0</v>
      </c>
      <c r="J238" s="1575" t="n">
        <f aca="false">H238*I238/1000</f>
        <v>0</v>
      </c>
      <c r="K238" s="1565" t="n">
        <f aca="false">F238</f>
        <v>3.13455530754531</v>
      </c>
      <c r="L238" s="394" t="n">
        <f aca="false">J238/K238</f>
        <v>0</v>
      </c>
      <c r="M238" s="1579" t="str">
        <f aca="false">IF(MONTH($A238)=12,SUM(L227:L238)," ")</f>
        <v> </v>
      </c>
      <c r="O238" s="1597" t="n">
        <f aca="false">IF($A238&gt;Endyr,0,VLOOKUP($A238,Tariff_Table,Tariff!$H$33))</f>
        <v>0</v>
      </c>
      <c r="P238" s="1565" t="n">
        <f aca="false">$AS238</f>
        <v>0</v>
      </c>
      <c r="Q238" s="1575" t="n">
        <f aca="false">O238*P238</f>
        <v>0</v>
      </c>
      <c r="R238" s="1565" t="n">
        <f aca="false">$F238</f>
        <v>3.13455530754531</v>
      </c>
      <c r="S238" s="427" t="n">
        <f aca="false">$G238</f>
        <v>1.065</v>
      </c>
      <c r="T238" s="1575" t="n">
        <f aca="false">Q238*R238/S238</f>
        <v>0</v>
      </c>
      <c r="U238" s="1540" t="n">
        <f aca="false">$I238</f>
        <v>0</v>
      </c>
      <c r="V238" s="1575" t="n">
        <f aca="false">T238*U238/1000</f>
        <v>0</v>
      </c>
      <c r="W238" s="1565" t="n">
        <f aca="false">R238</f>
        <v>3.13455530754531</v>
      </c>
      <c r="X238" s="394" t="n">
        <f aca="false">V238/W238</f>
        <v>0</v>
      </c>
      <c r="Y238" s="1579" t="str">
        <f aca="false">IF(MONTH($A238)=12,SUM(X227:X238)," ")</f>
        <v> </v>
      </c>
      <c r="AA238" s="1595" t="n">
        <f aca="false">IF($A238&gt;Endyr,0,VLOOKUP($A238,Tariff_Table,Tariff!$I$33))</f>
        <v>0</v>
      </c>
      <c r="AB238" s="1565" t="n">
        <f aca="false">$AS238</f>
        <v>0</v>
      </c>
      <c r="AC238" s="1596" t="n">
        <f aca="false">AA238*AB238</f>
        <v>0</v>
      </c>
      <c r="AD238" s="1565" t="n">
        <f aca="false">$F238</f>
        <v>3.13455530754531</v>
      </c>
      <c r="AE238" s="427" t="n">
        <f aca="false">$G238</f>
        <v>1.065</v>
      </c>
      <c r="AF238" s="1596" t="n">
        <f aca="false">AC238*AD238/AE238</f>
        <v>0</v>
      </c>
      <c r="AG238" s="397" t="n">
        <f aca="false">VLOOKUP($A238,Plant_Table,'Plant Operations'!$M$270)</f>
        <v>0</v>
      </c>
      <c r="AH238" s="1575" t="n">
        <f aca="false">AF238*AG238/1000</f>
        <v>0</v>
      </c>
      <c r="AI238" s="1565" t="n">
        <f aca="false">AD238</f>
        <v>3.13455530754531</v>
      </c>
      <c r="AJ238" s="1566" t="n">
        <f aca="false">AH238/AI238</f>
        <v>0</v>
      </c>
      <c r="AK238" s="1567" t="str">
        <f aca="false">IF(MONTH($A238)=12,SUM(AJ227:AJ238)," ")</f>
        <v> </v>
      </c>
      <c r="AM238" s="488" t="n">
        <f aca="false">IF($A238&gt;Endyr,0,VLOOKUP($A238,Tariff_Table,Tariff!$L$33))</f>
        <v>0</v>
      </c>
      <c r="AN238" s="1576" t="n">
        <f aca="false">VLOOKUP($A238,Curves_Table,Escalation!$Z$291)</f>
        <v>1.69623664745388</v>
      </c>
      <c r="AO238" s="1314" t="n">
        <f aca="false">AM238*AN238</f>
        <v>0</v>
      </c>
      <c r="AP238" s="1314" t="n">
        <f aca="false">IF($A238&gt;Endyr,0,VLOOKUP($A238,Tariff_Table,Tariff!$M$33))</f>
        <v>0</v>
      </c>
      <c r="AQ238" s="1314" t="n">
        <f aca="false">SUM(AO238,AP238)</f>
        <v>0</v>
      </c>
      <c r="AR238" s="1314" t="n">
        <f aca="false">SUM(AM238,AP238)</f>
        <v>0</v>
      </c>
      <c r="AS238" s="1598" t="n">
        <f aca="false">IF(AR238=0,0,AQ238/AR238)</f>
        <v>0</v>
      </c>
    </row>
    <row r="239" customFormat="false" ht="12.75" hidden="false" customHeight="false" outlineLevel="0" collapsed="false">
      <c r="A239" s="1538" t="n">
        <f aca="false">EDATE(A238,1)</f>
        <v>43862</v>
      </c>
      <c r="C239" s="1595" t="n">
        <f aca="false">IF($A239&gt;Endyr,0,VLOOKUP($A239,Tariff_Table,Tariff!$G$33))</f>
        <v>0</v>
      </c>
      <c r="D239" s="1565" t="n">
        <f aca="false">VLOOKUP($A239,Curves_Table,Escalation!$V$291)</f>
        <v>1.77543572910631</v>
      </c>
      <c r="E239" s="1596" t="n">
        <f aca="false">C239*D239</f>
        <v>0</v>
      </c>
      <c r="F239" s="1565" t="n">
        <f aca="false">IF(Assm!$L$74=0,VLOOKUP($A239,Curves_Table,Escalation!$D$291),VLOOKUP($A239,Curves_Table,Escalation!$E$291))</f>
        <v>3.13455530754531</v>
      </c>
      <c r="G239" s="427" t="n">
        <f aca="false">IF($A239&lt;EE_Date,VLOOKUP($A239,Curves_Table,Escalation!$D$291),Exch)</f>
        <v>1.065</v>
      </c>
      <c r="H239" s="1596" t="n">
        <f aca="false">E239*F239/G239</f>
        <v>0</v>
      </c>
      <c r="I239" s="1540" t="n">
        <f aca="false">VLOOKUP($A239,Plant_Table,'Plant Operations'!$C$270)</f>
        <v>0</v>
      </c>
      <c r="J239" s="1575" t="n">
        <f aca="false">H239*I239/1000</f>
        <v>0</v>
      </c>
      <c r="K239" s="1565" t="n">
        <f aca="false">F239</f>
        <v>3.13455530754531</v>
      </c>
      <c r="L239" s="394" t="n">
        <f aca="false">J239/K239</f>
        <v>0</v>
      </c>
      <c r="M239" s="1579" t="str">
        <f aca="false">IF(MONTH($A239)=12,SUM(L228:L239)," ")</f>
        <v> </v>
      </c>
      <c r="O239" s="1597" t="n">
        <f aca="false">IF($A239&gt;Endyr,0,VLOOKUP($A239,Tariff_Table,Tariff!$H$33))</f>
        <v>0</v>
      </c>
      <c r="P239" s="1565" t="n">
        <f aca="false">$AS239</f>
        <v>0</v>
      </c>
      <c r="Q239" s="1575" t="n">
        <f aca="false">O239*P239</f>
        <v>0</v>
      </c>
      <c r="R239" s="1565" t="n">
        <f aca="false">$F239</f>
        <v>3.13455530754531</v>
      </c>
      <c r="S239" s="427" t="n">
        <f aca="false">$G239</f>
        <v>1.065</v>
      </c>
      <c r="T239" s="1575" t="n">
        <f aca="false">Q239*R239/S239</f>
        <v>0</v>
      </c>
      <c r="U239" s="1540" t="n">
        <f aca="false">$I239</f>
        <v>0</v>
      </c>
      <c r="V239" s="1575" t="n">
        <f aca="false">T239*U239/1000</f>
        <v>0</v>
      </c>
      <c r="W239" s="1565" t="n">
        <f aca="false">R239</f>
        <v>3.13455530754531</v>
      </c>
      <c r="X239" s="394" t="n">
        <f aca="false">V239/W239</f>
        <v>0</v>
      </c>
      <c r="Y239" s="1579" t="str">
        <f aca="false">IF(MONTH($A239)=12,SUM(X228:X239)," ")</f>
        <v> </v>
      </c>
      <c r="AA239" s="1595" t="n">
        <f aca="false">IF($A239&gt;Endyr,0,VLOOKUP($A239,Tariff_Table,Tariff!$I$33))</f>
        <v>0</v>
      </c>
      <c r="AB239" s="1565" t="n">
        <f aca="false">$AS239</f>
        <v>0</v>
      </c>
      <c r="AC239" s="1596" t="n">
        <f aca="false">AA239*AB239</f>
        <v>0</v>
      </c>
      <c r="AD239" s="1565" t="n">
        <f aca="false">$F239</f>
        <v>3.13455530754531</v>
      </c>
      <c r="AE239" s="427" t="n">
        <f aca="false">$G239</f>
        <v>1.065</v>
      </c>
      <c r="AF239" s="1596" t="n">
        <f aca="false">AC239*AD239/AE239</f>
        <v>0</v>
      </c>
      <c r="AG239" s="397" t="n">
        <f aca="false">VLOOKUP($A239,Plant_Table,'Plant Operations'!$M$270)</f>
        <v>0</v>
      </c>
      <c r="AH239" s="1575" t="n">
        <f aca="false">AF239*AG239/1000</f>
        <v>0</v>
      </c>
      <c r="AI239" s="1565" t="n">
        <f aca="false">AD239</f>
        <v>3.13455530754531</v>
      </c>
      <c r="AJ239" s="1566" t="n">
        <f aca="false">AH239/AI239</f>
        <v>0</v>
      </c>
      <c r="AK239" s="1567" t="str">
        <f aca="false">IF(MONTH($A239)=12,SUM(AJ228:AJ239)," ")</f>
        <v> </v>
      </c>
      <c r="AM239" s="488" t="n">
        <f aca="false">IF($A239&gt;Endyr,0,VLOOKUP($A239,Tariff_Table,Tariff!$L$33))</f>
        <v>0</v>
      </c>
      <c r="AN239" s="1576" t="n">
        <f aca="false">VLOOKUP($A239,Curves_Table,Escalation!$Z$291)</f>
        <v>1.69623664745388</v>
      </c>
      <c r="AO239" s="1314" t="n">
        <f aca="false">AM239*AN239</f>
        <v>0</v>
      </c>
      <c r="AP239" s="1314" t="n">
        <f aca="false">IF($A239&gt;Endyr,0,VLOOKUP($A239,Tariff_Table,Tariff!$M$33))</f>
        <v>0</v>
      </c>
      <c r="AQ239" s="1314" t="n">
        <f aca="false">SUM(AO239,AP239)</f>
        <v>0</v>
      </c>
      <c r="AR239" s="1314" t="n">
        <f aca="false">SUM(AM239,AP239)</f>
        <v>0</v>
      </c>
      <c r="AS239" s="1598" t="n">
        <f aca="false">IF(AR239=0,0,AQ239/AR239)</f>
        <v>0</v>
      </c>
    </row>
    <row r="240" customFormat="false" ht="12.75" hidden="false" customHeight="false" outlineLevel="0" collapsed="false">
      <c r="A240" s="1538" t="n">
        <f aca="false">EDATE(A239,1)</f>
        <v>43891</v>
      </c>
      <c r="C240" s="1595" t="n">
        <f aca="false">IF($A240&gt;Endyr,0,VLOOKUP($A240,Tariff_Table,Tariff!$G$33))</f>
        <v>0</v>
      </c>
      <c r="D240" s="1565" t="n">
        <f aca="false">VLOOKUP($A240,Curves_Table,Escalation!$V$291)</f>
        <v>1.77543572910631</v>
      </c>
      <c r="E240" s="1596" t="n">
        <f aca="false">C240*D240</f>
        <v>0</v>
      </c>
      <c r="F240" s="1565" t="n">
        <f aca="false">IF(Assm!$L$74=0,VLOOKUP($A240,Curves_Table,Escalation!$D$291),VLOOKUP($A240,Curves_Table,Escalation!$E$291))</f>
        <v>3.13455530754531</v>
      </c>
      <c r="G240" s="427" t="n">
        <f aca="false">IF($A240&lt;EE_Date,VLOOKUP($A240,Curves_Table,Escalation!$D$291),Exch)</f>
        <v>1.065</v>
      </c>
      <c r="H240" s="1596" t="n">
        <f aca="false">E240*F240/G240</f>
        <v>0</v>
      </c>
      <c r="I240" s="1540" t="n">
        <f aca="false">VLOOKUP($A240,Plant_Table,'Plant Operations'!$C$270)</f>
        <v>0</v>
      </c>
      <c r="J240" s="1575" t="n">
        <f aca="false">H240*I240/1000</f>
        <v>0</v>
      </c>
      <c r="K240" s="1565" t="n">
        <f aca="false">F240</f>
        <v>3.13455530754531</v>
      </c>
      <c r="L240" s="394" t="n">
        <f aca="false">J240/K240</f>
        <v>0</v>
      </c>
      <c r="M240" s="1579" t="str">
        <f aca="false">IF(MONTH($A240)=12,SUM(L229:L240)," ")</f>
        <v> </v>
      </c>
      <c r="O240" s="1597" t="n">
        <f aca="false">IF($A240&gt;Endyr,0,VLOOKUP($A240,Tariff_Table,Tariff!$H$33))</f>
        <v>0</v>
      </c>
      <c r="P240" s="1565" t="n">
        <f aca="false">$AS240</f>
        <v>0</v>
      </c>
      <c r="Q240" s="1575" t="n">
        <f aca="false">O240*P240</f>
        <v>0</v>
      </c>
      <c r="R240" s="1565" t="n">
        <f aca="false">$F240</f>
        <v>3.13455530754531</v>
      </c>
      <c r="S240" s="427" t="n">
        <f aca="false">$G240</f>
        <v>1.065</v>
      </c>
      <c r="T240" s="1575" t="n">
        <f aca="false">Q240*R240/S240</f>
        <v>0</v>
      </c>
      <c r="U240" s="1540" t="n">
        <f aca="false">$I240</f>
        <v>0</v>
      </c>
      <c r="V240" s="1575" t="n">
        <f aca="false">T240*U240/1000</f>
        <v>0</v>
      </c>
      <c r="W240" s="1565" t="n">
        <f aca="false">R240</f>
        <v>3.13455530754531</v>
      </c>
      <c r="X240" s="394" t="n">
        <f aca="false">V240/W240</f>
        <v>0</v>
      </c>
      <c r="Y240" s="1579" t="str">
        <f aca="false">IF(MONTH($A240)=12,SUM(X229:X240)," ")</f>
        <v> </v>
      </c>
      <c r="AA240" s="1595" t="n">
        <f aca="false">IF($A240&gt;Endyr,0,VLOOKUP($A240,Tariff_Table,Tariff!$I$33))</f>
        <v>0</v>
      </c>
      <c r="AB240" s="1565" t="n">
        <f aca="false">$AS240</f>
        <v>0</v>
      </c>
      <c r="AC240" s="1596" t="n">
        <f aca="false">AA240*AB240</f>
        <v>0</v>
      </c>
      <c r="AD240" s="1565" t="n">
        <f aca="false">$F240</f>
        <v>3.13455530754531</v>
      </c>
      <c r="AE240" s="427" t="n">
        <f aca="false">$G240</f>
        <v>1.065</v>
      </c>
      <c r="AF240" s="1596" t="n">
        <f aca="false">AC240*AD240/AE240</f>
        <v>0</v>
      </c>
      <c r="AG240" s="397" t="n">
        <f aca="false">VLOOKUP($A240,Plant_Table,'Plant Operations'!$M$270)</f>
        <v>0</v>
      </c>
      <c r="AH240" s="1575" t="n">
        <f aca="false">AF240*AG240/1000</f>
        <v>0</v>
      </c>
      <c r="AI240" s="1565" t="n">
        <f aca="false">AD240</f>
        <v>3.13455530754531</v>
      </c>
      <c r="AJ240" s="1566" t="n">
        <f aca="false">AH240/AI240</f>
        <v>0</v>
      </c>
      <c r="AK240" s="1567" t="str">
        <f aca="false">IF(MONTH($A240)=12,SUM(AJ229:AJ240)," ")</f>
        <v> </v>
      </c>
      <c r="AM240" s="488" t="n">
        <f aca="false">IF($A240&gt;Endyr,0,VLOOKUP($A240,Tariff_Table,Tariff!$L$33))</f>
        <v>0</v>
      </c>
      <c r="AN240" s="1576" t="n">
        <f aca="false">VLOOKUP($A240,Curves_Table,Escalation!$Z$291)</f>
        <v>1.69623664745388</v>
      </c>
      <c r="AO240" s="1314" t="n">
        <f aca="false">AM240*AN240</f>
        <v>0</v>
      </c>
      <c r="AP240" s="1314" t="n">
        <f aca="false">IF($A240&gt;Endyr,0,VLOOKUP($A240,Tariff_Table,Tariff!$M$33))</f>
        <v>0</v>
      </c>
      <c r="AQ240" s="1314" t="n">
        <f aca="false">SUM(AO240,AP240)</f>
        <v>0</v>
      </c>
      <c r="AR240" s="1314" t="n">
        <f aca="false">SUM(AM240,AP240)</f>
        <v>0</v>
      </c>
      <c r="AS240" s="1598" t="n">
        <f aca="false">IF(AR240=0,0,AQ240/AR240)</f>
        <v>0</v>
      </c>
    </row>
    <row r="241" customFormat="false" ht="12.75" hidden="false" customHeight="false" outlineLevel="0" collapsed="false">
      <c r="A241" s="1538" t="n">
        <f aca="false">EDATE(A240,1)</f>
        <v>43922</v>
      </c>
      <c r="C241" s="1595" t="n">
        <f aca="false">IF($A241&gt;Endyr,0,VLOOKUP($A241,Tariff_Table,Tariff!$G$33))</f>
        <v>0</v>
      </c>
      <c r="D241" s="1565" t="n">
        <f aca="false">VLOOKUP($A241,Curves_Table,Escalation!$V$291)</f>
        <v>1.77543572910631</v>
      </c>
      <c r="E241" s="1596" t="n">
        <f aca="false">C241*D241</f>
        <v>0</v>
      </c>
      <c r="F241" s="1565" t="n">
        <f aca="false">IF(Assm!$L$74=0,VLOOKUP($A241,Curves_Table,Escalation!$D$291),VLOOKUP($A241,Curves_Table,Escalation!$E$291))</f>
        <v>3.13455530754531</v>
      </c>
      <c r="G241" s="427" t="n">
        <f aca="false">IF($A241&lt;EE_Date,VLOOKUP($A241,Curves_Table,Escalation!$D$291),Exch)</f>
        <v>1.065</v>
      </c>
      <c r="H241" s="1596" t="n">
        <f aca="false">E241*F241/G241</f>
        <v>0</v>
      </c>
      <c r="I241" s="1540" t="n">
        <f aca="false">VLOOKUP($A241,Plant_Table,'Plant Operations'!$C$270)</f>
        <v>0</v>
      </c>
      <c r="J241" s="1575" t="n">
        <f aca="false">H241*I241/1000</f>
        <v>0</v>
      </c>
      <c r="K241" s="1565" t="n">
        <f aca="false">F241</f>
        <v>3.13455530754531</v>
      </c>
      <c r="L241" s="394" t="n">
        <f aca="false">J241/K241</f>
        <v>0</v>
      </c>
      <c r="M241" s="1579" t="str">
        <f aca="false">IF(MONTH($A241)=12,SUM(L230:L241)," ")</f>
        <v> </v>
      </c>
      <c r="O241" s="1597" t="n">
        <f aca="false">IF($A241&gt;Endyr,0,VLOOKUP($A241,Tariff_Table,Tariff!$H$33))</f>
        <v>0</v>
      </c>
      <c r="P241" s="1565" t="n">
        <f aca="false">$AS241</f>
        <v>0</v>
      </c>
      <c r="Q241" s="1575" t="n">
        <f aca="false">O241*P241</f>
        <v>0</v>
      </c>
      <c r="R241" s="1565" t="n">
        <f aca="false">$F241</f>
        <v>3.13455530754531</v>
      </c>
      <c r="S241" s="427" t="n">
        <f aca="false">$G241</f>
        <v>1.065</v>
      </c>
      <c r="T241" s="1575" t="n">
        <f aca="false">Q241*R241/S241</f>
        <v>0</v>
      </c>
      <c r="U241" s="1540" t="n">
        <f aca="false">$I241</f>
        <v>0</v>
      </c>
      <c r="V241" s="1575" t="n">
        <f aca="false">T241*U241/1000</f>
        <v>0</v>
      </c>
      <c r="W241" s="1565" t="n">
        <f aca="false">R241</f>
        <v>3.13455530754531</v>
      </c>
      <c r="X241" s="394" t="n">
        <f aca="false">V241/W241</f>
        <v>0</v>
      </c>
      <c r="Y241" s="1579" t="str">
        <f aca="false">IF(MONTH($A241)=12,SUM(X230:X241)," ")</f>
        <v> </v>
      </c>
      <c r="AA241" s="1595" t="n">
        <f aca="false">IF($A241&gt;Endyr,0,VLOOKUP($A241,Tariff_Table,Tariff!$I$33))</f>
        <v>0</v>
      </c>
      <c r="AB241" s="1565" t="n">
        <f aca="false">$AS241</f>
        <v>0</v>
      </c>
      <c r="AC241" s="1596" t="n">
        <f aca="false">AA241*AB241</f>
        <v>0</v>
      </c>
      <c r="AD241" s="1565" t="n">
        <f aca="false">$F241</f>
        <v>3.13455530754531</v>
      </c>
      <c r="AE241" s="427" t="n">
        <f aca="false">$G241</f>
        <v>1.065</v>
      </c>
      <c r="AF241" s="1596" t="n">
        <f aca="false">AC241*AD241/AE241</f>
        <v>0</v>
      </c>
      <c r="AG241" s="397" t="n">
        <f aca="false">VLOOKUP($A241,Plant_Table,'Plant Operations'!$M$270)</f>
        <v>0</v>
      </c>
      <c r="AH241" s="1575" t="n">
        <f aca="false">AF241*AG241/1000</f>
        <v>0</v>
      </c>
      <c r="AI241" s="1565" t="n">
        <f aca="false">AD241</f>
        <v>3.13455530754531</v>
      </c>
      <c r="AJ241" s="1566" t="n">
        <f aca="false">AH241/AI241</f>
        <v>0</v>
      </c>
      <c r="AK241" s="1567" t="str">
        <f aca="false">IF(MONTH($A241)=12,SUM(AJ230:AJ241)," ")</f>
        <v> </v>
      </c>
      <c r="AM241" s="488" t="n">
        <f aca="false">IF($A241&gt;Endyr,0,VLOOKUP($A241,Tariff_Table,Tariff!$L$33))</f>
        <v>0</v>
      </c>
      <c r="AN241" s="1576" t="n">
        <f aca="false">VLOOKUP($A241,Curves_Table,Escalation!$Z$291)</f>
        <v>1.69623664745388</v>
      </c>
      <c r="AO241" s="1314" t="n">
        <f aca="false">AM241*AN241</f>
        <v>0</v>
      </c>
      <c r="AP241" s="1314" t="n">
        <f aca="false">IF($A241&gt;Endyr,0,VLOOKUP($A241,Tariff_Table,Tariff!$M$33))</f>
        <v>0</v>
      </c>
      <c r="AQ241" s="1314" t="n">
        <f aca="false">SUM(AO241,AP241)</f>
        <v>0</v>
      </c>
      <c r="AR241" s="1314" t="n">
        <f aca="false">SUM(AM241,AP241)</f>
        <v>0</v>
      </c>
      <c r="AS241" s="1598" t="n">
        <f aca="false">IF(AR241=0,0,AQ241/AR241)</f>
        <v>0</v>
      </c>
    </row>
    <row r="242" customFormat="false" ht="12.75" hidden="false" customHeight="false" outlineLevel="0" collapsed="false">
      <c r="A242" s="1538" t="n">
        <f aca="false">EDATE(A241,1)</f>
        <v>43952</v>
      </c>
      <c r="C242" s="1595" t="n">
        <f aca="false">IF($A242&gt;Endyr,0,VLOOKUP($A242,Tariff_Table,Tariff!$G$33))</f>
        <v>0</v>
      </c>
      <c r="D242" s="1565" t="n">
        <f aca="false">VLOOKUP($A242,Curves_Table,Escalation!$V$291)</f>
        <v>1.77543572910631</v>
      </c>
      <c r="E242" s="1596" t="n">
        <f aca="false">C242*D242</f>
        <v>0</v>
      </c>
      <c r="F242" s="1565" t="n">
        <f aca="false">IF(Assm!$L$74=0,VLOOKUP($A242,Curves_Table,Escalation!$D$291),VLOOKUP($A242,Curves_Table,Escalation!$E$291))</f>
        <v>3.13455530754531</v>
      </c>
      <c r="G242" s="427" t="n">
        <f aca="false">IF($A242&lt;EE_Date,VLOOKUP($A242,Curves_Table,Escalation!$D$291),Exch)</f>
        <v>1.065</v>
      </c>
      <c r="H242" s="1596" t="n">
        <f aca="false">E242*F242/G242</f>
        <v>0</v>
      </c>
      <c r="I242" s="1540" t="n">
        <f aca="false">VLOOKUP($A242,Plant_Table,'Plant Operations'!$C$270)</f>
        <v>0</v>
      </c>
      <c r="J242" s="1575" t="n">
        <f aca="false">H242*I242/1000</f>
        <v>0</v>
      </c>
      <c r="K242" s="1565" t="n">
        <f aca="false">F242</f>
        <v>3.13455530754531</v>
      </c>
      <c r="L242" s="394" t="n">
        <f aca="false">J242/K242</f>
        <v>0</v>
      </c>
      <c r="M242" s="1579" t="str">
        <f aca="false">IF(MONTH($A242)=12,SUM(L231:L242)," ")</f>
        <v> </v>
      </c>
      <c r="O242" s="1597" t="n">
        <f aca="false">IF($A242&gt;Endyr,0,VLOOKUP($A242,Tariff_Table,Tariff!$H$33))</f>
        <v>0</v>
      </c>
      <c r="P242" s="1565" t="n">
        <f aca="false">$AS242</f>
        <v>0</v>
      </c>
      <c r="Q242" s="1575" t="n">
        <f aca="false">O242*P242</f>
        <v>0</v>
      </c>
      <c r="R242" s="1565" t="n">
        <f aca="false">$F242</f>
        <v>3.13455530754531</v>
      </c>
      <c r="S242" s="427" t="n">
        <f aca="false">$G242</f>
        <v>1.065</v>
      </c>
      <c r="T242" s="1575" t="n">
        <f aca="false">Q242*R242/S242</f>
        <v>0</v>
      </c>
      <c r="U242" s="1540" t="n">
        <f aca="false">$I242</f>
        <v>0</v>
      </c>
      <c r="V242" s="1575" t="n">
        <f aca="false">T242*U242/1000</f>
        <v>0</v>
      </c>
      <c r="W242" s="1565" t="n">
        <f aca="false">R242</f>
        <v>3.13455530754531</v>
      </c>
      <c r="X242" s="394" t="n">
        <f aca="false">V242/W242</f>
        <v>0</v>
      </c>
      <c r="Y242" s="1579" t="str">
        <f aca="false">IF(MONTH($A242)=12,SUM(X231:X242)," ")</f>
        <v> </v>
      </c>
      <c r="AA242" s="1595" t="n">
        <f aca="false">IF($A242&gt;Endyr,0,VLOOKUP($A242,Tariff_Table,Tariff!$I$33))</f>
        <v>0</v>
      </c>
      <c r="AB242" s="1565" t="n">
        <f aca="false">$AS242</f>
        <v>0</v>
      </c>
      <c r="AC242" s="1596" t="n">
        <f aca="false">AA242*AB242</f>
        <v>0</v>
      </c>
      <c r="AD242" s="1565" t="n">
        <f aca="false">$F242</f>
        <v>3.13455530754531</v>
      </c>
      <c r="AE242" s="427" t="n">
        <f aca="false">$G242</f>
        <v>1.065</v>
      </c>
      <c r="AF242" s="1596" t="n">
        <f aca="false">AC242*AD242/AE242</f>
        <v>0</v>
      </c>
      <c r="AG242" s="397" t="n">
        <f aca="false">VLOOKUP($A242,Plant_Table,'Plant Operations'!$M$270)</f>
        <v>0</v>
      </c>
      <c r="AH242" s="1575" t="n">
        <f aca="false">AF242*AG242/1000</f>
        <v>0</v>
      </c>
      <c r="AI242" s="1565" t="n">
        <f aca="false">AD242</f>
        <v>3.13455530754531</v>
      </c>
      <c r="AJ242" s="1566" t="n">
        <f aca="false">AH242/AI242</f>
        <v>0</v>
      </c>
      <c r="AK242" s="1567" t="str">
        <f aca="false">IF(MONTH($A242)=12,SUM(AJ231:AJ242)," ")</f>
        <v> </v>
      </c>
      <c r="AM242" s="488" t="n">
        <f aca="false">IF($A242&gt;Endyr,0,VLOOKUP($A242,Tariff_Table,Tariff!$L$33))</f>
        <v>0</v>
      </c>
      <c r="AN242" s="1576" t="n">
        <f aca="false">VLOOKUP($A242,Curves_Table,Escalation!$Z$291)</f>
        <v>1.69623664745388</v>
      </c>
      <c r="AO242" s="1314" t="n">
        <f aca="false">AM242*AN242</f>
        <v>0</v>
      </c>
      <c r="AP242" s="1314" t="n">
        <f aca="false">IF($A242&gt;Endyr,0,VLOOKUP($A242,Tariff_Table,Tariff!$M$33))</f>
        <v>0</v>
      </c>
      <c r="AQ242" s="1314" t="n">
        <f aca="false">SUM(AO242,AP242)</f>
        <v>0</v>
      </c>
      <c r="AR242" s="1314" t="n">
        <f aca="false">SUM(AM242,AP242)</f>
        <v>0</v>
      </c>
      <c r="AS242" s="1598" t="n">
        <f aca="false">IF(AR242=0,0,AQ242/AR242)</f>
        <v>0</v>
      </c>
    </row>
    <row r="243" customFormat="false" ht="12.75" hidden="false" customHeight="false" outlineLevel="0" collapsed="false">
      <c r="A243" s="1538" t="n">
        <f aca="false">EDATE(A242,1)</f>
        <v>43983</v>
      </c>
      <c r="C243" s="1595" t="n">
        <f aca="false">IF($A243&gt;Endyr,0,VLOOKUP($A243,Tariff_Table,Tariff!$G$33))</f>
        <v>0</v>
      </c>
      <c r="D243" s="1565" t="n">
        <f aca="false">VLOOKUP($A243,Curves_Table,Escalation!$V$291)</f>
        <v>1.77543572910631</v>
      </c>
      <c r="E243" s="1596" t="n">
        <f aca="false">C243*D243</f>
        <v>0</v>
      </c>
      <c r="F243" s="1565" t="n">
        <f aca="false">IF(Assm!$L$74=0,VLOOKUP($A243,Curves_Table,Escalation!$D$291),VLOOKUP($A243,Curves_Table,Escalation!$E$291))</f>
        <v>3.13455530754531</v>
      </c>
      <c r="G243" s="427" t="n">
        <f aca="false">IF($A243&lt;EE_Date,VLOOKUP($A243,Curves_Table,Escalation!$D$291),Exch)</f>
        <v>1.065</v>
      </c>
      <c r="H243" s="1596" t="n">
        <f aca="false">E243*F243/G243</f>
        <v>0</v>
      </c>
      <c r="I243" s="1540" t="n">
        <f aca="false">VLOOKUP($A243,Plant_Table,'Plant Operations'!$C$270)</f>
        <v>0</v>
      </c>
      <c r="J243" s="1575" t="n">
        <f aca="false">H243*I243/1000</f>
        <v>0</v>
      </c>
      <c r="K243" s="1565" t="n">
        <f aca="false">F243</f>
        <v>3.13455530754531</v>
      </c>
      <c r="L243" s="394" t="n">
        <f aca="false">J243/K243</f>
        <v>0</v>
      </c>
      <c r="M243" s="1579" t="str">
        <f aca="false">IF(MONTH($A243)=12,SUM(L232:L243)," ")</f>
        <v> </v>
      </c>
      <c r="O243" s="1597" t="n">
        <f aca="false">IF($A243&gt;Endyr,0,VLOOKUP($A243,Tariff_Table,Tariff!$H$33))</f>
        <v>0</v>
      </c>
      <c r="P243" s="1565" t="n">
        <f aca="false">$AS243</f>
        <v>0</v>
      </c>
      <c r="Q243" s="1575" t="n">
        <f aca="false">O243*P243</f>
        <v>0</v>
      </c>
      <c r="R243" s="1565" t="n">
        <f aca="false">$F243</f>
        <v>3.13455530754531</v>
      </c>
      <c r="S243" s="427" t="n">
        <f aca="false">$G243</f>
        <v>1.065</v>
      </c>
      <c r="T243" s="1575" t="n">
        <f aca="false">Q243*R243/S243</f>
        <v>0</v>
      </c>
      <c r="U243" s="1540" t="n">
        <f aca="false">$I243</f>
        <v>0</v>
      </c>
      <c r="V243" s="1575" t="n">
        <f aca="false">T243*U243/1000</f>
        <v>0</v>
      </c>
      <c r="W243" s="1565" t="n">
        <f aca="false">R243</f>
        <v>3.13455530754531</v>
      </c>
      <c r="X243" s="394" t="n">
        <f aca="false">V243/W243</f>
        <v>0</v>
      </c>
      <c r="Y243" s="1579" t="str">
        <f aca="false">IF(MONTH($A243)=12,SUM(X232:X243)," ")</f>
        <v> </v>
      </c>
      <c r="AA243" s="1595" t="n">
        <f aca="false">IF($A243&gt;Endyr,0,VLOOKUP($A243,Tariff_Table,Tariff!$I$33))</f>
        <v>0</v>
      </c>
      <c r="AB243" s="1565" t="n">
        <f aca="false">$AS243</f>
        <v>0</v>
      </c>
      <c r="AC243" s="1596" t="n">
        <f aca="false">AA243*AB243</f>
        <v>0</v>
      </c>
      <c r="AD243" s="1565" t="n">
        <f aca="false">$F243</f>
        <v>3.13455530754531</v>
      </c>
      <c r="AE243" s="427" t="n">
        <f aca="false">$G243</f>
        <v>1.065</v>
      </c>
      <c r="AF243" s="1596" t="n">
        <f aca="false">AC243*AD243/AE243</f>
        <v>0</v>
      </c>
      <c r="AG243" s="397" t="n">
        <f aca="false">VLOOKUP($A243,Plant_Table,'Plant Operations'!$M$270)</f>
        <v>0</v>
      </c>
      <c r="AH243" s="1575" t="n">
        <f aca="false">AF243*AG243/1000</f>
        <v>0</v>
      </c>
      <c r="AI243" s="1565" t="n">
        <f aca="false">AD243</f>
        <v>3.13455530754531</v>
      </c>
      <c r="AJ243" s="1566" t="n">
        <f aca="false">AH243/AI243</f>
        <v>0</v>
      </c>
      <c r="AK243" s="1567" t="str">
        <f aca="false">IF(MONTH($A243)=12,SUM(AJ232:AJ243)," ")</f>
        <v> </v>
      </c>
      <c r="AM243" s="488" t="n">
        <f aca="false">IF($A243&gt;Endyr,0,VLOOKUP($A243,Tariff_Table,Tariff!$L$33))</f>
        <v>0</v>
      </c>
      <c r="AN243" s="1576" t="n">
        <f aca="false">VLOOKUP($A243,Curves_Table,Escalation!$Z$291)</f>
        <v>1.69623664745388</v>
      </c>
      <c r="AO243" s="1314" t="n">
        <f aca="false">AM243*AN243</f>
        <v>0</v>
      </c>
      <c r="AP243" s="1314" t="n">
        <f aca="false">IF($A243&gt;Endyr,0,VLOOKUP($A243,Tariff_Table,Tariff!$M$33))</f>
        <v>0</v>
      </c>
      <c r="AQ243" s="1314" t="n">
        <f aca="false">SUM(AO243,AP243)</f>
        <v>0</v>
      </c>
      <c r="AR243" s="1314" t="n">
        <f aca="false">SUM(AM243,AP243)</f>
        <v>0</v>
      </c>
      <c r="AS243" s="1598" t="n">
        <f aca="false">IF(AR243=0,0,AQ243/AR243)</f>
        <v>0</v>
      </c>
    </row>
    <row r="244" customFormat="false" ht="12.75" hidden="false" customHeight="false" outlineLevel="0" collapsed="false">
      <c r="A244" s="1538" t="n">
        <f aca="false">EDATE(A243,1)</f>
        <v>44013</v>
      </c>
      <c r="C244" s="1595" t="n">
        <f aca="false">IF($A244&gt;Endyr,0,VLOOKUP($A244,Tariff_Table,Tariff!$G$33))</f>
        <v>0</v>
      </c>
      <c r="D244" s="1565" t="n">
        <f aca="false">VLOOKUP($A244,Curves_Table,Escalation!$V$291)</f>
        <v>1.77543572910631</v>
      </c>
      <c r="E244" s="1596" t="n">
        <f aca="false">C244*D244</f>
        <v>0</v>
      </c>
      <c r="F244" s="1565" t="n">
        <f aca="false">IF(Assm!$L$74=0,VLOOKUP($A244,Curves_Table,Escalation!$D$291),VLOOKUP($A244,Curves_Table,Escalation!$E$291))</f>
        <v>3.13455530754531</v>
      </c>
      <c r="G244" s="427" t="n">
        <f aca="false">IF($A244&lt;EE_Date,VLOOKUP($A244,Curves_Table,Escalation!$D$291),Exch)</f>
        <v>1.065</v>
      </c>
      <c r="H244" s="1596" t="n">
        <f aca="false">E244*F244/G244</f>
        <v>0</v>
      </c>
      <c r="I244" s="1540" t="n">
        <f aca="false">VLOOKUP($A244,Plant_Table,'Plant Operations'!$C$270)</f>
        <v>0</v>
      </c>
      <c r="J244" s="1575" t="n">
        <f aca="false">H244*I244/1000</f>
        <v>0</v>
      </c>
      <c r="K244" s="1565" t="n">
        <f aca="false">F244</f>
        <v>3.13455530754531</v>
      </c>
      <c r="L244" s="394" t="n">
        <f aca="false">J244/K244</f>
        <v>0</v>
      </c>
      <c r="M244" s="1579" t="str">
        <f aca="false">IF(MONTH($A244)=12,SUM(L233:L244)," ")</f>
        <v> </v>
      </c>
      <c r="O244" s="1597" t="n">
        <f aca="false">IF($A244&gt;Endyr,0,VLOOKUP($A244,Tariff_Table,Tariff!$H$33))</f>
        <v>0</v>
      </c>
      <c r="P244" s="1565" t="n">
        <f aca="false">$AS244</f>
        <v>0</v>
      </c>
      <c r="Q244" s="1575" t="n">
        <f aca="false">O244*P244</f>
        <v>0</v>
      </c>
      <c r="R244" s="1565" t="n">
        <f aca="false">$F244</f>
        <v>3.13455530754531</v>
      </c>
      <c r="S244" s="427" t="n">
        <f aca="false">$G244</f>
        <v>1.065</v>
      </c>
      <c r="T244" s="1575" t="n">
        <f aca="false">Q244*R244/S244</f>
        <v>0</v>
      </c>
      <c r="U244" s="1540" t="n">
        <f aca="false">$I244</f>
        <v>0</v>
      </c>
      <c r="V244" s="1575" t="n">
        <f aca="false">T244*U244/1000</f>
        <v>0</v>
      </c>
      <c r="W244" s="1565" t="n">
        <f aca="false">R244</f>
        <v>3.13455530754531</v>
      </c>
      <c r="X244" s="394" t="n">
        <f aca="false">V244/W244</f>
        <v>0</v>
      </c>
      <c r="Y244" s="1579" t="str">
        <f aca="false">IF(MONTH($A244)=12,SUM(X233:X244)," ")</f>
        <v> </v>
      </c>
      <c r="AA244" s="1595" t="n">
        <f aca="false">IF($A244&gt;Endyr,0,VLOOKUP($A244,Tariff_Table,Tariff!$I$33))</f>
        <v>0</v>
      </c>
      <c r="AB244" s="1565" t="n">
        <f aca="false">$AS244</f>
        <v>0</v>
      </c>
      <c r="AC244" s="1596" t="n">
        <f aca="false">AA244*AB244</f>
        <v>0</v>
      </c>
      <c r="AD244" s="1565" t="n">
        <f aca="false">$F244</f>
        <v>3.13455530754531</v>
      </c>
      <c r="AE244" s="427" t="n">
        <f aca="false">$G244</f>
        <v>1.065</v>
      </c>
      <c r="AF244" s="1596" t="n">
        <f aca="false">AC244*AD244/AE244</f>
        <v>0</v>
      </c>
      <c r="AG244" s="397" t="n">
        <f aca="false">VLOOKUP($A244,Plant_Table,'Plant Operations'!$M$270)</f>
        <v>0</v>
      </c>
      <c r="AH244" s="1575" t="n">
        <f aca="false">AF244*AG244/1000</f>
        <v>0</v>
      </c>
      <c r="AI244" s="1565" t="n">
        <f aca="false">AD244</f>
        <v>3.13455530754531</v>
      </c>
      <c r="AJ244" s="1566" t="n">
        <f aca="false">AH244/AI244</f>
        <v>0</v>
      </c>
      <c r="AK244" s="1567" t="str">
        <f aca="false">IF(MONTH($A244)=12,SUM(AJ233:AJ244)," ")</f>
        <v> </v>
      </c>
      <c r="AM244" s="488" t="n">
        <f aca="false">IF($A244&gt;Endyr,0,VLOOKUP($A244,Tariff_Table,Tariff!$L$33))</f>
        <v>0</v>
      </c>
      <c r="AN244" s="1576" t="n">
        <f aca="false">VLOOKUP($A244,Curves_Table,Escalation!$Z$291)</f>
        <v>1.69623664745388</v>
      </c>
      <c r="AO244" s="1314" t="n">
        <f aca="false">AM244*AN244</f>
        <v>0</v>
      </c>
      <c r="AP244" s="1314" t="n">
        <f aca="false">IF($A244&gt;Endyr,0,VLOOKUP($A244,Tariff_Table,Tariff!$M$33))</f>
        <v>0</v>
      </c>
      <c r="AQ244" s="1314" t="n">
        <f aca="false">SUM(AO244,AP244)</f>
        <v>0</v>
      </c>
      <c r="AR244" s="1314" t="n">
        <f aca="false">SUM(AM244,AP244)</f>
        <v>0</v>
      </c>
      <c r="AS244" s="1598" t="n">
        <f aca="false">IF(AR244=0,0,AQ244/AR244)</f>
        <v>0</v>
      </c>
    </row>
    <row r="245" customFormat="false" ht="12.75" hidden="false" customHeight="false" outlineLevel="0" collapsed="false">
      <c r="A245" s="1538" t="n">
        <f aca="false">EDATE(A244,1)</f>
        <v>44044</v>
      </c>
      <c r="C245" s="1595" t="n">
        <f aca="false">IF($A245&gt;Endyr,0,VLOOKUP($A245,Tariff_Table,Tariff!$G$33))</f>
        <v>0</v>
      </c>
      <c r="D245" s="1565" t="n">
        <f aca="false">VLOOKUP($A245,Curves_Table,Escalation!$V$291)</f>
        <v>1.77543572910631</v>
      </c>
      <c r="E245" s="1596" t="n">
        <f aca="false">C245*D245</f>
        <v>0</v>
      </c>
      <c r="F245" s="1565" t="n">
        <f aca="false">IF(Assm!$L$74=0,VLOOKUP($A245,Curves_Table,Escalation!$D$291),VLOOKUP($A245,Curves_Table,Escalation!$E$291))</f>
        <v>3.13455530754531</v>
      </c>
      <c r="G245" s="427" t="n">
        <f aca="false">IF($A245&lt;EE_Date,VLOOKUP($A245,Curves_Table,Escalation!$D$291),Exch)</f>
        <v>1.065</v>
      </c>
      <c r="H245" s="1596" t="n">
        <f aca="false">E245*F245/G245</f>
        <v>0</v>
      </c>
      <c r="I245" s="1540" t="n">
        <f aca="false">VLOOKUP($A245,Plant_Table,'Plant Operations'!$C$270)</f>
        <v>0</v>
      </c>
      <c r="J245" s="1575" t="n">
        <f aca="false">H245*I245/1000</f>
        <v>0</v>
      </c>
      <c r="K245" s="1565" t="n">
        <f aca="false">F245</f>
        <v>3.13455530754531</v>
      </c>
      <c r="L245" s="394" t="n">
        <f aca="false">J245/K245</f>
        <v>0</v>
      </c>
      <c r="M245" s="1579" t="str">
        <f aca="false">IF(MONTH($A245)=12,SUM(L234:L245)," ")</f>
        <v> </v>
      </c>
      <c r="O245" s="1597" t="n">
        <f aca="false">IF($A245&gt;Endyr,0,VLOOKUP($A245,Tariff_Table,Tariff!$H$33))</f>
        <v>0</v>
      </c>
      <c r="P245" s="1565" t="n">
        <f aca="false">$AS245</f>
        <v>0</v>
      </c>
      <c r="Q245" s="1575" t="n">
        <f aca="false">O245*P245</f>
        <v>0</v>
      </c>
      <c r="R245" s="1565" t="n">
        <f aca="false">$F245</f>
        <v>3.13455530754531</v>
      </c>
      <c r="S245" s="427" t="n">
        <f aca="false">$G245</f>
        <v>1.065</v>
      </c>
      <c r="T245" s="1575" t="n">
        <f aca="false">Q245*R245/S245</f>
        <v>0</v>
      </c>
      <c r="U245" s="1540" t="n">
        <f aca="false">$I245</f>
        <v>0</v>
      </c>
      <c r="V245" s="1575" t="n">
        <f aca="false">T245*U245/1000</f>
        <v>0</v>
      </c>
      <c r="W245" s="1565" t="n">
        <f aca="false">R245</f>
        <v>3.13455530754531</v>
      </c>
      <c r="X245" s="394" t="n">
        <f aca="false">V245/W245</f>
        <v>0</v>
      </c>
      <c r="Y245" s="1579" t="str">
        <f aca="false">IF(MONTH($A245)=12,SUM(X234:X245)," ")</f>
        <v> </v>
      </c>
      <c r="AA245" s="1595" t="n">
        <f aca="false">IF($A245&gt;Endyr,0,VLOOKUP($A245,Tariff_Table,Tariff!$I$33))</f>
        <v>0</v>
      </c>
      <c r="AB245" s="1565" t="n">
        <f aca="false">$AS245</f>
        <v>0</v>
      </c>
      <c r="AC245" s="1596" t="n">
        <f aca="false">AA245*AB245</f>
        <v>0</v>
      </c>
      <c r="AD245" s="1565" t="n">
        <f aca="false">$F245</f>
        <v>3.13455530754531</v>
      </c>
      <c r="AE245" s="427" t="n">
        <f aca="false">$G245</f>
        <v>1.065</v>
      </c>
      <c r="AF245" s="1596" t="n">
        <f aca="false">AC245*AD245/AE245</f>
        <v>0</v>
      </c>
      <c r="AG245" s="397" t="n">
        <f aca="false">VLOOKUP($A245,Plant_Table,'Plant Operations'!$M$270)</f>
        <v>0</v>
      </c>
      <c r="AH245" s="1575" t="n">
        <f aca="false">AF245*AG245/1000</f>
        <v>0</v>
      </c>
      <c r="AI245" s="1565" t="n">
        <f aca="false">AD245</f>
        <v>3.13455530754531</v>
      </c>
      <c r="AJ245" s="1566" t="n">
        <f aca="false">AH245/AI245</f>
        <v>0</v>
      </c>
      <c r="AK245" s="1567" t="str">
        <f aca="false">IF(MONTH($A245)=12,SUM(AJ234:AJ245)," ")</f>
        <v> </v>
      </c>
      <c r="AM245" s="488" t="n">
        <f aca="false">IF($A245&gt;Endyr,0,VLOOKUP($A245,Tariff_Table,Tariff!$L$33))</f>
        <v>0</v>
      </c>
      <c r="AN245" s="1576" t="n">
        <f aca="false">VLOOKUP($A245,Curves_Table,Escalation!$Z$291)</f>
        <v>1.69623664745388</v>
      </c>
      <c r="AO245" s="1314" t="n">
        <f aca="false">AM245*AN245</f>
        <v>0</v>
      </c>
      <c r="AP245" s="1314" t="n">
        <f aca="false">IF($A245&gt;Endyr,0,VLOOKUP($A245,Tariff_Table,Tariff!$M$33))</f>
        <v>0</v>
      </c>
      <c r="AQ245" s="1314" t="n">
        <f aca="false">SUM(AO245,AP245)</f>
        <v>0</v>
      </c>
      <c r="AR245" s="1314" t="n">
        <f aca="false">SUM(AM245,AP245)</f>
        <v>0</v>
      </c>
      <c r="AS245" s="1598" t="n">
        <f aca="false">IF(AR245=0,0,AQ245/AR245)</f>
        <v>0</v>
      </c>
    </row>
    <row r="246" customFormat="false" ht="12.75" hidden="false" customHeight="false" outlineLevel="0" collapsed="false">
      <c r="A246" s="1538" t="n">
        <f aca="false">EDATE(A245,1)</f>
        <v>44075</v>
      </c>
      <c r="C246" s="1595" t="n">
        <f aca="false">IF($A246&gt;Endyr,0,VLOOKUP($A246,Tariff_Table,Tariff!$G$33))</f>
        <v>0</v>
      </c>
      <c r="D246" s="1565" t="n">
        <f aca="false">VLOOKUP($A246,Curves_Table,Escalation!$V$291)</f>
        <v>1.77543572910631</v>
      </c>
      <c r="E246" s="1596" t="n">
        <f aca="false">C246*D246</f>
        <v>0</v>
      </c>
      <c r="F246" s="1565" t="n">
        <f aca="false">IF(Assm!$L$74=0,VLOOKUP($A246,Curves_Table,Escalation!$D$291),VLOOKUP($A246,Curves_Table,Escalation!$E$291))</f>
        <v>3.13455530754531</v>
      </c>
      <c r="G246" s="427" t="n">
        <f aca="false">IF($A246&lt;EE_Date,VLOOKUP($A246,Curves_Table,Escalation!$D$291),Exch)</f>
        <v>1.065</v>
      </c>
      <c r="H246" s="1596" t="n">
        <f aca="false">E246*F246/G246</f>
        <v>0</v>
      </c>
      <c r="I246" s="1540" t="n">
        <f aca="false">VLOOKUP($A246,Plant_Table,'Plant Operations'!$C$270)</f>
        <v>0</v>
      </c>
      <c r="J246" s="1575" t="n">
        <f aca="false">H246*I246/1000</f>
        <v>0</v>
      </c>
      <c r="K246" s="1565" t="n">
        <f aca="false">F246</f>
        <v>3.13455530754531</v>
      </c>
      <c r="L246" s="394" t="n">
        <f aca="false">J246/K246</f>
        <v>0</v>
      </c>
      <c r="M246" s="1579" t="str">
        <f aca="false">IF(MONTH($A246)=12,SUM(L235:L246)," ")</f>
        <v> </v>
      </c>
      <c r="O246" s="1597" t="n">
        <f aca="false">IF($A246&gt;Endyr,0,VLOOKUP($A246,Tariff_Table,Tariff!$H$33))</f>
        <v>0</v>
      </c>
      <c r="P246" s="1565" t="n">
        <f aca="false">$AS246</f>
        <v>0</v>
      </c>
      <c r="Q246" s="1575" t="n">
        <f aca="false">O246*P246</f>
        <v>0</v>
      </c>
      <c r="R246" s="1565" t="n">
        <f aca="false">$F246</f>
        <v>3.13455530754531</v>
      </c>
      <c r="S246" s="427" t="n">
        <f aca="false">$G246</f>
        <v>1.065</v>
      </c>
      <c r="T246" s="1575" t="n">
        <f aca="false">Q246*R246/S246</f>
        <v>0</v>
      </c>
      <c r="U246" s="1540" t="n">
        <f aca="false">$I246</f>
        <v>0</v>
      </c>
      <c r="V246" s="1575" t="n">
        <f aca="false">T246*U246/1000</f>
        <v>0</v>
      </c>
      <c r="W246" s="1565" t="n">
        <f aca="false">R246</f>
        <v>3.13455530754531</v>
      </c>
      <c r="X246" s="394" t="n">
        <f aca="false">V246/W246</f>
        <v>0</v>
      </c>
      <c r="Y246" s="1579" t="str">
        <f aca="false">IF(MONTH($A246)=12,SUM(X235:X246)," ")</f>
        <v> </v>
      </c>
      <c r="AA246" s="1595" t="n">
        <f aca="false">IF($A246&gt;Endyr,0,VLOOKUP($A246,Tariff_Table,Tariff!$I$33))</f>
        <v>0</v>
      </c>
      <c r="AB246" s="1565" t="n">
        <f aca="false">$AS246</f>
        <v>0</v>
      </c>
      <c r="AC246" s="1596" t="n">
        <f aca="false">AA246*AB246</f>
        <v>0</v>
      </c>
      <c r="AD246" s="1565" t="n">
        <f aca="false">$F246</f>
        <v>3.13455530754531</v>
      </c>
      <c r="AE246" s="427" t="n">
        <f aca="false">$G246</f>
        <v>1.065</v>
      </c>
      <c r="AF246" s="1596" t="n">
        <f aca="false">AC246*AD246/AE246</f>
        <v>0</v>
      </c>
      <c r="AG246" s="397" t="n">
        <f aca="false">VLOOKUP($A246,Plant_Table,'Plant Operations'!$M$270)</f>
        <v>0</v>
      </c>
      <c r="AH246" s="1575" t="n">
        <f aca="false">AF246*AG246/1000</f>
        <v>0</v>
      </c>
      <c r="AI246" s="1565" t="n">
        <f aca="false">AD246</f>
        <v>3.13455530754531</v>
      </c>
      <c r="AJ246" s="1566" t="n">
        <f aca="false">AH246/AI246</f>
        <v>0</v>
      </c>
      <c r="AK246" s="1567" t="str">
        <f aca="false">IF(MONTH($A246)=12,SUM(AJ235:AJ246)," ")</f>
        <v> </v>
      </c>
      <c r="AM246" s="488" t="n">
        <f aca="false">IF($A246&gt;Endyr,0,VLOOKUP($A246,Tariff_Table,Tariff!$L$33))</f>
        <v>0</v>
      </c>
      <c r="AN246" s="1576" t="n">
        <f aca="false">VLOOKUP($A246,Curves_Table,Escalation!$Z$291)</f>
        <v>1.69623664745388</v>
      </c>
      <c r="AO246" s="1314" t="n">
        <f aca="false">AM246*AN246</f>
        <v>0</v>
      </c>
      <c r="AP246" s="1314" t="n">
        <f aca="false">IF($A246&gt;Endyr,0,VLOOKUP($A246,Tariff_Table,Tariff!$M$33))</f>
        <v>0</v>
      </c>
      <c r="AQ246" s="1314" t="n">
        <f aca="false">SUM(AO246,AP246)</f>
        <v>0</v>
      </c>
      <c r="AR246" s="1314" t="n">
        <f aca="false">SUM(AM246,AP246)</f>
        <v>0</v>
      </c>
      <c r="AS246" s="1598" t="n">
        <f aca="false">IF(AR246=0,0,AQ246/AR246)</f>
        <v>0</v>
      </c>
    </row>
    <row r="247" customFormat="false" ht="12.75" hidden="false" customHeight="false" outlineLevel="0" collapsed="false">
      <c r="A247" s="1538" t="n">
        <f aca="false">EDATE(A246,1)</f>
        <v>44105</v>
      </c>
      <c r="C247" s="1595" t="n">
        <f aca="false">IF($A247&gt;Endyr,0,VLOOKUP($A247,Tariff_Table,Tariff!$G$33))</f>
        <v>0</v>
      </c>
      <c r="D247" s="1565" t="n">
        <f aca="false">VLOOKUP($A247,Curves_Table,Escalation!$V$291)</f>
        <v>1.77543572910631</v>
      </c>
      <c r="E247" s="1596" t="n">
        <f aca="false">C247*D247</f>
        <v>0</v>
      </c>
      <c r="F247" s="1565" t="n">
        <f aca="false">IF(Assm!$L$74=0,VLOOKUP($A247,Curves_Table,Escalation!$D$291),VLOOKUP($A247,Curves_Table,Escalation!$E$291))</f>
        <v>3.13455530754531</v>
      </c>
      <c r="G247" s="427" t="n">
        <f aca="false">IF($A247&lt;EE_Date,VLOOKUP($A247,Curves_Table,Escalation!$D$291),Exch)</f>
        <v>1.065</v>
      </c>
      <c r="H247" s="1596" t="n">
        <f aca="false">E247*F247/G247</f>
        <v>0</v>
      </c>
      <c r="I247" s="1540" t="n">
        <f aca="false">VLOOKUP($A247,Plant_Table,'Plant Operations'!$C$270)</f>
        <v>0</v>
      </c>
      <c r="J247" s="1575" t="n">
        <f aca="false">H247*I247/1000</f>
        <v>0</v>
      </c>
      <c r="K247" s="1565" t="n">
        <f aca="false">F247</f>
        <v>3.13455530754531</v>
      </c>
      <c r="L247" s="394" t="n">
        <f aca="false">J247/K247</f>
        <v>0</v>
      </c>
      <c r="M247" s="1579" t="str">
        <f aca="false">IF(MONTH($A247)=12,SUM(L236:L247)," ")</f>
        <v> </v>
      </c>
      <c r="O247" s="1597" t="n">
        <f aca="false">IF($A247&gt;Endyr,0,VLOOKUP($A247,Tariff_Table,Tariff!$H$33))</f>
        <v>0</v>
      </c>
      <c r="P247" s="1565" t="n">
        <f aca="false">$AS247</f>
        <v>0</v>
      </c>
      <c r="Q247" s="1575" t="n">
        <f aca="false">O247*P247</f>
        <v>0</v>
      </c>
      <c r="R247" s="1565" t="n">
        <f aca="false">$F247</f>
        <v>3.13455530754531</v>
      </c>
      <c r="S247" s="427" t="n">
        <f aca="false">$G247</f>
        <v>1.065</v>
      </c>
      <c r="T247" s="1575" t="n">
        <f aca="false">Q247*R247/S247</f>
        <v>0</v>
      </c>
      <c r="U247" s="1540" t="n">
        <f aca="false">$I247</f>
        <v>0</v>
      </c>
      <c r="V247" s="1575" t="n">
        <f aca="false">T247*U247/1000</f>
        <v>0</v>
      </c>
      <c r="W247" s="1565" t="n">
        <f aca="false">R247</f>
        <v>3.13455530754531</v>
      </c>
      <c r="X247" s="394" t="n">
        <f aca="false">V247/W247</f>
        <v>0</v>
      </c>
      <c r="Y247" s="1579" t="str">
        <f aca="false">IF(MONTH($A247)=12,SUM(X236:X247)," ")</f>
        <v> </v>
      </c>
      <c r="AA247" s="1595" t="n">
        <f aca="false">IF($A247&gt;Endyr,0,VLOOKUP($A247,Tariff_Table,Tariff!$I$33))</f>
        <v>0</v>
      </c>
      <c r="AB247" s="1565" t="n">
        <f aca="false">$AS247</f>
        <v>0</v>
      </c>
      <c r="AC247" s="1596" t="n">
        <f aca="false">AA247*AB247</f>
        <v>0</v>
      </c>
      <c r="AD247" s="1565" t="n">
        <f aca="false">$F247</f>
        <v>3.13455530754531</v>
      </c>
      <c r="AE247" s="427" t="n">
        <f aca="false">$G247</f>
        <v>1.065</v>
      </c>
      <c r="AF247" s="1596" t="n">
        <f aca="false">AC247*AD247/AE247</f>
        <v>0</v>
      </c>
      <c r="AG247" s="397" t="n">
        <f aca="false">VLOOKUP($A247,Plant_Table,'Plant Operations'!$M$270)</f>
        <v>0</v>
      </c>
      <c r="AH247" s="1575" t="n">
        <f aca="false">AF247*AG247/1000</f>
        <v>0</v>
      </c>
      <c r="AI247" s="1565" t="n">
        <f aca="false">AD247</f>
        <v>3.13455530754531</v>
      </c>
      <c r="AJ247" s="1566" t="n">
        <f aca="false">AH247/AI247</f>
        <v>0</v>
      </c>
      <c r="AK247" s="1567" t="str">
        <f aca="false">IF(MONTH($A247)=12,SUM(AJ236:AJ247)," ")</f>
        <v> </v>
      </c>
      <c r="AM247" s="488" t="n">
        <f aca="false">IF($A247&gt;Endyr,0,VLOOKUP($A247,Tariff_Table,Tariff!$L$33))</f>
        <v>0</v>
      </c>
      <c r="AN247" s="1576" t="n">
        <f aca="false">VLOOKUP($A247,Curves_Table,Escalation!$Z$291)</f>
        <v>1.69623664745388</v>
      </c>
      <c r="AO247" s="1314" t="n">
        <f aca="false">AM247*AN247</f>
        <v>0</v>
      </c>
      <c r="AP247" s="1314" t="n">
        <f aca="false">IF($A247&gt;Endyr,0,VLOOKUP($A247,Tariff_Table,Tariff!$M$33))</f>
        <v>0</v>
      </c>
      <c r="AQ247" s="1314" t="n">
        <f aca="false">SUM(AO247,AP247)</f>
        <v>0</v>
      </c>
      <c r="AR247" s="1314" t="n">
        <f aca="false">SUM(AM247,AP247)</f>
        <v>0</v>
      </c>
      <c r="AS247" s="1598" t="n">
        <f aca="false">IF(AR247=0,0,AQ247/AR247)</f>
        <v>0</v>
      </c>
    </row>
    <row r="248" customFormat="false" ht="12.75" hidden="false" customHeight="false" outlineLevel="0" collapsed="false">
      <c r="A248" s="1538" t="n">
        <f aca="false">EDATE(A247,1)</f>
        <v>44136</v>
      </c>
      <c r="C248" s="1595" t="n">
        <f aca="false">IF($A248&gt;Endyr,0,VLOOKUP($A248,Tariff_Table,Tariff!$G$33))</f>
        <v>0</v>
      </c>
      <c r="D248" s="1565" t="n">
        <f aca="false">VLOOKUP($A248,Curves_Table,Escalation!$V$291)</f>
        <v>1.77543572910631</v>
      </c>
      <c r="E248" s="1596" t="n">
        <f aca="false">C248*D248</f>
        <v>0</v>
      </c>
      <c r="F248" s="1565" t="n">
        <f aca="false">IF(Assm!$L$74=0,VLOOKUP($A248,Curves_Table,Escalation!$D$291),VLOOKUP($A248,Curves_Table,Escalation!$E$291))</f>
        <v>3.13455530754531</v>
      </c>
      <c r="G248" s="427" t="n">
        <f aca="false">IF($A248&lt;EE_Date,VLOOKUP($A248,Curves_Table,Escalation!$D$291),Exch)</f>
        <v>1.065</v>
      </c>
      <c r="H248" s="1596" t="n">
        <f aca="false">E248*F248/G248</f>
        <v>0</v>
      </c>
      <c r="I248" s="1540" t="n">
        <f aca="false">VLOOKUP($A248,Plant_Table,'Plant Operations'!$C$270)</f>
        <v>0</v>
      </c>
      <c r="J248" s="1575" t="n">
        <f aca="false">H248*I248/1000</f>
        <v>0</v>
      </c>
      <c r="K248" s="1565" t="n">
        <f aca="false">F248</f>
        <v>3.13455530754531</v>
      </c>
      <c r="L248" s="394" t="n">
        <f aca="false">J248/K248</f>
        <v>0</v>
      </c>
      <c r="M248" s="1579" t="str">
        <f aca="false">IF(MONTH($A248)=12,SUM(L237:L248)," ")</f>
        <v> </v>
      </c>
      <c r="O248" s="1597" t="n">
        <f aca="false">IF($A248&gt;Endyr,0,VLOOKUP($A248,Tariff_Table,Tariff!$H$33))</f>
        <v>0</v>
      </c>
      <c r="P248" s="1565" t="n">
        <f aca="false">$AS248</f>
        <v>0</v>
      </c>
      <c r="Q248" s="1575" t="n">
        <f aca="false">O248*P248</f>
        <v>0</v>
      </c>
      <c r="R248" s="1565" t="n">
        <f aca="false">$F248</f>
        <v>3.13455530754531</v>
      </c>
      <c r="S248" s="427" t="n">
        <f aca="false">$G248</f>
        <v>1.065</v>
      </c>
      <c r="T248" s="1575" t="n">
        <f aca="false">Q248*R248/S248</f>
        <v>0</v>
      </c>
      <c r="U248" s="1540" t="n">
        <f aca="false">$I248</f>
        <v>0</v>
      </c>
      <c r="V248" s="1575" t="n">
        <f aca="false">T248*U248/1000</f>
        <v>0</v>
      </c>
      <c r="W248" s="1565" t="n">
        <f aca="false">R248</f>
        <v>3.13455530754531</v>
      </c>
      <c r="X248" s="394" t="n">
        <f aca="false">V248/W248</f>
        <v>0</v>
      </c>
      <c r="Y248" s="1579" t="str">
        <f aca="false">IF(MONTH($A248)=12,SUM(X237:X248)," ")</f>
        <v> </v>
      </c>
      <c r="AA248" s="1595" t="n">
        <f aca="false">IF($A248&gt;Endyr,0,VLOOKUP($A248,Tariff_Table,Tariff!$I$33))</f>
        <v>0</v>
      </c>
      <c r="AB248" s="1565" t="n">
        <f aca="false">$AS248</f>
        <v>0</v>
      </c>
      <c r="AC248" s="1596" t="n">
        <f aca="false">AA248*AB248</f>
        <v>0</v>
      </c>
      <c r="AD248" s="1565" t="n">
        <f aca="false">$F248</f>
        <v>3.13455530754531</v>
      </c>
      <c r="AE248" s="427" t="n">
        <f aca="false">$G248</f>
        <v>1.065</v>
      </c>
      <c r="AF248" s="1596" t="n">
        <f aca="false">AC248*AD248/AE248</f>
        <v>0</v>
      </c>
      <c r="AG248" s="397" t="n">
        <f aca="false">VLOOKUP($A248,Plant_Table,'Plant Operations'!$M$270)</f>
        <v>0</v>
      </c>
      <c r="AH248" s="1575" t="n">
        <f aca="false">AF248*AG248/1000</f>
        <v>0</v>
      </c>
      <c r="AI248" s="1565" t="n">
        <f aca="false">AD248</f>
        <v>3.13455530754531</v>
      </c>
      <c r="AJ248" s="1566" t="n">
        <f aca="false">AH248/AI248</f>
        <v>0</v>
      </c>
      <c r="AK248" s="1567" t="str">
        <f aca="false">IF(MONTH($A248)=12,SUM(AJ237:AJ248)," ")</f>
        <v> </v>
      </c>
      <c r="AM248" s="488" t="n">
        <f aca="false">IF($A248&gt;Endyr,0,VLOOKUP($A248,Tariff_Table,Tariff!$L$33))</f>
        <v>0</v>
      </c>
      <c r="AN248" s="1576" t="n">
        <f aca="false">VLOOKUP($A248,Curves_Table,Escalation!$Z$291)</f>
        <v>1.69623664745388</v>
      </c>
      <c r="AO248" s="1314" t="n">
        <f aca="false">AM248*AN248</f>
        <v>0</v>
      </c>
      <c r="AP248" s="1314" t="n">
        <f aca="false">IF($A248&gt;Endyr,0,VLOOKUP($A248,Tariff_Table,Tariff!$M$33))</f>
        <v>0</v>
      </c>
      <c r="AQ248" s="1314" t="n">
        <f aca="false">SUM(AO248,AP248)</f>
        <v>0</v>
      </c>
      <c r="AR248" s="1314" t="n">
        <f aca="false">SUM(AM248,AP248)</f>
        <v>0</v>
      </c>
      <c r="AS248" s="1598" t="n">
        <f aca="false">IF(AR248=0,0,AQ248/AR248)</f>
        <v>0</v>
      </c>
    </row>
    <row r="249" customFormat="false" ht="12.75" hidden="false" customHeight="false" outlineLevel="0" collapsed="false">
      <c r="A249" s="1538" t="n">
        <f aca="false">EDATE(A248,1)</f>
        <v>44166</v>
      </c>
      <c r="C249" s="1595" t="n">
        <f aca="false">IF($A249&gt;Endyr,0,VLOOKUP($A249,Tariff_Table,Tariff!$G$33))</f>
        <v>0</v>
      </c>
      <c r="D249" s="1565" t="n">
        <f aca="false">VLOOKUP($A249,Curves_Table,Escalation!$V$291)</f>
        <v>1.77543572910631</v>
      </c>
      <c r="E249" s="1596" t="n">
        <f aca="false">C249*D249</f>
        <v>0</v>
      </c>
      <c r="F249" s="1565" t="n">
        <f aca="false">IF(Assm!$L$74=0,VLOOKUP($A249,Curves_Table,Escalation!$D$291),VLOOKUP($A249,Curves_Table,Escalation!$E$291))</f>
        <v>3.13455530754531</v>
      </c>
      <c r="G249" s="427" t="n">
        <f aca="false">IF($A249&lt;EE_Date,VLOOKUP($A249,Curves_Table,Escalation!$D$291),Exch)</f>
        <v>1.065</v>
      </c>
      <c r="H249" s="1596" t="n">
        <f aca="false">E249*F249/G249</f>
        <v>0</v>
      </c>
      <c r="I249" s="1540" t="n">
        <f aca="false">VLOOKUP($A249,Plant_Table,'Plant Operations'!$C$270)</f>
        <v>0</v>
      </c>
      <c r="J249" s="1575" t="n">
        <f aca="false">H249*I249/1000</f>
        <v>0</v>
      </c>
      <c r="K249" s="1565" t="n">
        <f aca="false">F249</f>
        <v>3.13455530754531</v>
      </c>
      <c r="L249" s="394" t="n">
        <f aca="false">J249/K249</f>
        <v>0</v>
      </c>
      <c r="M249" s="1579" t="n">
        <f aca="false">IF(MONTH($A249)=12,SUM(L238:L249)," ")</f>
        <v>0</v>
      </c>
      <c r="O249" s="1597" t="n">
        <f aca="false">IF($A249&gt;Endyr,0,VLOOKUP($A249,Tariff_Table,Tariff!$H$33))</f>
        <v>0</v>
      </c>
      <c r="P249" s="1565" t="n">
        <f aca="false">$AS249</f>
        <v>0</v>
      </c>
      <c r="Q249" s="1575" t="n">
        <f aca="false">O249*P249</f>
        <v>0</v>
      </c>
      <c r="R249" s="1565" t="n">
        <f aca="false">$F249</f>
        <v>3.13455530754531</v>
      </c>
      <c r="S249" s="427" t="n">
        <f aca="false">$G249</f>
        <v>1.065</v>
      </c>
      <c r="T249" s="1575" t="n">
        <f aca="false">Q249*R249/S249</f>
        <v>0</v>
      </c>
      <c r="U249" s="1540" t="n">
        <f aca="false">$I249</f>
        <v>0</v>
      </c>
      <c r="V249" s="1575" t="n">
        <f aca="false">T249*U249/1000</f>
        <v>0</v>
      </c>
      <c r="W249" s="1565" t="n">
        <f aca="false">R249</f>
        <v>3.13455530754531</v>
      </c>
      <c r="X249" s="394" t="n">
        <f aca="false">V249/W249</f>
        <v>0</v>
      </c>
      <c r="Y249" s="1579" t="n">
        <f aca="false">IF(MONTH($A249)=12,SUM(X238:X249)," ")</f>
        <v>0</v>
      </c>
      <c r="AA249" s="1595" t="n">
        <f aca="false">IF($A249&gt;Endyr,0,VLOOKUP($A249,Tariff_Table,Tariff!$I$33))</f>
        <v>0</v>
      </c>
      <c r="AB249" s="1565" t="n">
        <f aca="false">$AS249</f>
        <v>0</v>
      </c>
      <c r="AC249" s="1596" t="n">
        <f aca="false">AA249*AB249</f>
        <v>0</v>
      </c>
      <c r="AD249" s="1565" t="n">
        <f aca="false">$F249</f>
        <v>3.13455530754531</v>
      </c>
      <c r="AE249" s="427" t="n">
        <f aca="false">$G249</f>
        <v>1.065</v>
      </c>
      <c r="AF249" s="1596" t="n">
        <f aca="false">AC249*AD249/AE249</f>
        <v>0</v>
      </c>
      <c r="AG249" s="397" t="n">
        <f aca="false">VLOOKUP($A249,Plant_Table,'Plant Operations'!$M$270)</f>
        <v>0</v>
      </c>
      <c r="AH249" s="1575" t="n">
        <f aca="false">AF249*AG249/1000</f>
        <v>0</v>
      </c>
      <c r="AI249" s="1565" t="n">
        <f aca="false">AD249</f>
        <v>3.13455530754531</v>
      </c>
      <c r="AJ249" s="1566" t="n">
        <f aca="false">AH249/AI249</f>
        <v>0</v>
      </c>
      <c r="AK249" s="1567" t="n">
        <f aca="false">IF(MONTH($A249)=12,SUM(AJ238:AJ249)," ")</f>
        <v>0</v>
      </c>
      <c r="AM249" s="488" t="n">
        <f aca="false">IF($A249&gt;Endyr,0,VLOOKUP($A249,Tariff_Table,Tariff!$L$33))</f>
        <v>0</v>
      </c>
      <c r="AN249" s="1576" t="n">
        <f aca="false">VLOOKUP($A249,Curves_Table,Escalation!$Z$291)</f>
        <v>1.69623664745388</v>
      </c>
      <c r="AO249" s="1314" t="n">
        <f aca="false">AM249*AN249</f>
        <v>0</v>
      </c>
      <c r="AP249" s="1314" t="n">
        <f aca="false">IF($A249&gt;Endyr,0,VLOOKUP($A249,Tariff_Table,Tariff!$M$33))</f>
        <v>0</v>
      </c>
      <c r="AQ249" s="1314" t="n">
        <f aca="false">SUM(AO249,AP249)</f>
        <v>0</v>
      </c>
      <c r="AR249" s="1314" t="n">
        <f aca="false">SUM(AM249,AP249)</f>
        <v>0</v>
      </c>
      <c r="AS249" s="1598" t="n">
        <f aca="false">IF(AR249=0,0,AQ249/AR249)</f>
        <v>0</v>
      </c>
    </row>
    <row r="250" customFormat="false" ht="12.75" hidden="false" customHeight="false" outlineLevel="0" collapsed="false">
      <c r="A250" s="1538" t="n">
        <f aca="false">EDATE(A249,1)</f>
        <v>44197</v>
      </c>
      <c r="C250" s="1595" t="n">
        <f aca="false">IF($A250&gt;Endyr,0,VLOOKUP($A250,Tariff_Table,Tariff!$G$33))</f>
        <v>0</v>
      </c>
      <c r="D250" s="1565" t="n">
        <f aca="false">VLOOKUP($A250,Curves_Table,Escalation!$V$291)</f>
        <v>1.77543572910631</v>
      </c>
      <c r="E250" s="1596" t="n">
        <f aca="false">C250*D250</f>
        <v>0</v>
      </c>
      <c r="F250" s="1565" t="n">
        <f aca="false">IF(Assm!$L$74=0,VLOOKUP($A250,Curves_Table,Escalation!$D$291),VLOOKUP($A250,Curves_Table,Escalation!$E$291))</f>
        <v>3.13455530754531</v>
      </c>
      <c r="G250" s="427" t="n">
        <f aca="false">IF($A250&lt;EE_Date,VLOOKUP($A250,Curves_Table,Escalation!$D$291),Exch)</f>
        <v>1.065</v>
      </c>
      <c r="H250" s="1596" t="n">
        <f aca="false">E250*F250/G250</f>
        <v>0</v>
      </c>
      <c r="I250" s="1540" t="n">
        <f aca="false">VLOOKUP($A250,Plant_Table,'Plant Operations'!$C$270)</f>
        <v>0</v>
      </c>
      <c r="J250" s="1575" t="n">
        <f aca="false">H250*I250/1000</f>
        <v>0</v>
      </c>
      <c r="K250" s="1565" t="n">
        <f aca="false">F250</f>
        <v>3.13455530754531</v>
      </c>
      <c r="L250" s="394" t="n">
        <f aca="false">J250/K250</f>
        <v>0</v>
      </c>
      <c r="M250" s="1579" t="str">
        <f aca="false">IF(MONTH($A250)=12,SUM(L239:L250)," ")</f>
        <v> </v>
      </c>
      <c r="O250" s="1597" t="n">
        <f aca="false">IF($A250&gt;Endyr,0,VLOOKUP($A250,Tariff_Table,Tariff!$H$33))</f>
        <v>0</v>
      </c>
      <c r="P250" s="1565" t="n">
        <f aca="false">$AS250</f>
        <v>0</v>
      </c>
      <c r="Q250" s="1575" t="n">
        <f aca="false">O250*P250</f>
        <v>0</v>
      </c>
      <c r="R250" s="1565" t="n">
        <f aca="false">$F250</f>
        <v>3.13455530754531</v>
      </c>
      <c r="S250" s="427" t="n">
        <f aca="false">$G250</f>
        <v>1.065</v>
      </c>
      <c r="T250" s="1575" t="n">
        <f aca="false">Q250*R250/S250</f>
        <v>0</v>
      </c>
      <c r="U250" s="1540" t="n">
        <f aca="false">$I250</f>
        <v>0</v>
      </c>
      <c r="V250" s="1575" t="n">
        <f aca="false">T250*U250/1000</f>
        <v>0</v>
      </c>
      <c r="W250" s="1565" t="n">
        <f aca="false">R250</f>
        <v>3.13455530754531</v>
      </c>
      <c r="X250" s="394" t="n">
        <f aca="false">V250/W250</f>
        <v>0</v>
      </c>
      <c r="Y250" s="1579" t="str">
        <f aca="false">IF(MONTH($A250)=12,SUM(X239:X250)," ")</f>
        <v> </v>
      </c>
      <c r="AA250" s="1595" t="n">
        <f aca="false">IF($A250&gt;Endyr,0,VLOOKUP($A250,Tariff_Table,Tariff!$I$33))</f>
        <v>0</v>
      </c>
      <c r="AB250" s="1565" t="n">
        <f aca="false">$AS250</f>
        <v>0</v>
      </c>
      <c r="AC250" s="1596" t="n">
        <f aca="false">AA250*AB250</f>
        <v>0</v>
      </c>
      <c r="AD250" s="1565" t="n">
        <f aca="false">$F250</f>
        <v>3.13455530754531</v>
      </c>
      <c r="AE250" s="427" t="n">
        <f aca="false">$G250</f>
        <v>1.065</v>
      </c>
      <c r="AF250" s="1596" t="n">
        <f aca="false">AC250*AD250/AE250</f>
        <v>0</v>
      </c>
      <c r="AG250" s="397" t="n">
        <f aca="false">VLOOKUP($A250,Plant_Table,'Plant Operations'!$M$270)</f>
        <v>0</v>
      </c>
      <c r="AH250" s="1575" t="n">
        <f aca="false">AF250*AG250/1000</f>
        <v>0</v>
      </c>
      <c r="AI250" s="1565" t="n">
        <f aca="false">AD250</f>
        <v>3.13455530754531</v>
      </c>
      <c r="AJ250" s="1566" t="n">
        <f aca="false">AH250/AI250</f>
        <v>0</v>
      </c>
      <c r="AK250" s="1567" t="str">
        <f aca="false">IF(MONTH($A250)=12,SUM(AJ239:AJ250)," ")</f>
        <v> </v>
      </c>
      <c r="AM250" s="488" t="n">
        <f aca="false">IF($A250&gt;Endyr,0,VLOOKUP($A250,Tariff_Table,Tariff!$L$33))</f>
        <v>0</v>
      </c>
      <c r="AN250" s="1576" t="n">
        <f aca="false">VLOOKUP($A250,Curves_Table,Escalation!$Z$291)</f>
        <v>1.69623664745388</v>
      </c>
      <c r="AO250" s="1314" t="n">
        <f aca="false">AM250*AN250</f>
        <v>0</v>
      </c>
      <c r="AP250" s="1314" t="n">
        <f aca="false">IF($A250&gt;Endyr,0,VLOOKUP($A250,Tariff_Table,Tariff!$M$33))</f>
        <v>0</v>
      </c>
      <c r="AQ250" s="1314" t="n">
        <f aca="false">SUM(AO250,AP250)</f>
        <v>0</v>
      </c>
      <c r="AR250" s="1314" t="n">
        <f aca="false">SUM(AM250,AP250)</f>
        <v>0</v>
      </c>
      <c r="AS250" s="1598" t="n">
        <f aca="false">IF(AR250=0,0,AQ250/AR250)</f>
        <v>0</v>
      </c>
    </row>
    <row r="251" customFormat="false" ht="12.75" hidden="false" customHeight="false" outlineLevel="0" collapsed="false">
      <c r="A251" s="1538" t="n">
        <f aca="false">EDATE(A250,1)</f>
        <v>44228</v>
      </c>
      <c r="C251" s="1595" t="n">
        <f aca="false">IF($A251&gt;Endyr,0,VLOOKUP($A251,Tariff_Table,Tariff!$G$33))</f>
        <v>0</v>
      </c>
      <c r="D251" s="1565" t="n">
        <f aca="false">VLOOKUP($A251,Curves_Table,Escalation!$V$291)</f>
        <v>1.77543572910631</v>
      </c>
      <c r="E251" s="1596" t="n">
        <f aca="false">C251*D251</f>
        <v>0</v>
      </c>
      <c r="F251" s="1565" t="n">
        <f aca="false">IF(Assm!$L$74=0,VLOOKUP($A251,Curves_Table,Escalation!$D$291),VLOOKUP($A251,Curves_Table,Escalation!$E$291))</f>
        <v>3.13455530754531</v>
      </c>
      <c r="G251" s="427" t="n">
        <f aca="false">IF($A251&lt;EE_Date,VLOOKUP($A251,Curves_Table,Escalation!$D$291),Exch)</f>
        <v>1.065</v>
      </c>
      <c r="H251" s="1596" t="n">
        <f aca="false">E251*F251/G251</f>
        <v>0</v>
      </c>
      <c r="I251" s="1540" t="n">
        <f aca="false">VLOOKUP($A251,Plant_Table,'Plant Operations'!$C$270)</f>
        <v>0</v>
      </c>
      <c r="J251" s="1575" t="n">
        <f aca="false">H251*I251/1000</f>
        <v>0</v>
      </c>
      <c r="K251" s="1565" t="n">
        <f aca="false">F251</f>
        <v>3.13455530754531</v>
      </c>
      <c r="L251" s="394" t="n">
        <f aca="false">J251/K251</f>
        <v>0</v>
      </c>
      <c r="M251" s="1579" t="str">
        <f aca="false">IF(MONTH($A251)=12,SUM(L240:L251)," ")</f>
        <v> </v>
      </c>
      <c r="O251" s="1597" t="n">
        <f aca="false">IF($A251&gt;Endyr,0,VLOOKUP($A251,Tariff_Table,Tariff!$H$33))</f>
        <v>0</v>
      </c>
      <c r="P251" s="1565" t="n">
        <f aca="false">$AS251</f>
        <v>0</v>
      </c>
      <c r="Q251" s="1575" t="n">
        <f aca="false">O251*P251</f>
        <v>0</v>
      </c>
      <c r="R251" s="1565" t="n">
        <f aca="false">$F251</f>
        <v>3.13455530754531</v>
      </c>
      <c r="S251" s="427" t="n">
        <f aca="false">$G251</f>
        <v>1.065</v>
      </c>
      <c r="T251" s="1575" t="n">
        <f aca="false">Q251*R251/S251</f>
        <v>0</v>
      </c>
      <c r="U251" s="1540" t="n">
        <f aca="false">$I251</f>
        <v>0</v>
      </c>
      <c r="V251" s="1575" t="n">
        <f aca="false">T251*U251/1000</f>
        <v>0</v>
      </c>
      <c r="W251" s="1565" t="n">
        <f aca="false">R251</f>
        <v>3.13455530754531</v>
      </c>
      <c r="X251" s="394" t="n">
        <f aca="false">V251/W251</f>
        <v>0</v>
      </c>
      <c r="Y251" s="1579" t="str">
        <f aca="false">IF(MONTH($A251)=12,SUM(X240:X251)," ")</f>
        <v> </v>
      </c>
      <c r="AA251" s="1595" t="n">
        <f aca="false">IF($A251&gt;Endyr,0,VLOOKUP($A251,Tariff_Table,Tariff!$I$33))</f>
        <v>0</v>
      </c>
      <c r="AB251" s="1565" t="n">
        <f aca="false">$AS251</f>
        <v>0</v>
      </c>
      <c r="AC251" s="1596" t="n">
        <f aca="false">AA251*AB251</f>
        <v>0</v>
      </c>
      <c r="AD251" s="1565" t="n">
        <f aca="false">$F251</f>
        <v>3.13455530754531</v>
      </c>
      <c r="AE251" s="427" t="n">
        <f aca="false">$G251</f>
        <v>1.065</v>
      </c>
      <c r="AF251" s="1596" t="n">
        <f aca="false">AC251*AD251/AE251</f>
        <v>0</v>
      </c>
      <c r="AG251" s="397" t="n">
        <f aca="false">VLOOKUP($A251,Plant_Table,'Plant Operations'!$M$270)</f>
        <v>0</v>
      </c>
      <c r="AH251" s="1575" t="n">
        <f aca="false">AF251*AG251/1000</f>
        <v>0</v>
      </c>
      <c r="AI251" s="1565" t="n">
        <f aca="false">AD251</f>
        <v>3.13455530754531</v>
      </c>
      <c r="AJ251" s="1566" t="n">
        <f aca="false">AH251/AI251</f>
        <v>0</v>
      </c>
      <c r="AK251" s="1567" t="str">
        <f aca="false">IF(MONTH($A251)=12,SUM(AJ240:AJ251)," ")</f>
        <v> </v>
      </c>
      <c r="AM251" s="488" t="n">
        <f aca="false">IF($A251&gt;Endyr,0,VLOOKUP($A251,Tariff_Table,Tariff!$L$33))</f>
        <v>0</v>
      </c>
      <c r="AN251" s="1576" t="n">
        <f aca="false">VLOOKUP($A251,Curves_Table,Escalation!$Z$291)</f>
        <v>1.69623664745388</v>
      </c>
      <c r="AO251" s="1314" t="n">
        <f aca="false">AM251*AN251</f>
        <v>0</v>
      </c>
      <c r="AP251" s="1314" t="n">
        <f aca="false">IF($A251&gt;Endyr,0,VLOOKUP($A251,Tariff_Table,Tariff!$M$33))</f>
        <v>0</v>
      </c>
      <c r="AQ251" s="1314" t="n">
        <f aca="false">SUM(AO251,AP251)</f>
        <v>0</v>
      </c>
      <c r="AR251" s="1314" t="n">
        <f aca="false">SUM(AM251,AP251)</f>
        <v>0</v>
      </c>
      <c r="AS251" s="1598" t="n">
        <f aca="false">IF(AR251=0,0,AQ251/AR251)</f>
        <v>0</v>
      </c>
    </row>
    <row r="252" customFormat="false" ht="12.75" hidden="false" customHeight="false" outlineLevel="0" collapsed="false">
      <c r="A252" s="1538" t="n">
        <f aca="false">EDATE(A251,1)</f>
        <v>44256</v>
      </c>
      <c r="C252" s="1595" t="n">
        <f aca="false">IF($A252&gt;Endyr,0,VLOOKUP($A252,Tariff_Table,Tariff!$G$33))</f>
        <v>0</v>
      </c>
      <c r="D252" s="1565" t="n">
        <f aca="false">VLOOKUP($A252,Curves_Table,Escalation!$V$291)</f>
        <v>1.77543572910631</v>
      </c>
      <c r="E252" s="1596" t="n">
        <f aca="false">C252*D252</f>
        <v>0</v>
      </c>
      <c r="F252" s="1565" t="n">
        <f aca="false">IF(Assm!$L$74=0,VLOOKUP($A252,Curves_Table,Escalation!$D$291),VLOOKUP($A252,Curves_Table,Escalation!$E$291))</f>
        <v>3.13455530754531</v>
      </c>
      <c r="G252" s="427" t="n">
        <f aca="false">IF($A252&lt;EE_Date,VLOOKUP($A252,Curves_Table,Escalation!$D$291),Exch)</f>
        <v>1.065</v>
      </c>
      <c r="H252" s="1596" t="n">
        <f aca="false">E252*F252/G252</f>
        <v>0</v>
      </c>
      <c r="I252" s="1540" t="n">
        <f aca="false">VLOOKUP($A252,Plant_Table,'Plant Operations'!$C$270)</f>
        <v>0</v>
      </c>
      <c r="J252" s="1575" t="n">
        <f aca="false">H252*I252/1000</f>
        <v>0</v>
      </c>
      <c r="K252" s="1565" t="n">
        <f aca="false">F252</f>
        <v>3.13455530754531</v>
      </c>
      <c r="L252" s="394" t="n">
        <f aca="false">J252/K252</f>
        <v>0</v>
      </c>
      <c r="M252" s="1579" t="str">
        <f aca="false">IF(MONTH($A252)=12,SUM(L241:L252)," ")</f>
        <v> </v>
      </c>
      <c r="O252" s="1597" t="n">
        <f aca="false">IF($A252&gt;Endyr,0,VLOOKUP($A252,Tariff_Table,Tariff!$H$33))</f>
        <v>0</v>
      </c>
      <c r="P252" s="1565" t="n">
        <f aca="false">$AS252</f>
        <v>0</v>
      </c>
      <c r="Q252" s="1575" t="n">
        <f aca="false">O252*P252</f>
        <v>0</v>
      </c>
      <c r="R252" s="1565" t="n">
        <f aca="false">$F252</f>
        <v>3.13455530754531</v>
      </c>
      <c r="S252" s="427" t="n">
        <f aca="false">$G252</f>
        <v>1.065</v>
      </c>
      <c r="T252" s="1575" t="n">
        <f aca="false">Q252*R252/S252</f>
        <v>0</v>
      </c>
      <c r="U252" s="1540" t="n">
        <f aca="false">$I252</f>
        <v>0</v>
      </c>
      <c r="V252" s="1575" t="n">
        <f aca="false">T252*U252/1000</f>
        <v>0</v>
      </c>
      <c r="W252" s="1565" t="n">
        <f aca="false">R252</f>
        <v>3.13455530754531</v>
      </c>
      <c r="X252" s="394" t="n">
        <f aca="false">V252/W252</f>
        <v>0</v>
      </c>
      <c r="Y252" s="1579" t="str">
        <f aca="false">IF(MONTH($A252)=12,SUM(X241:X252)," ")</f>
        <v> </v>
      </c>
      <c r="AA252" s="1595" t="n">
        <f aca="false">IF($A252&gt;Endyr,0,VLOOKUP($A252,Tariff_Table,Tariff!$I$33))</f>
        <v>0</v>
      </c>
      <c r="AB252" s="1565" t="n">
        <f aca="false">$AS252</f>
        <v>0</v>
      </c>
      <c r="AC252" s="1596" t="n">
        <f aca="false">AA252*AB252</f>
        <v>0</v>
      </c>
      <c r="AD252" s="1565" t="n">
        <f aca="false">$F252</f>
        <v>3.13455530754531</v>
      </c>
      <c r="AE252" s="427" t="n">
        <f aca="false">$G252</f>
        <v>1.065</v>
      </c>
      <c r="AF252" s="1596" t="n">
        <f aca="false">AC252*AD252/AE252</f>
        <v>0</v>
      </c>
      <c r="AG252" s="397" t="n">
        <f aca="false">VLOOKUP($A252,Plant_Table,'Plant Operations'!$M$270)</f>
        <v>0</v>
      </c>
      <c r="AH252" s="1575" t="n">
        <f aca="false">AF252*AG252/1000</f>
        <v>0</v>
      </c>
      <c r="AI252" s="1565" t="n">
        <f aca="false">AD252</f>
        <v>3.13455530754531</v>
      </c>
      <c r="AJ252" s="1566" t="n">
        <f aca="false">AH252/AI252</f>
        <v>0</v>
      </c>
      <c r="AK252" s="1567" t="str">
        <f aca="false">IF(MONTH($A252)=12,SUM(AJ241:AJ252)," ")</f>
        <v> </v>
      </c>
      <c r="AM252" s="488" t="n">
        <f aca="false">IF($A252&gt;Endyr,0,VLOOKUP($A252,Tariff_Table,Tariff!$L$33))</f>
        <v>0</v>
      </c>
      <c r="AN252" s="1576" t="n">
        <f aca="false">VLOOKUP($A252,Curves_Table,Escalation!$Z$291)</f>
        <v>1.69623664745388</v>
      </c>
      <c r="AO252" s="1314" t="n">
        <f aca="false">AM252*AN252</f>
        <v>0</v>
      </c>
      <c r="AP252" s="1314" t="n">
        <f aca="false">IF($A252&gt;Endyr,0,VLOOKUP($A252,Tariff_Table,Tariff!$M$33))</f>
        <v>0</v>
      </c>
      <c r="AQ252" s="1314" t="n">
        <f aca="false">SUM(AO252,AP252)</f>
        <v>0</v>
      </c>
      <c r="AR252" s="1314" t="n">
        <f aca="false">SUM(AM252,AP252)</f>
        <v>0</v>
      </c>
      <c r="AS252" s="1598" t="n">
        <f aca="false">IF(AR252=0,0,AQ252/AR252)</f>
        <v>0</v>
      </c>
    </row>
    <row r="253" customFormat="false" ht="12.75" hidden="false" customHeight="false" outlineLevel="0" collapsed="false">
      <c r="A253" s="1538" t="n">
        <f aca="false">EDATE(A252,1)</f>
        <v>44287</v>
      </c>
      <c r="C253" s="1595" t="n">
        <f aca="false">IF($A253&gt;Endyr,0,VLOOKUP($A253,Tariff_Table,Tariff!$G$33))</f>
        <v>0</v>
      </c>
      <c r="D253" s="1565" t="n">
        <f aca="false">VLOOKUP($A253,Curves_Table,Escalation!$V$291)</f>
        <v>1.77543572910631</v>
      </c>
      <c r="E253" s="1596" t="n">
        <f aca="false">C253*D253</f>
        <v>0</v>
      </c>
      <c r="F253" s="1565" t="n">
        <f aca="false">IF(Assm!$L$74=0,VLOOKUP($A253,Curves_Table,Escalation!$D$291),VLOOKUP($A253,Curves_Table,Escalation!$E$291))</f>
        <v>3.13455530754531</v>
      </c>
      <c r="G253" s="427" t="n">
        <f aca="false">IF($A253&lt;EE_Date,VLOOKUP($A253,Curves_Table,Escalation!$D$291),Exch)</f>
        <v>1.065</v>
      </c>
      <c r="H253" s="1596" t="n">
        <f aca="false">E253*F253/G253</f>
        <v>0</v>
      </c>
      <c r="I253" s="1540" t="n">
        <f aca="false">VLOOKUP($A253,Plant_Table,'Plant Operations'!$C$270)</f>
        <v>0</v>
      </c>
      <c r="J253" s="1575" t="n">
        <f aca="false">H253*I253/1000</f>
        <v>0</v>
      </c>
      <c r="K253" s="1565" t="n">
        <f aca="false">F253</f>
        <v>3.13455530754531</v>
      </c>
      <c r="L253" s="394" t="n">
        <f aca="false">J253/K253</f>
        <v>0</v>
      </c>
      <c r="M253" s="1579" t="str">
        <f aca="false">IF(MONTH($A253)=12,SUM(L242:L253)," ")</f>
        <v> </v>
      </c>
      <c r="O253" s="1597" t="n">
        <f aca="false">IF($A253&gt;Endyr,0,VLOOKUP($A253,Tariff_Table,Tariff!$H$33))</f>
        <v>0</v>
      </c>
      <c r="P253" s="1565" t="n">
        <f aca="false">$AS253</f>
        <v>0</v>
      </c>
      <c r="Q253" s="1575" t="n">
        <f aca="false">O253*P253</f>
        <v>0</v>
      </c>
      <c r="R253" s="1565" t="n">
        <f aca="false">$F253</f>
        <v>3.13455530754531</v>
      </c>
      <c r="S253" s="427" t="n">
        <f aca="false">$G253</f>
        <v>1.065</v>
      </c>
      <c r="T253" s="1575" t="n">
        <f aca="false">Q253*R253/S253</f>
        <v>0</v>
      </c>
      <c r="U253" s="1540" t="n">
        <f aca="false">$I253</f>
        <v>0</v>
      </c>
      <c r="V253" s="1575" t="n">
        <f aca="false">T253*U253/1000</f>
        <v>0</v>
      </c>
      <c r="W253" s="1565" t="n">
        <f aca="false">R253</f>
        <v>3.13455530754531</v>
      </c>
      <c r="X253" s="394" t="n">
        <f aca="false">V253/W253</f>
        <v>0</v>
      </c>
      <c r="Y253" s="1579" t="str">
        <f aca="false">IF(MONTH($A253)=12,SUM(X242:X253)," ")</f>
        <v> </v>
      </c>
      <c r="AA253" s="1595" t="n">
        <f aca="false">IF($A253&gt;Endyr,0,VLOOKUP($A253,Tariff_Table,Tariff!$I$33))</f>
        <v>0</v>
      </c>
      <c r="AB253" s="1565" t="n">
        <f aca="false">$AS253</f>
        <v>0</v>
      </c>
      <c r="AC253" s="1596" t="n">
        <f aca="false">AA253*AB253</f>
        <v>0</v>
      </c>
      <c r="AD253" s="1565" t="n">
        <f aca="false">$F253</f>
        <v>3.13455530754531</v>
      </c>
      <c r="AE253" s="427" t="n">
        <f aca="false">$G253</f>
        <v>1.065</v>
      </c>
      <c r="AF253" s="1596" t="n">
        <f aca="false">AC253*AD253/AE253</f>
        <v>0</v>
      </c>
      <c r="AG253" s="397" t="n">
        <f aca="false">VLOOKUP($A253,Plant_Table,'Plant Operations'!$M$270)</f>
        <v>0</v>
      </c>
      <c r="AH253" s="1575" t="n">
        <f aca="false">AF253*AG253/1000</f>
        <v>0</v>
      </c>
      <c r="AI253" s="1565" t="n">
        <f aca="false">AD253</f>
        <v>3.13455530754531</v>
      </c>
      <c r="AJ253" s="1566" t="n">
        <f aca="false">AH253/AI253</f>
        <v>0</v>
      </c>
      <c r="AK253" s="1567" t="str">
        <f aca="false">IF(MONTH($A253)=12,SUM(AJ242:AJ253)," ")</f>
        <v> </v>
      </c>
      <c r="AM253" s="488" t="n">
        <f aca="false">IF($A253&gt;Endyr,0,VLOOKUP($A253,Tariff_Table,Tariff!$L$33))</f>
        <v>0</v>
      </c>
      <c r="AN253" s="1576" t="n">
        <f aca="false">VLOOKUP($A253,Curves_Table,Escalation!$Z$291)</f>
        <v>1.69623664745388</v>
      </c>
      <c r="AO253" s="1314" t="n">
        <f aca="false">AM253*AN253</f>
        <v>0</v>
      </c>
      <c r="AP253" s="1314" t="n">
        <f aca="false">IF($A253&gt;Endyr,0,VLOOKUP($A253,Tariff_Table,Tariff!$M$33))</f>
        <v>0</v>
      </c>
      <c r="AQ253" s="1314" t="n">
        <f aca="false">SUM(AO253,AP253)</f>
        <v>0</v>
      </c>
      <c r="AR253" s="1314" t="n">
        <f aca="false">SUM(AM253,AP253)</f>
        <v>0</v>
      </c>
      <c r="AS253" s="1598" t="n">
        <f aca="false">IF(AR253=0,0,AQ253/AR253)</f>
        <v>0</v>
      </c>
    </row>
    <row r="254" customFormat="false" ht="12.75" hidden="false" customHeight="false" outlineLevel="0" collapsed="false">
      <c r="A254" s="1538" t="n">
        <f aca="false">EDATE(A253,1)</f>
        <v>44317</v>
      </c>
      <c r="C254" s="1595" t="n">
        <f aca="false">IF($A254&gt;Endyr,0,VLOOKUP($A254,Tariff_Table,Tariff!$G$33))</f>
        <v>0</v>
      </c>
      <c r="D254" s="1565" t="n">
        <f aca="false">VLOOKUP($A254,Curves_Table,Escalation!$V$291)</f>
        <v>1.77543572910631</v>
      </c>
      <c r="E254" s="1596" t="n">
        <f aca="false">C254*D254</f>
        <v>0</v>
      </c>
      <c r="F254" s="1565" t="n">
        <f aca="false">IF(Assm!$L$74=0,VLOOKUP($A254,Curves_Table,Escalation!$D$291),VLOOKUP($A254,Curves_Table,Escalation!$E$291))</f>
        <v>3.13455530754531</v>
      </c>
      <c r="G254" s="427" t="n">
        <f aca="false">IF($A254&lt;EE_Date,VLOOKUP($A254,Curves_Table,Escalation!$D$291),Exch)</f>
        <v>1.065</v>
      </c>
      <c r="H254" s="1596" t="n">
        <f aca="false">E254*F254/G254</f>
        <v>0</v>
      </c>
      <c r="I254" s="1540" t="n">
        <f aca="false">VLOOKUP($A254,Plant_Table,'Plant Operations'!$C$270)</f>
        <v>0</v>
      </c>
      <c r="J254" s="1575" t="n">
        <f aca="false">H254*I254/1000</f>
        <v>0</v>
      </c>
      <c r="K254" s="1565" t="n">
        <f aca="false">F254</f>
        <v>3.13455530754531</v>
      </c>
      <c r="L254" s="394" t="n">
        <f aca="false">J254/K254</f>
        <v>0</v>
      </c>
      <c r="M254" s="1579" t="str">
        <f aca="false">IF(MONTH($A254)=12,SUM(L243:L254)," ")</f>
        <v> </v>
      </c>
      <c r="O254" s="1597" t="n">
        <f aca="false">IF($A254&gt;Endyr,0,VLOOKUP($A254,Tariff_Table,Tariff!$H$33))</f>
        <v>0</v>
      </c>
      <c r="P254" s="1565" t="n">
        <f aca="false">$AS254</f>
        <v>0</v>
      </c>
      <c r="Q254" s="1575" t="n">
        <f aca="false">O254*P254</f>
        <v>0</v>
      </c>
      <c r="R254" s="1565" t="n">
        <f aca="false">$F254</f>
        <v>3.13455530754531</v>
      </c>
      <c r="S254" s="427" t="n">
        <f aca="false">$G254</f>
        <v>1.065</v>
      </c>
      <c r="T254" s="1575" t="n">
        <f aca="false">Q254*R254/S254</f>
        <v>0</v>
      </c>
      <c r="U254" s="1540" t="n">
        <f aca="false">$I254</f>
        <v>0</v>
      </c>
      <c r="V254" s="1575" t="n">
        <f aca="false">T254*U254/1000</f>
        <v>0</v>
      </c>
      <c r="W254" s="1565" t="n">
        <f aca="false">R254</f>
        <v>3.13455530754531</v>
      </c>
      <c r="X254" s="394" t="n">
        <f aca="false">V254/W254</f>
        <v>0</v>
      </c>
      <c r="Y254" s="1579" t="str">
        <f aca="false">IF(MONTH($A254)=12,SUM(X243:X254)," ")</f>
        <v> </v>
      </c>
      <c r="AA254" s="1595" t="n">
        <f aca="false">IF($A254&gt;Endyr,0,VLOOKUP($A254,Tariff_Table,Tariff!$I$33))</f>
        <v>0</v>
      </c>
      <c r="AB254" s="1565" t="n">
        <f aca="false">$AS254</f>
        <v>0</v>
      </c>
      <c r="AC254" s="1596" t="n">
        <f aca="false">AA254*AB254</f>
        <v>0</v>
      </c>
      <c r="AD254" s="1565" t="n">
        <f aca="false">$F254</f>
        <v>3.13455530754531</v>
      </c>
      <c r="AE254" s="427" t="n">
        <f aca="false">$G254</f>
        <v>1.065</v>
      </c>
      <c r="AF254" s="1596" t="n">
        <f aca="false">AC254*AD254/AE254</f>
        <v>0</v>
      </c>
      <c r="AG254" s="397" t="n">
        <f aca="false">VLOOKUP($A254,Plant_Table,'Plant Operations'!$M$270)</f>
        <v>0</v>
      </c>
      <c r="AH254" s="1575" t="n">
        <f aca="false">AF254*AG254/1000</f>
        <v>0</v>
      </c>
      <c r="AI254" s="1565" t="n">
        <f aca="false">AD254</f>
        <v>3.13455530754531</v>
      </c>
      <c r="AJ254" s="1566" t="n">
        <f aca="false">AH254/AI254</f>
        <v>0</v>
      </c>
      <c r="AK254" s="1567" t="str">
        <f aca="false">IF(MONTH($A254)=12,SUM(AJ243:AJ254)," ")</f>
        <v> </v>
      </c>
      <c r="AM254" s="488" t="n">
        <f aca="false">IF($A254&gt;Endyr,0,VLOOKUP($A254,Tariff_Table,Tariff!$L$33))</f>
        <v>0</v>
      </c>
      <c r="AN254" s="1576" t="n">
        <f aca="false">VLOOKUP($A254,Curves_Table,Escalation!$Z$291)</f>
        <v>1.69623664745388</v>
      </c>
      <c r="AO254" s="1314" t="n">
        <f aca="false">AM254*AN254</f>
        <v>0</v>
      </c>
      <c r="AP254" s="1314" t="n">
        <f aca="false">IF($A254&gt;Endyr,0,VLOOKUP($A254,Tariff_Table,Tariff!$M$33))</f>
        <v>0</v>
      </c>
      <c r="AQ254" s="1314" t="n">
        <f aca="false">SUM(AO254,AP254)</f>
        <v>0</v>
      </c>
      <c r="AR254" s="1314" t="n">
        <f aca="false">SUM(AM254,AP254)</f>
        <v>0</v>
      </c>
      <c r="AS254" s="1598" t="n">
        <f aca="false">IF(AR254=0,0,AQ254/AR254)</f>
        <v>0</v>
      </c>
    </row>
    <row r="255" customFormat="false" ht="12.75" hidden="false" customHeight="false" outlineLevel="0" collapsed="false">
      <c r="A255" s="1538" t="n">
        <f aca="false">EDATE(A254,1)</f>
        <v>44348</v>
      </c>
      <c r="C255" s="1595" t="n">
        <f aca="false">IF($A255&gt;Endyr,0,VLOOKUP($A255,Tariff_Table,Tariff!$G$33))</f>
        <v>0</v>
      </c>
      <c r="D255" s="1565" t="n">
        <f aca="false">VLOOKUP($A255,Curves_Table,Escalation!$V$291)</f>
        <v>1.77543572910631</v>
      </c>
      <c r="E255" s="1596" t="n">
        <f aca="false">C255*D255</f>
        <v>0</v>
      </c>
      <c r="F255" s="1565" t="n">
        <f aca="false">IF(Assm!$L$74=0,VLOOKUP($A255,Curves_Table,Escalation!$D$291),VLOOKUP($A255,Curves_Table,Escalation!$E$291))</f>
        <v>3.13455530754531</v>
      </c>
      <c r="G255" s="427" t="n">
        <f aca="false">IF($A255&lt;EE_Date,VLOOKUP($A255,Curves_Table,Escalation!$D$291),Exch)</f>
        <v>1.065</v>
      </c>
      <c r="H255" s="1596" t="n">
        <f aca="false">E255*F255/G255</f>
        <v>0</v>
      </c>
      <c r="I255" s="1540" t="n">
        <f aca="false">VLOOKUP($A255,Plant_Table,'Plant Operations'!$C$270)</f>
        <v>0</v>
      </c>
      <c r="J255" s="1575" t="n">
        <f aca="false">H255*I255/1000</f>
        <v>0</v>
      </c>
      <c r="K255" s="1565" t="n">
        <f aca="false">F255</f>
        <v>3.13455530754531</v>
      </c>
      <c r="L255" s="394" t="n">
        <f aca="false">J255/K255</f>
        <v>0</v>
      </c>
      <c r="M255" s="1579" t="str">
        <f aca="false">IF(MONTH($A255)=12,SUM(L244:L255)," ")</f>
        <v> </v>
      </c>
      <c r="O255" s="1597" t="n">
        <f aca="false">IF($A255&gt;Endyr,0,VLOOKUP($A255,Tariff_Table,Tariff!$H$33))</f>
        <v>0</v>
      </c>
      <c r="P255" s="1565" t="n">
        <f aca="false">$AS255</f>
        <v>0</v>
      </c>
      <c r="Q255" s="1575" t="n">
        <f aca="false">O255*P255</f>
        <v>0</v>
      </c>
      <c r="R255" s="1565" t="n">
        <f aca="false">$F255</f>
        <v>3.13455530754531</v>
      </c>
      <c r="S255" s="427" t="n">
        <f aca="false">$G255</f>
        <v>1.065</v>
      </c>
      <c r="T255" s="1575" t="n">
        <f aca="false">Q255*R255/S255</f>
        <v>0</v>
      </c>
      <c r="U255" s="1540" t="n">
        <f aca="false">$I255</f>
        <v>0</v>
      </c>
      <c r="V255" s="1575" t="n">
        <f aca="false">T255*U255/1000</f>
        <v>0</v>
      </c>
      <c r="W255" s="1565" t="n">
        <f aca="false">R255</f>
        <v>3.13455530754531</v>
      </c>
      <c r="X255" s="394" t="n">
        <f aca="false">V255/W255</f>
        <v>0</v>
      </c>
      <c r="Y255" s="1579" t="str">
        <f aca="false">IF(MONTH($A255)=12,SUM(X244:X255)," ")</f>
        <v> </v>
      </c>
      <c r="AA255" s="1595" t="n">
        <f aca="false">IF($A255&gt;Endyr,0,VLOOKUP($A255,Tariff_Table,Tariff!$I$33))</f>
        <v>0</v>
      </c>
      <c r="AB255" s="1565" t="n">
        <f aca="false">$AS255</f>
        <v>0</v>
      </c>
      <c r="AC255" s="1596" t="n">
        <f aca="false">AA255*AB255</f>
        <v>0</v>
      </c>
      <c r="AD255" s="1565" t="n">
        <f aca="false">$F255</f>
        <v>3.13455530754531</v>
      </c>
      <c r="AE255" s="427" t="n">
        <f aca="false">$G255</f>
        <v>1.065</v>
      </c>
      <c r="AF255" s="1596" t="n">
        <f aca="false">AC255*AD255/AE255</f>
        <v>0</v>
      </c>
      <c r="AG255" s="397" t="n">
        <f aca="false">VLOOKUP($A255,Plant_Table,'Plant Operations'!$M$270)</f>
        <v>0</v>
      </c>
      <c r="AH255" s="1575" t="n">
        <f aca="false">AF255*AG255/1000</f>
        <v>0</v>
      </c>
      <c r="AI255" s="1565" t="n">
        <f aca="false">AD255</f>
        <v>3.13455530754531</v>
      </c>
      <c r="AJ255" s="1566" t="n">
        <f aca="false">AH255/AI255</f>
        <v>0</v>
      </c>
      <c r="AK255" s="1567" t="str">
        <f aca="false">IF(MONTH($A255)=12,SUM(AJ244:AJ255)," ")</f>
        <v> </v>
      </c>
      <c r="AM255" s="488" t="n">
        <f aca="false">IF($A255&gt;Endyr,0,VLOOKUP($A255,Tariff_Table,Tariff!$L$33))</f>
        <v>0</v>
      </c>
      <c r="AN255" s="1576" t="n">
        <f aca="false">VLOOKUP($A255,Curves_Table,Escalation!$Z$291)</f>
        <v>1.69623664745388</v>
      </c>
      <c r="AO255" s="1314" t="n">
        <f aca="false">AM255*AN255</f>
        <v>0</v>
      </c>
      <c r="AP255" s="1314" t="n">
        <f aca="false">IF($A255&gt;Endyr,0,VLOOKUP($A255,Tariff_Table,Tariff!$M$33))</f>
        <v>0</v>
      </c>
      <c r="AQ255" s="1314" t="n">
        <f aca="false">SUM(AO255,AP255)</f>
        <v>0</v>
      </c>
      <c r="AR255" s="1314" t="n">
        <f aca="false">SUM(AM255,AP255)</f>
        <v>0</v>
      </c>
      <c r="AS255" s="1598" t="n">
        <f aca="false">IF(AR255=0,0,AQ255/AR255)</f>
        <v>0</v>
      </c>
    </row>
    <row r="256" customFormat="false" ht="12.75" hidden="false" customHeight="false" outlineLevel="0" collapsed="false">
      <c r="A256" s="1538" t="n">
        <f aca="false">EDATE(A255,1)</f>
        <v>44378</v>
      </c>
      <c r="C256" s="1595" t="n">
        <f aca="false">IF($A256&gt;Endyr,0,VLOOKUP($A256,Tariff_Table,Tariff!$G$33))</f>
        <v>0</v>
      </c>
      <c r="D256" s="1565" t="n">
        <f aca="false">VLOOKUP($A256,Curves_Table,Escalation!$V$291)</f>
        <v>1.77543572910631</v>
      </c>
      <c r="E256" s="1596" t="n">
        <f aca="false">C256*D256</f>
        <v>0</v>
      </c>
      <c r="F256" s="1565" t="n">
        <f aca="false">IF(Assm!$L$74=0,VLOOKUP($A256,Curves_Table,Escalation!$D$291),VLOOKUP($A256,Curves_Table,Escalation!$E$291))</f>
        <v>3.13455530754531</v>
      </c>
      <c r="G256" s="427" t="n">
        <f aca="false">IF($A256&lt;EE_Date,VLOOKUP($A256,Curves_Table,Escalation!$D$291),Exch)</f>
        <v>1.065</v>
      </c>
      <c r="H256" s="1596" t="n">
        <f aca="false">E256*F256/G256</f>
        <v>0</v>
      </c>
      <c r="I256" s="1540" t="n">
        <f aca="false">VLOOKUP($A256,Plant_Table,'Plant Operations'!$C$270)</f>
        <v>0</v>
      </c>
      <c r="J256" s="1575" t="n">
        <f aca="false">H256*I256/1000</f>
        <v>0</v>
      </c>
      <c r="K256" s="1565" t="n">
        <f aca="false">F256</f>
        <v>3.13455530754531</v>
      </c>
      <c r="L256" s="394" t="n">
        <f aca="false">J256/K256</f>
        <v>0</v>
      </c>
      <c r="M256" s="1579" t="str">
        <f aca="false">IF(MONTH($A256)=12,SUM(L245:L256)," ")</f>
        <v> </v>
      </c>
      <c r="O256" s="1597" t="n">
        <f aca="false">IF($A256&gt;Endyr,0,VLOOKUP($A256,Tariff_Table,Tariff!$H$33))</f>
        <v>0</v>
      </c>
      <c r="P256" s="1565" t="n">
        <f aca="false">$AS256</f>
        <v>0</v>
      </c>
      <c r="Q256" s="1575" t="n">
        <f aca="false">O256*P256</f>
        <v>0</v>
      </c>
      <c r="R256" s="1565" t="n">
        <f aca="false">$F256</f>
        <v>3.13455530754531</v>
      </c>
      <c r="S256" s="427" t="n">
        <f aca="false">$G256</f>
        <v>1.065</v>
      </c>
      <c r="T256" s="1575" t="n">
        <f aca="false">Q256*R256/S256</f>
        <v>0</v>
      </c>
      <c r="U256" s="1540" t="n">
        <f aca="false">$I256</f>
        <v>0</v>
      </c>
      <c r="V256" s="1575" t="n">
        <f aca="false">T256*U256/1000</f>
        <v>0</v>
      </c>
      <c r="W256" s="1565" t="n">
        <f aca="false">R256</f>
        <v>3.13455530754531</v>
      </c>
      <c r="X256" s="394" t="n">
        <f aca="false">V256/W256</f>
        <v>0</v>
      </c>
      <c r="Y256" s="1579" t="str">
        <f aca="false">IF(MONTH($A256)=12,SUM(X245:X256)," ")</f>
        <v> </v>
      </c>
      <c r="AA256" s="1595" t="n">
        <f aca="false">IF($A256&gt;Endyr,0,VLOOKUP($A256,Tariff_Table,Tariff!$I$33))</f>
        <v>0</v>
      </c>
      <c r="AB256" s="1565" t="n">
        <f aca="false">$AS256</f>
        <v>0</v>
      </c>
      <c r="AC256" s="1596" t="n">
        <f aca="false">AA256*AB256</f>
        <v>0</v>
      </c>
      <c r="AD256" s="1565" t="n">
        <f aca="false">$F256</f>
        <v>3.13455530754531</v>
      </c>
      <c r="AE256" s="427" t="n">
        <f aca="false">$G256</f>
        <v>1.065</v>
      </c>
      <c r="AF256" s="1596" t="n">
        <f aca="false">AC256*AD256/AE256</f>
        <v>0</v>
      </c>
      <c r="AG256" s="397" t="n">
        <f aca="false">VLOOKUP($A256,Plant_Table,'Plant Operations'!$M$270)</f>
        <v>0</v>
      </c>
      <c r="AH256" s="1575" t="n">
        <f aca="false">AF256*AG256/1000</f>
        <v>0</v>
      </c>
      <c r="AI256" s="1565" t="n">
        <f aca="false">AD256</f>
        <v>3.13455530754531</v>
      </c>
      <c r="AJ256" s="1566" t="n">
        <f aca="false">AH256/AI256</f>
        <v>0</v>
      </c>
      <c r="AK256" s="1567" t="str">
        <f aca="false">IF(MONTH($A256)=12,SUM(AJ245:AJ256)," ")</f>
        <v> </v>
      </c>
      <c r="AM256" s="488" t="n">
        <f aca="false">IF($A256&gt;Endyr,0,VLOOKUP($A256,Tariff_Table,Tariff!$L$33))</f>
        <v>0</v>
      </c>
      <c r="AN256" s="1576" t="n">
        <f aca="false">VLOOKUP($A256,Curves_Table,Escalation!$Z$291)</f>
        <v>1.69623664745388</v>
      </c>
      <c r="AO256" s="1314" t="n">
        <f aca="false">AM256*AN256</f>
        <v>0</v>
      </c>
      <c r="AP256" s="1314" t="n">
        <f aca="false">IF($A256&gt;Endyr,0,VLOOKUP($A256,Tariff_Table,Tariff!$M$33))</f>
        <v>0</v>
      </c>
      <c r="AQ256" s="1314" t="n">
        <f aca="false">SUM(AO256,AP256)</f>
        <v>0</v>
      </c>
      <c r="AR256" s="1314" t="n">
        <f aca="false">SUM(AM256,AP256)</f>
        <v>0</v>
      </c>
      <c r="AS256" s="1598" t="n">
        <f aca="false">IF(AR256=0,0,AQ256/AR256)</f>
        <v>0</v>
      </c>
    </row>
    <row r="257" customFormat="false" ht="12.75" hidden="false" customHeight="false" outlineLevel="0" collapsed="false">
      <c r="A257" s="1538" t="n">
        <f aca="false">EDATE(A256,1)</f>
        <v>44409</v>
      </c>
      <c r="C257" s="1595" t="n">
        <f aca="false">IF($A257&gt;Endyr,0,VLOOKUP($A257,Tariff_Table,Tariff!$G$33))</f>
        <v>0</v>
      </c>
      <c r="D257" s="1565" t="n">
        <f aca="false">VLOOKUP($A257,Curves_Table,Escalation!$V$291)</f>
        <v>1.77543572910631</v>
      </c>
      <c r="E257" s="1596" t="n">
        <f aca="false">C257*D257</f>
        <v>0</v>
      </c>
      <c r="F257" s="1565" t="n">
        <f aca="false">IF(Assm!$L$74=0,VLOOKUP($A257,Curves_Table,Escalation!$D$291),VLOOKUP($A257,Curves_Table,Escalation!$E$291))</f>
        <v>3.13455530754531</v>
      </c>
      <c r="G257" s="427" t="n">
        <f aca="false">IF($A257&lt;EE_Date,VLOOKUP($A257,Curves_Table,Escalation!$D$291),Exch)</f>
        <v>1.065</v>
      </c>
      <c r="H257" s="1596" t="n">
        <f aca="false">E257*F257/G257</f>
        <v>0</v>
      </c>
      <c r="I257" s="1540" t="n">
        <f aca="false">VLOOKUP($A257,Plant_Table,'Plant Operations'!$C$270)</f>
        <v>0</v>
      </c>
      <c r="J257" s="1575" t="n">
        <f aca="false">H257*I257/1000</f>
        <v>0</v>
      </c>
      <c r="K257" s="1565" t="n">
        <f aca="false">F257</f>
        <v>3.13455530754531</v>
      </c>
      <c r="L257" s="394" t="n">
        <f aca="false">J257/K257</f>
        <v>0</v>
      </c>
      <c r="M257" s="1579" t="str">
        <f aca="false">IF(MONTH($A257)=12,SUM(L246:L257)," ")</f>
        <v> </v>
      </c>
      <c r="O257" s="1597" t="n">
        <f aca="false">IF($A257&gt;Endyr,0,VLOOKUP($A257,Tariff_Table,Tariff!$H$33))</f>
        <v>0</v>
      </c>
      <c r="P257" s="1565" t="n">
        <f aca="false">$AS257</f>
        <v>0</v>
      </c>
      <c r="Q257" s="1575" t="n">
        <f aca="false">O257*P257</f>
        <v>0</v>
      </c>
      <c r="R257" s="1565" t="n">
        <f aca="false">$F257</f>
        <v>3.13455530754531</v>
      </c>
      <c r="S257" s="427" t="n">
        <f aca="false">$G257</f>
        <v>1.065</v>
      </c>
      <c r="T257" s="1575" t="n">
        <f aca="false">Q257*R257/S257</f>
        <v>0</v>
      </c>
      <c r="U257" s="1540" t="n">
        <f aca="false">$I257</f>
        <v>0</v>
      </c>
      <c r="V257" s="1575" t="n">
        <f aca="false">T257*U257/1000</f>
        <v>0</v>
      </c>
      <c r="W257" s="1565" t="n">
        <f aca="false">R257</f>
        <v>3.13455530754531</v>
      </c>
      <c r="X257" s="394" t="n">
        <f aca="false">V257/W257</f>
        <v>0</v>
      </c>
      <c r="Y257" s="1579" t="str">
        <f aca="false">IF(MONTH($A257)=12,SUM(X246:X257)," ")</f>
        <v> </v>
      </c>
      <c r="AA257" s="1595" t="n">
        <f aca="false">IF($A257&gt;Endyr,0,VLOOKUP($A257,Tariff_Table,Tariff!$I$33))</f>
        <v>0</v>
      </c>
      <c r="AB257" s="1565" t="n">
        <f aca="false">$AS257</f>
        <v>0</v>
      </c>
      <c r="AC257" s="1596" t="n">
        <f aca="false">AA257*AB257</f>
        <v>0</v>
      </c>
      <c r="AD257" s="1565" t="n">
        <f aca="false">$F257</f>
        <v>3.13455530754531</v>
      </c>
      <c r="AE257" s="427" t="n">
        <f aca="false">$G257</f>
        <v>1.065</v>
      </c>
      <c r="AF257" s="1596" t="n">
        <f aca="false">AC257*AD257/AE257</f>
        <v>0</v>
      </c>
      <c r="AG257" s="397" t="n">
        <f aca="false">VLOOKUP($A257,Plant_Table,'Plant Operations'!$M$270)</f>
        <v>0</v>
      </c>
      <c r="AH257" s="1575" t="n">
        <f aca="false">AF257*AG257/1000</f>
        <v>0</v>
      </c>
      <c r="AI257" s="1565" t="n">
        <f aca="false">AD257</f>
        <v>3.13455530754531</v>
      </c>
      <c r="AJ257" s="1566" t="n">
        <f aca="false">AH257/AI257</f>
        <v>0</v>
      </c>
      <c r="AK257" s="1567" t="str">
        <f aca="false">IF(MONTH($A257)=12,SUM(AJ246:AJ257)," ")</f>
        <v> </v>
      </c>
      <c r="AM257" s="488" t="n">
        <f aca="false">IF($A257&gt;Endyr,0,VLOOKUP($A257,Tariff_Table,Tariff!$L$33))</f>
        <v>0</v>
      </c>
      <c r="AN257" s="1576" t="n">
        <f aca="false">VLOOKUP($A257,Curves_Table,Escalation!$Z$291)</f>
        <v>1.69623664745388</v>
      </c>
      <c r="AO257" s="1314" t="n">
        <f aca="false">AM257*AN257</f>
        <v>0</v>
      </c>
      <c r="AP257" s="1314" t="n">
        <f aca="false">IF($A257&gt;Endyr,0,VLOOKUP($A257,Tariff_Table,Tariff!$M$33))</f>
        <v>0</v>
      </c>
      <c r="AQ257" s="1314" t="n">
        <f aca="false">SUM(AO257,AP257)</f>
        <v>0</v>
      </c>
      <c r="AR257" s="1314" t="n">
        <f aca="false">SUM(AM257,AP257)</f>
        <v>0</v>
      </c>
      <c r="AS257" s="1598" t="n">
        <f aca="false">IF(AR257=0,0,AQ257/AR257)</f>
        <v>0</v>
      </c>
    </row>
    <row r="258" customFormat="false" ht="12.75" hidden="false" customHeight="false" outlineLevel="0" collapsed="false">
      <c r="A258" s="1538" t="n">
        <f aca="false">EDATE(A257,1)</f>
        <v>44440</v>
      </c>
      <c r="C258" s="1595" t="n">
        <f aca="false">IF($A258&gt;Endyr,0,VLOOKUP($A258,Tariff_Table,Tariff!$G$33))</f>
        <v>0</v>
      </c>
      <c r="D258" s="1565" t="n">
        <f aca="false">VLOOKUP($A258,Curves_Table,Escalation!$V$291)</f>
        <v>1.77543572910631</v>
      </c>
      <c r="E258" s="1596" t="n">
        <f aca="false">C258*D258</f>
        <v>0</v>
      </c>
      <c r="F258" s="1565" t="n">
        <f aca="false">IF(Assm!$L$74=0,VLOOKUP($A258,Curves_Table,Escalation!$D$291),VLOOKUP($A258,Curves_Table,Escalation!$E$291))</f>
        <v>3.13455530754531</v>
      </c>
      <c r="G258" s="427" t="n">
        <f aca="false">IF($A258&lt;EE_Date,VLOOKUP($A258,Curves_Table,Escalation!$D$291),Exch)</f>
        <v>1.065</v>
      </c>
      <c r="H258" s="1596" t="n">
        <f aca="false">E258*F258/G258</f>
        <v>0</v>
      </c>
      <c r="I258" s="1540" t="n">
        <f aca="false">VLOOKUP($A258,Plant_Table,'Plant Operations'!$C$270)</f>
        <v>0</v>
      </c>
      <c r="J258" s="1575" t="n">
        <f aca="false">H258*I258/1000</f>
        <v>0</v>
      </c>
      <c r="K258" s="1565" t="n">
        <f aca="false">F258</f>
        <v>3.13455530754531</v>
      </c>
      <c r="L258" s="394" t="n">
        <f aca="false">J258/K258</f>
        <v>0</v>
      </c>
      <c r="M258" s="1579" t="str">
        <f aca="false">IF(MONTH($A258)=12,SUM(L247:L258)," ")</f>
        <v> </v>
      </c>
      <c r="O258" s="1597" t="n">
        <f aca="false">IF($A258&gt;Endyr,0,VLOOKUP($A258,Tariff_Table,Tariff!$H$33))</f>
        <v>0</v>
      </c>
      <c r="P258" s="1565" t="n">
        <f aca="false">$AS258</f>
        <v>0</v>
      </c>
      <c r="Q258" s="1575" t="n">
        <f aca="false">O258*P258</f>
        <v>0</v>
      </c>
      <c r="R258" s="1565" t="n">
        <f aca="false">$F258</f>
        <v>3.13455530754531</v>
      </c>
      <c r="S258" s="427" t="n">
        <f aca="false">$G258</f>
        <v>1.065</v>
      </c>
      <c r="T258" s="1575" t="n">
        <f aca="false">Q258*R258/S258</f>
        <v>0</v>
      </c>
      <c r="U258" s="1540" t="n">
        <f aca="false">$I258</f>
        <v>0</v>
      </c>
      <c r="V258" s="1575" t="n">
        <f aca="false">T258*U258/1000</f>
        <v>0</v>
      </c>
      <c r="W258" s="1565" t="n">
        <f aca="false">R258</f>
        <v>3.13455530754531</v>
      </c>
      <c r="X258" s="394" t="n">
        <f aca="false">V258/W258</f>
        <v>0</v>
      </c>
      <c r="Y258" s="1579" t="str">
        <f aca="false">IF(MONTH($A258)=12,SUM(X247:X258)," ")</f>
        <v> </v>
      </c>
      <c r="AA258" s="1595" t="n">
        <f aca="false">IF($A258&gt;Endyr,0,VLOOKUP($A258,Tariff_Table,Tariff!$I$33))</f>
        <v>0</v>
      </c>
      <c r="AB258" s="1565" t="n">
        <f aca="false">$AS258</f>
        <v>0</v>
      </c>
      <c r="AC258" s="1596" t="n">
        <f aca="false">AA258*AB258</f>
        <v>0</v>
      </c>
      <c r="AD258" s="1565" t="n">
        <f aca="false">$F258</f>
        <v>3.13455530754531</v>
      </c>
      <c r="AE258" s="427" t="n">
        <f aca="false">$G258</f>
        <v>1.065</v>
      </c>
      <c r="AF258" s="1596" t="n">
        <f aca="false">AC258*AD258/AE258</f>
        <v>0</v>
      </c>
      <c r="AG258" s="397" t="n">
        <f aca="false">VLOOKUP($A258,Plant_Table,'Plant Operations'!$M$270)</f>
        <v>0</v>
      </c>
      <c r="AH258" s="1575" t="n">
        <f aca="false">AF258*AG258/1000</f>
        <v>0</v>
      </c>
      <c r="AI258" s="1565" t="n">
        <f aca="false">AD258</f>
        <v>3.13455530754531</v>
      </c>
      <c r="AJ258" s="1566" t="n">
        <f aca="false">AH258/AI258</f>
        <v>0</v>
      </c>
      <c r="AK258" s="1567" t="str">
        <f aca="false">IF(MONTH($A258)=12,SUM(AJ247:AJ258)," ")</f>
        <v> </v>
      </c>
      <c r="AM258" s="488" t="n">
        <f aca="false">IF($A258&gt;Endyr,0,VLOOKUP($A258,Tariff_Table,Tariff!$L$33))</f>
        <v>0</v>
      </c>
      <c r="AN258" s="1576" t="n">
        <f aca="false">VLOOKUP($A258,Curves_Table,Escalation!$Z$291)</f>
        <v>1.69623664745388</v>
      </c>
      <c r="AO258" s="1314" t="n">
        <f aca="false">AM258*AN258</f>
        <v>0</v>
      </c>
      <c r="AP258" s="1314" t="n">
        <f aca="false">IF($A258&gt;Endyr,0,VLOOKUP($A258,Tariff_Table,Tariff!$M$33))</f>
        <v>0</v>
      </c>
      <c r="AQ258" s="1314" t="n">
        <f aca="false">SUM(AO258,AP258)</f>
        <v>0</v>
      </c>
      <c r="AR258" s="1314" t="n">
        <f aca="false">SUM(AM258,AP258)</f>
        <v>0</v>
      </c>
      <c r="AS258" s="1598" t="n">
        <f aca="false">IF(AR258=0,0,AQ258/AR258)</f>
        <v>0</v>
      </c>
    </row>
    <row r="259" customFormat="false" ht="12.75" hidden="false" customHeight="false" outlineLevel="0" collapsed="false">
      <c r="A259" s="1538" t="n">
        <f aca="false">EDATE(A258,1)</f>
        <v>44470</v>
      </c>
      <c r="C259" s="1595" t="n">
        <f aca="false">IF($A259&gt;Endyr,0,VLOOKUP($A259,Tariff_Table,Tariff!$G$33))</f>
        <v>0</v>
      </c>
      <c r="D259" s="1565" t="n">
        <f aca="false">VLOOKUP($A259,Curves_Table,Escalation!$V$291)</f>
        <v>1.77543572910631</v>
      </c>
      <c r="E259" s="1596" t="n">
        <f aca="false">C259*D259</f>
        <v>0</v>
      </c>
      <c r="F259" s="1565" t="n">
        <f aca="false">IF(Assm!$L$74=0,VLOOKUP($A259,Curves_Table,Escalation!$D$291),VLOOKUP($A259,Curves_Table,Escalation!$E$291))</f>
        <v>3.13455530754531</v>
      </c>
      <c r="G259" s="427" t="n">
        <f aca="false">IF($A259&lt;EE_Date,VLOOKUP($A259,Curves_Table,Escalation!$D$291),Exch)</f>
        <v>1.065</v>
      </c>
      <c r="H259" s="1596" t="n">
        <f aca="false">E259*F259/G259</f>
        <v>0</v>
      </c>
      <c r="I259" s="1540" t="n">
        <f aca="false">VLOOKUP($A259,Plant_Table,'Plant Operations'!$C$270)</f>
        <v>0</v>
      </c>
      <c r="J259" s="1575" t="n">
        <f aca="false">H259*I259/1000</f>
        <v>0</v>
      </c>
      <c r="K259" s="1565" t="n">
        <f aca="false">F259</f>
        <v>3.13455530754531</v>
      </c>
      <c r="L259" s="394" t="n">
        <f aca="false">J259/K259</f>
        <v>0</v>
      </c>
      <c r="M259" s="1579" t="str">
        <f aca="false">IF(MONTH($A259)=12,SUM(L248:L259)," ")</f>
        <v> </v>
      </c>
      <c r="O259" s="1597" t="n">
        <f aca="false">IF($A259&gt;Endyr,0,VLOOKUP($A259,Tariff_Table,Tariff!$H$33))</f>
        <v>0</v>
      </c>
      <c r="P259" s="1565" t="n">
        <f aca="false">$AS259</f>
        <v>0</v>
      </c>
      <c r="Q259" s="1575" t="n">
        <f aca="false">O259*P259</f>
        <v>0</v>
      </c>
      <c r="R259" s="1565" t="n">
        <f aca="false">$F259</f>
        <v>3.13455530754531</v>
      </c>
      <c r="S259" s="427" t="n">
        <f aca="false">$G259</f>
        <v>1.065</v>
      </c>
      <c r="T259" s="1575" t="n">
        <f aca="false">Q259*R259/S259</f>
        <v>0</v>
      </c>
      <c r="U259" s="1540" t="n">
        <f aca="false">$I259</f>
        <v>0</v>
      </c>
      <c r="V259" s="1575" t="n">
        <f aca="false">T259*U259/1000</f>
        <v>0</v>
      </c>
      <c r="W259" s="1565" t="n">
        <f aca="false">R259</f>
        <v>3.13455530754531</v>
      </c>
      <c r="X259" s="394" t="n">
        <f aca="false">V259/W259</f>
        <v>0</v>
      </c>
      <c r="Y259" s="1579" t="str">
        <f aca="false">IF(MONTH($A259)=12,SUM(X248:X259)," ")</f>
        <v> </v>
      </c>
      <c r="AA259" s="1595" t="n">
        <f aca="false">IF($A259&gt;Endyr,0,VLOOKUP($A259,Tariff_Table,Tariff!$I$33))</f>
        <v>0</v>
      </c>
      <c r="AB259" s="1565" t="n">
        <f aca="false">$AS259</f>
        <v>0</v>
      </c>
      <c r="AC259" s="1596" t="n">
        <f aca="false">AA259*AB259</f>
        <v>0</v>
      </c>
      <c r="AD259" s="1565" t="n">
        <f aca="false">$F259</f>
        <v>3.13455530754531</v>
      </c>
      <c r="AE259" s="427" t="n">
        <f aca="false">$G259</f>
        <v>1.065</v>
      </c>
      <c r="AF259" s="1596" t="n">
        <f aca="false">AC259*AD259/AE259</f>
        <v>0</v>
      </c>
      <c r="AG259" s="397" t="n">
        <f aca="false">VLOOKUP($A259,Plant_Table,'Plant Operations'!$M$270)</f>
        <v>0</v>
      </c>
      <c r="AH259" s="1575" t="n">
        <f aca="false">AF259*AG259/1000</f>
        <v>0</v>
      </c>
      <c r="AI259" s="1565" t="n">
        <f aca="false">AD259</f>
        <v>3.13455530754531</v>
      </c>
      <c r="AJ259" s="1566" t="n">
        <f aca="false">AH259/AI259</f>
        <v>0</v>
      </c>
      <c r="AK259" s="1567" t="str">
        <f aca="false">IF(MONTH($A259)=12,SUM(AJ248:AJ259)," ")</f>
        <v> </v>
      </c>
      <c r="AM259" s="488" t="n">
        <f aca="false">IF($A259&gt;Endyr,0,VLOOKUP($A259,Tariff_Table,Tariff!$L$33))</f>
        <v>0</v>
      </c>
      <c r="AN259" s="1576" t="n">
        <f aca="false">VLOOKUP($A259,Curves_Table,Escalation!$Z$291)</f>
        <v>1.69623664745388</v>
      </c>
      <c r="AO259" s="1314" t="n">
        <f aca="false">AM259*AN259</f>
        <v>0</v>
      </c>
      <c r="AP259" s="1314" t="n">
        <f aca="false">IF($A259&gt;Endyr,0,VLOOKUP($A259,Tariff_Table,Tariff!$M$33))</f>
        <v>0</v>
      </c>
      <c r="AQ259" s="1314" t="n">
        <f aca="false">SUM(AO259,AP259)</f>
        <v>0</v>
      </c>
      <c r="AR259" s="1314" t="n">
        <f aca="false">SUM(AM259,AP259)</f>
        <v>0</v>
      </c>
      <c r="AS259" s="1598" t="n">
        <f aca="false">IF(AR259=0,0,AQ259/AR259)</f>
        <v>0</v>
      </c>
    </row>
    <row r="260" customFormat="false" ht="12.75" hidden="false" customHeight="false" outlineLevel="0" collapsed="false">
      <c r="A260" s="1538" t="n">
        <f aca="false">EDATE(A259,1)</f>
        <v>44501</v>
      </c>
      <c r="C260" s="1595" t="n">
        <f aca="false">IF($A260&gt;Endyr,0,VLOOKUP($A260,Tariff_Table,Tariff!$G$33))</f>
        <v>0</v>
      </c>
      <c r="D260" s="1565" t="n">
        <f aca="false">VLOOKUP($A260,Curves_Table,Escalation!$V$291)</f>
        <v>1.77543572910631</v>
      </c>
      <c r="E260" s="1596" t="n">
        <f aca="false">C260*D260</f>
        <v>0</v>
      </c>
      <c r="F260" s="1565" t="n">
        <f aca="false">IF(Assm!$L$74=0,VLOOKUP($A260,Curves_Table,Escalation!$D$291),VLOOKUP($A260,Curves_Table,Escalation!$E$291))</f>
        <v>3.13455530754531</v>
      </c>
      <c r="G260" s="427" t="n">
        <f aca="false">IF($A260&lt;EE_Date,VLOOKUP($A260,Curves_Table,Escalation!$D$291),Exch)</f>
        <v>1.065</v>
      </c>
      <c r="H260" s="1596" t="n">
        <f aca="false">E260*F260/G260</f>
        <v>0</v>
      </c>
      <c r="I260" s="1540" t="n">
        <f aca="false">VLOOKUP($A260,Plant_Table,'Plant Operations'!$C$270)</f>
        <v>0</v>
      </c>
      <c r="J260" s="1575" t="n">
        <f aca="false">H260*I260/1000</f>
        <v>0</v>
      </c>
      <c r="K260" s="1565" t="n">
        <f aca="false">F260</f>
        <v>3.13455530754531</v>
      </c>
      <c r="L260" s="394" t="n">
        <f aca="false">J260/K260</f>
        <v>0</v>
      </c>
      <c r="M260" s="1579" t="str">
        <f aca="false">IF(MONTH($A260)=12,SUM(L249:L260)," ")</f>
        <v> </v>
      </c>
      <c r="O260" s="1597" t="n">
        <f aca="false">IF($A260&gt;Endyr,0,VLOOKUP($A260,Tariff_Table,Tariff!$H$33))</f>
        <v>0</v>
      </c>
      <c r="P260" s="1565" t="n">
        <f aca="false">$AS260</f>
        <v>0</v>
      </c>
      <c r="Q260" s="1575" t="n">
        <f aca="false">O260*P260</f>
        <v>0</v>
      </c>
      <c r="R260" s="1565" t="n">
        <f aca="false">$F260</f>
        <v>3.13455530754531</v>
      </c>
      <c r="S260" s="427" t="n">
        <f aca="false">$G260</f>
        <v>1.065</v>
      </c>
      <c r="T260" s="1575" t="n">
        <f aca="false">Q260*R260/S260</f>
        <v>0</v>
      </c>
      <c r="U260" s="1540" t="n">
        <f aca="false">$I260</f>
        <v>0</v>
      </c>
      <c r="V260" s="1575" t="n">
        <f aca="false">T260*U260/1000</f>
        <v>0</v>
      </c>
      <c r="W260" s="1565" t="n">
        <f aca="false">R260</f>
        <v>3.13455530754531</v>
      </c>
      <c r="X260" s="394" t="n">
        <f aca="false">V260/W260</f>
        <v>0</v>
      </c>
      <c r="Y260" s="1579" t="str">
        <f aca="false">IF(MONTH($A260)=12,SUM(X249:X260)," ")</f>
        <v> </v>
      </c>
      <c r="AA260" s="1595" t="n">
        <f aca="false">IF($A260&gt;Endyr,0,VLOOKUP($A260,Tariff_Table,Tariff!$I$33))</f>
        <v>0</v>
      </c>
      <c r="AB260" s="1565" t="n">
        <f aca="false">$AS260</f>
        <v>0</v>
      </c>
      <c r="AC260" s="1596" t="n">
        <f aca="false">AA260*AB260</f>
        <v>0</v>
      </c>
      <c r="AD260" s="1565" t="n">
        <f aca="false">$F260</f>
        <v>3.13455530754531</v>
      </c>
      <c r="AE260" s="427" t="n">
        <f aca="false">$G260</f>
        <v>1.065</v>
      </c>
      <c r="AF260" s="1596" t="n">
        <f aca="false">AC260*AD260/AE260</f>
        <v>0</v>
      </c>
      <c r="AG260" s="397" t="n">
        <f aca="false">VLOOKUP($A260,Plant_Table,'Plant Operations'!$M$270)</f>
        <v>0</v>
      </c>
      <c r="AH260" s="1575" t="n">
        <f aca="false">AF260*AG260/1000</f>
        <v>0</v>
      </c>
      <c r="AI260" s="1565" t="n">
        <f aca="false">AD260</f>
        <v>3.13455530754531</v>
      </c>
      <c r="AJ260" s="1566" t="n">
        <f aca="false">AH260/AI260</f>
        <v>0</v>
      </c>
      <c r="AK260" s="1567" t="str">
        <f aca="false">IF(MONTH($A260)=12,SUM(AJ249:AJ260)," ")</f>
        <v> </v>
      </c>
      <c r="AM260" s="488" t="n">
        <f aca="false">IF($A260&gt;Endyr,0,VLOOKUP($A260,Tariff_Table,Tariff!$L$33))</f>
        <v>0</v>
      </c>
      <c r="AN260" s="1576" t="n">
        <f aca="false">VLOOKUP($A260,Curves_Table,Escalation!$Z$291)</f>
        <v>1.69623664745388</v>
      </c>
      <c r="AO260" s="1314" t="n">
        <f aca="false">AM260*AN260</f>
        <v>0</v>
      </c>
      <c r="AP260" s="1314" t="n">
        <f aca="false">IF($A260&gt;Endyr,0,VLOOKUP($A260,Tariff_Table,Tariff!$M$33))</f>
        <v>0</v>
      </c>
      <c r="AQ260" s="1314" t="n">
        <f aca="false">SUM(AO260,AP260)</f>
        <v>0</v>
      </c>
      <c r="AR260" s="1314" t="n">
        <f aca="false">SUM(AM260,AP260)</f>
        <v>0</v>
      </c>
      <c r="AS260" s="1598" t="n">
        <f aca="false">IF(AR260=0,0,AQ260/AR260)</f>
        <v>0</v>
      </c>
    </row>
    <row r="261" customFormat="false" ht="12.75" hidden="false" customHeight="false" outlineLevel="0" collapsed="false">
      <c r="A261" s="1538" t="n">
        <f aca="false">EDATE(A260,1)</f>
        <v>44531</v>
      </c>
      <c r="C261" s="1595" t="n">
        <f aca="false">IF($A261&gt;Endyr,0,VLOOKUP($A261,Tariff_Table,Tariff!$G$33))</f>
        <v>0</v>
      </c>
      <c r="D261" s="1565" t="n">
        <f aca="false">VLOOKUP($A261,Curves_Table,Escalation!$V$291)</f>
        <v>1.77543572910631</v>
      </c>
      <c r="E261" s="1596" t="n">
        <f aca="false">C261*D261</f>
        <v>0</v>
      </c>
      <c r="F261" s="1565" t="n">
        <f aca="false">IF(Assm!$L$74=0,VLOOKUP($A261,Curves_Table,Escalation!$D$291),VLOOKUP($A261,Curves_Table,Escalation!$E$291))</f>
        <v>3.13455530754531</v>
      </c>
      <c r="G261" s="427" t="n">
        <f aca="false">IF($A261&lt;EE_Date,VLOOKUP($A261,Curves_Table,Escalation!$D$291),Exch)</f>
        <v>1.065</v>
      </c>
      <c r="H261" s="1596" t="n">
        <f aca="false">E261*F261/G261</f>
        <v>0</v>
      </c>
      <c r="I261" s="1540" t="n">
        <f aca="false">VLOOKUP($A261,Plant_Table,'Plant Operations'!$C$270)</f>
        <v>0</v>
      </c>
      <c r="J261" s="1575" t="n">
        <f aca="false">H261*I261/1000</f>
        <v>0</v>
      </c>
      <c r="K261" s="1565" t="n">
        <f aca="false">F261</f>
        <v>3.13455530754531</v>
      </c>
      <c r="L261" s="394" t="n">
        <f aca="false">J261/K261</f>
        <v>0</v>
      </c>
      <c r="M261" s="1579" t="n">
        <f aca="false">IF(MONTH($A261)=12,SUM(L250:L261)," ")</f>
        <v>0</v>
      </c>
      <c r="O261" s="1597" t="n">
        <f aca="false">IF($A261&gt;Endyr,0,VLOOKUP($A261,Tariff_Table,Tariff!$H$33))</f>
        <v>0</v>
      </c>
      <c r="P261" s="1565" t="n">
        <f aca="false">$AS261</f>
        <v>0</v>
      </c>
      <c r="Q261" s="1575" t="n">
        <f aca="false">O261*P261</f>
        <v>0</v>
      </c>
      <c r="R261" s="1565" t="n">
        <f aca="false">$F261</f>
        <v>3.13455530754531</v>
      </c>
      <c r="S261" s="427" t="n">
        <f aca="false">$G261</f>
        <v>1.065</v>
      </c>
      <c r="T261" s="1575" t="n">
        <f aca="false">Q261*R261/S261</f>
        <v>0</v>
      </c>
      <c r="U261" s="1540" t="n">
        <f aca="false">$I261</f>
        <v>0</v>
      </c>
      <c r="V261" s="1575" t="n">
        <f aca="false">T261*U261/1000</f>
        <v>0</v>
      </c>
      <c r="W261" s="1565" t="n">
        <f aca="false">R261</f>
        <v>3.13455530754531</v>
      </c>
      <c r="X261" s="394" t="n">
        <f aca="false">V261/W261</f>
        <v>0</v>
      </c>
      <c r="Y261" s="1579" t="n">
        <f aca="false">IF(MONTH($A261)=12,SUM(X250:X261)," ")</f>
        <v>0</v>
      </c>
      <c r="AA261" s="1595" t="n">
        <f aca="false">IF($A261&gt;Endyr,0,VLOOKUP($A261,Tariff_Table,Tariff!$I$33))</f>
        <v>0</v>
      </c>
      <c r="AB261" s="1565" t="n">
        <f aca="false">$AS261</f>
        <v>0</v>
      </c>
      <c r="AC261" s="1596" t="n">
        <f aca="false">AA261*AB261</f>
        <v>0</v>
      </c>
      <c r="AD261" s="1565" t="n">
        <f aca="false">$F261</f>
        <v>3.13455530754531</v>
      </c>
      <c r="AE261" s="427" t="n">
        <f aca="false">$G261</f>
        <v>1.065</v>
      </c>
      <c r="AF261" s="1596" t="n">
        <f aca="false">AC261*AD261/AE261</f>
        <v>0</v>
      </c>
      <c r="AG261" s="397" t="n">
        <f aca="false">VLOOKUP($A261,Plant_Table,'Plant Operations'!$M$270)</f>
        <v>0</v>
      </c>
      <c r="AH261" s="1575" t="n">
        <f aca="false">AF261*AG261/1000</f>
        <v>0</v>
      </c>
      <c r="AI261" s="1565" t="n">
        <f aca="false">AD261</f>
        <v>3.13455530754531</v>
      </c>
      <c r="AJ261" s="1566" t="n">
        <f aca="false">AH261/AI261</f>
        <v>0</v>
      </c>
      <c r="AK261" s="1567" t="n">
        <f aca="false">IF(MONTH($A261)=12,SUM(AJ250:AJ261)," ")</f>
        <v>0</v>
      </c>
      <c r="AM261" s="488" t="n">
        <f aca="false">IF($A261&gt;Endyr,0,VLOOKUP($A261,Tariff_Table,Tariff!$L$33))</f>
        <v>0</v>
      </c>
      <c r="AN261" s="1576" t="n">
        <f aca="false">VLOOKUP($A261,Curves_Table,Escalation!$Z$291)</f>
        <v>1.69623664745388</v>
      </c>
      <c r="AO261" s="1314" t="n">
        <f aca="false">AM261*AN261</f>
        <v>0</v>
      </c>
      <c r="AP261" s="1314" t="n">
        <f aca="false">IF($A261&gt;Endyr,0,VLOOKUP($A261,Tariff_Table,Tariff!$M$33))</f>
        <v>0</v>
      </c>
      <c r="AQ261" s="1314" t="n">
        <f aca="false">SUM(AO261,AP261)</f>
        <v>0</v>
      </c>
      <c r="AR261" s="1314" t="n">
        <f aca="false">SUM(AM261,AP261)</f>
        <v>0</v>
      </c>
      <c r="AS261" s="1598" t="n">
        <f aca="false">IF(AR261=0,0,AQ261/AR261)</f>
        <v>0</v>
      </c>
    </row>
    <row r="262" customFormat="false" ht="12.75" hidden="false" customHeight="false" outlineLevel="0" collapsed="false">
      <c r="A262" s="1538" t="n">
        <f aca="false">EDATE(A261,1)</f>
        <v>44562</v>
      </c>
      <c r="C262" s="1595" t="n">
        <f aca="false">IF($A262&gt;Endyr,0,VLOOKUP($A262,Tariff_Table,Tariff!$G$33))</f>
        <v>0</v>
      </c>
      <c r="D262" s="1565" t="n">
        <f aca="false">VLOOKUP($A262,Curves_Table,Escalation!$V$291)</f>
        <v>1.77543572910631</v>
      </c>
      <c r="E262" s="1596" t="n">
        <f aca="false">C262*D262</f>
        <v>0</v>
      </c>
      <c r="F262" s="1565" t="n">
        <f aca="false">IF(Assm!$L$74=0,VLOOKUP($A262,Curves_Table,Escalation!$D$291),VLOOKUP($A262,Curves_Table,Escalation!$E$291))</f>
        <v>3.13455530754531</v>
      </c>
      <c r="G262" s="427" t="n">
        <f aca="false">IF($A262&lt;EE_Date,VLOOKUP($A262,Curves_Table,Escalation!$D$291),Exch)</f>
        <v>1.065</v>
      </c>
      <c r="H262" s="1596" t="n">
        <f aca="false">E262*F262/G262</f>
        <v>0</v>
      </c>
      <c r="I262" s="1540" t="n">
        <f aca="false">VLOOKUP($A262,Plant_Table,'Plant Operations'!$C$270)</f>
        <v>0</v>
      </c>
      <c r="J262" s="1575" t="n">
        <f aca="false">H262*I262/1000</f>
        <v>0</v>
      </c>
      <c r="K262" s="1565" t="n">
        <f aca="false">F262</f>
        <v>3.13455530754531</v>
      </c>
      <c r="L262" s="394" t="n">
        <f aca="false">J262/K262</f>
        <v>0</v>
      </c>
      <c r="M262" s="1579" t="str">
        <f aca="false">IF(MONTH($A262)=12,SUM(L251:L262)," ")</f>
        <v> </v>
      </c>
      <c r="O262" s="1597" t="n">
        <f aca="false">IF($A262&gt;Endyr,0,VLOOKUP($A262,Tariff_Table,Tariff!$H$33))</f>
        <v>0</v>
      </c>
      <c r="P262" s="1565" t="n">
        <f aca="false">$AS262</f>
        <v>0</v>
      </c>
      <c r="Q262" s="1575" t="n">
        <f aca="false">O262*P262</f>
        <v>0</v>
      </c>
      <c r="R262" s="1565" t="n">
        <f aca="false">$F262</f>
        <v>3.13455530754531</v>
      </c>
      <c r="S262" s="427" t="n">
        <f aca="false">$G262</f>
        <v>1.065</v>
      </c>
      <c r="T262" s="1575" t="n">
        <f aca="false">Q262*R262/S262</f>
        <v>0</v>
      </c>
      <c r="U262" s="1540" t="n">
        <f aca="false">$I262</f>
        <v>0</v>
      </c>
      <c r="V262" s="1575" t="n">
        <f aca="false">T262*U262/1000</f>
        <v>0</v>
      </c>
      <c r="W262" s="1565" t="n">
        <f aca="false">R262</f>
        <v>3.13455530754531</v>
      </c>
      <c r="X262" s="394" t="n">
        <f aca="false">V262/W262</f>
        <v>0</v>
      </c>
      <c r="Y262" s="1579" t="str">
        <f aca="false">IF(MONTH($A262)=12,SUM(X251:X262)," ")</f>
        <v> </v>
      </c>
      <c r="AA262" s="1595" t="n">
        <f aca="false">IF($A262&gt;Endyr,0,VLOOKUP($A262,Tariff_Table,Tariff!$I$33))</f>
        <v>0</v>
      </c>
      <c r="AB262" s="1565" t="n">
        <f aca="false">$AS262</f>
        <v>0</v>
      </c>
      <c r="AC262" s="1596" t="n">
        <f aca="false">AA262*AB262</f>
        <v>0</v>
      </c>
      <c r="AD262" s="1565" t="n">
        <f aca="false">$F262</f>
        <v>3.13455530754531</v>
      </c>
      <c r="AE262" s="427" t="n">
        <f aca="false">$G262</f>
        <v>1.065</v>
      </c>
      <c r="AF262" s="1596" t="n">
        <f aca="false">AC262*AD262/AE262</f>
        <v>0</v>
      </c>
      <c r="AG262" s="397" t="n">
        <f aca="false">VLOOKUP($A262,Plant_Table,'Plant Operations'!$M$270)</f>
        <v>0</v>
      </c>
      <c r="AH262" s="1575" t="n">
        <f aca="false">AF262*AG262/1000</f>
        <v>0</v>
      </c>
      <c r="AI262" s="1565" t="n">
        <f aca="false">AD262</f>
        <v>3.13455530754531</v>
      </c>
      <c r="AJ262" s="1566" t="n">
        <f aca="false">AH262/AI262</f>
        <v>0</v>
      </c>
      <c r="AK262" s="1567" t="str">
        <f aca="false">IF(MONTH($A262)=12,SUM(AJ251:AJ262)," ")</f>
        <v> </v>
      </c>
      <c r="AM262" s="488" t="n">
        <f aca="false">IF($A262&gt;Endyr,0,VLOOKUP($A262,Tariff_Table,Tariff!$L$33))</f>
        <v>0</v>
      </c>
      <c r="AN262" s="1576" t="n">
        <f aca="false">VLOOKUP($A262,Curves_Table,Escalation!$Z$291)</f>
        <v>1.69623664745388</v>
      </c>
      <c r="AO262" s="1314" t="n">
        <f aca="false">AM262*AN262</f>
        <v>0</v>
      </c>
      <c r="AP262" s="1314" t="n">
        <f aca="false">IF($A262&gt;Endyr,0,VLOOKUP($A262,Tariff_Table,Tariff!$M$33))</f>
        <v>0</v>
      </c>
      <c r="AQ262" s="1314" t="n">
        <f aca="false">SUM(AO262,AP262)</f>
        <v>0</v>
      </c>
      <c r="AR262" s="1314" t="n">
        <f aca="false">SUM(AM262,AP262)</f>
        <v>0</v>
      </c>
      <c r="AS262" s="1598" t="n">
        <f aca="false">IF(AR262=0,0,AQ262/AR262)</f>
        <v>0</v>
      </c>
    </row>
    <row r="263" customFormat="false" ht="12.75" hidden="false" customHeight="false" outlineLevel="0" collapsed="false">
      <c r="A263" s="1538" t="n">
        <f aca="false">EDATE(A262,1)</f>
        <v>44593</v>
      </c>
      <c r="C263" s="1595" t="n">
        <f aca="false">IF($A263&gt;Endyr,0,VLOOKUP($A263,Tariff_Table,Tariff!$G$33))</f>
        <v>0</v>
      </c>
      <c r="D263" s="1565" t="n">
        <f aca="false">VLOOKUP($A263,Curves_Table,Escalation!$V$291)</f>
        <v>1.77543572910631</v>
      </c>
      <c r="E263" s="1596" t="n">
        <f aca="false">C263*D263</f>
        <v>0</v>
      </c>
      <c r="F263" s="1565" t="n">
        <f aca="false">IF(Assm!$L$74=0,VLOOKUP($A263,Curves_Table,Escalation!$D$291),VLOOKUP($A263,Curves_Table,Escalation!$E$291))</f>
        <v>3.13455530754531</v>
      </c>
      <c r="G263" s="427" t="n">
        <f aca="false">IF($A263&lt;EE_Date,VLOOKUP($A263,Curves_Table,Escalation!$D$291),Exch)</f>
        <v>1.065</v>
      </c>
      <c r="H263" s="1596" t="n">
        <f aca="false">E263*F263/G263</f>
        <v>0</v>
      </c>
      <c r="I263" s="1540" t="n">
        <f aca="false">VLOOKUP($A263,Plant_Table,'Plant Operations'!$C$270)</f>
        <v>0</v>
      </c>
      <c r="J263" s="1575" t="n">
        <f aca="false">H263*I263/1000</f>
        <v>0</v>
      </c>
      <c r="K263" s="1565" t="n">
        <f aca="false">F263</f>
        <v>3.13455530754531</v>
      </c>
      <c r="L263" s="394" t="n">
        <f aca="false">J263/K263</f>
        <v>0</v>
      </c>
      <c r="M263" s="1579" t="str">
        <f aca="false">IF(MONTH($A263)=12,SUM(L252:L263)," ")</f>
        <v> </v>
      </c>
      <c r="O263" s="1597" t="n">
        <f aca="false">IF($A263&gt;Endyr,0,VLOOKUP($A263,Tariff_Table,Tariff!$H$33))</f>
        <v>0</v>
      </c>
      <c r="P263" s="1565" t="n">
        <f aca="false">$AS263</f>
        <v>0</v>
      </c>
      <c r="Q263" s="1575" t="n">
        <f aca="false">O263*P263</f>
        <v>0</v>
      </c>
      <c r="R263" s="1565" t="n">
        <f aca="false">$F263</f>
        <v>3.13455530754531</v>
      </c>
      <c r="S263" s="427" t="n">
        <f aca="false">$G263</f>
        <v>1.065</v>
      </c>
      <c r="T263" s="1575" t="n">
        <f aca="false">Q263*R263/S263</f>
        <v>0</v>
      </c>
      <c r="U263" s="1540" t="n">
        <f aca="false">$I263</f>
        <v>0</v>
      </c>
      <c r="V263" s="1575" t="n">
        <f aca="false">T263*U263/1000</f>
        <v>0</v>
      </c>
      <c r="W263" s="1565" t="n">
        <f aca="false">R263</f>
        <v>3.13455530754531</v>
      </c>
      <c r="X263" s="394" t="n">
        <f aca="false">V263/W263</f>
        <v>0</v>
      </c>
      <c r="Y263" s="1579" t="str">
        <f aca="false">IF(MONTH($A263)=12,SUM(X252:X263)," ")</f>
        <v> </v>
      </c>
      <c r="AA263" s="1595" t="n">
        <f aca="false">IF($A263&gt;Endyr,0,VLOOKUP($A263,Tariff_Table,Tariff!$I$33))</f>
        <v>0</v>
      </c>
      <c r="AB263" s="1565" t="n">
        <f aca="false">$AS263</f>
        <v>0</v>
      </c>
      <c r="AC263" s="1596" t="n">
        <f aca="false">AA263*AB263</f>
        <v>0</v>
      </c>
      <c r="AD263" s="1565" t="n">
        <f aca="false">$F263</f>
        <v>3.13455530754531</v>
      </c>
      <c r="AE263" s="427" t="n">
        <f aca="false">$G263</f>
        <v>1.065</v>
      </c>
      <c r="AF263" s="1596" t="n">
        <f aca="false">AC263*AD263/AE263</f>
        <v>0</v>
      </c>
      <c r="AG263" s="397" t="n">
        <f aca="false">VLOOKUP($A263,Plant_Table,'Plant Operations'!$M$270)</f>
        <v>0</v>
      </c>
      <c r="AH263" s="1575" t="n">
        <f aca="false">AF263*AG263/1000</f>
        <v>0</v>
      </c>
      <c r="AI263" s="1565" t="n">
        <f aca="false">AD263</f>
        <v>3.13455530754531</v>
      </c>
      <c r="AJ263" s="1566" t="n">
        <f aca="false">AH263/AI263</f>
        <v>0</v>
      </c>
      <c r="AK263" s="1567" t="str">
        <f aca="false">IF(MONTH($A263)=12,SUM(AJ252:AJ263)," ")</f>
        <v> </v>
      </c>
      <c r="AM263" s="488" t="n">
        <f aca="false">IF($A263&gt;Endyr,0,VLOOKUP($A263,Tariff_Table,Tariff!$L$33))</f>
        <v>0</v>
      </c>
      <c r="AN263" s="1576" t="n">
        <f aca="false">VLOOKUP($A263,Curves_Table,Escalation!$Z$291)</f>
        <v>1.69623664745388</v>
      </c>
      <c r="AO263" s="1314" t="n">
        <f aca="false">AM263*AN263</f>
        <v>0</v>
      </c>
      <c r="AP263" s="1314" t="n">
        <f aca="false">IF($A263&gt;Endyr,0,VLOOKUP($A263,Tariff_Table,Tariff!$M$33))</f>
        <v>0</v>
      </c>
      <c r="AQ263" s="1314" t="n">
        <f aca="false">SUM(AO263,AP263)</f>
        <v>0</v>
      </c>
      <c r="AR263" s="1314" t="n">
        <f aca="false">SUM(AM263,AP263)</f>
        <v>0</v>
      </c>
      <c r="AS263" s="1598" t="n">
        <f aca="false">IF(AR263=0,0,AQ263/AR263)</f>
        <v>0</v>
      </c>
    </row>
    <row r="264" customFormat="false" ht="12.75" hidden="false" customHeight="false" outlineLevel="0" collapsed="false">
      <c r="A264" s="1538" t="n">
        <f aca="false">EDATE(A263,1)</f>
        <v>44621</v>
      </c>
      <c r="C264" s="1595" t="n">
        <f aca="false">IF($A264&gt;Endyr,0,VLOOKUP($A264,Tariff_Table,Tariff!$G$33))</f>
        <v>0</v>
      </c>
      <c r="D264" s="1565" t="n">
        <f aca="false">VLOOKUP($A264,Curves_Table,Escalation!$V$291)</f>
        <v>1.77543572910631</v>
      </c>
      <c r="E264" s="1596" t="n">
        <f aca="false">C264*D264</f>
        <v>0</v>
      </c>
      <c r="F264" s="1565" t="n">
        <f aca="false">IF(Assm!$L$74=0,VLOOKUP($A264,Curves_Table,Escalation!$D$291),VLOOKUP($A264,Curves_Table,Escalation!$E$291))</f>
        <v>3.13455530754531</v>
      </c>
      <c r="G264" s="427" t="n">
        <f aca="false">IF($A264&lt;EE_Date,VLOOKUP($A264,Curves_Table,Escalation!$D$291),Exch)</f>
        <v>1.065</v>
      </c>
      <c r="H264" s="1596" t="n">
        <f aca="false">E264*F264/G264</f>
        <v>0</v>
      </c>
      <c r="I264" s="1540" t="n">
        <f aca="false">VLOOKUP($A264,Plant_Table,'Plant Operations'!$C$270)</f>
        <v>0</v>
      </c>
      <c r="J264" s="1575" t="n">
        <f aca="false">H264*I264/1000</f>
        <v>0</v>
      </c>
      <c r="K264" s="1565" t="n">
        <f aca="false">F264</f>
        <v>3.13455530754531</v>
      </c>
      <c r="L264" s="394" t="n">
        <f aca="false">J264/K264</f>
        <v>0</v>
      </c>
      <c r="M264" s="1579" t="str">
        <f aca="false">IF(MONTH($A264)=12,SUM(L253:L264)," ")</f>
        <v> </v>
      </c>
      <c r="O264" s="1597" t="n">
        <f aca="false">IF($A264&gt;Endyr,0,VLOOKUP($A264,Tariff_Table,Tariff!$H$33))</f>
        <v>0</v>
      </c>
      <c r="P264" s="1565" t="n">
        <f aca="false">$AS264</f>
        <v>0</v>
      </c>
      <c r="Q264" s="1575" t="n">
        <f aca="false">O264*P264</f>
        <v>0</v>
      </c>
      <c r="R264" s="1565" t="n">
        <f aca="false">$F264</f>
        <v>3.13455530754531</v>
      </c>
      <c r="S264" s="427" t="n">
        <f aca="false">$G264</f>
        <v>1.065</v>
      </c>
      <c r="T264" s="1575" t="n">
        <f aca="false">Q264*R264/S264</f>
        <v>0</v>
      </c>
      <c r="U264" s="1540" t="n">
        <f aca="false">$I264</f>
        <v>0</v>
      </c>
      <c r="V264" s="1575" t="n">
        <f aca="false">T264*U264/1000</f>
        <v>0</v>
      </c>
      <c r="W264" s="1565" t="n">
        <f aca="false">R264</f>
        <v>3.13455530754531</v>
      </c>
      <c r="X264" s="394" t="n">
        <f aca="false">V264/W264</f>
        <v>0</v>
      </c>
      <c r="Y264" s="1579" t="str">
        <f aca="false">IF(MONTH($A264)=12,SUM(X253:X264)," ")</f>
        <v> </v>
      </c>
      <c r="AA264" s="1595" t="n">
        <f aca="false">IF($A264&gt;Endyr,0,VLOOKUP($A264,Tariff_Table,Tariff!$I$33))</f>
        <v>0</v>
      </c>
      <c r="AB264" s="1565" t="n">
        <f aca="false">$AS264</f>
        <v>0</v>
      </c>
      <c r="AC264" s="1596" t="n">
        <f aca="false">AA264*AB264</f>
        <v>0</v>
      </c>
      <c r="AD264" s="1565" t="n">
        <f aca="false">$F264</f>
        <v>3.13455530754531</v>
      </c>
      <c r="AE264" s="427" t="n">
        <f aca="false">$G264</f>
        <v>1.065</v>
      </c>
      <c r="AF264" s="1596" t="n">
        <f aca="false">AC264*AD264/AE264</f>
        <v>0</v>
      </c>
      <c r="AG264" s="397" t="n">
        <f aca="false">VLOOKUP($A264,Plant_Table,'Plant Operations'!$M$270)</f>
        <v>0</v>
      </c>
      <c r="AH264" s="1575" t="n">
        <f aca="false">AF264*AG264/1000</f>
        <v>0</v>
      </c>
      <c r="AI264" s="1565" t="n">
        <f aca="false">AD264</f>
        <v>3.13455530754531</v>
      </c>
      <c r="AJ264" s="1566" t="n">
        <f aca="false">AH264/AI264</f>
        <v>0</v>
      </c>
      <c r="AK264" s="1567" t="str">
        <f aca="false">IF(MONTH($A264)=12,SUM(AJ253:AJ264)," ")</f>
        <v> </v>
      </c>
      <c r="AM264" s="488" t="n">
        <f aca="false">IF($A264&gt;Endyr,0,VLOOKUP($A264,Tariff_Table,Tariff!$L$33))</f>
        <v>0</v>
      </c>
      <c r="AN264" s="1576" t="n">
        <f aca="false">VLOOKUP($A264,Curves_Table,Escalation!$Z$291)</f>
        <v>1.69623664745388</v>
      </c>
      <c r="AO264" s="1314" t="n">
        <f aca="false">AM264*AN264</f>
        <v>0</v>
      </c>
      <c r="AP264" s="1314" t="n">
        <f aca="false">IF($A264&gt;Endyr,0,VLOOKUP($A264,Tariff_Table,Tariff!$M$33))</f>
        <v>0</v>
      </c>
      <c r="AQ264" s="1314" t="n">
        <f aca="false">SUM(AO264,AP264)</f>
        <v>0</v>
      </c>
      <c r="AR264" s="1314" t="n">
        <f aca="false">SUM(AM264,AP264)</f>
        <v>0</v>
      </c>
      <c r="AS264" s="1598" t="n">
        <f aca="false">IF(AR264=0,0,AQ264/AR264)</f>
        <v>0</v>
      </c>
    </row>
    <row r="265" customFormat="false" ht="12.75" hidden="false" customHeight="false" outlineLevel="0" collapsed="false">
      <c r="A265" s="1538" t="n">
        <f aca="false">EDATE(A264,1)</f>
        <v>44652</v>
      </c>
      <c r="C265" s="1595" t="n">
        <f aca="false">IF($A265&gt;Endyr,0,VLOOKUP($A265,Tariff_Table,Tariff!$G$33))</f>
        <v>0</v>
      </c>
      <c r="D265" s="1565" t="n">
        <f aca="false">VLOOKUP($A265,Curves_Table,Escalation!$V$291)</f>
        <v>1.77543572910631</v>
      </c>
      <c r="E265" s="1596" t="n">
        <f aca="false">C265*D265</f>
        <v>0</v>
      </c>
      <c r="F265" s="1565" t="n">
        <f aca="false">IF(Assm!$L$74=0,VLOOKUP($A265,Curves_Table,Escalation!$D$291),VLOOKUP($A265,Curves_Table,Escalation!$E$291))</f>
        <v>3.13455530754531</v>
      </c>
      <c r="G265" s="427" t="n">
        <f aca="false">IF($A265&lt;EE_Date,VLOOKUP($A265,Curves_Table,Escalation!$D$291),Exch)</f>
        <v>1.065</v>
      </c>
      <c r="H265" s="1596" t="n">
        <f aca="false">E265*F265/G265</f>
        <v>0</v>
      </c>
      <c r="I265" s="1540" t="n">
        <f aca="false">VLOOKUP($A265,Plant_Table,'Plant Operations'!$C$270)</f>
        <v>0</v>
      </c>
      <c r="J265" s="1575" t="n">
        <f aca="false">H265*I265/1000</f>
        <v>0</v>
      </c>
      <c r="K265" s="1565" t="n">
        <f aca="false">F265</f>
        <v>3.13455530754531</v>
      </c>
      <c r="L265" s="394" t="n">
        <f aca="false">J265/K265</f>
        <v>0</v>
      </c>
      <c r="M265" s="1579" t="str">
        <f aca="false">IF(MONTH($A265)=12,SUM(L254:L265)," ")</f>
        <v> </v>
      </c>
      <c r="O265" s="1597" t="n">
        <f aca="false">IF($A265&gt;Endyr,0,VLOOKUP($A265,Tariff_Table,Tariff!$H$33))</f>
        <v>0</v>
      </c>
      <c r="P265" s="1565" t="n">
        <f aca="false">$AS265</f>
        <v>0</v>
      </c>
      <c r="Q265" s="1575" t="n">
        <f aca="false">O265*P265</f>
        <v>0</v>
      </c>
      <c r="R265" s="1565" t="n">
        <f aca="false">$F265</f>
        <v>3.13455530754531</v>
      </c>
      <c r="S265" s="427" t="n">
        <f aca="false">$G265</f>
        <v>1.065</v>
      </c>
      <c r="T265" s="1575" t="n">
        <f aca="false">Q265*R265/S265</f>
        <v>0</v>
      </c>
      <c r="U265" s="1540" t="n">
        <f aca="false">$I265</f>
        <v>0</v>
      </c>
      <c r="V265" s="1575" t="n">
        <f aca="false">T265*U265/1000</f>
        <v>0</v>
      </c>
      <c r="W265" s="1565" t="n">
        <f aca="false">R265</f>
        <v>3.13455530754531</v>
      </c>
      <c r="X265" s="394" t="n">
        <f aca="false">V265/W265</f>
        <v>0</v>
      </c>
      <c r="Y265" s="1579" t="str">
        <f aca="false">IF(MONTH($A265)=12,SUM(X254:X265)," ")</f>
        <v> </v>
      </c>
      <c r="AA265" s="1595" t="n">
        <f aca="false">IF($A265&gt;Endyr,0,VLOOKUP($A265,Tariff_Table,Tariff!$I$33))</f>
        <v>0</v>
      </c>
      <c r="AB265" s="1565" t="n">
        <f aca="false">$AS265</f>
        <v>0</v>
      </c>
      <c r="AC265" s="1596" t="n">
        <f aca="false">AA265*AB265</f>
        <v>0</v>
      </c>
      <c r="AD265" s="1565" t="n">
        <f aca="false">$F265</f>
        <v>3.13455530754531</v>
      </c>
      <c r="AE265" s="427" t="n">
        <f aca="false">$G265</f>
        <v>1.065</v>
      </c>
      <c r="AF265" s="1596" t="n">
        <f aca="false">AC265*AD265/AE265</f>
        <v>0</v>
      </c>
      <c r="AG265" s="397" t="n">
        <f aca="false">VLOOKUP($A265,Plant_Table,'Plant Operations'!$M$270)</f>
        <v>0</v>
      </c>
      <c r="AH265" s="1575" t="n">
        <f aca="false">AF265*AG265/1000</f>
        <v>0</v>
      </c>
      <c r="AI265" s="1565" t="n">
        <f aca="false">AD265</f>
        <v>3.13455530754531</v>
      </c>
      <c r="AJ265" s="1566" t="n">
        <f aca="false">AH265/AI265</f>
        <v>0</v>
      </c>
      <c r="AK265" s="1567" t="str">
        <f aca="false">IF(MONTH($A265)=12,SUM(AJ254:AJ265)," ")</f>
        <v> </v>
      </c>
      <c r="AM265" s="488" t="n">
        <f aca="false">IF($A265&gt;Endyr,0,VLOOKUP($A265,Tariff_Table,Tariff!$L$33))</f>
        <v>0</v>
      </c>
      <c r="AN265" s="1576" t="n">
        <f aca="false">VLOOKUP($A265,Curves_Table,Escalation!$Z$291)</f>
        <v>1.69623664745388</v>
      </c>
      <c r="AO265" s="1314" t="n">
        <f aca="false">AM265*AN265</f>
        <v>0</v>
      </c>
      <c r="AP265" s="1314" t="n">
        <f aca="false">IF($A265&gt;Endyr,0,VLOOKUP($A265,Tariff_Table,Tariff!$M$33))</f>
        <v>0</v>
      </c>
      <c r="AQ265" s="1314" t="n">
        <f aca="false">SUM(AO265,AP265)</f>
        <v>0</v>
      </c>
      <c r="AR265" s="1314" t="n">
        <f aca="false">SUM(AM265,AP265)</f>
        <v>0</v>
      </c>
      <c r="AS265" s="1598" t="n">
        <f aca="false">IF(AR265=0,0,AQ265/AR265)</f>
        <v>0</v>
      </c>
    </row>
    <row r="266" customFormat="false" ht="12.75" hidden="false" customHeight="false" outlineLevel="0" collapsed="false">
      <c r="A266" s="1538" t="n">
        <f aca="false">EDATE(A265,1)</f>
        <v>44682</v>
      </c>
      <c r="C266" s="1595" t="n">
        <f aca="false">IF($A266&gt;Endyr,0,VLOOKUP($A266,Tariff_Table,Tariff!$G$33))</f>
        <v>0</v>
      </c>
      <c r="D266" s="1565" t="n">
        <f aca="false">VLOOKUP($A266,Curves_Table,Escalation!$V$291)</f>
        <v>1.77543572910631</v>
      </c>
      <c r="E266" s="1596" t="n">
        <f aca="false">C266*D266</f>
        <v>0</v>
      </c>
      <c r="F266" s="1565" t="n">
        <f aca="false">IF(Assm!$L$74=0,VLOOKUP($A266,Curves_Table,Escalation!$D$291),VLOOKUP($A266,Curves_Table,Escalation!$E$291))</f>
        <v>3.13455530754531</v>
      </c>
      <c r="G266" s="427" t="n">
        <f aca="false">IF($A266&lt;EE_Date,VLOOKUP($A266,Curves_Table,Escalation!$D$291),Exch)</f>
        <v>1.065</v>
      </c>
      <c r="H266" s="1596" t="n">
        <f aca="false">E266*F266/G266</f>
        <v>0</v>
      </c>
      <c r="I266" s="1540" t="n">
        <f aca="false">VLOOKUP($A266,Plant_Table,'Plant Operations'!$C$270)</f>
        <v>0</v>
      </c>
      <c r="J266" s="1575" t="n">
        <f aca="false">H266*I266/1000</f>
        <v>0</v>
      </c>
      <c r="K266" s="1565" t="n">
        <f aca="false">F266</f>
        <v>3.13455530754531</v>
      </c>
      <c r="L266" s="394" t="n">
        <f aca="false">J266/K266</f>
        <v>0</v>
      </c>
      <c r="M266" s="1579" t="str">
        <f aca="false">IF(MONTH($A266)=12,SUM(L255:L266)," ")</f>
        <v> </v>
      </c>
      <c r="O266" s="1597" t="n">
        <f aca="false">IF($A266&gt;Endyr,0,VLOOKUP($A266,Tariff_Table,Tariff!$H$33))</f>
        <v>0</v>
      </c>
      <c r="P266" s="1565" t="n">
        <f aca="false">$AS266</f>
        <v>0</v>
      </c>
      <c r="Q266" s="1575" t="n">
        <f aca="false">O266*P266</f>
        <v>0</v>
      </c>
      <c r="R266" s="1565" t="n">
        <f aca="false">$F266</f>
        <v>3.13455530754531</v>
      </c>
      <c r="S266" s="427" t="n">
        <f aca="false">$G266</f>
        <v>1.065</v>
      </c>
      <c r="T266" s="1575" t="n">
        <f aca="false">Q266*R266/S266</f>
        <v>0</v>
      </c>
      <c r="U266" s="1540" t="n">
        <f aca="false">$I266</f>
        <v>0</v>
      </c>
      <c r="V266" s="1575" t="n">
        <f aca="false">T266*U266/1000</f>
        <v>0</v>
      </c>
      <c r="W266" s="1565" t="n">
        <f aca="false">R266</f>
        <v>3.13455530754531</v>
      </c>
      <c r="X266" s="394" t="n">
        <f aca="false">V266/W266</f>
        <v>0</v>
      </c>
      <c r="Y266" s="1579" t="str">
        <f aca="false">IF(MONTH($A266)=12,SUM(X255:X266)," ")</f>
        <v> </v>
      </c>
      <c r="AA266" s="1595" t="n">
        <f aca="false">IF($A266&gt;Endyr,0,VLOOKUP($A266,Tariff_Table,Tariff!$I$33))</f>
        <v>0</v>
      </c>
      <c r="AB266" s="1565" t="n">
        <f aca="false">$AS266</f>
        <v>0</v>
      </c>
      <c r="AC266" s="1596" t="n">
        <f aca="false">AA266*AB266</f>
        <v>0</v>
      </c>
      <c r="AD266" s="1565" t="n">
        <f aca="false">$F266</f>
        <v>3.13455530754531</v>
      </c>
      <c r="AE266" s="427" t="n">
        <f aca="false">$G266</f>
        <v>1.065</v>
      </c>
      <c r="AF266" s="1596" t="n">
        <f aca="false">AC266*AD266/AE266</f>
        <v>0</v>
      </c>
      <c r="AG266" s="397" t="n">
        <f aca="false">VLOOKUP($A266,Plant_Table,'Plant Operations'!$M$270)</f>
        <v>0</v>
      </c>
      <c r="AH266" s="1575" t="n">
        <f aca="false">AF266*AG266/1000</f>
        <v>0</v>
      </c>
      <c r="AI266" s="1565" t="n">
        <f aca="false">AD266</f>
        <v>3.13455530754531</v>
      </c>
      <c r="AJ266" s="1566" t="n">
        <f aca="false">AH266/AI266</f>
        <v>0</v>
      </c>
      <c r="AK266" s="1567" t="str">
        <f aca="false">IF(MONTH($A266)=12,SUM(AJ255:AJ266)," ")</f>
        <v> </v>
      </c>
      <c r="AM266" s="488" t="n">
        <f aca="false">IF($A266&gt;Endyr,0,VLOOKUP($A266,Tariff_Table,Tariff!$L$33))</f>
        <v>0</v>
      </c>
      <c r="AN266" s="1576" t="n">
        <f aca="false">VLOOKUP($A266,Curves_Table,Escalation!$Z$291)</f>
        <v>1.69623664745388</v>
      </c>
      <c r="AO266" s="1314" t="n">
        <f aca="false">AM266*AN266</f>
        <v>0</v>
      </c>
      <c r="AP266" s="1314" t="n">
        <f aca="false">IF($A266&gt;Endyr,0,VLOOKUP($A266,Tariff_Table,Tariff!$M$33))</f>
        <v>0</v>
      </c>
      <c r="AQ266" s="1314" t="n">
        <f aca="false">SUM(AO266,AP266)</f>
        <v>0</v>
      </c>
      <c r="AR266" s="1314" t="n">
        <f aca="false">SUM(AM266,AP266)</f>
        <v>0</v>
      </c>
      <c r="AS266" s="1598" t="n">
        <f aca="false">IF(AR266=0,0,AQ266/AR266)</f>
        <v>0</v>
      </c>
    </row>
    <row r="267" customFormat="false" ht="13.5" hidden="false" customHeight="false" outlineLevel="0" collapsed="false">
      <c r="A267" s="1538"/>
      <c r="C267" s="744"/>
      <c r="D267" s="388"/>
      <c r="E267" s="388"/>
      <c r="H267" s="388"/>
      <c r="I267" s="388"/>
      <c r="J267" s="388"/>
      <c r="L267" s="388"/>
      <c r="M267" s="1537"/>
      <c r="O267" s="744"/>
      <c r="P267" s="388"/>
      <c r="Q267" s="388"/>
      <c r="T267" s="388"/>
      <c r="U267" s="388"/>
      <c r="V267" s="388"/>
      <c r="X267" s="388"/>
      <c r="Y267" s="1537"/>
      <c r="AA267" s="744"/>
      <c r="AB267" s="388"/>
      <c r="AC267" s="388"/>
      <c r="AF267" s="388"/>
      <c r="AG267" s="388"/>
      <c r="AH267" s="388"/>
      <c r="AJ267" s="388"/>
      <c r="AK267" s="1537"/>
      <c r="AM267" s="744"/>
      <c r="AN267" s="388"/>
      <c r="AO267" s="388"/>
      <c r="AP267" s="388"/>
      <c r="AQ267" s="388"/>
      <c r="AR267" s="388"/>
      <c r="AS267" s="1537"/>
    </row>
    <row r="268" customFormat="false" ht="13.5" hidden="false" customHeight="false" outlineLevel="0" collapsed="false">
      <c r="A268" s="1549"/>
      <c r="C268" s="1550"/>
      <c r="D268" s="1551"/>
      <c r="E268" s="1551"/>
      <c r="F268" s="1551"/>
      <c r="G268" s="1551"/>
      <c r="H268" s="1551"/>
      <c r="I268" s="1551"/>
      <c r="J268" s="1551"/>
      <c r="K268" s="1551"/>
      <c r="L268" s="1589" t="s">
        <v>1860</v>
      </c>
      <c r="M268" s="1590" t="n">
        <f aca="false">SUM(M12:M266)</f>
        <v>1015597.45038124</v>
      </c>
      <c r="O268" s="1550"/>
      <c r="P268" s="1551"/>
      <c r="Q268" s="1551"/>
      <c r="R268" s="1551"/>
      <c r="S268" s="1551"/>
      <c r="T268" s="1551"/>
      <c r="U268" s="1551"/>
      <c r="V268" s="1551"/>
      <c r="W268" s="1551"/>
      <c r="X268" s="1589" t="s">
        <v>1861</v>
      </c>
      <c r="Y268" s="1590" t="n">
        <f aca="false">SUM(Y12:Y266)</f>
        <v>779903.494124169</v>
      </c>
      <c r="AA268" s="1550"/>
      <c r="AB268" s="1551"/>
      <c r="AC268" s="1551"/>
      <c r="AD268" s="1551"/>
      <c r="AE268" s="1551"/>
      <c r="AF268" s="1551"/>
      <c r="AG268" s="1551"/>
      <c r="AH268" s="1551"/>
      <c r="AI268" s="1551"/>
      <c r="AJ268" s="1589" t="s">
        <v>1862</v>
      </c>
      <c r="AK268" s="1590" t="n">
        <f aca="false">SUM(AK12:AK266)</f>
        <v>179816.619044666</v>
      </c>
      <c r="AM268" s="1587"/>
      <c r="AN268" s="373"/>
      <c r="AO268" s="373"/>
      <c r="AP268" s="373"/>
      <c r="AQ268" s="373"/>
      <c r="AR268" s="373"/>
      <c r="AS268" s="1588"/>
    </row>
    <row r="270" customFormat="false" ht="12.75" hidden="false" customHeight="false" outlineLevel="0" collapsed="false">
      <c r="A270" s="1556" t="n">
        <v>1</v>
      </c>
      <c r="B270" s="1556" t="n">
        <f aca="false">A270+1</f>
        <v>2</v>
      </c>
      <c r="C270" s="1556" t="n">
        <f aca="false">B270+1</f>
        <v>3</v>
      </c>
      <c r="D270" s="1556" t="n">
        <f aca="false">C270+1</f>
        <v>4</v>
      </c>
      <c r="E270" s="1556" t="n">
        <f aca="false">D270+1</f>
        <v>5</v>
      </c>
      <c r="F270" s="1556" t="n">
        <f aca="false">E270+1</f>
        <v>6</v>
      </c>
      <c r="G270" s="1556" t="n">
        <f aca="false">F270+1</f>
        <v>7</v>
      </c>
      <c r="H270" s="1556" t="n">
        <f aca="false">G270+1</f>
        <v>8</v>
      </c>
      <c r="I270" s="1556" t="n">
        <f aca="false">H270+1</f>
        <v>9</v>
      </c>
      <c r="J270" s="1556" t="n">
        <f aca="false">I270+1</f>
        <v>10</v>
      </c>
      <c r="K270" s="1556" t="n">
        <f aca="false">J270+1</f>
        <v>11</v>
      </c>
      <c r="L270" s="1556" t="n">
        <f aca="false">K270+1</f>
        <v>12</v>
      </c>
      <c r="M270" s="1556" t="n">
        <f aca="false">L270+1</f>
        <v>13</v>
      </c>
      <c r="N270" s="1556" t="n">
        <f aca="false">M270+1</f>
        <v>14</v>
      </c>
      <c r="O270" s="1556" t="n">
        <f aca="false">N270+1</f>
        <v>15</v>
      </c>
      <c r="P270" s="1556" t="n">
        <f aca="false">O270+1</f>
        <v>16</v>
      </c>
      <c r="Q270" s="1556" t="n">
        <f aca="false">P270+1</f>
        <v>17</v>
      </c>
      <c r="R270" s="1556" t="n">
        <f aca="false">Q270+1</f>
        <v>18</v>
      </c>
      <c r="S270" s="1556" t="n">
        <f aca="false">R270+1</f>
        <v>19</v>
      </c>
      <c r="T270" s="1556" t="n">
        <f aca="false">S270+1</f>
        <v>20</v>
      </c>
      <c r="U270" s="1556" t="n">
        <f aca="false">T270+1</f>
        <v>21</v>
      </c>
      <c r="V270" s="1556" t="n">
        <f aca="false">U270+1</f>
        <v>22</v>
      </c>
      <c r="W270" s="1556" t="n">
        <f aca="false">V270+1</f>
        <v>23</v>
      </c>
      <c r="X270" s="1556" t="n">
        <f aca="false">W270+1</f>
        <v>24</v>
      </c>
      <c r="Y270" s="1556" t="n">
        <f aca="false">X270+1</f>
        <v>25</v>
      </c>
      <c r="Z270" s="1556" t="n">
        <f aca="false">Y270+1</f>
        <v>26</v>
      </c>
      <c r="AA270" s="1556" t="n">
        <f aca="false">Z270+1</f>
        <v>27</v>
      </c>
      <c r="AB270" s="1556" t="n">
        <f aca="false">AA270+1</f>
        <v>28</v>
      </c>
      <c r="AC270" s="1556" t="n">
        <f aca="false">AB270+1</f>
        <v>29</v>
      </c>
      <c r="AD270" s="1556" t="n">
        <f aca="false">AC270+1</f>
        <v>30</v>
      </c>
      <c r="AE270" s="1556" t="n">
        <f aca="false">AD270+1</f>
        <v>31</v>
      </c>
      <c r="AF270" s="1556" t="n">
        <f aca="false">AE270+1</f>
        <v>32</v>
      </c>
      <c r="AG270" s="1556" t="n">
        <f aca="false">AF270+1</f>
        <v>33</v>
      </c>
      <c r="AH270" s="1556" t="n">
        <f aca="false">AG270+1</f>
        <v>34</v>
      </c>
      <c r="AI270" s="1556" t="n">
        <f aca="false">AH270+1</f>
        <v>35</v>
      </c>
      <c r="AJ270" s="1556" t="n">
        <f aca="false">AI270+1</f>
        <v>36</v>
      </c>
      <c r="AK270" s="1556" t="n">
        <f aca="false">AJ270+1</f>
        <v>37</v>
      </c>
      <c r="AM270" s="0"/>
    </row>
  </sheetData>
  <mergeCells count="4">
    <mergeCell ref="C6:M6"/>
    <mergeCell ref="O6:Y6"/>
    <mergeCell ref="AA6:AK6"/>
    <mergeCell ref="AM6:AS6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S270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K24" activeCellId="0" sqref="K2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.7"/>
    <col collapsed="false" customWidth="true" hidden="false" outlineLevel="0" max="3" min="3" style="0" width="13.7"/>
    <col collapsed="false" customWidth="true" hidden="false" outlineLevel="0" max="4" min="4" style="0" width="10.71"/>
    <col collapsed="false" customWidth="true" hidden="false" outlineLevel="0" max="5" min="5" style="0" width="13.7"/>
    <col collapsed="false" customWidth="true" hidden="false" outlineLevel="0" max="6" min="6" style="388" width="10.71"/>
    <col collapsed="false" customWidth="true" hidden="false" outlineLevel="0" max="9" min="7" style="0" width="10.71"/>
    <col collapsed="false" customWidth="true" hidden="false" outlineLevel="0" max="10" min="10" style="0" width="12.7"/>
    <col collapsed="false" customWidth="true" hidden="false" outlineLevel="0" max="11" min="11" style="0" width="2.7"/>
    <col collapsed="false" customWidth="true" hidden="false" outlineLevel="0" max="12" min="12" style="0" width="10.71"/>
    <col collapsed="false" customWidth="true" hidden="false" outlineLevel="0" max="13" min="13" style="388" width="10.71"/>
    <col collapsed="false" customWidth="true" hidden="false" outlineLevel="0" max="18" min="14" style="0" width="10.71"/>
    <col collapsed="false" customWidth="true" hidden="false" outlineLevel="0" max="19" min="19" style="0" width="12.7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1522"/>
      <c r="C1" s="388"/>
      <c r="D1" s="388"/>
      <c r="E1" s="388"/>
      <c r="G1" s="388"/>
      <c r="H1" s="388"/>
      <c r="I1" s="388"/>
      <c r="J1" s="388"/>
      <c r="K1" s="1522"/>
      <c r="L1" s="388"/>
      <c r="N1" s="388"/>
      <c r="O1" s="388"/>
      <c r="P1" s="388"/>
      <c r="Q1" s="388"/>
      <c r="R1" s="388"/>
      <c r="S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1522"/>
      <c r="C2" s="388"/>
      <c r="D2" s="388"/>
      <c r="E2" s="388"/>
      <c r="G2" s="388"/>
      <c r="H2" s="388"/>
      <c r="I2" s="388"/>
      <c r="J2" s="388"/>
      <c r="K2" s="1522"/>
      <c r="L2" s="388"/>
      <c r="N2" s="388"/>
      <c r="O2" s="388"/>
      <c r="P2" s="388"/>
      <c r="Q2" s="388"/>
      <c r="R2" s="388"/>
      <c r="S2" s="388"/>
    </row>
    <row r="3" customFormat="false" ht="15" hidden="false" customHeight="false" outlineLevel="0" collapsed="false">
      <c r="A3" s="19" t="str">
        <f aca="false">TOC!B4</f>
        <v>ENRON INTERNATIONAL</v>
      </c>
      <c r="B3" s="19"/>
      <c r="C3" s="388"/>
      <c r="D3" s="388"/>
      <c r="E3" s="388"/>
      <c r="G3" s="388"/>
      <c r="H3" s="388"/>
      <c r="I3" s="388"/>
      <c r="J3" s="388"/>
      <c r="K3" s="19"/>
      <c r="L3" s="388"/>
      <c r="N3" s="388"/>
      <c r="O3" s="388"/>
      <c r="P3" s="388"/>
      <c r="Q3" s="388"/>
      <c r="R3" s="388"/>
      <c r="S3" s="388"/>
    </row>
    <row r="4" customFormat="false" ht="15" hidden="false" customHeight="false" outlineLevel="0" collapsed="false">
      <c r="A4" s="21" t="s">
        <v>1863</v>
      </c>
      <c r="B4" s="21"/>
      <c r="C4" s="632"/>
      <c r="D4" s="632"/>
      <c r="E4" s="632"/>
      <c r="G4" s="388"/>
      <c r="H4" s="388"/>
      <c r="I4" s="388"/>
      <c r="J4" s="388"/>
      <c r="K4" s="1572"/>
      <c r="L4" s="388"/>
      <c r="N4" s="388"/>
      <c r="O4" s="388"/>
      <c r="P4" s="388"/>
      <c r="Q4" s="388"/>
      <c r="R4" s="388"/>
      <c r="S4" s="388"/>
    </row>
    <row r="5" customFormat="false" ht="12.75" hidden="false" customHeight="false" outlineLevel="0" collapsed="false">
      <c r="A5" s="1523"/>
      <c r="B5" s="1523"/>
      <c r="C5" s="1523"/>
      <c r="D5" s="388"/>
      <c r="E5" s="388"/>
      <c r="G5" s="388"/>
      <c r="H5" s="388"/>
      <c r="I5" s="388"/>
      <c r="J5" s="388"/>
      <c r="K5" s="1523"/>
      <c r="L5" s="1523"/>
      <c r="M5" s="1523"/>
      <c r="N5" s="388"/>
      <c r="O5" s="388"/>
      <c r="P5" s="388"/>
      <c r="Q5" s="388"/>
      <c r="R5" s="388"/>
      <c r="S5" s="388"/>
    </row>
    <row r="6" customFormat="false" ht="12.75" hidden="false" customHeight="false" outlineLevel="0" collapsed="false">
      <c r="C6" s="1524" t="s">
        <v>1864</v>
      </c>
      <c r="D6" s="1524"/>
      <c r="E6" s="1524"/>
      <c r="F6" s="1524"/>
      <c r="G6" s="1524"/>
      <c r="H6" s="1524"/>
      <c r="I6" s="1524"/>
      <c r="J6" s="1524"/>
      <c r="L6" s="1524" t="s">
        <v>1865</v>
      </c>
      <c r="M6" s="1524"/>
      <c r="N6" s="1524"/>
      <c r="O6" s="1524"/>
      <c r="P6" s="1524"/>
      <c r="Q6" s="1524"/>
      <c r="R6" s="1524"/>
      <c r="S6" s="1524"/>
    </row>
    <row r="7" customFormat="false" ht="13.5" hidden="false" customHeight="false" outlineLevel="0" collapsed="false"/>
    <row r="8" customFormat="false" ht="12.75" hidden="false" customHeight="false" outlineLevel="0" collapsed="false">
      <c r="A8" s="1525"/>
      <c r="C8" s="545"/>
      <c r="D8" s="1527"/>
      <c r="E8" s="1527" t="s">
        <v>1828</v>
      </c>
      <c r="F8" s="1527" t="s">
        <v>709</v>
      </c>
      <c r="G8" s="1527" t="s">
        <v>1796</v>
      </c>
      <c r="H8" s="1527" t="s">
        <v>1829</v>
      </c>
      <c r="I8" s="1527" t="s">
        <v>1796</v>
      </c>
      <c r="J8" s="1530" t="s">
        <v>1797</v>
      </c>
      <c r="L8" s="545"/>
      <c r="M8" s="1527"/>
      <c r="N8" s="1527" t="s">
        <v>1828</v>
      </c>
      <c r="O8" s="1527" t="s">
        <v>1831</v>
      </c>
      <c r="P8" s="1527" t="s">
        <v>1796</v>
      </c>
      <c r="Q8" s="1527" t="s">
        <v>1829</v>
      </c>
      <c r="R8" s="1527" t="s">
        <v>1796</v>
      </c>
      <c r="S8" s="1530" t="s">
        <v>1797</v>
      </c>
    </row>
    <row r="9" customFormat="false" ht="12.75" hidden="false" customHeight="false" outlineLevel="0" collapsed="false">
      <c r="A9" s="614"/>
      <c r="C9" s="264" t="s">
        <v>1832</v>
      </c>
      <c r="D9" s="229" t="str">
        <f aca="false">Escalation!Q14</f>
        <v>Brazil</v>
      </c>
      <c r="E9" s="427" t="s">
        <v>1832</v>
      </c>
      <c r="F9" s="427" t="s">
        <v>64</v>
      </c>
      <c r="G9" s="427" t="s">
        <v>782</v>
      </c>
      <c r="H9" s="79" t="s">
        <v>1621</v>
      </c>
      <c r="I9" s="427" t="s">
        <v>782</v>
      </c>
      <c r="J9" s="1533" t="s">
        <v>782</v>
      </c>
      <c r="L9" s="264" t="s">
        <v>1839</v>
      </c>
      <c r="M9" s="229" t="str">
        <f aca="false">D9</f>
        <v>Brazil</v>
      </c>
      <c r="N9" s="427" t="s">
        <v>1839</v>
      </c>
      <c r="O9" s="427" t="s">
        <v>64</v>
      </c>
      <c r="P9" s="427" t="s">
        <v>782</v>
      </c>
      <c r="Q9" s="79" t="s">
        <v>1621</v>
      </c>
      <c r="R9" s="427" t="s">
        <v>782</v>
      </c>
      <c r="S9" s="1533" t="s">
        <v>782</v>
      </c>
    </row>
    <row r="10" customFormat="false" ht="12.75" hidden="false" customHeight="false" outlineLevel="0" collapsed="false">
      <c r="A10" s="1534" t="s">
        <v>1802</v>
      </c>
      <c r="C10" s="472" t="s">
        <v>1840</v>
      </c>
      <c r="D10" s="303" t="str">
        <f aca="false">Escalation!R14</f>
        <v>IGP-DI</v>
      </c>
      <c r="E10" s="303" t="s">
        <v>1840</v>
      </c>
      <c r="F10" s="303" t="s">
        <v>63</v>
      </c>
      <c r="G10" s="303" t="s">
        <v>1857</v>
      </c>
      <c r="H10" s="303" t="s">
        <v>1822</v>
      </c>
      <c r="I10" s="303" t="s">
        <v>1841</v>
      </c>
      <c r="J10" s="475" t="s">
        <v>1841</v>
      </c>
      <c r="L10" s="472" t="s">
        <v>1842</v>
      </c>
      <c r="M10" s="1605" t="str">
        <f aca="false">D10</f>
        <v>IGP-DI</v>
      </c>
      <c r="N10" s="303" t="s">
        <v>1842</v>
      </c>
      <c r="O10" s="303" t="s">
        <v>1794</v>
      </c>
      <c r="P10" s="303" t="s">
        <v>1857</v>
      </c>
      <c r="Q10" s="303" t="s">
        <v>1822</v>
      </c>
      <c r="R10" s="303" t="s">
        <v>1841</v>
      </c>
      <c r="S10" s="475" t="s">
        <v>1841</v>
      </c>
    </row>
    <row r="11" customFormat="false" ht="12.75" hidden="false" customHeight="false" outlineLevel="0" collapsed="false">
      <c r="A11" s="614"/>
      <c r="C11" s="744"/>
      <c r="D11" s="388"/>
      <c r="E11" s="388"/>
      <c r="G11" s="388"/>
      <c r="H11" s="388"/>
      <c r="I11" s="388"/>
      <c r="J11" s="1537"/>
      <c r="L11" s="744"/>
      <c r="N11" s="388"/>
      <c r="O11" s="388"/>
      <c r="P11" s="388"/>
      <c r="Q11" s="388"/>
      <c r="R11" s="388"/>
      <c r="S11" s="1537"/>
    </row>
    <row r="12" customFormat="false" ht="12.75" hidden="false" customHeight="false" outlineLevel="0" collapsed="false">
      <c r="A12" s="1538" t="n">
        <f aca="false">'Plant Operations'!A12</f>
        <v>36251</v>
      </c>
      <c r="C12" s="1595" t="n">
        <f aca="false">IF($A12&gt;Endyr,0,VLOOKUP($A12,Tariff_Table,Tariff!$D$33))</f>
        <v>9586.87619047619</v>
      </c>
      <c r="D12" s="1565" t="n">
        <f aca="false">VLOOKUP($A12,Curves_Table,Escalation!$R$291)</f>
        <v>1.04580600399122</v>
      </c>
      <c r="E12" s="1606" t="n">
        <f aca="false">C12*D12</f>
        <v>10026.0126795204</v>
      </c>
      <c r="F12" s="1540" t="n">
        <f aca="false">'Plant Operations'!C12</f>
        <v>150</v>
      </c>
      <c r="G12" s="1606" t="n">
        <f aca="false">E12*F12/1000</f>
        <v>1503.90190192807</v>
      </c>
      <c r="H12" s="1576" t="n">
        <f aca="false">IF(Assm!$L$74=0,VLOOKUP($A12,Curves_Table,Escalation!$D$291),VLOOKUP($A12,Curves_Table,Escalation!$E$291))</f>
        <v>1.665</v>
      </c>
      <c r="I12" s="394" t="n">
        <f aca="false">G12/H12</f>
        <v>903.244385542382</v>
      </c>
      <c r="J12" s="1579" t="str">
        <f aca="false">IF(MONTH($A12)=12,SUM(I1:I12)," ")</f>
        <v> </v>
      </c>
      <c r="L12" s="1607" t="n">
        <f aca="false">IF($A12&gt;Endyr,0,VLOOKUP($A12,Tariff_Table,Tariff!$J$33))</f>
        <v>0.17</v>
      </c>
      <c r="M12" s="1576" t="n">
        <f aca="false">D12</f>
        <v>1.04580600399122</v>
      </c>
      <c r="N12" s="1608" t="n">
        <f aca="false">L12*M12</f>
        <v>0.177787020678507</v>
      </c>
      <c r="O12" s="397" t="n">
        <f aca="false">'Plant Operations'!$I12+'Plant Operations'!$M12</f>
        <v>9360</v>
      </c>
      <c r="P12" s="1606" t="n">
        <f aca="false">N12*O12</f>
        <v>1664.08651355082</v>
      </c>
      <c r="Q12" s="1565" t="n">
        <f aca="false">$H12</f>
        <v>1.665</v>
      </c>
      <c r="R12" s="1566" t="n">
        <f aca="false">P12/Q12</f>
        <v>999.451359489984</v>
      </c>
      <c r="S12" s="1567" t="str">
        <f aca="false">IF(MONTH($A12)=12,SUM(R1:R12)," ")</f>
        <v> </v>
      </c>
    </row>
    <row r="13" customFormat="false" ht="12.75" hidden="false" customHeight="false" outlineLevel="0" collapsed="false">
      <c r="A13" s="1538" t="n">
        <f aca="false">'Plant Operations'!A13</f>
        <v>36281</v>
      </c>
      <c r="C13" s="1595" t="n">
        <f aca="false">IF($A13&gt;Endyr,0,VLOOKUP($A13,Tariff_Table,Tariff!$D$33))</f>
        <v>9586.87619047619</v>
      </c>
      <c r="D13" s="1565" t="n">
        <f aca="false">VLOOKUP($A13,Curves_Table,Escalation!$R$291)</f>
        <v>1.13477865915154</v>
      </c>
      <c r="E13" s="1606" t="n">
        <f aca="false">C13*D13</f>
        <v>10878.9825088804</v>
      </c>
      <c r="F13" s="1540" t="n">
        <f aca="false">'Plant Operations'!C13</f>
        <v>150</v>
      </c>
      <c r="G13" s="1606" t="n">
        <f aca="false">E13*F13/1000</f>
        <v>1631.84737633207</v>
      </c>
      <c r="H13" s="1576" t="n">
        <f aca="false">IF(Assm!$L$74=0,VLOOKUP($A13,Curves_Table,Escalation!$D$291),VLOOKUP($A13,Curves_Table,Escalation!$E$291))</f>
        <v>1.721</v>
      </c>
      <c r="I13" s="394" t="n">
        <f aca="false">G13/H13</f>
        <v>948.19719717145</v>
      </c>
      <c r="J13" s="1579" t="str">
        <f aca="false">IF(MONTH($A13)=12,SUM(I2:I13)," ")</f>
        <v> </v>
      </c>
      <c r="L13" s="1607" t="n">
        <f aca="false">IF($A13&gt;Endyr,0,VLOOKUP($A13,Tariff_Table,Tariff!$J$33))</f>
        <v>0.17</v>
      </c>
      <c r="M13" s="1576" t="n">
        <f aca="false">D13</f>
        <v>1.13477865915154</v>
      </c>
      <c r="N13" s="1608" t="n">
        <f aca="false">L13*M13</f>
        <v>0.192912372055763</v>
      </c>
      <c r="O13" s="397" t="n">
        <f aca="false">'Plant Operations'!$I13+'Plant Operations'!$M13</f>
        <v>9360</v>
      </c>
      <c r="P13" s="1606" t="n">
        <f aca="false">N13*O13</f>
        <v>1805.65980244194</v>
      </c>
      <c r="Q13" s="1565" t="n">
        <f aca="false">$H13</f>
        <v>1.721</v>
      </c>
      <c r="R13" s="1566" t="n">
        <f aca="false">P13/Q13</f>
        <v>1049.19221524808</v>
      </c>
      <c r="S13" s="1567" t="str">
        <f aca="false">IF(MONTH($A13)=12,SUM(R2:R13)," ")</f>
        <v> </v>
      </c>
    </row>
    <row r="14" customFormat="false" ht="12.75" hidden="false" customHeight="false" outlineLevel="0" collapsed="false">
      <c r="A14" s="1538" t="n">
        <f aca="false">'Plant Operations'!A14</f>
        <v>36312</v>
      </c>
      <c r="C14" s="1595" t="n">
        <f aca="false">IF($A14&gt;Endyr,0,VLOOKUP($A14,Tariff_Table,Tariff!$D$33))</f>
        <v>9586.87619047619</v>
      </c>
      <c r="D14" s="1565" t="n">
        <f aca="false">VLOOKUP($A14,Curves_Table,Escalation!$R$291)</f>
        <v>1.13477865915154</v>
      </c>
      <c r="E14" s="1606" t="n">
        <f aca="false">C14*D14</f>
        <v>10878.9825088804</v>
      </c>
      <c r="F14" s="1540" t="n">
        <f aca="false">'Plant Operations'!C14</f>
        <v>150</v>
      </c>
      <c r="G14" s="1606" t="n">
        <f aca="false">E14*F14/1000</f>
        <v>1631.84737633207</v>
      </c>
      <c r="H14" s="1576" t="n">
        <f aca="false">IF(Assm!$L$74=0,VLOOKUP($A14,Curves_Table,Escalation!$D$291),VLOOKUP($A14,Curves_Table,Escalation!$E$291))</f>
        <v>1.7525</v>
      </c>
      <c r="I14" s="394" t="n">
        <f aca="false">G14/H14</f>
        <v>931.153995053961</v>
      </c>
      <c r="J14" s="1579" t="str">
        <f aca="false">IF(MONTH($A14)=12,SUM(I3:I14)," ")</f>
        <v> </v>
      </c>
      <c r="L14" s="1607" t="n">
        <f aca="false">IF($A14&gt;Endyr,0,VLOOKUP($A14,Tariff_Table,Tariff!$J$33))</f>
        <v>0.17</v>
      </c>
      <c r="M14" s="1576" t="n">
        <f aca="false">D14</f>
        <v>1.13477865915154</v>
      </c>
      <c r="N14" s="1608" t="n">
        <f aca="false">L14*M14</f>
        <v>0.192912372055763</v>
      </c>
      <c r="O14" s="397" t="n">
        <f aca="false">'Plant Operations'!$I14+'Plant Operations'!$M14</f>
        <v>11700</v>
      </c>
      <c r="P14" s="1606" t="n">
        <f aca="false">N14*O14</f>
        <v>2257.07475305242</v>
      </c>
      <c r="Q14" s="1565" t="n">
        <f aca="false">$H14</f>
        <v>1.7525</v>
      </c>
      <c r="R14" s="1566" t="n">
        <f aca="false">P14/Q14</f>
        <v>1287.91712014404</v>
      </c>
      <c r="S14" s="1567" t="str">
        <f aca="false">IF(MONTH($A14)=12,SUM(R3:R14)," ")</f>
        <v> </v>
      </c>
    </row>
    <row r="15" customFormat="false" ht="12.75" hidden="false" customHeight="false" outlineLevel="0" collapsed="false">
      <c r="A15" s="1538" t="n">
        <f aca="false">'Plant Operations'!A15</f>
        <v>36342</v>
      </c>
      <c r="C15" s="1595" t="n">
        <f aca="false">IF($A15&gt;Endyr,0,VLOOKUP($A15,Tariff_Table,Tariff!$D$33))</f>
        <v>9586.87619047619</v>
      </c>
      <c r="D15" s="1565" t="n">
        <f aca="false">VLOOKUP($A15,Curves_Table,Escalation!$R$291)</f>
        <v>1.13477865915154</v>
      </c>
      <c r="E15" s="1606" t="n">
        <f aca="false">C15*D15</f>
        <v>10878.9825088804</v>
      </c>
      <c r="F15" s="1540" t="n">
        <f aca="false">'Plant Operations'!C15</f>
        <v>150</v>
      </c>
      <c r="G15" s="1606" t="n">
        <f aca="false">E15*F15/1000</f>
        <v>1631.84737633207</v>
      </c>
      <c r="H15" s="1576" t="n">
        <f aca="false">IF(Assm!$L$74=0,VLOOKUP($A15,Curves_Table,Escalation!$D$291),VLOOKUP($A15,Curves_Table,Escalation!$E$291))</f>
        <v>1.801</v>
      </c>
      <c r="I15" s="394" t="n">
        <f aca="false">G15/H15</f>
        <v>906.078498796261</v>
      </c>
      <c r="J15" s="1579" t="str">
        <f aca="false">IF(MONTH($A15)=12,SUM(I4:I15)," ")</f>
        <v> </v>
      </c>
      <c r="L15" s="1607" t="n">
        <f aca="false">IF($A15&gt;Endyr,0,VLOOKUP($A15,Tariff_Table,Tariff!$J$33))</f>
        <v>0.17</v>
      </c>
      <c r="M15" s="1576" t="n">
        <f aca="false">D15</f>
        <v>1.13477865915154</v>
      </c>
      <c r="N15" s="1608" t="n">
        <f aca="false">L15*M15</f>
        <v>0.192912372055763</v>
      </c>
      <c r="O15" s="397" t="n">
        <f aca="false">'Plant Operations'!$I15+'Plant Operations'!$M15</f>
        <v>11700</v>
      </c>
      <c r="P15" s="1606" t="n">
        <f aca="false">N15*O15</f>
        <v>2257.07475305242</v>
      </c>
      <c r="Q15" s="1565" t="n">
        <f aca="false">$H15</f>
        <v>1.801</v>
      </c>
      <c r="R15" s="1566" t="n">
        <f aca="false">P15/Q15</f>
        <v>1253.23417715293</v>
      </c>
      <c r="S15" s="1567" t="str">
        <f aca="false">IF(MONTH($A15)=12,SUM(R4:R15)," ")</f>
        <v> </v>
      </c>
    </row>
    <row r="16" customFormat="false" ht="12.75" hidden="false" customHeight="false" outlineLevel="0" collapsed="false">
      <c r="A16" s="1538" t="n">
        <f aca="false">'Plant Operations'!A16</f>
        <v>36373</v>
      </c>
      <c r="C16" s="1595" t="n">
        <f aca="false">IF($A16&gt;Endyr,0,VLOOKUP($A16,Tariff_Table,Tariff!$D$33))</f>
        <v>9586.87619047619</v>
      </c>
      <c r="D16" s="1565" t="n">
        <f aca="false">VLOOKUP($A16,Curves_Table,Escalation!$R$291)</f>
        <v>1.13477865915154</v>
      </c>
      <c r="E16" s="1606" t="n">
        <f aca="false">C16*D16</f>
        <v>10878.9825088804</v>
      </c>
      <c r="F16" s="1540" t="n">
        <f aca="false">'Plant Operations'!C16</f>
        <v>150</v>
      </c>
      <c r="G16" s="1606" t="n">
        <f aca="false">E16*F16/1000</f>
        <v>1631.84737633207</v>
      </c>
      <c r="H16" s="1576" t="n">
        <f aca="false">IF(Assm!$L$74=0,VLOOKUP($A16,Curves_Table,Escalation!$D$291),VLOOKUP($A16,Curves_Table,Escalation!$E$291))</f>
        <v>1.919</v>
      </c>
      <c r="I16" s="394" t="n">
        <f aca="false">G16/H16</f>
        <v>850.363406113635</v>
      </c>
      <c r="J16" s="1579" t="str">
        <f aca="false">IF(MONTH($A16)=12,SUM(I5:I16)," ")</f>
        <v> </v>
      </c>
      <c r="L16" s="1607" t="n">
        <f aca="false">IF($A16&gt;Endyr,0,VLOOKUP($A16,Tariff_Table,Tariff!$J$33))</f>
        <v>0.17</v>
      </c>
      <c r="M16" s="1576" t="n">
        <f aca="false">D16</f>
        <v>1.13477865915154</v>
      </c>
      <c r="N16" s="1608" t="n">
        <f aca="false">L16*M16</f>
        <v>0.192912372055763</v>
      </c>
      <c r="O16" s="397" t="n">
        <f aca="false">'Plant Operations'!$I16+'Plant Operations'!$M16</f>
        <v>14040</v>
      </c>
      <c r="P16" s="1606" t="n">
        <f aca="false">N16*O16</f>
        <v>2708.48970366291</v>
      </c>
      <c r="Q16" s="1565" t="n">
        <f aca="false">$H16</f>
        <v>1.919</v>
      </c>
      <c r="R16" s="1566" t="n">
        <f aca="false">P16/Q16</f>
        <v>1411.40682838088</v>
      </c>
      <c r="S16" s="1567" t="str">
        <f aca="false">IF(MONTH($A16)=12,SUM(R5:R16)," ")</f>
        <v> </v>
      </c>
    </row>
    <row r="17" customFormat="false" ht="12.75" hidden="false" customHeight="false" outlineLevel="0" collapsed="false">
      <c r="A17" s="1538" t="n">
        <f aca="false">'Plant Operations'!A17</f>
        <v>36404</v>
      </c>
      <c r="C17" s="1595" t="n">
        <f aca="false">IF($A17&gt;Endyr,0,VLOOKUP($A17,Tariff_Table,Tariff!$D$33))</f>
        <v>9586.87619047619</v>
      </c>
      <c r="D17" s="1565" t="n">
        <f aca="false">VLOOKUP($A17,Curves_Table,Escalation!$R$291)</f>
        <v>1.13477865915154</v>
      </c>
      <c r="E17" s="1606" t="n">
        <f aca="false">C17*D17</f>
        <v>10878.9825088804</v>
      </c>
      <c r="F17" s="1540" t="n">
        <f aca="false">'Plant Operations'!C17</f>
        <v>150</v>
      </c>
      <c r="G17" s="1606" t="n">
        <f aca="false">E17*F17/1000</f>
        <v>1631.84737633207</v>
      </c>
      <c r="H17" s="1576" t="n">
        <f aca="false">IF(Assm!$L$74=0,VLOOKUP($A17,Curves_Table,Escalation!$D$291),VLOOKUP($A17,Curves_Table,Escalation!$E$291))</f>
        <v>1.9375</v>
      </c>
      <c r="I17" s="394" t="n">
        <f aca="false">G17/H17</f>
        <v>842.243807139131</v>
      </c>
      <c r="J17" s="1579" t="str">
        <f aca="false">IF(MONTH($A17)=12,SUM(I6:I17)," ")</f>
        <v> </v>
      </c>
      <c r="L17" s="1607" t="n">
        <f aca="false">IF($A17&gt;Endyr,0,VLOOKUP($A17,Tariff_Table,Tariff!$J$33))</f>
        <v>0.17</v>
      </c>
      <c r="M17" s="1576" t="n">
        <f aca="false">D17</f>
        <v>1.13477865915154</v>
      </c>
      <c r="N17" s="1608" t="n">
        <f aca="false">L17*M17</f>
        <v>0.192912372055763</v>
      </c>
      <c r="O17" s="397" t="n">
        <f aca="false">'Plant Operations'!$I17+'Plant Operations'!$M17</f>
        <v>16640</v>
      </c>
      <c r="P17" s="1606" t="n">
        <f aca="false">N17*O17</f>
        <v>3210.06187100789</v>
      </c>
      <c r="Q17" s="1565" t="n">
        <f aca="false">$H17</f>
        <v>1.9375</v>
      </c>
      <c r="R17" s="1566" t="n">
        <f aca="false">P17/Q17</f>
        <v>1656.80612697181</v>
      </c>
      <c r="S17" s="1567" t="str">
        <f aca="false">IF(MONTH($A17)=12,SUM(R6:R17)," ")</f>
        <v> </v>
      </c>
    </row>
    <row r="18" customFormat="false" ht="12.75" hidden="false" customHeight="false" outlineLevel="0" collapsed="false">
      <c r="A18" s="1538" t="n">
        <f aca="false">'Plant Operations'!A18</f>
        <v>36434</v>
      </c>
      <c r="C18" s="1595" t="n">
        <f aca="false">IF($A18&gt;Endyr,0,VLOOKUP($A18,Tariff_Table,Tariff!$D$33))</f>
        <v>9586.87619047619</v>
      </c>
      <c r="D18" s="1565" t="n">
        <f aca="false">VLOOKUP($A18,Curves_Table,Escalation!$R$291)</f>
        <v>1.13477865915154</v>
      </c>
      <c r="E18" s="1606" t="n">
        <f aca="false">C18*D18</f>
        <v>10878.9825088804</v>
      </c>
      <c r="F18" s="1540" t="n">
        <f aca="false">'Plant Operations'!C18</f>
        <v>150</v>
      </c>
      <c r="G18" s="1606" t="n">
        <f aca="false">E18*F18/1000</f>
        <v>1631.84737633207</v>
      </c>
      <c r="H18" s="1576" t="n">
        <f aca="false">IF(Assm!$L$74=0,VLOOKUP($A18,Curves_Table,Escalation!$D$291),VLOOKUP($A18,Curves_Table,Escalation!$E$291))</f>
        <v>1.949</v>
      </c>
      <c r="I18" s="394" t="n">
        <f aca="false">G18/H18</f>
        <v>837.274179749649</v>
      </c>
      <c r="J18" s="1579" t="str">
        <f aca="false">IF(MONTH($A18)=12,SUM(I7:I18)," ")</f>
        <v> </v>
      </c>
      <c r="L18" s="1607" t="n">
        <f aca="false">IF($A18&gt;Endyr,0,VLOOKUP($A18,Tariff_Table,Tariff!$J$33))</f>
        <v>0.17</v>
      </c>
      <c r="M18" s="1576" t="n">
        <f aca="false">D18</f>
        <v>1.13477865915154</v>
      </c>
      <c r="N18" s="1608" t="n">
        <f aca="false">L18*M18</f>
        <v>0.192912372055763</v>
      </c>
      <c r="O18" s="397" t="n">
        <f aca="false">'Plant Operations'!$I18+'Plant Operations'!$M18</f>
        <v>14040</v>
      </c>
      <c r="P18" s="1606" t="n">
        <f aca="false">N18*O18</f>
        <v>2708.48970366291</v>
      </c>
      <c r="Q18" s="1565" t="n">
        <f aca="false">$H18</f>
        <v>1.949</v>
      </c>
      <c r="R18" s="1566" t="n">
        <f aca="false">P18/Q18</f>
        <v>1389.68173610206</v>
      </c>
      <c r="S18" s="1567" t="str">
        <f aca="false">IF(MONTH($A18)=12,SUM(R7:R18)," ")</f>
        <v> </v>
      </c>
    </row>
    <row r="19" customFormat="false" ht="12.75" hidden="false" customHeight="false" outlineLevel="0" collapsed="false">
      <c r="A19" s="1538" t="n">
        <f aca="false">'Plant Operations'!A19</f>
        <v>36465</v>
      </c>
      <c r="C19" s="1595" t="n">
        <f aca="false">IF($A19&gt;Endyr,0,VLOOKUP($A19,Tariff_Table,Tariff!$D$33))</f>
        <v>9586.87619047619</v>
      </c>
      <c r="D19" s="1565" t="n">
        <f aca="false">VLOOKUP($A19,Curves_Table,Escalation!$R$291)</f>
        <v>1.13477865915154</v>
      </c>
      <c r="E19" s="1606" t="n">
        <f aca="false">C19*D19</f>
        <v>10878.9825088804</v>
      </c>
      <c r="F19" s="1540" t="n">
        <f aca="false">'Plant Operations'!C19</f>
        <v>150</v>
      </c>
      <c r="G19" s="1606" t="n">
        <f aca="false">E19*F19/1000</f>
        <v>1631.84737633207</v>
      </c>
      <c r="H19" s="1576" t="n">
        <f aca="false">IF(Assm!$L$74=0,VLOOKUP($A19,Curves_Table,Escalation!$D$291),VLOOKUP($A19,Curves_Table,Escalation!$E$291))</f>
        <v>1.923</v>
      </c>
      <c r="I19" s="394" t="n">
        <f aca="false">G19/H19</f>
        <v>848.594579475853</v>
      </c>
      <c r="J19" s="1579" t="str">
        <f aca="false">IF(MONTH($A19)=12,SUM(I8:I19)," ")</f>
        <v> </v>
      </c>
      <c r="L19" s="1607" t="n">
        <f aca="false">IF($A19&gt;Endyr,0,VLOOKUP($A19,Tariff_Table,Tariff!$J$33))</f>
        <v>0.17</v>
      </c>
      <c r="M19" s="1576" t="n">
        <f aca="false">D19</f>
        <v>1.13477865915154</v>
      </c>
      <c r="N19" s="1608" t="n">
        <f aca="false">L19*M19</f>
        <v>0.192912372055763</v>
      </c>
      <c r="O19" s="397" t="n">
        <f aca="false">'Plant Operations'!$I19+'Plant Operations'!$M19</f>
        <v>11700</v>
      </c>
      <c r="P19" s="1606" t="n">
        <f aca="false">N19*O19</f>
        <v>2257.07475305242</v>
      </c>
      <c r="Q19" s="1565" t="n">
        <f aca="false">$H19</f>
        <v>1.923</v>
      </c>
      <c r="R19" s="1566" t="n">
        <f aca="false">P19/Q19</f>
        <v>1173.72582062008</v>
      </c>
      <c r="S19" s="1567" t="str">
        <f aca="false">IF(MONTH($A19)=12,SUM(R8:R19)," ")</f>
        <v> </v>
      </c>
    </row>
    <row r="20" customFormat="false" ht="12.75" hidden="false" customHeight="false" outlineLevel="0" collapsed="false">
      <c r="A20" s="1538" t="n">
        <f aca="false">'Plant Operations'!A20</f>
        <v>36495</v>
      </c>
      <c r="C20" s="1595" t="n">
        <f aca="false">IF($A20&gt;Endyr,0,VLOOKUP($A20,Tariff_Table,Tariff!$D$33))</f>
        <v>9586.87619047619</v>
      </c>
      <c r="D20" s="1565" t="n">
        <f aca="false">VLOOKUP($A20,Curves_Table,Escalation!$R$291)</f>
        <v>1.13477865915154</v>
      </c>
      <c r="E20" s="1606" t="n">
        <f aca="false">C20*D20</f>
        <v>10878.9825088804</v>
      </c>
      <c r="F20" s="1540" t="n">
        <f aca="false">'Plant Operations'!C20</f>
        <v>150</v>
      </c>
      <c r="G20" s="1606" t="n">
        <f aca="false">E20*F20/1000</f>
        <v>1631.84737633207</v>
      </c>
      <c r="H20" s="1576" t="n">
        <f aca="false">IF(Assm!$L$74=0,VLOOKUP($A20,Curves_Table,Escalation!$D$291),VLOOKUP($A20,Curves_Table,Escalation!$E$291))</f>
        <v>1.799</v>
      </c>
      <c r="I20" s="394" t="n">
        <f aca="false">G20/H20</f>
        <v>907.085812302427</v>
      </c>
      <c r="J20" s="1579" t="n">
        <f aca="false">IF(MONTH($A20)=12,SUM(I9:I20)," ")</f>
        <v>7974.23586134475</v>
      </c>
      <c r="L20" s="1607" t="n">
        <f aca="false">IF($A20&gt;Endyr,0,VLOOKUP($A20,Tariff_Table,Tariff!$J$33))</f>
        <v>0.17</v>
      </c>
      <c r="M20" s="1576" t="n">
        <f aca="false">D20</f>
        <v>1.13477865915154</v>
      </c>
      <c r="N20" s="1608" t="n">
        <f aca="false">L20*M20</f>
        <v>0.192912372055763</v>
      </c>
      <c r="O20" s="397" t="n">
        <f aca="false">'Plant Operations'!$I20+'Plant Operations'!$M20</f>
        <v>9360</v>
      </c>
      <c r="P20" s="1606" t="n">
        <f aca="false">N20*O20</f>
        <v>1805.65980244194</v>
      </c>
      <c r="Q20" s="1565" t="n">
        <f aca="false">$H20</f>
        <v>1.799</v>
      </c>
      <c r="R20" s="1566" t="n">
        <f aca="false">P20/Q20</f>
        <v>1003.70194688268</v>
      </c>
      <c r="S20" s="1567" t="n">
        <f aca="false">IF(MONTH($A20)=12,SUM(R9:R20)," ")</f>
        <v>11225.1173309925</v>
      </c>
    </row>
    <row r="21" customFormat="false" ht="12.75" hidden="false" customHeight="false" outlineLevel="0" collapsed="false">
      <c r="A21" s="1538" t="n">
        <f aca="false">'Plant Operations'!A21</f>
        <v>36526</v>
      </c>
      <c r="C21" s="1595" t="n">
        <f aca="false">IF($A21&gt;Endyr,0,VLOOKUP($A21,Tariff_Table,Tariff!$D$33))</f>
        <v>9586.87619047619</v>
      </c>
      <c r="D21" s="1565" t="n">
        <f aca="false">VLOOKUP($A21,Curves_Table,Escalation!$R$291)</f>
        <v>1.13477865915154</v>
      </c>
      <c r="E21" s="1606" t="n">
        <f aca="false">C21*D21</f>
        <v>10878.9825088804</v>
      </c>
      <c r="F21" s="1540" t="n">
        <f aca="false">'Plant Operations'!C21</f>
        <v>150</v>
      </c>
      <c r="G21" s="1606" t="n">
        <f aca="false">E21*F21/1000</f>
        <v>1631.84737633207</v>
      </c>
      <c r="H21" s="1576" t="n">
        <f aca="false">IF(Assm!$L$74=0,VLOOKUP($A21,Curves_Table,Escalation!$D$291),VLOOKUP($A21,Curves_Table,Escalation!$E$291))</f>
        <v>1.79475064868979</v>
      </c>
      <c r="I21" s="394" t="n">
        <f aca="false">G21/H21</f>
        <v>909.233479048108</v>
      </c>
      <c r="J21" s="1579" t="str">
        <f aca="false">IF(MONTH($A21)=12,SUM(I10:I21)," ")</f>
        <v> </v>
      </c>
      <c r="L21" s="1607" t="n">
        <f aca="false">IF($A21&gt;Endyr,0,VLOOKUP($A21,Tariff_Table,Tariff!$J$33))</f>
        <v>0.17</v>
      </c>
      <c r="M21" s="1576" t="n">
        <f aca="false">D21</f>
        <v>1.13477865915154</v>
      </c>
      <c r="N21" s="1608" t="n">
        <f aca="false">L21*M21</f>
        <v>0.192912372055763</v>
      </c>
      <c r="O21" s="397" t="n">
        <f aca="false">'Plant Operations'!$I21+'Plant Operations'!$M21</f>
        <v>9360</v>
      </c>
      <c r="P21" s="1606" t="n">
        <f aca="false">N21*O21</f>
        <v>1805.65980244194</v>
      </c>
      <c r="Q21" s="1565" t="n">
        <f aca="false">$H21</f>
        <v>1.79475064868979</v>
      </c>
      <c r="R21" s="1566" t="n">
        <f aca="false">P21/Q21</f>
        <v>1006.07836735432</v>
      </c>
      <c r="S21" s="1567" t="str">
        <f aca="false">IF(MONTH($A21)=12,SUM(R10:R21)," ")</f>
        <v> </v>
      </c>
    </row>
    <row r="22" customFormat="false" ht="12.75" hidden="false" customHeight="false" outlineLevel="0" collapsed="false">
      <c r="A22" s="1538" t="n">
        <f aca="false">'Plant Operations'!A22</f>
        <v>36557</v>
      </c>
      <c r="C22" s="1595" t="n">
        <f aca="false">IF($A22&gt;Endyr,0,VLOOKUP($A22,Tariff_Table,Tariff!$D$33))</f>
        <v>9586.87619047619</v>
      </c>
      <c r="D22" s="1565" t="n">
        <f aca="false">VLOOKUP($A22,Curves_Table,Escalation!$R$291)</f>
        <v>1.13477865915154</v>
      </c>
      <c r="E22" s="1606" t="n">
        <f aca="false">C22*D22</f>
        <v>10878.9825088804</v>
      </c>
      <c r="F22" s="1540" t="n">
        <f aca="false">'Plant Operations'!C22</f>
        <v>150</v>
      </c>
      <c r="G22" s="1606" t="n">
        <f aca="false">E22*F22/1000</f>
        <v>1631.84737633207</v>
      </c>
      <c r="H22" s="1576" t="n">
        <f aca="false">IF(Assm!$L$74=0,VLOOKUP($A22,Curves_Table,Escalation!$D$291),VLOOKUP($A22,Curves_Table,Escalation!$E$291))</f>
        <v>1.79051133461502</v>
      </c>
      <c r="I22" s="394" t="n">
        <f aca="false">G22/H22</f>
        <v>911.38623072885</v>
      </c>
      <c r="J22" s="1579" t="str">
        <f aca="false">IF(MONTH($A22)=12,SUM(I11:I22)," ")</f>
        <v> </v>
      </c>
      <c r="L22" s="1607" t="n">
        <f aca="false">IF($A22&gt;Endyr,0,VLOOKUP($A22,Tariff_Table,Tariff!$J$33))</f>
        <v>0.17</v>
      </c>
      <c r="M22" s="1576" t="n">
        <f aca="false">D22</f>
        <v>1.13477865915154</v>
      </c>
      <c r="N22" s="1608" t="n">
        <f aca="false">L22*M22</f>
        <v>0.192912372055763</v>
      </c>
      <c r="O22" s="397" t="n">
        <f aca="false">'Plant Operations'!$I22+'Plant Operations'!$M22</f>
        <v>9360</v>
      </c>
      <c r="P22" s="1606" t="n">
        <f aca="false">N22*O22</f>
        <v>1805.65980244194</v>
      </c>
      <c r="Q22" s="1565" t="n">
        <f aca="false">$H22</f>
        <v>1.79051133461502</v>
      </c>
      <c r="R22" s="1566" t="n">
        <f aca="false">P22/Q22</f>
        <v>1008.46041437106</v>
      </c>
      <c r="S22" s="1567" t="str">
        <f aca="false">IF(MONTH($A22)=12,SUM(R11:R22)," ")</f>
        <v> </v>
      </c>
    </row>
    <row r="23" customFormat="false" ht="12.75" hidden="false" customHeight="false" outlineLevel="0" collapsed="false">
      <c r="A23" s="1538" t="n">
        <f aca="false">'Plant Operations'!A23</f>
        <v>36586</v>
      </c>
      <c r="C23" s="1595" t="n">
        <f aca="false">IF($A23&gt;Endyr,0,VLOOKUP($A23,Tariff_Table,Tariff!$D$33))</f>
        <v>9586.87619047619</v>
      </c>
      <c r="D23" s="1565" t="n">
        <f aca="false">VLOOKUP($A23,Curves_Table,Escalation!$R$291)</f>
        <v>1.13477865915154</v>
      </c>
      <c r="E23" s="1606" t="n">
        <f aca="false">C23*D23</f>
        <v>10878.9825088804</v>
      </c>
      <c r="F23" s="1540" t="n">
        <f aca="false">'Plant Operations'!C23</f>
        <v>150</v>
      </c>
      <c r="G23" s="1606" t="n">
        <f aca="false">E23*F23/1000</f>
        <v>1631.84737633207</v>
      </c>
      <c r="H23" s="1576" t="n">
        <f aca="false">IF(Assm!$L$74=0,VLOOKUP($A23,Curves_Table,Escalation!$D$291),VLOOKUP($A23,Curves_Table,Escalation!$E$291))</f>
        <v>1.78628203406711</v>
      </c>
      <c r="I23" s="394" t="n">
        <f aca="false">G23/H23</f>
        <v>913.544079384028</v>
      </c>
      <c r="J23" s="1579" t="str">
        <f aca="false">IF(MONTH($A23)=12,SUM(I12:I23)," ")</f>
        <v> </v>
      </c>
      <c r="L23" s="1607" t="n">
        <f aca="false">IF($A23&gt;Endyr,0,VLOOKUP($A23,Tariff_Table,Tariff!$J$33))</f>
        <v>0.17</v>
      </c>
      <c r="M23" s="1576" t="n">
        <f aca="false">D23</f>
        <v>1.13477865915154</v>
      </c>
      <c r="N23" s="1608" t="n">
        <f aca="false">L23*M23</f>
        <v>0.192912372055763</v>
      </c>
      <c r="O23" s="397" t="n">
        <f aca="false">'Plant Operations'!$I23+'Plant Operations'!$M23</f>
        <v>9360</v>
      </c>
      <c r="P23" s="1606" t="n">
        <f aca="false">N23*O23</f>
        <v>1805.65980244194</v>
      </c>
      <c r="Q23" s="1565" t="n">
        <f aca="false">$H23</f>
        <v>1.78628203406711</v>
      </c>
      <c r="R23" s="1566" t="n">
        <f aca="false">P23/Q23</f>
        <v>1010.8481012546</v>
      </c>
      <c r="S23" s="1567" t="str">
        <f aca="false">IF(MONTH($A23)=12,SUM(R12:R23)," ")</f>
        <v> </v>
      </c>
    </row>
    <row r="24" customFormat="false" ht="12.75" hidden="false" customHeight="false" outlineLevel="0" collapsed="false">
      <c r="A24" s="1538" t="n">
        <f aca="false">'Plant Operations'!A24</f>
        <v>36617</v>
      </c>
      <c r="C24" s="1595" t="n">
        <f aca="false">IF($A24&gt;Endyr,0,VLOOKUP($A24,Tariff_Table,Tariff!$D$33))</f>
        <v>9586.87619047619</v>
      </c>
      <c r="D24" s="1565" t="n">
        <f aca="false">VLOOKUP($A24,Curves_Table,Escalation!$R$291)</f>
        <v>1.13477865915154</v>
      </c>
      <c r="E24" s="1606" t="n">
        <f aca="false">C24*D24</f>
        <v>10878.9825088804</v>
      </c>
      <c r="F24" s="1540" t="n">
        <f aca="false">'Plant Operations'!C24</f>
        <v>150</v>
      </c>
      <c r="G24" s="1606" t="n">
        <f aca="false">E24*F24/1000</f>
        <v>1631.84737633207</v>
      </c>
      <c r="H24" s="1576" t="n">
        <f aca="false">IF(Assm!$L$74=0,VLOOKUP($A24,Curves_Table,Escalation!$D$291),VLOOKUP($A24,Curves_Table,Escalation!$E$291))</f>
        <v>1.78206272339347</v>
      </c>
      <c r="I24" s="394" t="n">
        <f aca="false">G24/H24</f>
        <v>915.707037081522</v>
      </c>
      <c r="J24" s="1579" t="str">
        <f aca="false">IF(MONTH($A24)=12,SUM(I13:I24)," ")</f>
        <v> </v>
      </c>
      <c r="L24" s="1607" t="n">
        <f aca="false">IF($A24&gt;Endyr,0,VLOOKUP($A24,Tariff_Table,Tariff!$J$33))</f>
        <v>0.17</v>
      </c>
      <c r="M24" s="1576" t="n">
        <f aca="false">D24</f>
        <v>1.13477865915154</v>
      </c>
      <c r="N24" s="1608" t="n">
        <f aca="false">L24*M24</f>
        <v>0.192912372055763</v>
      </c>
      <c r="O24" s="397" t="n">
        <f aca="false">'Plant Operations'!$I24+'Plant Operations'!$M24</f>
        <v>9360</v>
      </c>
      <c r="P24" s="1606" t="n">
        <f aca="false">N24*O24</f>
        <v>1805.65980244194</v>
      </c>
      <c r="Q24" s="1565" t="n">
        <f aca="false">$H24</f>
        <v>1.78206272339347</v>
      </c>
      <c r="R24" s="1566" t="n">
        <f aca="false">P24/Q24</f>
        <v>1013.24144135821</v>
      </c>
      <c r="S24" s="1567" t="str">
        <f aca="false">IF(MONTH($A24)=12,SUM(R13:R24)," ")</f>
        <v> </v>
      </c>
    </row>
    <row r="25" customFormat="false" ht="12.75" hidden="false" customHeight="false" outlineLevel="0" collapsed="false">
      <c r="A25" s="1538" t="n">
        <f aca="false">'Plant Operations'!A25</f>
        <v>36647</v>
      </c>
      <c r="C25" s="1595" t="n">
        <f aca="false">IF($A25&gt;Endyr,0,VLOOKUP($A25,Tariff_Table,Tariff!$D$33))</f>
        <v>9586.87619047619</v>
      </c>
      <c r="D25" s="1565" t="n">
        <f aca="false">VLOOKUP($A25,Curves_Table,Escalation!$R$291)</f>
        <v>1.30150483683391</v>
      </c>
      <c r="E25" s="1606" t="n">
        <f aca="false">C25*D25</f>
        <v>12477.3657320326</v>
      </c>
      <c r="F25" s="1540" t="n">
        <f aca="false">'Plant Operations'!C25</f>
        <v>150</v>
      </c>
      <c r="G25" s="1606" t="n">
        <f aca="false">E25*F25/1000</f>
        <v>1871.60485980489</v>
      </c>
      <c r="H25" s="1576" t="n">
        <f aca="false">IF(Assm!$L$74=0,VLOOKUP($A25,Curves_Table,Escalation!$D$291),VLOOKUP($A25,Curves_Table,Escalation!$E$291))</f>
        <v>1.7778533789974</v>
      </c>
      <c r="I25" s="394" t="n">
        <f aca="false">G25/H25</f>
        <v>1052.73296544868</v>
      </c>
      <c r="J25" s="1579" t="str">
        <f aca="false">IF(MONTH($A25)=12,SUM(I14:I25)," ")</f>
        <v> </v>
      </c>
      <c r="L25" s="1607" t="n">
        <f aca="false">IF($A25&gt;Endyr,0,VLOOKUP($A25,Tariff_Table,Tariff!$J$33))</f>
        <v>0.17</v>
      </c>
      <c r="M25" s="1576" t="n">
        <f aca="false">D25</f>
        <v>1.30150483683391</v>
      </c>
      <c r="N25" s="1608" t="n">
        <f aca="false">L25*M25</f>
        <v>0.221255822261765</v>
      </c>
      <c r="O25" s="397" t="n">
        <f aca="false">'Plant Operations'!$I25+'Plant Operations'!$M25</f>
        <v>9360</v>
      </c>
      <c r="P25" s="1606" t="n">
        <f aca="false">N25*O25</f>
        <v>2070.95449637012</v>
      </c>
      <c r="Q25" s="1565" t="n">
        <f aca="false">$H25</f>
        <v>1.7778533789974</v>
      </c>
      <c r="R25" s="1566" t="n">
        <f aca="false">P25/Q25</f>
        <v>1164.86236763687</v>
      </c>
      <c r="S25" s="1567" t="str">
        <f aca="false">IF(MONTH($A25)=12,SUM(R14:R25)," ")</f>
        <v> </v>
      </c>
    </row>
    <row r="26" customFormat="false" ht="12.75" hidden="false" customHeight="false" outlineLevel="0" collapsed="false">
      <c r="A26" s="1538" t="n">
        <f aca="false">'Plant Operations'!A26</f>
        <v>36678</v>
      </c>
      <c r="C26" s="1595" t="n">
        <f aca="false">IF($A26&gt;Endyr,0,VLOOKUP($A26,Tariff_Table,Tariff!$D$33))</f>
        <v>9586.87619047619</v>
      </c>
      <c r="D26" s="1565" t="n">
        <f aca="false">VLOOKUP($A26,Curves_Table,Escalation!$R$291)</f>
        <v>1.30150483683391</v>
      </c>
      <c r="E26" s="1606" t="n">
        <f aca="false">C26*D26</f>
        <v>12477.3657320326</v>
      </c>
      <c r="F26" s="1540" t="n">
        <f aca="false">'Plant Operations'!C26</f>
        <v>150</v>
      </c>
      <c r="G26" s="1606" t="n">
        <f aca="false">E26*F26/1000</f>
        <v>1871.60485980489</v>
      </c>
      <c r="H26" s="1576" t="n">
        <f aca="false">IF(Assm!$L$74=0,VLOOKUP($A26,Curves_Table,Escalation!$D$291),VLOOKUP($A26,Curves_Table,Escalation!$E$291))</f>
        <v>1.77365397733792</v>
      </c>
      <c r="I26" s="394" t="n">
        <f aca="false">G26/H26</f>
        <v>1055.2254744829</v>
      </c>
      <c r="J26" s="1579" t="str">
        <f aca="false">IF(MONTH($A26)=12,SUM(I15:I26)," ")</f>
        <v> </v>
      </c>
      <c r="L26" s="1607" t="n">
        <f aca="false">IF($A26&gt;Endyr,0,VLOOKUP($A26,Tariff_Table,Tariff!$J$33))</f>
        <v>0.17</v>
      </c>
      <c r="M26" s="1576" t="n">
        <f aca="false">D26</f>
        <v>1.30150483683391</v>
      </c>
      <c r="N26" s="1608" t="n">
        <f aca="false">L26*M26</f>
        <v>0.221255822261765</v>
      </c>
      <c r="O26" s="397" t="n">
        <f aca="false">'Plant Operations'!$I26+'Plant Operations'!$M26</f>
        <v>90417.6</v>
      </c>
      <c r="P26" s="1606" t="n">
        <f aca="false">N26*O26</f>
        <v>20005.4204349354</v>
      </c>
      <c r="Q26" s="1565" t="n">
        <f aca="false">$H26</f>
        <v>1.77365397733792</v>
      </c>
      <c r="R26" s="1566" t="n">
        <f aca="false">P26/Q26</f>
        <v>11279.2126821498</v>
      </c>
      <c r="S26" s="1567" t="str">
        <f aca="false">IF(MONTH($A26)=12,SUM(R15:R26)," ")</f>
        <v> </v>
      </c>
    </row>
    <row r="27" customFormat="false" ht="12.75" hidden="false" customHeight="false" outlineLevel="0" collapsed="false">
      <c r="A27" s="1538" t="n">
        <f aca="false">'Plant Operations'!A27</f>
        <v>36708</v>
      </c>
      <c r="C27" s="1595" t="n">
        <f aca="false">IF($A27&gt;Endyr,0,VLOOKUP($A27,Tariff_Table,Tariff!$D$33))</f>
        <v>9586.87619047619</v>
      </c>
      <c r="D27" s="1565" t="n">
        <f aca="false">VLOOKUP($A27,Curves_Table,Escalation!$R$291)</f>
        <v>1.30150483683391</v>
      </c>
      <c r="E27" s="1606" t="n">
        <f aca="false">C27*D27</f>
        <v>12477.3657320326</v>
      </c>
      <c r="F27" s="1540" t="n">
        <f aca="false">'Plant Operations'!C27</f>
        <v>150</v>
      </c>
      <c r="G27" s="1606" t="n">
        <f aca="false">E27*F27/1000</f>
        <v>1871.60485980489</v>
      </c>
      <c r="H27" s="1576" t="n">
        <f aca="false">IF(Assm!$L$74=0,VLOOKUP($A27,Curves_Table,Escalation!$D$291),VLOOKUP($A27,Curves_Table,Escalation!$E$291))</f>
        <v>1.76946449492966</v>
      </c>
      <c r="I27" s="394" t="n">
        <f aca="false">G27/H27</f>
        <v>1057.72388491993</v>
      </c>
      <c r="J27" s="1579" t="str">
        <f aca="false">IF(MONTH($A27)=12,SUM(I16:I27)," ")</f>
        <v> </v>
      </c>
      <c r="L27" s="1607" t="n">
        <f aca="false">IF($A27&gt;Endyr,0,VLOOKUP($A27,Tariff_Table,Tariff!$J$33))</f>
        <v>0.17</v>
      </c>
      <c r="M27" s="1576" t="n">
        <f aca="false">D27</f>
        <v>1.30150483683391</v>
      </c>
      <c r="N27" s="1608" t="n">
        <f aca="false">L27*M27</f>
        <v>0.221255822261765</v>
      </c>
      <c r="O27" s="397" t="n">
        <f aca="false">'Plant Operations'!$I27+'Plant Operations'!$M27</f>
        <v>93431.52</v>
      </c>
      <c r="P27" s="1606" t="n">
        <f aca="false">N27*O27</f>
        <v>20672.2677827666</v>
      </c>
      <c r="Q27" s="1565" t="n">
        <f aca="false">$H27</f>
        <v>1.76946449492966</v>
      </c>
      <c r="R27" s="1566" t="n">
        <f aca="false">P27/Q27</f>
        <v>11682.7819049222</v>
      </c>
      <c r="S27" s="1567" t="str">
        <f aca="false">IF(MONTH($A27)=12,SUM(R16:R27)," ")</f>
        <v> </v>
      </c>
    </row>
    <row r="28" customFormat="false" ht="12.75" hidden="false" customHeight="false" outlineLevel="0" collapsed="false">
      <c r="A28" s="1538" t="n">
        <f aca="false">'Plant Operations'!A28</f>
        <v>36739</v>
      </c>
      <c r="C28" s="1595" t="n">
        <f aca="false">IF($A28&gt;Endyr,0,VLOOKUP($A28,Tariff_Table,Tariff!$D$33))</f>
        <v>9586.87619047619</v>
      </c>
      <c r="D28" s="1565" t="n">
        <f aca="false">VLOOKUP($A28,Curves_Table,Escalation!$R$291)</f>
        <v>1.30150483683391</v>
      </c>
      <c r="E28" s="1606" t="n">
        <f aca="false">C28*D28</f>
        <v>12477.3657320326</v>
      </c>
      <c r="F28" s="1540" t="n">
        <f aca="false">'Plant Operations'!C28</f>
        <v>150</v>
      </c>
      <c r="G28" s="1606" t="n">
        <f aca="false">E28*F28/1000</f>
        <v>1871.60485980489</v>
      </c>
      <c r="H28" s="1576" t="n">
        <f aca="false">IF(Assm!$L$74=0,VLOOKUP($A28,Curves_Table,Escalation!$D$291),VLOOKUP($A28,Curves_Table,Escalation!$E$291))</f>
        <v>1.76528490834273</v>
      </c>
      <c r="I28" s="394" t="n">
        <f aca="false">G28/H28</f>
        <v>1060.22821073227</v>
      </c>
      <c r="J28" s="1579" t="str">
        <f aca="false">IF(MONTH($A28)=12,SUM(I17:I28)," ")</f>
        <v> </v>
      </c>
      <c r="L28" s="1607" t="n">
        <f aca="false">IF($A28&gt;Endyr,0,VLOOKUP($A28,Tariff_Table,Tariff!$J$33))</f>
        <v>0.17</v>
      </c>
      <c r="M28" s="1576" t="n">
        <f aca="false">D28</f>
        <v>1.30150483683391</v>
      </c>
      <c r="N28" s="1608" t="n">
        <f aca="false">L28*M28</f>
        <v>0.221255822261765</v>
      </c>
      <c r="O28" s="397" t="n">
        <f aca="false">'Plant Operations'!$I28+'Plant Operations'!$M28</f>
        <v>93431.52</v>
      </c>
      <c r="P28" s="1606" t="n">
        <f aca="false">N28*O28</f>
        <v>20672.2677827666</v>
      </c>
      <c r="Q28" s="1565" t="n">
        <f aca="false">$H28</f>
        <v>1.76528490834273</v>
      </c>
      <c r="R28" s="1566" t="n">
        <f aca="false">P28/Q28</f>
        <v>11710.4427081824</v>
      </c>
      <c r="S28" s="1567" t="str">
        <f aca="false">IF(MONTH($A28)=12,SUM(R17:R28)," ")</f>
        <v> </v>
      </c>
    </row>
    <row r="29" customFormat="false" ht="12.75" hidden="false" customHeight="false" outlineLevel="0" collapsed="false">
      <c r="A29" s="1538" t="n">
        <f aca="false">'Plant Operations'!A29</f>
        <v>36770</v>
      </c>
      <c r="C29" s="1595" t="n">
        <f aca="false">IF($A29&gt;Endyr,0,VLOOKUP($A29,Tariff_Table,Tariff!$D$33))</f>
        <v>9586.87619047619</v>
      </c>
      <c r="D29" s="1565" t="n">
        <f aca="false">VLOOKUP($A29,Curves_Table,Escalation!$R$291)</f>
        <v>1.30150483683391</v>
      </c>
      <c r="E29" s="1606" t="n">
        <f aca="false">C29*D29</f>
        <v>12477.3657320326</v>
      </c>
      <c r="F29" s="1540" t="n">
        <f aca="false">'Plant Operations'!C29</f>
        <v>150</v>
      </c>
      <c r="G29" s="1606" t="n">
        <f aca="false">E29*F29/1000</f>
        <v>1871.60485980489</v>
      </c>
      <c r="H29" s="1576" t="n">
        <f aca="false">IF(Assm!$L$74=0,VLOOKUP($A29,Curves_Table,Escalation!$D$291),VLOOKUP($A29,Curves_Table,Escalation!$E$291))</f>
        <v>1.76111519420256</v>
      </c>
      <c r="I29" s="394" t="n">
        <f aca="false">G29/H29</f>
        <v>1062.73846592549</v>
      </c>
      <c r="J29" s="1579" t="str">
        <f aca="false">IF(MONTH($A29)=12,SUM(I18:I29)," ")</f>
        <v> </v>
      </c>
      <c r="L29" s="1607" t="n">
        <f aca="false">IF($A29&gt;Endyr,0,VLOOKUP($A29,Tariff_Table,Tariff!$J$33))</f>
        <v>0.17</v>
      </c>
      <c r="M29" s="1576" t="n">
        <f aca="false">D29</f>
        <v>1.30150483683391</v>
      </c>
      <c r="N29" s="1608" t="n">
        <f aca="false">L29*M29</f>
        <v>0.221255822261765</v>
      </c>
      <c r="O29" s="397" t="n">
        <f aca="false">'Plant Operations'!$I29+'Plant Operations'!$M29</f>
        <v>90417.6</v>
      </c>
      <c r="P29" s="1606" t="n">
        <f aca="false">N29*O29</f>
        <v>20005.4204349354</v>
      </c>
      <c r="Q29" s="1565" t="n">
        <f aca="false">$H29</f>
        <v>1.76111519420256</v>
      </c>
      <c r="R29" s="1566" t="n">
        <f aca="false">P29/Q29</f>
        <v>11359.5183897064</v>
      </c>
      <c r="S29" s="1567" t="str">
        <f aca="false">IF(MONTH($A29)=12,SUM(R18:R29)," ")</f>
        <v> </v>
      </c>
    </row>
    <row r="30" customFormat="false" ht="12.75" hidden="false" customHeight="false" outlineLevel="0" collapsed="false">
      <c r="A30" s="1538" t="n">
        <f aca="false">'Plant Operations'!A30</f>
        <v>36800</v>
      </c>
      <c r="C30" s="1595" t="n">
        <f aca="false">IF($A30&gt;Endyr,0,VLOOKUP($A30,Tariff_Table,Tariff!$D$33))</f>
        <v>9586.87619047619</v>
      </c>
      <c r="D30" s="1565" t="n">
        <f aca="false">VLOOKUP($A30,Curves_Table,Escalation!$R$291)</f>
        <v>1.30150483683391</v>
      </c>
      <c r="E30" s="1606" t="n">
        <f aca="false">C30*D30</f>
        <v>12477.3657320326</v>
      </c>
      <c r="F30" s="1540" t="n">
        <f aca="false">'Plant Operations'!C30</f>
        <v>150</v>
      </c>
      <c r="G30" s="1606" t="n">
        <f aca="false">E30*F30/1000</f>
        <v>1871.60485980489</v>
      </c>
      <c r="H30" s="1576" t="n">
        <f aca="false">IF(Assm!$L$74=0,VLOOKUP($A30,Curves_Table,Escalation!$D$291),VLOOKUP($A30,Curves_Table,Escalation!$E$291))</f>
        <v>1.75695532918982</v>
      </c>
      <c r="I30" s="394" t="n">
        <f aca="false">G30/H30</f>
        <v>1065.25466453831</v>
      </c>
      <c r="J30" s="1579" t="str">
        <f aca="false">IF(MONTH($A30)=12,SUM(I19:I30)," ")</f>
        <v> </v>
      </c>
      <c r="L30" s="1607" t="n">
        <f aca="false">IF($A30&gt;Endyr,0,VLOOKUP($A30,Tariff_Table,Tariff!$J$33))</f>
        <v>0.17</v>
      </c>
      <c r="M30" s="1576" t="n">
        <f aca="false">D30</f>
        <v>1.30150483683391</v>
      </c>
      <c r="N30" s="1608" t="n">
        <f aca="false">L30*M30</f>
        <v>0.221255822261765</v>
      </c>
      <c r="O30" s="397" t="n">
        <f aca="false">'Plant Operations'!$I30+'Plant Operations'!$M30</f>
        <v>93431.52</v>
      </c>
      <c r="P30" s="1606" t="n">
        <f aca="false">N30*O30</f>
        <v>20672.2677827666</v>
      </c>
      <c r="Q30" s="1565" t="n">
        <f aca="false">$H30</f>
        <v>1.75695532918982</v>
      </c>
      <c r="R30" s="1566" t="n">
        <f aca="false">P30/Q30</f>
        <v>11765.9609435256</v>
      </c>
      <c r="S30" s="1567" t="str">
        <f aca="false">IF(MONTH($A30)=12,SUM(R19:R30)," ")</f>
        <v> </v>
      </c>
    </row>
    <row r="31" customFormat="false" ht="12.75" hidden="false" customHeight="false" outlineLevel="0" collapsed="false">
      <c r="A31" s="1538" t="n">
        <f aca="false">'Plant Operations'!A31</f>
        <v>36831</v>
      </c>
      <c r="C31" s="1595" t="n">
        <f aca="false">IF($A31&gt;Endyr,0,VLOOKUP($A31,Tariff_Table,Tariff!$D$33))</f>
        <v>9586.87619047619</v>
      </c>
      <c r="D31" s="1565" t="n">
        <f aca="false">VLOOKUP($A31,Curves_Table,Escalation!$R$291)</f>
        <v>1.30150483683391</v>
      </c>
      <c r="E31" s="1606" t="n">
        <f aca="false">C31*D31</f>
        <v>12477.3657320326</v>
      </c>
      <c r="F31" s="1540" t="n">
        <f aca="false">'Plant Operations'!C31</f>
        <v>150</v>
      </c>
      <c r="G31" s="1606" t="n">
        <f aca="false">E31*F31/1000</f>
        <v>1871.60485980489</v>
      </c>
      <c r="H31" s="1576" t="n">
        <f aca="false">IF(Assm!$L$74=0,VLOOKUP($A31,Curves_Table,Escalation!$D$291),VLOOKUP($A31,Curves_Table,Escalation!$E$291))</f>
        <v>1.75280529004025</v>
      </c>
      <c r="I31" s="394" t="n">
        <f aca="false">G31/H31</f>
        <v>1067.7768206427</v>
      </c>
      <c r="J31" s="1579" t="str">
        <f aca="false">IF(MONTH($A31)=12,SUM(I20:I31)," ")</f>
        <v> </v>
      </c>
      <c r="L31" s="1607" t="n">
        <f aca="false">IF($A31&gt;Endyr,0,VLOOKUP($A31,Tariff_Table,Tariff!$J$33))</f>
        <v>0.17</v>
      </c>
      <c r="M31" s="1576" t="n">
        <f aca="false">D31</f>
        <v>1.30150483683391</v>
      </c>
      <c r="N31" s="1608" t="n">
        <f aca="false">L31*M31</f>
        <v>0.221255822261765</v>
      </c>
      <c r="O31" s="397" t="n">
        <f aca="false">'Plant Operations'!$I31+'Plant Operations'!$M31</f>
        <v>90417.6</v>
      </c>
      <c r="P31" s="1606" t="n">
        <f aca="false">N31*O31</f>
        <v>20005.4204349354</v>
      </c>
      <c r="Q31" s="1565" t="n">
        <f aca="false">$H31</f>
        <v>1.75280529004025</v>
      </c>
      <c r="R31" s="1566" t="n">
        <f aca="false">P31/Q31</f>
        <v>11413.3729220294</v>
      </c>
      <c r="S31" s="1567" t="str">
        <f aca="false">IF(MONTH($A31)=12,SUM(R20:R31)," ")</f>
        <v> </v>
      </c>
    </row>
    <row r="32" customFormat="false" ht="12.75" hidden="false" customHeight="false" outlineLevel="0" collapsed="false">
      <c r="A32" s="1538" t="n">
        <f aca="false">'Plant Operations'!A32</f>
        <v>36861</v>
      </c>
      <c r="C32" s="1595" t="n">
        <f aca="false">IF($A32&gt;Endyr,0,VLOOKUP($A32,Tariff_Table,Tariff!$D$33))</f>
        <v>9586.87619047619</v>
      </c>
      <c r="D32" s="1565" t="n">
        <f aca="false">VLOOKUP($A32,Curves_Table,Escalation!$R$291)</f>
        <v>1.30150483683391</v>
      </c>
      <c r="E32" s="1606" t="n">
        <f aca="false">C32*D32</f>
        <v>12477.3657320326</v>
      </c>
      <c r="F32" s="1540" t="n">
        <f aca="false">'Plant Operations'!C32</f>
        <v>150</v>
      </c>
      <c r="G32" s="1606" t="n">
        <f aca="false">E32*F32/1000</f>
        <v>1871.60485980489</v>
      </c>
      <c r="H32" s="1576" t="n">
        <f aca="false">IF(Assm!$L$74=0,VLOOKUP($A32,Curves_Table,Escalation!$D$291),VLOOKUP($A32,Curves_Table,Escalation!$E$291))</f>
        <v>1.80386772326803</v>
      </c>
      <c r="I32" s="394" t="n">
        <f aca="false">G32/H32</f>
        <v>1037.55105524819</v>
      </c>
      <c r="J32" s="1579" t="n">
        <f aca="false">IF(MONTH($A32)=12,SUM(I21:I32)," ")</f>
        <v>12109.102368181</v>
      </c>
      <c r="L32" s="1607" t="n">
        <f aca="false">IF($A32&gt;Endyr,0,VLOOKUP($A32,Tariff_Table,Tariff!$J$33))</f>
        <v>0.17</v>
      </c>
      <c r="M32" s="1576" t="n">
        <f aca="false">D32</f>
        <v>1.30150483683391</v>
      </c>
      <c r="N32" s="1608" t="n">
        <f aca="false">L32*M32</f>
        <v>0.221255822261765</v>
      </c>
      <c r="O32" s="397" t="n">
        <f aca="false">'Plant Operations'!$I32+'Plant Operations'!$M32</f>
        <v>93431.52</v>
      </c>
      <c r="P32" s="1606" t="n">
        <f aca="false">N32*O32</f>
        <v>20672.2677827666</v>
      </c>
      <c r="Q32" s="1565" t="n">
        <f aca="false">$H32</f>
        <v>1.80386772326803</v>
      </c>
      <c r="R32" s="1566" t="n">
        <f aca="false">P32/Q32</f>
        <v>11459.968774936</v>
      </c>
      <c r="S32" s="1567" t="n">
        <f aca="false">IF(MONTH($A32)=12,SUM(R21:R32)," ")</f>
        <v>85874.7490174269</v>
      </c>
    </row>
    <row r="33" customFormat="false" ht="12.75" hidden="false" customHeight="false" outlineLevel="0" collapsed="false">
      <c r="A33" s="1538" t="n">
        <f aca="false">'Plant Operations'!A33</f>
        <v>36892</v>
      </c>
      <c r="C33" s="1595" t="n">
        <f aca="false">IF($A33&gt;Endyr,0,VLOOKUP($A33,Tariff_Table,Tariff!$D$33))</f>
        <v>9586.87619047619</v>
      </c>
      <c r="D33" s="1565" t="n">
        <f aca="false">VLOOKUP($A33,Curves_Table,Escalation!$R$291)</f>
        <v>1.30150483683391</v>
      </c>
      <c r="E33" s="1606" t="n">
        <f aca="false">C33*D33</f>
        <v>12477.3657320326</v>
      </c>
      <c r="F33" s="1540" t="n">
        <f aca="false">'Plant Operations'!C33</f>
        <v>150</v>
      </c>
      <c r="G33" s="1606" t="n">
        <f aca="false">E33*F33/1000</f>
        <v>1871.60485980489</v>
      </c>
      <c r="H33" s="1576" t="n">
        <f aca="false">IF(Assm!$L$74=0,VLOOKUP($A33,Curves_Table,Escalation!$D$291),VLOOKUP($A33,Curves_Table,Escalation!$E$291))</f>
        <v>1.81882126905259</v>
      </c>
      <c r="I33" s="394" t="n">
        <f aca="false">G33/H33</f>
        <v>1029.02076836819</v>
      </c>
      <c r="J33" s="1579" t="str">
        <f aca="false">IF(MONTH($A33)=12,SUM(I22:I33)," ")</f>
        <v> </v>
      </c>
      <c r="L33" s="1607" t="n">
        <f aca="false">IF($A33&gt;Endyr,0,VLOOKUP($A33,Tariff_Table,Tariff!$J$33))</f>
        <v>0.17</v>
      </c>
      <c r="M33" s="1576" t="n">
        <f aca="false">D33</f>
        <v>1.30150483683391</v>
      </c>
      <c r="N33" s="1608" t="n">
        <f aca="false">L33*M33</f>
        <v>0.221255822261765</v>
      </c>
      <c r="O33" s="397" t="n">
        <f aca="false">'Plant Operations'!$I33+'Plant Operations'!$M33</f>
        <v>93431.52</v>
      </c>
      <c r="P33" s="1606" t="n">
        <f aca="false">N33*O33</f>
        <v>20672.2677827666</v>
      </c>
      <c r="Q33" s="1565" t="n">
        <f aca="false">$H33</f>
        <v>1.81882126905259</v>
      </c>
      <c r="R33" s="1566" t="n">
        <f aca="false">P33/Q33</f>
        <v>11365.7499692285</v>
      </c>
      <c r="S33" s="1567" t="str">
        <f aca="false">IF(MONTH($A33)=12,SUM(R22:R33)," ")</f>
        <v> </v>
      </c>
    </row>
    <row r="34" customFormat="false" ht="12.75" hidden="false" customHeight="false" outlineLevel="0" collapsed="false">
      <c r="A34" s="1538" t="n">
        <f aca="false">'Plant Operations'!A34</f>
        <v>36923</v>
      </c>
      <c r="C34" s="1595" t="n">
        <f aca="false">IF($A34&gt;Endyr,0,VLOOKUP($A34,Tariff_Table,Tariff!$D$33))</f>
        <v>9586.87619047619</v>
      </c>
      <c r="D34" s="1565" t="n">
        <f aca="false">VLOOKUP($A34,Curves_Table,Escalation!$R$291)</f>
        <v>1.30150483683391</v>
      </c>
      <c r="E34" s="1606" t="n">
        <f aca="false">C34*D34</f>
        <v>12477.3657320326</v>
      </c>
      <c r="F34" s="1540" t="n">
        <f aca="false">'Plant Operations'!C34</f>
        <v>150</v>
      </c>
      <c r="G34" s="1606" t="n">
        <f aca="false">E34*F34/1000</f>
        <v>1871.60485980489</v>
      </c>
      <c r="H34" s="1576" t="n">
        <f aca="false">IF(Assm!$L$74=0,VLOOKUP($A34,Curves_Table,Escalation!$D$291),VLOOKUP($A34,Curves_Table,Escalation!$E$291))</f>
        <v>1.8338987754406</v>
      </c>
      <c r="I34" s="394" t="n">
        <f aca="false">G34/H34</f>
        <v>1020.56061374229</v>
      </c>
      <c r="J34" s="1579" t="str">
        <f aca="false">IF(MONTH($A34)=12,SUM(I23:I34)," ")</f>
        <v> </v>
      </c>
      <c r="L34" s="1607" t="n">
        <f aca="false">IF($A34&gt;Endyr,0,VLOOKUP($A34,Tariff_Table,Tariff!$J$33))</f>
        <v>0.17</v>
      </c>
      <c r="M34" s="1576" t="n">
        <f aca="false">D34</f>
        <v>1.30150483683391</v>
      </c>
      <c r="N34" s="1608" t="n">
        <f aca="false">L34*M34</f>
        <v>0.221255822261765</v>
      </c>
      <c r="O34" s="397" t="n">
        <f aca="false">'Plant Operations'!$I34+'Plant Operations'!$M34</f>
        <v>84389.76</v>
      </c>
      <c r="P34" s="1606" t="n">
        <f aca="false">N34*O34</f>
        <v>18671.725739273</v>
      </c>
      <c r="Q34" s="1565" t="n">
        <f aca="false">$H34</f>
        <v>1.8338987754406</v>
      </c>
      <c r="R34" s="1566" t="n">
        <f aca="false">P34/Q34</f>
        <v>10181.437486803</v>
      </c>
      <c r="S34" s="1567" t="str">
        <f aca="false">IF(MONTH($A34)=12,SUM(R23:R34)," ")</f>
        <v> </v>
      </c>
    </row>
    <row r="35" customFormat="false" ht="12.75" hidden="false" customHeight="false" outlineLevel="0" collapsed="false">
      <c r="A35" s="1538" t="n">
        <f aca="false">'Plant Operations'!A35</f>
        <v>36951</v>
      </c>
      <c r="C35" s="1595" t="n">
        <f aca="false">IF($A35&gt;Endyr,0,VLOOKUP($A35,Tariff_Table,Tariff!$D$33))</f>
        <v>9984.45454545455</v>
      </c>
      <c r="D35" s="1565" t="n">
        <f aca="false">VLOOKUP($A35,Curves_Table,Escalation!$R$291)</f>
        <v>1.30150483683391</v>
      </c>
      <c r="E35" s="1606" t="n">
        <f aca="false">C35*D35</f>
        <v>12994.8158840574</v>
      </c>
      <c r="F35" s="1540" t="n">
        <f aca="false">'Plant Operations'!C35</f>
        <v>150</v>
      </c>
      <c r="G35" s="1606" t="n">
        <f aca="false">E35*F35/1000</f>
        <v>1949.22238260862</v>
      </c>
      <c r="H35" s="1576" t="n">
        <f aca="false">IF(Assm!$L$74=0,VLOOKUP($A35,Curves_Table,Escalation!$D$291),VLOOKUP($A35,Curves_Table,Escalation!$E$291))</f>
        <v>1.84910127002989</v>
      </c>
      <c r="I35" s="394" t="n">
        <f aca="false">G35/H35</f>
        <v>1054.14582435342</v>
      </c>
      <c r="J35" s="1579" t="str">
        <f aca="false">IF(MONTH($A35)=12,SUM(I24:I35)," ")</f>
        <v> </v>
      </c>
      <c r="L35" s="1607" t="n">
        <f aca="false">IF($A35&gt;Endyr,0,VLOOKUP($A35,Tariff_Table,Tariff!$J$33))</f>
        <v>0.07455</v>
      </c>
      <c r="M35" s="1576" t="n">
        <f aca="false">D35</f>
        <v>1.30150483683391</v>
      </c>
      <c r="N35" s="1608" t="n">
        <f aca="false">L35*M35</f>
        <v>0.0970271855859682</v>
      </c>
      <c r="O35" s="397" t="n">
        <f aca="false">'Plant Operations'!$I35+'Plant Operations'!$M35</f>
        <v>12600</v>
      </c>
      <c r="P35" s="1606" t="n">
        <f aca="false">N35*O35</f>
        <v>1222.5425383832</v>
      </c>
      <c r="Q35" s="1565" t="n">
        <f aca="false">$H35</f>
        <v>1.84910127002989</v>
      </c>
      <c r="R35" s="1566" t="n">
        <f aca="false">P35/Q35</f>
        <v>661.154993616675</v>
      </c>
      <c r="S35" s="1567" t="str">
        <f aca="false">IF(MONTH($A35)=12,SUM(R24:R35)," ")</f>
        <v> </v>
      </c>
    </row>
    <row r="36" customFormat="false" ht="12.75" hidden="false" customHeight="false" outlineLevel="0" collapsed="false">
      <c r="A36" s="1538" t="n">
        <f aca="false">'Plant Operations'!A36</f>
        <v>36982</v>
      </c>
      <c r="C36" s="1595" t="n">
        <f aca="false">IF($A36&gt;Endyr,0,VLOOKUP($A36,Tariff_Table,Tariff!$D$33))</f>
        <v>9984.45454545455</v>
      </c>
      <c r="D36" s="1565" t="n">
        <f aca="false">VLOOKUP($A36,Curves_Table,Escalation!$R$291)</f>
        <v>1.30150483683391</v>
      </c>
      <c r="E36" s="1606" t="n">
        <f aca="false">C36*D36</f>
        <v>12994.8158840574</v>
      </c>
      <c r="F36" s="1540" t="n">
        <f aca="false">'Plant Operations'!C36</f>
        <v>237.779371584699</v>
      </c>
      <c r="G36" s="1606" t="n">
        <f aca="false">E36*F36/1000</f>
        <v>3089.89915477005</v>
      </c>
      <c r="H36" s="1576" t="n">
        <f aca="false">IF(Assm!$L$74=0,VLOOKUP($A36,Curves_Table,Escalation!$D$291),VLOOKUP($A36,Curves_Table,Escalation!$E$291))</f>
        <v>1.8644297889368</v>
      </c>
      <c r="I36" s="394" t="n">
        <f aca="false">G36/H36</f>
        <v>1657.28909348315</v>
      </c>
      <c r="J36" s="1579" t="str">
        <f aca="false">IF(MONTH($A36)=12,SUM(I25:I36)," ")</f>
        <v> </v>
      </c>
      <c r="L36" s="1607" t="n">
        <f aca="false">IF($A36&gt;Endyr,0,VLOOKUP($A36,Tariff_Table,Tariff!$J$33))</f>
        <v>0.07455</v>
      </c>
      <c r="M36" s="1576" t="n">
        <f aca="false">D36</f>
        <v>1.30150483683391</v>
      </c>
      <c r="N36" s="1608" t="n">
        <f aca="false">L36*M36</f>
        <v>0.0970271855859682</v>
      </c>
      <c r="O36" s="397" t="n">
        <f aca="false">'Plant Operations'!$I36+'Plant Operations'!$M36</f>
        <v>70200</v>
      </c>
      <c r="P36" s="1606" t="n">
        <f aca="false">N36*O36</f>
        <v>6811.30842813497</v>
      </c>
      <c r="Q36" s="1565" t="n">
        <f aca="false">$H36</f>
        <v>1.8644297889368</v>
      </c>
      <c r="R36" s="1566" t="n">
        <f aca="false">P36/Q36</f>
        <v>3653.29307038114</v>
      </c>
      <c r="S36" s="1567" t="str">
        <f aca="false">IF(MONTH($A36)=12,SUM(R25:R36)," ")</f>
        <v> </v>
      </c>
    </row>
    <row r="37" customFormat="false" ht="12.75" hidden="false" customHeight="false" outlineLevel="0" collapsed="false">
      <c r="A37" s="1538" t="n">
        <f aca="false">'Plant Operations'!A37</f>
        <v>37012</v>
      </c>
      <c r="C37" s="1595" t="n">
        <f aca="false">IF($A37&gt;Endyr,0,VLOOKUP($A37,Tariff_Table,Tariff!$D$33))</f>
        <v>9984.45454545455</v>
      </c>
      <c r="D37" s="1565" t="n">
        <f aca="false">VLOOKUP($A37,Curves_Table,Escalation!$R$291)</f>
        <v>1.42116141710777</v>
      </c>
      <c r="E37" s="1606" t="n">
        <f aca="false">C37*D37</f>
        <v>14189.5215708663</v>
      </c>
      <c r="F37" s="1540" t="n">
        <f aca="false">'Plant Operations'!C37</f>
        <v>237.779371584699</v>
      </c>
      <c r="G37" s="1606" t="n">
        <f aca="false">E37*F37/1000</f>
        <v>3373.97552220813</v>
      </c>
      <c r="H37" s="1576" t="n">
        <f aca="false">IF(Assm!$L$74=0,VLOOKUP($A37,Curves_Table,Escalation!$D$291),VLOOKUP($A37,Curves_Table,Escalation!$E$291))</f>
        <v>1.87988537686674</v>
      </c>
      <c r="I37" s="394" t="n">
        <f aca="false">G37/H37</f>
        <v>1794.77725808561</v>
      </c>
      <c r="J37" s="1579" t="str">
        <f aca="false">IF(MONTH($A37)=12,SUM(I26:I37)," ")</f>
        <v> </v>
      </c>
      <c r="L37" s="1607" t="n">
        <f aca="false">IF($A37&gt;Endyr,0,VLOOKUP($A37,Tariff_Table,Tariff!$J$33))</f>
        <v>0.07455</v>
      </c>
      <c r="M37" s="1576" t="n">
        <f aca="false">D37</f>
        <v>1.42116141710777</v>
      </c>
      <c r="N37" s="1608" t="n">
        <f aca="false">L37*M37</f>
        <v>0.105947583645384</v>
      </c>
      <c r="O37" s="397" t="n">
        <f aca="false">'Plant Operations'!$I37+'Plant Operations'!$M37</f>
        <v>146880</v>
      </c>
      <c r="P37" s="1606" t="n">
        <f aca="false">N37*O37</f>
        <v>15561.581085834</v>
      </c>
      <c r="Q37" s="1565" t="n">
        <f aca="false">$H37</f>
        <v>1.87988537686674</v>
      </c>
      <c r="R37" s="1566" t="n">
        <f aca="false">P37/Q37</f>
        <v>8277.94145181926</v>
      </c>
      <c r="S37" s="1567" t="str">
        <f aca="false">IF(MONTH($A37)=12,SUM(R26:R37)," ")</f>
        <v> </v>
      </c>
    </row>
    <row r="38" customFormat="false" ht="12.75" hidden="false" customHeight="false" outlineLevel="0" collapsed="false">
      <c r="A38" s="1538" t="n">
        <f aca="false">'Plant Operations'!A38</f>
        <v>37043</v>
      </c>
      <c r="C38" s="1595" t="n">
        <f aca="false">IF($A38&gt;Endyr,0,VLOOKUP($A38,Tariff_Table,Tariff!$D$33))</f>
        <v>9984.45454545455</v>
      </c>
      <c r="D38" s="1565" t="n">
        <f aca="false">VLOOKUP($A38,Curves_Table,Escalation!$R$291)</f>
        <v>1.42116141710777</v>
      </c>
      <c r="E38" s="1606" t="n">
        <f aca="false">C38*D38</f>
        <v>14189.5215708663</v>
      </c>
      <c r="F38" s="1540" t="n">
        <f aca="false">'Plant Operations'!C38</f>
        <v>237.779371584699</v>
      </c>
      <c r="G38" s="1606" t="n">
        <f aca="false">E38*F38/1000</f>
        <v>3373.97552220813</v>
      </c>
      <c r="H38" s="1576" t="n">
        <f aca="false">IF(Assm!$L$74=0,VLOOKUP($A38,Curves_Table,Escalation!$D$291),VLOOKUP($A38,Curves_Table,Escalation!$E$291))</f>
        <v>1.89546908718545</v>
      </c>
      <c r="I38" s="394" t="n">
        <f aca="false">G38/H38</f>
        <v>1780.02139154803</v>
      </c>
      <c r="J38" s="1579" t="str">
        <f aca="false">IF(MONTH($A38)=12,SUM(I27:I38)," ")</f>
        <v> </v>
      </c>
      <c r="L38" s="1607" t="n">
        <f aca="false">IF($A38&gt;Endyr,0,VLOOKUP($A38,Tariff_Table,Tariff!$J$33))</f>
        <v>0.07455</v>
      </c>
      <c r="M38" s="1576" t="n">
        <f aca="false">D38</f>
        <v>1.42116141710777</v>
      </c>
      <c r="N38" s="1608" t="n">
        <f aca="false">L38*M38</f>
        <v>0.105947583645384</v>
      </c>
      <c r="O38" s="397" t="n">
        <f aca="false">'Plant Operations'!$I38+'Plant Operations'!$M38</f>
        <v>232128</v>
      </c>
      <c r="P38" s="1606" t="n">
        <f aca="false">N38*O38</f>
        <v>24593.4006964358</v>
      </c>
      <c r="Q38" s="1565" t="n">
        <f aca="false">$H38</f>
        <v>1.89546908718545</v>
      </c>
      <c r="R38" s="1566" t="n">
        <f aca="false">P38/Q38</f>
        <v>12974.8360776245</v>
      </c>
      <c r="S38" s="1567" t="str">
        <f aca="false">IF(MONTH($A38)=12,SUM(R27:R38)," ")</f>
        <v> </v>
      </c>
    </row>
    <row r="39" customFormat="false" ht="12.75" hidden="false" customHeight="false" outlineLevel="0" collapsed="false">
      <c r="A39" s="1538" t="n">
        <f aca="false">'Plant Operations'!A39</f>
        <v>37073</v>
      </c>
      <c r="C39" s="1595" t="n">
        <f aca="false">IF($A39&gt;Endyr,0,VLOOKUP($A39,Tariff_Table,Tariff!$D$33))</f>
        <v>9984.45454545455</v>
      </c>
      <c r="D39" s="1565" t="n">
        <f aca="false">VLOOKUP($A39,Curves_Table,Escalation!$R$291)</f>
        <v>1.42116141710777</v>
      </c>
      <c r="E39" s="1606" t="n">
        <f aca="false">C39*D39</f>
        <v>14189.5215708663</v>
      </c>
      <c r="F39" s="1540" t="n">
        <f aca="false">'Plant Operations'!C39</f>
        <v>237.779371584699</v>
      </c>
      <c r="G39" s="1606" t="n">
        <f aca="false">E39*F39/1000</f>
        <v>3373.97552220813</v>
      </c>
      <c r="H39" s="1576" t="n">
        <f aca="false">IF(Assm!$L$74=0,VLOOKUP($A39,Curves_Table,Escalation!$D$291),VLOOKUP($A39,Curves_Table,Escalation!$E$291))</f>
        <v>1.91118198199078</v>
      </c>
      <c r="I39" s="394" t="n">
        <f aca="false">G39/H39</f>
        <v>1765.386841233</v>
      </c>
      <c r="J39" s="1579" t="str">
        <f aca="false">IF(MONTH($A39)=12,SUM(I28:I39)," ")</f>
        <v> </v>
      </c>
      <c r="L39" s="1607" t="n">
        <f aca="false">IF($A39&gt;Endyr,0,VLOOKUP($A39,Tariff_Table,Tariff!$J$33))</f>
        <v>0.07455</v>
      </c>
      <c r="M39" s="1576" t="n">
        <f aca="false">D39</f>
        <v>1.42116141710777</v>
      </c>
      <c r="N39" s="1608" t="n">
        <f aca="false">L39*M39</f>
        <v>0.105947583645384</v>
      </c>
      <c r="O39" s="397" t="n">
        <f aca="false">'Plant Operations'!$I39+'Plant Operations'!$M39</f>
        <v>234410</v>
      </c>
      <c r="P39" s="1606" t="n">
        <f aca="false">N39*O39</f>
        <v>24835.1730823145</v>
      </c>
      <c r="Q39" s="1565" t="n">
        <f aca="false">$H39</f>
        <v>1.91118198199078</v>
      </c>
      <c r="R39" s="1566" t="n">
        <f aca="false">P39/Q39</f>
        <v>12994.6668168381</v>
      </c>
      <c r="S39" s="1567" t="str">
        <f aca="false">IF(MONTH($A39)=12,SUM(R28:R39)," ")</f>
        <v> </v>
      </c>
    </row>
    <row r="40" customFormat="false" ht="12.75" hidden="false" customHeight="false" outlineLevel="0" collapsed="false">
      <c r="A40" s="1538" t="n">
        <f aca="false">'Plant Operations'!A40</f>
        <v>37104</v>
      </c>
      <c r="C40" s="1595" t="n">
        <f aca="false">IF($A40&gt;Endyr,0,VLOOKUP($A40,Tariff_Table,Tariff!$D$33))</f>
        <v>8415.22784090909</v>
      </c>
      <c r="D40" s="1565" t="n">
        <f aca="false">VLOOKUP($A40,Curves_Table,Escalation!$R$291)</f>
        <v>1.42116141710777</v>
      </c>
      <c r="E40" s="1606" t="n">
        <f aca="false">C40*D40</f>
        <v>11959.3971236711</v>
      </c>
      <c r="F40" s="1540" t="n">
        <f aca="false">'Plant Operations'!C40</f>
        <v>480</v>
      </c>
      <c r="G40" s="1606" t="n">
        <f aca="false">E40*F40/1000</f>
        <v>5740.51061936214</v>
      </c>
      <c r="H40" s="1576" t="n">
        <f aca="false">IF(Assm!$L$74=0,VLOOKUP($A40,Curves_Table,Escalation!$D$291),VLOOKUP($A40,Curves_Table,Escalation!$E$291))</f>
        <v>1.92702513218504</v>
      </c>
      <c r="I40" s="394" t="n">
        <f aca="false">G40/H40</f>
        <v>2978.94953391345</v>
      </c>
      <c r="J40" s="1579" t="str">
        <f aca="false">IF(MONTH($A40)=12,SUM(I29:I40)," ")</f>
        <v> </v>
      </c>
      <c r="L40" s="1607" t="n">
        <f aca="false">IF($A40&gt;Endyr,0,VLOOKUP($A40,Tariff_Table,Tariff!$J$33))</f>
        <v>0.07455</v>
      </c>
      <c r="M40" s="1576" t="n">
        <f aca="false">D40</f>
        <v>1.42116141710777</v>
      </c>
      <c r="N40" s="1608" t="n">
        <f aca="false">L40*M40</f>
        <v>0.105947583645384</v>
      </c>
      <c r="O40" s="397" t="n">
        <f aca="false">'Plant Operations'!$I40+'Plant Operations'!$M40</f>
        <v>298980.864</v>
      </c>
      <c r="P40" s="1606" t="n">
        <f aca="false">N40*O40</f>
        <v>31676.3000970093</v>
      </c>
      <c r="Q40" s="1565" t="n">
        <f aca="false">$H40</f>
        <v>1.92702513218504</v>
      </c>
      <c r="R40" s="1566" t="n">
        <f aca="false">P40/Q40</f>
        <v>16437.9278546781</v>
      </c>
      <c r="S40" s="1567" t="str">
        <f aca="false">IF(MONTH($A40)=12,SUM(R29:R40)," ")</f>
        <v> </v>
      </c>
    </row>
    <row r="41" customFormat="false" ht="12.75" hidden="false" customHeight="false" outlineLevel="0" collapsed="false">
      <c r="A41" s="1538" t="n">
        <f aca="false">'Plant Operations'!A41</f>
        <v>37135</v>
      </c>
      <c r="C41" s="1595" t="n">
        <f aca="false">IF($A41&gt;Endyr,0,VLOOKUP($A41,Tariff_Table,Tariff!$D$33))</f>
        <v>9237.42408376963</v>
      </c>
      <c r="D41" s="1565" t="n">
        <f aca="false">VLOOKUP($A41,Curves_Table,Escalation!$R$291)</f>
        <v>1.42116141710777</v>
      </c>
      <c r="E41" s="1606" t="n">
        <f aca="false">C41*D41</f>
        <v>13127.8707013155</v>
      </c>
      <c r="F41" s="1540" t="n">
        <f aca="false">'Plant Operations'!C41</f>
        <v>480</v>
      </c>
      <c r="G41" s="1606" t="n">
        <f aca="false">E41*F41/1000</f>
        <v>6301.37793663144</v>
      </c>
      <c r="H41" s="1576" t="n">
        <f aca="false">IF(Assm!$L$74=0,VLOOKUP($A41,Curves_Table,Escalation!$D$291),VLOOKUP($A41,Curves_Table,Escalation!$E$291))</f>
        <v>1.94299961754803</v>
      </c>
      <c r="I41" s="394" t="n">
        <f aca="false">G41/H41</f>
        <v>3243.11846472902</v>
      </c>
      <c r="J41" s="1579" t="str">
        <f aca="false">IF(MONTH($A41)=12,SUM(I30:I41)," ")</f>
        <v> </v>
      </c>
      <c r="L41" s="1607" t="n">
        <f aca="false">IF($A41&gt;Endyr,0,VLOOKUP($A41,Tariff_Table,Tariff!$J$33))</f>
        <v>0.19</v>
      </c>
      <c r="M41" s="1576" t="n">
        <f aca="false">D41</f>
        <v>1.42116141710777</v>
      </c>
      <c r="N41" s="1608" t="n">
        <f aca="false">L41*M41</f>
        <v>0.270020669250476</v>
      </c>
      <c r="O41" s="397" t="n">
        <f aca="false">'Plant Operations'!$I41+'Plant Operations'!$M41</f>
        <v>289336.32</v>
      </c>
      <c r="P41" s="1606" t="n">
        <f aca="false">N41*O41</f>
        <v>78126.78676487</v>
      </c>
      <c r="Q41" s="1565" t="n">
        <f aca="false">$H41</f>
        <v>1.94299961754803</v>
      </c>
      <c r="R41" s="1566" t="n">
        <f aca="false">P41/Q41</f>
        <v>40209.3680612568</v>
      </c>
      <c r="S41" s="1567" t="str">
        <f aca="false">IF(MONTH($A41)=12,SUM(R30:R41)," ")</f>
        <v> </v>
      </c>
    </row>
    <row r="42" customFormat="false" ht="12.75" hidden="false" customHeight="false" outlineLevel="0" collapsed="false">
      <c r="A42" s="1538" t="n">
        <f aca="false">'Plant Operations'!A42</f>
        <v>37165</v>
      </c>
      <c r="C42" s="1595" t="n">
        <f aca="false">IF($A42&gt;Endyr,0,VLOOKUP($A42,Tariff_Table,Tariff!$D$33))</f>
        <v>9237.42408376963</v>
      </c>
      <c r="D42" s="1565" t="n">
        <f aca="false">VLOOKUP($A42,Curves_Table,Escalation!$R$291)</f>
        <v>1.42116141710777</v>
      </c>
      <c r="E42" s="1606" t="n">
        <f aca="false">C42*D42</f>
        <v>13127.8707013155</v>
      </c>
      <c r="F42" s="1540" t="n">
        <f aca="false">'Plant Operations'!C42</f>
        <v>480</v>
      </c>
      <c r="G42" s="1606" t="n">
        <f aca="false">E42*F42/1000</f>
        <v>6301.37793663144</v>
      </c>
      <c r="H42" s="1576" t="n">
        <f aca="false">IF(Assm!$L$74=0,VLOOKUP($A42,Curves_Table,Escalation!$D$291),VLOOKUP($A42,Curves_Table,Escalation!$E$291))</f>
        <v>1.95910652681061</v>
      </c>
      <c r="I42" s="394" t="n">
        <f aca="false">G42/H42</f>
        <v>3216.45497597824</v>
      </c>
      <c r="J42" s="1579" t="str">
        <f aca="false">IF(MONTH($A42)=12,SUM(I31:I42)," ")</f>
        <v> </v>
      </c>
      <c r="L42" s="1607" t="n">
        <f aca="false">IF($A42&gt;Endyr,0,VLOOKUP($A42,Tariff_Table,Tariff!$J$33))</f>
        <v>0.19</v>
      </c>
      <c r="M42" s="1576" t="n">
        <f aca="false">D42</f>
        <v>1.42116141710777</v>
      </c>
      <c r="N42" s="1608" t="n">
        <f aca="false">L42*M42</f>
        <v>0.270020669250476</v>
      </c>
      <c r="O42" s="397" t="n">
        <f aca="false">'Plant Operations'!$I42+'Plant Operations'!$M42</f>
        <v>298980.864</v>
      </c>
      <c r="P42" s="1606" t="n">
        <f aca="false">N42*O42</f>
        <v>80731.0129903656</v>
      </c>
      <c r="Q42" s="1565" t="n">
        <f aca="false">$H42</f>
        <v>1.95910652681061</v>
      </c>
      <c r="R42" s="1566" t="n">
        <f aca="false">P42/Q42</f>
        <v>41208.0771951662</v>
      </c>
      <c r="S42" s="1567" t="str">
        <f aca="false">IF(MONTH($A42)=12,SUM(R31:R42)," ")</f>
        <v> </v>
      </c>
    </row>
    <row r="43" customFormat="false" ht="12.75" hidden="false" customHeight="false" outlineLevel="0" collapsed="false">
      <c r="A43" s="1538" t="n">
        <f aca="false">'Plant Operations'!A43</f>
        <v>37196</v>
      </c>
      <c r="C43" s="1595" t="n">
        <f aca="false">IF($A43&gt;Endyr,0,VLOOKUP($A43,Tariff_Table,Tariff!$D$33))</f>
        <v>9237.42408376963</v>
      </c>
      <c r="D43" s="1565" t="n">
        <f aca="false">VLOOKUP($A43,Curves_Table,Escalation!$R$291)</f>
        <v>1.42116141710777</v>
      </c>
      <c r="E43" s="1606" t="n">
        <f aca="false">C43*D43</f>
        <v>13127.8707013155</v>
      </c>
      <c r="F43" s="1540" t="n">
        <f aca="false">'Plant Operations'!C43</f>
        <v>480</v>
      </c>
      <c r="G43" s="1606" t="n">
        <f aca="false">E43*F43/1000</f>
        <v>6301.37793663144</v>
      </c>
      <c r="H43" s="1576" t="n">
        <f aca="false">IF(Assm!$L$74=0,VLOOKUP($A43,Curves_Table,Escalation!$D$291),VLOOKUP($A43,Curves_Table,Escalation!$E$291))</f>
        <v>1.97534695772891</v>
      </c>
      <c r="I43" s="394" t="n">
        <f aca="false">G43/H43</f>
        <v>3190.01070266474</v>
      </c>
      <c r="J43" s="1579" t="str">
        <f aca="false">IF(MONTH($A43)=12,SUM(I32:I43)," ")</f>
        <v> </v>
      </c>
      <c r="L43" s="1607" t="n">
        <f aca="false">IF($A43&gt;Endyr,0,VLOOKUP($A43,Tariff_Table,Tariff!$J$33))</f>
        <v>0.19</v>
      </c>
      <c r="M43" s="1576" t="n">
        <f aca="false">D43</f>
        <v>1.42116141710777</v>
      </c>
      <c r="N43" s="1608" t="n">
        <f aca="false">L43*M43</f>
        <v>0.270020669250476</v>
      </c>
      <c r="O43" s="397" t="n">
        <f aca="false">'Plant Operations'!$I43+'Plant Operations'!$M43</f>
        <v>289336.32</v>
      </c>
      <c r="P43" s="1606" t="n">
        <f aca="false">N43*O43</f>
        <v>78126.78676487</v>
      </c>
      <c r="Q43" s="1565" t="n">
        <f aca="false">$H43</f>
        <v>1.97534695772891</v>
      </c>
      <c r="R43" s="1566" t="n">
        <f aca="false">P43/Q43</f>
        <v>39550.9186166939</v>
      </c>
      <c r="S43" s="1567" t="str">
        <f aca="false">IF(MONTH($A43)=12,SUM(R32:R43)," ")</f>
        <v> </v>
      </c>
    </row>
    <row r="44" customFormat="false" ht="12.75" hidden="false" customHeight="false" outlineLevel="0" collapsed="false">
      <c r="A44" s="1538" t="n">
        <f aca="false">'Plant Operations'!A44</f>
        <v>37226</v>
      </c>
      <c r="C44" s="1595" t="n">
        <f aca="false">IF($A44&gt;Endyr,0,VLOOKUP($A44,Tariff_Table,Tariff!$D$33))</f>
        <v>9237.42408376963</v>
      </c>
      <c r="D44" s="1565" t="n">
        <f aca="false">VLOOKUP($A44,Curves_Table,Escalation!$R$291)</f>
        <v>1.42116141710777</v>
      </c>
      <c r="E44" s="1606" t="n">
        <f aca="false">C44*D44</f>
        <v>13127.8707013155</v>
      </c>
      <c r="F44" s="1540" t="n">
        <f aca="false">'Plant Operations'!C44</f>
        <v>480</v>
      </c>
      <c r="G44" s="1606" t="n">
        <f aca="false">E44*F44/1000</f>
        <v>6301.37793663144</v>
      </c>
      <c r="H44" s="1576" t="n">
        <f aca="false">IF(Assm!$L$74=0,VLOOKUP($A44,Curves_Table,Escalation!$D$291),VLOOKUP($A44,Curves_Table,Escalation!$E$291))</f>
        <v>1.99172201715913</v>
      </c>
      <c r="I44" s="394" t="n">
        <f aca="false">G44/H44</f>
        <v>3163.78384249592</v>
      </c>
      <c r="J44" s="1579" t="n">
        <f aca="false">IF(MONTH($A44)=12,SUM(I33:I44)," ")</f>
        <v>25893.5193105951</v>
      </c>
      <c r="L44" s="1607" t="n">
        <f aca="false">IF($A44&gt;Endyr,0,VLOOKUP($A44,Tariff_Table,Tariff!$J$33))</f>
        <v>0.19</v>
      </c>
      <c r="M44" s="1576" t="n">
        <f aca="false">D44</f>
        <v>1.42116141710777</v>
      </c>
      <c r="N44" s="1608" t="n">
        <f aca="false">L44*M44</f>
        <v>0.270020669250476</v>
      </c>
      <c r="O44" s="397" t="n">
        <f aca="false">'Plant Operations'!$I44+'Plant Operations'!$M44</f>
        <v>298980.864</v>
      </c>
      <c r="P44" s="1606" t="n">
        <f aca="false">N44*O44</f>
        <v>80731.0129903656</v>
      </c>
      <c r="Q44" s="1565" t="n">
        <f aca="false">$H44</f>
        <v>1.99172201715913</v>
      </c>
      <c r="R44" s="1566" t="n">
        <f aca="false">P44/Q44</f>
        <v>40533.2733658864</v>
      </c>
      <c r="S44" s="1567" t="n">
        <f aca="false">IF(MONTH($A44)=12,SUM(R33:R44)," ")</f>
        <v>238048.644959993</v>
      </c>
    </row>
    <row r="45" customFormat="false" ht="12.75" hidden="false" customHeight="false" outlineLevel="0" collapsed="false">
      <c r="A45" s="1538" t="n">
        <f aca="false">'Plant Operations'!A45</f>
        <v>37257</v>
      </c>
      <c r="C45" s="1595" t="n">
        <f aca="false">IF($A45&gt;Endyr,0,VLOOKUP($A45,Tariff_Table,Tariff!$D$33))</f>
        <v>9237.42408376963</v>
      </c>
      <c r="D45" s="1565" t="n">
        <f aca="false">VLOOKUP($A45,Curves_Table,Escalation!$R$291)</f>
        <v>1.42116141710777</v>
      </c>
      <c r="E45" s="1606" t="n">
        <f aca="false">C45*D45</f>
        <v>13127.8707013155</v>
      </c>
      <c r="F45" s="1540" t="n">
        <f aca="false">'Plant Operations'!C45</f>
        <v>480</v>
      </c>
      <c r="G45" s="1606" t="n">
        <f aca="false">E45*F45/1000</f>
        <v>6301.37793663144</v>
      </c>
      <c r="H45" s="1576" t="n">
        <f aca="false">IF(Assm!$L$74=0,VLOOKUP($A45,Curves_Table,Escalation!$D$291),VLOOKUP($A45,Curves_Table,Escalation!$E$291))</f>
        <v>2.00248656102165</v>
      </c>
      <c r="I45" s="394" t="n">
        <f aca="false">G45/H45</f>
        <v>3146.7766422445</v>
      </c>
      <c r="J45" s="1579" t="str">
        <f aca="false">IF(MONTH($A45)=12,SUM(I34:I45)," ")</f>
        <v> </v>
      </c>
      <c r="L45" s="1607" t="n">
        <f aca="false">IF($A45&gt;Endyr,0,VLOOKUP($A45,Tariff_Table,Tariff!$J$33))</f>
        <v>0.19</v>
      </c>
      <c r="M45" s="1576" t="n">
        <f aca="false">D45</f>
        <v>1.42116141710777</v>
      </c>
      <c r="N45" s="1608" t="n">
        <f aca="false">L45*M45</f>
        <v>0.270020669250476</v>
      </c>
      <c r="O45" s="397" t="n">
        <f aca="false">'Plant Operations'!$I45+'Plant Operations'!$M45</f>
        <v>298980.864</v>
      </c>
      <c r="P45" s="1606" t="n">
        <f aca="false">N45*O45</f>
        <v>80731.0129903656</v>
      </c>
      <c r="Q45" s="1565" t="n">
        <f aca="false">$H45</f>
        <v>2.00248656102165</v>
      </c>
      <c r="R45" s="1566" t="n">
        <f aca="false">P45/Q45</f>
        <v>40315.3831650074</v>
      </c>
      <c r="S45" s="1567" t="str">
        <f aca="false">IF(MONTH($A45)=12,SUM(R34:R45)," ")</f>
        <v> </v>
      </c>
    </row>
    <row r="46" customFormat="false" ht="12.75" hidden="false" customHeight="false" outlineLevel="0" collapsed="false">
      <c r="A46" s="1538" t="n">
        <f aca="false">'Plant Operations'!A46</f>
        <v>37288</v>
      </c>
      <c r="C46" s="1595" t="n">
        <f aca="false">IF($A46&gt;Endyr,0,VLOOKUP($A46,Tariff_Table,Tariff!$D$33))</f>
        <v>9237.42408376963</v>
      </c>
      <c r="D46" s="1565" t="n">
        <f aca="false">VLOOKUP($A46,Curves_Table,Escalation!$R$291)</f>
        <v>1.42116141710777</v>
      </c>
      <c r="E46" s="1606" t="n">
        <f aca="false">C46*D46</f>
        <v>13127.8707013155</v>
      </c>
      <c r="F46" s="1540" t="n">
        <f aca="false">'Plant Operations'!C46</f>
        <v>480</v>
      </c>
      <c r="G46" s="1606" t="n">
        <f aca="false">E46*F46/1000</f>
        <v>6301.37793663144</v>
      </c>
      <c r="H46" s="1576" t="n">
        <f aca="false">IF(Assm!$L$74=0,VLOOKUP($A46,Curves_Table,Escalation!$D$291),VLOOKUP($A46,Curves_Table,Escalation!$E$291))</f>
        <v>2.01330928338677</v>
      </c>
      <c r="I46" s="394" t="n">
        <f aca="false">G46/H46</f>
        <v>3129.86086570431</v>
      </c>
      <c r="J46" s="1579" t="str">
        <f aca="false">IF(MONTH($A46)=12,SUM(I35:I46)," ")</f>
        <v> </v>
      </c>
      <c r="L46" s="1607" t="n">
        <f aca="false">IF($A46&gt;Endyr,0,VLOOKUP($A46,Tariff_Table,Tariff!$J$33))</f>
        <v>0.19</v>
      </c>
      <c r="M46" s="1576" t="n">
        <f aca="false">D46</f>
        <v>1.42116141710777</v>
      </c>
      <c r="N46" s="1608" t="n">
        <f aca="false">L46*M46</f>
        <v>0.270020669250476</v>
      </c>
      <c r="O46" s="397" t="n">
        <f aca="false">'Plant Operations'!$I46+'Plant Operations'!$M46</f>
        <v>270047.232</v>
      </c>
      <c r="P46" s="1606" t="n">
        <f aca="false">N46*O46</f>
        <v>72918.3343138786</v>
      </c>
      <c r="Q46" s="1565" t="n">
        <f aca="false">$H46</f>
        <v>2.01330928338677</v>
      </c>
      <c r="R46" s="1566" t="n">
        <f aca="false">P46/Q46</f>
        <v>36218.1483568268</v>
      </c>
      <c r="S46" s="1567" t="str">
        <f aca="false">IF(MONTH($A46)=12,SUM(R35:R46)," ")</f>
        <v> </v>
      </c>
    </row>
    <row r="47" customFormat="false" ht="12.75" hidden="false" customHeight="false" outlineLevel="0" collapsed="false">
      <c r="A47" s="1538" t="n">
        <f aca="false">'Plant Operations'!A47</f>
        <v>37316</v>
      </c>
      <c r="C47" s="1595" t="n">
        <f aca="false">IF($A47&gt;Endyr,0,VLOOKUP($A47,Tariff_Table,Tariff!$D$33))</f>
        <v>9237.42408376963</v>
      </c>
      <c r="D47" s="1565" t="n">
        <f aca="false">VLOOKUP($A47,Curves_Table,Escalation!$R$291)</f>
        <v>1.42116141710777</v>
      </c>
      <c r="E47" s="1606" t="n">
        <f aca="false">C47*D47</f>
        <v>13127.8707013155</v>
      </c>
      <c r="F47" s="1540" t="n">
        <f aca="false">'Plant Operations'!C47</f>
        <v>480</v>
      </c>
      <c r="G47" s="1606" t="n">
        <f aca="false">E47*F47/1000</f>
        <v>6301.37793663144</v>
      </c>
      <c r="H47" s="1576" t="n">
        <f aca="false">IF(Assm!$L$74=0,VLOOKUP($A47,Curves_Table,Escalation!$D$291),VLOOKUP($A47,Curves_Table,Escalation!$E$291))</f>
        <v>2.02419049868846</v>
      </c>
      <c r="I47" s="394" t="n">
        <f aca="false">G47/H47</f>
        <v>3113.03602141908</v>
      </c>
      <c r="J47" s="1579" t="str">
        <f aca="false">IF(MONTH($A47)=12,SUM(I36:I47)," ")</f>
        <v> </v>
      </c>
      <c r="L47" s="1607" t="n">
        <f aca="false">IF($A47&gt;Endyr,0,VLOOKUP($A47,Tariff_Table,Tariff!$J$33))</f>
        <v>0.19</v>
      </c>
      <c r="M47" s="1576" t="n">
        <f aca="false">D47</f>
        <v>1.42116141710777</v>
      </c>
      <c r="N47" s="1608" t="n">
        <f aca="false">L47*M47</f>
        <v>0.270020669250476</v>
      </c>
      <c r="O47" s="397" t="n">
        <f aca="false">'Plant Operations'!$I47+'Plant Operations'!$M47</f>
        <v>298980.864</v>
      </c>
      <c r="P47" s="1606" t="n">
        <f aca="false">N47*O47</f>
        <v>80731.0129903656</v>
      </c>
      <c r="Q47" s="1565" t="n">
        <f aca="false">$H47</f>
        <v>2.02419049868846</v>
      </c>
      <c r="R47" s="1566" t="n">
        <f aca="false">P47/Q47</f>
        <v>39883.1103311047</v>
      </c>
      <c r="S47" s="1567" t="str">
        <f aca="false">IF(MONTH($A47)=12,SUM(R36:R47)," ")</f>
        <v> </v>
      </c>
    </row>
    <row r="48" customFormat="false" ht="12.75" hidden="false" customHeight="false" outlineLevel="0" collapsed="false">
      <c r="A48" s="1538" t="n">
        <f aca="false">'Plant Operations'!A48</f>
        <v>37347</v>
      </c>
      <c r="C48" s="1595" t="n">
        <f aca="false">IF($A48&gt;Endyr,0,VLOOKUP($A48,Tariff_Table,Tariff!$D$33))</f>
        <v>9237.42408376963</v>
      </c>
      <c r="D48" s="1565" t="n">
        <f aca="false">VLOOKUP($A48,Curves_Table,Escalation!$R$291)</f>
        <v>1.42116141710777</v>
      </c>
      <c r="E48" s="1606" t="n">
        <f aca="false">C48*D48</f>
        <v>13127.8707013155</v>
      </c>
      <c r="F48" s="1540" t="n">
        <f aca="false">'Plant Operations'!C48</f>
        <v>480</v>
      </c>
      <c r="G48" s="1606" t="n">
        <f aca="false">E48*F48/1000</f>
        <v>6301.37793663144</v>
      </c>
      <c r="H48" s="1576" t="n">
        <f aca="false">IF(Assm!$L$74=0,VLOOKUP($A48,Curves_Table,Escalation!$D$291),VLOOKUP($A48,Curves_Table,Escalation!$E$291))</f>
        <v>2.03513052306008</v>
      </c>
      <c r="I48" s="394" t="n">
        <f aca="false">G48/H48</f>
        <v>3096.30162057444</v>
      </c>
      <c r="J48" s="1579" t="str">
        <f aca="false">IF(MONTH($A48)=12,SUM(I37:I48)," ")</f>
        <v> </v>
      </c>
      <c r="L48" s="1607" t="n">
        <f aca="false">IF($A48&gt;Endyr,0,VLOOKUP($A48,Tariff_Table,Tariff!$J$33))</f>
        <v>0.19</v>
      </c>
      <c r="M48" s="1576" t="n">
        <f aca="false">D48</f>
        <v>1.42116141710777</v>
      </c>
      <c r="N48" s="1608" t="n">
        <f aca="false">L48*M48</f>
        <v>0.270020669250476</v>
      </c>
      <c r="O48" s="397" t="n">
        <f aca="false">'Plant Operations'!$I48+'Plant Operations'!$M48</f>
        <v>289336.32</v>
      </c>
      <c r="P48" s="1606" t="n">
        <f aca="false">N48*O48</f>
        <v>78126.78676487</v>
      </c>
      <c r="Q48" s="1565" t="n">
        <f aca="false">$H48</f>
        <v>2.03513052306008</v>
      </c>
      <c r="R48" s="1566" t="n">
        <f aca="false">P48/Q48</f>
        <v>38389.0791669697</v>
      </c>
      <c r="S48" s="1567" t="str">
        <f aca="false">IF(MONTH($A48)=12,SUM(R37:R48)," ")</f>
        <v> </v>
      </c>
    </row>
    <row r="49" customFormat="false" ht="12.75" hidden="false" customHeight="false" outlineLevel="0" collapsed="false">
      <c r="A49" s="1538" t="n">
        <f aca="false">'Plant Operations'!A49</f>
        <v>37377</v>
      </c>
      <c r="C49" s="1595" t="n">
        <f aca="false">IF($A49&gt;Endyr,0,VLOOKUP($A49,Tariff_Table,Tariff!$D$33))</f>
        <v>9179.88601036269</v>
      </c>
      <c r="D49" s="1565" t="n">
        <f aca="false">VLOOKUP($A49,Curves_Table,Escalation!$R$291)</f>
        <v>1.5466937113115</v>
      </c>
      <c r="E49" s="1606" t="n">
        <f aca="false">C49*D49</f>
        <v>14198.4719627844</v>
      </c>
      <c r="F49" s="1540" t="n">
        <f aca="false">'Plant Operations'!C49</f>
        <v>480</v>
      </c>
      <c r="G49" s="1606" t="n">
        <f aca="false">E49*F49/1000</f>
        <v>6815.26654213651</v>
      </c>
      <c r="H49" s="1576" t="n">
        <f aca="false">IF(Assm!$L$74=0,VLOOKUP($A49,Curves_Table,Escalation!$D$291),VLOOKUP($A49,Curves_Table,Escalation!$E$291))</f>
        <v>2.04612967434359</v>
      </c>
      <c r="I49" s="394" t="n">
        <f aca="false">G49/H49</f>
        <v>3330.80871050994</v>
      </c>
      <c r="J49" s="1579" t="str">
        <f aca="false">IF(MONTH($A49)=12,SUM(I38:I49)," ")</f>
        <v> </v>
      </c>
      <c r="L49" s="1607" t="n">
        <f aca="false">IF($A49&gt;Endyr,0,VLOOKUP($A49,Tariff_Table,Tariff!$J$33))</f>
        <v>0.19</v>
      </c>
      <c r="M49" s="1576" t="n">
        <f aca="false">D49</f>
        <v>1.5466937113115</v>
      </c>
      <c r="N49" s="1608" t="n">
        <f aca="false">L49*M49</f>
        <v>0.293871805149185</v>
      </c>
      <c r="O49" s="397" t="n">
        <f aca="false">'Plant Operations'!$I49+'Plant Operations'!$M49</f>
        <v>298980.864</v>
      </c>
      <c r="P49" s="1606" t="n">
        <f aca="false">N49*O49</f>
        <v>87862.046208743</v>
      </c>
      <c r="Q49" s="1565" t="n">
        <f aca="false">$H49</f>
        <v>2.04612967434359</v>
      </c>
      <c r="R49" s="1566" t="n">
        <f aca="false">P49/Q49</f>
        <v>42940.6050410415</v>
      </c>
      <c r="S49" s="1567" t="str">
        <f aca="false">IF(MONTH($A49)=12,SUM(R38:R49)," ")</f>
        <v> </v>
      </c>
    </row>
    <row r="50" customFormat="false" ht="12.75" hidden="false" customHeight="false" outlineLevel="0" collapsed="false">
      <c r="A50" s="1538" t="n">
        <f aca="false">'Plant Operations'!A50</f>
        <v>37408</v>
      </c>
      <c r="C50" s="1595" t="n">
        <f aca="false">IF($A50&gt;Endyr,0,VLOOKUP($A50,Tariff_Table,Tariff!$D$33))</f>
        <v>9179.88601036269</v>
      </c>
      <c r="D50" s="1565" t="n">
        <f aca="false">VLOOKUP($A50,Curves_Table,Escalation!$R$291)</f>
        <v>1.5466937113115</v>
      </c>
      <c r="E50" s="1606" t="n">
        <f aca="false">C50*D50</f>
        <v>14198.4719627844</v>
      </c>
      <c r="F50" s="1540" t="n">
        <f aca="false">'Plant Operations'!C50</f>
        <v>480</v>
      </c>
      <c r="G50" s="1606" t="n">
        <f aca="false">E50*F50/1000</f>
        <v>6815.26654213651</v>
      </c>
      <c r="H50" s="1576" t="n">
        <f aca="false">IF(Assm!$L$74=0,VLOOKUP($A50,Curves_Table,Escalation!$D$291),VLOOKUP($A50,Curves_Table,Escalation!$E$291))</f>
        <v>2.05718827209876</v>
      </c>
      <c r="I50" s="394" t="n">
        <f aca="false">G50/H50</f>
        <v>3312.90365328767</v>
      </c>
      <c r="J50" s="1579" t="str">
        <f aca="false">IF(MONTH($A50)=12,SUM(I39:I50)," ")</f>
        <v> </v>
      </c>
      <c r="L50" s="1607" t="n">
        <f aca="false">IF($A50&gt;Endyr,0,VLOOKUP($A50,Tariff_Table,Tariff!$J$33))</f>
        <v>0.19</v>
      </c>
      <c r="M50" s="1576" t="n">
        <f aca="false">D50</f>
        <v>1.5466937113115</v>
      </c>
      <c r="N50" s="1608" t="n">
        <f aca="false">L50*M50</f>
        <v>0.293871805149185</v>
      </c>
      <c r="O50" s="397" t="n">
        <f aca="false">'Plant Operations'!$I50+'Plant Operations'!$M50</f>
        <v>289336.32</v>
      </c>
      <c r="P50" s="1606" t="n">
        <f aca="false">N50*O50</f>
        <v>85027.7866536222</v>
      </c>
      <c r="Q50" s="1565" t="n">
        <f aca="false">$H50</f>
        <v>2.05718827209876</v>
      </c>
      <c r="R50" s="1566" t="n">
        <f aca="false">P50/Q50</f>
        <v>41332.0393698708</v>
      </c>
      <c r="S50" s="1567" t="str">
        <f aca="false">IF(MONTH($A50)=12,SUM(R39:R50)," ")</f>
        <v> </v>
      </c>
    </row>
    <row r="51" customFormat="false" ht="12.75" hidden="false" customHeight="false" outlineLevel="0" collapsed="false">
      <c r="A51" s="1538" t="n">
        <f aca="false">'Plant Operations'!A51</f>
        <v>37438</v>
      </c>
      <c r="C51" s="1595" t="n">
        <f aca="false">IF($A51&gt;Endyr,0,VLOOKUP($A51,Tariff_Table,Tariff!$D$33))</f>
        <v>9179.88601036269</v>
      </c>
      <c r="D51" s="1565" t="n">
        <f aca="false">VLOOKUP($A51,Curves_Table,Escalation!$R$291)</f>
        <v>1.5466937113115</v>
      </c>
      <c r="E51" s="1606" t="n">
        <f aca="false">C51*D51</f>
        <v>14198.4719627844</v>
      </c>
      <c r="F51" s="1540" t="n">
        <f aca="false">'Plant Operations'!C51</f>
        <v>480</v>
      </c>
      <c r="G51" s="1606" t="n">
        <f aca="false">E51*F51/1000</f>
        <v>6815.26654213651</v>
      </c>
      <c r="H51" s="1576" t="n">
        <f aca="false">IF(Assm!$L$74=0,VLOOKUP($A51,Curves_Table,Escalation!$D$291),VLOOKUP($A51,Curves_Table,Escalation!$E$291))</f>
        <v>2.06830663761246</v>
      </c>
      <c r="I51" s="394" t="n">
        <f aca="false">G51/H51</f>
        <v>3295.09484628628</v>
      </c>
      <c r="J51" s="1579" t="str">
        <f aca="false">IF(MONTH($A51)=12,SUM(I40:I51)," ")</f>
        <v> </v>
      </c>
      <c r="L51" s="1607" t="n">
        <f aca="false">IF($A51&gt;Endyr,0,VLOOKUP($A51,Tariff_Table,Tariff!$J$33))</f>
        <v>0.19</v>
      </c>
      <c r="M51" s="1576" t="n">
        <f aca="false">D51</f>
        <v>1.5466937113115</v>
      </c>
      <c r="N51" s="1608" t="n">
        <f aca="false">L51*M51</f>
        <v>0.293871805149185</v>
      </c>
      <c r="O51" s="397" t="n">
        <f aca="false">'Plant Operations'!$I51+'Plant Operations'!$M51</f>
        <v>298980.864</v>
      </c>
      <c r="P51" s="1606" t="n">
        <f aca="false">N51*O51</f>
        <v>87862.046208743</v>
      </c>
      <c r="Q51" s="1565" t="n">
        <f aca="false">$H51</f>
        <v>2.06830663761246</v>
      </c>
      <c r="R51" s="1566" t="n">
        <f aca="false">P51/Q51</f>
        <v>42480.1838426464</v>
      </c>
      <c r="S51" s="1567" t="str">
        <f aca="false">IF(MONTH($A51)=12,SUM(R40:R51)," ")</f>
        <v> </v>
      </c>
    </row>
    <row r="52" customFormat="false" ht="12.75" hidden="false" customHeight="false" outlineLevel="0" collapsed="false">
      <c r="A52" s="1538" t="n">
        <f aca="false">'Plant Operations'!A52</f>
        <v>37469</v>
      </c>
      <c r="C52" s="1595" t="n">
        <f aca="false">IF($A52&gt;Endyr,0,VLOOKUP($A52,Tariff_Table,Tariff!$D$33))</f>
        <v>9179.88601036269</v>
      </c>
      <c r="D52" s="1565" t="n">
        <f aca="false">VLOOKUP($A52,Curves_Table,Escalation!$R$291)</f>
        <v>1.5466937113115</v>
      </c>
      <c r="E52" s="1606" t="n">
        <f aca="false">C52*D52</f>
        <v>14198.4719627844</v>
      </c>
      <c r="F52" s="1540" t="n">
        <f aca="false">'Plant Operations'!C52</f>
        <v>480</v>
      </c>
      <c r="G52" s="1606" t="n">
        <f aca="false">E52*F52/1000</f>
        <v>6815.26654213651</v>
      </c>
      <c r="H52" s="1576" t="n">
        <f aca="false">IF(Assm!$L$74=0,VLOOKUP($A52,Curves_Table,Escalation!$D$291),VLOOKUP($A52,Curves_Table,Escalation!$E$291))</f>
        <v>2.07948509390801</v>
      </c>
      <c r="I52" s="394" t="n">
        <f aca="false">G52/H52</f>
        <v>3277.3817721042</v>
      </c>
      <c r="J52" s="1579" t="str">
        <f aca="false">IF(MONTH($A52)=12,SUM(I41:I52)," ")</f>
        <v> </v>
      </c>
      <c r="L52" s="1607" t="n">
        <f aca="false">IF($A52&gt;Endyr,0,VLOOKUP($A52,Tariff_Table,Tariff!$J$33))</f>
        <v>0.19</v>
      </c>
      <c r="M52" s="1576" t="n">
        <f aca="false">D52</f>
        <v>1.5466937113115</v>
      </c>
      <c r="N52" s="1608" t="n">
        <f aca="false">L52*M52</f>
        <v>0.293871805149185</v>
      </c>
      <c r="O52" s="397" t="n">
        <f aca="false">'Plant Operations'!$I52+'Plant Operations'!$M52</f>
        <v>298980.864</v>
      </c>
      <c r="P52" s="1606" t="n">
        <f aca="false">N52*O52</f>
        <v>87862.046208743</v>
      </c>
      <c r="Q52" s="1565" t="n">
        <f aca="false">$H52</f>
        <v>2.07948509390801</v>
      </c>
      <c r="R52" s="1566" t="n">
        <f aca="false">P52/Q52</f>
        <v>42251.8278520681</v>
      </c>
      <c r="S52" s="1567" t="str">
        <f aca="false">IF(MONTH($A52)=12,SUM(R41:R52)," ")</f>
        <v> </v>
      </c>
    </row>
    <row r="53" customFormat="false" ht="12.75" hidden="false" customHeight="false" outlineLevel="0" collapsed="false">
      <c r="A53" s="1538" t="n">
        <f aca="false">'Plant Operations'!A53</f>
        <v>37500</v>
      </c>
      <c r="C53" s="1595" t="n">
        <f aca="false">IF($A53&gt;Endyr,0,VLOOKUP($A53,Tariff_Table,Tariff!$D$33))</f>
        <v>9179.88601036269</v>
      </c>
      <c r="D53" s="1565" t="n">
        <f aca="false">VLOOKUP($A53,Curves_Table,Escalation!$R$291)</f>
        <v>1.5466937113115</v>
      </c>
      <c r="E53" s="1606" t="n">
        <f aca="false">C53*D53</f>
        <v>14198.4719627844</v>
      </c>
      <c r="F53" s="1540" t="n">
        <f aca="false">'Plant Operations'!C53</f>
        <v>480</v>
      </c>
      <c r="G53" s="1606" t="n">
        <f aca="false">E53*F53/1000</f>
        <v>6815.26654213651</v>
      </c>
      <c r="H53" s="1576" t="n">
        <f aca="false">IF(Assm!$L$74=0,VLOOKUP($A53,Curves_Table,Escalation!$D$291),VLOOKUP($A53,Curves_Table,Escalation!$E$291))</f>
        <v>2.09072396575457</v>
      </c>
      <c r="I53" s="394" t="n">
        <f aca="false">G53/H53</f>
        <v>3259.76391612117</v>
      </c>
      <c r="J53" s="1579" t="str">
        <f aca="false">IF(MONTH($A53)=12,SUM(I42:I53)," ")</f>
        <v> </v>
      </c>
      <c r="L53" s="1607" t="n">
        <f aca="false">IF($A53&gt;Endyr,0,VLOOKUP($A53,Tariff_Table,Tariff!$J$33))</f>
        <v>0.19</v>
      </c>
      <c r="M53" s="1576" t="n">
        <f aca="false">D53</f>
        <v>1.5466937113115</v>
      </c>
      <c r="N53" s="1608" t="n">
        <f aca="false">L53*M53</f>
        <v>0.293871805149185</v>
      </c>
      <c r="O53" s="397" t="n">
        <f aca="false">'Plant Operations'!$I53+'Plant Operations'!$M53</f>
        <v>289336.32</v>
      </c>
      <c r="P53" s="1606" t="n">
        <f aca="false">N53*O53</f>
        <v>85027.7866536222</v>
      </c>
      <c r="Q53" s="1565" t="n">
        <f aca="false">$H53</f>
        <v>2.09072396575457</v>
      </c>
      <c r="R53" s="1566" t="n">
        <f aca="false">P53/Q53</f>
        <v>40669.0639445244</v>
      </c>
      <c r="S53" s="1567" t="str">
        <f aca="false">IF(MONTH($A53)=12,SUM(R42:R53)," ")</f>
        <v> </v>
      </c>
    </row>
    <row r="54" customFormat="false" ht="12.75" hidden="false" customHeight="false" outlineLevel="0" collapsed="false">
      <c r="A54" s="1538" t="n">
        <f aca="false">'Plant Operations'!A54</f>
        <v>37530</v>
      </c>
      <c r="C54" s="1595" t="n">
        <f aca="false">IF($A54&gt;Endyr,0,VLOOKUP($A54,Tariff_Table,Tariff!$D$33))</f>
        <v>9179.88601036269</v>
      </c>
      <c r="D54" s="1565" t="n">
        <f aca="false">VLOOKUP($A54,Curves_Table,Escalation!$R$291)</f>
        <v>1.5466937113115</v>
      </c>
      <c r="E54" s="1606" t="n">
        <f aca="false">C54*D54</f>
        <v>14198.4719627844</v>
      </c>
      <c r="F54" s="1540" t="n">
        <f aca="false">'Plant Operations'!C54</f>
        <v>480</v>
      </c>
      <c r="G54" s="1606" t="n">
        <f aca="false">E54*F54/1000</f>
        <v>6815.26654213651</v>
      </c>
      <c r="H54" s="1576" t="n">
        <f aca="false">IF(Assm!$L$74=0,VLOOKUP($A54,Curves_Table,Escalation!$D$291),VLOOKUP($A54,Curves_Table,Escalation!$E$291))</f>
        <v>2.10202357967654</v>
      </c>
      <c r="I54" s="394" t="n">
        <f aca="false">G54/H54</f>
        <v>3242.24076648334</v>
      </c>
      <c r="J54" s="1579" t="str">
        <f aca="false">IF(MONTH($A54)=12,SUM(I43:I54)," ")</f>
        <v> </v>
      </c>
      <c r="L54" s="1607" t="n">
        <f aca="false">IF($A54&gt;Endyr,0,VLOOKUP($A54,Tariff_Table,Tariff!$J$33))</f>
        <v>0.19</v>
      </c>
      <c r="M54" s="1576" t="n">
        <f aca="false">D54</f>
        <v>1.5466937113115</v>
      </c>
      <c r="N54" s="1608" t="n">
        <f aca="false">L54*M54</f>
        <v>0.293871805149185</v>
      </c>
      <c r="O54" s="397" t="n">
        <f aca="false">'Plant Operations'!$I54+'Plant Operations'!$M54</f>
        <v>298980.864</v>
      </c>
      <c r="P54" s="1606" t="n">
        <f aca="false">N54*O54</f>
        <v>87862.046208743</v>
      </c>
      <c r="Q54" s="1565" t="n">
        <f aca="false">$H54</f>
        <v>2.10202357967654</v>
      </c>
      <c r="R54" s="1566" t="n">
        <f aca="false">P54/Q54</f>
        <v>41798.7919156755</v>
      </c>
      <c r="S54" s="1567" t="str">
        <f aca="false">IF(MONTH($A54)=12,SUM(R43:R54)," ")</f>
        <v> </v>
      </c>
    </row>
    <row r="55" customFormat="false" ht="12.75" hidden="false" customHeight="false" outlineLevel="0" collapsed="false">
      <c r="A55" s="1538" t="n">
        <f aca="false">'Plant Operations'!A55</f>
        <v>37561</v>
      </c>
      <c r="C55" s="1595" t="n">
        <f aca="false">IF($A55&gt;Endyr,0,VLOOKUP($A55,Tariff_Table,Tariff!$D$33))</f>
        <v>9179.88601036269</v>
      </c>
      <c r="D55" s="1565" t="n">
        <f aca="false">VLOOKUP($A55,Curves_Table,Escalation!$R$291)</f>
        <v>1.5466937113115</v>
      </c>
      <c r="E55" s="1606" t="n">
        <f aca="false">C55*D55</f>
        <v>14198.4719627844</v>
      </c>
      <c r="F55" s="1540" t="n">
        <f aca="false">'Plant Operations'!C55</f>
        <v>480</v>
      </c>
      <c r="G55" s="1606" t="n">
        <f aca="false">E55*F55/1000</f>
        <v>6815.26654213651</v>
      </c>
      <c r="H55" s="1576" t="n">
        <f aca="false">IF(Assm!$L$74=0,VLOOKUP($A55,Curves_Table,Escalation!$D$291),VLOOKUP($A55,Curves_Table,Escalation!$E$291))</f>
        <v>2.11338426396307</v>
      </c>
      <c r="I55" s="394" t="n">
        <f aca="false">G55/H55</f>
        <v>3224.81181408835</v>
      </c>
      <c r="J55" s="1579" t="str">
        <f aca="false">IF(MONTH($A55)=12,SUM(I44:I55)," ")</f>
        <v> </v>
      </c>
      <c r="L55" s="1607" t="n">
        <f aca="false">IF($A55&gt;Endyr,0,VLOOKUP($A55,Tariff_Table,Tariff!$J$33))</f>
        <v>0.19</v>
      </c>
      <c r="M55" s="1576" t="n">
        <f aca="false">D55</f>
        <v>1.5466937113115</v>
      </c>
      <c r="N55" s="1608" t="n">
        <f aca="false">L55*M55</f>
        <v>0.293871805149185</v>
      </c>
      <c r="O55" s="397" t="n">
        <f aca="false">'Plant Operations'!$I55+'Plant Operations'!$M55</f>
        <v>289336.32</v>
      </c>
      <c r="P55" s="1606" t="n">
        <f aca="false">N55*O55</f>
        <v>85027.7866536222</v>
      </c>
      <c r="Q55" s="1565" t="n">
        <f aca="false">$H55</f>
        <v>2.11338426396307</v>
      </c>
      <c r="R55" s="1566" t="n">
        <f aca="false">P55/Q55</f>
        <v>40232.998846209</v>
      </c>
      <c r="S55" s="1567" t="str">
        <f aca="false">IF(MONTH($A55)=12,SUM(R44:R55)," ")</f>
        <v> </v>
      </c>
    </row>
    <row r="56" customFormat="false" ht="12.75" hidden="false" customHeight="false" outlineLevel="0" collapsed="false">
      <c r="A56" s="1538" t="n">
        <f aca="false">'Plant Operations'!A56</f>
        <v>37591</v>
      </c>
      <c r="C56" s="1595" t="n">
        <f aca="false">IF($A56&gt;Endyr,0,VLOOKUP($A56,Tariff_Table,Tariff!$D$33))</f>
        <v>9179.88601036269</v>
      </c>
      <c r="D56" s="1565" t="n">
        <f aca="false">VLOOKUP($A56,Curves_Table,Escalation!$R$291)</f>
        <v>1.5466937113115</v>
      </c>
      <c r="E56" s="1606" t="n">
        <f aca="false">C56*D56</f>
        <v>14198.4719627844</v>
      </c>
      <c r="F56" s="1540" t="n">
        <f aca="false">'Plant Operations'!C56</f>
        <v>480</v>
      </c>
      <c r="G56" s="1606" t="n">
        <f aca="false">E56*F56/1000</f>
        <v>6815.26654213651</v>
      </c>
      <c r="H56" s="1576" t="n">
        <f aca="false">IF(Assm!$L$74=0,VLOOKUP($A56,Curves_Table,Escalation!$D$291),VLOOKUP($A56,Curves_Table,Escalation!$E$291))</f>
        <v>2.12480634867759</v>
      </c>
      <c r="I56" s="394" t="n">
        <f aca="false">G56/H56</f>
        <v>3207.47655257059</v>
      </c>
      <c r="J56" s="1579" t="n">
        <f aca="false">IF(MONTH($A56)=12,SUM(I45:I56)," ")</f>
        <v>38636.4571813939</v>
      </c>
      <c r="L56" s="1607" t="n">
        <f aca="false">IF($A56&gt;Endyr,0,VLOOKUP($A56,Tariff_Table,Tariff!$J$33))</f>
        <v>0.19</v>
      </c>
      <c r="M56" s="1576" t="n">
        <f aca="false">D56</f>
        <v>1.5466937113115</v>
      </c>
      <c r="N56" s="1608" t="n">
        <f aca="false">L56*M56</f>
        <v>0.293871805149185</v>
      </c>
      <c r="O56" s="397" t="n">
        <f aca="false">'Plant Operations'!$I56+'Plant Operations'!$M56</f>
        <v>298980.864</v>
      </c>
      <c r="P56" s="1606" t="n">
        <f aca="false">N56*O56</f>
        <v>87862.046208743</v>
      </c>
      <c r="Q56" s="1565" t="n">
        <f aca="false">$H56</f>
        <v>2.12480634867759</v>
      </c>
      <c r="R56" s="1566" t="n">
        <f aca="false">P56/Q56</f>
        <v>41350.6135575251</v>
      </c>
      <c r="S56" s="1567" t="n">
        <f aca="false">IF(MONTH($A56)=12,SUM(R45:R56)," ")</f>
        <v>487861.845389469</v>
      </c>
    </row>
    <row r="57" customFormat="false" ht="12.75" hidden="false" customHeight="false" outlineLevel="0" collapsed="false">
      <c r="A57" s="1538" t="n">
        <f aca="false">'Plant Operations'!A57</f>
        <v>37622</v>
      </c>
      <c r="C57" s="1595" t="n">
        <f aca="false">IF($A57&gt;Endyr,0,VLOOKUP($A57,Tariff_Table,Tariff!$D$33))</f>
        <v>9179.88601036269</v>
      </c>
      <c r="D57" s="1565" t="n">
        <f aca="false">VLOOKUP($A57,Curves_Table,Escalation!$R$291)</f>
        <v>1.5466937113115</v>
      </c>
      <c r="E57" s="1606" t="n">
        <f aca="false">C57*D57</f>
        <v>14198.4719627844</v>
      </c>
      <c r="F57" s="1540" t="n">
        <f aca="false">'Plant Operations'!C57</f>
        <v>480</v>
      </c>
      <c r="G57" s="1606" t="n">
        <f aca="false">E57*F57/1000</f>
        <v>6815.26654213651</v>
      </c>
      <c r="H57" s="1576" t="n">
        <f aca="false">IF(Assm!$L$74=0,VLOOKUP($A57,Curves_Table,Escalation!$D$291),VLOOKUP($A57,Curves_Table,Escalation!$E$291))</f>
        <v>2.13087787834043</v>
      </c>
      <c r="I57" s="394" t="n">
        <f aca="false">G57/H57</f>
        <v>3198.33746054203</v>
      </c>
      <c r="J57" s="1579" t="str">
        <f aca="false">IF(MONTH($A57)=12,SUM(I46:I57)," ")</f>
        <v> </v>
      </c>
      <c r="L57" s="1607" t="n">
        <f aca="false">IF($A57&gt;Endyr,0,VLOOKUP($A57,Tariff_Table,Tariff!$J$33))</f>
        <v>0.19</v>
      </c>
      <c r="M57" s="1576" t="n">
        <f aca="false">D57</f>
        <v>1.5466937113115</v>
      </c>
      <c r="N57" s="1608" t="n">
        <f aca="false">L57*M57</f>
        <v>0.293871805149185</v>
      </c>
      <c r="O57" s="397" t="n">
        <f aca="false">'Plant Operations'!$I57+'Plant Operations'!$M57</f>
        <v>298980.864</v>
      </c>
      <c r="P57" s="1606" t="n">
        <f aca="false">N57*O57</f>
        <v>87862.046208743</v>
      </c>
      <c r="Q57" s="1565" t="n">
        <f aca="false">$H57</f>
        <v>2.13087787834043</v>
      </c>
      <c r="R57" s="1566" t="n">
        <f aca="false">P57/Q57</f>
        <v>41232.7928793235</v>
      </c>
      <c r="S57" s="1567" t="str">
        <f aca="false">IF(MONTH($A57)=12,SUM(R46:R57)," ")</f>
        <v> </v>
      </c>
    </row>
    <row r="58" customFormat="false" ht="12.75" hidden="false" customHeight="false" outlineLevel="0" collapsed="false">
      <c r="A58" s="1538" t="n">
        <f aca="false">'Plant Operations'!A58</f>
        <v>37653</v>
      </c>
      <c r="C58" s="1595" t="n">
        <f aca="false">IF($A58&gt;Endyr,0,VLOOKUP($A58,Tariff_Table,Tariff!$D$33))</f>
        <v>9179.88601036269</v>
      </c>
      <c r="D58" s="1565" t="n">
        <f aca="false">VLOOKUP($A58,Curves_Table,Escalation!$R$291)</f>
        <v>1.5466937113115</v>
      </c>
      <c r="E58" s="1606" t="n">
        <f aca="false">C58*D58</f>
        <v>14198.4719627844</v>
      </c>
      <c r="F58" s="1540" t="n">
        <f aca="false">'Plant Operations'!C58</f>
        <v>480</v>
      </c>
      <c r="G58" s="1606" t="n">
        <f aca="false">E58*F58/1000</f>
        <v>6815.26654213651</v>
      </c>
      <c r="H58" s="1576" t="n">
        <f aca="false">IF(Assm!$L$74=0,VLOOKUP($A58,Curves_Table,Escalation!$D$291),VLOOKUP($A58,Curves_Table,Escalation!$E$291))</f>
        <v>2.13696675710073</v>
      </c>
      <c r="I58" s="394" t="n">
        <f aca="false">G58/H58</f>
        <v>3189.22440861127</v>
      </c>
      <c r="J58" s="1579" t="str">
        <f aca="false">IF(MONTH($A58)=12,SUM(I47:I58)," ")</f>
        <v> </v>
      </c>
      <c r="L58" s="1607" t="n">
        <f aca="false">IF($A58&gt;Endyr,0,VLOOKUP($A58,Tariff_Table,Tariff!$J$33))</f>
        <v>0.19</v>
      </c>
      <c r="M58" s="1576" t="n">
        <f aca="false">D58</f>
        <v>1.5466937113115</v>
      </c>
      <c r="N58" s="1608" t="n">
        <f aca="false">L58*M58</f>
        <v>0.293871805149185</v>
      </c>
      <c r="O58" s="397" t="n">
        <f aca="false">'Plant Operations'!$I58+'Plant Operations'!$M58</f>
        <v>270047.232</v>
      </c>
      <c r="P58" s="1606" t="n">
        <f aca="false">N58*O58</f>
        <v>79359.2675433808</v>
      </c>
      <c r="Q58" s="1565" t="n">
        <f aca="false">$H58</f>
        <v>2.13696675710073</v>
      </c>
      <c r="R58" s="1566" t="n">
        <f aca="false">P58/Q58</f>
        <v>37136.4071432956</v>
      </c>
      <c r="S58" s="1567" t="str">
        <f aca="false">IF(MONTH($A58)=12,SUM(R47:R58)," ")</f>
        <v> </v>
      </c>
    </row>
    <row r="59" customFormat="false" ht="12.75" hidden="false" customHeight="false" outlineLevel="0" collapsed="false">
      <c r="A59" s="1538" t="n">
        <f aca="false">'Plant Operations'!A59</f>
        <v>37681</v>
      </c>
      <c r="C59" s="1595" t="n">
        <f aca="false">IF($A59&gt;Endyr,0,VLOOKUP($A59,Tariff_Table,Tariff!$D$33))</f>
        <v>9179.88601036269</v>
      </c>
      <c r="D59" s="1565" t="n">
        <f aca="false">VLOOKUP($A59,Curves_Table,Escalation!$R$291)</f>
        <v>1.5466937113115</v>
      </c>
      <c r="E59" s="1606" t="n">
        <f aca="false">C59*D59</f>
        <v>14198.4719627844</v>
      </c>
      <c r="F59" s="1540" t="n">
        <f aca="false">'Plant Operations'!C59</f>
        <v>480</v>
      </c>
      <c r="G59" s="1606" t="n">
        <f aca="false">E59*F59/1000</f>
        <v>6815.26654213651</v>
      </c>
      <c r="H59" s="1576" t="n">
        <f aca="false">IF(Assm!$L$74=0,VLOOKUP($A59,Curves_Table,Escalation!$D$291),VLOOKUP($A59,Curves_Table,Escalation!$E$291))</f>
        <v>2.14307303453269</v>
      </c>
      <c r="I59" s="394" t="n">
        <f aca="false">G59/H59</f>
        <v>3180.13732258202</v>
      </c>
      <c r="J59" s="1579" t="str">
        <f aca="false">IF(MONTH($A59)=12,SUM(I48:I59)," ")</f>
        <v> </v>
      </c>
      <c r="L59" s="1607" t="n">
        <f aca="false">IF($A59&gt;Endyr,0,VLOOKUP($A59,Tariff_Table,Tariff!$J$33))</f>
        <v>0.19</v>
      </c>
      <c r="M59" s="1576" t="n">
        <f aca="false">D59</f>
        <v>1.5466937113115</v>
      </c>
      <c r="N59" s="1608" t="n">
        <f aca="false">L59*M59</f>
        <v>0.293871805149185</v>
      </c>
      <c r="O59" s="397" t="n">
        <f aca="false">'Plant Operations'!$I59+'Plant Operations'!$M59</f>
        <v>298980.864</v>
      </c>
      <c r="P59" s="1606" t="n">
        <f aca="false">N59*O59</f>
        <v>87862.046208743</v>
      </c>
      <c r="Q59" s="1565" t="n">
        <f aca="false">$H59</f>
        <v>2.14307303453269</v>
      </c>
      <c r="R59" s="1566" t="n">
        <f aca="false">P59/Q59</f>
        <v>40998.1576889664</v>
      </c>
      <c r="S59" s="1567" t="str">
        <f aca="false">IF(MONTH($A59)=12,SUM(R48:R59)," ")</f>
        <v> </v>
      </c>
    </row>
    <row r="60" customFormat="false" ht="12.75" hidden="false" customHeight="false" outlineLevel="0" collapsed="false">
      <c r="A60" s="1538" t="n">
        <f aca="false">'Plant Operations'!A60</f>
        <v>37712</v>
      </c>
      <c r="C60" s="1595" t="n">
        <f aca="false">IF($A60&gt;Endyr,0,VLOOKUP($A60,Tariff_Table,Tariff!$D$33))</f>
        <v>9179.88601036269</v>
      </c>
      <c r="D60" s="1565" t="n">
        <f aca="false">VLOOKUP($A60,Curves_Table,Escalation!$R$291)</f>
        <v>1.5466937113115</v>
      </c>
      <c r="E60" s="1606" t="n">
        <f aca="false">C60*D60</f>
        <v>14198.4719627844</v>
      </c>
      <c r="F60" s="1540" t="n">
        <f aca="false">'Plant Operations'!C60</f>
        <v>480</v>
      </c>
      <c r="G60" s="1606" t="n">
        <f aca="false">E60*F60/1000</f>
        <v>6815.26654213651</v>
      </c>
      <c r="H60" s="1576" t="n">
        <f aca="false">IF(Assm!$L$74=0,VLOOKUP($A60,Curves_Table,Escalation!$D$291),VLOOKUP($A60,Curves_Table,Escalation!$E$291))</f>
        <v>2.14919676035217</v>
      </c>
      <c r="I60" s="394" t="n">
        <f aca="false">G60/H60</f>
        <v>3171.07612846939</v>
      </c>
      <c r="J60" s="1579" t="str">
        <f aca="false">IF(MONTH($A60)=12,SUM(I49:I60)," ")</f>
        <v> </v>
      </c>
      <c r="L60" s="1607" t="n">
        <f aca="false">IF($A60&gt;Endyr,0,VLOOKUP($A60,Tariff_Table,Tariff!$J$33))</f>
        <v>0.19</v>
      </c>
      <c r="M60" s="1576" t="n">
        <f aca="false">D60</f>
        <v>1.5466937113115</v>
      </c>
      <c r="N60" s="1608" t="n">
        <f aca="false">L60*M60</f>
        <v>0.293871805149185</v>
      </c>
      <c r="O60" s="397" t="n">
        <f aca="false">'Plant Operations'!$I60+'Plant Operations'!$M60</f>
        <v>289336.32</v>
      </c>
      <c r="P60" s="1606" t="n">
        <f aca="false">N60*O60</f>
        <v>85027.7866536222</v>
      </c>
      <c r="Q60" s="1565" t="n">
        <f aca="false">$H60</f>
        <v>2.14919676035217</v>
      </c>
      <c r="R60" s="1566" t="n">
        <f aca="false">P60/Q60</f>
        <v>39562.5883223878</v>
      </c>
      <c r="S60" s="1567" t="str">
        <f aca="false">IF(MONTH($A60)=12,SUM(R49:R60)," ")</f>
        <v> </v>
      </c>
    </row>
    <row r="61" customFormat="false" ht="12.75" hidden="false" customHeight="false" outlineLevel="0" collapsed="false">
      <c r="A61" s="1538" t="n">
        <f aca="false">'Plant Operations'!A61</f>
        <v>37742</v>
      </c>
      <c r="C61" s="1595" t="n">
        <f aca="false">IF($A61&gt;Endyr,0,VLOOKUP($A61,Tariff_Table,Tariff!$D$33))</f>
        <v>9798.43594544435</v>
      </c>
      <c r="D61" s="1565" t="n">
        <f aca="false">VLOOKUP($A61,Curves_Table,Escalation!$R$291)</f>
        <v>1.6755808839625</v>
      </c>
      <c r="E61" s="1606" t="n">
        <f aca="false">C61*D61</f>
        <v>16418.0719629176</v>
      </c>
      <c r="F61" s="1540" t="n">
        <f aca="false">'Plant Operations'!C61</f>
        <v>480</v>
      </c>
      <c r="G61" s="1606" t="n">
        <f aca="false">E61*F61/1000</f>
        <v>7880.67454220046</v>
      </c>
      <c r="H61" s="1576" t="n">
        <f aca="false">IF(Assm!$L$74=0,VLOOKUP($A61,Curves_Table,Escalation!$D$291),VLOOKUP($A61,Curves_Table,Escalation!$E$291))</f>
        <v>2.15533798441706</v>
      </c>
      <c r="I61" s="394" t="n">
        <f aca="false">G61/H61</f>
        <v>3656.35208917449</v>
      </c>
      <c r="J61" s="1579" t="str">
        <f aca="false">IF(MONTH($A61)=12,SUM(I50:I61)," ")</f>
        <v> </v>
      </c>
      <c r="L61" s="1607" t="n">
        <f aca="false">IF($A61&gt;Endyr,0,VLOOKUP($A61,Tariff_Table,Tariff!$J$33))</f>
        <v>0.19</v>
      </c>
      <c r="M61" s="1576" t="n">
        <f aca="false">D61</f>
        <v>1.6755808839625</v>
      </c>
      <c r="N61" s="1608" t="n">
        <f aca="false">L61*M61</f>
        <v>0.318360367952876</v>
      </c>
      <c r="O61" s="397" t="n">
        <f aca="false">'Plant Operations'!$I61+'Plant Operations'!$M61</f>
        <v>298980.864</v>
      </c>
      <c r="P61" s="1606" t="n">
        <f aca="false">N61*O61</f>
        <v>95183.6578739087</v>
      </c>
      <c r="Q61" s="1565" t="n">
        <f aca="false">$H61</f>
        <v>2.15533798441706</v>
      </c>
      <c r="R61" s="1566" t="n">
        <f aca="false">P61/Q61</f>
        <v>44161.8245315026</v>
      </c>
      <c r="S61" s="1567" t="str">
        <f aca="false">IF(MONTH($A61)=12,SUM(R50:R61)," ")</f>
        <v> </v>
      </c>
    </row>
    <row r="62" customFormat="false" ht="12.75" hidden="false" customHeight="false" outlineLevel="0" collapsed="false">
      <c r="A62" s="1538" t="n">
        <f aca="false">'Plant Operations'!A62</f>
        <v>37773</v>
      </c>
      <c r="C62" s="1595" t="n">
        <f aca="false">IF($A62&gt;Endyr,0,VLOOKUP($A62,Tariff_Table,Tariff!$D$33))</f>
        <v>9798.43594544435</v>
      </c>
      <c r="D62" s="1565" t="n">
        <f aca="false">VLOOKUP($A62,Curves_Table,Escalation!$R$291)</f>
        <v>1.6755808839625</v>
      </c>
      <c r="E62" s="1606" t="n">
        <f aca="false">C62*D62</f>
        <v>16418.0719629176</v>
      </c>
      <c r="F62" s="1540" t="n">
        <f aca="false">'Plant Operations'!C62</f>
        <v>480</v>
      </c>
      <c r="G62" s="1606" t="n">
        <f aca="false">E62*F62/1000</f>
        <v>7880.67454220046</v>
      </c>
      <c r="H62" s="1576" t="n">
        <f aca="false">IF(Assm!$L$74=0,VLOOKUP($A62,Curves_Table,Escalation!$D$291),VLOOKUP($A62,Curves_Table,Escalation!$E$291))</f>
        <v>2.16149675672775</v>
      </c>
      <c r="I62" s="394" t="n">
        <f aca="false">G62/H62</f>
        <v>3645.93401200881</v>
      </c>
      <c r="J62" s="1579" t="str">
        <f aca="false">IF(MONTH($A62)=12,SUM(I51:I62)," ")</f>
        <v> </v>
      </c>
      <c r="L62" s="1607" t="n">
        <f aca="false">IF($A62&gt;Endyr,0,VLOOKUP($A62,Tariff_Table,Tariff!$J$33))</f>
        <v>0.19</v>
      </c>
      <c r="M62" s="1576" t="n">
        <f aca="false">D62</f>
        <v>1.6755808839625</v>
      </c>
      <c r="N62" s="1608" t="n">
        <f aca="false">L62*M62</f>
        <v>0.318360367952876</v>
      </c>
      <c r="O62" s="397" t="n">
        <f aca="false">'Plant Operations'!$I62+'Plant Operations'!$M62</f>
        <v>289336.32</v>
      </c>
      <c r="P62" s="1606" t="n">
        <f aca="false">N62*O62</f>
        <v>92113.217297331</v>
      </c>
      <c r="Q62" s="1565" t="n">
        <f aca="false">$H62</f>
        <v>2.16149675672775</v>
      </c>
      <c r="R62" s="1566" t="n">
        <f aca="false">P62/Q62</f>
        <v>42615.4779139152</v>
      </c>
      <c r="S62" s="1567" t="str">
        <f aca="false">IF(MONTH($A62)=12,SUM(R51:R62)," ")</f>
        <v> </v>
      </c>
    </row>
    <row r="63" customFormat="false" ht="12.75" hidden="false" customHeight="false" outlineLevel="0" collapsed="false">
      <c r="A63" s="1538" t="n">
        <f aca="false">'Plant Operations'!A63</f>
        <v>37803</v>
      </c>
      <c r="C63" s="1595" t="n">
        <f aca="false">IF($A63&gt;Endyr,0,VLOOKUP($A63,Tariff_Table,Tariff!$D$33))</f>
        <v>9798.43594544435</v>
      </c>
      <c r="D63" s="1565" t="n">
        <f aca="false">VLOOKUP($A63,Curves_Table,Escalation!$R$291)</f>
        <v>1.6755808839625</v>
      </c>
      <c r="E63" s="1606" t="n">
        <f aca="false">C63*D63</f>
        <v>16418.0719629176</v>
      </c>
      <c r="F63" s="1540" t="n">
        <f aca="false">'Plant Operations'!C63</f>
        <v>480</v>
      </c>
      <c r="G63" s="1606" t="n">
        <f aca="false">E63*F63/1000</f>
        <v>7880.67454220046</v>
      </c>
      <c r="H63" s="1576" t="n">
        <f aca="false">IF(Assm!$L$74=0,VLOOKUP($A63,Curves_Table,Escalation!$D$291),VLOOKUP($A63,Curves_Table,Escalation!$E$291))</f>
        <v>2.16767312742749</v>
      </c>
      <c r="I63" s="394" t="n">
        <f aca="false">G63/H63</f>
        <v>3635.54561916488</v>
      </c>
      <c r="J63" s="1579" t="str">
        <f aca="false">IF(MONTH($A63)=12,SUM(I52:I63)," ")</f>
        <v> </v>
      </c>
      <c r="L63" s="1607" t="n">
        <f aca="false">IF($A63&gt;Endyr,0,VLOOKUP($A63,Tariff_Table,Tariff!$J$33))</f>
        <v>0.19</v>
      </c>
      <c r="M63" s="1576" t="n">
        <f aca="false">D63</f>
        <v>1.6755808839625</v>
      </c>
      <c r="N63" s="1608" t="n">
        <f aca="false">L63*M63</f>
        <v>0.318360367952876</v>
      </c>
      <c r="O63" s="397" t="n">
        <f aca="false">'Plant Operations'!$I63+'Plant Operations'!$M63</f>
        <v>298980.864</v>
      </c>
      <c r="P63" s="1606" t="n">
        <f aca="false">N63*O63</f>
        <v>95183.6578739087</v>
      </c>
      <c r="Q63" s="1565" t="n">
        <f aca="false">$H63</f>
        <v>2.16767312742749</v>
      </c>
      <c r="R63" s="1566" t="n">
        <f aca="false">P63/Q63</f>
        <v>43910.5216877735</v>
      </c>
      <c r="S63" s="1567" t="str">
        <f aca="false">IF(MONTH($A63)=12,SUM(R52:R63)," ")</f>
        <v> </v>
      </c>
    </row>
    <row r="64" customFormat="false" ht="12.75" hidden="false" customHeight="false" outlineLevel="0" collapsed="false">
      <c r="A64" s="1538" t="n">
        <f aca="false">'Plant Operations'!A64</f>
        <v>37834</v>
      </c>
      <c r="C64" s="1595" t="n">
        <f aca="false">IF($A64&gt;Endyr,0,VLOOKUP($A64,Tariff_Table,Tariff!$D$33))</f>
        <v>9798.43594544435</v>
      </c>
      <c r="D64" s="1565" t="n">
        <f aca="false">VLOOKUP($A64,Curves_Table,Escalation!$R$291)</f>
        <v>1.6755808839625</v>
      </c>
      <c r="E64" s="1606" t="n">
        <f aca="false">C64*D64</f>
        <v>16418.0719629176</v>
      </c>
      <c r="F64" s="1540" t="n">
        <f aca="false">'Plant Operations'!C64</f>
        <v>480</v>
      </c>
      <c r="G64" s="1606" t="n">
        <f aca="false">E64*F64/1000</f>
        <v>7880.67454220046</v>
      </c>
      <c r="H64" s="1576" t="n">
        <f aca="false">IF(Assm!$L$74=0,VLOOKUP($A64,Curves_Table,Escalation!$D$291),VLOOKUP($A64,Curves_Table,Escalation!$E$291))</f>
        <v>2.17386714680281</v>
      </c>
      <c r="I64" s="394" t="n">
        <f aca="false">G64/H64</f>
        <v>3625.18682606289</v>
      </c>
      <c r="J64" s="1579" t="str">
        <f aca="false">IF(MONTH($A64)=12,SUM(I53:I64)," ")</f>
        <v> </v>
      </c>
      <c r="L64" s="1607" t="n">
        <f aca="false">IF($A64&gt;Endyr,0,VLOOKUP($A64,Tariff_Table,Tariff!$J$33))</f>
        <v>0.19</v>
      </c>
      <c r="M64" s="1576" t="n">
        <f aca="false">D64</f>
        <v>1.6755808839625</v>
      </c>
      <c r="N64" s="1608" t="n">
        <f aca="false">L64*M64</f>
        <v>0.318360367952876</v>
      </c>
      <c r="O64" s="397" t="n">
        <f aca="false">'Plant Operations'!$I64+'Plant Operations'!$M64</f>
        <v>298980.864</v>
      </c>
      <c r="P64" s="1606" t="n">
        <f aca="false">N64*O64</f>
        <v>95183.6578739087</v>
      </c>
      <c r="Q64" s="1565" t="n">
        <f aca="false">$H64</f>
        <v>2.17386714680281</v>
      </c>
      <c r="R64" s="1566" t="n">
        <f aca="false">P64/Q64</f>
        <v>43785.4070401216</v>
      </c>
      <c r="S64" s="1567" t="str">
        <f aca="false">IF(MONTH($A64)=12,SUM(R53:R64)," ")</f>
        <v> </v>
      </c>
    </row>
    <row r="65" customFormat="false" ht="12.75" hidden="false" customHeight="false" outlineLevel="0" collapsed="false">
      <c r="A65" s="1538" t="n">
        <f aca="false">'Plant Operations'!A65</f>
        <v>37865</v>
      </c>
      <c r="C65" s="1595" t="n">
        <f aca="false">IF($A65&gt;Endyr,0,VLOOKUP($A65,Tariff_Table,Tariff!$D$33))</f>
        <v>9798.43594544435</v>
      </c>
      <c r="D65" s="1565" t="n">
        <f aca="false">VLOOKUP($A65,Curves_Table,Escalation!$R$291)</f>
        <v>1.6755808839625</v>
      </c>
      <c r="E65" s="1606" t="n">
        <f aca="false">C65*D65</f>
        <v>16418.0719629176</v>
      </c>
      <c r="F65" s="1540" t="n">
        <f aca="false">'Plant Operations'!C65</f>
        <v>480</v>
      </c>
      <c r="G65" s="1606" t="n">
        <f aca="false">E65*F65/1000</f>
        <v>7880.67454220046</v>
      </c>
      <c r="H65" s="1576" t="n">
        <f aca="false">IF(Assm!$L$74=0,VLOOKUP($A65,Curves_Table,Escalation!$D$291),VLOOKUP($A65,Curves_Table,Escalation!$E$291))</f>
        <v>2.18007886528392</v>
      </c>
      <c r="I65" s="394" t="n">
        <f aca="false">G65/H65</f>
        <v>3614.85754836402</v>
      </c>
      <c r="J65" s="1579" t="str">
        <f aca="false">IF(MONTH($A65)=12,SUM(I54:I65)," ")</f>
        <v> </v>
      </c>
      <c r="L65" s="1607" t="n">
        <f aca="false">IF($A65&gt;Endyr,0,VLOOKUP($A65,Tariff_Table,Tariff!$J$33))</f>
        <v>0.19</v>
      </c>
      <c r="M65" s="1576" t="n">
        <f aca="false">D65</f>
        <v>1.6755808839625</v>
      </c>
      <c r="N65" s="1608" t="n">
        <f aca="false">L65*M65</f>
        <v>0.318360367952876</v>
      </c>
      <c r="O65" s="397" t="n">
        <f aca="false">'Plant Operations'!$I65+'Plant Operations'!$M65</f>
        <v>289336.32</v>
      </c>
      <c r="P65" s="1606" t="n">
        <f aca="false">N65*O65</f>
        <v>92113.217297331</v>
      </c>
      <c r="Q65" s="1565" t="n">
        <f aca="false">$H65</f>
        <v>2.18007886528392</v>
      </c>
      <c r="R65" s="1566" t="n">
        <f aca="false">P65/Q65</f>
        <v>42252.2408542935</v>
      </c>
      <c r="S65" s="1567" t="str">
        <f aca="false">IF(MONTH($A65)=12,SUM(R54:R65)," ")</f>
        <v> </v>
      </c>
    </row>
    <row r="66" customFormat="false" ht="12.75" hidden="false" customHeight="false" outlineLevel="0" collapsed="false">
      <c r="A66" s="1538" t="n">
        <f aca="false">'Plant Operations'!A66</f>
        <v>37895</v>
      </c>
      <c r="C66" s="1595" t="n">
        <f aca="false">IF($A66&gt;Endyr,0,VLOOKUP($A66,Tariff_Table,Tariff!$D$33))</f>
        <v>9798.43594544435</v>
      </c>
      <c r="D66" s="1565" t="n">
        <f aca="false">VLOOKUP($A66,Curves_Table,Escalation!$R$291)</f>
        <v>1.6755808839625</v>
      </c>
      <c r="E66" s="1606" t="n">
        <f aca="false">C66*D66</f>
        <v>16418.0719629176</v>
      </c>
      <c r="F66" s="1540" t="n">
        <f aca="false">'Plant Operations'!C66</f>
        <v>480</v>
      </c>
      <c r="G66" s="1606" t="n">
        <f aca="false">E66*F66/1000</f>
        <v>7880.67454220046</v>
      </c>
      <c r="H66" s="1576" t="n">
        <f aca="false">IF(Assm!$L$74=0,VLOOKUP($A66,Curves_Table,Escalation!$D$291),VLOOKUP($A66,Curves_Table,Escalation!$E$291))</f>
        <v>2.18630833344516</v>
      </c>
      <c r="I66" s="394" t="n">
        <f aca="false">G66/H66</f>
        <v>3604.55770196978</v>
      </c>
      <c r="J66" s="1579" t="str">
        <f aca="false">IF(MONTH($A66)=12,SUM(I55:I66)," ")</f>
        <v> </v>
      </c>
      <c r="L66" s="1607" t="n">
        <f aca="false">IF($A66&gt;Endyr,0,VLOOKUP($A66,Tariff_Table,Tariff!$J$33))</f>
        <v>0.19</v>
      </c>
      <c r="M66" s="1576" t="n">
        <f aca="false">D66</f>
        <v>1.6755808839625</v>
      </c>
      <c r="N66" s="1608" t="n">
        <f aca="false">L66*M66</f>
        <v>0.318360367952876</v>
      </c>
      <c r="O66" s="397" t="n">
        <f aca="false">'Plant Operations'!$I66+'Plant Operations'!$M66</f>
        <v>298980.864</v>
      </c>
      <c r="P66" s="1606" t="n">
        <f aca="false">N66*O66</f>
        <v>95183.6578739087</v>
      </c>
      <c r="Q66" s="1565" t="n">
        <f aca="false">$H66</f>
        <v>2.18630833344516</v>
      </c>
      <c r="R66" s="1566" t="n">
        <f aca="false">P66/Q66</f>
        <v>43536.2461999673</v>
      </c>
      <c r="S66" s="1567" t="str">
        <f aca="false">IF(MONTH($A66)=12,SUM(R55:R66)," ")</f>
        <v> </v>
      </c>
    </row>
    <row r="67" customFormat="false" ht="12.75" hidden="false" customHeight="false" outlineLevel="0" collapsed="false">
      <c r="A67" s="1538" t="n">
        <f aca="false">'Plant Operations'!A67</f>
        <v>37926</v>
      </c>
      <c r="C67" s="1595" t="n">
        <f aca="false">IF($A67&gt;Endyr,0,VLOOKUP($A67,Tariff_Table,Tariff!$D$33))</f>
        <v>9798.43594544435</v>
      </c>
      <c r="D67" s="1565" t="n">
        <f aca="false">VLOOKUP($A67,Curves_Table,Escalation!$R$291)</f>
        <v>1.6755808839625</v>
      </c>
      <c r="E67" s="1606" t="n">
        <f aca="false">C67*D67</f>
        <v>16418.0719629176</v>
      </c>
      <c r="F67" s="1540" t="n">
        <f aca="false">'Plant Operations'!C67</f>
        <v>480</v>
      </c>
      <c r="G67" s="1606" t="n">
        <f aca="false">E67*F67/1000</f>
        <v>7880.67454220046</v>
      </c>
      <c r="H67" s="1576" t="n">
        <f aca="false">IF(Assm!$L$74=0,VLOOKUP($A67,Curves_Table,Escalation!$D$291),VLOOKUP($A67,Curves_Table,Escalation!$E$291))</f>
        <v>2.19255560200536</v>
      </c>
      <c r="I67" s="394" t="n">
        <f aca="false">G67/H67</f>
        <v>3594.28720302126</v>
      </c>
      <c r="J67" s="1579" t="str">
        <f aca="false">IF(MONTH($A67)=12,SUM(I56:I67)," ")</f>
        <v> </v>
      </c>
      <c r="L67" s="1607" t="n">
        <f aca="false">IF($A67&gt;Endyr,0,VLOOKUP($A67,Tariff_Table,Tariff!$J$33))</f>
        <v>0.19</v>
      </c>
      <c r="M67" s="1576" t="n">
        <f aca="false">D67</f>
        <v>1.6755808839625</v>
      </c>
      <c r="N67" s="1608" t="n">
        <f aca="false">L67*M67</f>
        <v>0.318360367952876</v>
      </c>
      <c r="O67" s="397" t="n">
        <f aca="false">'Plant Operations'!$I67+'Plant Operations'!$M67</f>
        <v>289336.32</v>
      </c>
      <c r="P67" s="1606" t="n">
        <f aca="false">N67*O67</f>
        <v>92113.217297331</v>
      </c>
      <c r="Q67" s="1565" t="n">
        <f aca="false">$H67</f>
        <v>2.19255560200536</v>
      </c>
      <c r="R67" s="1566" t="n">
        <f aca="false">P67/Q67</f>
        <v>42011.8044956681</v>
      </c>
      <c r="S67" s="1567" t="str">
        <f aca="false">IF(MONTH($A67)=12,SUM(R56:R67)," ")</f>
        <v> </v>
      </c>
    </row>
    <row r="68" customFormat="false" ht="12.75" hidden="false" customHeight="false" outlineLevel="0" collapsed="false">
      <c r="A68" s="1538" t="n">
        <f aca="false">'Plant Operations'!A68</f>
        <v>37956</v>
      </c>
      <c r="C68" s="1595" t="n">
        <f aca="false">IF($A68&gt;Endyr,0,VLOOKUP($A68,Tariff_Table,Tariff!$D$33))</f>
        <v>9798.43594544435</v>
      </c>
      <c r="D68" s="1565" t="n">
        <f aca="false">VLOOKUP($A68,Curves_Table,Escalation!$R$291)</f>
        <v>1.6755808839625</v>
      </c>
      <c r="E68" s="1606" t="n">
        <f aca="false">C68*D68</f>
        <v>16418.0719629176</v>
      </c>
      <c r="F68" s="1540" t="n">
        <f aca="false">'Plant Operations'!C68</f>
        <v>480</v>
      </c>
      <c r="G68" s="1606" t="n">
        <f aca="false">E68*F68/1000</f>
        <v>7880.67454220046</v>
      </c>
      <c r="H68" s="1576" t="n">
        <f aca="false">IF(Assm!$L$74=0,VLOOKUP($A68,Curves_Table,Escalation!$D$291),VLOOKUP($A68,Curves_Table,Escalation!$E$291))</f>
        <v>2.19882072182829</v>
      </c>
      <c r="I68" s="394" t="n">
        <f aca="false">G68/H68</f>
        <v>3584.04596789855</v>
      </c>
      <c r="J68" s="1579" t="n">
        <f aca="false">IF(MONTH($A68)=12,SUM(I57:I68)," ")</f>
        <v>41699.5422878694</v>
      </c>
      <c r="L68" s="1607" t="n">
        <f aca="false">IF($A68&gt;Endyr,0,VLOOKUP($A68,Tariff_Table,Tariff!$J$33))</f>
        <v>0.19</v>
      </c>
      <c r="M68" s="1576" t="n">
        <f aca="false">D68</f>
        <v>1.6755808839625</v>
      </c>
      <c r="N68" s="1608" t="n">
        <f aca="false">L68*M68</f>
        <v>0.318360367952876</v>
      </c>
      <c r="O68" s="397" t="n">
        <f aca="false">'Plant Operations'!$I68+'Plant Operations'!$M68</f>
        <v>298980.864</v>
      </c>
      <c r="P68" s="1606" t="n">
        <f aca="false">N68*O68</f>
        <v>95183.6578739087</v>
      </c>
      <c r="Q68" s="1565" t="n">
        <f aca="false">$H68</f>
        <v>2.19882072182829</v>
      </c>
      <c r="R68" s="1566" t="n">
        <f aca="false">P68/Q68</f>
        <v>43288.503209468</v>
      </c>
      <c r="S68" s="1567" t="n">
        <f aca="false">IF(MONTH($A68)=12,SUM(R57:R68)," ")</f>
        <v>504491.971966683</v>
      </c>
    </row>
    <row r="69" customFormat="false" ht="12.75" hidden="false" customHeight="false" outlineLevel="0" collapsed="false">
      <c r="A69" s="1538" t="n">
        <f aca="false">'Plant Operations'!A69</f>
        <v>37987</v>
      </c>
      <c r="C69" s="1595" t="n">
        <f aca="false">IF($A69&gt;Endyr,0,VLOOKUP($A69,Tariff_Table,Tariff!$D$33))</f>
        <v>9798.43594544435</v>
      </c>
      <c r="D69" s="1565" t="n">
        <f aca="false">VLOOKUP($A69,Curves_Table,Escalation!$R$291)</f>
        <v>1.6755808839625</v>
      </c>
      <c r="E69" s="1606" t="n">
        <f aca="false">C69*D69</f>
        <v>16418.0719629176</v>
      </c>
      <c r="F69" s="1540" t="n">
        <f aca="false">'Plant Operations'!C69</f>
        <v>480</v>
      </c>
      <c r="G69" s="1606" t="n">
        <f aca="false">E69*F69/1000</f>
        <v>7880.67454220046</v>
      </c>
      <c r="H69" s="1576" t="n">
        <f aca="false">IF(Assm!$L$74=0,VLOOKUP($A69,Curves_Table,Escalation!$D$291),VLOOKUP($A69,Curves_Table,Escalation!$E$291))</f>
        <v>2.20450306493358</v>
      </c>
      <c r="I69" s="394" t="n">
        <f aca="false">G69/H69</f>
        <v>3574.80770499082</v>
      </c>
      <c r="J69" s="1579" t="str">
        <f aca="false">IF(MONTH($A69)=12,SUM(I58:I69)," ")</f>
        <v> </v>
      </c>
      <c r="L69" s="1607" t="n">
        <f aca="false">IF($A69&gt;Endyr,0,VLOOKUP($A69,Tariff_Table,Tariff!$J$33))</f>
        <v>0.19</v>
      </c>
      <c r="M69" s="1576" t="n">
        <f aca="false">D69</f>
        <v>1.6755808839625</v>
      </c>
      <c r="N69" s="1608" t="n">
        <f aca="false">L69*M69</f>
        <v>0.318360367952876</v>
      </c>
      <c r="O69" s="397" t="n">
        <f aca="false">'Plant Operations'!$I69+'Plant Operations'!$M69</f>
        <v>298980.864</v>
      </c>
      <c r="P69" s="1606" t="n">
        <f aca="false">N69*O69</f>
        <v>95183.6578739087</v>
      </c>
      <c r="Q69" s="1565" t="n">
        <f aca="false">$H69</f>
        <v>2.20450306493358</v>
      </c>
      <c r="R69" s="1566" t="n">
        <f aca="false">P69/Q69</f>
        <v>43176.9224493123</v>
      </c>
      <c r="S69" s="1567" t="str">
        <f aca="false">IF(MONTH($A69)=12,SUM(R58:R69)," ")</f>
        <v> </v>
      </c>
    </row>
    <row r="70" customFormat="false" ht="12.75" hidden="false" customHeight="false" outlineLevel="0" collapsed="false">
      <c r="A70" s="1538" t="n">
        <f aca="false">'Plant Operations'!A70</f>
        <v>38018</v>
      </c>
      <c r="C70" s="1595" t="n">
        <f aca="false">IF($A70&gt;Endyr,0,VLOOKUP($A70,Tariff_Table,Tariff!$D$33))</f>
        <v>9798.43594544435</v>
      </c>
      <c r="D70" s="1565" t="n">
        <f aca="false">VLOOKUP($A70,Curves_Table,Escalation!$R$291)</f>
        <v>1.6755808839625</v>
      </c>
      <c r="E70" s="1606" t="n">
        <f aca="false">C70*D70</f>
        <v>16418.0719629176</v>
      </c>
      <c r="F70" s="1540" t="n">
        <f aca="false">'Plant Operations'!C70</f>
        <v>480</v>
      </c>
      <c r="G70" s="1606" t="n">
        <f aca="false">E70*F70/1000</f>
        <v>7880.67454220046</v>
      </c>
      <c r="H70" s="1576" t="n">
        <f aca="false">IF(Assm!$L$74=0,VLOOKUP($A70,Curves_Table,Escalation!$D$291),VLOOKUP($A70,Curves_Table,Escalation!$E$291))</f>
        <v>2.21020009273911</v>
      </c>
      <c r="I70" s="394" t="n">
        <f aca="false">G70/H70</f>
        <v>3565.59325469664</v>
      </c>
      <c r="J70" s="1579" t="str">
        <f aca="false">IF(MONTH($A70)=12,SUM(I59:I70)," ")</f>
        <v> </v>
      </c>
      <c r="L70" s="1607" t="n">
        <f aca="false">IF($A70&gt;Endyr,0,VLOOKUP($A70,Tariff_Table,Tariff!$J$33))</f>
        <v>0.19</v>
      </c>
      <c r="M70" s="1576" t="n">
        <f aca="false">D70</f>
        <v>1.6755808839625</v>
      </c>
      <c r="N70" s="1608" t="n">
        <f aca="false">L70*M70</f>
        <v>0.318360367952876</v>
      </c>
      <c r="O70" s="397" t="n">
        <f aca="false">'Plant Operations'!$I70+'Plant Operations'!$M70</f>
        <v>279691.776</v>
      </c>
      <c r="P70" s="1606" t="n">
        <f aca="false">N70*O70</f>
        <v>89042.7767207533</v>
      </c>
      <c r="Q70" s="1565" t="n">
        <f aca="false">$H70</f>
        <v>2.21020009273911</v>
      </c>
      <c r="R70" s="1566" t="n">
        <f aca="false">P70/Q70</f>
        <v>40287.2016037255</v>
      </c>
      <c r="S70" s="1567" t="str">
        <f aca="false">IF(MONTH($A70)=12,SUM(R59:R70)," ")</f>
        <v> </v>
      </c>
    </row>
    <row r="71" customFormat="false" ht="12.75" hidden="false" customHeight="false" outlineLevel="0" collapsed="false">
      <c r="A71" s="1538" t="n">
        <f aca="false">'Plant Operations'!A71</f>
        <v>38047</v>
      </c>
      <c r="C71" s="1595" t="n">
        <f aca="false">IF($A71&gt;Endyr,0,VLOOKUP($A71,Tariff_Table,Tariff!$D$33))</f>
        <v>9798.43594544435</v>
      </c>
      <c r="D71" s="1565" t="n">
        <f aca="false">VLOOKUP($A71,Curves_Table,Escalation!$R$291)</f>
        <v>1.6755808839625</v>
      </c>
      <c r="E71" s="1606" t="n">
        <f aca="false">C71*D71</f>
        <v>16418.0719629176</v>
      </c>
      <c r="F71" s="1540" t="n">
        <f aca="false">'Plant Operations'!C71</f>
        <v>480</v>
      </c>
      <c r="G71" s="1606" t="n">
        <f aca="false">E71*F71/1000</f>
        <v>7880.67454220046</v>
      </c>
      <c r="H71" s="1576" t="n">
        <f aca="false">IF(Assm!$L$74=0,VLOOKUP($A71,Curves_Table,Escalation!$D$291),VLOOKUP($A71,Curves_Table,Escalation!$E$291))</f>
        <v>2.21591184319408</v>
      </c>
      <c r="I71" s="394" t="n">
        <f aca="false">G71/H71</f>
        <v>3556.40255563643</v>
      </c>
      <c r="J71" s="1579" t="str">
        <f aca="false">IF(MONTH($A71)=12,SUM(I60:I71)," ")</f>
        <v> </v>
      </c>
      <c r="L71" s="1607" t="n">
        <f aca="false">IF($A71&gt;Endyr,0,VLOOKUP($A71,Tariff_Table,Tariff!$J$33))</f>
        <v>0.19</v>
      </c>
      <c r="M71" s="1576" t="n">
        <f aca="false">D71</f>
        <v>1.6755808839625</v>
      </c>
      <c r="N71" s="1608" t="n">
        <f aca="false">L71*M71</f>
        <v>0.318360367952876</v>
      </c>
      <c r="O71" s="397" t="n">
        <f aca="false">'Plant Operations'!$I71+'Plant Operations'!$M71</f>
        <v>298980.864</v>
      </c>
      <c r="P71" s="1606" t="n">
        <f aca="false">N71*O71</f>
        <v>95183.6578739087</v>
      </c>
      <c r="Q71" s="1565" t="n">
        <f aca="false">$H71</f>
        <v>2.21591184319408</v>
      </c>
      <c r="R71" s="1566" t="n">
        <f aca="false">P71/Q71</f>
        <v>42954.6230217843</v>
      </c>
      <c r="S71" s="1567" t="str">
        <f aca="false">IF(MONTH($A71)=12,SUM(R60:R71)," ")</f>
        <v> </v>
      </c>
    </row>
    <row r="72" customFormat="false" ht="12.75" hidden="false" customHeight="false" outlineLevel="0" collapsed="false">
      <c r="A72" s="1538" t="n">
        <f aca="false">'Plant Operations'!A72</f>
        <v>38078</v>
      </c>
      <c r="C72" s="1595" t="n">
        <f aca="false">IF($A72&gt;Endyr,0,VLOOKUP($A72,Tariff_Table,Tariff!$D$33))</f>
        <v>9798.43594544435</v>
      </c>
      <c r="D72" s="1565" t="n">
        <f aca="false">VLOOKUP($A72,Curves_Table,Escalation!$R$291)</f>
        <v>1.6755808839625</v>
      </c>
      <c r="E72" s="1606" t="n">
        <f aca="false">C72*D72</f>
        <v>16418.0719629176</v>
      </c>
      <c r="F72" s="1540" t="n">
        <f aca="false">'Plant Operations'!C72</f>
        <v>480</v>
      </c>
      <c r="G72" s="1606" t="n">
        <f aca="false">E72*F72/1000</f>
        <v>7880.67454220046</v>
      </c>
      <c r="H72" s="1576" t="n">
        <f aca="false">IF(Assm!$L$74=0,VLOOKUP($A72,Curves_Table,Escalation!$D$291),VLOOKUP($A72,Curves_Table,Escalation!$E$291))</f>
        <v>2.22163835434577</v>
      </c>
      <c r="I72" s="394" t="n">
        <f aca="false">G72/H72</f>
        <v>3547.23554658885</v>
      </c>
      <c r="J72" s="1579" t="str">
        <f aca="false">IF(MONTH($A72)=12,SUM(I61:I72)," ")</f>
        <v> </v>
      </c>
      <c r="L72" s="1607" t="n">
        <f aca="false">IF($A72&gt;Endyr,0,VLOOKUP($A72,Tariff_Table,Tariff!$J$33))</f>
        <v>0.19</v>
      </c>
      <c r="M72" s="1576" t="n">
        <f aca="false">D72</f>
        <v>1.6755808839625</v>
      </c>
      <c r="N72" s="1608" t="n">
        <f aca="false">L72*M72</f>
        <v>0.318360367952876</v>
      </c>
      <c r="O72" s="397" t="n">
        <f aca="false">'Plant Operations'!$I72+'Plant Operations'!$M72</f>
        <v>289336.32</v>
      </c>
      <c r="P72" s="1606" t="n">
        <f aca="false">N72*O72</f>
        <v>92113.217297331</v>
      </c>
      <c r="Q72" s="1565" t="n">
        <f aca="false">$H72</f>
        <v>2.22163835434577</v>
      </c>
      <c r="R72" s="1566" t="n">
        <f aca="false">P72/Q72</f>
        <v>41461.8414906043</v>
      </c>
      <c r="S72" s="1567" t="str">
        <f aca="false">IF(MONTH($A72)=12,SUM(R61:R72)," ")</f>
        <v> </v>
      </c>
    </row>
    <row r="73" customFormat="false" ht="12.75" hidden="false" customHeight="false" outlineLevel="0" collapsed="false">
      <c r="A73" s="1538" t="n">
        <f aca="false">'Plant Operations'!A73</f>
        <v>38108</v>
      </c>
      <c r="C73" s="1595" t="n">
        <f aca="false">IF($A73&gt;Endyr,0,VLOOKUP($A73,Tariff_Table,Tariff!$D$33))</f>
        <v>9794.89340101523</v>
      </c>
      <c r="D73" s="1565" t="n">
        <f aca="false">VLOOKUP($A73,Curves_Table,Escalation!$R$291)</f>
        <v>1.8096273546795</v>
      </c>
      <c r="E73" s="1606" t="n">
        <f aca="false">C73*D73</f>
        <v>17725.1070346469</v>
      </c>
      <c r="F73" s="1540" t="n">
        <f aca="false">'Plant Operations'!C73</f>
        <v>480</v>
      </c>
      <c r="G73" s="1606" t="n">
        <f aca="false">E73*F73/1000</f>
        <v>8508.05137663052</v>
      </c>
      <c r="H73" s="1576" t="n">
        <f aca="false">IF(Assm!$L$74=0,VLOOKUP($A73,Curves_Table,Escalation!$D$291),VLOOKUP($A73,Curves_Table,Escalation!$E$291))</f>
        <v>2.22737966433978</v>
      </c>
      <c r="I73" s="394" t="n">
        <f aca="false">G73/H73</f>
        <v>3819.75803804082</v>
      </c>
      <c r="J73" s="1579" t="str">
        <f aca="false">IF(MONTH($A73)=12,SUM(I62:I73)," ")</f>
        <v> </v>
      </c>
      <c r="L73" s="1607" t="n">
        <f aca="false">IF($A73&gt;Endyr,0,VLOOKUP($A73,Tariff_Table,Tariff!$J$33))</f>
        <v>0.19</v>
      </c>
      <c r="M73" s="1576" t="n">
        <f aca="false">D73</f>
        <v>1.8096273546795</v>
      </c>
      <c r="N73" s="1608" t="n">
        <f aca="false">L73*M73</f>
        <v>0.343829197389106</v>
      </c>
      <c r="O73" s="397" t="n">
        <f aca="false">'Plant Operations'!$I73+'Plant Operations'!$M73</f>
        <v>298980.864</v>
      </c>
      <c r="P73" s="1606" t="n">
        <f aca="false">N73*O73</f>
        <v>102798.350503821</v>
      </c>
      <c r="Q73" s="1565" t="n">
        <f aca="false">$H73</f>
        <v>2.22737966433978</v>
      </c>
      <c r="R73" s="1566" t="n">
        <f aca="false">P73/Q73</f>
        <v>46152.145568004</v>
      </c>
      <c r="S73" s="1567" t="str">
        <f aca="false">IF(MONTH($A73)=12,SUM(R62:R73)," ")</f>
        <v> </v>
      </c>
    </row>
    <row r="74" customFormat="false" ht="12.75" hidden="false" customHeight="false" outlineLevel="0" collapsed="false">
      <c r="A74" s="1538" t="n">
        <f aca="false">'Plant Operations'!A74</f>
        <v>38139</v>
      </c>
      <c r="C74" s="1595" t="n">
        <f aca="false">IF($A74&gt;Endyr,0,VLOOKUP($A74,Tariff_Table,Tariff!$D$33))</f>
        <v>9794.89340101523</v>
      </c>
      <c r="D74" s="1565" t="n">
        <f aca="false">VLOOKUP($A74,Curves_Table,Escalation!$R$291)</f>
        <v>1.8096273546795</v>
      </c>
      <c r="E74" s="1606" t="n">
        <f aca="false">C74*D74</f>
        <v>17725.1070346469</v>
      </c>
      <c r="F74" s="1540" t="n">
        <f aca="false">'Plant Operations'!C74</f>
        <v>480</v>
      </c>
      <c r="G74" s="1606" t="n">
        <f aca="false">E74*F74/1000</f>
        <v>8508.05137663052</v>
      </c>
      <c r="H74" s="1576" t="n">
        <f aca="false">IF(Assm!$L$74=0,VLOOKUP($A74,Curves_Table,Escalation!$D$291),VLOOKUP($A74,Curves_Table,Escalation!$E$291))</f>
        <v>2.23313581142029</v>
      </c>
      <c r="I74" s="394" t="n">
        <f aca="false">G74/H74</f>
        <v>3809.91220198978</v>
      </c>
      <c r="J74" s="1579" t="str">
        <f aca="false">IF(MONTH($A74)=12,SUM(I63:I74)," ")</f>
        <v> </v>
      </c>
      <c r="L74" s="1607" t="n">
        <f aca="false">IF($A74&gt;Endyr,0,VLOOKUP($A74,Tariff_Table,Tariff!$J$33))</f>
        <v>0.19</v>
      </c>
      <c r="M74" s="1576" t="n">
        <f aca="false">D74</f>
        <v>1.8096273546795</v>
      </c>
      <c r="N74" s="1608" t="n">
        <f aca="false">L74*M74</f>
        <v>0.343829197389106</v>
      </c>
      <c r="O74" s="397" t="n">
        <f aca="false">'Plant Operations'!$I74+'Plant Operations'!$M74</f>
        <v>289336.32</v>
      </c>
      <c r="P74" s="1606" t="n">
        <f aca="false">N74*O74</f>
        <v>99482.2746811175</v>
      </c>
      <c r="Q74" s="1565" t="n">
        <f aca="false">$H74</f>
        <v>2.23313581142029</v>
      </c>
      <c r="R74" s="1566" t="n">
        <f aca="false">P74/Q74</f>
        <v>44548.2420604978</v>
      </c>
      <c r="S74" s="1567" t="str">
        <f aca="false">IF(MONTH($A74)=12,SUM(R63:R74)," ")</f>
        <v> </v>
      </c>
    </row>
    <row r="75" customFormat="false" ht="12.75" hidden="false" customHeight="false" outlineLevel="0" collapsed="false">
      <c r="A75" s="1538" t="n">
        <f aca="false">'Plant Operations'!A75</f>
        <v>38169</v>
      </c>
      <c r="C75" s="1595" t="n">
        <f aca="false">IF($A75&gt;Endyr,0,VLOOKUP($A75,Tariff_Table,Tariff!$D$33))</f>
        <v>9794.89340101523</v>
      </c>
      <c r="D75" s="1565" t="n">
        <f aca="false">VLOOKUP($A75,Curves_Table,Escalation!$R$291)</f>
        <v>1.8096273546795</v>
      </c>
      <c r="E75" s="1606" t="n">
        <f aca="false">C75*D75</f>
        <v>17725.1070346469</v>
      </c>
      <c r="F75" s="1540" t="n">
        <f aca="false">'Plant Operations'!C75</f>
        <v>480</v>
      </c>
      <c r="G75" s="1606" t="n">
        <f aca="false">E75*F75/1000</f>
        <v>8508.05137663052</v>
      </c>
      <c r="H75" s="1576" t="n">
        <f aca="false">IF(Assm!$L$74=0,VLOOKUP($A75,Curves_Table,Escalation!$D$291),VLOOKUP($A75,Curves_Table,Escalation!$E$291))</f>
        <v>2.23890683393033</v>
      </c>
      <c r="I75" s="394" t="n">
        <f aca="false">G75/H75</f>
        <v>3800.09174463723</v>
      </c>
      <c r="J75" s="1579" t="str">
        <f aca="false">IF(MONTH($A75)=12,SUM(I64:I75)," ")</f>
        <v> </v>
      </c>
      <c r="L75" s="1607" t="n">
        <f aca="false">IF($A75&gt;Endyr,0,VLOOKUP($A75,Tariff_Table,Tariff!$J$33))</f>
        <v>0.19</v>
      </c>
      <c r="M75" s="1576" t="n">
        <f aca="false">D75</f>
        <v>1.8096273546795</v>
      </c>
      <c r="N75" s="1608" t="n">
        <f aca="false">L75*M75</f>
        <v>0.343829197389106</v>
      </c>
      <c r="O75" s="397" t="n">
        <f aca="false">'Plant Operations'!$I75+'Plant Operations'!$M75</f>
        <v>298980.864</v>
      </c>
      <c r="P75" s="1606" t="n">
        <f aca="false">N75*O75</f>
        <v>102798.350503821</v>
      </c>
      <c r="Q75" s="1565" t="n">
        <f aca="false">$H75</f>
        <v>2.23890683393033</v>
      </c>
      <c r="R75" s="1566" t="n">
        <f aca="false">P75/Q75</f>
        <v>45914.5279946116</v>
      </c>
      <c r="S75" s="1567" t="str">
        <f aca="false">IF(MONTH($A75)=12,SUM(R64:R75)," ")</f>
        <v> </v>
      </c>
    </row>
    <row r="76" customFormat="false" ht="12.75" hidden="false" customHeight="false" outlineLevel="0" collapsed="false">
      <c r="A76" s="1538" t="n">
        <f aca="false">'Plant Operations'!A76</f>
        <v>38200</v>
      </c>
      <c r="C76" s="1595" t="n">
        <f aca="false">IF($A76&gt;Endyr,0,VLOOKUP($A76,Tariff_Table,Tariff!$D$33))</f>
        <v>9794.89340101523</v>
      </c>
      <c r="D76" s="1565" t="n">
        <f aca="false">VLOOKUP($A76,Curves_Table,Escalation!$R$291)</f>
        <v>1.8096273546795</v>
      </c>
      <c r="E76" s="1606" t="n">
        <f aca="false">C76*D76</f>
        <v>17725.1070346469</v>
      </c>
      <c r="F76" s="1540" t="n">
        <f aca="false">'Plant Operations'!C76</f>
        <v>480</v>
      </c>
      <c r="G76" s="1606" t="n">
        <f aca="false">E76*F76/1000</f>
        <v>8508.05137663052</v>
      </c>
      <c r="H76" s="1576" t="n">
        <f aca="false">IF(Assm!$L$74=0,VLOOKUP($A76,Curves_Table,Escalation!$D$291),VLOOKUP($A76,Curves_Table,Escalation!$E$291))</f>
        <v>2.24469277031199</v>
      </c>
      <c r="I76" s="394" t="n">
        <f aca="false">G76/H76</f>
        <v>3790.29660056685</v>
      </c>
      <c r="J76" s="1579" t="str">
        <f aca="false">IF(MONTH($A76)=12,SUM(I65:I76)," ")</f>
        <v> </v>
      </c>
      <c r="L76" s="1607" t="n">
        <f aca="false">IF($A76&gt;Endyr,0,VLOOKUP($A76,Tariff_Table,Tariff!$J$33))</f>
        <v>0.19</v>
      </c>
      <c r="M76" s="1576" t="n">
        <f aca="false">D76</f>
        <v>1.8096273546795</v>
      </c>
      <c r="N76" s="1608" t="n">
        <f aca="false">L76*M76</f>
        <v>0.343829197389106</v>
      </c>
      <c r="O76" s="397" t="n">
        <f aca="false">'Plant Operations'!$I76+'Plant Operations'!$M76</f>
        <v>298980.864</v>
      </c>
      <c r="P76" s="1606" t="n">
        <f aca="false">N76*O76</f>
        <v>102798.350503821</v>
      </c>
      <c r="Q76" s="1565" t="n">
        <f aca="false">$H76</f>
        <v>2.24469277031199</v>
      </c>
      <c r="R76" s="1566" t="n">
        <f aca="false">P76/Q76</f>
        <v>45796.1783739043</v>
      </c>
      <c r="S76" s="1567" t="str">
        <f aca="false">IF(MONTH($A76)=12,SUM(R65:R76)," ")</f>
        <v> </v>
      </c>
    </row>
    <row r="77" customFormat="false" ht="12.75" hidden="false" customHeight="false" outlineLevel="0" collapsed="false">
      <c r="A77" s="1538" t="n">
        <f aca="false">'Plant Operations'!A77</f>
        <v>38231</v>
      </c>
      <c r="C77" s="1595" t="n">
        <f aca="false">IF($A77&gt;Endyr,0,VLOOKUP($A77,Tariff_Table,Tariff!$D$33))</f>
        <v>9794.89340101523</v>
      </c>
      <c r="D77" s="1565" t="n">
        <f aca="false">VLOOKUP($A77,Curves_Table,Escalation!$R$291)</f>
        <v>1.8096273546795</v>
      </c>
      <c r="E77" s="1606" t="n">
        <f aca="false">C77*D77</f>
        <v>17725.1070346469</v>
      </c>
      <c r="F77" s="1540" t="n">
        <f aca="false">'Plant Operations'!C77</f>
        <v>480</v>
      </c>
      <c r="G77" s="1606" t="n">
        <f aca="false">E77*F77/1000</f>
        <v>8508.05137663052</v>
      </c>
      <c r="H77" s="1576" t="n">
        <f aca="false">IF(Assm!$L$74=0,VLOOKUP($A77,Curves_Table,Escalation!$D$291),VLOOKUP($A77,Curves_Table,Escalation!$E$291))</f>
        <v>2.25049365910673</v>
      </c>
      <c r="I77" s="394" t="n">
        <f aca="false">G77/H77</f>
        <v>3780.52670453094</v>
      </c>
      <c r="J77" s="1579" t="str">
        <f aca="false">IF(MONTH($A77)=12,SUM(I66:I77)," ")</f>
        <v> </v>
      </c>
      <c r="L77" s="1607" t="n">
        <f aca="false">IF($A77&gt;Endyr,0,VLOOKUP($A77,Tariff_Table,Tariff!$J$33))</f>
        <v>0.19</v>
      </c>
      <c r="M77" s="1576" t="n">
        <f aca="false">D77</f>
        <v>1.8096273546795</v>
      </c>
      <c r="N77" s="1608" t="n">
        <f aca="false">L77*M77</f>
        <v>0.343829197389106</v>
      </c>
      <c r="O77" s="397" t="n">
        <f aca="false">'Plant Operations'!$I77+'Plant Operations'!$M77</f>
        <v>289336.32</v>
      </c>
      <c r="P77" s="1606" t="n">
        <f aca="false">N77*O77</f>
        <v>99482.2746811175</v>
      </c>
      <c r="Q77" s="1565" t="n">
        <f aca="false">$H77</f>
        <v>2.25049365910673</v>
      </c>
      <c r="R77" s="1566" t="n">
        <f aca="false">P77/Q77</f>
        <v>44204.6456245535</v>
      </c>
      <c r="S77" s="1567" t="str">
        <f aca="false">IF(MONTH($A77)=12,SUM(R66:R77)," ")</f>
        <v> </v>
      </c>
    </row>
    <row r="78" customFormat="false" ht="12.75" hidden="false" customHeight="false" outlineLevel="0" collapsed="false">
      <c r="A78" s="1538" t="n">
        <f aca="false">'Plant Operations'!A78</f>
        <v>38261</v>
      </c>
      <c r="C78" s="1595" t="n">
        <f aca="false">IF($A78&gt;Endyr,0,VLOOKUP($A78,Tariff_Table,Tariff!$D$33))</f>
        <v>9794.89340101523</v>
      </c>
      <c r="D78" s="1565" t="n">
        <f aca="false">VLOOKUP($A78,Curves_Table,Escalation!$R$291)</f>
        <v>1.8096273546795</v>
      </c>
      <c r="E78" s="1606" t="n">
        <f aca="false">C78*D78</f>
        <v>17725.1070346469</v>
      </c>
      <c r="F78" s="1540" t="n">
        <f aca="false">'Plant Operations'!C78</f>
        <v>480</v>
      </c>
      <c r="G78" s="1606" t="n">
        <f aca="false">E78*F78/1000</f>
        <v>8508.05137663052</v>
      </c>
      <c r="H78" s="1576" t="n">
        <f aca="false">IF(Assm!$L$74=0,VLOOKUP($A78,Curves_Table,Escalation!$D$291),VLOOKUP($A78,Curves_Table,Escalation!$E$291))</f>
        <v>2.25630953895558</v>
      </c>
      <c r="I78" s="394" t="n">
        <f aca="false">G78/H78</f>
        <v>3770.78199144998</v>
      </c>
      <c r="J78" s="1579" t="str">
        <f aca="false">IF(MONTH($A78)=12,SUM(I67:I78)," ")</f>
        <v> </v>
      </c>
      <c r="L78" s="1607" t="n">
        <f aca="false">IF($A78&gt;Endyr,0,VLOOKUP($A78,Tariff_Table,Tariff!$J$33))</f>
        <v>0.19</v>
      </c>
      <c r="M78" s="1576" t="n">
        <f aca="false">D78</f>
        <v>1.8096273546795</v>
      </c>
      <c r="N78" s="1608" t="n">
        <f aca="false">L78*M78</f>
        <v>0.343829197389106</v>
      </c>
      <c r="O78" s="397" t="n">
        <f aca="false">'Plant Operations'!$I78+'Plant Operations'!$M78</f>
        <v>298980.864</v>
      </c>
      <c r="P78" s="1606" t="n">
        <f aca="false">N78*O78</f>
        <v>102798.350503821</v>
      </c>
      <c r="Q78" s="1565" t="n">
        <f aca="false">$H78</f>
        <v>2.25630953895558</v>
      </c>
      <c r="R78" s="1566" t="n">
        <f aca="false">P78/Q78</f>
        <v>45560.3935226925</v>
      </c>
      <c r="S78" s="1567" t="str">
        <f aca="false">IF(MONTH($A78)=12,SUM(R67:R78)," ")</f>
        <v> </v>
      </c>
    </row>
    <row r="79" customFormat="false" ht="12.75" hidden="false" customHeight="false" outlineLevel="0" collapsed="false">
      <c r="A79" s="1538" t="n">
        <f aca="false">'Plant Operations'!A79</f>
        <v>38292</v>
      </c>
      <c r="C79" s="1595" t="n">
        <f aca="false">IF($A79&gt;Endyr,0,VLOOKUP($A79,Tariff_Table,Tariff!$D$33))</f>
        <v>9794.89340101523</v>
      </c>
      <c r="D79" s="1565" t="n">
        <f aca="false">VLOOKUP($A79,Curves_Table,Escalation!$R$291)</f>
        <v>1.8096273546795</v>
      </c>
      <c r="E79" s="1606" t="n">
        <f aca="false">C79*D79</f>
        <v>17725.1070346469</v>
      </c>
      <c r="F79" s="1540" t="n">
        <f aca="false">'Plant Operations'!C79</f>
        <v>480</v>
      </c>
      <c r="G79" s="1606" t="n">
        <f aca="false">E79*F79/1000</f>
        <v>8508.05137663052</v>
      </c>
      <c r="H79" s="1576" t="n">
        <f aca="false">IF(Assm!$L$74=0,VLOOKUP($A79,Curves_Table,Escalation!$D$291),VLOOKUP($A79,Curves_Table,Escalation!$E$291))</f>
        <v>2.26214044859947</v>
      </c>
      <c r="I79" s="394" t="n">
        <f aca="false">G79/H79</f>
        <v>3761.06239641221</v>
      </c>
      <c r="J79" s="1579" t="str">
        <f aca="false">IF(MONTH($A79)=12,SUM(I68:I79)," ")</f>
        <v> </v>
      </c>
      <c r="L79" s="1607" t="n">
        <f aca="false">IF($A79&gt;Endyr,0,VLOOKUP($A79,Tariff_Table,Tariff!$J$33))</f>
        <v>0.19</v>
      </c>
      <c r="M79" s="1576" t="n">
        <f aca="false">D79</f>
        <v>1.8096273546795</v>
      </c>
      <c r="N79" s="1608" t="n">
        <f aca="false">L79*M79</f>
        <v>0.343829197389106</v>
      </c>
      <c r="O79" s="397" t="n">
        <f aca="false">'Plant Operations'!$I79+'Plant Operations'!$M79</f>
        <v>289336.32</v>
      </c>
      <c r="P79" s="1606" t="n">
        <f aca="false">N79*O79</f>
        <v>99482.2746811175</v>
      </c>
      <c r="Q79" s="1565" t="n">
        <f aca="false">$H79</f>
        <v>2.26214044859947</v>
      </c>
      <c r="R79" s="1566" t="n">
        <f aca="false">P79/Q79</f>
        <v>43977.054891843</v>
      </c>
      <c r="S79" s="1567" t="str">
        <f aca="false">IF(MONTH($A79)=12,SUM(R68:R79)," ")</f>
        <v> </v>
      </c>
    </row>
    <row r="80" customFormat="false" ht="12.75" hidden="false" customHeight="false" outlineLevel="0" collapsed="false">
      <c r="A80" s="1538" t="n">
        <f aca="false">'Plant Operations'!A80</f>
        <v>38322</v>
      </c>
      <c r="C80" s="1595" t="n">
        <f aca="false">IF($A80&gt;Endyr,0,VLOOKUP($A80,Tariff_Table,Tariff!$D$33))</f>
        <v>9794.89340101523</v>
      </c>
      <c r="D80" s="1565" t="n">
        <f aca="false">VLOOKUP($A80,Curves_Table,Escalation!$R$291)</f>
        <v>1.8096273546795</v>
      </c>
      <c r="E80" s="1606" t="n">
        <f aca="false">C80*D80</f>
        <v>17725.1070346469</v>
      </c>
      <c r="F80" s="1540" t="n">
        <f aca="false">'Plant Operations'!C80</f>
        <v>480</v>
      </c>
      <c r="G80" s="1606" t="n">
        <f aca="false">E80*F80/1000</f>
        <v>8508.05137663052</v>
      </c>
      <c r="H80" s="1576" t="n">
        <f aca="false">IF(Assm!$L$74=0,VLOOKUP($A80,Curves_Table,Escalation!$D$291),VLOOKUP($A80,Curves_Table,Escalation!$E$291))</f>
        <v>2.26798642687942</v>
      </c>
      <c r="I80" s="394" t="n">
        <f aca="false">G80/H80</f>
        <v>3751.36785467317</v>
      </c>
      <c r="J80" s="1579" t="n">
        <f aca="false">IF(MONTH($A80)=12,SUM(I69:I80)," ")</f>
        <v>44527.8365942137</v>
      </c>
      <c r="L80" s="1607" t="n">
        <f aca="false">IF($A80&gt;Endyr,0,VLOOKUP($A80,Tariff_Table,Tariff!$J$33))</f>
        <v>0.19</v>
      </c>
      <c r="M80" s="1576" t="n">
        <f aca="false">D80</f>
        <v>1.8096273546795</v>
      </c>
      <c r="N80" s="1608" t="n">
        <f aca="false">L80*M80</f>
        <v>0.343829197389106</v>
      </c>
      <c r="O80" s="397" t="n">
        <f aca="false">'Plant Operations'!$I80+'Plant Operations'!$M80</f>
        <v>298980.864</v>
      </c>
      <c r="P80" s="1606" t="n">
        <f aca="false">N80*O80</f>
        <v>102798.350503821</v>
      </c>
      <c r="Q80" s="1565" t="n">
        <f aca="false">$H80</f>
        <v>2.26798642687942</v>
      </c>
      <c r="R80" s="1566" t="n">
        <f aca="false">P80/Q80</f>
        <v>45325.8226264009</v>
      </c>
      <c r="S80" s="1567" t="n">
        <f aca="false">IF(MONTH($A80)=12,SUM(R69:R80)," ")</f>
        <v>529359.599227934</v>
      </c>
    </row>
    <row r="81" customFormat="false" ht="12.75" hidden="false" customHeight="false" outlineLevel="0" collapsed="false">
      <c r="A81" s="1538" t="n">
        <f aca="false">'Plant Operations'!A81</f>
        <v>38353</v>
      </c>
      <c r="C81" s="1595" t="n">
        <f aca="false">IF($A81&gt;Endyr,0,VLOOKUP($A81,Tariff_Table,Tariff!$D$33))</f>
        <v>9794.89340101523</v>
      </c>
      <c r="D81" s="1565" t="n">
        <f aca="false">VLOOKUP($A81,Curves_Table,Escalation!$R$291)</f>
        <v>1.8096273546795</v>
      </c>
      <c r="E81" s="1606" t="n">
        <f aca="false">C81*D81</f>
        <v>17725.1070346469</v>
      </c>
      <c r="F81" s="1540" t="n">
        <f aca="false">'Plant Operations'!C81</f>
        <v>480</v>
      </c>
      <c r="G81" s="1606" t="n">
        <f aca="false">E81*F81/1000</f>
        <v>8508.05137663052</v>
      </c>
      <c r="H81" s="1576" t="n">
        <f aca="false">IF(Assm!$L$74=0,VLOOKUP($A81,Curves_Table,Escalation!$D$291),VLOOKUP($A81,Curves_Table,Escalation!$E$291))</f>
        <v>2.27329442304836</v>
      </c>
      <c r="I81" s="394" t="n">
        <f aca="false">G81/H81</f>
        <v>3742.60865216996</v>
      </c>
      <c r="J81" s="1579" t="str">
        <f aca="false">IF(MONTH($A81)=12,SUM(I70:I81)," ")</f>
        <v> </v>
      </c>
      <c r="L81" s="1607" t="n">
        <f aca="false">IF($A81&gt;Endyr,0,VLOOKUP($A81,Tariff_Table,Tariff!$J$33))</f>
        <v>0.19</v>
      </c>
      <c r="M81" s="1576" t="n">
        <f aca="false">D81</f>
        <v>1.8096273546795</v>
      </c>
      <c r="N81" s="1608" t="n">
        <f aca="false">L81*M81</f>
        <v>0.343829197389106</v>
      </c>
      <c r="O81" s="397" t="n">
        <f aca="false">'Plant Operations'!$I81+'Plant Operations'!$M81</f>
        <v>298980.864</v>
      </c>
      <c r="P81" s="1606" t="n">
        <f aca="false">N81*O81</f>
        <v>102798.350503821</v>
      </c>
      <c r="Q81" s="1565" t="n">
        <f aca="false">$H81</f>
        <v>2.27329442304836</v>
      </c>
      <c r="R81" s="1566" t="n">
        <f aca="false">P81/Q81</f>
        <v>45219.9897477312</v>
      </c>
      <c r="S81" s="1567" t="str">
        <f aca="false">IF(MONTH($A81)=12,SUM(R70:R81)," ")</f>
        <v> </v>
      </c>
    </row>
    <row r="82" customFormat="false" ht="12.75" hidden="false" customHeight="false" outlineLevel="0" collapsed="false">
      <c r="A82" s="1538" t="n">
        <f aca="false">'Plant Operations'!A82</f>
        <v>38384</v>
      </c>
      <c r="C82" s="1595" t="n">
        <f aca="false">IF($A82&gt;Endyr,0,VLOOKUP($A82,Tariff_Table,Tariff!$D$33))</f>
        <v>9794.89340101523</v>
      </c>
      <c r="D82" s="1565" t="n">
        <f aca="false">VLOOKUP($A82,Curves_Table,Escalation!$R$291)</f>
        <v>1.8096273546795</v>
      </c>
      <c r="E82" s="1606" t="n">
        <f aca="false">C82*D82</f>
        <v>17725.1070346469</v>
      </c>
      <c r="F82" s="1540" t="n">
        <f aca="false">'Plant Operations'!C82</f>
        <v>480</v>
      </c>
      <c r="G82" s="1606" t="n">
        <f aca="false">E82*F82/1000</f>
        <v>8508.05137663052</v>
      </c>
      <c r="H82" s="1576" t="n">
        <f aca="false">IF(Assm!$L$74=0,VLOOKUP($A82,Curves_Table,Escalation!$D$291),VLOOKUP($A82,Curves_Table,Escalation!$E$291))</f>
        <v>2.27861484205326</v>
      </c>
      <c r="I82" s="394" t="n">
        <f aca="false">G82/H82</f>
        <v>3733.86990184085</v>
      </c>
      <c r="J82" s="1579" t="str">
        <f aca="false">IF(MONTH($A82)=12,SUM(I71:I82)," ")</f>
        <v> </v>
      </c>
      <c r="L82" s="1607" t="n">
        <f aca="false">IF($A82&gt;Endyr,0,VLOOKUP($A82,Tariff_Table,Tariff!$J$33))</f>
        <v>0.19</v>
      </c>
      <c r="M82" s="1576" t="n">
        <f aca="false">D82</f>
        <v>1.8096273546795</v>
      </c>
      <c r="N82" s="1608" t="n">
        <f aca="false">L82*M82</f>
        <v>0.343829197389106</v>
      </c>
      <c r="O82" s="397" t="n">
        <f aca="false">'Plant Operations'!$I82+'Plant Operations'!$M82</f>
        <v>270047.232</v>
      </c>
      <c r="P82" s="1606" t="n">
        <f aca="false">N82*O82</f>
        <v>92850.1230357096</v>
      </c>
      <c r="Q82" s="1565" t="n">
        <f aca="false">$H82</f>
        <v>2.27861484205326</v>
      </c>
      <c r="R82" s="1566" t="n">
        <f aca="false">P82/Q82</f>
        <v>40748.4939192454</v>
      </c>
      <c r="S82" s="1567" t="str">
        <f aca="false">IF(MONTH($A82)=12,SUM(R71:R82)," ")</f>
        <v> </v>
      </c>
    </row>
    <row r="83" customFormat="false" ht="12.75" hidden="false" customHeight="false" outlineLevel="0" collapsed="false">
      <c r="A83" s="1538" t="n">
        <f aca="false">'Plant Operations'!A83</f>
        <v>38412</v>
      </c>
      <c r="C83" s="1595" t="n">
        <f aca="false">IF($A83&gt;Endyr,0,VLOOKUP($A83,Tariff_Table,Tariff!$D$33))</f>
        <v>9794.89340101523</v>
      </c>
      <c r="D83" s="1565" t="n">
        <f aca="false">VLOOKUP($A83,Curves_Table,Escalation!$R$291)</f>
        <v>1.8096273546795</v>
      </c>
      <c r="E83" s="1606" t="n">
        <f aca="false">C83*D83</f>
        <v>17725.1070346469</v>
      </c>
      <c r="F83" s="1540" t="n">
        <f aca="false">'Plant Operations'!C83</f>
        <v>480</v>
      </c>
      <c r="G83" s="1606" t="n">
        <f aca="false">E83*F83/1000</f>
        <v>8508.05137663052</v>
      </c>
      <c r="H83" s="1576" t="n">
        <f aca="false">IF(Assm!$L$74=0,VLOOKUP($A83,Curves_Table,Escalation!$D$291),VLOOKUP($A83,Curves_Table,Escalation!$E$291))</f>
        <v>2.28394771296852</v>
      </c>
      <c r="I83" s="394" t="n">
        <f aca="false">G83/H83</f>
        <v>3725.15155593134</v>
      </c>
      <c r="J83" s="1579" t="str">
        <f aca="false">IF(MONTH($A83)=12,SUM(I72:I83)," ")</f>
        <v> </v>
      </c>
      <c r="L83" s="1607" t="n">
        <f aca="false">IF($A83&gt;Endyr,0,VLOOKUP($A83,Tariff_Table,Tariff!$J$33))</f>
        <v>0.19</v>
      </c>
      <c r="M83" s="1576" t="n">
        <f aca="false">D83</f>
        <v>1.8096273546795</v>
      </c>
      <c r="N83" s="1608" t="n">
        <f aca="false">L83*M83</f>
        <v>0.343829197389106</v>
      </c>
      <c r="O83" s="397" t="n">
        <f aca="false">'Plant Operations'!$I83+'Plant Operations'!$M83</f>
        <v>298980.864</v>
      </c>
      <c r="P83" s="1606" t="n">
        <f aca="false">N83*O83</f>
        <v>102798.350503821</v>
      </c>
      <c r="Q83" s="1565" t="n">
        <f aca="false">$H83</f>
        <v>2.28394771296852</v>
      </c>
      <c r="R83" s="1566" t="n">
        <f aca="false">P83/Q83</f>
        <v>45009.0647522797</v>
      </c>
      <c r="S83" s="1567" t="str">
        <f aca="false">IF(MONTH($A83)=12,SUM(R72:R83)," ")</f>
        <v> </v>
      </c>
    </row>
    <row r="84" customFormat="false" ht="12.75" hidden="false" customHeight="false" outlineLevel="0" collapsed="false">
      <c r="A84" s="1538" t="n">
        <f aca="false">'Plant Operations'!A84</f>
        <v>38443</v>
      </c>
      <c r="C84" s="1595" t="n">
        <f aca="false">IF($A84&gt;Endyr,0,VLOOKUP($A84,Tariff_Table,Tariff!$D$33))</f>
        <v>9794.89340101523</v>
      </c>
      <c r="D84" s="1565" t="n">
        <f aca="false">VLOOKUP($A84,Curves_Table,Escalation!$R$291)</f>
        <v>1.8096273546795</v>
      </c>
      <c r="E84" s="1606" t="n">
        <f aca="false">C84*D84</f>
        <v>17725.1070346469</v>
      </c>
      <c r="F84" s="1540" t="n">
        <f aca="false">'Plant Operations'!C84</f>
        <v>480</v>
      </c>
      <c r="G84" s="1606" t="n">
        <f aca="false">E84*F84/1000</f>
        <v>8508.05137663052</v>
      </c>
      <c r="H84" s="1576" t="n">
        <f aca="false">IF(Assm!$L$74=0,VLOOKUP($A84,Curves_Table,Escalation!$D$291),VLOOKUP($A84,Curves_Table,Escalation!$E$291))</f>
        <v>2.2892930649366</v>
      </c>
      <c r="I84" s="394" t="n">
        <f aca="false">G84/H84</f>
        <v>3716.45356679842</v>
      </c>
      <c r="J84" s="1579" t="str">
        <f aca="false">IF(MONTH($A84)=12,SUM(I73:I84)," ")</f>
        <v> </v>
      </c>
      <c r="L84" s="1607" t="n">
        <f aca="false">IF($A84&gt;Endyr,0,VLOOKUP($A84,Tariff_Table,Tariff!$J$33))</f>
        <v>0.19</v>
      </c>
      <c r="M84" s="1576" t="n">
        <f aca="false">D84</f>
        <v>1.8096273546795</v>
      </c>
      <c r="N84" s="1608" t="n">
        <f aca="false">L84*M84</f>
        <v>0.343829197389106</v>
      </c>
      <c r="O84" s="397" t="n">
        <f aca="false">'Plant Operations'!$I84+'Plant Operations'!$M84</f>
        <v>289336.32</v>
      </c>
      <c r="P84" s="1606" t="n">
        <f aca="false">N84*O84</f>
        <v>99482.2746811175</v>
      </c>
      <c r="Q84" s="1565" t="n">
        <f aca="false">$H84</f>
        <v>2.2892930649366</v>
      </c>
      <c r="R84" s="1566" t="n">
        <f aca="false">P84/Q84</f>
        <v>43455.4562737351</v>
      </c>
      <c r="S84" s="1567" t="str">
        <f aca="false">IF(MONTH($A84)=12,SUM(R73:R84)," ")</f>
        <v> </v>
      </c>
    </row>
    <row r="85" customFormat="false" ht="12.75" hidden="false" customHeight="false" outlineLevel="0" collapsed="false">
      <c r="A85" s="1538" t="n">
        <f aca="false">'Plant Operations'!A85</f>
        <v>38473</v>
      </c>
      <c r="C85" s="1595" t="n">
        <f aca="false">IF($A85&gt;Endyr,0,VLOOKUP($A85,Tariff_Table,Tariff!$D$33))</f>
        <v>9710.48681541582</v>
      </c>
      <c r="D85" s="1565" t="n">
        <f aca="false">VLOOKUP($A85,Curves_Table,Escalation!$R$291)</f>
        <v>1.95137683106314</v>
      </c>
      <c r="E85" s="1606" t="n">
        <f aca="false">C85*D85</f>
        <v>18948.8189899465</v>
      </c>
      <c r="F85" s="1540" t="n">
        <f aca="false">'Plant Operations'!C85</f>
        <v>480</v>
      </c>
      <c r="G85" s="1606" t="n">
        <f aca="false">E85*F85/1000</f>
        <v>9095.43311517434</v>
      </c>
      <c r="H85" s="1576" t="n">
        <f aca="false">IF(Assm!$L$74=0,VLOOKUP($A85,Curves_Table,Escalation!$D$291),VLOOKUP($A85,Curves_Table,Escalation!$E$291))</f>
        <v>2.29465092716816</v>
      </c>
      <c r="I85" s="394" t="n">
        <f aca="false">G85/H85</f>
        <v>3963.75457699749</v>
      </c>
      <c r="J85" s="1579" t="str">
        <f aca="false">IF(MONTH($A85)=12,SUM(I74:I85)," ")</f>
        <v> </v>
      </c>
      <c r="L85" s="1607" t="n">
        <f aca="false">IF($A85&gt;Endyr,0,VLOOKUP($A85,Tariff_Table,Tariff!$J$33))</f>
        <v>0.19</v>
      </c>
      <c r="M85" s="1576" t="n">
        <f aca="false">D85</f>
        <v>1.95137683106314</v>
      </c>
      <c r="N85" s="1608" t="n">
        <f aca="false">L85*M85</f>
        <v>0.370761597901997</v>
      </c>
      <c r="O85" s="397" t="n">
        <f aca="false">'Plant Operations'!$I85+'Plant Operations'!$M85</f>
        <v>298980.864</v>
      </c>
      <c r="P85" s="1606" t="n">
        <f aca="false">N85*O85</f>
        <v>110850.62287876</v>
      </c>
      <c r="Q85" s="1565" t="n">
        <f aca="false">$H85</f>
        <v>2.29465092716816</v>
      </c>
      <c r="R85" s="1566" t="n">
        <f aca="false">P85/Q85</f>
        <v>48308.272760058</v>
      </c>
      <c r="S85" s="1567" t="str">
        <f aca="false">IF(MONTH($A85)=12,SUM(R74:R85)," ")</f>
        <v> </v>
      </c>
    </row>
    <row r="86" customFormat="false" ht="12.75" hidden="false" customHeight="false" outlineLevel="0" collapsed="false">
      <c r="A86" s="1538" t="n">
        <f aca="false">'Plant Operations'!A86</f>
        <v>38504</v>
      </c>
      <c r="C86" s="1595" t="n">
        <f aca="false">IF($A86&gt;Endyr,0,VLOOKUP($A86,Tariff_Table,Tariff!$D$33))</f>
        <v>9710.48681541582</v>
      </c>
      <c r="D86" s="1565" t="n">
        <f aca="false">VLOOKUP($A86,Curves_Table,Escalation!$R$291)</f>
        <v>1.95137683106314</v>
      </c>
      <c r="E86" s="1606" t="n">
        <f aca="false">C86*D86</f>
        <v>18948.8189899465</v>
      </c>
      <c r="F86" s="1540" t="n">
        <f aca="false">'Plant Operations'!C86</f>
        <v>480</v>
      </c>
      <c r="G86" s="1606" t="n">
        <f aca="false">E86*F86/1000</f>
        <v>9095.43311517434</v>
      </c>
      <c r="H86" s="1576" t="n">
        <f aca="false">IF(Assm!$L$74=0,VLOOKUP($A86,Curves_Table,Escalation!$D$291),VLOOKUP($A86,Curves_Table,Escalation!$E$291))</f>
        <v>2.30002132894223</v>
      </c>
      <c r="I86" s="394" t="n">
        <f aca="false">G86/H86</f>
        <v>3954.49946516683</v>
      </c>
      <c r="J86" s="1579" t="str">
        <f aca="false">IF(MONTH($A86)=12,SUM(I75:I86)," ")</f>
        <v> </v>
      </c>
      <c r="L86" s="1607" t="n">
        <f aca="false">IF($A86&gt;Endyr,0,VLOOKUP($A86,Tariff_Table,Tariff!$J$33))</f>
        <v>0.19</v>
      </c>
      <c r="M86" s="1576" t="n">
        <f aca="false">D86</f>
        <v>1.95137683106314</v>
      </c>
      <c r="N86" s="1608" t="n">
        <f aca="false">L86*M86</f>
        <v>0.370761597901997</v>
      </c>
      <c r="O86" s="397" t="n">
        <f aca="false">'Plant Operations'!$I86+'Plant Operations'!$M86</f>
        <v>289336.32</v>
      </c>
      <c r="P86" s="1606" t="n">
        <f aca="false">N86*O86</f>
        <v>107274.796334284</v>
      </c>
      <c r="Q86" s="1565" t="n">
        <f aca="false">$H86</f>
        <v>2.30002132894223</v>
      </c>
      <c r="R86" s="1566" t="n">
        <f aca="false">P86/Q86</f>
        <v>46640.7832763963</v>
      </c>
      <c r="S86" s="1567" t="str">
        <f aca="false">IF(MONTH($A86)=12,SUM(R75:R86)," ")</f>
        <v> </v>
      </c>
    </row>
    <row r="87" customFormat="false" ht="12.75" hidden="false" customHeight="false" outlineLevel="0" collapsed="false">
      <c r="A87" s="1538" t="n">
        <f aca="false">'Plant Operations'!A87</f>
        <v>38534</v>
      </c>
      <c r="C87" s="1595" t="n">
        <f aca="false">IF($A87&gt;Endyr,0,VLOOKUP($A87,Tariff_Table,Tariff!$D$33))</f>
        <v>9710.48681541582</v>
      </c>
      <c r="D87" s="1565" t="n">
        <f aca="false">VLOOKUP($A87,Curves_Table,Escalation!$R$291)</f>
        <v>1.95137683106314</v>
      </c>
      <c r="E87" s="1606" t="n">
        <f aca="false">C87*D87</f>
        <v>18948.8189899465</v>
      </c>
      <c r="F87" s="1540" t="n">
        <f aca="false">'Plant Operations'!C87</f>
        <v>480</v>
      </c>
      <c r="G87" s="1606" t="n">
        <f aca="false">E87*F87/1000</f>
        <v>9095.43311517434</v>
      </c>
      <c r="H87" s="1576" t="n">
        <f aca="false">IF(Assm!$L$74=0,VLOOKUP($A87,Curves_Table,Escalation!$D$291),VLOOKUP($A87,Curves_Table,Escalation!$E$291))</f>
        <v>2.30540429960635</v>
      </c>
      <c r="I87" s="394" t="n">
        <f aca="false">G87/H87</f>
        <v>3945.26596342663</v>
      </c>
      <c r="J87" s="1579" t="str">
        <f aca="false">IF(MONTH($A87)=12,SUM(I76:I87)," ")</f>
        <v> </v>
      </c>
      <c r="L87" s="1607" t="n">
        <f aca="false">IF($A87&gt;Endyr,0,VLOOKUP($A87,Tariff_Table,Tariff!$J$33))</f>
        <v>0.19</v>
      </c>
      <c r="M87" s="1576" t="n">
        <f aca="false">D87</f>
        <v>1.95137683106314</v>
      </c>
      <c r="N87" s="1608" t="n">
        <f aca="false">L87*M87</f>
        <v>0.370761597901997</v>
      </c>
      <c r="O87" s="397" t="n">
        <f aca="false">'Plant Operations'!$I87+'Plant Operations'!$M87</f>
        <v>298980.864</v>
      </c>
      <c r="P87" s="1606" t="n">
        <f aca="false">N87*O87</f>
        <v>110850.62287876</v>
      </c>
      <c r="Q87" s="1565" t="n">
        <f aca="false">$H87</f>
        <v>2.30540429960635</v>
      </c>
      <c r="R87" s="1566" t="n">
        <f aca="false">P87/Q87</f>
        <v>48082.9427175475</v>
      </c>
      <c r="S87" s="1567" t="str">
        <f aca="false">IF(MONTH($A87)=12,SUM(R76:R87)," ")</f>
        <v> </v>
      </c>
    </row>
    <row r="88" customFormat="false" ht="12.75" hidden="false" customHeight="false" outlineLevel="0" collapsed="false">
      <c r="A88" s="1538" t="n">
        <f aca="false">'Plant Operations'!A88</f>
        <v>38565</v>
      </c>
      <c r="C88" s="1595" t="n">
        <f aca="false">IF($A88&gt;Endyr,0,VLOOKUP($A88,Tariff_Table,Tariff!$D$33))</f>
        <v>9710.48681541582</v>
      </c>
      <c r="D88" s="1565" t="n">
        <f aca="false">VLOOKUP($A88,Curves_Table,Escalation!$R$291)</f>
        <v>1.95137683106314</v>
      </c>
      <c r="E88" s="1606" t="n">
        <f aca="false">C88*D88</f>
        <v>18948.8189899465</v>
      </c>
      <c r="F88" s="1540" t="n">
        <f aca="false">'Plant Operations'!C88</f>
        <v>480</v>
      </c>
      <c r="G88" s="1606" t="n">
        <f aca="false">E88*F88/1000</f>
        <v>9095.43311517434</v>
      </c>
      <c r="H88" s="1576" t="n">
        <f aca="false">IF(Assm!$L$74=0,VLOOKUP($A88,Curves_Table,Escalation!$D$291),VLOOKUP($A88,Curves_Table,Escalation!$E$291))</f>
        <v>2.31079986857675</v>
      </c>
      <c r="I88" s="394" t="n">
        <f aca="false">G88/H88</f>
        <v>3936.05402131874</v>
      </c>
      <c r="J88" s="1579" t="str">
        <f aca="false">IF(MONTH($A88)=12,SUM(I77:I88)," ")</f>
        <v> </v>
      </c>
      <c r="L88" s="1607" t="n">
        <f aca="false">IF($A88&gt;Endyr,0,VLOOKUP($A88,Tariff_Table,Tariff!$J$33))</f>
        <v>0.19</v>
      </c>
      <c r="M88" s="1576" t="n">
        <f aca="false">D88</f>
        <v>1.95137683106314</v>
      </c>
      <c r="N88" s="1608" t="n">
        <f aca="false">L88*M88</f>
        <v>0.370761597901997</v>
      </c>
      <c r="O88" s="397" t="n">
        <f aca="false">'Plant Operations'!$I88+'Plant Operations'!$M88</f>
        <v>298980.864</v>
      </c>
      <c r="P88" s="1606" t="n">
        <f aca="false">N88*O88</f>
        <v>110850.62287876</v>
      </c>
      <c r="Q88" s="1565" t="n">
        <f aca="false">$H88</f>
        <v>2.31079986857675</v>
      </c>
      <c r="R88" s="1566" t="n">
        <f aca="false">P88/Q88</f>
        <v>47970.6721409127</v>
      </c>
      <c r="S88" s="1567" t="str">
        <f aca="false">IF(MONTH($A88)=12,SUM(R77:R88)," ")</f>
        <v> </v>
      </c>
    </row>
    <row r="89" customFormat="false" ht="12.75" hidden="false" customHeight="false" outlineLevel="0" collapsed="false">
      <c r="A89" s="1538" t="n">
        <f aca="false">'Plant Operations'!A89</f>
        <v>38596</v>
      </c>
      <c r="C89" s="1595" t="n">
        <f aca="false">IF($A89&gt;Endyr,0,VLOOKUP($A89,Tariff_Table,Tariff!$D$33))</f>
        <v>9710.48681541582</v>
      </c>
      <c r="D89" s="1565" t="n">
        <f aca="false">VLOOKUP($A89,Curves_Table,Escalation!$R$291)</f>
        <v>1.95137683106314</v>
      </c>
      <c r="E89" s="1606" t="n">
        <f aca="false">C89*D89</f>
        <v>18948.8189899465</v>
      </c>
      <c r="F89" s="1540" t="n">
        <f aca="false">'Plant Operations'!C89</f>
        <v>480</v>
      </c>
      <c r="G89" s="1606" t="n">
        <f aca="false">E89*F89/1000</f>
        <v>9095.43311517434</v>
      </c>
      <c r="H89" s="1576" t="n">
        <f aca="false">IF(Assm!$L$74=0,VLOOKUP($A89,Curves_Table,Escalation!$D$291),VLOOKUP($A89,Curves_Table,Escalation!$E$291))</f>
        <v>2.31620806533853</v>
      </c>
      <c r="I89" s="394" t="n">
        <f aca="false">G89/H89</f>
        <v>3926.86358850278</v>
      </c>
      <c r="J89" s="1579" t="str">
        <f aca="false">IF(MONTH($A89)=12,SUM(I78:I89)," ")</f>
        <v> </v>
      </c>
      <c r="L89" s="1607" t="n">
        <f aca="false">IF($A89&gt;Endyr,0,VLOOKUP($A89,Tariff_Table,Tariff!$J$33))</f>
        <v>0.19</v>
      </c>
      <c r="M89" s="1576" t="n">
        <f aca="false">D89</f>
        <v>1.95137683106314</v>
      </c>
      <c r="N89" s="1608" t="n">
        <f aca="false">L89*M89</f>
        <v>0.370761597901997</v>
      </c>
      <c r="O89" s="397" t="n">
        <f aca="false">'Plant Operations'!$I89+'Plant Operations'!$M89</f>
        <v>289336.32</v>
      </c>
      <c r="P89" s="1606" t="n">
        <f aca="false">N89*O89</f>
        <v>107274.796334284</v>
      </c>
      <c r="Q89" s="1565" t="n">
        <f aca="false">$H89</f>
        <v>2.31620806533853</v>
      </c>
      <c r="R89" s="1566" t="n">
        <f aca="false">P89/Q89</f>
        <v>46314.8358472729</v>
      </c>
      <c r="S89" s="1567" t="str">
        <f aca="false">IF(MONTH($A89)=12,SUM(R78:R89)," ")</f>
        <v> </v>
      </c>
    </row>
    <row r="90" customFormat="false" ht="12.75" hidden="false" customHeight="false" outlineLevel="0" collapsed="false">
      <c r="A90" s="1538" t="n">
        <f aca="false">'Plant Operations'!A90</f>
        <v>38626</v>
      </c>
      <c r="C90" s="1595" t="n">
        <f aca="false">IF($A90&gt;Endyr,0,VLOOKUP($A90,Tariff_Table,Tariff!$D$33))</f>
        <v>9710.48681541582</v>
      </c>
      <c r="D90" s="1565" t="n">
        <f aca="false">VLOOKUP($A90,Curves_Table,Escalation!$R$291)</f>
        <v>1.95137683106314</v>
      </c>
      <c r="E90" s="1606" t="n">
        <f aca="false">C90*D90</f>
        <v>18948.8189899465</v>
      </c>
      <c r="F90" s="1540" t="n">
        <f aca="false">'Plant Operations'!C90</f>
        <v>480</v>
      </c>
      <c r="G90" s="1606" t="n">
        <f aca="false">E90*F90/1000</f>
        <v>9095.43311517434</v>
      </c>
      <c r="H90" s="1576" t="n">
        <f aca="false">IF(Assm!$L$74=0,VLOOKUP($A90,Curves_Table,Escalation!$D$291),VLOOKUP($A90,Curves_Table,Escalation!$E$291))</f>
        <v>2.32162891944576</v>
      </c>
      <c r="I90" s="394" t="n">
        <f aca="false">G90/H90</f>
        <v>3917.69461475596</v>
      </c>
      <c r="J90" s="1579" t="str">
        <f aca="false">IF(MONTH($A90)=12,SUM(I79:I90)," ")</f>
        <v> </v>
      </c>
      <c r="L90" s="1607" t="n">
        <f aca="false">IF($A90&gt;Endyr,0,VLOOKUP($A90,Tariff_Table,Tariff!$J$33))</f>
        <v>0.19</v>
      </c>
      <c r="M90" s="1576" t="n">
        <f aca="false">D90</f>
        <v>1.95137683106314</v>
      </c>
      <c r="N90" s="1608" t="n">
        <f aca="false">L90*M90</f>
        <v>0.370761597901997</v>
      </c>
      <c r="O90" s="397" t="n">
        <f aca="false">'Plant Operations'!$I90+'Plant Operations'!$M90</f>
        <v>298980.864</v>
      </c>
      <c r="P90" s="1606" t="n">
        <f aca="false">N90*O90</f>
        <v>110850.62287876</v>
      </c>
      <c r="Q90" s="1565" t="n">
        <f aca="false">$H90</f>
        <v>2.32162891944576</v>
      </c>
      <c r="R90" s="1566" t="n">
        <f aca="false">P90/Q90</f>
        <v>47746.9168092647</v>
      </c>
      <c r="S90" s="1567" t="str">
        <f aca="false">IF(MONTH($A90)=12,SUM(R79:R90)," ")</f>
        <v> </v>
      </c>
    </row>
    <row r="91" customFormat="false" ht="12.75" hidden="false" customHeight="false" outlineLevel="0" collapsed="false">
      <c r="A91" s="1538" t="n">
        <f aca="false">'Plant Operations'!A91</f>
        <v>38657</v>
      </c>
      <c r="C91" s="1595" t="n">
        <f aca="false">IF($A91&gt;Endyr,0,VLOOKUP($A91,Tariff_Table,Tariff!$D$33))</f>
        <v>9710.48681541582</v>
      </c>
      <c r="D91" s="1565" t="n">
        <f aca="false">VLOOKUP($A91,Curves_Table,Escalation!$R$291)</f>
        <v>1.95137683106314</v>
      </c>
      <c r="E91" s="1606" t="n">
        <f aca="false">C91*D91</f>
        <v>18948.8189899465</v>
      </c>
      <c r="F91" s="1540" t="n">
        <f aca="false">'Plant Operations'!C91</f>
        <v>480</v>
      </c>
      <c r="G91" s="1606" t="n">
        <f aca="false">E91*F91/1000</f>
        <v>9095.43311517434</v>
      </c>
      <c r="H91" s="1576" t="n">
        <f aca="false">IF(Assm!$L$74=0,VLOOKUP($A91,Curves_Table,Escalation!$D$291),VLOOKUP($A91,Curves_Table,Escalation!$E$291))</f>
        <v>2.3270624605217</v>
      </c>
      <c r="I91" s="394" t="n">
        <f aca="false">G91/H91</f>
        <v>3908.54704997272</v>
      </c>
      <c r="J91" s="1579" t="str">
        <f aca="false">IF(MONTH($A91)=12,SUM(I80:I91)," ")</f>
        <v> </v>
      </c>
      <c r="L91" s="1607" t="n">
        <f aca="false">IF($A91&gt;Endyr,0,VLOOKUP($A91,Tariff_Table,Tariff!$J$33))</f>
        <v>0.19</v>
      </c>
      <c r="M91" s="1576" t="n">
        <f aca="false">D91</f>
        <v>1.95137683106314</v>
      </c>
      <c r="N91" s="1608" t="n">
        <f aca="false">L91*M91</f>
        <v>0.370761597901997</v>
      </c>
      <c r="O91" s="397" t="n">
        <f aca="false">'Plant Operations'!$I91+'Plant Operations'!$M91</f>
        <v>289336.32</v>
      </c>
      <c r="P91" s="1606" t="n">
        <f aca="false">N91*O91</f>
        <v>107274.796334284</v>
      </c>
      <c r="Q91" s="1565" t="n">
        <f aca="false">$H91</f>
        <v>2.3270624605217</v>
      </c>
      <c r="R91" s="1566" t="n">
        <f aca="false">P91/Q91</f>
        <v>46098.8040304831</v>
      </c>
      <c r="S91" s="1567" t="str">
        <f aca="false">IF(MONTH($A91)=12,SUM(R80:R91)," ")</f>
        <v> </v>
      </c>
    </row>
    <row r="92" customFormat="false" ht="12.75" hidden="false" customHeight="false" outlineLevel="0" collapsed="false">
      <c r="A92" s="1538" t="n">
        <f aca="false">'Plant Operations'!A92</f>
        <v>38687</v>
      </c>
      <c r="C92" s="1595" t="n">
        <f aca="false">IF($A92&gt;Endyr,0,VLOOKUP($A92,Tariff_Table,Tariff!$D$33))</f>
        <v>9710.48681541582</v>
      </c>
      <c r="D92" s="1565" t="n">
        <f aca="false">VLOOKUP($A92,Curves_Table,Escalation!$R$291)</f>
        <v>1.95137683106314</v>
      </c>
      <c r="E92" s="1606" t="n">
        <f aca="false">C92*D92</f>
        <v>18948.8189899465</v>
      </c>
      <c r="F92" s="1540" t="n">
        <f aca="false">'Plant Operations'!C92</f>
        <v>480</v>
      </c>
      <c r="G92" s="1606" t="n">
        <f aca="false">E92*F92/1000</f>
        <v>9095.43311517434</v>
      </c>
      <c r="H92" s="1576" t="n">
        <f aca="false">IF(Assm!$L$74=0,VLOOKUP($A92,Curves_Table,Escalation!$D$291),VLOOKUP($A92,Curves_Table,Escalation!$E$291))</f>
        <v>2.33250871825894</v>
      </c>
      <c r="I92" s="394" t="n">
        <f aca="false">G92/H92</f>
        <v>3899.42084416451</v>
      </c>
      <c r="J92" s="1579" t="n">
        <f aca="false">IF(MONTH($A92)=12,SUM(I81:I92)," ")</f>
        <v>46370.1838010462</v>
      </c>
      <c r="L92" s="1607" t="n">
        <f aca="false">IF($A92&gt;Endyr,0,VLOOKUP($A92,Tariff_Table,Tariff!$J$33))</f>
        <v>0.19</v>
      </c>
      <c r="M92" s="1576" t="n">
        <f aca="false">D92</f>
        <v>1.95137683106314</v>
      </c>
      <c r="N92" s="1608" t="n">
        <f aca="false">L92*M92</f>
        <v>0.370761597901997</v>
      </c>
      <c r="O92" s="397" t="n">
        <f aca="false">'Plant Operations'!$I92+'Plant Operations'!$M92</f>
        <v>298980.864</v>
      </c>
      <c r="P92" s="1606" t="n">
        <f aca="false">N92*O92</f>
        <v>110850.62287876</v>
      </c>
      <c r="Q92" s="1565" t="n">
        <f aca="false">$H92</f>
        <v>2.33250871825894</v>
      </c>
      <c r="R92" s="1566" t="n">
        <f aca="false">P92/Q92</f>
        <v>47524.2051663165</v>
      </c>
      <c r="S92" s="1567" t="n">
        <f aca="false">IF(MONTH($A92)=12,SUM(R81:R92)," ")</f>
        <v>553120.437441243</v>
      </c>
    </row>
    <row r="93" customFormat="false" ht="12.75" hidden="false" customHeight="false" outlineLevel="0" collapsed="false">
      <c r="A93" s="1538" t="n">
        <f aca="false">'Plant Operations'!A93</f>
        <v>38718</v>
      </c>
      <c r="C93" s="1595" t="n">
        <f aca="false">IF($A93&gt;Endyr,0,VLOOKUP($A93,Tariff_Table,Tariff!$D$33))</f>
        <v>9710.48681541582</v>
      </c>
      <c r="D93" s="1565" t="n">
        <f aca="false">VLOOKUP($A93,Curves_Table,Escalation!$R$291)</f>
        <v>1.95137683106314</v>
      </c>
      <c r="E93" s="1606" t="n">
        <f aca="false">C93*D93</f>
        <v>18948.8189899465</v>
      </c>
      <c r="F93" s="1540" t="n">
        <f aca="false">'Plant Operations'!C93</f>
        <v>480</v>
      </c>
      <c r="G93" s="1606" t="n">
        <f aca="false">E93*F93/1000</f>
        <v>9095.43311517434</v>
      </c>
      <c r="H93" s="1576" t="n">
        <f aca="false">IF(Assm!$L$74=0,VLOOKUP($A93,Curves_Table,Escalation!$D$291),VLOOKUP($A93,Curves_Table,Escalation!$E$291))</f>
        <v>2.33788261742251</v>
      </c>
      <c r="I93" s="394" t="n">
        <f aca="false">G93/H93</f>
        <v>3890.45756506028</v>
      </c>
      <c r="J93" s="1579" t="str">
        <f aca="false">IF(MONTH($A93)=12,SUM(I82:I93)," ")</f>
        <v> </v>
      </c>
      <c r="L93" s="1607" t="n">
        <f aca="false">IF($A93&gt;Endyr,0,VLOOKUP($A93,Tariff_Table,Tariff!$J$33))</f>
        <v>0.19</v>
      </c>
      <c r="M93" s="1576" t="n">
        <f aca="false">D93</f>
        <v>1.95137683106314</v>
      </c>
      <c r="N93" s="1608" t="n">
        <f aca="false">L93*M93</f>
        <v>0.370761597901997</v>
      </c>
      <c r="O93" s="397" t="n">
        <f aca="false">'Plant Operations'!$I93+'Plant Operations'!$M93</f>
        <v>298980.864</v>
      </c>
      <c r="P93" s="1606" t="n">
        <f aca="false">N93*O93</f>
        <v>110850.62287876</v>
      </c>
      <c r="Q93" s="1565" t="n">
        <f aca="false">$H93</f>
        <v>2.33788261742251</v>
      </c>
      <c r="R93" s="1566" t="n">
        <f aca="false">P93/Q93</f>
        <v>47414.965170908</v>
      </c>
      <c r="S93" s="1567" t="str">
        <f aca="false">IF(MONTH($A93)=12,SUM(R82:R93)," ")</f>
        <v> </v>
      </c>
    </row>
    <row r="94" customFormat="false" ht="12.75" hidden="false" customHeight="false" outlineLevel="0" collapsed="false">
      <c r="A94" s="1538" t="n">
        <f aca="false">'Plant Operations'!A94</f>
        <v>38749</v>
      </c>
      <c r="C94" s="1595" t="n">
        <f aca="false">IF($A94&gt;Endyr,0,VLOOKUP($A94,Tariff_Table,Tariff!$D$33))</f>
        <v>9710.48681541582</v>
      </c>
      <c r="D94" s="1565" t="n">
        <f aca="false">VLOOKUP($A94,Curves_Table,Escalation!$R$291)</f>
        <v>1.95137683106314</v>
      </c>
      <c r="E94" s="1606" t="n">
        <f aca="false">C94*D94</f>
        <v>18948.8189899465</v>
      </c>
      <c r="F94" s="1540" t="n">
        <f aca="false">'Plant Operations'!C94</f>
        <v>480</v>
      </c>
      <c r="G94" s="1606" t="n">
        <f aca="false">E94*F94/1000</f>
        <v>9095.43311517434</v>
      </c>
      <c r="H94" s="1576" t="n">
        <f aca="false">IF(Assm!$L$74=0,VLOOKUP($A94,Curves_Table,Escalation!$D$291),VLOOKUP($A94,Curves_Table,Escalation!$E$291))</f>
        <v>2.34326889758685</v>
      </c>
      <c r="I94" s="394" t="n">
        <f aca="false">G94/H94</f>
        <v>3881.51488911111</v>
      </c>
      <c r="J94" s="1579" t="str">
        <f aca="false">IF(MONTH($A94)=12,SUM(I83:I94)," ")</f>
        <v> </v>
      </c>
      <c r="L94" s="1607" t="n">
        <f aca="false">IF($A94&gt;Endyr,0,VLOOKUP($A94,Tariff_Table,Tariff!$J$33))</f>
        <v>0.19</v>
      </c>
      <c r="M94" s="1576" t="n">
        <f aca="false">D94</f>
        <v>1.95137683106314</v>
      </c>
      <c r="N94" s="1608" t="n">
        <f aca="false">L94*M94</f>
        <v>0.370761597901997</v>
      </c>
      <c r="O94" s="397" t="n">
        <f aca="false">'Plant Operations'!$I94+'Plant Operations'!$M94</f>
        <v>270047.232</v>
      </c>
      <c r="P94" s="1606" t="n">
        <f aca="false">N94*O94</f>
        <v>100123.143245331</v>
      </c>
      <c r="Q94" s="1565" t="n">
        <f aca="false">$H94</f>
        <v>2.34326889758685</v>
      </c>
      <c r="R94" s="1566" t="n">
        <f aca="false">P94/Q94</f>
        <v>42727.978572344</v>
      </c>
      <c r="S94" s="1567" t="str">
        <f aca="false">IF(MONTH($A94)=12,SUM(R83:R94)," ")</f>
        <v> </v>
      </c>
    </row>
    <row r="95" customFormat="false" ht="12.75" hidden="false" customHeight="false" outlineLevel="0" collapsed="false">
      <c r="A95" s="1538" t="n">
        <f aca="false">'Plant Operations'!A95</f>
        <v>38777</v>
      </c>
      <c r="C95" s="1595" t="n">
        <f aca="false">IF($A95&gt;Endyr,0,VLOOKUP($A95,Tariff_Table,Tariff!$D$33))</f>
        <v>9710.48681541582</v>
      </c>
      <c r="D95" s="1565" t="n">
        <f aca="false">VLOOKUP($A95,Curves_Table,Escalation!$R$291)</f>
        <v>1.95137683106314</v>
      </c>
      <c r="E95" s="1606" t="n">
        <f aca="false">C95*D95</f>
        <v>18948.8189899465</v>
      </c>
      <c r="F95" s="1540" t="n">
        <f aca="false">'Plant Operations'!C95</f>
        <v>480</v>
      </c>
      <c r="G95" s="1606" t="n">
        <f aca="false">E95*F95/1000</f>
        <v>9095.43311517434</v>
      </c>
      <c r="H95" s="1576" t="n">
        <f aca="false">IF(Assm!$L$74=0,VLOOKUP($A95,Curves_Table,Escalation!$D$291),VLOOKUP($A95,Curves_Table,Escalation!$E$291))</f>
        <v>2.34866758727671</v>
      </c>
      <c r="I95" s="394" t="n">
        <f aca="false">G95/H95</f>
        <v>3872.59276895822</v>
      </c>
      <c r="J95" s="1579" t="str">
        <f aca="false">IF(MONTH($A95)=12,SUM(I84:I95)," ")</f>
        <v> </v>
      </c>
      <c r="L95" s="1607" t="n">
        <f aca="false">IF($A95&gt;Endyr,0,VLOOKUP($A95,Tariff_Table,Tariff!$J$33))</f>
        <v>0.19</v>
      </c>
      <c r="M95" s="1576" t="n">
        <f aca="false">D95</f>
        <v>1.95137683106314</v>
      </c>
      <c r="N95" s="1608" t="n">
        <f aca="false">L95*M95</f>
        <v>0.370761597901997</v>
      </c>
      <c r="O95" s="397" t="n">
        <f aca="false">'Plant Operations'!$I95+'Plant Operations'!$M95</f>
        <v>298980.864</v>
      </c>
      <c r="P95" s="1606" t="n">
        <f aca="false">N95*O95</f>
        <v>110850.62287876</v>
      </c>
      <c r="Q95" s="1565" t="n">
        <f aca="false">$H95</f>
        <v>2.34866758727671</v>
      </c>
      <c r="R95" s="1566" t="n">
        <f aca="false">P95/Q95</f>
        <v>47197.2379059785</v>
      </c>
      <c r="S95" s="1567" t="str">
        <f aca="false">IF(MONTH($A95)=12,SUM(R84:R95)," ")</f>
        <v> </v>
      </c>
    </row>
    <row r="96" customFormat="false" ht="12.75" hidden="false" customHeight="false" outlineLevel="0" collapsed="false">
      <c r="A96" s="1538" t="n">
        <f aca="false">'Plant Operations'!A96</f>
        <v>38808</v>
      </c>
      <c r="C96" s="1595" t="n">
        <f aca="false">IF($A96&gt;Endyr,0,VLOOKUP($A96,Tariff_Table,Tariff!$D$33))</f>
        <v>9710.48681541582</v>
      </c>
      <c r="D96" s="1565" t="n">
        <f aca="false">VLOOKUP($A96,Curves_Table,Escalation!$R$291)</f>
        <v>1.95137683106314</v>
      </c>
      <c r="E96" s="1606" t="n">
        <f aca="false">C96*D96</f>
        <v>18948.8189899465</v>
      </c>
      <c r="F96" s="1540" t="n">
        <f aca="false">'Plant Operations'!C96</f>
        <v>480</v>
      </c>
      <c r="G96" s="1606" t="n">
        <f aca="false">E96*F96/1000</f>
        <v>9095.43311517434</v>
      </c>
      <c r="H96" s="1576" t="n">
        <f aca="false">IF(Assm!$L$74=0,VLOOKUP($A96,Curves_Table,Escalation!$D$291),VLOOKUP($A96,Curves_Table,Escalation!$E$291))</f>
        <v>2.35407871508258</v>
      </c>
      <c r="I96" s="394" t="n">
        <f aca="false">G96/H96</f>
        <v>3863.69115735168</v>
      </c>
      <c r="J96" s="1579" t="str">
        <f aca="false">IF(MONTH($A96)=12,SUM(I85:I96)," ")</f>
        <v> </v>
      </c>
      <c r="L96" s="1607" t="n">
        <f aca="false">IF($A96&gt;Endyr,0,VLOOKUP($A96,Tariff_Table,Tariff!$J$33))</f>
        <v>0.19</v>
      </c>
      <c r="M96" s="1576" t="n">
        <f aca="false">D96</f>
        <v>1.95137683106314</v>
      </c>
      <c r="N96" s="1608" t="n">
        <f aca="false">L96*M96</f>
        <v>0.370761597901997</v>
      </c>
      <c r="O96" s="397" t="n">
        <f aca="false">'Plant Operations'!$I96+'Plant Operations'!$M96</f>
        <v>289336.32</v>
      </c>
      <c r="P96" s="1606" t="n">
        <f aca="false">N96*O96</f>
        <v>107274.796334284</v>
      </c>
      <c r="Q96" s="1565" t="n">
        <f aca="false">$H96</f>
        <v>2.35407871508258</v>
      </c>
      <c r="R96" s="1566" t="n">
        <f aca="false">P96/Q96</f>
        <v>45569.7575645938</v>
      </c>
      <c r="S96" s="1567" t="str">
        <f aca="false">IF(MONTH($A96)=12,SUM(R85:R96)," ")</f>
        <v> </v>
      </c>
    </row>
    <row r="97" customFormat="false" ht="12.75" hidden="false" customHeight="false" outlineLevel="0" collapsed="false">
      <c r="A97" s="1538" t="n">
        <f aca="false">'Plant Operations'!A97</f>
        <v>38838</v>
      </c>
      <c r="C97" s="1595" t="n">
        <f aca="false">IF($A97&gt;Endyr,0,VLOOKUP($A97,Tariff_Table,Tariff!$D$33))</f>
        <v>9508.33839918946</v>
      </c>
      <c r="D97" s="1565" t="n">
        <f aca="false">VLOOKUP($A97,Curves_Table,Escalation!$R$291)</f>
        <v>2.09773009339288</v>
      </c>
      <c r="E97" s="1606" t="n">
        <f aca="false">C97*D97</f>
        <v>19945.9275981428</v>
      </c>
      <c r="F97" s="1540" t="n">
        <f aca="false">'Plant Operations'!C97</f>
        <v>480</v>
      </c>
      <c r="G97" s="1606" t="n">
        <f aca="false">E97*F97/1000</f>
        <v>9574.04524710854</v>
      </c>
      <c r="H97" s="1576" t="n">
        <f aca="false">IF(Assm!$L$74=0,VLOOKUP($A97,Curves_Table,Escalation!$D$291),VLOOKUP($A97,Curves_Table,Escalation!$E$291))</f>
        <v>2.35950230966078</v>
      </c>
      <c r="I97" s="394" t="n">
        <f aca="false">G97/H97</f>
        <v>4057.65453498749</v>
      </c>
      <c r="J97" s="1579" t="str">
        <f aca="false">IF(MONTH($A97)=12,SUM(I86:I97)," ")</f>
        <v> </v>
      </c>
      <c r="L97" s="1607" t="n">
        <f aca="false">IF($A97&gt;Endyr,0,VLOOKUP($A97,Tariff_Table,Tariff!$J$33))</f>
        <v>0.19</v>
      </c>
      <c r="M97" s="1576" t="n">
        <f aca="false">D97</f>
        <v>2.09773009339288</v>
      </c>
      <c r="N97" s="1608" t="n">
        <f aca="false">L97*M97</f>
        <v>0.398568717744647</v>
      </c>
      <c r="O97" s="397" t="n">
        <f aca="false">'Plant Operations'!$I97+'Plant Operations'!$M97</f>
        <v>298980.864</v>
      </c>
      <c r="P97" s="1606" t="n">
        <f aca="false">N97*O97</f>
        <v>119164.419594667</v>
      </c>
      <c r="Q97" s="1565" t="n">
        <f aca="false">$H97</f>
        <v>2.35950230966078</v>
      </c>
      <c r="R97" s="1566" t="n">
        <f aca="false">P97/Q97</f>
        <v>50504.0487168662</v>
      </c>
      <c r="S97" s="1567" t="str">
        <f aca="false">IF(MONTH($A97)=12,SUM(R86:R97)," ")</f>
        <v> </v>
      </c>
    </row>
    <row r="98" customFormat="false" ht="12.75" hidden="false" customHeight="false" outlineLevel="0" collapsed="false">
      <c r="A98" s="1538" t="n">
        <f aca="false">'Plant Operations'!A98</f>
        <v>38869</v>
      </c>
      <c r="C98" s="1595" t="n">
        <f aca="false">IF($A98&gt;Endyr,0,VLOOKUP($A98,Tariff_Table,Tariff!$D$33))</f>
        <v>9508.33839918946</v>
      </c>
      <c r="D98" s="1565" t="n">
        <f aca="false">VLOOKUP($A98,Curves_Table,Escalation!$R$291)</f>
        <v>2.09773009339288</v>
      </c>
      <c r="E98" s="1606" t="n">
        <f aca="false">C98*D98</f>
        <v>19945.9275981428</v>
      </c>
      <c r="F98" s="1540" t="n">
        <f aca="false">'Plant Operations'!C98</f>
        <v>480</v>
      </c>
      <c r="G98" s="1606" t="n">
        <f aca="false">E98*F98/1000</f>
        <v>9574.04524710854</v>
      </c>
      <c r="H98" s="1576" t="n">
        <f aca="false">IF(Assm!$L$74=0,VLOOKUP($A98,Curves_Table,Escalation!$D$291),VLOOKUP($A98,Curves_Table,Escalation!$E$291))</f>
        <v>2.36493839973371</v>
      </c>
      <c r="I98" s="394" t="n">
        <f aca="false">G98/H98</f>
        <v>4048.32753706674</v>
      </c>
      <c r="J98" s="1579" t="str">
        <f aca="false">IF(MONTH($A98)=12,SUM(I87:I98)," ")</f>
        <v> </v>
      </c>
      <c r="L98" s="1607" t="n">
        <f aca="false">IF($A98&gt;Endyr,0,VLOOKUP($A98,Tariff_Table,Tariff!$J$33))</f>
        <v>0.19</v>
      </c>
      <c r="M98" s="1576" t="n">
        <f aca="false">D98</f>
        <v>2.09773009339288</v>
      </c>
      <c r="N98" s="1608" t="n">
        <f aca="false">L98*M98</f>
        <v>0.398568717744647</v>
      </c>
      <c r="O98" s="397" t="n">
        <f aca="false">'Plant Operations'!$I98+'Plant Operations'!$M98</f>
        <v>289336.32</v>
      </c>
      <c r="P98" s="1606" t="n">
        <f aca="false">N98*O98</f>
        <v>115320.406059355</v>
      </c>
      <c r="Q98" s="1565" t="n">
        <f aca="false">$H98</f>
        <v>2.36493839973371</v>
      </c>
      <c r="R98" s="1566" t="n">
        <f aca="false">P98/Q98</f>
        <v>48762.5411606238</v>
      </c>
      <c r="S98" s="1567" t="str">
        <f aca="false">IF(MONTH($A98)=12,SUM(R87:R98)," ")</f>
        <v> </v>
      </c>
    </row>
    <row r="99" customFormat="false" ht="12.75" hidden="false" customHeight="false" outlineLevel="0" collapsed="false">
      <c r="A99" s="1538" t="n">
        <f aca="false">'Plant Operations'!A99</f>
        <v>38899</v>
      </c>
      <c r="C99" s="1595" t="n">
        <f aca="false">IF($A99&gt;Endyr,0,VLOOKUP($A99,Tariff_Table,Tariff!$D$33))</f>
        <v>9508.33839918946</v>
      </c>
      <c r="D99" s="1565" t="n">
        <f aca="false">VLOOKUP($A99,Curves_Table,Escalation!$R$291)</f>
        <v>2.09773009339288</v>
      </c>
      <c r="E99" s="1606" t="n">
        <f aca="false">C99*D99</f>
        <v>19945.9275981428</v>
      </c>
      <c r="F99" s="1540" t="n">
        <f aca="false">'Plant Operations'!C99</f>
        <v>480</v>
      </c>
      <c r="G99" s="1606" t="n">
        <f aca="false">E99*F99/1000</f>
        <v>9574.04524710854</v>
      </c>
      <c r="H99" s="1576" t="n">
        <f aca="false">IF(Assm!$L$74=0,VLOOKUP($A99,Curves_Table,Escalation!$D$291),VLOOKUP($A99,Curves_Table,Escalation!$E$291))</f>
        <v>2.3703870140899</v>
      </c>
      <c r="I99" s="394" t="n">
        <f aca="false">G99/H99</f>
        <v>4039.02197835169</v>
      </c>
      <c r="J99" s="1579" t="str">
        <f aca="false">IF(MONTH($A99)=12,SUM(I88:I99)," ")</f>
        <v> </v>
      </c>
      <c r="L99" s="1607" t="n">
        <f aca="false">IF($A99&gt;Endyr,0,VLOOKUP($A99,Tariff_Table,Tariff!$J$33))</f>
        <v>0.19</v>
      </c>
      <c r="M99" s="1576" t="n">
        <f aca="false">D99</f>
        <v>2.09773009339288</v>
      </c>
      <c r="N99" s="1608" t="n">
        <f aca="false">L99*M99</f>
        <v>0.398568717744647</v>
      </c>
      <c r="O99" s="397" t="n">
        <f aca="false">'Plant Operations'!$I99+'Plant Operations'!$M99</f>
        <v>298980.864</v>
      </c>
      <c r="P99" s="1606" t="n">
        <f aca="false">N99*O99</f>
        <v>119164.419594667</v>
      </c>
      <c r="Q99" s="1565" t="n">
        <f aca="false">$H99</f>
        <v>2.3703870140899</v>
      </c>
      <c r="R99" s="1566" t="n">
        <f aca="false">P99/Q99</f>
        <v>50272.1365272157</v>
      </c>
      <c r="S99" s="1567" t="str">
        <f aca="false">IF(MONTH($A99)=12,SUM(R88:R99)," ")</f>
        <v> </v>
      </c>
    </row>
    <row r="100" customFormat="false" ht="12.75" hidden="false" customHeight="false" outlineLevel="0" collapsed="false">
      <c r="A100" s="1538" t="n">
        <f aca="false">'Plant Operations'!A100</f>
        <v>38930</v>
      </c>
      <c r="C100" s="1595" t="n">
        <f aca="false">IF($A100&gt;Endyr,0,VLOOKUP($A100,Tariff_Table,Tariff!$D$33))</f>
        <v>9508.33839918946</v>
      </c>
      <c r="D100" s="1565" t="n">
        <f aca="false">VLOOKUP($A100,Curves_Table,Escalation!$R$291)</f>
        <v>2.09773009339288</v>
      </c>
      <c r="E100" s="1606" t="n">
        <f aca="false">C100*D100</f>
        <v>19945.9275981428</v>
      </c>
      <c r="F100" s="1540" t="n">
        <f aca="false">'Plant Operations'!C100</f>
        <v>480</v>
      </c>
      <c r="G100" s="1606" t="n">
        <f aca="false">E100*F100/1000</f>
        <v>9574.04524710854</v>
      </c>
      <c r="H100" s="1576" t="n">
        <f aca="false">IF(Assm!$L$74=0,VLOOKUP($A100,Curves_Table,Escalation!$D$291),VLOOKUP($A100,Curves_Table,Escalation!$E$291))</f>
        <v>2.37584818158422</v>
      </c>
      <c r="I100" s="394" t="n">
        <f aca="false">G100/H100</f>
        <v>4029.73780956179</v>
      </c>
      <c r="J100" s="1579" t="str">
        <f aca="false">IF(MONTH($A100)=12,SUM(I89:I100)," ")</f>
        <v> </v>
      </c>
      <c r="L100" s="1607" t="n">
        <f aca="false">IF($A100&gt;Endyr,0,VLOOKUP($A100,Tariff_Table,Tariff!$J$33))</f>
        <v>0.19</v>
      </c>
      <c r="M100" s="1576" t="n">
        <f aca="false">D100</f>
        <v>2.09773009339288</v>
      </c>
      <c r="N100" s="1608" t="n">
        <f aca="false">L100*M100</f>
        <v>0.398568717744647</v>
      </c>
      <c r="O100" s="397" t="n">
        <f aca="false">'Plant Operations'!$I100+'Plant Operations'!$M100</f>
        <v>298980.864</v>
      </c>
      <c r="P100" s="1606" t="n">
        <f aca="false">N100*O100</f>
        <v>119164.419594667</v>
      </c>
      <c r="Q100" s="1565" t="n">
        <f aca="false">$H100</f>
        <v>2.37584818158422</v>
      </c>
      <c r="R100" s="1566" t="n">
        <f aca="false">P100/Q100</f>
        <v>50156.5800872039</v>
      </c>
      <c r="S100" s="1567" t="str">
        <f aca="false">IF(MONTH($A100)=12,SUM(R89:R100)," ")</f>
        <v> </v>
      </c>
    </row>
    <row r="101" customFormat="false" ht="12.75" hidden="false" customHeight="false" outlineLevel="0" collapsed="false">
      <c r="A101" s="1538" t="n">
        <f aca="false">'Plant Operations'!A101</f>
        <v>38961</v>
      </c>
      <c r="C101" s="1595" t="n">
        <f aca="false">IF($A101&gt;Endyr,0,VLOOKUP($A101,Tariff_Table,Tariff!$D$33))</f>
        <v>9508.33839918946</v>
      </c>
      <c r="D101" s="1565" t="n">
        <f aca="false">VLOOKUP($A101,Curves_Table,Escalation!$R$291)</f>
        <v>2.09773009339288</v>
      </c>
      <c r="E101" s="1606" t="n">
        <f aca="false">C101*D101</f>
        <v>19945.9275981428</v>
      </c>
      <c r="F101" s="1540" t="n">
        <f aca="false">'Plant Operations'!C101</f>
        <v>480</v>
      </c>
      <c r="G101" s="1606" t="n">
        <f aca="false">E101*F101/1000</f>
        <v>9574.04524710854</v>
      </c>
      <c r="H101" s="1576" t="n">
        <f aca="false">IF(Assm!$L$74=0,VLOOKUP($A101,Curves_Table,Escalation!$D$291),VLOOKUP($A101,Curves_Table,Escalation!$E$291))</f>
        <v>2.38132193113802</v>
      </c>
      <c r="I101" s="394" t="n">
        <f aca="false">G101/H101</f>
        <v>4020.47498152977</v>
      </c>
      <c r="J101" s="1579" t="str">
        <f aca="false">IF(MONTH($A101)=12,SUM(I90:I101)," ")</f>
        <v> </v>
      </c>
      <c r="L101" s="1607" t="n">
        <f aca="false">IF($A101&gt;Endyr,0,VLOOKUP($A101,Tariff_Table,Tariff!$J$33))</f>
        <v>0.19</v>
      </c>
      <c r="M101" s="1576" t="n">
        <f aca="false">D101</f>
        <v>2.09773009339288</v>
      </c>
      <c r="N101" s="1608" t="n">
        <f aca="false">L101*M101</f>
        <v>0.398568717744647</v>
      </c>
      <c r="O101" s="397" t="n">
        <f aca="false">'Plant Operations'!$I101+'Plant Operations'!$M101</f>
        <v>289336.32</v>
      </c>
      <c r="P101" s="1606" t="n">
        <f aca="false">N101*O101</f>
        <v>115320.406059355</v>
      </c>
      <c r="Q101" s="1565" t="n">
        <f aca="false">$H101</f>
        <v>2.38132193113802</v>
      </c>
      <c r="R101" s="1566" t="n">
        <f aca="false">P101/Q101</f>
        <v>48427.0541296548</v>
      </c>
      <c r="S101" s="1567" t="str">
        <f aca="false">IF(MONTH($A101)=12,SUM(R90:R101)," ")</f>
        <v> </v>
      </c>
    </row>
    <row r="102" customFormat="false" ht="12.75" hidden="false" customHeight="false" outlineLevel="0" collapsed="false">
      <c r="A102" s="1538" t="n">
        <f aca="false">'Plant Operations'!A102</f>
        <v>38991</v>
      </c>
      <c r="C102" s="1595" t="n">
        <f aca="false">IF($A102&gt;Endyr,0,VLOOKUP($A102,Tariff_Table,Tariff!$D$33))</f>
        <v>9508.33839918946</v>
      </c>
      <c r="D102" s="1565" t="n">
        <f aca="false">VLOOKUP($A102,Curves_Table,Escalation!$R$291)</f>
        <v>2.09773009339288</v>
      </c>
      <c r="E102" s="1606" t="n">
        <f aca="false">C102*D102</f>
        <v>19945.9275981428</v>
      </c>
      <c r="F102" s="1540" t="n">
        <f aca="false">'Plant Operations'!C102</f>
        <v>480</v>
      </c>
      <c r="G102" s="1606" t="n">
        <f aca="false">E102*F102/1000</f>
        <v>9574.04524710854</v>
      </c>
      <c r="H102" s="1576" t="n">
        <f aca="false">IF(Assm!$L$74=0,VLOOKUP($A102,Curves_Table,Escalation!$D$291),VLOOKUP($A102,Curves_Table,Escalation!$E$291))</f>
        <v>2.38680829173927</v>
      </c>
      <c r="I102" s="394" t="n">
        <f aca="false">G102/H102</f>
        <v>4011.23344520138</v>
      </c>
      <c r="J102" s="1579" t="str">
        <f aca="false">IF(MONTH($A102)=12,SUM(I91:I102)," ")</f>
        <v> </v>
      </c>
      <c r="L102" s="1607" t="n">
        <f aca="false">IF($A102&gt;Endyr,0,VLOOKUP($A102,Tariff_Table,Tariff!$J$33))</f>
        <v>0.19</v>
      </c>
      <c r="M102" s="1576" t="n">
        <f aca="false">D102</f>
        <v>2.09773009339288</v>
      </c>
      <c r="N102" s="1608" t="n">
        <f aca="false">L102*M102</f>
        <v>0.398568717744647</v>
      </c>
      <c r="O102" s="397" t="n">
        <f aca="false">'Plant Operations'!$I102+'Plant Operations'!$M102</f>
        <v>298980.864</v>
      </c>
      <c r="P102" s="1606" t="n">
        <f aca="false">N102*O102</f>
        <v>119164.419594667</v>
      </c>
      <c r="Q102" s="1565" t="n">
        <f aca="false">$H102</f>
        <v>2.38680829173927</v>
      </c>
      <c r="R102" s="1566" t="n">
        <f aca="false">P102/Q102</f>
        <v>49926.2634569746</v>
      </c>
      <c r="S102" s="1567" t="str">
        <f aca="false">IF(MONTH($A102)=12,SUM(R91:R102)," ")</f>
        <v> </v>
      </c>
    </row>
    <row r="103" customFormat="false" ht="12.75" hidden="false" customHeight="false" outlineLevel="0" collapsed="false">
      <c r="A103" s="1538" t="n">
        <f aca="false">'Plant Operations'!A103</f>
        <v>39022</v>
      </c>
      <c r="C103" s="1595" t="n">
        <f aca="false">IF($A103&gt;Endyr,0,VLOOKUP($A103,Tariff_Table,Tariff!$D$33))</f>
        <v>9508.33839918946</v>
      </c>
      <c r="D103" s="1565" t="n">
        <f aca="false">VLOOKUP($A103,Curves_Table,Escalation!$R$291)</f>
        <v>2.09773009339288</v>
      </c>
      <c r="E103" s="1606" t="n">
        <f aca="false">C103*D103</f>
        <v>19945.9275981428</v>
      </c>
      <c r="F103" s="1540" t="n">
        <f aca="false">'Plant Operations'!C103</f>
        <v>480</v>
      </c>
      <c r="G103" s="1606" t="n">
        <f aca="false">E103*F103/1000</f>
        <v>9574.04524710854</v>
      </c>
      <c r="H103" s="1576" t="n">
        <f aca="false">IF(Assm!$L$74=0,VLOOKUP($A103,Curves_Table,Escalation!$D$291),VLOOKUP($A103,Curves_Table,Escalation!$E$291))</f>
        <v>2.39230729244276</v>
      </c>
      <c r="I103" s="394" t="n">
        <f aca="false">G103/H103</f>
        <v>4002.01315163512</v>
      </c>
      <c r="J103" s="1579" t="str">
        <f aca="false">IF(MONTH($A103)=12,SUM(I92:I103)," ")</f>
        <v> </v>
      </c>
      <c r="L103" s="1607" t="n">
        <f aca="false">IF($A103&gt;Endyr,0,VLOOKUP($A103,Tariff_Table,Tariff!$J$33))</f>
        <v>0.19</v>
      </c>
      <c r="M103" s="1576" t="n">
        <f aca="false">D103</f>
        <v>2.09773009339288</v>
      </c>
      <c r="N103" s="1608" t="n">
        <f aca="false">L103*M103</f>
        <v>0.398568717744647</v>
      </c>
      <c r="O103" s="397" t="n">
        <f aca="false">'Plant Operations'!$I103+'Plant Operations'!$M103</f>
        <v>289336.32</v>
      </c>
      <c r="P103" s="1606" t="n">
        <f aca="false">N103*O103</f>
        <v>115320.406059355</v>
      </c>
      <c r="Q103" s="1565" t="n">
        <f aca="false">$H103</f>
        <v>2.39230729244276</v>
      </c>
      <c r="R103" s="1566" t="n">
        <f aca="false">P103/Q103</f>
        <v>48204.6794003634</v>
      </c>
      <c r="S103" s="1567" t="str">
        <f aca="false">IF(MONTH($A103)=12,SUM(R92:R103)," ")</f>
        <v> </v>
      </c>
    </row>
    <row r="104" customFormat="false" ht="12.75" hidden="false" customHeight="false" outlineLevel="0" collapsed="false">
      <c r="A104" s="1538" t="n">
        <f aca="false">'Plant Operations'!A104</f>
        <v>39052</v>
      </c>
      <c r="C104" s="1595" t="n">
        <f aca="false">IF($A104&gt;Endyr,0,VLOOKUP($A104,Tariff_Table,Tariff!$D$33))</f>
        <v>9508.33839918946</v>
      </c>
      <c r="D104" s="1565" t="n">
        <f aca="false">VLOOKUP($A104,Curves_Table,Escalation!$R$291)</f>
        <v>2.09773009339288</v>
      </c>
      <c r="E104" s="1606" t="n">
        <f aca="false">C104*D104</f>
        <v>19945.9275981428</v>
      </c>
      <c r="F104" s="1540" t="n">
        <f aca="false">'Plant Operations'!C104</f>
        <v>480</v>
      </c>
      <c r="G104" s="1606" t="n">
        <f aca="false">E104*F104/1000</f>
        <v>9574.04524710854</v>
      </c>
      <c r="H104" s="1576" t="n">
        <f aca="false">IF(Assm!$L$74=0,VLOOKUP($A104,Curves_Table,Escalation!$D$291),VLOOKUP($A104,Curves_Table,Escalation!$E$291))</f>
        <v>2.39781896237018</v>
      </c>
      <c r="I104" s="394" t="n">
        <f aca="false">G104/H104</f>
        <v>3992.81405200201</v>
      </c>
      <c r="J104" s="1579" t="n">
        <f aca="false">IF(MONTH($A104)=12,SUM(I93:I104)," ")</f>
        <v>47709.5338708173</v>
      </c>
      <c r="L104" s="1607" t="n">
        <f aca="false">IF($A104&gt;Endyr,0,VLOOKUP($A104,Tariff_Table,Tariff!$J$33))</f>
        <v>0.19</v>
      </c>
      <c r="M104" s="1576" t="n">
        <f aca="false">D104</f>
        <v>2.09773009339288</v>
      </c>
      <c r="N104" s="1608" t="n">
        <f aca="false">L104*M104</f>
        <v>0.398568717744647</v>
      </c>
      <c r="O104" s="397" t="n">
        <f aca="false">'Plant Operations'!$I104+'Plant Operations'!$M104</f>
        <v>298980.864</v>
      </c>
      <c r="P104" s="1606" t="n">
        <f aca="false">N104*O104</f>
        <v>119164.419594667</v>
      </c>
      <c r="Q104" s="1565" t="n">
        <f aca="false">$H104</f>
        <v>2.39781896237018</v>
      </c>
      <c r="R104" s="1566" t="n">
        <f aca="false">P104/Q104</f>
        <v>49697.0044297572</v>
      </c>
      <c r="S104" s="1567" t="n">
        <f aca="false">IF(MONTH($A104)=12,SUM(R93:R104)," ")</f>
        <v>578860.247122484</v>
      </c>
    </row>
    <row r="105" customFormat="false" ht="12.75" hidden="false" customHeight="false" outlineLevel="0" collapsed="false">
      <c r="A105" s="1538" t="n">
        <f aca="false">'Plant Operations'!A105</f>
        <v>39083</v>
      </c>
      <c r="C105" s="1595" t="n">
        <f aca="false">IF($A105&gt;Endyr,0,VLOOKUP($A105,Tariff_Table,Tariff!$D$33))</f>
        <v>9508.33839918946</v>
      </c>
      <c r="D105" s="1565" t="n">
        <f aca="false">VLOOKUP($A105,Curves_Table,Escalation!$R$291)</f>
        <v>2.09773009339288</v>
      </c>
      <c r="E105" s="1606" t="n">
        <f aca="false">C105*D105</f>
        <v>19945.9275981428</v>
      </c>
      <c r="F105" s="1540" t="n">
        <f aca="false">'Plant Operations'!C105</f>
        <v>480</v>
      </c>
      <c r="G105" s="1606" t="n">
        <f aca="false">E105*F105/1000</f>
        <v>9574.04524710854</v>
      </c>
      <c r="H105" s="1576" t="n">
        <f aca="false">IF(Assm!$L$74=0,VLOOKUP($A105,Curves_Table,Escalation!$D$291),VLOOKUP($A105,Curves_Table,Escalation!$E$291))</f>
        <v>2.40318207825579</v>
      </c>
      <c r="I105" s="394" t="n">
        <f aca="false">G105/H105</f>
        <v>3983.9033978055</v>
      </c>
      <c r="J105" s="1579" t="str">
        <f aca="false">IF(MONTH($A105)=12,SUM(I94:I105)," ")</f>
        <v> </v>
      </c>
      <c r="L105" s="1607" t="n">
        <f aca="false">IF($A105&gt;Endyr,0,VLOOKUP($A105,Tariff_Table,Tariff!$J$33))</f>
        <v>0.19</v>
      </c>
      <c r="M105" s="1576" t="n">
        <f aca="false">D105</f>
        <v>2.09773009339288</v>
      </c>
      <c r="N105" s="1608" t="n">
        <f aca="false">L105*M105</f>
        <v>0.398568717744647</v>
      </c>
      <c r="O105" s="397" t="n">
        <f aca="false">'Plant Operations'!$I105+'Plant Operations'!$M105</f>
        <v>298980.864</v>
      </c>
      <c r="P105" s="1606" t="n">
        <f aca="false">N105*O105</f>
        <v>119164.419594667</v>
      </c>
      <c r="Q105" s="1565" t="n">
        <f aca="false">$H105</f>
        <v>2.40318207825579</v>
      </c>
      <c r="R105" s="1566" t="n">
        <f aca="false">P105/Q105</f>
        <v>49586.0969806978</v>
      </c>
      <c r="S105" s="1567" t="str">
        <f aca="false">IF(MONTH($A105)=12,SUM(R94:R105)," ")</f>
        <v> </v>
      </c>
    </row>
    <row r="106" customFormat="false" ht="12.75" hidden="false" customHeight="false" outlineLevel="0" collapsed="false">
      <c r="A106" s="1538" t="n">
        <f aca="false">'Plant Operations'!A106</f>
        <v>39114</v>
      </c>
      <c r="C106" s="1595" t="n">
        <f aca="false">IF($A106&gt;Endyr,0,VLOOKUP($A106,Tariff_Table,Tariff!$D$33))</f>
        <v>9508.33839918946</v>
      </c>
      <c r="D106" s="1565" t="n">
        <f aca="false">VLOOKUP($A106,Curves_Table,Escalation!$R$291)</f>
        <v>2.09773009339288</v>
      </c>
      <c r="E106" s="1606" t="n">
        <f aca="false">C106*D106</f>
        <v>19945.9275981428</v>
      </c>
      <c r="F106" s="1540" t="n">
        <f aca="false">'Plant Operations'!C106</f>
        <v>480</v>
      </c>
      <c r="G106" s="1606" t="n">
        <f aca="false">E106*F106/1000</f>
        <v>9574.04524710854</v>
      </c>
      <c r="H106" s="1576" t="n">
        <f aca="false">IF(Assm!$L$74=0,VLOOKUP($A106,Curves_Table,Escalation!$D$291),VLOOKUP($A106,Curves_Table,Escalation!$E$291))</f>
        <v>2.40855718963083</v>
      </c>
      <c r="I106" s="394" t="n">
        <f aca="false">G106/H106</f>
        <v>3975.01262927288</v>
      </c>
      <c r="J106" s="1579" t="str">
        <f aca="false">IF(MONTH($A106)=12,SUM(I95:I106)," ")</f>
        <v> </v>
      </c>
      <c r="L106" s="1607" t="n">
        <f aca="false">IF($A106&gt;Endyr,0,VLOOKUP($A106,Tariff_Table,Tariff!$J$33))</f>
        <v>0.19</v>
      </c>
      <c r="M106" s="1576" t="n">
        <f aca="false">D106</f>
        <v>2.09773009339288</v>
      </c>
      <c r="N106" s="1608" t="n">
        <f aca="false">L106*M106</f>
        <v>0.398568717744647</v>
      </c>
      <c r="O106" s="397" t="n">
        <f aca="false">'Plant Operations'!$I106+'Plant Operations'!$M106</f>
        <v>270047.232</v>
      </c>
      <c r="P106" s="1606" t="n">
        <f aca="false">N106*O106</f>
        <v>107632.378988731</v>
      </c>
      <c r="Q106" s="1565" t="n">
        <f aca="false">$H106</f>
        <v>2.40855718963083</v>
      </c>
      <c r="R106" s="1566" t="n">
        <f aca="false">P106/Q106</f>
        <v>44687.4915206927</v>
      </c>
      <c r="S106" s="1567" t="str">
        <f aca="false">IF(MONTH($A106)=12,SUM(R95:R106)," ")</f>
        <v> </v>
      </c>
    </row>
    <row r="107" customFormat="false" ht="12.75" hidden="false" customHeight="false" outlineLevel="0" collapsed="false">
      <c r="A107" s="1538" t="n">
        <f aca="false">'Plant Operations'!A107</f>
        <v>39142</v>
      </c>
      <c r="C107" s="1595" t="n">
        <f aca="false">IF($A107&gt;Endyr,0,VLOOKUP($A107,Tariff_Table,Tariff!$D$33))</f>
        <v>9508.33839918946</v>
      </c>
      <c r="D107" s="1565" t="n">
        <f aca="false">VLOOKUP($A107,Curves_Table,Escalation!$R$291)</f>
        <v>2.09773009339288</v>
      </c>
      <c r="E107" s="1606" t="n">
        <f aca="false">C107*D107</f>
        <v>19945.9275981428</v>
      </c>
      <c r="F107" s="1540" t="n">
        <f aca="false">'Plant Operations'!C107</f>
        <v>480</v>
      </c>
      <c r="G107" s="1606" t="n">
        <f aca="false">E107*F107/1000</f>
        <v>9574.04524710854</v>
      </c>
      <c r="H107" s="1576" t="n">
        <f aca="false">IF(Assm!$L$74=0,VLOOKUP($A107,Curves_Table,Escalation!$D$291),VLOOKUP($A107,Curves_Table,Escalation!$E$291))</f>
        <v>2.41394432332517</v>
      </c>
      <c r="I107" s="394" t="n">
        <f aca="false">G107/H107</f>
        <v>3966.14170202585</v>
      </c>
      <c r="J107" s="1579" t="str">
        <f aca="false">IF(MONTH($A107)=12,SUM(I96:I107)," ")</f>
        <v> </v>
      </c>
      <c r="L107" s="1607" t="n">
        <f aca="false">IF($A107&gt;Endyr,0,VLOOKUP($A107,Tariff_Table,Tariff!$J$33))</f>
        <v>0.19</v>
      </c>
      <c r="M107" s="1576" t="n">
        <f aca="false">D107</f>
        <v>2.09773009339288</v>
      </c>
      <c r="N107" s="1608" t="n">
        <f aca="false">L107*M107</f>
        <v>0.398568717744647</v>
      </c>
      <c r="O107" s="397" t="n">
        <f aca="false">'Plant Operations'!$I107+'Plant Operations'!$M107</f>
        <v>298980.864</v>
      </c>
      <c r="P107" s="1606" t="n">
        <f aca="false">N107*O107</f>
        <v>119164.419594667</v>
      </c>
      <c r="Q107" s="1565" t="n">
        <f aca="false">$H107</f>
        <v>2.41394432332517</v>
      </c>
      <c r="R107" s="1566" t="n">
        <f aca="false">P107/Q107</f>
        <v>49365.0240576052</v>
      </c>
      <c r="S107" s="1567" t="str">
        <f aca="false">IF(MONTH($A107)=12,SUM(R96:R107)," ")</f>
        <v> </v>
      </c>
    </row>
    <row r="108" customFormat="false" ht="12.75" hidden="false" customHeight="false" outlineLevel="0" collapsed="false">
      <c r="A108" s="1538" t="n">
        <f aca="false">'Plant Operations'!A108</f>
        <v>39173</v>
      </c>
      <c r="C108" s="1595" t="n">
        <f aca="false">IF($A108&gt;Endyr,0,VLOOKUP($A108,Tariff_Table,Tariff!$D$33))</f>
        <v>9508.33839918946</v>
      </c>
      <c r="D108" s="1565" t="n">
        <f aca="false">VLOOKUP($A108,Curves_Table,Escalation!$R$291)</f>
        <v>2.09773009339288</v>
      </c>
      <c r="E108" s="1606" t="n">
        <f aca="false">C108*D108</f>
        <v>19945.9275981428</v>
      </c>
      <c r="F108" s="1540" t="n">
        <f aca="false">'Plant Operations'!C108</f>
        <v>480</v>
      </c>
      <c r="G108" s="1606" t="n">
        <f aca="false">E108*F108/1000</f>
        <v>9574.04524710854</v>
      </c>
      <c r="H108" s="1576" t="n">
        <f aca="false">IF(Assm!$L$74=0,VLOOKUP($A108,Curves_Table,Escalation!$D$291),VLOOKUP($A108,Curves_Table,Escalation!$E$291))</f>
        <v>2.41934350622871</v>
      </c>
      <c r="I108" s="394" t="n">
        <f aca="false">G108/H108</f>
        <v>3957.29057178517</v>
      </c>
      <c r="J108" s="1579" t="str">
        <f aca="false">IF(MONTH($A108)=12,SUM(I97:I108)," ")</f>
        <v> </v>
      </c>
      <c r="L108" s="1607" t="n">
        <f aca="false">IF($A108&gt;Endyr,0,VLOOKUP($A108,Tariff_Table,Tariff!$J$33))</f>
        <v>0.19</v>
      </c>
      <c r="M108" s="1576" t="n">
        <f aca="false">D108</f>
        <v>2.09773009339288</v>
      </c>
      <c r="N108" s="1608" t="n">
        <f aca="false">L108*M108</f>
        <v>0.398568717744647</v>
      </c>
      <c r="O108" s="397" t="n">
        <f aca="false">'Plant Operations'!$I108+'Plant Operations'!$M108</f>
        <v>289336.32</v>
      </c>
      <c r="P108" s="1606" t="n">
        <f aca="false">N108*O108</f>
        <v>115320.406059355</v>
      </c>
      <c r="Q108" s="1565" t="n">
        <f aca="false">$H108</f>
        <v>2.41934350622871</v>
      </c>
      <c r="R108" s="1566" t="n">
        <f aca="false">P108/Q108</f>
        <v>47665.9911097606</v>
      </c>
      <c r="S108" s="1567" t="str">
        <f aca="false">IF(MONTH($A108)=12,SUM(R97:R108)," ")</f>
        <v> </v>
      </c>
    </row>
    <row r="109" customFormat="false" ht="12.75" hidden="false" customHeight="false" outlineLevel="0" collapsed="false">
      <c r="A109" s="1538" t="n">
        <f aca="false">'Plant Operations'!A109</f>
        <v>39203</v>
      </c>
      <c r="C109" s="1595" t="n">
        <f aca="false">IF($A109&gt;Endyr,0,VLOOKUP($A109,Tariff_Table,Tariff!$D$33))</f>
        <v>8615.71284125379</v>
      </c>
      <c r="D109" s="1565" t="n">
        <f aca="false">VLOOKUP($A109,Curves_Table,Escalation!$R$291)</f>
        <v>2.25505985039734</v>
      </c>
      <c r="E109" s="1606" t="n">
        <f aca="false">C109*D109</f>
        <v>19428.9481108642</v>
      </c>
      <c r="F109" s="1540" t="n">
        <f aca="false">'Plant Operations'!C109</f>
        <v>480</v>
      </c>
      <c r="G109" s="1606" t="n">
        <f aca="false">E109*F109/1000</f>
        <v>9325.89509321484</v>
      </c>
      <c r="H109" s="1576" t="n">
        <f aca="false">IF(Assm!$L$74=0,VLOOKUP($A109,Curves_Table,Escalation!$D$291),VLOOKUP($A109,Curves_Table,Escalation!$E$291))</f>
        <v>2.42475476529148</v>
      </c>
      <c r="I109" s="394" t="n">
        <f aca="false">G109/H109</f>
        <v>3846.11888456017</v>
      </c>
      <c r="J109" s="1579" t="str">
        <f aca="false">IF(MONTH($A109)=12,SUM(I98:I109)," ")</f>
        <v> </v>
      </c>
      <c r="L109" s="1607" t="n">
        <f aca="false">IF($A109&gt;Endyr,0,VLOOKUP($A109,Tariff_Table,Tariff!$J$33))</f>
        <v>0.19</v>
      </c>
      <c r="M109" s="1576" t="n">
        <f aca="false">D109</f>
        <v>2.25505985039734</v>
      </c>
      <c r="N109" s="1608" t="n">
        <f aca="false">L109*M109</f>
        <v>0.428461371575495</v>
      </c>
      <c r="O109" s="397" t="n">
        <f aca="false">'Plant Operations'!$I109+'Plant Operations'!$M109</f>
        <v>298980.864</v>
      </c>
      <c r="P109" s="1606" t="n">
        <f aca="false">N109*O109</f>
        <v>128101.751064267</v>
      </c>
      <c r="Q109" s="1565" t="n">
        <f aca="false">$H109</f>
        <v>2.42475476529148</v>
      </c>
      <c r="R109" s="1566" t="n">
        <f aca="false">P109/Q109</f>
        <v>52830.8070151859</v>
      </c>
      <c r="S109" s="1567" t="str">
        <f aca="false">IF(MONTH($A109)=12,SUM(R98:R109)," ")</f>
        <v> </v>
      </c>
    </row>
    <row r="110" customFormat="false" ht="12.75" hidden="false" customHeight="false" outlineLevel="0" collapsed="false">
      <c r="A110" s="1538" t="n">
        <f aca="false">'Plant Operations'!A110</f>
        <v>39234</v>
      </c>
      <c r="C110" s="1595" t="n">
        <f aca="false">IF($A110&gt;Endyr,0,VLOOKUP($A110,Tariff_Table,Tariff!$D$33))</f>
        <v>8615.71284125379</v>
      </c>
      <c r="D110" s="1565" t="n">
        <f aca="false">VLOOKUP($A110,Curves_Table,Escalation!$R$291)</f>
        <v>2.25505985039734</v>
      </c>
      <c r="E110" s="1606" t="n">
        <f aca="false">C110*D110</f>
        <v>19428.9481108642</v>
      </c>
      <c r="F110" s="1540" t="n">
        <f aca="false">'Plant Operations'!C110</f>
        <v>480</v>
      </c>
      <c r="G110" s="1606" t="n">
        <f aca="false">E110*F110/1000</f>
        <v>9325.89509321484</v>
      </c>
      <c r="H110" s="1576" t="n">
        <f aca="false">IF(Assm!$L$74=0,VLOOKUP($A110,Curves_Table,Escalation!$D$291),VLOOKUP($A110,Curves_Table,Escalation!$E$291))</f>
        <v>2.4301781275238</v>
      </c>
      <c r="I110" s="394" t="n">
        <f aca="false">G110/H110</f>
        <v>3837.53560596702</v>
      </c>
      <c r="J110" s="1579" t="str">
        <f aca="false">IF(MONTH($A110)=12,SUM(I99:I110)," ")</f>
        <v> </v>
      </c>
      <c r="L110" s="1607" t="n">
        <f aca="false">IF($A110&gt;Endyr,0,VLOOKUP($A110,Tariff_Table,Tariff!$J$33))</f>
        <v>0.19</v>
      </c>
      <c r="M110" s="1576" t="n">
        <f aca="false">D110</f>
        <v>2.25505985039734</v>
      </c>
      <c r="N110" s="1608" t="n">
        <f aca="false">L110*M110</f>
        <v>0.428461371575495</v>
      </c>
      <c r="O110" s="397" t="n">
        <f aca="false">'Plant Operations'!$I110+'Plant Operations'!$M110</f>
        <v>289336.32</v>
      </c>
      <c r="P110" s="1606" t="n">
        <f aca="false">N110*O110</f>
        <v>123969.436513806</v>
      </c>
      <c r="Q110" s="1565" t="n">
        <f aca="false">$H110</f>
        <v>2.4301781275238</v>
      </c>
      <c r="R110" s="1566" t="n">
        <f aca="false">P110/Q110</f>
        <v>51012.4896235996</v>
      </c>
      <c r="S110" s="1567" t="str">
        <f aca="false">IF(MONTH($A110)=12,SUM(R99:R110)," ")</f>
        <v> </v>
      </c>
    </row>
    <row r="111" customFormat="false" ht="12.75" hidden="false" customHeight="false" outlineLevel="0" collapsed="false">
      <c r="A111" s="1538" t="n">
        <f aca="false">'Plant Operations'!A111</f>
        <v>39264</v>
      </c>
      <c r="C111" s="1595" t="n">
        <f aca="false">IF($A111&gt;Endyr,0,VLOOKUP($A111,Tariff_Table,Tariff!$D$33))</f>
        <v>8615.71284125379</v>
      </c>
      <c r="D111" s="1565" t="n">
        <f aca="false">VLOOKUP($A111,Curves_Table,Escalation!$R$291)</f>
        <v>2.25505985039734</v>
      </c>
      <c r="E111" s="1606" t="n">
        <f aca="false">C111*D111</f>
        <v>19428.9481108642</v>
      </c>
      <c r="F111" s="1540" t="n">
        <f aca="false">'Plant Operations'!C111</f>
        <v>480</v>
      </c>
      <c r="G111" s="1606" t="n">
        <f aca="false">E111*F111/1000</f>
        <v>9325.89509321484</v>
      </c>
      <c r="H111" s="1576" t="n">
        <f aca="false">IF(Assm!$L$74=0,VLOOKUP($A111,Curves_Table,Escalation!$D$291),VLOOKUP($A111,Curves_Table,Escalation!$E$291))</f>
        <v>2.43561361999639</v>
      </c>
      <c r="I111" s="394" t="n">
        <f aca="false">G111/H111</f>
        <v>3828.97148244255</v>
      </c>
      <c r="J111" s="1579" t="str">
        <f aca="false">IF(MONTH($A111)=12,SUM(I100:I111)," ")</f>
        <v> </v>
      </c>
      <c r="L111" s="1607" t="n">
        <f aca="false">IF($A111&gt;Endyr,0,VLOOKUP($A111,Tariff_Table,Tariff!$J$33))</f>
        <v>0.19</v>
      </c>
      <c r="M111" s="1576" t="n">
        <f aca="false">D111</f>
        <v>2.25505985039734</v>
      </c>
      <c r="N111" s="1608" t="n">
        <f aca="false">L111*M111</f>
        <v>0.428461371575495</v>
      </c>
      <c r="O111" s="397" t="n">
        <f aca="false">'Plant Operations'!$I111+'Plant Operations'!$M111</f>
        <v>298980.864</v>
      </c>
      <c r="P111" s="1606" t="n">
        <f aca="false">N111*O111</f>
        <v>128101.751064267</v>
      </c>
      <c r="Q111" s="1565" t="n">
        <f aca="false">$H111</f>
        <v>2.43561361999639</v>
      </c>
      <c r="R111" s="1566" t="n">
        <f aca="false">P111/Q111</f>
        <v>52595.2679901899</v>
      </c>
      <c r="S111" s="1567" t="str">
        <f aca="false">IF(MONTH($A111)=12,SUM(R100:R111)," ")</f>
        <v> </v>
      </c>
    </row>
    <row r="112" customFormat="false" ht="12.75" hidden="false" customHeight="false" outlineLevel="0" collapsed="false">
      <c r="A112" s="1538" t="n">
        <f aca="false">'Plant Operations'!A112</f>
        <v>39295</v>
      </c>
      <c r="C112" s="1595" t="n">
        <f aca="false">IF($A112&gt;Endyr,0,VLOOKUP($A112,Tariff_Table,Tariff!$D$33))</f>
        <v>8615.71284125379</v>
      </c>
      <c r="D112" s="1565" t="n">
        <f aca="false">VLOOKUP($A112,Curves_Table,Escalation!$R$291)</f>
        <v>2.25505985039734</v>
      </c>
      <c r="E112" s="1606" t="n">
        <f aca="false">C112*D112</f>
        <v>19428.9481108642</v>
      </c>
      <c r="F112" s="1540" t="n">
        <f aca="false">'Plant Operations'!C112</f>
        <v>480</v>
      </c>
      <c r="G112" s="1606" t="n">
        <f aca="false">E112*F112/1000</f>
        <v>9325.89509321484</v>
      </c>
      <c r="H112" s="1576" t="n">
        <f aca="false">IF(Assm!$L$74=0,VLOOKUP($A112,Curves_Table,Escalation!$D$291),VLOOKUP($A112,Curves_Table,Escalation!$E$291))</f>
        <v>2.44106126984052</v>
      </c>
      <c r="I112" s="394" t="n">
        <f aca="false">G112/H112</f>
        <v>3820.42647123893</v>
      </c>
      <c r="J112" s="1579" t="str">
        <f aca="false">IF(MONTH($A112)=12,SUM(I101:I112)," ")</f>
        <v> </v>
      </c>
      <c r="L112" s="1607" t="n">
        <f aca="false">IF($A112&gt;Endyr,0,VLOOKUP($A112,Tariff_Table,Tariff!$J$33))</f>
        <v>0.19</v>
      </c>
      <c r="M112" s="1576" t="n">
        <f aca="false">D112</f>
        <v>2.25505985039734</v>
      </c>
      <c r="N112" s="1608" t="n">
        <f aca="false">L112*M112</f>
        <v>0.428461371575495</v>
      </c>
      <c r="O112" s="397" t="n">
        <f aca="false">'Plant Operations'!$I112+'Plant Operations'!$M112</f>
        <v>298980.864</v>
      </c>
      <c r="P112" s="1606" t="n">
        <f aca="false">N112*O112</f>
        <v>128101.751064267</v>
      </c>
      <c r="Q112" s="1565" t="n">
        <f aca="false">$H112</f>
        <v>2.44106126984052</v>
      </c>
      <c r="R112" s="1566" t="n">
        <f aca="false">P112/Q112</f>
        <v>52477.8925654069</v>
      </c>
      <c r="S112" s="1567" t="str">
        <f aca="false">IF(MONTH($A112)=12,SUM(R101:R112)," ")</f>
        <v> </v>
      </c>
    </row>
    <row r="113" customFormat="false" ht="12.75" hidden="false" customHeight="false" outlineLevel="0" collapsed="false">
      <c r="A113" s="1538" t="n">
        <f aca="false">'Plant Operations'!A113</f>
        <v>39326</v>
      </c>
      <c r="C113" s="1595" t="n">
        <f aca="false">IF($A113&gt;Endyr,0,VLOOKUP($A113,Tariff_Table,Tariff!$D$33))</f>
        <v>8615.71284125379</v>
      </c>
      <c r="D113" s="1565" t="n">
        <f aca="false">VLOOKUP($A113,Curves_Table,Escalation!$R$291)</f>
        <v>2.25505985039734</v>
      </c>
      <c r="E113" s="1606" t="n">
        <f aca="false">C113*D113</f>
        <v>19428.9481108642</v>
      </c>
      <c r="F113" s="1540" t="n">
        <f aca="false">'Plant Operations'!C113</f>
        <v>480</v>
      </c>
      <c r="G113" s="1606" t="n">
        <f aca="false">E113*F113/1000</f>
        <v>9325.89509321484</v>
      </c>
      <c r="H113" s="1576" t="n">
        <f aca="false">IF(Assm!$L$74=0,VLOOKUP($A113,Curves_Table,Escalation!$D$291),VLOOKUP($A113,Curves_Table,Escalation!$E$291))</f>
        <v>2.44652110424816</v>
      </c>
      <c r="I113" s="394" t="n">
        <f aca="false">G113/H113</f>
        <v>3811.9005297037</v>
      </c>
      <c r="J113" s="1579" t="str">
        <f aca="false">IF(MONTH($A113)=12,SUM(I102:I113)," ")</f>
        <v> </v>
      </c>
      <c r="L113" s="1607" t="n">
        <f aca="false">IF($A113&gt;Endyr,0,VLOOKUP($A113,Tariff_Table,Tariff!$J$33))</f>
        <v>0.19</v>
      </c>
      <c r="M113" s="1576" t="n">
        <f aca="false">D113</f>
        <v>2.25505985039734</v>
      </c>
      <c r="N113" s="1608" t="n">
        <f aca="false">L113*M113</f>
        <v>0.428461371575495</v>
      </c>
      <c r="O113" s="397" t="n">
        <f aca="false">'Plant Operations'!$I113+'Plant Operations'!$M113</f>
        <v>289336.32</v>
      </c>
      <c r="P113" s="1606" t="n">
        <f aca="false">N113*O113</f>
        <v>123969.436513806</v>
      </c>
      <c r="Q113" s="1565" t="n">
        <f aca="false">$H113</f>
        <v>2.44652110424816</v>
      </c>
      <c r="R113" s="1566" t="n">
        <f aca="false">P113/Q113</f>
        <v>50671.7216943458</v>
      </c>
      <c r="S113" s="1567" t="str">
        <f aca="false">IF(MONTH($A113)=12,SUM(R102:R113)," ")</f>
        <v> </v>
      </c>
    </row>
    <row r="114" customFormat="false" ht="12.75" hidden="false" customHeight="false" outlineLevel="0" collapsed="false">
      <c r="A114" s="1538" t="n">
        <f aca="false">'Plant Operations'!A114</f>
        <v>39356</v>
      </c>
      <c r="C114" s="1595" t="n">
        <f aca="false">IF($A114&gt;Endyr,0,VLOOKUP($A114,Tariff_Table,Tariff!$D$33))</f>
        <v>8615.71284125379</v>
      </c>
      <c r="D114" s="1565" t="n">
        <f aca="false">VLOOKUP($A114,Curves_Table,Escalation!$R$291)</f>
        <v>2.25505985039734</v>
      </c>
      <c r="E114" s="1606" t="n">
        <f aca="false">C114*D114</f>
        <v>19428.9481108642</v>
      </c>
      <c r="F114" s="1540" t="n">
        <f aca="false">'Plant Operations'!C114</f>
        <v>480</v>
      </c>
      <c r="G114" s="1606" t="n">
        <f aca="false">E114*F114/1000</f>
        <v>9325.89509321484</v>
      </c>
      <c r="H114" s="1576" t="n">
        <f aca="false">IF(Assm!$L$74=0,VLOOKUP($A114,Curves_Table,Escalation!$D$291),VLOOKUP($A114,Curves_Table,Escalation!$E$291))</f>
        <v>2.45199315047208</v>
      </c>
      <c r="I114" s="394" t="n">
        <f aca="false">G114/H114</f>
        <v>3803.39361527961</v>
      </c>
      <c r="J114" s="1579" t="str">
        <f aca="false">IF(MONTH($A114)=12,SUM(I103:I114)," ")</f>
        <v> </v>
      </c>
      <c r="L114" s="1607" t="n">
        <f aca="false">IF($A114&gt;Endyr,0,VLOOKUP($A114,Tariff_Table,Tariff!$J$33))</f>
        <v>0.19</v>
      </c>
      <c r="M114" s="1576" t="n">
        <f aca="false">D114</f>
        <v>2.25505985039734</v>
      </c>
      <c r="N114" s="1608" t="n">
        <f aca="false">L114*M114</f>
        <v>0.428461371575495</v>
      </c>
      <c r="O114" s="397" t="n">
        <f aca="false">'Plant Operations'!$I114+'Plant Operations'!$M114</f>
        <v>298980.864</v>
      </c>
      <c r="P114" s="1606" t="n">
        <f aca="false">N114*O114</f>
        <v>128101.751064267</v>
      </c>
      <c r="Q114" s="1565" t="n">
        <f aca="false">$H114</f>
        <v>2.45199315047208</v>
      </c>
      <c r="R114" s="1566" t="n">
        <f aca="false">P114/Q114</f>
        <v>52243.9269618691</v>
      </c>
      <c r="S114" s="1567" t="str">
        <f aca="false">IF(MONTH($A114)=12,SUM(R103:R114)," ")</f>
        <v> </v>
      </c>
    </row>
    <row r="115" customFormat="false" ht="12.75" hidden="false" customHeight="false" outlineLevel="0" collapsed="false">
      <c r="A115" s="1538" t="n">
        <f aca="false">'Plant Operations'!A115</f>
        <v>39387</v>
      </c>
      <c r="C115" s="1595" t="n">
        <f aca="false">IF($A115&gt;Endyr,0,VLOOKUP($A115,Tariff_Table,Tariff!$D$33))</f>
        <v>8615.71284125379</v>
      </c>
      <c r="D115" s="1565" t="n">
        <f aca="false">VLOOKUP($A115,Curves_Table,Escalation!$R$291)</f>
        <v>2.25505985039734</v>
      </c>
      <c r="E115" s="1606" t="n">
        <f aca="false">C115*D115</f>
        <v>19428.9481108642</v>
      </c>
      <c r="F115" s="1540" t="n">
        <f aca="false">'Plant Operations'!C115</f>
        <v>480</v>
      </c>
      <c r="G115" s="1606" t="n">
        <f aca="false">E115*F115/1000</f>
        <v>9325.89509321484</v>
      </c>
      <c r="H115" s="1576" t="n">
        <f aca="false">IF(Assm!$L$74=0,VLOOKUP($A115,Curves_Table,Escalation!$D$291),VLOOKUP($A115,Curves_Table,Escalation!$E$291))</f>
        <v>2.45747743582601</v>
      </c>
      <c r="I115" s="394" t="n">
        <f aca="false">G115/H115</f>
        <v>3794.90568550437</v>
      </c>
      <c r="J115" s="1579" t="str">
        <f aca="false">IF(MONTH($A115)=12,SUM(I104:I115)," ")</f>
        <v> </v>
      </c>
      <c r="L115" s="1607" t="n">
        <f aca="false">IF($A115&gt;Endyr,0,VLOOKUP($A115,Tariff_Table,Tariff!$J$33))</f>
        <v>0.19</v>
      </c>
      <c r="M115" s="1576" t="n">
        <f aca="false">D115</f>
        <v>2.25505985039734</v>
      </c>
      <c r="N115" s="1608" t="n">
        <f aca="false">L115*M115</f>
        <v>0.428461371575495</v>
      </c>
      <c r="O115" s="397" t="n">
        <f aca="false">'Plant Operations'!$I115+'Plant Operations'!$M115</f>
        <v>289336.32</v>
      </c>
      <c r="P115" s="1606" t="n">
        <f aca="false">N115*O115</f>
        <v>123969.436513806</v>
      </c>
      <c r="Q115" s="1565" t="n">
        <f aca="false">$H115</f>
        <v>2.45747743582601</v>
      </c>
      <c r="R115" s="1566" t="n">
        <f aca="false">P115/Q115</f>
        <v>50445.808659943</v>
      </c>
      <c r="S115" s="1567" t="str">
        <f aca="false">IF(MONTH($A115)=12,SUM(R104:R115)," ")</f>
        <v> </v>
      </c>
    </row>
    <row r="116" customFormat="false" ht="12.75" hidden="false" customHeight="false" outlineLevel="0" collapsed="false">
      <c r="A116" s="1538" t="n">
        <f aca="false">'Plant Operations'!A116</f>
        <v>39417</v>
      </c>
      <c r="C116" s="1595" t="n">
        <f aca="false">IF($A116&gt;Endyr,0,VLOOKUP($A116,Tariff_Table,Tariff!$D$33))</f>
        <v>8615.71284125379</v>
      </c>
      <c r="D116" s="1565" t="n">
        <f aca="false">VLOOKUP($A116,Curves_Table,Escalation!$R$291)</f>
        <v>2.25505985039734</v>
      </c>
      <c r="E116" s="1606" t="n">
        <f aca="false">C116*D116</f>
        <v>19428.9481108642</v>
      </c>
      <c r="F116" s="1540" t="n">
        <f aca="false">'Plant Operations'!C116</f>
        <v>480</v>
      </c>
      <c r="G116" s="1606" t="n">
        <f aca="false">E116*F116/1000</f>
        <v>9325.89509321484</v>
      </c>
      <c r="H116" s="1576" t="n">
        <f aca="false">IF(Assm!$L$74=0,VLOOKUP($A116,Curves_Table,Escalation!$D$291),VLOOKUP($A116,Curves_Table,Escalation!$E$291))</f>
        <v>2.46297398768479</v>
      </c>
      <c r="I116" s="394" t="n">
        <f aca="false">G116/H116</f>
        <v>3786.43669801046</v>
      </c>
      <c r="J116" s="1579" t="n">
        <f aca="false">IF(MONTH($A116)=12,SUM(I105:I116)," ")</f>
        <v>46412.0372735962</v>
      </c>
      <c r="L116" s="1607" t="n">
        <f aca="false">IF($A116&gt;Endyr,0,VLOOKUP($A116,Tariff_Table,Tariff!$J$33))</f>
        <v>0.19</v>
      </c>
      <c r="M116" s="1576" t="n">
        <f aca="false">D116</f>
        <v>2.25505985039734</v>
      </c>
      <c r="N116" s="1608" t="n">
        <f aca="false">L116*M116</f>
        <v>0.428461371575495</v>
      </c>
      <c r="O116" s="397" t="n">
        <f aca="false">'Plant Operations'!$I116+'Plant Operations'!$M116</f>
        <v>298980.864</v>
      </c>
      <c r="P116" s="1606" t="n">
        <f aca="false">N116*O116</f>
        <v>128101.751064267</v>
      </c>
      <c r="Q116" s="1565" t="n">
        <f aca="false">$H116</f>
        <v>2.46297398768479</v>
      </c>
      <c r="R116" s="1566" t="n">
        <f aca="false">P116/Q116</f>
        <v>52011.0044624073</v>
      </c>
      <c r="S116" s="1567" t="n">
        <f aca="false">IF(MONTH($A116)=12,SUM(R105:R116)," ")</f>
        <v>605593.522641704</v>
      </c>
    </row>
    <row r="117" customFormat="false" ht="12.75" hidden="false" customHeight="false" outlineLevel="0" collapsed="false">
      <c r="A117" s="1538" t="n">
        <f aca="false">'Plant Operations'!A117</f>
        <v>39448</v>
      </c>
      <c r="C117" s="1595" t="n">
        <f aca="false">IF($A117&gt;Endyr,0,VLOOKUP($A117,Tariff_Table,Tariff!$D$33))</f>
        <v>8615.71284125379</v>
      </c>
      <c r="D117" s="1565" t="n">
        <f aca="false">VLOOKUP($A117,Curves_Table,Escalation!$R$291)</f>
        <v>2.25505985039734</v>
      </c>
      <c r="E117" s="1606" t="n">
        <f aca="false">C117*D117</f>
        <v>19428.9481108642</v>
      </c>
      <c r="F117" s="1540" t="n">
        <f aca="false">'Plant Operations'!C117</f>
        <v>480</v>
      </c>
      <c r="G117" s="1606" t="n">
        <f aca="false">E117*F117/1000</f>
        <v>9325.89509321484</v>
      </c>
      <c r="H117" s="1576" t="n">
        <f aca="false">IF(Assm!$L$74=0,VLOOKUP($A117,Curves_Table,Escalation!$D$291),VLOOKUP($A117,Curves_Table,Escalation!$E$291))</f>
        <v>2.4681826378384</v>
      </c>
      <c r="I117" s="394" t="n">
        <f aca="false">G117/H117</f>
        <v>3778.44611263546</v>
      </c>
      <c r="J117" s="1579" t="str">
        <f aca="false">IF(MONTH($A117)=12,SUM(I106:I117)," ")</f>
        <v> </v>
      </c>
      <c r="L117" s="1607" t="n">
        <f aca="false">IF($A117&gt;Endyr,0,VLOOKUP($A117,Tariff_Table,Tariff!$J$33))</f>
        <v>0.19</v>
      </c>
      <c r="M117" s="1576" t="n">
        <f aca="false">D117</f>
        <v>2.25505985039734</v>
      </c>
      <c r="N117" s="1608" t="n">
        <f aca="false">L117*M117</f>
        <v>0.428461371575495</v>
      </c>
      <c r="O117" s="397" t="n">
        <f aca="false">'Plant Operations'!$I117+'Plant Operations'!$M117</f>
        <v>298980.864</v>
      </c>
      <c r="P117" s="1606" t="n">
        <f aca="false">N117*O117</f>
        <v>128101.751064267</v>
      </c>
      <c r="Q117" s="1565" t="n">
        <f aca="false">$H117</f>
        <v>2.4681826378384</v>
      </c>
      <c r="R117" s="1566" t="n">
        <f aca="false">P117/Q117</f>
        <v>51901.2447054794</v>
      </c>
      <c r="S117" s="1567" t="str">
        <f aca="false">IF(MONTH($A117)=12,SUM(R106:R117)," ")</f>
        <v> </v>
      </c>
    </row>
    <row r="118" customFormat="false" ht="12.75" hidden="false" customHeight="false" outlineLevel="0" collapsed="false">
      <c r="A118" s="1538" t="n">
        <f aca="false">'Plant Operations'!A118</f>
        <v>39479</v>
      </c>
      <c r="C118" s="1595" t="n">
        <f aca="false">IF($A118&gt;Endyr,0,VLOOKUP($A118,Tariff_Table,Tariff!$D$33))</f>
        <v>8615.71284125379</v>
      </c>
      <c r="D118" s="1565" t="n">
        <f aca="false">VLOOKUP($A118,Curves_Table,Escalation!$R$291)</f>
        <v>2.25505985039734</v>
      </c>
      <c r="E118" s="1606" t="n">
        <f aca="false">C118*D118</f>
        <v>19428.9481108642</v>
      </c>
      <c r="F118" s="1540" t="n">
        <f aca="false">'Plant Operations'!C118</f>
        <v>480</v>
      </c>
      <c r="G118" s="1606" t="n">
        <f aca="false">E118*F118/1000</f>
        <v>9325.89509321484</v>
      </c>
      <c r="H118" s="1576" t="n">
        <f aca="false">IF(Assm!$L$74=0,VLOOKUP($A118,Curves_Table,Escalation!$D$291),VLOOKUP($A118,Curves_Table,Escalation!$E$291))</f>
        <v>2.47340230314547</v>
      </c>
      <c r="I118" s="394" t="n">
        <f aca="false">G118/H118</f>
        <v>3770.47238993629</v>
      </c>
      <c r="J118" s="1579" t="str">
        <f aca="false">IF(MONTH($A118)=12,SUM(I107:I118)," ")</f>
        <v> </v>
      </c>
      <c r="L118" s="1607" t="n">
        <f aca="false">IF($A118&gt;Endyr,0,VLOOKUP($A118,Tariff_Table,Tariff!$J$33))</f>
        <v>0.19</v>
      </c>
      <c r="M118" s="1576" t="n">
        <f aca="false">D118</f>
        <v>2.25505985039734</v>
      </c>
      <c r="N118" s="1608" t="n">
        <f aca="false">L118*M118</f>
        <v>0.428461371575495</v>
      </c>
      <c r="O118" s="397" t="n">
        <f aca="false">'Plant Operations'!$I118+'Plant Operations'!$M118</f>
        <v>279691.776</v>
      </c>
      <c r="P118" s="1606" t="n">
        <f aca="false">N118*O118</f>
        <v>119837.121963346</v>
      </c>
      <c r="Q118" s="1565" t="n">
        <f aca="false">$H118</f>
        <v>2.47340230314547</v>
      </c>
      <c r="R118" s="1566" t="n">
        <f aca="false">P118/Q118</f>
        <v>48450.3155070839</v>
      </c>
      <c r="S118" s="1567" t="str">
        <f aca="false">IF(MONTH($A118)=12,SUM(R107:R118)," ")</f>
        <v> </v>
      </c>
    </row>
    <row r="119" customFormat="false" ht="12.75" hidden="false" customHeight="false" outlineLevel="0" collapsed="false">
      <c r="A119" s="1538" t="n">
        <f aca="false">'Plant Operations'!A119</f>
        <v>39508</v>
      </c>
      <c r="C119" s="1595" t="n">
        <f aca="false">IF($A119&gt;Endyr,0,VLOOKUP($A119,Tariff_Table,Tariff!$D$33))</f>
        <v>8615.71284125379</v>
      </c>
      <c r="D119" s="1565" t="n">
        <f aca="false">VLOOKUP($A119,Curves_Table,Escalation!$R$291)</f>
        <v>2.25505985039734</v>
      </c>
      <c r="E119" s="1606" t="n">
        <f aca="false">C119*D119</f>
        <v>19428.9481108642</v>
      </c>
      <c r="F119" s="1540" t="n">
        <f aca="false">'Plant Operations'!C119</f>
        <v>480</v>
      </c>
      <c r="G119" s="1606" t="n">
        <f aca="false">E119*F119/1000</f>
        <v>9325.89509321484</v>
      </c>
      <c r="H119" s="1576" t="n">
        <f aca="false">IF(Assm!$L$74=0,VLOOKUP($A119,Curves_Table,Escalation!$D$291),VLOOKUP($A119,Curves_Table,Escalation!$E$291))</f>
        <v>2.47863300690063</v>
      </c>
      <c r="I119" s="394" t="n">
        <f aca="false">G119/H119</f>
        <v>3762.51549432736</v>
      </c>
      <c r="J119" s="1579" t="str">
        <f aca="false">IF(MONTH($A119)=12,SUM(I108:I119)," ")</f>
        <v> </v>
      </c>
      <c r="L119" s="1607" t="n">
        <f aca="false">IF($A119&gt;Endyr,0,VLOOKUP($A119,Tariff_Table,Tariff!$J$33))</f>
        <v>0.19</v>
      </c>
      <c r="M119" s="1576" t="n">
        <f aca="false">D119</f>
        <v>2.25505985039734</v>
      </c>
      <c r="N119" s="1608" t="n">
        <f aca="false">L119*M119</f>
        <v>0.428461371575495</v>
      </c>
      <c r="O119" s="397" t="n">
        <f aca="false">'Plant Operations'!$I119+'Plant Operations'!$M119</f>
        <v>298980.864</v>
      </c>
      <c r="P119" s="1606" t="n">
        <f aca="false">N119*O119</f>
        <v>128101.751064267</v>
      </c>
      <c r="Q119" s="1565" t="n">
        <f aca="false">$H119</f>
        <v>2.47863300690063</v>
      </c>
      <c r="R119" s="1566" t="n">
        <f aca="false">P119/Q119</f>
        <v>51682.4195867744</v>
      </c>
      <c r="S119" s="1567" t="str">
        <f aca="false">IF(MONTH($A119)=12,SUM(R108:R119)," ")</f>
        <v> </v>
      </c>
    </row>
    <row r="120" customFormat="false" ht="12.75" hidden="false" customHeight="false" outlineLevel="0" collapsed="false">
      <c r="A120" s="1538" t="n">
        <f aca="false">'Plant Operations'!A120</f>
        <v>39539</v>
      </c>
      <c r="C120" s="1595" t="n">
        <f aca="false">IF($A120&gt;Endyr,0,VLOOKUP($A120,Tariff_Table,Tariff!$D$33))</f>
        <v>8615.71284125379</v>
      </c>
      <c r="D120" s="1565" t="n">
        <f aca="false">VLOOKUP($A120,Curves_Table,Escalation!$R$291)</f>
        <v>2.25505985039734</v>
      </c>
      <c r="E120" s="1606" t="n">
        <f aca="false">C120*D120</f>
        <v>19428.9481108642</v>
      </c>
      <c r="F120" s="1540" t="n">
        <f aca="false">'Plant Operations'!C120</f>
        <v>480</v>
      </c>
      <c r="G120" s="1606" t="n">
        <f aca="false">E120*F120/1000</f>
        <v>9325.89509321484</v>
      </c>
      <c r="H120" s="1576" t="n">
        <f aca="false">IF(Assm!$L$74=0,VLOOKUP($A120,Curves_Table,Escalation!$D$291),VLOOKUP($A120,Curves_Table,Escalation!$E$291))</f>
        <v>2.48387477244777</v>
      </c>
      <c r="I120" s="394" t="n">
        <f aca="false">G120/H120</f>
        <v>3754.57539029816</v>
      </c>
      <c r="J120" s="1579" t="str">
        <f aca="false">IF(MONTH($A120)=12,SUM(I109:I120)," ")</f>
        <v> </v>
      </c>
      <c r="L120" s="1607" t="n">
        <f aca="false">IF($A120&gt;Endyr,0,VLOOKUP($A120,Tariff_Table,Tariff!$J$33))</f>
        <v>0.19</v>
      </c>
      <c r="M120" s="1576" t="n">
        <f aca="false">D120</f>
        <v>2.25505985039734</v>
      </c>
      <c r="N120" s="1608" t="n">
        <f aca="false">L120*M120</f>
        <v>0.428461371575495</v>
      </c>
      <c r="O120" s="397" t="n">
        <f aca="false">'Plant Operations'!$I120+'Plant Operations'!$M120</f>
        <v>289336.32</v>
      </c>
      <c r="P120" s="1606" t="n">
        <f aca="false">N120*O120</f>
        <v>123969.436513806</v>
      </c>
      <c r="Q120" s="1565" t="n">
        <f aca="false">$H120</f>
        <v>2.48387477244777</v>
      </c>
      <c r="R120" s="1566" t="n">
        <f aca="false">P120/Q120</f>
        <v>49909.6966920111</v>
      </c>
      <c r="S120" s="1567" t="str">
        <f aca="false">IF(MONTH($A120)=12,SUM(R109:R120)," ")</f>
        <v> </v>
      </c>
    </row>
    <row r="121" customFormat="false" ht="12.75" hidden="false" customHeight="false" outlineLevel="0" collapsed="false">
      <c r="A121" s="1538" t="n">
        <f aca="false">'Plant Operations'!A121</f>
        <v>39569</v>
      </c>
      <c r="C121" s="1595" t="n">
        <f aca="false">IF($A121&gt;Endyr,0,VLOOKUP($A121,Tariff_Table,Tariff!$D$33))</f>
        <v>7894.59320288363</v>
      </c>
      <c r="D121" s="1565" t="n">
        <f aca="false">VLOOKUP($A121,Curves_Table,Escalation!$R$291)</f>
        <v>2.42418933917714</v>
      </c>
      <c r="E121" s="1606" t="n">
        <f aca="false">C121*D121</f>
        <v>19137.9886795708</v>
      </c>
      <c r="F121" s="1540" t="n">
        <f aca="false">'Plant Operations'!C121</f>
        <v>480</v>
      </c>
      <c r="G121" s="1606" t="n">
        <f aca="false">E121*F121/1000</f>
        <v>9186.23456619399</v>
      </c>
      <c r="H121" s="1576" t="n">
        <f aca="false">IF(Assm!$L$74=0,VLOOKUP($A121,Curves_Table,Escalation!$D$291),VLOOKUP($A121,Curves_Table,Escalation!$E$291))</f>
        <v>2.48912762318016</v>
      </c>
      <c r="I121" s="394" t="n">
        <f aca="false">G121/H121</f>
        <v>3690.54381970879</v>
      </c>
      <c r="J121" s="1579" t="str">
        <f aca="false">IF(MONTH($A121)=12,SUM(I110:I121)," ")</f>
        <v> </v>
      </c>
      <c r="L121" s="1607" t="n">
        <f aca="false">IF($A121&gt;Endyr,0,VLOOKUP($A121,Tariff_Table,Tariff!$J$33))</f>
        <v>0.19</v>
      </c>
      <c r="M121" s="1576" t="n">
        <f aca="false">D121</f>
        <v>2.42418933917714</v>
      </c>
      <c r="N121" s="1608" t="n">
        <f aca="false">L121*M121</f>
        <v>0.460595974443657</v>
      </c>
      <c r="O121" s="397" t="n">
        <f aca="false">'Plant Operations'!$I121+'Plant Operations'!$M121</f>
        <v>298980.864</v>
      </c>
      <c r="P121" s="1606" t="n">
        <f aca="false">N121*O121</f>
        <v>137709.382394087</v>
      </c>
      <c r="Q121" s="1565" t="n">
        <f aca="false">$H121</f>
        <v>2.48912762318016</v>
      </c>
      <c r="R121" s="1566" t="n">
        <f aca="false">P121/Q121</f>
        <v>55324.3558553041</v>
      </c>
      <c r="S121" s="1567" t="str">
        <f aca="false">IF(MONTH($A121)=12,SUM(R110:R121)," ")</f>
        <v> </v>
      </c>
    </row>
    <row r="122" customFormat="false" ht="12.75" hidden="false" customHeight="false" outlineLevel="0" collapsed="false">
      <c r="A122" s="1538" t="n">
        <f aca="false">'Plant Operations'!A122</f>
        <v>39600</v>
      </c>
      <c r="C122" s="1595" t="n">
        <f aca="false">IF($A122&gt;Endyr,0,VLOOKUP($A122,Tariff_Table,Tariff!$D$33))</f>
        <v>7894.59320288363</v>
      </c>
      <c r="D122" s="1565" t="n">
        <f aca="false">VLOOKUP($A122,Curves_Table,Escalation!$R$291)</f>
        <v>2.42418933917714</v>
      </c>
      <c r="E122" s="1606" t="n">
        <f aca="false">C122*D122</f>
        <v>19137.9886795708</v>
      </c>
      <c r="F122" s="1540" t="n">
        <f aca="false">'Plant Operations'!C122</f>
        <v>480</v>
      </c>
      <c r="G122" s="1606" t="n">
        <f aca="false">E122*F122/1000</f>
        <v>9186.23456619399</v>
      </c>
      <c r="H122" s="1576" t="n">
        <f aca="false">IF(Assm!$L$74=0,VLOOKUP($A122,Curves_Table,Escalation!$D$291),VLOOKUP($A122,Curves_Table,Escalation!$E$291))</f>
        <v>2.49439158254055</v>
      </c>
      <c r="I122" s="394" t="n">
        <f aca="false">G122/H122</f>
        <v>3682.75559879728</v>
      </c>
      <c r="J122" s="1579" t="str">
        <f aca="false">IF(MONTH($A122)=12,SUM(I111:I122)," ")</f>
        <v> </v>
      </c>
      <c r="L122" s="1607" t="n">
        <f aca="false">IF($A122&gt;Endyr,0,VLOOKUP($A122,Tariff_Table,Tariff!$J$33))</f>
        <v>0.19</v>
      </c>
      <c r="M122" s="1576" t="n">
        <f aca="false">D122</f>
        <v>2.42418933917714</v>
      </c>
      <c r="N122" s="1608" t="n">
        <f aca="false">L122*M122</f>
        <v>0.460595974443657</v>
      </c>
      <c r="O122" s="397" t="n">
        <f aca="false">'Plant Operations'!$I122+'Plant Operations'!$M122</f>
        <v>289336.32</v>
      </c>
      <c r="P122" s="1606" t="n">
        <f aca="false">N122*O122</f>
        <v>133267.144252342</v>
      </c>
      <c r="Q122" s="1565" t="n">
        <f aca="false">$H122</f>
        <v>2.49439158254055</v>
      </c>
      <c r="R122" s="1566" t="n">
        <f aca="false">P122/Q122</f>
        <v>53426.7134258883</v>
      </c>
      <c r="S122" s="1567" t="str">
        <f aca="false">IF(MONTH($A122)=12,SUM(R111:R122)," ")</f>
        <v> </v>
      </c>
    </row>
    <row r="123" customFormat="false" ht="12.75" hidden="false" customHeight="false" outlineLevel="0" collapsed="false">
      <c r="A123" s="1538" t="n">
        <f aca="false">'Plant Operations'!A123</f>
        <v>39630</v>
      </c>
      <c r="C123" s="1595" t="n">
        <f aca="false">IF($A123&gt;Endyr,0,VLOOKUP($A123,Tariff_Table,Tariff!$D$33))</f>
        <v>7894.59320288363</v>
      </c>
      <c r="D123" s="1565" t="n">
        <f aca="false">VLOOKUP($A123,Curves_Table,Escalation!$R$291)</f>
        <v>2.42418933917714</v>
      </c>
      <c r="E123" s="1606" t="n">
        <f aca="false">C123*D123</f>
        <v>19137.9886795708</v>
      </c>
      <c r="F123" s="1540" t="n">
        <f aca="false">'Plant Operations'!C123</f>
        <v>480</v>
      </c>
      <c r="G123" s="1606" t="n">
        <f aca="false">E123*F123/1000</f>
        <v>9186.23456619399</v>
      </c>
      <c r="H123" s="1576" t="n">
        <f aca="false">IF(Assm!$L$74=0,VLOOKUP($A123,Curves_Table,Escalation!$D$291),VLOOKUP($A123,Curves_Table,Escalation!$E$291))</f>
        <v>2.49966667402123</v>
      </c>
      <c r="I123" s="394" t="n">
        <f aca="false">G123/H123</f>
        <v>3674.98381350824</v>
      </c>
      <c r="J123" s="1579" t="str">
        <f aca="false">IF(MONTH($A123)=12,SUM(I112:I123)," ")</f>
        <v> </v>
      </c>
      <c r="L123" s="1607" t="n">
        <f aca="false">IF($A123&gt;Endyr,0,VLOOKUP($A123,Tariff_Table,Tariff!$J$33))</f>
        <v>0.19</v>
      </c>
      <c r="M123" s="1576" t="n">
        <f aca="false">D123</f>
        <v>2.42418933917714</v>
      </c>
      <c r="N123" s="1608" t="n">
        <f aca="false">L123*M123</f>
        <v>0.460595974443657</v>
      </c>
      <c r="O123" s="397" t="n">
        <f aca="false">'Plant Operations'!$I123+'Plant Operations'!$M123</f>
        <v>298980.864</v>
      </c>
      <c r="P123" s="1606" t="n">
        <f aca="false">N123*O123</f>
        <v>137709.382394087</v>
      </c>
      <c r="Q123" s="1565" t="n">
        <f aca="false">$H123</f>
        <v>2.49966667402123</v>
      </c>
      <c r="R123" s="1566" t="n">
        <f aca="false">P123/Q123</f>
        <v>55091.0982753363</v>
      </c>
      <c r="S123" s="1567" t="str">
        <f aca="false">IF(MONTH($A123)=12,SUM(R112:R123)," ")</f>
        <v> </v>
      </c>
    </row>
    <row r="124" customFormat="false" ht="12.75" hidden="false" customHeight="false" outlineLevel="0" collapsed="false">
      <c r="A124" s="1538" t="n">
        <f aca="false">'Plant Operations'!A124</f>
        <v>39661</v>
      </c>
      <c r="C124" s="1595" t="n">
        <f aca="false">IF($A124&gt;Endyr,0,VLOOKUP($A124,Tariff_Table,Tariff!$D$33))</f>
        <v>7894.59320288363</v>
      </c>
      <c r="D124" s="1565" t="n">
        <f aca="false">VLOOKUP($A124,Curves_Table,Escalation!$R$291)</f>
        <v>2.42418933917714</v>
      </c>
      <c r="E124" s="1606" t="n">
        <f aca="false">C124*D124</f>
        <v>19137.9886795708</v>
      </c>
      <c r="F124" s="1540" t="n">
        <f aca="false">'Plant Operations'!C124</f>
        <v>480</v>
      </c>
      <c r="G124" s="1606" t="n">
        <f aca="false">E124*F124/1000</f>
        <v>9186.23456619399</v>
      </c>
      <c r="H124" s="1576" t="n">
        <f aca="false">IF(Assm!$L$74=0,VLOOKUP($A124,Curves_Table,Escalation!$D$291),VLOOKUP($A124,Curves_Table,Escalation!$E$291))</f>
        <v>2.50495292116421</v>
      </c>
      <c r="I124" s="394" t="n">
        <f aca="false">G124/H124</f>
        <v>3667.22842915729</v>
      </c>
      <c r="J124" s="1579" t="str">
        <f aca="false">IF(MONTH($A124)=12,SUM(I113:I124)," ")</f>
        <v> </v>
      </c>
      <c r="L124" s="1607" t="n">
        <f aca="false">IF($A124&gt;Endyr,0,VLOOKUP($A124,Tariff_Table,Tariff!$J$33))</f>
        <v>0.19</v>
      </c>
      <c r="M124" s="1576" t="n">
        <f aca="false">D124</f>
        <v>2.42418933917714</v>
      </c>
      <c r="N124" s="1608" t="n">
        <f aca="false">L124*M124</f>
        <v>0.460595974443657</v>
      </c>
      <c r="O124" s="397" t="n">
        <f aca="false">'Plant Operations'!$I124+'Plant Operations'!$M124</f>
        <v>298980.864</v>
      </c>
      <c r="P124" s="1606" t="n">
        <f aca="false">N124*O124</f>
        <v>137709.382394087</v>
      </c>
      <c r="Q124" s="1565" t="n">
        <f aca="false">$H124</f>
        <v>2.50495292116421</v>
      </c>
      <c r="R124" s="1566" t="n">
        <f aca="false">P124/Q124</f>
        <v>54974.838541111</v>
      </c>
      <c r="S124" s="1567" t="str">
        <f aca="false">IF(MONTH($A124)=12,SUM(R113:R124)," ")</f>
        <v> </v>
      </c>
    </row>
    <row r="125" customFormat="false" ht="12.75" hidden="false" customHeight="false" outlineLevel="0" collapsed="false">
      <c r="A125" s="1538" t="n">
        <f aca="false">'Plant Operations'!A125</f>
        <v>39692</v>
      </c>
      <c r="C125" s="1595" t="n">
        <f aca="false">IF($A125&gt;Endyr,0,VLOOKUP($A125,Tariff_Table,Tariff!$D$33))</f>
        <v>7894.59320288363</v>
      </c>
      <c r="D125" s="1565" t="n">
        <f aca="false">VLOOKUP($A125,Curves_Table,Escalation!$R$291)</f>
        <v>2.42418933917714</v>
      </c>
      <c r="E125" s="1606" t="n">
        <f aca="false">C125*D125</f>
        <v>19137.9886795708</v>
      </c>
      <c r="F125" s="1540" t="n">
        <f aca="false">'Plant Operations'!C125</f>
        <v>480</v>
      </c>
      <c r="G125" s="1606" t="n">
        <f aca="false">E125*F125/1000</f>
        <v>9186.23456619399</v>
      </c>
      <c r="H125" s="1576" t="n">
        <f aca="false">IF(Assm!$L$74=0,VLOOKUP($A125,Curves_Table,Escalation!$D$291),VLOOKUP($A125,Curves_Table,Escalation!$E$291))</f>
        <v>2.51025034756126</v>
      </c>
      <c r="I125" s="394" t="n">
        <f aca="false">G125/H125</f>
        <v>3659.48941113324</v>
      </c>
      <c r="J125" s="1579" t="str">
        <f aca="false">IF(MONTH($A125)=12,SUM(I114:I125)," ")</f>
        <v> </v>
      </c>
      <c r="L125" s="1607" t="n">
        <f aca="false">IF($A125&gt;Endyr,0,VLOOKUP($A125,Tariff_Table,Tariff!$J$33))</f>
        <v>0.19</v>
      </c>
      <c r="M125" s="1576" t="n">
        <f aca="false">D125</f>
        <v>2.42418933917714</v>
      </c>
      <c r="N125" s="1608" t="n">
        <f aca="false">L125*M125</f>
        <v>0.460595974443657</v>
      </c>
      <c r="O125" s="397" t="n">
        <f aca="false">'Plant Operations'!$I125+'Plant Operations'!$M125</f>
        <v>289336.32</v>
      </c>
      <c r="P125" s="1606" t="n">
        <f aca="false">N125*O125</f>
        <v>133267.144252342</v>
      </c>
      <c r="Q125" s="1565" t="n">
        <f aca="false">$H125</f>
        <v>2.51025034756126</v>
      </c>
      <c r="R125" s="1566" t="n">
        <f aca="false">P125/Q125</f>
        <v>53089.1846631203</v>
      </c>
      <c r="S125" s="1567" t="str">
        <f aca="false">IF(MONTH($A125)=12,SUM(R114:R125)," ")</f>
        <v> </v>
      </c>
    </row>
    <row r="126" customFormat="false" ht="12.75" hidden="false" customHeight="false" outlineLevel="0" collapsed="false">
      <c r="A126" s="1538" t="n">
        <f aca="false">'Plant Operations'!A126</f>
        <v>39722</v>
      </c>
      <c r="C126" s="1595" t="n">
        <f aca="false">IF($A126&gt;Endyr,0,VLOOKUP($A126,Tariff_Table,Tariff!$D$33))</f>
        <v>7894.59320288363</v>
      </c>
      <c r="D126" s="1565" t="n">
        <f aca="false">VLOOKUP($A126,Curves_Table,Escalation!$R$291)</f>
        <v>2.42418933917714</v>
      </c>
      <c r="E126" s="1606" t="n">
        <f aca="false">C126*D126</f>
        <v>19137.9886795708</v>
      </c>
      <c r="F126" s="1540" t="n">
        <f aca="false">'Plant Operations'!C126</f>
        <v>480</v>
      </c>
      <c r="G126" s="1606" t="n">
        <f aca="false">E126*F126/1000</f>
        <v>9186.23456619399</v>
      </c>
      <c r="H126" s="1576" t="n">
        <f aca="false">IF(Assm!$L$74=0,VLOOKUP($A126,Curves_Table,Escalation!$D$291),VLOOKUP($A126,Curves_Table,Escalation!$E$291))</f>
        <v>2.51555897685407</v>
      </c>
      <c r="I126" s="394" t="n">
        <f aca="false">G126/H126</f>
        <v>3651.76672489794</v>
      </c>
      <c r="J126" s="1579" t="str">
        <f aca="false">IF(MONTH($A126)=12,SUM(I115:I126)," ")</f>
        <v> </v>
      </c>
      <c r="L126" s="1607" t="n">
        <f aca="false">IF($A126&gt;Endyr,0,VLOOKUP($A126,Tariff_Table,Tariff!$J$33))</f>
        <v>0.19</v>
      </c>
      <c r="M126" s="1576" t="n">
        <f aca="false">D126</f>
        <v>2.42418933917714</v>
      </c>
      <c r="N126" s="1608" t="n">
        <f aca="false">L126*M126</f>
        <v>0.460595974443657</v>
      </c>
      <c r="O126" s="397" t="n">
        <f aca="false">'Plant Operations'!$I126+'Plant Operations'!$M126</f>
        <v>298980.864</v>
      </c>
      <c r="P126" s="1606" t="n">
        <f aca="false">N126*O126</f>
        <v>137709.382394087</v>
      </c>
      <c r="Q126" s="1565" t="n">
        <f aca="false">$H126</f>
        <v>2.51555897685407</v>
      </c>
      <c r="R126" s="1566" t="n">
        <f aca="false">P126/Q126</f>
        <v>54743.0545899204</v>
      </c>
      <c r="S126" s="1567" t="str">
        <f aca="false">IF(MONTH($A126)=12,SUM(R115:R126)," ")</f>
        <v> </v>
      </c>
    </row>
    <row r="127" customFormat="false" ht="12.75" hidden="false" customHeight="false" outlineLevel="0" collapsed="false">
      <c r="A127" s="1538" t="n">
        <f aca="false">'Plant Operations'!A127</f>
        <v>39753</v>
      </c>
      <c r="C127" s="1595" t="n">
        <f aca="false">IF($A127&gt;Endyr,0,VLOOKUP($A127,Tariff_Table,Tariff!$D$33))</f>
        <v>7894.59320288363</v>
      </c>
      <c r="D127" s="1565" t="n">
        <f aca="false">VLOOKUP($A127,Curves_Table,Escalation!$R$291)</f>
        <v>2.42418933917714</v>
      </c>
      <c r="E127" s="1606" t="n">
        <f aca="false">C127*D127</f>
        <v>19137.9886795708</v>
      </c>
      <c r="F127" s="1540" t="n">
        <f aca="false">'Plant Operations'!C127</f>
        <v>480</v>
      </c>
      <c r="G127" s="1606" t="n">
        <f aca="false">E127*F127/1000</f>
        <v>9186.23456619399</v>
      </c>
      <c r="H127" s="1576" t="n">
        <f aca="false">IF(Assm!$L$74=0,VLOOKUP($A127,Curves_Table,Escalation!$D$291),VLOOKUP($A127,Curves_Table,Escalation!$E$291))</f>
        <v>2.52087883273429</v>
      </c>
      <c r="I127" s="394" t="n">
        <f aca="false">G127/H127</f>
        <v>3644.06033598611</v>
      </c>
      <c r="J127" s="1579" t="str">
        <f aca="false">IF(MONTH($A127)=12,SUM(I116:I127)," ")</f>
        <v> </v>
      </c>
      <c r="L127" s="1607" t="n">
        <f aca="false">IF($A127&gt;Endyr,0,VLOOKUP($A127,Tariff_Table,Tariff!$J$33))</f>
        <v>0.19</v>
      </c>
      <c r="M127" s="1576" t="n">
        <f aca="false">D127</f>
        <v>2.42418933917714</v>
      </c>
      <c r="N127" s="1608" t="n">
        <f aca="false">L127*M127</f>
        <v>0.460595974443657</v>
      </c>
      <c r="O127" s="397" t="n">
        <f aca="false">'Plant Operations'!$I127+'Plant Operations'!$M127</f>
        <v>289336.32</v>
      </c>
      <c r="P127" s="1606" t="n">
        <f aca="false">N127*O127</f>
        <v>133267.144252342</v>
      </c>
      <c r="Q127" s="1565" t="n">
        <f aca="false">$H127</f>
        <v>2.52087883273429</v>
      </c>
      <c r="R127" s="1566" t="n">
        <f aca="false">P127/Q127</f>
        <v>52865.3509727766</v>
      </c>
      <c r="S127" s="1567" t="str">
        <f aca="false">IF(MONTH($A127)=12,SUM(R116:R127)," ")</f>
        <v> </v>
      </c>
    </row>
    <row r="128" customFormat="false" ht="12.75" hidden="false" customHeight="false" outlineLevel="0" collapsed="false">
      <c r="A128" s="1538" t="n">
        <f aca="false">'Plant Operations'!A128</f>
        <v>39783</v>
      </c>
      <c r="C128" s="1595" t="n">
        <f aca="false">IF($A128&gt;Endyr,0,VLOOKUP($A128,Tariff_Table,Tariff!$D$33))</f>
        <v>7894.59320288363</v>
      </c>
      <c r="D128" s="1565" t="n">
        <f aca="false">VLOOKUP($A128,Curves_Table,Escalation!$R$291)</f>
        <v>2.42418933917714</v>
      </c>
      <c r="E128" s="1606" t="n">
        <f aca="false">C128*D128</f>
        <v>19137.9886795708</v>
      </c>
      <c r="F128" s="1540" t="n">
        <f aca="false">'Plant Operations'!C128</f>
        <v>480</v>
      </c>
      <c r="G128" s="1606" t="n">
        <f aca="false">E128*F128/1000</f>
        <v>9186.23456619399</v>
      </c>
      <c r="H128" s="1576" t="n">
        <f aca="false">IF(Assm!$L$74=0,VLOOKUP($A128,Curves_Table,Escalation!$D$291),VLOOKUP($A128,Curves_Table,Escalation!$E$291))</f>
        <v>2.52620993894371</v>
      </c>
      <c r="I128" s="394" t="n">
        <f aca="false">G128/H128</f>
        <v>3636.37021000522</v>
      </c>
      <c r="J128" s="1579" t="n">
        <f aca="false">IF(MONTH($A128)=12,SUM(I117:I128)," ")</f>
        <v>44373.2077303914</v>
      </c>
      <c r="L128" s="1607" t="n">
        <f aca="false">IF($A128&gt;Endyr,0,VLOOKUP($A128,Tariff_Table,Tariff!$J$33))</f>
        <v>0.19</v>
      </c>
      <c r="M128" s="1576" t="n">
        <f aca="false">D128</f>
        <v>2.42418933917714</v>
      </c>
      <c r="N128" s="1608" t="n">
        <f aca="false">L128*M128</f>
        <v>0.460595974443657</v>
      </c>
      <c r="O128" s="397" t="n">
        <f aca="false">'Plant Operations'!$I128+'Plant Operations'!$M128</f>
        <v>298980.864</v>
      </c>
      <c r="P128" s="1606" t="n">
        <f aca="false">N128*O128</f>
        <v>137709.382394087</v>
      </c>
      <c r="Q128" s="1565" t="n">
        <f aca="false">$H128</f>
        <v>2.52620993894371</v>
      </c>
      <c r="R128" s="1566" t="n">
        <f aca="false">P128/Q128</f>
        <v>54512.2478821643</v>
      </c>
      <c r="S128" s="1567" t="n">
        <f aca="false">IF(MONTH($A128)=12,SUM(R117:R128)," ")</f>
        <v>635970.52069697</v>
      </c>
    </row>
    <row r="129" customFormat="false" ht="12.75" hidden="false" customHeight="false" outlineLevel="0" collapsed="false">
      <c r="A129" s="1538" t="n">
        <f aca="false">'Plant Operations'!A129</f>
        <v>39814</v>
      </c>
      <c r="C129" s="1595" t="n">
        <f aca="false">IF($A129&gt;Endyr,0,VLOOKUP($A129,Tariff_Table,Tariff!$D$33))</f>
        <v>7894.59320288363</v>
      </c>
      <c r="D129" s="1565" t="n">
        <f aca="false">VLOOKUP($A129,Curves_Table,Escalation!$R$291)</f>
        <v>2.42418933917714</v>
      </c>
      <c r="E129" s="1606" t="n">
        <f aca="false">C129*D129</f>
        <v>19137.9886795708</v>
      </c>
      <c r="F129" s="1540" t="n">
        <f aca="false">'Plant Operations'!C129</f>
        <v>480</v>
      </c>
      <c r="G129" s="1606" t="n">
        <f aca="false">E129*F129/1000</f>
        <v>9186.23456619399</v>
      </c>
      <c r="H129" s="1576" t="n">
        <f aca="false">IF(Assm!$L$74=0,VLOOKUP($A129,Curves_Table,Escalation!$D$291),VLOOKUP($A129,Curves_Table,Escalation!$E$291))</f>
        <v>2.53141351780118</v>
      </c>
      <c r="I129" s="394" t="n">
        <f aca="false">G129/H129</f>
        <v>3628.89527988824</v>
      </c>
      <c r="J129" s="1579" t="str">
        <f aca="false">IF(MONTH($A129)=12,SUM(I118:I129)," ")</f>
        <v> </v>
      </c>
      <c r="L129" s="1607" t="n">
        <f aca="false">IF($A129&gt;Endyr,0,VLOOKUP($A129,Tariff_Table,Tariff!$J$33))</f>
        <v>0.19</v>
      </c>
      <c r="M129" s="1576" t="n">
        <f aca="false">D129</f>
        <v>2.42418933917714</v>
      </c>
      <c r="N129" s="1608" t="n">
        <f aca="false">L129*M129</f>
        <v>0.460595974443657</v>
      </c>
      <c r="O129" s="397" t="n">
        <f aca="false">'Plant Operations'!$I129+'Plant Operations'!$M129</f>
        <v>298980.864</v>
      </c>
      <c r="P129" s="1606" t="n">
        <f aca="false">N129*O129</f>
        <v>137709.382394087</v>
      </c>
      <c r="Q129" s="1565" t="n">
        <f aca="false">$H129</f>
        <v>2.53141351780118</v>
      </c>
      <c r="R129" s="1566" t="n">
        <f aca="false">P129/Q129</f>
        <v>54400.1923927873</v>
      </c>
      <c r="S129" s="1567" t="str">
        <f aca="false">IF(MONTH($A129)=12,SUM(R118:R129)," ")</f>
        <v> </v>
      </c>
    </row>
    <row r="130" customFormat="false" ht="12.75" hidden="false" customHeight="false" outlineLevel="0" collapsed="false">
      <c r="A130" s="1538" t="n">
        <f aca="false">'Plant Operations'!A130</f>
        <v>39845</v>
      </c>
      <c r="C130" s="1595" t="n">
        <f aca="false">IF($A130&gt;Endyr,0,VLOOKUP($A130,Tariff_Table,Tariff!$D$33))</f>
        <v>7894.59320288363</v>
      </c>
      <c r="D130" s="1565" t="n">
        <f aca="false">VLOOKUP($A130,Curves_Table,Escalation!$R$291)</f>
        <v>2.42418933917714</v>
      </c>
      <c r="E130" s="1606" t="n">
        <f aca="false">C130*D130</f>
        <v>19137.9886795708</v>
      </c>
      <c r="F130" s="1540" t="n">
        <f aca="false">'Plant Operations'!C130</f>
        <v>480</v>
      </c>
      <c r="G130" s="1606" t="n">
        <f aca="false">E130*F130/1000</f>
        <v>9186.23456619399</v>
      </c>
      <c r="H130" s="1576" t="n">
        <f aca="false">IF(Assm!$L$74=0,VLOOKUP($A130,Curves_Table,Escalation!$D$291),VLOOKUP($A130,Curves_Table,Escalation!$E$291))</f>
        <v>2.53662781517912</v>
      </c>
      <c r="I130" s="394" t="n">
        <f aca="false">G130/H130</f>
        <v>3621.43571525306</v>
      </c>
      <c r="J130" s="1579" t="str">
        <f aca="false">IF(MONTH($A130)=12,SUM(I119:I130)," ")</f>
        <v> </v>
      </c>
      <c r="L130" s="1607" t="n">
        <f aca="false">IF($A130&gt;Endyr,0,VLOOKUP($A130,Tariff_Table,Tariff!$J$33))</f>
        <v>0.19</v>
      </c>
      <c r="M130" s="1576" t="n">
        <f aca="false">D130</f>
        <v>2.42418933917714</v>
      </c>
      <c r="N130" s="1608" t="n">
        <f aca="false">L130*M130</f>
        <v>0.460595974443657</v>
      </c>
      <c r="O130" s="397" t="n">
        <f aca="false">'Plant Operations'!$I130+'Plant Operations'!$M130</f>
        <v>270047.232</v>
      </c>
      <c r="P130" s="1606" t="n">
        <f aca="false">N130*O130</f>
        <v>124382.667968852</v>
      </c>
      <c r="Q130" s="1565" t="n">
        <f aca="false">$H130</f>
        <v>2.53662781517912</v>
      </c>
      <c r="R130" s="1566" t="n">
        <f aca="false">P130/Q130</f>
        <v>49034.6542857213</v>
      </c>
      <c r="S130" s="1567" t="str">
        <f aca="false">IF(MONTH($A130)=12,SUM(R119:R130)," ")</f>
        <v> </v>
      </c>
    </row>
    <row r="131" customFormat="false" ht="12.75" hidden="false" customHeight="false" outlineLevel="0" collapsed="false">
      <c r="A131" s="1538" t="n">
        <f aca="false">'Plant Operations'!A131</f>
        <v>39873</v>
      </c>
      <c r="C131" s="1595" t="n">
        <f aca="false">IF($A131&gt;Endyr,0,VLOOKUP($A131,Tariff_Table,Tariff!$D$33))</f>
        <v>7894.59320288363</v>
      </c>
      <c r="D131" s="1565" t="n">
        <f aca="false">VLOOKUP($A131,Curves_Table,Escalation!$R$291)</f>
        <v>2.42418933917714</v>
      </c>
      <c r="E131" s="1606" t="n">
        <f aca="false">C131*D131</f>
        <v>19137.9886795708</v>
      </c>
      <c r="F131" s="1540" t="n">
        <f aca="false">'Plant Operations'!C131</f>
        <v>480</v>
      </c>
      <c r="G131" s="1606" t="n">
        <f aca="false">E131*F131/1000</f>
        <v>9186.23456619399</v>
      </c>
      <c r="H131" s="1576" t="n">
        <f aca="false">IF(Assm!$L$74=0,VLOOKUP($A131,Curves_Table,Escalation!$D$291),VLOOKUP($A131,Curves_Table,Escalation!$E$291))</f>
        <v>2.54185285315591</v>
      </c>
      <c r="I131" s="394" t="n">
        <f aca="false">G131/H131</f>
        <v>3613.99148451436</v>
      </c>
      <c r="J131" s="1579" t="str">
        <f aca="false">IF(MONTH($A131)=12,SUM(I120:I131)," ")</f>
        <v> </v>
      </c>
      <c r="L131" s="1607" t="n">
        <f aca="false">IF($A131&gt;Endyr,0,VLOOKUP($A131,Tariff_Table,Tariff!$J$33))</f>
        <v>0.19</v>
      </c>
      <c r="M131" s="1576" t="n">
        <f aca="false">D131</f>
        <v>2.42418933917714</v>
      </c>
      <c r="N131" s="1608" t="n">
        <f aca="false">L131*M131</f>
        <v>0.460595974443657</v>
      </c>
      <c r="O131" s="397" t="n">
        <f aca="false">'Plant Operations'!$I131+'Plant Operations'!$M131</f>
        <v>298980.864</v>
      </c>
      <c r="P131" s="1606" t="n">
        <f aca="false">N131*O131</f>
        <v>137709.382394087</v>
      </c>
      <c r="Q131" s="1565" t="n">
        <f aca="false">$H131</f>
        <v>2.54185285315591</v>
      </c>
      <c r="R131" s="1566" t="n">
        <f aca="false">P131/Q131</f>
        <v>54176.7719650291</v>
      </c>
      <c r="S131" s="1567" t="str">
        <f aca="false">IF(MONTH($A131)=12,SUM(R120:R131)," ")</f>
        <v> </v>
      </c>
    </row>
    <row r="132" customFormat="false" ht="12.75" hidden="false" customHeight="false" outlineLevel="0" collapsed="false">
      <c r="A132" s="1538" t="n">
        <f aca="false">'Plant Operations'!A132</f>
        <v>39904</v>
      </c>
      <c r="C132" s="1595" t="n">
        <f aca="false">IF($A132&gt;Endyr,0,VLOOKUP($A132,Tariff_Table,Tariff!$D$33))</f>
        <v>7894.59320288363</v>
      </c>
      <c r="D132" s="1565" t="n">
        <f aca="false">VLOOKUP($A132,Curves_Table,Escalation!$R$291)</f>
        <v>2.42418933917714</v>
      </c>
      <c r="E132" s="1606" t="n">
        <f aca="false">C132*D132</f>
        <v>19137.9886795708</v>
      </c>
      <c r="F132" s="1540" t="n">
        <f aca="false">'Plant Operations'!C132</f>
        <v>480</v>
      </c>
      <c r="G132" s="1606" t="n">
        <f aca="false">E132*F132/1000</f>
        <v>9186.23456619399</v>
      </c>
      <c r="H132" s="1576" t="n">
        <f aca="false">IF(Assm!$L$74=0,VLOOKUP($A132,Curves_Table,Escalation!$D$291),VLOOKUP($A132,Curves_Table,Escalation!$E$291))</f>
        <v>2.54708865385545</v>
      </c>
      <c r="I132" s="394" t="n">
        <f aca="false">G132/H132</f>
        <v>3606.56255615174</v>
      </c>
      <c r="J132" s="1579" t="str">
        <f aca="false">IF(MONTH($A132)=12,SUM(I121:I132)," ")</f>
        <v> </v>
      </c>
      <c r="L132" s="1607" t="n">
        <f aca="false">IF($A132&gt;Endyr,0,VLOOKUP($A132,Tariff_Table,Tariff!$J$33))</f>
        <v>0.19</v>
      </c>
      <c r="M132" s="1576" t="n">
        <f aca="false">D132</f>
        <v>2.42418933917714</v>
      </c>
      <c r="N132" s="1608" t="n">
        <f aca="false">L132*M132</f>
        <v>0.460595974443657</v>
      </c>
      <c r="O132" s="397" t="n">
        <f aca="false">'Plant Operations'!$I132+'Plant Operations'!$M132</f>
        <v>289336.32</v>
      </c>
      <c r="P132" s="1606" t="n">
        <f aca="false">N132*O132</f>
        <v>133267.144252342</v>
      </c>
      <c r="Q132" s="1565" t="n">
        <f aca="false">$H132</f>
        <v>2.54708865385545</v>
      </c>
      <c r="R132" s="1566" t="n">
        <f aca="false">P132/Q132</f>
        <v>52321.3607232004</v>
      </c>
      <c r="S132" s="1567" t="str">
        <f aca="false">IF(MONTH($A132)=12,SUM(R121:R132)," ")</f>
        <v> </v>
      </c>
    </row>
    <row r="133" customFormat="false" ht="12.75" hidden="false" customHeight="false" outlineLevel="0" collapsed="false">
      <c r="A133" s="1538" t="n">
        <f aca="false">'Plant Operations'!A133</f>
        <v>39934</v>
      </c>
      <c r="C133" s="1595" t="n">
        <f aca="false">IF($A133&gt;Endyr,0,VLOOKUP($A133,Tariff_Table,Tariff!$D$33))</f>
        <v>7730.96074380165</v>
      </c>
      <c r="D133" s="1565" t="n">
        <f aca="false">VLOOKUP($A133,Curves_Table,Escalation!$R$291)</f>
        <v>2.60357709171367</v>
      </c>
      <c r="E133" s="1606" t="n">
        <f aca="false">C133*D133</f>
        <v>20128.1522894996</v>
      </c>
      <c r="F133" s="1540" t="n">
        <f aca="false">'Plant Operations'!C133</f>
        <v>480</v>
      </c>
      <c r="G133" s="1606" t="n">
        <f aca="false">E133*F133/1000</f>
        <v>9661.51309895982</v>
      </c>
      <c r="H133" s="1576" t="n">
        <f aca="false">IF(Assm!$L$74=0,VLOOKUP($A133,Curves_Table,Escalation!$D$291),VLOOKUP($A133,Curves_Table,Escalation!$E$291))</f>
        <v>2.55233523944716</v>
      </c>
      <c r="I133" s="394" t="n">
        <f aca="false">G133/H133</f>
        <v>3785.3621066849</v>
      </c>
      <c r="J133" s="1579" t="str">
        <f aca="false">IF(MONTH($A133)=12,SUM(I122:I133)," ")</f>
        <v> </v>
      </c>
      <c r="L133" s="1607" t="n">
        <f aca="false">IF($A133&gt;Endyr,0,VLOOKUP($A133,Tariff_Table,Tariff!$J$33))</f>
        <v>0.19</v>
      </c>
      <c r="M133" s="1576" t="n">
        <f aca="false">D133</f>
        <v>2.60357709171367</v>
      </c>
      <c r="N133" s="1608" t="n">
        <f aca="false">L133*M133</f>
        <v>0.494679647425597</v>
      </c>
      <c r="O133" s="397" t="n">
        <f aca="false">'Plant Operations'!$I133+'Plant Operations'!$M133</f>
        <v>298980.864</v>
      </c>
      <c r="P133" s="1606" t="n">
        <f aca="false">N133*O133</f>
        <v>147899.74839052</v>
      </c>
      <c r="Q133" s="1565" t="n">
        <f aca="false">$H133</f>
        <v>2.55233523944716</v>
      </c>
      <c r="R133" s="1566" t="n">
        <f aca="false">P133/Q133</f>
        <v>57946.8347671113</v>
      </c>
      <c r="S133" s="1567" t="str">
        <f aca="false">IF(MONTH($A133)=12,SUM(R122:R133)," ")</f>
        <v> </v>
      </c>
    </row>
    <row r="134" customFormat="false" ht="12.75" hidden="false" customHeight="false" outlineLevel="0" collapsed="false">
      <c r="A134" s="1538" t="n">
        <f aca="false">'Plant Operations'!A134</f>
        <v>39965</v>
      </c>
      <c r="C134" s="1595" t="n">
        <f aca="false">IF($A134&gt;Endyr,0,VLOOKUP($A134,Tariff_Table,Tariff!$D$33))</f>
        <v>7730.96074380165</v>
      </c>
      <c r="D134" s="1565" t="n">
        <f aca="false">VLOOKUP($A134,Curves_Table,Escalation!$R$291)</f>
        <v>2.60357709171367</v>
      </c>
      <c r="E134" s="1606" t="n">
        <f aca="false">C134*D134</f>
        <v>20128.1522894996</v>
      </c>
      <c r="F134" s="1540" t="n">
        <f aca="false">'Plant Operations'!C134</f>
        <v>480</v>
      </c>
      <c r="G134" s="1606" t="n">
        <f aca="false">E134*F134/1000</f>
        <v>9661.51309895982</v>
      </c>
      <c r="H134" s="1576" t="n">
        <f aca="false">IF(Assm!$L$74=0,VLOOKUP($A134,Curves_Table,Escalation!$D$291),VLOOKUP($A134,Curves_Table,Escalation!$E$291))</f>
        <v>2.55759263214617</v>
      </c>
      <c r="I134" s="394" t="n">
        <f aca="false">G134/H134</f>
        <v>3777.58090851727</v>
      </c>
      <c r="J134" s="1579" t="str">
        <f aca="false">IF(MONTH($A134)=12,SUM(I123:I134)," ")</f>
        <v> </v>
      </c>
      <c r="L134" s="1607" t="n">
        <f aca="false">IF($A134&gt;Endyr,0,VLOOKUP($A134,Tariff_Table,Tariff!$J$33))</f>
        <v>0.19</v>
      </c>
      <c r="M134" s="1576" t="n">
        <f aca="false">D134</f>
        <v>2.60357709171367</v>
      </c>
      <c r="N134" s="1608" t="n">
        <f aca="false">L134*M134</f>
        <v>0.494679647425597</v>
      </c>
      <c r="O134" s="397" t="n">
        <f aca="false">'Plant Operations'!$I134+'Plant Operations'!$M134</f>
        <v>289336.32</v>
      </c>
      <c r="P134" s="1606" t="n">
        <f aca="false">N134*O134</f>
        <v>143128.78876502</v>
      </c>
      <c r="Q134" s="1565" t="n">
        <f aca="false">$H134</f>
        <v>2.55759263214617</v>
      </c>
      <c r="R134" s="1566" t="n">
        <f aca="false">P134/Q134</f>
        <v>55962.3088391973</v>
      </c>
      <c r="S134" s="1567" t="str">
        <f aca="false">IF(MONTH($A134)=12,SUM(R123:R134)," ")</f>
        <v> </v>
      </c>
    </row>
    <row r="135" customFormat="false" ht="12.75" hidden="false" customHeight="false" outlineLevel="0" collapsed="false">
      <c r="A135" s="1538" t="n">
        <f aca="false">'Plant Operations'!A135</f>
        <v>39995</v>
      </c>
      <c r="C135" s="1595" t="n">
        <f aca="false">IF($A135&gt;Endyr,0,VLOOKUP($A135,Tariff_Table,Tariff!$D$33))</f>
        <v>7730.96074380165</v>
      </c>
      <c r="D135" s="1565" t="n">
        <f aca="false">VLOOKUP($A135,Curves_Table,Escalation!$R$291)</f>
        <v>2.60357709171367</v>
      </c>
      <c r="E135" s="1606" t="n">
        <f aca="false">C135*D135</f>
        <v>20128.1522894996</v>
      </c>
      <c r="F135" s="1540" t="n">
        <f aca="false">'Plant Operations'!C135</f>
        <v>480</v>
      </c>
      <c r="G135" s="1606" t="n">
        <f aca="false">E135*F135/1000</f>
        <v>9661.51309895982</v>
      </c>
      <c r="H135" s="1576" t="n">
        <f aca="false">IF(Assm!$L$74=0,VLOOKUP($A135,Curves_Table,Escalation!$D$291),VLOOKUP($A135,Curves_Table,Escalation!$E$291))</f>
        <v>2.56286085421335</v>
      </c>
      <c r="I135" s="394" t="n">
        <f aca="false">G135/H135</f>
        <v>3769.81570539667</v>
      </c>
      <c r="J135" s="1579" t="str">
        <f aca="false">IF(MONTH($A135)=12,SUM(I124:I135)," ")</f>
        <v> </v>
      </c>
      <c r="L135" s="1607" t="n">
        <f aca="false">IF($A135&gt;Endyr,0,VLOOKUP($A135,Tariff_Table,Tariff!$J$33))</f>
        <v>0.19</v>
      </c>
      <c r="M135" s="1576" t="n">
        <f aca="false">D135</f>
        <v>2.60357709171367</v>
      </c>
      <c r="N135" s="1608" t="n">
        <f aca="false">L135*M135</f>
        <v>0.494679647425597</v>
      </c>
      <c r="O135" s="397" t="n">
        <f aca="false">'Plant Operations'!$I135+'Plant Operations'!$M135</f>
        <v>298980.864</v>
      </c>
      <c r="P135" s="1606" t="n">
        <f aca="false">N135*O135</f>
        <v>147899.74839052</v>
      </c>
      <c r="Q135" s="1565" t="n">
        <f aca="false">$H135</f>
        <v>2.56286085421335</v>
      </c>
      <c r="R135" s="1566" t="n">
        <f aca="false">P135/Q135</f>
        <v>57708.8483549049</v>
      </c>
      <c r="S135" s="1567" t="str">
        <f aca="false">IF(MONTH($A135)=12,SUM(R124:R135)," ")</f>
        <v> </v>
      </c>
    </row>
    <row r="136" customFormat="false" ht="12.75" hidden="false" customHeight="false" outlineLevel="0" collapsed="false">
      <c r="A136" s="1538" t="n">
        <f aca="false">'Plant Operations'!A136</f>
        <v>40026</v>
      </c>
      <c r="C136" s="1595" t="n">
        <f aca="false">IF($A136&gt;Endyr,0,VLOOKUP($A136,Tariff_Table,Tariff!$D$33))</f>
        <v>7730.96074380165</v>
      </c>
      <c r="D136" s="1565" t="n">
        <f aca="false">VLOOKUP($A136,Curves_Table,Escalation!$R$291)</f>
        <v>2.60357709171367</v>
      </c>
      <c r="E136" s="1606" t="n">
        <f aca="false">C136*D136</f>
        <v>20128.1522894996</v>
      </c>
      <c r="F136" s="1540" t="n">
        <f aca="false">'Plant Operations'!C136</f>
        <v>480</v>
      </c>
      <c r="G136" s="1606" t="n">
        <f aca="false">E136*F136/1000</f>
        <v>9661.51309895982</v>
      </c>
      <c r="H136" s="1576" t="n">
        <f aca="false">IF(Assm!$L$74=0,VLOOKUP($A136,Curves_Table,Escalation!$D$291),VLOOKUP($A136,Curves_Table,Escalation!$E$291))</f>
        <v>2.56813992795542</v>
      </c>
      <c r="I136" s="394" t="n">
        <f aca="false">G136/H136</f>
        <v>3762.06646444366</v>
      </c>
      <c r="J136" s="1579" t="str">
        <f aca="false">IF(MONTH($A136)=12,SUM(I125:I136)," ")</f>
        <v> </v>
      </c>
      <c r="L136" s="1607" t="n">
        <f aca="false">IF($A136&gt;Endyr,0,VLOOKUP($A136,Tariff_Table,Tariff!$J$33))</f>
        <v>0.19</v>
      </c>
      <c r="M136" s="1576" t="n">
        <f aca="false">D136</f>
        <v>2.60357709171367</v>
      </c>
      <c r="N136" s="1608" t="n">
        <f aca="false">L136*M136</f>
        <v>0.494679647425597</v>
      </c>
      <c r="O136" s="397" t="n">
        <f aca="false">'Plant Operations'!$I136+'Plant Operations'!$M136</f>
        <v>298980.864</v>
      </c>
      <c r="P136" s="1606" t="n">
        <f aca="false">N136*O136</f>
        <v>147899.74839052</v>
      </c>
      <c r="Q136" s="1565" t="n">
        <f aca="false">$H136</f>
        <v>2.56813992795542</v>
      </c>
      <c r="R136" s="1566" t="n">
        <f aca="false">P136/Q136</f>
        <v>57590.2219269914</v>
      </c>
      <c r="S136" s="1567" t="str">
        <f aca="false">IF(MONTH($A136)=12,SUM(R125:R136)," ")</f>
        <v> </v>
      </c>
    </row>
    <row r="137" customFormat="false" ht="12.75" hidden="false" customHeight="false" outlineLevel="0" collapsed="false">
      <c r="A137" s="1538" t="n">
        <f aca="false">'Plant Operations'!A137</f>
        <v>40057</v>
      </c>
      <c r="C137" s="1595" t="n">
        <f aca="false">IF($A137&gt;Endyr,0,VLOOKUP($A137,Tariff_Table,Tariff!$D$33))</f>
        <v>7730.96074380165</v>
      </c>
      <c r="D137" s="1565" t="n">
        <f aca="false">VLOOKUP($A137,Curves_Table,Escalation!$R$291)</f>
        <v>2.60357709171367</v>
      </c>
      <c r="E137" s="1606" t="n">
        <f aca="false">C137*D137</f>
        <v>20128.1522894996</v>
      </c>
      <c r="F137" s="1540" t="n">
        <f aca="false">'Plant Operations'!C137</f>
        <v>480</v>
      </c>
      <c r="G137" s="1606" t="n">
        <f aca="false">E137*F137/1000</f>
        <v>9661.51309895982</v>
      </c>
      <c r="H137" s="1576" t="n">
        <f aca="false">IF(Assm!$L$74=0,VLOOKUP($A137,Curves_Table,Escalation!$D$291),VLOOKUP($A137,Curves_Table,Escalation!$E$291))</f>
        <v>2.57342987572505</v>
      </c>
      <c r="I137" s="394" t="n">
        <f aca="false">G137/H137</f>
        <v>3754.33315284635</v>
      </c>
      <c r="J137" s="1579" t="str">
        <f aca="false">IF(MONTH($A137)=12,SUM(I126:I137)," ")</f>
        <v> </v>
      </c>
      <c r="L137" s="1607" t="n">
        <f aca="false">IF($A137&gt;Endyr,0,VLOOKUP($A137,Tariff_Table,Tariff!$J$33))</f>
        <v>0.19</v>
      </c>
      <c r="M137" s="1576" t="n">
        <f aca="false">D137</f>
        <v>2.60357709171367</v>
      </c>
      <c r="N137" s="1608" t="n">
        <f aca="false">L137*M137</f>
        <v>0.494679647425597</v>
      </c>
      <c r="O137" s="397" t="n">
        <f aca="false">'Plant Operations'!$I137+'Plant Operations'!$M137</f>
        <v>289336.32</v>
      </c>
      <c r="P137" s="1606" t="n">
        <f aca="false">N137*O137</f>
        <v>143128.78876502</v>
      </c>
      <c r="Q137" s="1565" t="n">
        <f aca="false">$H137</f>
        <v>2.57342987572505</v>
      </c>
      <c r="R137" s="1566" t="n">
        <f aca="false">P137/Q137</f>
        <v>55617.909046266</v>
      </c>
      <c r="S137" s="1567" t="str">
        <f aca="false">IF(MONTH($A137)=12,SUM(R126:R137)," ")</f>
        <v> </v>
      </c>
    </row>
    <row r="138" customFormat="false" ht="12.75" hidden="false" customHeight="false" outlineLevel="0" collapsed="false">
      <c r="A138" s="1538" t="n">
        <f aca="false">'Plant Operations'!A138</f>
        <v>40087</v>
      </c>
      <c r="C138" s="1595" t="n">
        <f aca="false">IF($A138&gt;Endyr,0,VLOOKUP($A138,Tariff_Table,Tariff!$D$33))</f>
        <v>7730.96074380165</v>
      </c>
      <c r="D138" s="1565" t="n">
        <f aca="false">VLOOKUP($A138,Curves_Table,Escalation!$R$291)</f>
        <v>2.60357709171367</v>
      </c>
      <c r="E138" s="1606" t="n">
        <f aca="false">C138*D138</f>
        <v>20128.1522894996</v>
      </c>
      <c r="F138" s="1540" t="n">
        <f aca="false">'Plant Operations'!C138</f>
        <v>480</v>
      </c>
      <c r="G138" s="1606" t="n">
        <f aca="false">E138*F138/1000</f>
        <v>9661.51309895982</v>
      </c>
      <c r="H138" s="1576" t="n">
        <f aca="false">IF(Assm!$L$74=0,VLOOKUP($A138,Curves_Table,Escalation!$D$291),VLOOKUP($A138,Curves_Table,Escalation!$E$291))</f>
        <v>2.57873071992097</v>
      </c>
      <c r="I138" s="394" t="n">
        <f aca="false">G138/H138</f>
        <v>3746.61573786034</v>
      </c>
      <c r="J138" s="1579" t="str">
        <f aca="false">IF(MONTH($A138)=12,SUM(I127:I138)," ")</f>
        <v> </v>
      </c>
      <c r="L138" s="1607" t="n">
        <f aca="false">IF($A138&gt;Endyr,0,VLOOKUP($A138,Tariff_Table,Tariff!$J$33))</f>
        <v>0.19</v>
      </c>
      <c r="M138" s="1576" t="n">
        <f aca="false">D138</f>
        <v>2.60357709171367</v>
      </c>
      <c r="N138" s="1608" t="n">
        <f aca="false">L138*M138</f>
        <v>0.494679647425597</v>
      </c>
      <c r="O138" s="397" t="n">
        <f aca="false">'Plant Operations'!$I138+'Plant Operations'!$M138</f>
        <v>298980.864</v>
      </c>
      <c r="P138" s="1606" t="n">
        <f aca="false">N138*O138</f>
        <v>147899.74839052</v>
      </c>
      <c r="Q138" s="1565" t="n">
        <f aca="false">$H138</f>
        <v>2.57873071992097</v>
      </c>
      <c r="R138" s="1566" t="n">
        <f aca="false">P138/Q138</f>
        <v>57353.7001160994</v>
      </c>
      <c r="S138" s="1567" t="str">
        <f aca="false">IF(MONTH($A138)=12,SUM(R127:R138)," ")</f>
        <v> </v>
      </c>
    </row>
    <row r="139" customFormat="false" ht="12.75" hidden="false" customHeight="false" outlineLevel="0" collapsed="false">
      <c r="A139" s="1538" t="n">
        <f aca="false">'Plant Operations'!A139</f>
        <v>40118</v>
      </c>
      <c r="C139" s="1595" t="n">
        <f aca="false">IF($A139&gt;Endyr,0,VLOOKUP($A139,Tariff_Table,Tariff!$D$33))</f>
        <v>7730.96074380165</v>
      </c>
      <c r="D139" s="1565" t="n">
        <f aca="false">VLOOKUP($A139,Curves_Table,Escalation!$R$291)</f>
        <v>2.60357709171367</v>
      </c>
      <c r="E139" s="1606" t="n">
        <f aca="false">C139*D139</f>
        <v>20128.1522894996</v>
      </c>
      <c r="F139" s="1540" t="n">
        <f aca="false">'Plant Operations'!C139</f>
        <v>480</v>
      </c>
      <c r="G139" s="1606" t="n">
        <f aca="false">E139*F139/1000</f>
        <v>9661.51309895982</v>
      </c>
      <c r="H139" s="1576" t="n">
        <f aca="false">IF(Assm!$L$74=0,VLOOKUP($A139,Curves_Table,Escalation!$D$291),VLOOKUP($A139,Curves_Table,Escalation!$E$291))</f>
        <v>2.58404248298802</v>
      </c>
      <c r="I139" s="394" t="n">
        <f aca="false">G139/H139</f>
        <v>3738.91418680853</v>
      </c>
      <c r="J139" s="1579" t="str">
        <f aca="false">IF(MONTH($A139)=12,SUM(I128:I139)," ")</f>
        <v> </v>
      </c>
      <c r="L139" s="1607" t="n">
        <f aca="false">IF($A139&gt;Endyr,0,VLOOKUP($A139,Tariff_Table,Tariff!$J$33))</f>
        <v>0.19</v>
      </c>
      <c r="M139" s="1576" t="n">
        <f aca="false">D139</f>
        <v>2.60357709171367</v>
      </c>
      <c r="N139" s="1608" t="n">
        <f aca="false">L139*M139</f>
        <v>0.494679647425597</v>
      </c>
      <c r="O139" s="397" t="n">
        <f aca="false">'Plant Operations'!$I139+'Plant Operations'!$M139</f>
        <v>289336.32</v>
      </c>
      <c r="P139" s="1606" t="n">
        <f aca="false">N139*O139</f>
        <v>143128.78876502</v>
      </c>
      <c r="Q139" s="1565" t="n">
        <f aca="false">$H139</f>
        <v>2.58404248298802</v>
      </c>
      <c r="R139" s="1566" t="n">
        <f aca="false">P139/Q139</f>
        <v>55389.4874822317</v>
      </c>
      <c r="S139" s="1567" t="str">
        <f aca="false">IF(MONTH($A139)=12,SUM(R128:R139)," ")</f>
        <v> </v>
      </c>
    </row>
    <row r="140" customFormat="false" ht="12.75" hidden="false" customHeight="false" outlineLevel="0" collapsed="false">
      <c r="A140" s="1538" t="n">
        <f aca="false">'Plant Operations'!A140</f>
        <v>40148</v>
      </c>
      <c r="C140" s="1595" t="n">
        <f aca="false">IF($A140&gt;Endyr,0,VLOOKUP($A140,Tariff_Table,Tariff!$D$33))</f>
        <v>7730.96074380165</v>
      </c>
      <c r="D140" s="1565" t="n">
        <f aca="false">VLOOKUP($A140,Curves_Table,Escalation!$R$291)</f>
        <v>2.60357709171367</v>
      </c>
      <c r="E140" s="1606" t="n">
        <f aca="false">C140*D140</f>
        <v>20128.1522894996</v>
      </c>
      <c r="F140" s="1540" t="n">
        <f aca="false">'Plant Operations'!C140</f>
        <v>480</v>
      </c>
      <c r="G140" s="1606" t="n">
        <f aca="false">E140*F140/1000</f>
        <v>9661.51309895982</v>
      </c>
      <c r="H140" s="1576" t="n">
        <f aca="false">IF(Assm!$L$74=0,VLOOKUP($A140,Curves_Table,Escalation!$D$291),VLOOKUP($A140,Curves_Table,Escalation!$E$291))</f>
        <v>2.58936518741729</v>
      </c>
      <c r="I140" s="394" t="n">
        <f aca="false">G140/H140</f>
        <v>3731.22846708097</v>
      </c>
      <c r="J140" s="1579" t="n">
        <f aca="false">IF(MONTH($A140)=12,SUM(I129:I140)," ")</f>
        <v>44536.8017654461</v>
      </c>
      <c r="L140" s="1607" t="n">
        <f aca="false">IF($A140&gt;Endyr,0,VLOOKUP($A140,Tariff_Table,Tariff!$J$33))</f>
        <v>0.19</v>
      </c>
      <c r="M140" s="1576" t="n">
        <f aca="false">D140</f>
        <v>2.60357709171367</v>
      </c>
      <c r="N140" s="1608" t="n">
        <f aca="false">L140*M140</f>
        <v>0.494679647425597</v>
      </c>
      <c r="O140" s="397" t="n">
        <f aca="false">'Plant Operations'!$I140+'Plant Operations'!$M140</f>
        <v>298980.864</v>
      </c>
      <c r="P140" s="1606" t="n">
        <f aca="false">N140*O140</f>
        <v>147899.74839052</v>
      </c>
      <c r="Q140" s="1565" t="n">
        <f aca="false">$H140</f>
        <v>2.58936518741729</v>
      </c>
      <c r="R140" s="1566" t="n">
        <f aca="false">P140/Q140</f>
        <v>57118.1496952309</v>
      </c>
      <c r="S140" s="1567" t="n">
        <f aca="false">IF(MONTH($A140)=12,SUM(R129:R140)," ")</f>
        <v>664620.439594771</v>
      </c>
    </row>
    <row r="141" customFormat="false" ht="12.75" hidden="false" customHeight="false" outlineLevel="0" collapsed="false">
      <c r="A141" s="1538" t="n">
        <f aca="false">'Plant Operations'!A141</f>
        <v>40179</v>
      </c>
      <c r="C141" s="1595" t="n">
        <f aca="false">IF($A141&gt;Endyr,0,VLOOKUP($A141,Tariff_Table,Tariff!$D$33))</f>
        <v>7730.96074380165</v>
      </c>
      <c r="D141" s="1565" t="n">
        <f aca="false">VLOOKUP($A141,Curves_Table,Escalation!$R$291)</f>
        <v>2.60357709171367</v>
      </c>
      <c r="E141" s="1606" t="n">
        <f aca="false">C141*D141</f>
        <v>20128.1522894996</v>
      </c>
      <c r="F141" s="1540" t="n">
        <f aca="false">'Plant Operations'!C141</f>
        <v>480</v>
      </c>
      <c r="G141" s="1606" t="n">
        <f aca="false">E141*F141/1000</f>
        <v>9661.51309895982</v>
      </c>
      <c r="H141" s="1576" t="n">
        <f aca="false">IF(Assm!$L$74=0,VLOOKUP($A141,Curves_Table,Escalation!$D$291),VLOOKUP($A141,Curves_Table,Escalation!$E$291))</f>
        <v>2.59440828709463</v>
      </c>
      <c r="I141" s="394" t="n">
        <f aca="false">G141/H141</f>
        <v>3723.97557740587</v>
      </c>
      <c r="J141" s="1579" t="str">
        <f aca="false">IF(MONTH($A141)=12,SUM(I130:I141)," ")</f>
        <v> </v>
      </c>
      <c r="L141" s="1607" t="n">
        <f aca="false">IF($A141&gt;Endyr,0,VLOOKUP($A141,Tariff_Table,Tariff!$J$33))</f>
        <v>0.19</v>
      </c>
      <c r="M141" s="1576" t="n">
        <f aca="false">D141</f>
        <v>2.60357709171367</v>
      </c>
      <c r="N141" s="1608" t="n">
        <f aca="false">L141*M141</f>
        <v>0.494679647425597</v>
      </c>
      <c r="O141" s="397" t="n">
        <f aca="false">'Plant Operations'!$I141+'Plant Operations'!$M141</f>
        <v>298980.864</v>
      </c>
      <c r="P141" s="1606" t="n">
        <f aca="false">N141*O141</f>
        <v>147899.74839052</v>
      </c>
      <c r="Q141" s="1565" t="n">
        <f aca="false">$H141</f>
        <v>2.59440828709463</v>
      </c>
      <c r="R141" s="1566" t="n">
        <f aca="false">P141/Q141</f>
        <v>57007.1214797679</v>
      </c>
      <c r="S141" s="1567" t="str">
        <f aca="false">IF(MONTH($A141)=12,SUM(R130:R141)," ")</f>
        <v> </v>
      </c>
    </row>
    <row r="142" customFormat="false" ht="12.75" hidden="false" customHeight="false" outlineLevel="0" collapsed="false">
      <c r="A142" s="1538" t="n">
        <f aca="false">'Plant Operations'!A142</f>
        <v>40210</v>
      </c>
      <c r="C142" s="1595" t="n">
        <f aca="false">IF($A142&gt;Endyr,0,VLOOKUP($A142,Tariff_Table,Tariff!$D$33))</f>
        <v>7730.96074380165</v>
      </c>
      <c r="D142" s="1565" t="n">
        <f aca="false">VLOOKUP($A142,Curves_Table,Escalation!$R$291)</f>
        <v>2.60357709171367</v>
      </c>
      <c r="E142" s="1606" t="n">
        <f aca="false">C142*D142</f>
        <v>20128.1522894996</v>
      </c>
      <c r="F142" s="1540" t="n">
        <f aca="false">'Plant Operations'!C142</f>
        <v>480</v>
      </c>
      <c r="G142" s="1606" t="n">
        <f aca="false">E142*F142/1000</f>
        <v>9661.51309895982</v>
      </c>
      <c r="H142" s="1576" t="n">
        <f aca="false">IF(Assm!$L$74=0,VLOOKUP($A142,Curves_Table,Escalation!$D$291),VLOOKUP($A142,Curves_Table,Escalation!$E$291))</f>
        <v>2.59946120881426</v>
      </c>
      <c r="I142" s="394" t="n">
        <f aca="false">G142/H142</f>
        <v>3716.73678614612</v>
      </c>
      <c r="J142" s="1579" t="str">
        <f aca="false">IF(MONTH($A142)=12,SUM(I131:I142)," ")</f>
        <v> </v>
      </c>
      <c r="L142" s="1607" t="n">
        <f aca="false">IF($A142&gt;Endyr,0,VLOOKUP($A142,Tariff_Table,Tariff!$J$33))</f>
        <v>0.19</v>
      </c>
      <c r="M142" s="1576" t="n">
        <f aca="false">D142</f>
        <v>2.60357709171367</v>
      </c>
      <c r="N142" s="1608" t="n">
        <f aca="false">L142*M142</f>
        <v>0.494679647425597</v>
      </c>
      <c r="O142" s="397" t="n">
        <f aca="false">'Plant Operations'!$I142+'Plant Operations'!$M142</f>
        <v>270047.232</v>
      </c>
      <c r="P142" s="1606" t="n">
        <f aca="false">N142*O142</f>
        <v>133586.869514018</v>
      </c>
      <c r="Q142" s="1565" t="n">
        <f aca="false">$H142</f>
        <v>2.59946120881426</v>
      </c>
      <c r="R142" s="1566" t="n">
        <f aca="false">P142/Q142</f>
        <v>51390.2146571957</v>
      </c>
      <c r="S142" s="1567" t="str">
        <f aca="false">IF(MONTH($A142)=12,SUM(R131:R142)," ")</f>
        <v> </v>
      </c>
    </row>
    <row r="143" customFormat="false" ht="12.75" hidden="false" customHeight="false" outlineLevel="0" collapsed="false">
      <c r="A143" s="1538" t="n">
        <f aca="false">'Plant Operations'!A143</f>
        <v>40238</v>
      </c>
      <c r="C143" s="1595" t="n">
        <f aca="false">IF($A143&gt;Endyr,0,VLOOKUP($A143,Tariff_Table,Tariff!$D$33))</f>
        <v>7730.96074380165</v>
      </c>
      <c r="D143" s="1565" t="n">
        <f aca="false">VLOOKUP($A143,Curves_Table,Escalation!$R$291)</f>
        <v>2.60357709171367</v>
      </c>
      <c r="E143" s="1606" t="n">
        <f aca="false">C143*D143</f>
        <v>20128.1522894996</v>
      </c>
      <c r="F143" s="1540" t="n">
        <f aca="false">'Plant Operations'!C143</f>
        <v>480</v>
      </c>
      <c r="G143" s="1606" t="n">
        <f aca="false">E143*F143/1000</f>
        <v>9661.51309895982</v>
      </c>
      <c r="H143" s="1576" t="n">
        <f aca="false">IF(Assm!$L$74=0,VLOOKUP($A143,Curves_Table,Escalation!$D$291),VLOOKUP($A143,Curves_Table,Escalation!$E$291))</f>
        <v>2.60452397170578</v>
      </c>
      <c r="I143" s="394" t="n">
        <f aca="false">G143/H143</f>
        <v>3709.51206589672</v>
      </c>
      <c r="J143" s="1579" t="str">
        <f aca="false">IF(MONTH($A143)=12,SUM(I132:I143)," ")</f>
        <v> </v>
      </c>
      <c r="L143" s="1607" t="n">
        <f aca="false">IF($A143&gt;Endyr,0,VLOOKUP($A143,Tariff_Table,Tariff!$J$33))</f>
        <v>0.19</v>
      </c>
      <c r="M143" s="1576" t="n">
        <f aca="false">D143</f>
        <v>2.60357709171367</v>
      </c>
      <c r="N143" s="1608" t="n">
        <f aca="false">L143*M143</f>
        <v>0.494679647425597</v>
      </c>
      <c r="O143" s="397" t="n">
        <f aca="false">'Plant Operations'!$I143+'Plant Operations'!$M143</f>
        <v>298980.864</v>
      </c>
      <c r="P143" s="1606" t="n">
        <f aca="false">N143*O143</f>
        <v>147899.74839052</v>
      </c>
      <c r="Q143" s="1565" t="n">
        <f aca="false">$H143</f>
        <v>2.60452397170578</v>
      </c>
      <c r="R143" s="1566" t="n">
        <f aca="false">P143/Q143</f>
        <v>56785.7120906652</v>
      </c>
      <c r="S143" s="1567" t="str">
        <f aca="false">IF(MONTH($A143)=12,SUM(R132:R143)," ")</f>
        <v> </v>
      </c>
    </row>
    <row r="144" customFormat="false" ht="12.75" hidden="false" customHeight="false" outlineLevel="0" collapsed="false">
      <c r="A144" s="1538" t="n">
        <f aca="false">'Plant Operations'!A144</f>
        <v>40269</v>
      </c>
      <c r="C144" s="1595" t="n">
        <f aca="false">IF($A144&gt;Endyr,0,VLOOKUP($A144,Tariff_Table,Tariff!$D$33))</f>
        <v>7730.96074380165</v>
      </c>
      <c r="D144" s="1565" t="n">
        <f aca="false">VLOOKUP($A144,Curves_Table,Escalation!$R$291)</f>
        <v>2.60357709171367</v>
      </c>
      <c r="E144" s="1606" t="n">
        <f aca="false">C144*D144</f>
        <v>20128.1522894996</v>
      </c>
      <c r="F144" s="1540" t="n">
        <f aca="false">'Plant Operations'!C144</f>
        <v>480</v>
      </c>
      <c r="G144" s="1606" t="n">
        <f aca="false">E144*F144/1000</f>
        <v>9661.51309895982</v>
      </c>
      <c r="H144" s="1576" t="n">
        <f aca="false">IF(Assm!$L$74=0,VLOOKUP($A144,Curves_Table,Escalation!$D$291),VLOOKUP($A144,Curves_Table,Escalation!$E$291))</f>
        <v>2.60959659493605</v>
      </c>
      <c r="I144" s="394" t="n">
        <f aca="false">G144/H144</f>
        <v>3702.30138930595</v>
      </c>
      <c r="J144" s="1579" t="str">
        <f aca="false">IF(MONTH($A144)=12,SUM(I133:I144)," ")</f>
        <v> </v>
      </c>
      <c r="L144" s="1607" t="n">
        <f aca="false">IF($A144&gt;Endyr,0,VLOOKUP($A144,Tariff_Table,Tariff!$J$33))</f>
        <v>0.19</v>
      </c>
      <c r="M144" s="1576" t="n">
        <f aca="false">D144</f>
        <v>2.60357709171367</v>
      </c>
      <c r="N144" s="1608" t="n">
        <f aca="false">L144*M144</f>
        <v>0.494679647425597</v>
      </c>
      <c r="O144" s="397" t="n">
        <f aca="false">'Plant Operations'!$I144+'Plant Operations'!$M144</f>
        <v>289336.32</v>
      </c>
      <c r="P144" s="1606" t="n">
        <f aca="false">N144*O144</f>
        <v>143128.78876502</v>
      </c>
      <c r="Q144" s="1565" t="n">
        <f aca="false">$H144</f>
        <v>2.60959659493605</v>
      </c>
      <c r="R144" s="1566" t="n">
        <f aca="false">P144/Q144</f>
        <v>54847.0936246478</v>
      </c>
      <c r="S144" s="1567" t="str">
        <f aca="false">IF(MONTH($A144)=12,SUM(R133:R144)," ")</f>
        <v> </v>
      </c>
    </row>
    <row r="145" customFormat="false" ht="12.75" hidden="false" customHeight="false" outlineLevel="0" collapsed="false">
      <c r="A145" s="1538" t="n">
        <f aca="false">'Plant Operations'!A145</f>
        <v>40299</v>
      </c>
      <c r="C145" s="1595" t="n">
        <f aca="false">IF($A145&gt;Endyr,0,VLOOKUP($A145,Tariff_Table,Tariff!$D$33))</f>
        <v>7728.38912133891</v>
      </c>
      <c r="D145" s="1565" t="n">
        <f aca="false">VLOOKUP($A145,Curves_Table,Escalation!$R$291)</f>
        <v>2.79103464231705</v>
      </c>
      <c r="E145" s="1606" t="n">
        <f aca="false">C145*D145</f>
        <v>21570.2017669632</v>
      </c>
      <c r="F145" s="1540" t="n">
        <f aca="false">'Plant Operations'!C145</f>
        <v>480</v>
      </c>
      <c r="G145" s="1606" t="n">
        <f aca="false">E145*F145/1000</f>
        <v>10353.6968481423</v>
      </c>
      <c r="H145" s="1576" t="n">
        <f aca="false">IF(Assm!$L$74=0,VLOOKUP($A145,Curves_Table,Escalation!$D$291),VLOOKUP($A145,Curves_Table,Escalation!$E$291))</f>
        <v>2.61467909770927</v>
      </c>
      <c r="I145" s="394" t="n">
        <f aca="false">G145/H145</f>
        <v>3959.83463409075</v>
      </c>
      <c r="J145" s="1579" t="str">
        <f aca="false">IF(MONTH($A145)=12,SUM(I134:I145)," ")</f>
        <v> </v>
      </c>
      <c r="L145" s="1607" t="n">
        <f aca="false">IF($A145&gt;Endyr,0,VLOOKUP($A145,Tariff_Table,Tariff!$J$33))</f>
        <v>0.19</v>
      </c>
      <c r="M145" s="1576" t="n">
        <f aca="false">D145</f>
        <v>2.79103464231705</v>
      </c>
      <c r="N145" s="1608" t="n">
        <f aca="false">L145*M145</f>
        <v>0.53029658204024</v>
      </c>
      <c r="O145" s="397" t="n">
        <f aca="false">'Plant Operations'!$I145+'Plant Operations'!$M145</f>
        <v>298980.864</v>
      </c>
      <c r="P145" s="1606" t="n">
        <f aca="false">N145*O145</f>
        <v>158548.530274638</v>
      </c>
      <c r="Q145" s="1565" t="n">
        <f aca="false">$H145</f>
        <v>2.61467909770927</v>
      </c>
      <c r="R145" s="1566" t="n">
        <f aca="false">P145/Q145</f>
        <v>60637.8543407269</v>
      </c>
      <c r="S145" s="1567" t="str">
        <f aca="false">IF(MONTH($A145)=12,SUM(R134:R145)," ")</f>
        <v> </v>
      </c>
    </row>
    <row r="146" customFormat="false" ht="12.75" hidden="false" customHeight="false" outlineLevel="0" collapsed="false">
      <c r="A146" s="1538" t="n">
        <f aca="false">'Plant Operations'!A146</f>
        <v>40330</v>
      </c>
      <c r="C146" s="1595" t="n">
        <f aca="false">IF($A146&gt;Endyr,0,VLOOKUP($A146,Tariff_Table,Tariff!$D$33))</f>
        <v>7728.38912133891</v>
      </c>
      <c r="D146" s="1565" t="n">
        <f aca="false">VLOOKUP($A146,Curves_Table,Escalation!$R$291)</f>
        <v>2.79103464231705</v>
      </c>
      <c r="E146" s="1606" t="n">
        <f aca="false">C146*D146</f>
        <v>21570.2017669632</v>
      </c>
      <c r="F146" s="1540" t="n">
        <f aca="false">'Plant Operations'!C146</f>
        <v>480</v>
      </c>
      <c r="G146" s="1606" t="n">
        <f aca="false">E146*F146/1000</f>
        <v>10353.6968481423</v>
      </c>
      <c r="H146" s="1576" t="n">
        <f aca="false">IF(Assm!$L$74=0,VLOOKUP($A146,Curves_Table,Escalation!$D$291),VLOOKUP($A146,Curves_Table,Escalation!$E$291))</f>
        <v>2.61977149926703</v>
      </c>
      <c r="I146" s="394" t="n">
        <f aca="false">G146/H146</f>
        <v>3952.13737191931</v>
      </c>
      <c r="J146" s="1579" t="str">
        <f aca="false">IF(MONTH($A146)=12,SUM(I135:I146)," ")</f>
        <v> </v>
      </c>
      <c r="L146" s="1607" t="n">
        <f aca="false">IF($A146&gt;Endyr,0,VLOOKUP($A146,Tariff_Table,Tariff!$J$33))</f>
        <v>0.19</v>
      </c>
      <c r="M146" s="1576" t="n">
        <f aca="false">D146</f>
        <v>2.79103464231705</v>
      </c>
      <c r="N146" s="1608" t="n">
        <f aca="false">L146*M146</f>
        <v>0.53029658204024</v>
      </c>
      <c r="O146" s="397" t="n">
        <f aca="false">'Plant Operations'!$I146+'Plant Operations'!$M146</f>
        <v>289336.32</v>
      </c>
      <c r="P146" s="1606" t="n">
        <f aca="false">N146*O146</f>
        <v>153434.061556101</v>
      </c>
      <c r="Q146" s="1565" t="n">
        <f aca="false">$H146</f>
        <v>2.61977149926703</v>
      </c>
      <c r="R146" s="1566" t="n">
        <f aca="false">P146/Q146</f>
        <v>58567.7268414552</v>
      </c>
      <c r="S146" s="1567" t="str">
        <f aca="false">IF(MONTH($A146)=12,SUM(R135:R146)," ")</f>
        <v> </v>
      </c>
    </row>
    <row r="147" customFormat="false" ht="12.75" hidden="false" customHeight="false" outlineLevel="0" collapsed="false">
      <c r="A147" s="1538" t="n">
        <f aca="false">'Plant Operations'!A147</f>
        <v>40360</v>
      </c>
      <c r="C147" s="1595" t="n">
        <f aca="false">IF($A147&gt;Endyr,0,VLOOKUP($A147,Tariff_Table,Tariff!$D$33))</f>
        <v>7728.38912133891</v>
      </c>
      <c r="D147" s="1565" t="n">
        <f aca="false">VLOOKUP($A147,Curves_Table,Escalation!$R$291)</f>
        <v>2.79103464231705</v>
      </c>
      <c r="E147" s="1606" t="n">
        <f aca="false">C147*D147</f>
        <v>21570.2017669632</v>
      </c>
      <c r="F147" s="1540" t="n">
        <f aca="false">'Plant Operations'!C147</f>
        <v>480</v>
      </c>
      <c r="G147" s="1606" t="n">
        <f aca="false">E147*F147/1000</f>
        <v>10353.6968481423</v>
      </c>
      <c r="H147" s="1576" t="n">
        <f aca="false">IF(Assm!$L$74=0,VLOOKUP($A147,Curves_Table,Escalation!$D$291),VLOOKUP($A147,Curves_Table,Escalation!$E$291))</f>
        <v>2.62487381888841</v>
      </c>
      <c r="I147" s="394" t="n">
        <f aca="false">G147/H147</f>
        <v>3944.45507194968</v>
      </c>
      <c r="J147" s="1579" t="str">
        <f aca="false">IF(MONTH($A147)=12,SUM(I136:I147)," ")</f>
        <v> </v>
      </c>
      <c r="L147" s="1607" t="n">
        <f aca="false">IF($A147&gt;Endyr,0,VLOOKUP($A147,Tariff_Table,Tariff!$J$33))</f>
        <v>0.19</v>
      </c>
      <c r="M147" s="1576" t="n">
        <f aca="false">D147</f>
        <v>2.79103464231705</v>
      </c>
      <c r="N147" s="1608" t="n">
        <f aca="false">L147*M147</f>
        <v>0.53029658204024</v>
      </c>
      <c r="O147" s="397" t="n">
        <f aca="false">'Plant Operations'!$I147+'Plant Operations'!$M147</f>
        <v>298980.864</v>
      </c>
      <c r="P147" s="1606" t="n">
        <f aca="false">N147*O147</f>
        <v>158548.530274638</v>
      </c>
      <c r="Q147" s="1565" t="n">
        <f aca="false">$H147</f>
        <v>2.62487381888841</v>
      </c>
      <c r="R147" s="1566" t="n">
        <f aca="false">P147/Q147</f>
        <v>60402.3435845691</v>
      </c>
      <c r="S147" s="1567" t="str">
        <f aca="false">IF(MONTH($A147)=12,SUM(R136:R147)," ")</f>
        <v> </v>
      </c>
    </row>
    <row r="148" customFormat="false" ht="12.75" hidden="false" customHeight="false" outlineLevel="0" collapsed="false">
      <c r="A148" s="1538" t="n">
        <f aca="false">'Plant Operations'!A148</f>
        <v>40391</v>
      </c>
      <c r="C148" s="1595" t="n">
        <f aca="false">IF($A148&gt;Endyr,0,VLOOKUP($A148,Tariff_Table,Tariff!$D$33))</f>
        <v>7728.38912133891</v>
      </c>
      <c r="D148" s="1565" t="n">
        <f aca="false">VLOOKUP($A148,Curves_Table,Escalation!$R$291)</f>
        <v>2.79103464231705</v>
      </c>
      <c r="E148" s="1606" t="n">
        <f aca="false">C148*D148</f>
        <v>21570.2017669632</v>
      </c>
      <c r="F148" s="1540" t="n">
        <f aca="false">'Plant Operations'!C148</f>
        <v>480</v>
      </c>
      <c r="G148" s="1606" t="n">
        <f aca="false">E148*F148/1000</f>
        <v>10353.6968481423</v>
      </c>
      <c r="H148" s="1576" t="n">
        <f aca="false">IF(Assm!$L$74=0,VLOOKUP($A148,Curves_Table,Escalation!$D$291),VLOOKUP($A148,Curves_Table,Escalation!$E$291))</f>
        <v>2.62998607589002</v>
      </c>
      <c r="I148" s="394" t="n">
        <f aca="false">G148/H148</f>
        <v>3936.78770509782</v>
      </c>
      <c r="J148" s="1579" t="str">
        <f aca="false">IF(MONTH($A148)=12,SUM(I137:I148)," ")</f>
        <v> </v>
      </c>
      <c r="L148" s="1607" t="n">
        <f aca="false">IF($A148&gt;Endyr,0,VLOOKUP($A148,Tariff_Table,Tariff!$J$33))</f>
        <v>0.19</v>
      </c>
      <c r="M148" s="1576" t="n">
        <f aca="false">D148</f>
        <v>2.79103464231705</v>
      </c>
      <c r="N148" s="1608" t="n">
        <f aca="false">L148*M148</f>
        <v>0.53029658204024</v>
      </c>
      <c r="O148" s="397" t="n">
        <f aca="false">'Plant Operations'!$I148+'Plant Operations'!$M148</f>
        <v>298980.864</v>
      </c>
      <c r="P148" s="1606" t="n">
        <f aca="false">N148*O148</f>
        <v>158548.530274638</v>
      </c>
      <c r="Q148" s="1565" t="n">
        <f aca="false">$H148</f>
        <v>2.62998607589002</v>
      </c>
      <c r="R148" s="1566" t="n">
        <f aca="false">P148/Q148</f>
        <v>60284.9314405525</v>
      </c>
      <c r="S148" s="1567" t="str">
        <f aca="false">IF(MONTH($A148)=12,SUM(R137:R148)," ")</f>
        <v> </v>
      </c>
    </row>
    <row r="149" customFormat="false" ht="12.75" hidden="false" customHeight="false" outlineLevel="0" collapsed="false">
      <c r="A149" s="1538" t="n">
        <f aca="false">'Plant Operations'!A149</f>
        <v>40422</v>
      </c>
      <c r="C149" s="1595" t="n">
        <f aca="false">IF($A149&gt;Endyr,0,VLOOKUP($A149,Tariff_Table,Tariff!$D$33))</f>
        <v>7728.38912133891</v>
      </c>
      <c r="D149" s="1565" t="n">
        <f aca="false">VLOOKUP($A149,Curves_Table,Escalation!$R$291)</f>
        <v>2.79103464231705</v>
      </c>
      <c r="E149" s="1606" t="n">
        <f aca="false">C149*D149</f>
        <v>21570.2017669632</v>
      </c>
      <c r="F149" s="1540" t="n">
        <f aca="false">'Plant Operations'!C149</f>
        <v>480</v>
      </c>
      <c r="G149" s="1606" t="n">
        <f aca="false">E149*F149/1000</f>
        <v>10353.6968481423</v>
      </c>
      <c r="H149" s="1576" t="n">
        <f aca="false">IF(Assm!$L$74=0,VLOOKUP($A149,Curves_Table,Escalation!$D$291),VLOOKUP($A149,Curves_Table,Escalation!$E$291))</f>
        <v>2.63510828962611</v>
      </c>
      <c r="I149" s="394" t="n">
        <f aca="false">G149/H149</f>
        <v>3929.13524233623</v>
      </c>
      <c r="J149" s="1579" t="str">
        <f aca="false">IF(MONTH($A149)=12,SUM(I138:I149)," ")</f>
        <v> </v>
      </c>
      <c r="L149" s="1607" t="n">
        <f aca="false">IF($A149&gt;Endyr,0,VLOOKUP($A149,Tariff_Table,Tariff!$J$33))</f>
        <v>0.19</v>
      </c>
      <c r="M149" s="1576" t="n">
        <f aca="false">D149</f>
        <v>2.79103464231705</v>
      </c>
      <c r="N149" s="1608" t="n">
        <f aca="false">L149*M149</f>
        <v>0.53029658204024</v>
      </c>
      <c r="O149" s="397" t="n">
        <f aca="false">'Plant Operations'!$I149+'Plant Operations'!$M149</f>
        <v>289336.32</v>
      </c>
      <c r="P149" s="1606" t="n">
        <f aca="false">N149*O149</f>
        <v>153434.061556101</v>
      </c>
      <c r="Q149" s="1565" t="n">
        <f aca="false">$H149</f>
        <v>2.63510828962611</v>
      </c>
      <c r="R149" s="1566" t="n">
        <f aca="false">P149/Q149</f>
        <v>58226.8524447894</v>
      </c>
      <c r="S149" s="1567" t="str">
        <f aca="false">IF(MONTH($A149)=12,SUM(R138:R149)," ")</f>
        <v> </v>
      </c>
    </row>
    <row r="150" customFormat="false" ht="12.75" hidden="false" customHeight="false" outlineLevel="0" collapsed="false">
      <c r="A150" s="1538" t="n">
        <f aca="false">'Plant Operations'!A150</f>
        <v>40452</v>
      </c>
      <c r="C150" s="1595" t="n">
        <f aca="false">IF($A150&gt;Endyr,0,VLOOKUP($A150,Tariff_Table,Tariff!$D$33))</f>
        <v>7728.38912133891</v>
      </c>
      <c r="D150" s="1565" t="n">
        <f aca="false">VLOOKUP($A150,Curves_Table,Escalation!$R$291)</f>
        <v>2.79103464231705</v>
      </c>
      <c r="E150" s="1606" t="n">
        <f aca="false">C150*D150</f>
        <v>21570.2017669632</v>
      </c>
      <c r="F150" s="1540" t="n">
        <f aca="false">'Plant Operations'!C150</f>
        <v>480</v>
      </c>
      <c r="G150" s="1606" t="n">
        <f aca="false">E150*F150/1000</f>
        <v>10353.6968481423</v>
      </c>
      <c r="H150" s="1576" t="n">
        <f aca="false">IF(Assm!$L$74=0,VLOOKUP($A150,Curves_Table,Escalation!$D$291),VLOOKUP($A150,Curves_Table,Escalation!$E$291))</f>
        <v>2.64024047948862</v>
      </c>
      <c r="I150" s="394" t="n">
        <f aca="false">G150/H150</f>
        <v>3921.49765469382</v>
      </c>
      <c r="J150" s="1579" t="str">
        <f aca="false">IF(MONTH($A150)=12,SUM(I139:I150)," ")</f>
        <v> </v>
      </c>
      <c r="L150" s="1607" t="n">
        <f aca="false">IF($A150&gt;Endyr,0,VLOOKUP($A150,Tariff_Table,Tariff!$J$33))</f>
        <v>0.19</v>
      </c>
      <c r="M150" s="1576" t="n">
        <f aca="false">D150</f>
        <v>2.79103464231705</v>
      </c>
      <c r="N150" s="1608" t="n">
        <f aca="false">L150*M150</f>
        <v>0.53029658204024</v>
      </c>
      <c r="O150" s="397" t="n">
        <f aca="false">'Plant Operations'!$I150+'Plant Operations'!$M150</f>
        <v>298980.864</v>
      </c>
      <c r="P150" s="1606" t="n">
        <f aca="false">N150*O150</f>
        <v>158548.530274638</v>
      </c>
      <c r="Q150" s="1565" t="n">
        <f aca="false">$H150</f>
        <v>2.64024047948862</v>
      </c>
      <c r="R150" s="1566" t="n">
        <f aca="false">P150/Q150</f>
        <v>60050.7913981179</v>
      </c>
      <c r="S150" s="1567" t="str">
        <f aca="false">IF(MONTH($A150)=12,SUM(R139:R150)," ")</f>
        <v> </v>
      </c>
    </row>
    <row r="151" customFormat="false" ht="12.75" hidden="false" customHeight="false" outlineLevel="0" collapsed="false">
      <c r="A151" s="1538" t="n">
        <f aca="false">'Plant Operations'!A151</f>
        <v>40483</v>
      </c>
      <c r="C151" s="1595" t="n">
        <f aca="false">IF($A151&gt;Endyr,0,VLOOKUP($A151,Tariff_Table,Tariff!$D$33))</f>
        <v>7728.38912133891</v>
      </c>
      <c r="D151" s="1565" t="n">
        <f aca="false">VLOOKUP($A151,Curves_Table,Escalation!$R$291)</f>
        <v>2.79103464231705</v>
      </c>
      <c r="E151" s="1606" t="n">
        <f aca="false">C151*D151</f>
        <v>21570.2017669632</v>
      </c>
      <c r="F151" s="1540" t="n">
        <f aca="false">'Plant Operations'!C151</f>
        <v>480</v>
      </c>
      <c r="G151" s="1606" t="n">
        <f aca="false">E151*F151/1000</f>
        <v>10353.6968481423</v>
      </c>
      <c r="H151" s="1576" t="n">
        <f aca="false">IF(Assm!$L$74=0,VLOOKUP($A151,Curves_Table,Escalation!$D$291),VLOOKUP($A151,Curves_Table,Escalation!$E$291))</f>
        <v>2.64538266490724</v>
      </c>
      <c r="I151" s="394" t="n">
        <f aca="false">G151/H151</f>
        <v>3913.87491325584</v>
      </c>
      <c r="J151" s="1579" t="str">
        <f aca="false">IF(MONTH($A151)=12,SUM(I140:I151)," ")</f>
        <v> </v>
      </c>
      <c r="L151" s="1607" t="n">
        <f aca="false">IF($A151&gt;Endyr,0,VLOOKUP($A151,Tariff_Table,Tariff!$J$33))</f>
        <v>0.19</v>
      </c>
      <c r="M151" s="1576" t="n">
        <f aca="false">D151</f>
        <v>2.79103464231705</v>
      </c>
      <c r="N151" s="1608" t="n">
        <f aca="false">L151*M151</f>
        <v>0.53029658204024</v>
      </c>
      <c r="O151" s="397" t="n">
        <f aca="false">'Plant Operations'!$I151+'Plant Operations'!$M151</f>
        <v>289336.32</v>
      </c>
      <c r="P151" s="1606" t="n">
        <f aca="false">N151*O151</f>
        <v>153434.061556101</v>
      </c>
      <c r="Q151" s="1565" t="n">
        <f aca="false">$H151</f>
        <v>2.64538266490724</v>
      </c>
      <c r="R151" s="1566" t="n">
        <f aca="false">P151/Q151</f>
        <v>58000.7057547878</v>
      </c>
      <c r="S151" s="1567" t="str">
        <f aca="false">IF(MONTH($A151)=12,SUM(R140:R151)," ")</f>
        <v> </v>
      </c>
    </row>
    <row r="152" customFormat="false" ht="12.75" hidden="false" customHeight="false" outlineLevel="0" collapsed="false">
      <c r="A152" s="1538" t="n">
        <f aca="false">'Plant Operations'!A152</f>
        <v>40513</v>
      </c>
      <c r="C152" s="1595" t="n">
        <f aca="false">IF($A152&gt;Endyr,0,VLOOKUP($A152,Tariff_Table,Tariff!$D$33))</f>
        <v>7728.38912133891</v>
      </c>
      <c r="D152" s="1565" t="n">
        <f aca="false">VLOOKUP($A152,Curves_Table,Escalation!$R$291)</f>
        <v>2.79103464231705</v>
      </c>
      <c r="E152" s="1606" t="n">
        <f aca="false">C152*D152</f>
        <v>21570.2017669632</v>
      </c>
      <c r="F152" s="1540" t="n">
        <f aca="false">'Plant Operations'!C152</f>
        <v>480</v>
      </c>
      <c r="G152" s="1606" t="n">
        <f aca="false">E152*F152/1000</f>
        <v>10353.6968481423</v>
      </c>
      <c r="H152" s="1576" t="n">
        <f aca="false">IF(Assm!$L$74=0,VLOOKUP($A152,Curves_Table,Escalation!$D$291),VLOOKUP($A152,Curves_Table,Escalation!$E$291))</f>
        <v>2.65053486534952</v>
      </c>
      <c r="I152" s="394" t="n">
        <f aca="false">G152/H152</f>
        <v>3906.26698916371</v>
      </c>
      <c r="J152" s="1579" t="n">
        <f aca="false">IF(MONTH($A152)=12,SUM(I141:I152)," ")</f>
        <v>46316.5154012618</v>
      </c>
      <c r="L152" s="1607" t="n">
        <f aca="false">IF($A152&gt;Endyr,0,VLOOKUP($A152,Tariff_Table,Tariff!$J$33))</f>
        <v>0.19</v>
      </c>
      <c r="M152" s="1576" t="n">
        <f aca="false">D152</f>
        <v>2.79103464231705</v>
      </c>
      <c r="N152" s="1608" t="n">
        <f aca="false">L152*M152</f>
        <v>0.53029658204024</v>
      </c>
      <c r="O152" s="397" t="n">
        <f aca="false">'Plant Operations'!$I152+'Plant Operations'!$M152</f>
        <v>298980.864</v>
      </c>
      <c r="P152" s="1606" t="n">
        <f aca="false">N152*O152</f>
        <v>158548.530274638</v>
      </c>
      <c r="Q152" s="1565" t="n">
        <f aca="false">$H152</f>
        <v>2.65053486534952</v>
      </c>
      <c r="R152" s="1566" t="n">
        <f aca="false">P152/Q152</f>
        <v>59817.560729853</v>
      </c>
      <c r="S152" s="1567" t="n">
        <f aca="false">IF(MONTH($A152)=12,SUM(R141:R152)," ")</f>
        <v>696018.908387129</v>
      </c>
    </row>
    <row r="153" customFormat="false" ht="12.75" hidden="false" customHeight="false" outlineLevel="0" collapsed="false">
      <c r="A153" s="1538" t="n">
        <f aca="false">'Plant Operations'!A153</f>
        <v>40544</v>
      </c>
      <c r="C153" s="1595" t="n">
        <f aca="false">IF($A153&gt;Endyr,0,VLOOKUP($A153,Tariff_Table,Tariff!$D$33))</f>
        <v>7728.38912133891</v>
      </c>
      <c r="D153" s="1565" t="n">
        <f aca="false">VLOOKUP($A153,Curves_Table,Escalation!$R$291)</f>
        <v>2.79103464231705</v>
      </c>
      <c r="E153" s="1606" t="n">
        <f aca="false">C153*D153</f>
        <v>21570.2017669632</v>
      </c>
      <c r="F153" s="1540" t="n">
        <f aca="false">'Plant Operations'!C153</f>
        <v>480</v>
      </c>
      <c r="G153" s="1606" t="n">
        <f aca="false">E153*F153/1000</f>
        <v>10353.6968481423</v>
      </c>
      <c r="H153" s="1576" t="n">
        <f aca="false">IF(Assm!$L$74=0,VLOOKUP($A153,Curves_Table,Escalation!$D$291),VLOOKUP($A153,Curves_Table,Escalation!$E$291))</f>
        <v>2.65513335215341</v>
      </c>
      <c r="I153" s="394" t="n">
        <f aca="false">G153/H153</f>
        <v>3899.50163510435</v>
      </c>
      <c r="J153" s="1579" t="str">
        <f aca="false">IF(MONTH($A153)=12,SUM(I142:I153)," ")</f>
        <v> </v>
      </c>
      <c r="L153" s="1607" t="n">
        <f aca="false">IF($A153&gt;Endyr,0,VLOOKUP($A153,Tariff_Table,Tariff!$J$33))</f>
        <v>0.19</v>
      </c>
      <c r="M153" s="1576" t="n">
        <f aca="false">D153</f>
        <v>2.79103464231705</v>
      </c>
      <c r="N153" s="1608" t="n">
        <f aca="false">L153*M153</f>
        <v>0.53029658204024</v>
      </c>
      <c r="O153" s="397" t="n">
        <f aca="false">'Plant Operations'!$I153+'Plant Operations'!$M153</f>
        <v>298980.864</v>
      </c>
      <c r="P153" s="1606" t="n">
        <f aca="false">N153*O153</f>
        <v>158548.530274638</v>
      </c>
      <c r="Q153" s="1565" t="n">
        <f aca="false">$H153</f>
        <v>2.65513335215341</v>
      </c>
      <c r="R153" s="1566" t="n">
        <f aca="false">P153/Q153</f>
        <v>59713.9613142403</v>
      </c>
      <c r="S153" s="1567" t="str">
        <f aca="false">IF(MONTH($A153)=12,SUM(R142:R153)," ")</f>
        <v> </v>
      </c>
    </row>
    <row r="154" customFormat="false" ht="12.75" hidden="false" customHeight="false" outlineLevel="0" collapsed="false">
      <c r="A154" s="1538" t="n">
        <f aca="false">'Plant Operations'!A154</f>
        <v>40575</v>
      </c>
      <c r="C154" s="1595" t="n">
        <f aca="false">IF($A154&gt;Endyr,0,VLOOKUP($A154,Tariff_Table,Tariff!$D$33))</f>
        <v>7728.38912133891</v>
      </c>
      <c r="D154" s="1565" t="n">
        <f aca="false">VLOOKUP($A154,Curves_Table,Escalation!$R$291)</f>
        <v>2.79103464231705</v>
      </c>
      <c r="E154" s="1606" t="n">
        <f aca="false">C154*D154</f>
        <v>21570.2017669632</v>
      </c>
      <c r="F154" s="1540" t="n">
        <f aca="false">'Plant Operations'!C154</f>
        <v>480</v>
      </c>
      <c r="G154" s="1606" t="n">
        <f aca="false">E154*F154/1000</f>
        <v>10353.6968481423</v>
      </c>
      <c r="H154" s="1576" t="n">
        <f aca="false">IF(Assm!$L$74=0,VLOOKUP($A154,Curves_Table,Escalation!$D$291),VLOOKUP($A154,Curves_Table,Escalation!$E$291))</f>
        <v>2.6597398170002</v>
      </c>
      <c r="I154" s="394" t="n">
        <f aca="false">G154/H154</f>
        <v>3892.74799811802</v>
      </c>
      <c r="J154" s="1579" t="str">
        <f aca="false">IF(MONTH($A154)=12,SUM(I143:I154)," ")</f>
        <v> </v>
      </c>
      <c r="L154" s="1607" t="n">
        <f aca="false">IF($A154&gt;Endyr,0,VLOOKUP($A154,Tariff_Table,Tariff!$J$33))</f>
        <v>0.19</v>
      </c>
      <c r="M154" s="1576" t="n">
        <f aca="false">D154</f>
        <v>2.79103464231705</v>
      </c>
      <c r="N154" s="1608" t="n">
        <f aca="false">L154*M154</f>
        <v>0.53029658204024</v>
      </c>
      <c r="O154" s="397" t="n">
        <f aca="false">'Plant Operations'!$I154+'Plant Operations'!$M154</f>
        <v>270047.232</v>
      </c>
      <c r="P154" s="1606" t="n">
        <f aca="false">N154*O154</f>
        <v>143205.124119028</v>
      </c>
      <c r="Q154" s="1565" t="n">
        <f aca="false">$H154</f>
        <v>2.6597398170002</v>
      </c>
      <c r="R154" s="1566" t="n">
        <f aca="false">P154/Q154</f>
        <v>53841.7792611543</v>
      </c>
      <c r="S154" s="1567" t="str">
        <f aca="false">IF(MONTH($A154)=12,SUM(R143:R154)," ")</f>
        <v> </v>
      </c>
    </row>
    <row r="155" customFormat="false" ht="12.75" hidden="false" customHeight="false" outlineLevel="0" collapsed="false">
      <c r="A155" s="1538" t="n">
        <f aca="false">'Plant Operations'!A155</f>
        <v>40603</v>
      </c>
      <c r="C155" s="1595" t="n">
        <f aca="false">IF($A155&gt;Endyr,0,VLOOKUP($A155,Tariff_Table,Tariff!$D$33))</f>
        <v>7728.38912133891</v>
      </c>
      <c r="D155" s="1565" t="n">
        <f aca="false">VLOOKUP($A155,Curves_Table,Escalation!$R$291)</f>
        <v>2.79103464231705</v>
      </c>
      <c r="E155" s="1606" t="n">
        <f aca="false">C155*D155</f>
        <v>21570.2017669632</v>
      </c>
      <c r="F155" s="1540" t="n">
        <f aca="false">'Plant Operations'!C155</f>
        <v>480</v>
      </c>
      <c r="G155" s="1606" t="n">
        <f aca="false">E155*F155/1000</f>
        <v>10353.6968481423</v>
      </c>
      <c r="H155" s="1576" t="n">
        <f aca="false">IF(Assm!$L$74=0,VLOOKUP($A155,Curves_Table,Escalation!$D$291),VLOOKUP($A155,Curves_Table,Escalation!$E$291))</f>
        <v>2.66435427373123</v>
      </c>
      <c r="I155" s="394" t="n">
        <f aca="false">G155/H155</f>
        <v>3886.00605791163</v>
      </c>
      <c r="J155" s="1579" t="str">
        <f aca="false">IF(MONTH($A155)=12,SUM(I144:I155)," ")</f>
        <v> </v>
      </c>
      <c r="L155" s="1607" t="n">
        <f aca="false">IF($A155&gt;Endyr,0,VLOOKUP($A155,Tariff_Table,Tariff!$J$33))</f>
        <v>0.19</v>
      </c>
      <c r="M155" s="1576" t="n">
        <f aca="false">D155</f>
        <v>2.79103464231705</v>
      </c>
      <c r="N155" s="1608" t="n">
        <f aca="false">L155*M155</f>
        <v>0.53029658204024</v>
      </c>
      <c r="O155" s="397" t="n">
        <f aca="false">'Plant Operations'!$I155+'Plant Operations'!$M155</f>
        <v>298980.864</v>
      </c>
      <c r="P155" s="1606" t="n">
        <f aca="false">N155*O155</f>
        <v>158548.530274638</v>
      </c>
      <c r="Q155" s="1565" t="n">
        <f aca="false">$H155</f>
        <v>2.66435427373123</v>
      </c>
      <c r="R155" s="1566" t="n">
        <f aca="false">P155/Q155</f>
        <v>59507.3004509278</v>
      </c>
      <c r="S155" s="1567" t="str">
        <f aca="false">IF(MONTH($A155)=12,SUM(R144:R155)," ")</f>
        <v> </v>
      </c>
    </row>
    <row r="156" customFormat="false" ht="12.75" hidden="false" customHeight="false" outlineLevel="0" collapsed="false">
      <c r="A156" s="1538" t="n">
        <f aca="false">'Plant Operations'!A156</f>
        <v>40634</v>
      </c>
      <c r="C156" s="1595" t="n">
        <f aca="false">IF($A156&gt;Endyr,0,VLOOKUP($A156,Tariff_Table,Tariff!$D$33))</f>
        <v>7728.38912133891</v>
      </c>
      <c r="D156" s="1565" t="n">
        <f aca="false">VLOOKUP($A156,Curves_Table,Escalation!$R$291)</f>
        <v>2.79103464231705</v>
      </c>
      <c r="E156" s="1606" t="n">
        <f aca="false">C156*D156</f>
        <v>21570.2017669632</v>
      </c>
      <c r="F156" s="1540" t="n">
        <f aca="false">'Plant Operations'!C156</f>
        <v>480</v>
      </c>
      <c r="G156" s="1606" t="n">
        <f aca="false">E156*F156/1000</f>
        <v>10353.6968481423</v>
      </c>
      <c r="H156" s="1576" t="n">
        <f aca="false">IF(Assm!$L$74=0,VLOOKUP($A156,Curves_Table,Escalation!$D$291),VLOOKUP($A156,Curves_Table,Escalation!$E$291))</f>
        <v>2.66897673621184</v>
      </c>
      <c r="I156" s="394" t="n">
        <f aca="false">G156/H156</f>
        <v>3879.27579422728</v>
      </c>
      <c r="J156" s="1579" t="str">
        <f aca="false">IF(MONTH($A156)=12,SUM(I145:I156)," ")</f>
        <v> </v>
      </c>
      <c r="L156" s="1607" t="n">
        <f aca="false">IF($A156&gt;Endyr,0,VLOOKUP($A156,Tariff_Table,Tariff!$J$33))</f>
        <v>0.19</v>
      </c>
      <c r="M156" s="1576" t="n">
        <f aca="false">D156</f>
        <v>2.79103464231705</v>
      </c>
      <c r="N156" s="1608" t="n">
        <f aca="false">L156*M156</f>
        <v>0.53029658204024</v>
      </c>
      <c r="O156" s="397" t="n">
        <f aca="false">'Plant Operations'!$I156+'Plant Operations'!$M156</f>
        <v>289336.32</v>
      </c>
      <c r="P156" s="1606" t="n">
        <f aca="false">N156*O156</f>
        <v>153434.061556101</v>
      </c>
      <c r="Q156" s="1565" t="n">
        <f aca="false">$H156</f>
        <v>2.66897673621184</v>
      </c>
      <c r="R156" s="1566" t="n">
        <f aca="false">P156/Q156</f>
        <v>57487.9726279948</v>
      </c>
      <c r="S156" s="1567" t="str">
        <f aca="false">IF(MONTH($A156)=12,SUM(R145:R156)," ")</f>
        <v> </v>
      </c>
    </row>
    <row r="157" customFormat="false" ht="12.75" hidden="false" customHeight="false" outlineLevel="0" collapsed="false">
      <c r="A157" s="1538" t="n">
        <f aca="false">'Plant Operations'!A157</f>
        <v>40664</v>
      </c>
      <c r="C157" s="1595" t="n">
        <f aca="false">IF($A157&gt;Endyr,0,VLOOKUP($A157,Tariff_Table,Tariff!$D$33))</f>
        <v>7277.27848101266</v>
      </c>
      <c r="D157" s="1565" t="n">
        <f aca="false">VLOOKUP($A157,Curves_Table,Escalation!$R$291)</f>
        <v>2.99198913656388</v>
      </c>
      <c r="E157" s="1606" t="n">
        <f aca="false">C157*D157</f>
        <v>21773.53815894</v>
      </c>
      <c r="F157" s="1540" t="n">
        <f aca="false">'Plant Operations'!C157</f>
        <v>480</v>
      </c>
      <c r="G157" s="1606" t="n">
        <f aca="false">E157*F157/1000</f>
        <v>10451.2983162912</v>
      </c>
      <c r="H157" s="1576" t="n">
        <f aca="false">IF(Assm!$L$74=0,VLOOKUP($A157,Curves_Table,Escalation!$D$291),VLOOKUP($A157,Curves_Table,Escalation!$E$291))</f>
        <v>2.67360721833143</v>
      </c>
      <c r="I157" s="394" t="n">
        <f aca="false">G157/H157</f>
        <v>3909.06272418495</v>
      </c>
      <c r="J157" s="1579" t="str">
        <f aca="false">IF(MONTH($A157)=12,SUM(I146:I157)," ")</f>
        <v> </v>
      </c>
      <c r="L157" s="1607" t="n">
        <f aca="false">IF($A157&gt;Endyr,0,VLOOKUP($A157,Tariff_Table,Tariff!$J$33))</f>
        <v>0.19</v>
      </c>
      <c r="M157" s="1576" t="n">
        <f aca="false">D157</f>
        <v>2.99198913656388</v>
      </c>
      <c r="N157" s="1608" t="n">
        <f aca="false">L157*M157</f>
        <v>0.568477935947138</v>
      </c>
      <c r="O157" s="397" t="n">
        <f aca="false">'Plant Operations'!$I157+'Plant Operations'!$M157</f>
        <v>298980.864</v>
      </c>
      <c r="P157" s="1606" t="n">
        <f aca="false">N157*O157</f>
        <v>169964.024454412</v>
      </c>
      <c r="Q157" s="1565" t="n">
        <f aca="false">$H157</f>
        <v>2.67360721833143</v>
      </c>
      <c r="R157" s="1566" t="n">
        <f aca="false">P157/Q157</f>
        <v>63571.0523554334</v>
      </c>
      <c r="S157" s="1567" t="str">
        <f aca="false">IF(MONTH($A157)=12,SUM(R146:R157)," ")</f>
        <v> </v>
      </c>
    </row>
    <row r="158" customFormat="false" ht="12.75" hidden="false" customHeight="false" outlineLevel="0" collapsed="false">
      <c r="A158" s="1538" t="n">
        <f aca="false">'Plant Operations'!A158</f>
        <v>40695</v>
      </c>
      <c r="C158" s="1595" t="n">
        <f aca="false">IF($A158&gt;Endyr,0,VLOOKUP($A158,Tariff_Table,Tariff!$D$33))</f>
        <v>7277.27848101266</v>
      </c>
      <c r="D158" s="1565" t="n">
        <f aca="false">VLOOKUP($A158,Curves_Table,Escalation!$R$291)</f>
        <v>2.99198913656388</v>
      </c>
      <c r="E158" s="1606" t="n">
        <f aca="false">C158*D158</f>
        <v>21773.53815894</v>
      </c>
      <c r="F158" s="1540" t="n">
        <f aca="false">'Plant Operations'!C158</f>
        <v>480</v>
      </c>
      <c r="G158" s="1606" t="n">
        <f aca="false">E158*F158/1000</f>
        <v>10451.2983162912</v>
      </c>
      <c r="H158" s="1576" t="n">
        <f aca="false">IF(Assm!$L$74=0,VLOOKUP($A158,Curves_Table,Escalation!$D$291),VLOOKUP($A158,Curves_Table,Escalation!$E$291))</f>
        <v>2.67824573400349</v>
      </c>
      <c r="I158" s="394" t="n">
        <f aca="false">G158/H158</f>
        <v>3902.29252812751</v>
      </c>
      <c r="J158" s="1579" t="str">
        <f aca="false">IF(MONTH($A158)=12,SUM(I147:I158)," ")</f>
        <v> </v>
      </c>
      <c r="L158" s="1607" t="n">
        <f aca="false">IF($A158&gt;Endyr,0,VLOOKUP($A158,Tariff_Table,Tariff!$J$33))</f>
        <v>0.19</v>
      </c>
      <c r="M158" s="1576" t="n">
        <f aca="false">D158</f>
        <v>2.99198913656388</v>
      </c>
      <c r="N158" s="1608" t="n">
        <f aca="false">L158*M158</f>
        <v>0.568477935947138</v>
      </c>
      <c r="O158" s="397" t="n">
        <f aca="false">'Plant Operations'!$I158+'Plant Operations'!$M158</f>
        <v>289336.32</v>
      </c>
      <c r="P158" s="1606" t="n">
        <f aca="false">N158*O158</f>
        <v>164481.31398814</v>
      </c>
      <c r="Q158" s="1565" t="n">
        <f aca="false">$H158</f>
        <v>2.67824573400349</v>
      </c>
      <c r="R158" s="1566" t="n">
        <f aca="false">P158/Q158</f>
        <v>61413.8246912358</v>
      </c>
      <c r="S158" s="1567" t="str">
        <f aca="false">IF(MONTH($A158)=12,SUM(R147:R158)," ")</f>
        <v> </v>
      </c>
    </row>
    <row r="159" customFormat="false" ht="12.75" hidden="false" customHeight="false" outlineLevel="0" collapsed="false">
      <c r="A159" s="1538" t="n">
        <f aca="false">'Plant Operations'!A159</f>
        <v>40725</v>
      </c>
      <c r="C159" s="1595" t="n">
        <f aca="false">IF($A159&gt;Endyr,0,VLOOKUP($A159,Tariff_Table,Tariff!$D$33))</f>
        <v>7277.27848101266</v>
      </c>
      <c r="D159" s="1565" t="n">
        <f aca="false">VLOOKUP($A159,Curves_Table,Escalation!$R$291)</f>
        <v>2.99198913656388</v>
      </c>
      <c r="E159" s="1606" t="n">
        <f aca="false">C159*D159</f>
        <v>21773.53815894</v>
      </c>
      <c r="F159" s="1540" t="n">
        <f aca="false">'Plant Operations'!C159</f>
        <v>480</v>
      </c>
      <c r="G159" s="1606" t="n">
        <f aca="false">E159*F159/1000</f>
        <v>10451.2983162912</v>
      </c>
      <c r="H159" s="1576" t="n">
        <f aca="false">IF(Assm!$L$74=0,VLOOKUP($A159,Curves_Table,Escalation!$D$291),VLOOKUP($A159,Curves_Table,Escalation!$E$291))</f>
        <v>2.68289229716566</v>
      </c>
      <c r="I159" s="394" t="n">
        <f aca="false">G159/H159</f>
        <v>3895.53405752906</v>
      </c>
      <c r="J159" s="1579" t="str">
        <f aca="false">IF(MONTH($A159)=12,SUM(I148:I159)," ")</f>
        <v> </v>
      </c>
      <c r="L159" s="1607" t="n">
        <f aca="false">IF($A159&gt;Endyr,0,VLOOKUP($A159,Tariff_Table,Tariff!$J$33))</f>
        <v>0.19</v>
      </c>
      <c r="M159" s="1576" t="n">
        <f aca="false">D159</f>
        <v>2.99198913656388</v>
      </c>
      <c r="N159" s="1608" t="n">
        <f aca="false">L159*M159</f>
        <v>0.568477935947138</v>
      </c>
      <c r="O159" s="397" t="n">
        <f aca="false">'Plant Operations'!$I159+'Plant Operations'!$M159</f>
        <v>298980.864</v>
      </c>
      <c r="P159" s="1606" t="n">
        <f aca="false">N159*O159</f>
        <v>169964.024454412</v>
      </c>
      <c r="Q159" s="1565" t="n">
        <f aca="false">$H159</f>
        <v>2.68289229716566</v>
      </c>
      <c r="R159" s="1566" t="n">
        <f aca="false">P159/Q159</f>
        <v>63351.0426914902</v>
      </c>
      <c r="S159" s="1567" t="str">
        <f aca="false">IF(MONTH($A159)=12,SUM(R148:R159)," ")</f>
        <v> </v>
      </c>
    </row>
    <row r="160" customFormat="false" ht="12.75" hidden="false" customHeight="false" outlineLevel="0" collapsed="false">
      <c r="A160" s="1538" t="n">
        <f aca="false">'Plant Operations'!A160</f>
        <v>40756</v>
      </c>
      <c r="C160" s="1595" t="n">
        <f aca="false">IF($A160&gt;Endyr,0,VLOOKUP($A160,Tariff_Table,Tariff!$D$33))</f>
        <v>7277.27848101266</v>
      </c>
      <c r="D160" s="1565" t="n">
        <f aca="false">VLOOKUP($A160,Curves_Table,Escalation!$R$291)</f>
        <v>2.99198913656388</v>
      </c>
      <c r="E160" s="1606" t="n">
        <f aca="false">C160*D160</f>
        <v>21773.53815894</v>
      </c>
      <c r="F160" s="1540" t="n">
        <f aca="false">'Plant Operations'!C160</f>
        <v>480</v>
      </c>
      <c r="G160" s="1606" t="n">
        <f aca="false">E160*F160/1000</f>
        <v>10451.2983162912</v>
      </c>
      <c r="H160" s="1576" t="n">
        <f aca="false">IF(Assm!$L$74=0,VLOOKUP($A160,Curves_Table,Escalation!$D$291),VLOOKUP($A160,Curves_Table,Escalation!$E$291))</f>
        <v>2.68754692177975</v>
      </c>
      <c r="I160" s="394" t="n">
        <f aca="false">G160/H160</f>
        <v>3888.787292082</v>
      </c>
      <c r="J160" s="1579" t="str">
        <f aca="false">IF(MONTH($A160)=12,SUM(I149:I160)," ")</f>
        <v> </v>
      </c>
      <c r="L160" s="1607" t="n">
        <f aca="false">IF($A160&gt;Endyr,0,VLOOKUP($A160,Tariff_Table,Tariff!$J$33))</f>
        <v>0.19</v>
      </c>
      <c r="M160" s="1576" t="n">
        <f aca="false">D160</f>
        <v>2.99198913656388</v>
      </c>
      <c r="N160" s="1608" t="n">
        <f aca="false">L160*M160</f>
        <v>0.568477935947138</v>
      </c>
      <c r="O160" s="397" t="n">
        <f aca="false">'Plant Operations'!$I160+'Plant Operations'!$M160</f>
        <v>298980.864</v>
      </c>
      <c r="P160" s="1606" t="n">
        <f aca="false">N160*O160</f>
        <v>169964.024454412</v>
      </c>
      <c r="Q160" s="1565" t="n">
        <f aca="false">$H160</f>
        <v>2.68754692177975</v>
      </c>
      <c r="R160" s="1566" t="n">
        <f aca="false">P160/Q160</f>
        <v>63241.3235568212</v>
      </c>
      <c r="S160" s="1567" t="str">
        <f aca="false">IF(MONTH($A160)=12,SUM(R149:R160)," ")</f>
        <v> </v>
      </c>
    </row>
    <row r="161" customFormat="false" ht="12.75" hidden="false" customHeight="false" outlineLevel="0" collapsed="false">
      <c r="A161" s="1538" t="n">
        <f aca="false">'Plant Operations'!A161</f>
        <v>40787</v>
      </c>
      <c r="C161" s="1595" t="n">
        <f aca="false">IF($A161&gt;Endyr,0,VLOOKUP($A161,Tariff_Table,Tariff!$D$33))</f>
        <v>7277.27848101266</v>
      </c>
      <c r="D161" s="1565" t="n">
        <f aca="false">VLOOKUP($A161,Curves_Table,Escalation!$R$291)</f>
        <v>2.99198913656388</v>
      </c>
      <c r="E161" s="1606" t="n">
        <f aca="false">C161*D161</f>
        <v>21773.53815894</v>
      </c>
      <c r="F161" s="1540" t="n">
        <f aca="false">'Plant Operations'!C161</f>
        <v>480</v>
      </c>
      <c r="G161" s="1606" t="n">
        <f aca="false">E161*F161/1000</f>
        <v>10451.2983162912</v>
      </c>
      <c r="H161" s="1576" t="n">
        <f aca="false">IF(Assm!$L$74=0,VLOOKUP($A161,Curves_Table,Escalation!$D$291),VLOOKUP($A161,Curves_Table,Escalation!$E$291))</f>
        <v>2.6922096218318</v>
      </c>
      <c r="I161" s="394" t="n">
        <f aca="false">G161/H161</f>
        <v>3882.05221151392</v>
      </c>
      <c r="J161" s="1579" t="str">
        <f aca="false">IF(MONTH($A161)=12,SUM(I150:I161)," ")</f>
        <v> </v>
      </c>
      <c r="L161" s="1607" t="n">
        <f aca="false">IF($A161&gt;Endyr,0,VLOOKUP($A161,Tariff_Table,Tariff!$J$33))</f>
        <v>0.19</v>
      </c>
      <c r="M161" s="1576" t="n">
        <f aca="false">D161</f>
        <v>2.99198913656388</v>
      </c>
      <c r="N161" s="1608" t="n">
        <f aca="false">L161*M161</f>
        <v>0.568477935947138</v>
      </c>
      <c r="O161" s="397" t="n">
        <f aca="false">'Plant Operations'!$I161+'Plant Operations'!$M161</f>
        <v>289336.32</v>
      </c>
      <c r="P161" s="1606" t="n">
        <f aca="false">N161*O161</f>
        <v>164481.31398814</v>
      </c>
      <c r="Q161" s="1565" t="n">
        <f aca="false">$H161</f>
        <v>2.6922096218318</v>
      </c>
      <c r="R161" s="1566" t="n">
        <f aca="false">P161/Q161</f>
        <v>61095.2849489581</v>
      </c>
      <c r="S161" s="1567" t="str">
        <f aca="false">IF(MONTH($A161)=12,SUM(R150:R161)," ")</f>
        <v> </v>
      </c>
    </row>
    <row r="162" customFormat="false" ht="12.75" hidden="false" customHeight="false" outlineLevel="0" collapsed="false">
      <c r="A162" s="1538" t="n">
        <f aca="false">'Plant Operations'!A162</f>
        <v>40817</v>
      </c>
      <c r="C162" s="1595" t="n">
        <f aca="false">IF($A162&gt;Endyr,0,VLOOKUP($A162,Tariff_Table,Tariff!$D$33))</f>
        <v>7277.27848101266</v>
      </c>
      <c r="D162" s="1565" t="n">
        <f aca="false">VLOOKUP($A162,Curves_Table,Escalation!$R$291)</f>
        <v>2.99198913656388</v>
      </c>
      <c r="E162" s="1606" t="n">
        <f aca="false">C162*D162</f>
        <v>21773.53815894</v>
      </c>
      <c r="F162" s="1540" t="n">
        <f aca="false">'Plant Operations'!C162</f>
        <v>480</v>
      </c>
      <c r="G162" s="1606" t="n">
        <f aca="false">E162*F162/1000</f>
        <v>10451.2983162912</v>
      </c>
      <c r="H162" s="1576" t="n">
        <f aca="false">IF(Assm!$L$74=0,VLOOKUP($A162,Curves_Table,Escalation!$D$291),VLOOKUP($A162,Curves_Table,Escalation!$E$291))</f>
        <v>2.69688041133211</v>
      </c>
      <c r="I162" s="394" t="n">
        <f aca="false">G162/H162</f>
        <v>3875.3287955875</v>
      </c>
      <c r="J162" s="1579" t="str">
        <f aca="false">IF(MONTH($A162)=12,SUM(I151:I162)," ")</f>
        <v> </v>
      </c>
      <c r="L162" s="1607" t="n">
        <f aca="false">IF($A162&gt;Endyr,0,VLOOKUP($A162,Tariff_Table,Tariff!$J$33))</f>
        <v>0.19</v>
      </c>
      <c r="M162" s="1576" t="n">
        <f aca="false">D162</f>
        <v>2.99198913656388</v>
      </c>
      <c r="N162" s="1608" t="n">
        <f aca="false">L162*M162</f>
        <v>0.568477935947138</v>
      </c>
      <c r="O162" s="397" t="n">
        <f aca="false">'Plant Operations'!$I162+'Plant Operations'!$M162</f>
        <v>298980.864</v>
      </c>
      <c r="P162" s="1606" t="n">
        <f aca="false">N162*O162</f>
        <v>169964.024454412</v>
      </c>
      <c r="Q162" s="1565" t="n">
        <f aca="false">$H162</f>
        <v>2.69688041133211</v>
      </c>
      <c r="R162" s="1566" t="n">
        <f aca="false">P162/Q162</f>
        <v>63022.455033688</v>
      </c>
      <c r="S162" s="1567" t="str">
        <f aca="false">IF(MONTH($A162)=12,SUM(R151:R162)," ")</f>
        <v> </v>
      </c>
    </row>
    <row r="163" customFormat="false" ht="12.75" hidden="false" customHeight="false" outlineLevel="0" collapsed="false">
      <c r="A163" s="1538" t="n">
        <f aca="false">'Plant Operations'!A163</f>
        <v>40848</v>
      </c>
      <c r="C163" s="1595" t="n">
        <f aca="false">IF($A163&gt;Endyr,0,VLOOKUP($A163,Tariff_Table,Tariff!$D$33))</f>
        <v>7277.27848101266</v>
      </c>
      <c r="D163" s="1565" t="n">
        <f aca="false">VLOOKUP($A163,Curves_Table,Escalation!$R$291)</f>
        <v>2.99198913656388</v>
      </c>
      <c r="E163" s="1606" t="n">
        <f aca="false">C163*D163</f>
        <v>21773.53815894</v>
      </c>
      <c r="F163" s="1540" t="n">
        <f aca="false">'Plant Operations'!C163</f>
        <v>480</v>
      </c>
      <c r="G163" s="1606" t="n">
        <f aca="false">E163*F163/1000</f>
        <v>10451.2983162912</v>
      </c>
      <c r="H163" s="1576" t="n">
        <f aca="false">IF(Assm!$L$74=0,VLOOKUP($A163,Curves_Table,Escalation!$D$291),VLOOKUP($A163,Curves_Table,Escalation!$E$291))</f>
        <v>2.70155930431529</v>
      </c>
      <c r="I163" s="394" t="n">
        <f aca="false">G163/H163</f>
        <v>3868.61702410048</v>
      </c>
      <c r="J163" s="1579" t="str">
        <f aca="false">IF(MONTH($A163)=12,SUM(I152:I163)," ")</f>
        <v> </v>
      </c>
      <c r="L163" s="1607" t="n">
        <f aca="false">IF($A163&gt;Endyr,0,VLOOKUP($A163,Tariff_Table,Tariff!$J$33))</f>
        <v>0.19</v>
      </c>
      <c r="M163" s="1576" t="n">
        <f aca="false">D163</f>
        <v>2.99198913656388</v>
      </c>
      <c r="N163" s="1608" t="n">
        <f aca="false">L163*M163</f>
        <v>0.568477935947138</v>
      </c>
      <c r="O163" s="397" t="n">
        <f aca="false">'Plant Operations'!$I163+'Plant Operations'!$M163</f>
        <v>289336.32</v>
      </c>
      <c r="P163" s="1606" t="n">
        <f aca="false">N163*O163</f>
        <v>164481.31398814</v>
      </c>
      <c r="Q163" s="1565" t="n">
        <f aca="false">$H163</f>
        <v>2.70155930431529</v>
      </c>
      <c r="R163" s="1566" t="n">
        <f aca="false">P163/Q163</f>
        <v>60883.8435363639</v>
      </c>
      <c r="S163" s="1567" t="str">
        <f aca="false">IF(MONTH($A163)=12,SUM(R152:R163)," ")</f>
        <v> </v>
      </c>
    </row>
    <row r="164" customFormat="false" ht="12.75" hidden="false" customHeight="false" outlineLevel="0" collapsed="false">
      <c r="A164" s="1538" t="n">
        <f aca="false">'Plant Operations'!A164</f>
        <v>40878</v>
      </c>
      <c r="C164" s="1595" t="n">
        <f aca="false">IF($A164&gt;Endyr,0,VLOOKUP($A164,Tariff_Table,Tariff!$D$33))</f>
        <v>7277.27848101266</v>
      </c>
      <c r="D164" s="1565" t="n">
        <f aca="false">VLOOKUP($A164,Curves_Table,Escalation!$R$291)</f>
        <v>2.99198913656388</v>
      </c>
      <c r="E164" s="1606" t="n">
        <f aca="false">C164*D164</f>
        <v>21773.53815894</v>
      </c>
      <c r="F164" s="1540" t="n">
        <f aca="false">'Plant Operations'!C164</f>
        <v>480</v>
      </c>
      <c r="G164" s="1606" t="n">
        <f aca="false">E164*F164/1000</f>
        <v>10451.2983162912</v>
      </c>
      <c r="H164" s="1576" t="n">
        <f aca="false">IF(Assm!$L$74=0,VLOOKUP($A164,Curves_Table,Escalation!$D$291),VLOOKUP($A164,Curves_Table,Escalation!$E$291))</f>
        <v>2.70624631484031</v>
      </c>
      <c r="I164" s="394" t="n">
        <f aca="false">G164/H164</f>
        <v>3861.91687688558</v>
      </c>
      <c r="J164" s="1579" t="n">
        <f aca="false">IF(MONTH($A164)=12,SUM(I153:I164)," ")</f>
        <v>46641.1229953723</v>
      </c>
      <c r="L164" s="1607" t="n">
        <f aca="false">IF($A164&gt;Endyr,0,VLOOKUP($A164,Tariff_Table,Tariff!$J$33))</f>
        <v>0.19</v>
      </c>
      <c r="M164" s="1576" t="n">
        <f aca="false">D164</f>
        <v>2.99198913656388</v>
      </c>
      <c r="N164" s="1608" t="n">
        <f aca="false">L164*M164</f>
        <v>0.568477935947138</v>
      </c>
      <c r="O164" s="397" t="n">
        <f aca="false">'Plant Operations'!$I164+'Plant Operations'!$M164</f>
        <v>298980.864</v>
      </c>
      <c r="P164" s="1606" t="n">
        <f aca="false">N164*O164</f>
        <v>169964.024454412</v>
      </c>
      <c r="Q164" s="1565" t="n">
        <f aca="false">$H164</f>
        <v>2.70624631484031</v>
      </c>
      <c r="R164" s="1566" t="n">
        <f aca="false">P164/Q164</f>
        <v>62804.3439809511</v>
      </c>
      <c r="S164" s="1567" t="n">
        <f aca="false">IF(MONTH($A164)=12,SUM(R153:R164)," ")</f>
        <v>729934.184449259</v>
      </c>
    </row>
    <row r="165" customFormat="false" ht="12.75" hidden="false" customHeight="false" outlineLevel="0" collapsed="false">
      <c r="A165" s="1538" t="n">
        <f aca="false">'Plant Operations'!A165</f>
        <v>40909</v>
      </c>
      <c r="C165" s="1595" t="n">
        <f aca="false">IF($A165&gt;Endyr,0,VLOOKUP($A165,Tariff_Table,Tariff!$D$33))</f>
        <v>7277.27848101266</v>
      </c>
      <c r="D165" s="1565" t="n">
        <f aca="false">VLOOKUP($A165,Curves_Table,Escalation!$R$291)</f>
        <v>2.99198913656388</v>
      </c>
      <c r="E165" s="1606" t="n">
        <f aca="false">C165*D165</f>
        <v>21773.53815894</v>
      </c>
      <c r="F165" s="1540" t="n">
        <f aca="false">'Plant Operations'!C165</f>
        <v>480</v>
      </c>
      <c r="G165" s="1606" t="n">
        <f aca="false">E165*F165/1000</f>
        <v>10451.2983162912</v>
      </c>
      <c r="H165" s="1576" t="n">
        <f aca="false">IF(Assm!$L$74=0,VLOOKUP($A165,Curves_Table,Escalation!$D$291),VLOOKUP($A165,Curves_Table,Escalation!$E$291))</f>
        <v>2.71071337566439</v>
      </c>
      <c r="I165" s="394" t="n">
        <f aca="false">G165/H165</f>
        <v>3855.5527154285</v>
      </c>
      <c r="J165" s="1579" t="str">
        <f aca="false">IF(MONTH($A165)=12,SUM(I154:I165)," ")</f>
        <v> </v>
      </c>
      <c r="L165" s="1607" t="n">
        <f aca="false">IF($A165&gt;Endyr,0,VLOOKUP($A165,Tariff_Table,Tariff!$J$33))</f>
        <v>0.19</v>
      </c>
      <c r="M165" s="1576" t="n">
        <f aca="false">D165</f>
        <v>2.99198913656388</v>
      </c>
      <c r="N165" s="1608" t="n">
        <f aca="false">L165*M165</f>
        <v>0.568477935947138</v>
      </c>
      <c r="O165" s="397" t="n">
        <f aca="false">'Plant Operations'!$I165+'Plant Operations'!$M165</f>
        <v>298980.864</v>
      </c>
      <c r="P165" s="1606" t="n">
        <f aca="false">N165*O165</f>
        <v>169964.024454412</v>
      </c>
      <c r="Q165" s="1565" t="n">
        <f aca="false">$H165</f>
        <v>2.71071337566439</v>
      </c>
      <c r="R165" s="1566" t="n">
        <f aca="false">P165/Q165</f>
        <v>62700.8469358197</v>
      </c>
      <c r="S165" s="1567" t="str">
        <f aca="false">IF(MONTH($A165)=12,SUM(R154:R165)," ")</f>
        <v> </v>
      </c>
    </row>
    <row r="166" customFormat="false" ht="12.75" hidden="false" customHeight="false" outlineLevel="0" collapsed="false">
      <c r="A166" s="1538" t="n">
        <f aca="false">'Plant Operations'!A166</f>
        <v>40940</v>
      </c>
      <c r="C166" s="1595" t="n">
        <f aca="false">IF($A166&gt;Endyr,0,VLOOKUP($A166,Tariff_Table,Tariff!$D$33))</f>
        <v>7277.27848101266</v>
      </c>
      <c r="D166" s="1565" t="n">
        <f aca="false">VLOOKUP($A166,Curves_Table,Escalation!$R$291)</f>
        <v>2.99198913656388</v>
      </c>
      <c r="E166" s="1606" t="n">
        <f aca="false">C166*D166</f>
        <v>21773.53815894</v>
      </c>
      <c r="F166" s="1540" t="n">
        <f aca="false">'Plant Operations'!C166</f>
        <v>480</v>
      </c>
      <c r="G166" s="1606" t="n">
        <f aca="false">E166*F166/1000</f>
        <v>10451.2983162912</v>
      </c>
      <c r="H166" s="1576" t="n">
        <f aca="false">IF(Assm!$L$74=0,VLOOKUP($A166,Curves_Table,Escalation!$D$291),VLOOKUP($A166,Curves_Table,Escalation!$E$291))</f>
        <v>2.71518781003473</v>
      </c>
      <c r="I166" s="394" t="n">
        <f aca="false">G166/H166</f>
        <v>3849.19904165211</v>
      </c>
      <c r="J166" s="1579" t="str">
        <f aca="false">IF(MONTH($A166)=12,SUM(I155:I166)," ")</f>
        <v> </v>
      </c>
      <c r="L166" s="1607" t="n">
        <f aca="false">IF($A166&gt;Endyr,0,VLOOKUP($A166,Tariff_Table,Tariff!$J$33))</f>
        <v>0.19</v>
      </c>
      <c r="M166" s="1576" t="n">
        <f aca="false">D166</f>
        <v>2.99198913656388</v>
      </c>
      <c r="N166" s="1608" t="n">
        <f aca="false">L166*M166</f>
        <v>0.568477935947138</v>
      </c>
      <c r="O166" s="397" t="n">
        <f aca="false">'Plant Operations'!$I166+'Plant Operations'!$M166</f>
        <v>279691.776</v>
      </c>
      <c r="P166" s="1606" t="n">
        <f aca="false">N166*O166</f>
        <v>158998.603521869</v>
      </c>
      <c r="Q166" s="1565" t="n">
        <f aca="false">$H166</f>
        <v>2.71518781003473</v>
      </c>
      <c r="R166" s="1566" t="n">
        <f aca="false">P166/Q166</f>
        <v>58558.9707401623</v>
      </c>
      <c r="S166" s="1567" t="str">
        <f aca="false">IF(MONTH($A166)=12,SUM(R155:R166)," ")</f>
        <v> </v>
      </c>
    </row>
    <row r="167" customFormat="false" ht="12.75" hidden="false" customHeight="false" outlineLevel="0" collapsed="false">
      <c r="A167" s="1538" t="n">
        <f aca="false">'Plant Operations'!A167</f>
        <v>40969</v>
      </c>
      <c r="C167" s="1595" t="n">
        <f aca="false">IF($A167&gt;Endyr,0,VLOOKUP($A167,Tariff_Table,Tariff!$D$33))</f>
        <v>7277.27848101266</v>
      </c>
      <c r="D167" s="1565" t="n">
        <f aca="false">VLOOKUP($A167,Curves_Table,Escalation!$R$291)</f>
        <v>2.99198913656388</v>
      </c>
      <c r="E167" s="1606" t="n">
        <f aca="false">C167*D167</f>
        <v>21773.53815894</v>
      </c>
      <c r="F167" s="1540" t="n">
        <f aca="false">'Plant Operations'!C167</f>
        <v>480</v>
      </c>
      <c r="G167" s="1606" t="n">
        <f aca="false">E167*F167/1000</f>
        <v>10451.2983162912</v>
      </c>
      <c r="H167" s="1576" t="n">
        <f aca="false">IF(Assm!$L$74=0,VLOOKUP($A167,Curves_Table,Escalation!$D$291),VLOOKUP($A167,Curves_Table,Escalation!$E$291))</f>
        <v>2.71966963012247</v>
      </c>
      <c r="I167" s="394" t="n">
        <f aca="false">G167/H167</f>
        <v>3842.85583827347</v>
      </c>
      <c r="J167" s="1579" t="str">
        <f aca="false">IF(MONTH($A167)=12,SUM(I156:I167)," ")</f>
        <v> </v>
      </c>
      <c r="L167" s="1607" t="n">
        <f aca="false">IF($A167&gt;Endyr,0,VLOOKUP($A167,Tariff_Table,Tariff!$J$33))</f>
        <v>0.19</v>
      </c>
      <c r="M167" s="1576" t="n">
        <f aca="false">D167</f>
        <v>2.99198913656388</v>
      </c>
      <c r="N167" s="1608" t="n">
        <f aca="false">L167*M167</f>
        <v>0.568477935947138</v>
      </c>
      <c r="O167" s="397" t="n">
        <f aca="false">'Plant Operations'!$I167+'Plant Operations'!$M167</f>
        <v>298980.864</v>
      </c>
      <c r="P167" s="1606" t="n">
        <f aca="false">N167*O167</f>
        <v>169964.024454412</v>
      </c>
      <c r="Q167" s="1565" t="n">
        <f aca="false">$H167</f>
        <v>2.71966963012247</v>
      </c>
      <c r="R167" s="1566" t="n">
        <f aca="false">P167/Q167</f>
        <v>62494.3642315695</v>
      </c>
      <c r="S167" s="1567" t="str">
        <f aca="false">IF(MONTH($A167)=12,SUM(R156:R167)," ")</f>
        <v> </v>
      </c>
    </row>
    <row r="168" customFormat="false" ht="12.75" hidden="false" customHeight="false" outlineLevel="0" collapsed="false">
      <c r="A168" s="1538" t="n">
        <f aca="false">'Plant Operations'!A168</f>
        <v>41000</v>
      </c>
      <c r="C168" s="1595" t="n">
        <f aca="false">IF($A168&gt;Endyr,0,VLOOKUP($A168,Tariff_Table,Tariff!$D$33))</f>
        <v>7277.27848101266</v>
      </c>
      <c r="D168" s="1565" t="n">
        <f aca="false">VLOOKUP($A168,Curves_Table,Escalation!$R$291)</f>
        <v>2.99198913656388</v>
      </c>
      <c r="E168" s="1606" t="n">
        <f aca="false">C168*D168</f>
        <v>21773.53815894</v>
      </c>
      <c r="F168" s="1540" t="n">
        <f aca="false">'Plant Operations'!C168</f>
        <v>480</v>
      </c>
      <c r="G168" s="1606" t="n">
        <f aca="false">E168*F168/1000</f>
        <v>10451.2983162912</v>
      </c>
      <c r="H168" s="1576" t="n">
        <f aca="false">IF(Assm!$L$74=0,VLOOKUP($A168,Curves_Table,Escalation!$D$291),VLOOKUP($A168,Curves_Table,Escalation!$E$291))</f>
        <v>2.72415884811883</v>
      </c>
      <c r="I168" s="394" t="n">
        <f aca="false">G168/H168</f>
        <v>3836.52308803811</v>
      </c>
      <c r="J168" s="1579" t="str">
        <f aca="false">IF(MONTH($A168)=12,SUM(I157:I168)," ")</f>
        <v> </v>
      </c>
      <c r="L168" s="1607" t="n">
        <f aca="false">IF($A168&gt;Endyr,0,VLOOKUP($A168,Tariff_Table,Tariff!$J$33))</f>
        <v>0.19</v>
      </c>
      <c r="M168" s="1576" t="n">
        <f aca="false">D168</f>
        <v>2.99198913656388</v>
      </c>
      <c r="N168" s="1608" t="n">
        <f aca="false">L168*M168</f>
        <v>0.568477935947138</v>
      </c>
      <c r="O168" s="397" t="n">
        <f aca="false">'Plant Operations'!$I168+'Plant Operations'!$M168</f>
        <v>289336.32</v>
      </c>
      <c r="P168" s="1606" t="n">
        <f aca="false">N168*O168</f>
        <v>164481.31398814</v>
      </c>
      <c r="Q168" s="1565" t="n">
        <f aca="false">$H168</f>
        <v>2.72415884811883</v>
      </c>
      <c r="R168" s="1566" t="n">
        <f aca="false">P168/Q168</f>
        <v>60378.7529136647</v>
      </c>
      <c r="S168" s="1567" t="str">
        <f aca="false">IF(MONTH($A168)=12,SUM(R157:R168)," ")</f>
        <v> </v>
      </c>
    </row>
    <row r="169" customFormat="false" ht="12.75" hidden="false" customHeight="false" outlineLevel="0" collapsed="false">
      <c r="A169" s="1538" t="n">
        <f aca="false">'Plant Operations'!A169</f>
        <v>41030</v>
      </c>
      <c r="C169" s="1595" t="n">
        <f aca="false">IF($A169&gt;Endyr,0,VLOOKUP($A169,Tariff_Table,Tariff!$D$33))</f>
        <v>6768.8424437299</v>
      </c>
      <c r="D169" s="1565" t="n">
        <f aca="false">VLOOKUP($A169,Curves_Table,Escalation!$R$291)</f>
        <v>3.20741235439648</v>
      </c>
      <c r="E169" s="1606" t="n">
        <f aca="false">C169*D169</f>
        <v>21710.4688789826</v>
      </c>
      <c r="F169" s="1540" t="n">
        <f aca="false">'Plant Operations'!C169</f>
        <v>480</v>
      </c>
      <c r="G169" s="1606" t="n">
        <f aca="false">E169*F169/1000</f>
        <v>10421.0250619116</v>
      </c>
      <c r="H169" s="1576" t="n">
        <f aca="false">IF(Assm!$L$74=0,VLOOKUP($A169,Curves_Table,Escalation!$D$291),VLOOKUP($A169,Curves_Table,Escalation!$E$291))</f>
        <v>2.72865547623515</v>
      </c>
      <c r="I169" s="394" t="n">
        <f aca="false">G169/H169</f>
        <v>3819.10620548182</v>
      </c>
      <c r="J169" s="1579" t="str">
        <f aca="false">IF(MONTH($A169)=12,SUM(I158:I169)," ")</f>
        <v> </v>
      </c>
      <c r="L169" s="1607" t="n">
        <f aca="false">IF($A169&gt;Endyr,0,VLOOKUP($A169,Tariff_Table,Tariff!$J$33))</f>
        <v>0.19</v>
      </c>
      <c r="M169" s="1576" t="n">
        <f aca="false">D169</f>
        <v>3.20741235439648</v>
      </c>
      <c r="N169" s="1608" t="n">
        <f aca="false">L169*M169</f>
        <v>0.609408347335332</v>
      </c>
      <c r="O169" s="397" t="n">
        <f aca="false">'Plant Operations'!$I169+'Plant Operations'!$M169</f>
        <v>298980.864</v>
      </c>
      <c r="P169" s="1606" t="n">
        <f aca="false">N169*O169</f>
        <v>182201.43421513</v>
      </c>
      <c r="Q169" s="1565" t="n">
        <f aca="false">$H169</f>
        <v>2.72865547623515</v>
      </c>
      <c r="R169" s="1566" t="n">
        <f aca="false">P169/Q169</f>
        <v>66773.3379321749</v>
      </c>
      <c r="S169" s="1567" t="str">
        <f aca="false">IF(MONTH($A169)=12,SUM(R158:R169)," ")</f>
        <v> </v>
      </c>
    </row>
    <row r="170" customFormat="false" ht="12.75" hidden="false" customHeight="false" outlineLevel="0" collapsed="false">
      <c r="A170" s="1538" t="n">
        <f aca="false">'Plant Operations'!A170</f>
        <v>41061</v>
      </c>
      <c r="C170" s="1595" t="n">
        <f aca="false">IF($A170&gt;Endyr,0,VLOOKUP($A170,Tariff_Table,Tariff!$D$33))</f>
        <v>6768.8424437299</v>
      </c>
      <c r="D170" s="1565" t="n">
        <f aca="false">VLOOKUP($A170,Curves_Table,Escalation!$R$291)</f>
        <v>3.20741235439648</v>
      </c>
      <c r="E170" s="1606" t="n">
        <f aca="false">C170*D170</f>
        <v>21710.4688789826</v>
      </c>
      <c r="F170" s="1540" t="n">
        <f aca="false">'Plant Operations'!C170</f>
        <v>480</v>
      </c>
      <c r="G170" s="1606" t="n">
        <f aca="false">E170*F170/1000</f>
        <v>10421.0250619116</v>
      </c>
      <c r="H170" s="1576" t="n">
        <f aca="false">IF(Assm!$L$74=0,VLOOKUP($A170,Curves_Table,Escalation!$D$291),VLOOKUP($A170,Curves_Table,Escalation!$E$291))</f>
        <v>2.73315952670294</v>
      </c>
      <c r="I170" s="394" t="n">
        <f aca="false">G170/H170</f>
        <v>3812.81259293441</v>
      </c>
      <c r="J170" s="1579" t="str">
        <f aca="false">IF(MONTH($A170)=12,SUM(I159:I170)," ")</f>
        <v> </v>
      </c>
      <c r="L170" s="1607" t="n">
        <f aca="false">IF($A170&gt;Endyr,0,VLOOKUP($A170,Tariff_Table,Tariff!$J$33))</f>
        <v>0.19</v>
      </c>
      <c r="M170" s="1576" t="n">
        <f aca="false">D170</f>
        <v>3.20741235439648</v>
      </c>
      <c r="N170" s="1608" t="n">
        <f aca="false">L170*M170</f>
        <v>0.609408347335332</v>
      </c>
      <c r="O170" s="397" t="n">
        <f aca="false">'Plant Operations'!$I170+'Plant Operations'!$M170</f>
        <v>289336.32</v>
      </c>
      <c r="P170" s="1606" t="n">
        <f aca="false">N170*O170</f>
        <v>176323.968595287</v>
      </c>
      <c r="Q170" s="1565" t="n">
        <f aca="false">$H170</f>
        <v>2.73315952670294</v>
      </c>
      <c r="R170" s="1566" t="n">
        <f aca="false">P170/Q170</f>
        <v>64512.8712292873</v>
      </c>
      <c r="S170" s="1567" t="str">
        <f aca="false">IF(MONTH($A170)=12,SUM(R159:R170)," ")</f>
        <v> </v>
      </c>
    </row>
    <row r="171" customFormat="false" ht="12.75" hidden="false" customHeight="false" outlineLevel="0" collapsed="false">
      <c r="A171" s="1538" t="n">
        <f aca="false">'Plant Operations'!A171</f>
        <v>41091</v>
      </c>
      <c r="C171" s="1595" t="n">
        <f aca="false">IF($A171&gt;Endyr,0,VLOOKUP($A171,Tariff_Table,Tariff!$D$33))</f>
        <v>6768.8424437299</v>
      </c>
      <c r="D171" s="1565" t="n">
        <f aca="false">VLOOKUP($A171,Curves_Table,Escalation!$R$291)</f>
        <v>3.20741235439648</v>
      </c>
      <c r="E171" s="1606" t="n">
        <f aca="false">C171*D171</f>
        <v>21710.4688789826</v>
      </c>
      <c r="F171" s="1540" t="n">
        <f aca="false">'Plant Operations'!C171</f>
        <v>480</v>
      </c>
      <c r="G171" s="1606" t="n">
        <f aca="false">E171*F171/1000</f>
        <v>10421.0250619116</v>
      </c>
      <c r="H171" s="1576" t="n">
        <f aca="false">IF(Assm!$L$74=0,VLOOKUP($A171,Curves_Table,Escalation!$D$291),VLOOKUP($A171,Curves_Table,Escalation!$E$291))</f>
        <v>2.73767101177388</v>
      </c>
      <c r="I171" s="394" t="n">
        <f aca="false">G171/H171</f>
        <v>3806.52935180816</v>
      </c>
      <c r="J171" s="1579" t="str">
        <f aca="false">IF(MONTH($A171)=12,SUM(I160:I171)," ")</f>
        <v> </v>
      </c>
      <c r="L171" s="1607" t="n">
        <f aca="false">IF($A171&gt;Endyr,0,VLOOKUP($A171,Tariff_Table,Tariff!$J$33))</f>
        <v>0.19</v>
      </c>
      <c r="M171" s="1576" t="n">
        <f aca="false">D171</f>
        <v>3.20741235439648</v>
      </c>
      <c r="N171" s="1608" t="n">
        <f aca="false">L171*M171</f>
        <v>0.609408347335332</v>
      </c>
      <c r="O171" s="397" t="n">
        <f aca="false">'Plant Operations'!$I171+'Plant Operations'!$M171</f>
        <v>298980.864</v>
      </c>
      <c r="P171" s="1606" t="n">
        <f aca="false">N171*O171</f>
        <v>182201.43421513</v>
      </c>
      <c r="Q171" s="1565" t="n">
        <f aca="false">$H171</f>
        <v>2.73767101177388</v>
      </c>
      <c r="R171" s="1566" t="n">
        <f aca="false">P171/Q171</f>
        <v>66553.4439425106</v>
      </c>
      <c r="S171" s="1567" t="str">
        <f aca="false">IF(MONTH($A171)=12,SUM(R160:R171)," ")</f>
        <v> </v>
      </c>
    </row>
    <row r="172" customFormat="false" ht="12.75" hidden="false" customHeight="false" outlineLevel="0" collapsed="false">
      <c r="A172" s="1538" t="n">
        <f aca="false">'Plant Operations'!A172</f>
        <v>41122</v>
      </c>
      <c r="C172" s="1595" t="n">
        <f aca="false">IF($A172&gt;Endyr,0,VLOOKUP($A172,Tariff_Table,Tariff!$D$33))</f>
        <v>6768.8424437299</v>
      </c>
      <c r="D172" s="1565" t="n">
        <f aca="false">VLOOKUP($A172,Curves_Table,Escalation!$R$291)</f>
        <v>3.20741235439648</v>
      </c>
      <c r="E172" s="1606" t="n">
        <f aca="false">C172*D172</f>
        <v>21710.4688789826</v>
      </c>
      <c r="F172" s="1540" t="n">
        <f aca="false">'Plant Operations'!C172</f>
        <v>480</v>
      </c>
      <c r="G172" s="1606" t="n">
        <f aca="false">E172*F172/1000</f>
        <v>10421.0250619116</v>
      </c>
      <c r="H172" s="1576" t="n">
        <f aca="false">IF(Assm!$L$74=0,VLOOKUP($A172,Curves_Table,Escalation!$D$291),VLOOKUP($A172,Curves_Table,Escalation!$E$291))</f>
        <v>2.7421899437199</v>
      </c>
      <c r="I172" s="394" t="n">
        <f aca="false">G172/H172</f>
        <v>3800.25646501171</v>
      </c>
      <c r="J172" s="1579" t="str">
        <f aca="false">IF(MONTH($A172)=12,SUM(I161:I172)," ")</f>
        <v> </v>
      </c>
      <c r="L172" s="1607" t="n">
        <f aca="false">IF($A172&gt;Endyr,0,VLOOKUP($A172,Tariff_Table,Tariff!$J$33))</f>
        <v>0.19</v>
      </c>
      <c r="M172" s="1576" t="n">
        <f aca="false">D172</f>
        <v>3.20741235439648</v>
      </c>
      <c r="N172" s="1608" t="n">
        <f aca="false">L172*M172</f>
        <v>0.609408347335332</v>
      </c>
      <c r="O172" s="397" t="n">
        <f aca="false">'Plant Operations'!$I172+'Plant Operations'!$M172</f>
        <v>298980.864</v>
      </c>
      <c r="P172" s="1606" t="n">
        <f aca="false">N172*O172</f>
        <v>182201.43421513</v>
      </c>
      <c r="Q172" s="1565" t="n">
        <f aca="false">$H172</f>
        <v>2.7421899437199</v>
      </c>
      <c r="R172" s="1566" t="n">
        <f aca="false">P172/Q172</f>
        <v>66443.7686500905</v>
      </c>
      <c r="S172" s="1567" t="str">
        <f aca="false">IF(MONTH($A172)=12,SUM(R161:R172)," ")</f>
        <v> </v>
      </c>
    </row>
    <row r="173" customFormat="false" ht="12.75" hidden="false" customHeight="false" outlineLevel="0" collapsed="false">
      <c r="A173" s="1538" t="n">
        <f aca="false">'Plant Operations'!A173</f>
        <v>41153</v>
      </c>
      <c r="C173" s="1595" t="n">
        <f aca="false">IF($A173&gt;Endyr,0,VLOOKUP($A173,Tariff_Table,Tariff!$D$33))</f>
        <v>6768.8424437299</v>
      </c>
      <c r="D173" s="1565" t="n">
        <f aca="false">VLOOKUP($A173,Curves_Table,Escalation!$R$291)</f>
        <v>3.20741235439648</v>
      </c>
      <c r="E173" s="1606" t="n">
        <f aca="false">C173*D173</f>
        <v>21710.4688789826</v>
      </c>
      <c r="F173" s="1540" t="n">
        <f aca="false">'Plant Operations'!C173</f>
        <v>480</v>
      </c>
      <c r="G173" s="1606" t="n">
        <f aca="false">E173*F173/1000</f>
        <v>10421.0250619116</v>
      </c>
      <c r="H173" s="1576" t="n">
        <f aca="false">IF(Assm!$L$74=0,VLOOKUP($A173,Curves_Table,Escalation!$D$291),VLOOKUP($A173,Curves_Table,Escalation!$E$291))</f>
        <v>2.74671633483315</v>
      </c>
      <c r="I173" s="394" t="n">
        <f aca="false">G173/H173</f>
        <v>3793.99391548186</v>
      </c>
      <c r="J173" s="1579" t="str">
        <f aca="false">IF(MONTH($A173)=12,SUM(I162:I173)," ")</f>
        <v> </v>
      </c>
      <c r="L173" s="1607" t="n">
        <f aca="false">IF($A173&gt;Endyr,0,VLOOKUP($A173,Tariff_Table,Tariff!$J$33))</f>
        <v>0.19</v>
      </c>
      <c r="M173" s="1576" t="n">
        <f aca="false">D173</f>
        <v>3.20741235439648</v>
      </c>
      <c r="N173" s="1608" t="n">
        <f aca="false">L173*M173</f>
        <v>0.609408347335332</v>
      </c>
      <c r="O173" s="397" t="n">
        <f aca="false">'Plant Operations'!$I173+'Plant Operations'!$M173</f>
        <v>289336.32</v>
      </c>
      <c r="P173" s="1606" t="n">
        <f aca="false">N173*O173</f>
        <v>176323.968595287</v>
      </c>
      <c r="Q173" s="1565" t="n">
        <f aca="false">$H173</f>
        <v>2.74671633483315</v>
      </c>
      <c r="R173" s="1566" t="n">
        <f aca="false">P173/Q173</f>
        <v>64194.4588012934</v>
      </c>
      <c r="S173" s="1567" t="str">
        <f aca="false">IF(MONTH($A173)=12,SUM(R162:R173)," ")</f>
        <v> </v>
      </c>
    </row>
    <row r="174" customFormat="false" ht="12.75" hidden="false" customHeight="false" outlineLevel="0" collapsed="false">
      <c r="A174" s="1538" t="n">
        <f aca="false">'Plant Operations'!A174</f>
        <v>41183</v>
      </c>
      <c r="C174" s="1595" t="n">
        <f aca="false">IF($A174&gt;Endyr,0,VLOOKUP($A174,Tariff_Table,Tariff!$D$33))</f>
        <v>6768.8424437299</v>
      </c>
      <c r="D174" s="1565" t="n">
        <f aca="false">VLOOKUP($A174,Curves_Table,Escalation!$R$291)</f>
        <v>3.20741235439648</v>
      </c>
      <c r="E174" s="1606" t="n">
        <f aca="false">C174*D174</f>
        <v>21710.4688789826</v>
      </c>
      <c r="F174" s="1540" t="n">
        <f aca="false">'Plant Operations'!C174</f>
        <v>480</v>
      </c>
      <c r="G174" s="1606" t="n">
        <f aca="false">E174*F174/1000</f>
        <v>10421.0250619116</v>
      </c>
      <c r="H174" s="1576" t="n">
        <f aca="false">IF(Assm!$L$74=0,VLOOKUP($A174,Curves_Table,Escalation!$D$291),VLOOKUP($A174,Curves_Table,Escalation!$E$291))</f>
        <v>2.75125019742612</v>
      </c>
      <c r="I174" s="394" t="n">
        <f aca="false">G174/H174</f>
        <v>3787.74168618355</v>
      </c>
      <c r="J174" s="1579" t="str">
        <f aca="false">IF(MONTH($A174)=12,SUM(I163:I174)," ")</f>
        <v> </v>
      </c>
      <c r="L174" s="1607" t="n">
        <f aca="false">IF($A174&gt;Endyr,0,VLOOKUP($A174,Tariff_Table,Tariff!$J$33))</f>
        <v>0.19</v>
      </c>
      <c r="M174" s="1576" t="n">
        <f aca="false">D174</f>
        <v>3.20741235439648</v>
      </c>
      <c r="N174" s="1608" t="n">
        <f aca="false">L174*M174</f>
        <v>0.609408347335332</v>
      </c>
      <c r="O174" s="397" t="n">
        <f aca="false">'Plant Operations'!$I174+'Plant Operations'!$M174</f>
        <v>298980.864</v>
      </c>
      <c r="P174" s="1606" t="n">
        <f aca="false">N174*O174</f>
        <v>182201.43421513</v>
      </c>
      <c r="Q174" s="1565" t="n">
        <f aca="false">$H174</f>
        <v>2.75125019742612</v>
      </c>
      <c r="R174" s="1566" t="n">
        <f aca="false">P174/Q174</f>
        <v>66224.9599784072</v>
      </c>
      <c r="S174" s="1567" t="str">
        <f aca="false">IF(MONTH($A174)=12,SUM(R163:R174)," ")</f>
        <v> </v>
      </c>
    </row>
    <row r="175" customFormat="false" ht="12.75" hidden="false" customHeight="false" outlineLevel="0" collapsed="false">
      <c r="A175" s="1538" t="n">
        <f aca="false">'Plant Operations'!A175</f>
        <v>41214</v>
      </c>
      <c r="C175" s="1595" t="n">
        <f aca="false">IF($A175&gt;Endyr,0,VLOOKUP($A175,Tariff_Table,Tariff!$D$33))</f>
        <v>6768.8424437299</v>
      </c>
      <c r="D175" s="1565" t="n">
        <f aca="false">VLOOKUP($A175,Curves_Table,Escalation!$R$291)</f>
        <v>3.20741235439648</v>
      </c>
      <c r="E175" s="1606" t="n">
        <f aca="false">C175*D175</f>
        <v>21710.4688789826</v>
      </c>
      <c r="F175" s="1540" t="n">
        <f aca="false">'Plant Operations'!C175</f>
        <v>480</v>
      </c>
      <c r="G175" s="1606" t="n">
        <f aca="false">E175*F175/1000</f>
        <v>10421.0250619116</v>
      </c>
      <c r="H175" s="1576" t="n">
        <f aca="false">IF(Assm!$L$74=0,VLOOKUP($A175,Curves_Table,Escalation!$D$291),VLOOKUP($A175,Curves_Table,Escalation!$E$291))</f>
        <v>2.75579154383157</v>
      </c>
      <c r="I175" s="394" t="n">
        <f aca="false">G175/H175</f>
        <v>3781.49976010978</v>
      </c>
      <c r="J175" s="1579" t="str">
        <f aca="false">IF(MONTH($A175)=12,SUM(I164:I175)," ")</f>
        <v> </v>
      </c>
      <c r="L175" s="1607" t="n">
        <f aca="false">IF($A175&gt;Endyr,0,VLOOKUP($A175,Tariff_Table,Tariff!$J$33))</f>
        <v>0.19</v>
      </c>
      <c r="M175" s="1576" t="n">
        <f aca="false">D175</f>
        <v>3.20741235439648</v>
      </c>
      <c r="N175" s="1608" t="n">
        <f aca="false">L175*M175</f>
        <v>0.609408347335332</v>
      </c>
      <c r="O175" s="397" t="n">
        <f aca="false">'Plant Operations'!$I175+'Plant Operations'!$M175</f>
        <v>289336.32</v>
      </c>
      <c r="P175" s="1606" t="n">
        <f aca="false">N175*O175</f>
        <v>176323.968595287</v>
      </c>
      <c r="Q175" s="1565" t="n">
        <f aca="false">$H175</f>
        <v>2.75579154383157</v>
      </c>
      <c r="R175" s="1566" t="n">
        <f aca="false">P175/Q175</f>
        <v>63983.0574231791</v>
      </c>
      <c r="S175" s="1567" t="str">
        <f aca="false">IF(MONTH($A175)=12,SUM(R164:R175)," ")</f>
        <v> </v>
      </c>
    </row>
    <row r="176" customFormat="false" ht="12.75" hidden="false" customHeight="false" outlineLevel="0" collapsed="false">
      <c r="A176" s="1538" t="n">
        <f aca="false">'Plant Operations'!A176</f>
        <v>41244</v>
      </c>
      <c r="C176" s="1595" t="n">
        <f aca="false">IF($A176&gt;Endyr,0,VLOOKUP($A176,Tariff_Table,Tariff!$D$33))</f>
        <v>6768.8424437299</v>
      </c>
      <c r="D176" s="1565" t="n">
        <f aca="false">VLOOKUP($A176,Curves_Table,Escalation!$R$291)</f>
        <v>3.20741235439648</v>
      </c>
      <c r="E176" s="1606" t="n">
        <f aca="false">C176*D176</f>
        <v>21710.4688789826</v>
      </c>
      <c r="F176" s="1540" t="n">
        <f aca="false">'Plant Operations'!C176</f>
        <v>480</v>
      </c>
      <c r="G176" s="1606" t="n">
        <f aca="false">E176*F176/1000</f>
        <v>10421.0250619116</v>
      </c>
      <c r="H176" s="1576" t="n">
        <f aca="false">IF(Assm!$L$74=0,VLOOKUP($A176,Curves_Table,Escalation!$D$291),VLOOKUP($A176,Curves_Table,Escalation!$E$291))</f>
        <v>2.76034038640265</v>
      </c>
      <c r="I176" s="394" t="n">
        <f aca="false">G176/H176</f>
        <v>3775.26812028157</v>
      </c>
      <c r="J176" s="1579" t="n">
        <f aca="false">IF(MONTH($A176)=12,SUM(I165:I176)," ")</f>
        <v>45761.338780685</v>
      </c>
      <c r="L176" s="1607" t="n">
        <f aca="false">IF($A176&gt;Endyr,0,VLOOKUP($A176,Tariff_Table,Tariff!$J$33))</f>
        <v>0.19</v>
      </c>
      <c r="M176" s="1576" t="n">
        <f aca="false">D176</f>
        <v>3.20741235439648</v>
      </c>
      <c r="N176" s="1608" t="n">
        <f aca="false">L176*M176</f>
        <v>0.609408347335332</v>
      </c>
      <c r="O176" s="397" t="n">
        <f aca="false">'Plant Operations'!$I176+'Plant Operations'!$M176</f>
        <v>298980.864</v>
      </c>
      <c r="P176" s="1606" t="n">
        <f aca="false">N176*O176</f>
        <v>182201.43421513</v>
      </c>
      <c r="Q176" s="1565" t="n">
        <f aca="false">$H176</f>
        <v>2.76034038640265</v>
      </c>
      <c r="R176" s="1566" t="n">
        <f aca="false">P176/Q176</f>
        <v>66006.8718744428</v>
      </c>
      <c r="S176" s="1567" t="n">
        <f aca="false">IF(MONTH($A176)=12,SUM(R165:R176)," ")</f>
        <v>768825.704652602</v>
      </c>
    </row>
    <row r="177" customFormat="false" ht="12.75" hidden="false" customHeight="false" outlineLevel="0" collapsed="false">
      <c r="A177" s="1538" t="n">
        <f aca="false">'Plant Operations'!A177</f>
        <v>41275</v>
      </c>
      <c r="C177" s="1595" t="n">
        <f aca="false">IF($A177&gt;Endyr,0,VLOOKUP($A177,Tariff_Table,Tariff!$D$33))</f>
        <v>6768.8424437299</v>
      </c>
      <c r="D177" s="1565" t="n">
        <f aca="false">VLOOKUP($A177,Curves_Table,Escalation!$R$291)</f>
        <v>3.20741235439648</v>
      </c>
      <c r="E177" s="1606" t="n">
        <f aca="false">C177*D177</f>
        <v>21710.4688789826</v>
      </c>
      <c r="F177" s="1540" t="n">
        <f aca="false">'Plant Operations'!C177</f>
        <v>480</v>
      </c>
      <c r="G177" s="1606" t="n">
        <f aca="false">E177*F177/1000</f>
        <v>10421.0250619116</v>
      </c>
      <c r="H177" s="1576" t="n">
        <f aca="false">IF(Assm!$L$74=0,VLOOKUP($A177,Curves_Table,Escalation!$D$291),VLOOKUP($A177,Curves_Table,Escalation!$E$291))</f>
        <v>2.76492823407979</v>
      </c>
      <c r="I177" s="394" t="n">
        <f aca="false">G177/H177</f>
        <v>3769.00381480604</v>
      </c>
      <c r="J177" s="1579" t="str">
        <f aca="false">IF(MONTH($A177)=12,SUM(I166:I177)," ")</f>
        <v> </v>
      </c>
      <c r="L177" s="1607" t="n">
        <f aca="false">IF($A177&gt;Endyr,0,VLOOKUP($A177,Tariff_Table,Tariff!$J$33))</f>
        <v>0.19</v>
      </c>
      <c r="M177" s="1576" t="n">
        <f aca="false">D177</f>
        <v>3.20741235439648</v>
      </c>
      <c r="N177" s="1608" t="n">
        <f aca="false">L177*M177</f>
        <v>0.609408347335332</v>
      </c>
      <c r="O177" s="397" t="n">
        <f aca="false">'Plant Operations'!$I177+'Plant Operations'!$M177</f>
        <v>298980.864</v>
      </c>
      <c r="P177" s="1606" t="n">
        <f aca="false">N177*O177</f>
        <v>182201.43421513</v>
      </c>
      <c r="Q177" s="1565" t="n">
        <f aca="false">$H177</f>
        <v>2.76492823407979</v>
      </c>
      <c r="R177" s="1566" t="n">
        <f aca="false">P177/Q177</f>
        <v>65897.3466180287</v>
      </c>
      <c r="S177" s="1567" t="str">
        <f aca="false">IF(MONTH($A177)=12,SUM(R166:R177)," ")</f>
        <v> </v>
      </c>
    </row>
    <row r="178" customFormat="false" ht="12.75" hidden="false" customHeight="false" outlineLevel="0" collapsed="false">
      <c r="A178" s="1538" t="n">
        <f aca="false">'Plant Operations'!A178</f>
        <v>41306</v>
      </c>
      <c r="C178" s="1595" t="n">
        <f aca="false">IF($A178&gt;Endyr,0,VLOOKUP($A178,Tariff_Table,Tariff!$D$33))</f>
        <v>6768.8424437299</v>
      </c>
      <c r="D178" s="1565" t="n">
        <f aca="false">VLOOKUP($A178,Curves_Table,Escalation!$R$291)</f>
        <v>3.20741235439648</v>
      </c>
      <c r="E178" s="1606" t="n">
        <f aca="false">C178*D178</f>
        <v>21710.4688789826</v>
      </c>
      <c r="F178" s="1540" t="n">
        <f aca="false">'Plant Operations'!C178</f>
        <v>480</v>
      </c>
      <c r="G178" s="1606" t="n">
        <f aca="false">E178*F178/1000</f>
        <v>10421.0250619116</v>
      </c>
      <c r="H178" s="1576" t="n">
        <f aca="false">IF(Assm!$L$74=0,VLOOKUP($A178,Curves_Table,Escalation!$D$291),VLOOKUP($A178,Curves_Table,Escalation!$E$291))</f>
        <v>2.76952370702894</v>
      </c>
      <c r="I178" s="394" t="n">
        <f aca="false">G178/H178</f>
        <v>3762.7499036977</v>
      </c>
      <c r="J178" s="1579" t="str">
        <f aca="false">IF(MONTH($A178)=12,SUM(I167:I178)," ")</f>
        <v> </v>
      </c>
      <c r="L178" s="1607" t="n">
        <f aca="false">IF($A178&gt;Endyr,0,VLOOKUP($A178,Tariff_Table,Tariff!$J$33))</f>
        <v>0.19</v>
      </c>
      <c r="M178" s="1576" t="n">
        <f aca="false">D178</f>
        <v>3.20741235439648</v>
      </c>
      <c r="N178" s="1608" t="n">
        <f aca="false">L178*M178</f>
        <v>0.609408347335332</v>
      </c>
      <c r="O178" s="397" t="n">
        <f aca="false">'Plant Operations'!$I178+'Plant Operations'!$M178</f>
        <v>270047.232</v>
      </c>
      <c r="P178" s="1606" t="n">
        <f aca="false">N178*O178</f>
        <v>164569.037355601</v>
      </c>
      <c r="Q178" s="1565" t="n">
        <f aca="false">$H178</f>
        <v>2.76952370702894</v>
      </c>
      <c r="R178" s="1566" t="n">
        <f aca="false">P178/Q178</f>
        <v>59421.4221520947</v>
      </c>
      <c r="S178" s="1567" t="str">
        <f aca="false">IF(MONTH($A178)=12,SUM(R167:R178)," ")</f>
        <v> </v>
      </c>
    </row>
    <row r="179" customFormat="false" ht="12.75" hidden="false" customHeight="false" outlineLevel="0" collapsed="false">
      <c r="A179" s="1538" t="n">
        <f aca="false">'Plant Operations'!A179</f>
        <v>41334</v>
      </c>
      <c r="C179" s="1595" t="n">
        <f aca="false">IF($A179&gt;Endyr,0,VLOOKUP($A179,Tariff_Table,Tariff!$D$33))</f>
        <v>6768.8424437299</v>
      </c>
      <c r="D179" s="1565" t="n">
        <f aca="false">VLOOKUP($A179,Curves_Table,Escalation!$R$291)</f>
        <v>3.20741235439648</v>
      </c>
      <c r="E179" s="1606" t="n">
        <f aca="false">C179*D179</f>
        <v>21710.4688789826</v>
      </c>
      <c r="F179" s="1540" t="n">
        <f aca="false">'Plant Operations'!C179</f>
        <v>480</v>
      </c>
      <c r="G179" s="1606" t="n">
        <f aca="false">E179*F179/1000</f>
        <v>10421.0250619116</v>
      </c>
      <c r="H179" s="1576" t="n">
        <f aca="false">IF(Assm!$L$74=0,VLOOKUP($A179,Curves_Table,Escalation!$D$291),VLOOKUP($A179,Curves_Table,Escalation!$E$291))</f>
        <v>2.77412681792376</v>
      </c>
      <c r="I179" s="394" t="n">
        <f aca="false">G179/H179</f>
        <v>3756.50636970917</v>
      </c>
      <c r="J179" s="1579" t="str">
        <f aca="false">IF(MONTH($A179)=12,SUM(I168:I179)," ")</f>
        <v> </v>
      </c>
      <c r="L179" s="1607" t="n">
        <f aca="false">IF($A179&gt;Endyr,0,VLOOKUP($A179,Tariff_Table,Tariff!$J$33))</f>
        <v>0.19</v>
      </c>
      <c r="M179" s="1576" t="n">
        <f aca="false">D179</f>
        <v>3.20741235439648</v>
      </c>
      <c r="N179" s="1608" t="n">
        <f aca="false">L179*M179</f>
        <v>0.609408347335332</v>
      </c>
      <c r="O179" s="397" t="n">
        <f aca="false">'Plant Operations'!$I179+'Plant Operations'!$M179</f>
        <v>298980.864</v>
      </c>
      <c r="P179" s="1606" t="n">
        <f aca="false">N179*O179</f>
        <v>182201.43421513</v>
      </c>
      <c r="Q179" s="1565" t="n">
        <f aca="false">$H179</f>
        <v>2.77412681792376</v>
      </c>
      <c r="R179" s="1566" t="n">
        <f aca="false">P179/Q179</f>
        <v>65678.8410096891</v>
      </c>
      <c r="S179" s="1567" t="str">
        <f aca="false">IF(MONTH($A179)=12,SUM(R168:R179)," ")</f>
        <v> </v>
      </c>
    </row>
    <row r="180" customFormat="false" ht="12.75" hidden="false" customHeight="false" outlineLevel="0" collapsed="false">
      <c r="A180" s="1538" t="n">
        <f aca="false">'Plant Operations'!A180</f>
        <v>41365</v>
      </c>
      <c r="C180" s="1595" t="n">
        <f aca="false">IF($A180&gt;Endyr,0,VLOOKUP($A180,Tariff_Table,Tariff!$D$33))</f>
        <v>6768.8424437299</v>
      </c>
      <c r="D180" s="1565" t="n">
        <f aca="false">VLOOKUP($A180,Curves_Table,Escalation!$R$291)</f>
        <v>3.20741235439648</v>
      </c>
      <c r="E180" s="1606" t="n">
        <f aca="false">C180*D180</f>
        <v>21710.4688789826</v>
      </c>
      <c r="F180" s="1540" t="n">
        <f aca="false">'Plant Operations'!C180</f>
        <v>480</v>
      </c>
      <c r="G180" s="1606" t="n">
        <f aca="false">E180*F180/1000</f>
        <v>10421.0250619116</v>
      </c>
      <c r="H180" s="1576" t="n">
        <f aca="false">IF(Assm!$L$74=0,VLOOKUP($A180,Curves_Table,Escalation!$D$291),VLOOKUP($A180,Curves_Table,Escalation!$E$291))</f>
        <v>2.77873757945897</v>
      </c>
      <c r="I180" s="394" t="n">
        <f aca="false">G180/H180</f>
        <v>3750.27319562168</v>
      </c>
      <c r="J180" s="1579" t="str">
        <f aca="false">IF(MONTH($A180)=12,SUM(I169:I180)," ")</f>
        <v> </v>
      </c>
      <c r="L180" s="1607" t="n">
        <f aca="false">IF($A180&gt;Endyr,0,VLOOKUP($A180,Tariff_Table,Tariff!$J$33))</f>
        <v>0.19</v>
      </c>
      <c r="M180" s="1576" t="n">
        <f aca="false">D180</f>
        <v>3.20741235439648</v>
      </c>
      <c r="N180" s="1608" t="n">
        <f aca="false">L180*M180</f>
        <v>0.609408347335332</v>
      </c>
      <c r="O180" s="397" t="n">
        <f aca="false">'Plant Operations'!$I180+'Plant Operations'!$M180</f>
        <v>289336.32</v>
      </c>
      <c r="P180" s="1606" t="n">
        <f aca="false">N180*O180</f>
        <v>176323.968595287</v>
      </c>
      <c r="Q180" s="1565" t="n">
        <f aca="false">$H180</f>
        <v>2.77873757945897</v>
      </c>
      <c r="R180" s="1566" t="n">
        <f aca="false">P180/Q180</f>
        <v>63454.703279184</v>
      </c>
      <c r="S180" s="1567" t="str">
        <f aca="false">IF(MONTH($A180)=12,SUM(R169:R180)," ")</f>
        <v> </v>
      </c>
    </row>
    <row r="181" customFormat="false" ht="12.75" hidden="false" customHeight="false" outlineLevel="0" collapsed="false">
      <c r="A181" s="1538" t="n">
        <f aca="false">'Plant Operations'!A181</f>
        <v>41395</v>
      </c>
      <c r="C181" s="1595" t="n">
        <f aca="false">IF($A181&gt;Endyr,0,VLOOKUP($A181,Tariff_Table,Tariff!$D$33))</f>
        <v>6530.38420490929</v>
      </c>
      <c r="D181" s="1565" t="n">
        <f aca="false">VLOOKUP($A181,Curves_Table,Escalation!$R$291)</f>
        <v>3.43620643785714</v>
      </c>
      <c r="E181" s="1606" t="n">
        <f aca="false">C181*D181</f>
        <v>22439.7482465899</v>
      </c>
      <c r="F181" s="1540" t="n">
        <f aca="false">'Plant Operations'!C181</f>
        <v>480</v>
      </c>
      <c r="G181" s="1606" t="n">
        <f aca="false">E181*F181/1000</f>
        <v>10771.0791583631</v>
      </c>
      <c r="H181" s="1576" t="n">
        <f aca="false">IF(Assm!$L$74=0,VLOOKUP($A181,Curves_Table,Escalation!$D$291),VLOOKUP($A181,Curves_Table,Escalation!$E$291))</f>
        <v>2.78335600435036</v>
      </c>
      <c r="I181" s="394" t="n">
        <f aca="false">G181/H181</f>
        <v>3869.81727868373</v>
      </c>
      <c r="J181" s="1579" t="str">
        <f aca="false">IF(MONTH($A181)=12,SUM(I170:I181)," ")</f>
        <v> </v>
      </c>
      <c r="L181" s="1607" t="n">
        <f aca="false">IF($A181&gt;Endyr,0,VLOOKUP($A181,Tariff_Table,Tariff!$J$33))</f>
        <v>0.19</v>
      </c>
      <c r="M181" s="1576" t="n">
        <f aca="false">D181</f>
        <v>3.43620643785714</v>
      </c>
      <c r="N181" s="1608" t="n">
        <f aca="false">L181*M181</f>
        <v>0.652879223192857</v>
      </c>
      <c r="O181" s="397" t="n">
        <f aca="false">'Plant Operations'!$I181+'Plant Operations'!$M181</f>
        <v>298980.864</v>
      </c>
      <c r="P181" s="1606" t="n">
        <f aca="false">N181*O181</f>
        <v>195198.394237849</v>
      </c>
      <c r="Q181" s="1565" t="n">
        <f aca="false">$H181</f>
        <v>2.78335600435036</v>
      </c>
      <c r="R181" s="1566" t="n">
        <f aca="false">P181/Q181</f>
        <v>70130.5883734441</v>
      </c>
      <c r="S181" s="1567" t="str">
        <f aca="false">IF(MONTH($A181)=12,SUM(R170:R181)," ")</f>
        <v> </v>
      </c>
    </row>
    <row r="182" customFormat="false" ht="12.75" hidden="false" customHeight="false" outlineLevel="0" collapsed="false">
      <c r="A182" s="1538" t="n">
        <f aca="false">'Plant Operations'!A182</f>
        <v>41426</v>
      </c>
      <c r="C182" s="1595" t="n">
        <f aca="false">IF($A182&gt;Endyr,0,VLOOKUP($A182,Tariff_Table,Tariff!$D$33))</f>
        <v>6530.38420490929</v>
      </c>
      <c r="D182" s="1565" t="n">
        <f aca="false">VLOOKUP($A182,Curves_Table,Escalation!$R$291)</f>
        <v>3.43620643785714</v>
      </c>
      <c r="E182" s="1606" t="n">
        <f aca="false">C182*D182</f>
        <v>22439.7482465899</v>
      </c>
      <c r="F182" s="1540" t="n">
        <f aca="false">'Plant Operations'!C182</f>
        <v>480</v>
      </c>
      <c r="G182" s="1606" t="n">
        <f aca="false">E182*F182/1000</f>
        <v>10771.0791583631</v>
      </c>
      <c r="H182" s="1576" t="n">
        <f aca="false">IF(Assm!$L$74=0,VLOOKUP($A182,Curves_Table,Escalation!$D$291),VLOOKUP($A182,Curves_Table,Escalation!$E$291))</f>
        <v>2.7879821053349</v>
      </c>
      <c r="I182" s="394" t="n">
        <f aca="false">G182/H182</f>
        <v>3863.39608771244</v>
      </c>
      <c r="J182" s="1579" t="str">
        <f aca="false">IF(MONTH($A182)=12,SUM(I171:I182)," ")</f>
        <v> </v>
      </c>
      <c r="L182" s="1607" t="n">
        <f aca="false">IF($A182&gt;Endyr,0,VLOOKUP($A182,Tariff_Table,Tariff!$J$33))</f>
        <v>0.19</v>
      </c>
      <c r="M182" s="1576" t="n">
        <f aca="false">D182</f>
        <v>3.43620643785714</v>
      </c>
      <c r="N182" s="1608" t="n">
        <f aca="false">L182*M182</f>
        <v>0.652879223192857</v>
      </c>
      <c r="O182" s="397" t="n">
        <f aca="false">'Plant Operations'!$I182+'Plant Operations'!$M182</f>
        <v>289336.32</v>
      </c>
      <c r="P182" s="1606" t="n">
        <f aca="false">N182*O182</f>
        <v>188901.67184308</v>
      </c>
      <c r="Q182" s="1565" t="n">
        <f aca="false">$H182</f>
        <v>2.7879821053349</v>
      </c>
      <c r="R182" s="1566" t="n">
        <f aca="false">P182/Q182</f>
        <v>67755.6973847178</v>
      </c>
      <c r="S182" s="1567" t="str">
        <f aca="false">IF(MONTH($A182)=12,SUM(R171:R182)," ")</f>
        <v> </v>
      </c>
    </row>
    <row r="183" customFormat="false" ht="12.75" hidden="false" customHeight="false" outlineLevel="0" collapsed="false">
      <c r="A183" s="1538" t="n">
        <f aca="false">'Plant Operations'!A183</f>
        <v>41456</v>
      </c>
      <c r="C183" s="1595" t="n">
        <f aca="false">IF($A183&gt;Endyr,0,VLOOKUP($A183,Tariff_Table,Tariff!$D$33))</f>
        <v>6530.38420490929</v>
      </c>
      <c r="D183" s="1565" t="n">
        <f aca="false">VLOOKUP($A183,Curves_Table,Escalation!$R$291)</f>
        <v>3.43620643785714</v>
      </c>
      <c r="E183" s="1606" t="n">
        <f aca="false">C183*D183</f>
        <v>22439.7482465899</v>
      </c>
      <c r="F183" s="1540" t="n">
        <f aca="false">'Plant Operations'!C183</f>
        <v>480</v>
      </c>
      <c r="G183" s="1606" t="n">
        <f aca="false">E183*F183/1000</f>
        <v>10771.0791583631</v>
      </c>
      <c r="H183" s="1576" t="n">
        <f aca="false">IF(Assm!$L$74=0,VLOOKUP($A183,Curves_Table,Escalation!$D$291),VLOOKUP($A183,Curves_Table,Escalation!$E$291))</f>
        <v>2.7926158951707</v>
      </c>
      <c r="I183" s="394" t="n">
        <f aca="false">G183/H183</f>
        <v>3856.98555142857</v>
      </c>
      <c r="J183" s="1579" t="str">
        <f aca="false">IF(MONTH($A183)=12,SUM(I172:I183)," ")</f>
        <v> </v>
      </c>
      <c r="L183" s="1607" t="n">
        <f aca="false">IF($A183&gt;Endyr,0,VLOOKUP($A183,Tariff_Table,Tariff!$J$33))</f>
        <v>0.19</v>
      </c>
      <c r="M183" s="1576" t="n">
        <f aca="false">D183</f>
        <v>3.43620643785714</v>
      </c>
      <c r="N183" s="1608" t="n">
        <f aca="false">L183*M183</f>
        <v>0.652879223192857</v>
      </c>
      <c r="O183" s="397" t="n">
        <f aca="false">'Plant Operations'!$I183+'Plant Operations'!$M183</f>
        <v>298980.864</v>
      </c>
      <c r="P183" s="1606" t="n">
        <f aca="false">N183*O183</f>
        <v>195198.394237849</v>
      </c>
      <c r="Q183" s="1565" t="n">
        <f aca="false">$H183</f>
        <v>2.7926158951707</v>
      </c>
      <c r="R183" s="1566" t="n">
        <f aca="false">P183/Q183</f>
        <v>69898.0459773963</v>
      </c>
      <c r="S183" s="1567" t="str">
        <f aca="false">IF(MONTH($A183)=12,SUM(R172:R183)," ")</f>
        <v> </v>
      </c>
    </row>
    <row r="184" customFormat="false" ht="12.75" hidden="false" customHeight="false" outlineLevel="0" collapsed="false">
      <c r="A184" s="1538" t="n">
        <f aca="false">'Plant Operations'!A184</f>
        <v>41487</v>
      </c>
      <c r="C184" s="1595" t="n">
        <f aca="false">IF($A184&gt;Endyr,0,VLOOKUP($A184,Tariff_Table,Tariff!$D$33))</f>
        <v>6530.38420490929</v>
      </c>
      <c r="D184" s="1565" t="n">
        <f aca="false">VLOOKUP($A184,Curves_Table,Escalation!$R$291)</f>
        <v>3.43620643785714</v>
      </c>
      <c r="E184" s="1606" t="n">
        <f aca="false">C184*D184</f>
        <v>22439.7482465899</v>
      </c>
      <c r="F184" s="1540" t="n">
        <f aca="false">'Plant Operations'!C184</f>
        <v>480</v>
      </c>
      <c r="G184" s="1606" t="n">
        <f aca="false">E184*F184/1000</f>
        <v>10771.0791583631</v>
      </c>
      <c r="H184" s="1576" t="n">
        <f aca="false">IF(Assm!$L$74=0,VLOOKUP($A184,Curves_Table,Escalation!$D$291),VLOOKUP($A184,Curves_Table,Escalation!$E$291))</f>
        <v>2.79725738663708</v>
      </c>
      <c r="I184" s="394" t="n">
        <f aca="false">G184/H184</f>
        <v>3850.58565215279</v>
      </c>
      <c r="J184" s="1579" t="str">
        <f aca="false">IF(MONTH($A184)=12,SUM(I173:I184)," ")</f>
        <v> </v>
      </c>
      <c r="L184" s="1607" t="n">
        <f aca="false">IF($A184&gt;Endyr,0,VLOOKUP($A184,Tariff_Table,Tariff!$J$33))</f>
        <v>0.19</v>
      </c>
      <c r="M184" s="1576" t="n">
        <f aca="false">D184</f>
        <v>3.43620643785714</v>
      </c>
      <c r="N184" s="1608" t="n">
        <f aca="false">L184*M184</f>
        <v>0.652879223192857</v>
      </c>
      <c r="O184" s="397" t="n">
        <f aca="false">'Plant Operations'!$I184+'Plant Operations'!$M184</f>
        <v>298980.864</v>
      </c>
      <c r="P184" s="1606" t="n">
        <f aca="false">N184*O184</f>
        <v>195198.394237849</v>
      </c>
      <c r="Q184" s="1565" t="n">
        <f aca="false">$H184</f>
        <v>2.79725738663708</v>
      </c>
      <c r="R184" s="1566" t="n">
        <f aca="false">P184/Q184</f>
        <v>69782.0640926149</v>
      </c>
      <c r="S184" s="1567" t="str">
        <f aca="false">IF(MONTH($A184)=12,SUM(R173:R184)," ")</f>
        <v> </v>
      </c>
    </row>
    <row r="185" customFormat="false" ht="12.75" hidden="false" customHeight="false" outlineLevel="0" collapsed="false">
      <c r="A185" s="1538" t="n">
        <f aca="false">'Plant Operations'!A185</f>
        <v>41518</v>
      </c>
      <c r="C185" s="1595" t="n">
        <f aca="false">IF($A185&gt;Endyr,0,VLOOKUP($A185,Tariff_Table,Tariff!$D$33))</f>
        <v>6530.38420490929</v>
      </c>
      <c r="D185" s="1565" t="n">
        <f aca="false">VLOOKUP($A185,Curves_Table,Escalation!$R$291)</f>
        <v>3.43620643785714</v>
      </c>
      <c r="E185" s="1606" t="n">
        <f aca="false">C185*D185</f>
        <v>22439.7482465899</v>
      </c>
      <c r="F185" s="1540" t="n">
        <f aca="false">'Plant Operations'!C185</f>
        <v>480</v>
      </c>
      <c r="G185" s="1606" t="n">
        <f aca="false">E185*F185/1000</f>
        <v>10771.0791583631</v>
      </c>
      <c r="H185" s="1576" t="n">
        <f aca="false">IF(Assm!$L$74=0,VLOOKUP($A185,Curves_Table,Escalation!$D$291),VLOOKUP($A185,Curves_Table,Escalation!$E$291))</f>
        <v>2.8019065925346</v>
      </c>
      <c r="I185" s="394" t="n">
        <f aca="false">G185/H185</f>
        <v>3844.1963722351</v>
      </c>
      <c r="J185" s="1579" t="str">
        <f aca="false">IF(MONTH($A185)=12,SUM(I174:I185)," ")</f>
        <v> </v>
      </c>
      <c r="L185" s="1607" t="n">
        <f aca="false">IF($A185&gt;Endyr,0,VLOOKUP($A185,Tariff_Table,Tariff!$J$33))</f>
        <v>0.19</v>
      </c>
      <c r="M185" s="1576" t="n">
        <f aca="false">D185</f>
        <v>3.43620643785714</v>
      </c>
      <c r="N185" s="1608" t="n">
        <f aca="false">L185*M185</f>
        <v>0.652879223192857</v>
      </c>
      <c r="O185" s="397" t="n">
        <f aca="false">'Plant Operations'!$I185+'Plant Operations'!$M185</f>
        <v>289336.32</v>
      </c>
      <c r="P185" s="1606" t="n">
        <f aca="false">N185*O185</f>
        <v>188901.67184308</v>
      </c>
      <c r="Q185" s="1565" t="n">
        <f aca="false">$H185</f>
        <v>2.8019065925346</v>
      </c>
      <c r="R185" s="1566" t="n">
        <f aca="false">P185/Q185</f>
        <v>67418.9754741965</v>
      </c>
      <c r="S185" s="1567" t="str">
        <f aca="false">IF(MONTH($A185)=12,SUM(R174:R185)," ")</f>
        <v> </v>
      </c>
    </row>
    <row r="186" customFormat="false" ht="12.75" hidden="false" customHeight="false" outlineLevel="0" collapsed="false">
      <c r="A186" s="1538" t="n">
        <f aca="false">'Plant Operations'!A186</f>
        <v>41548</v>
      </c>
      <c r="C186" s="1595" t="n">
        <f aca="false">IF($A186&gt;Endyr,0,VLOOKUP($A186,Tariff_Table,Tariff!$D$33))</f>
        <v>6530.38420490929</v>
      </c>
      <c r="D186" s="1565" t="n">
        <f aca="false">VLOOKUP($A186,Curves_Table,Escalation!$R$291)</f>
        <v>3.43620643785714</v>
      </c>
      <c r="E186" s="1606" t="n">
        <f aca="false">C186*D186</f>
        <v>22439.7482465899</v>
      </c>
      <c r="F186" s="1540" t="n">
        <f aca="false">'Plant Operations'!C186</f>
        <v>480</v>
      </c>
      <c r="G186" s="1606" t="n">
        <f aca="false">E186*F186/1000</f>
        <v>10771.0791583631</v>
      </c>
      <c r="H186" s="1576" t="n">
        <f aca="false">IF(Assm!$L$74=0,VLOOKUP($A186,Curves_Table,Escalation!$D$291),VLOOKUP($A186,Curves_Table,Escalation!$E$291))</f>
        <v>2.80656352568511</v>
      </c>
      <c r="I186" s="394" t="n">
        <f aca="false">G186/H186</f>
        <v>3837.8176940548</v>
      </c>
      <c r="J186" s="1579" t="str">
        <f aca="false">IF(MONTH($A186)=12,SUM(I175:I186)," ")</f>
        <v> </v>
      </c>
      <c r="L186" s="1607" t="n">
        <f aca="false">IF($A186&gt;Endyr,0,VLOOKUP($A186,Tariff_Table,Tariff!$J$33))</f>
        <v>0.19</v>
      </c>
      <c r="M186" s="1576" t="n">
        <f aca="false">D186</f>
        <v>3.43620643785714</v>
      </c>
      <c r="N186" s="1608" t="n">
        <f aca="false">L186*M186</f>
        <v>0.652879223192857</v>
      </c>
      <c r="O186" s="397" t="n">
        <f aca="false">'Plant Operations'!$I186+'Plant Operations'!$M186</f>
        <v>298980.864</v>
      </c>
      <c r="P186" s="1606" t="n">
        <f aca="false">N186*O186</f>
        <v>195198.394237849</v>
      </c>
      <c r="Q186" s="1565" t="n">
        <f aca="false">$H186</f>
        <v>2.80656352568511</v>
      </c>
      <c r="R186" s="1566" t="n">
        <f aca="false">P186/Q186</f>
        <v>69550.6773502301</v>
      </c>
      <c r="S186" s="1567" t="str">
        <f aca="false">IF(MONTH($A186)=12,SUM(R175:R186)," ")</f>
        <v> </v>
      </c>
    </row>
    <row r="187" customFormat="false" ht="12.75" hidden="false" customHeight="false" outlineLevel="0" collapsed="false">
      <c r="A187" s="1538" t="n">
        <f aca="false">'Plant Operations'!A187</f>
        <v>41579</v>
      </c>
      <c r="C187" s="1595" t="n">
        <f aca="false">IF($A187&gt;Endyr,0,VLOOKUP($A187,Tariff_Table,Tariff!$D$33))</f>
        <v>6530.38420490929</v>
      </c>
      <c r="D187" s="1565" t="n">
        <f aca="false">VLOOKUP($A187,Curves_Table,Escalation!$R$291)</f>
        <v>3.43620643785714</v>
      </c>
      <c r="E187" s="1606" t="n">
        <f aca="false">C187*D187</f>
        <v>22439.7482465899</v>
      </c>
      <c r="F187" s="1540" t="n">
        <f aca="false">'Plant Operations'!C187</f>
        <v>480</v>
      </c>
      <c r="G187" s="1606" t="n">
        <f aca="false">E187*F187/1000</f>
        <v>10771.0791583631</v>
      </c>
      <c r="H187" s="1576" t="n">
        <f aca="false">IF(Assm!$L$74=0,VLOOKUP($A187,Curves_Table,Escalation!$D$291),VLOOKUP($A187,Curves_Table,Escalation!$E$291))</f>
        <v>2.81122819893174</v>
      </c>
      <c r="I187" s="394" t="n">
        <f aca="false">G187/H187</f>
        <v>3831.44960002042</v>
      </c>
      <c r="J187" s="1579" t="str">
        <f aca="false">IF(MONTH($A187)=12,SUM(I176:I187)," ")</f>
        <v> </v>
      </c>
      <c r="L187" s="1607" t="n">
        <f aca="false">IF($A187&gt;Endyr,0,VLOOKUP($A187,Tariff_Table,Tariff!$J$33))</f>
        <v>0.19</v>
      </c>
      <c r="M187" s="1576" t="n">
        <f aca="false">D187</f>
        <v>3.43620643785714</v>
      </c>
      <c r="N187" s="1608" t="n">
        <f aca="false">L187*M187</f>
        <v>0.652879223192857</v>
      </c>
      <c r="O187" s="397" t="n">
        <f aca="false">'Plant Operations'!$I187+'Plant Operations'!$M187</f>
        <v>289336.32</v>
      </c>
      <c r="P187" s="1606" t="n">
        <f aca="false">N187*O187</f>
        <v>188901.67184308</v>
      </c>
      <c r="Q187" s="1565" t="n">
        <f aca="false">$H187</f>
        <v>2.81122819893174</v>
      </c>
      <c r="R187" s="1566" t="n">
        <f aca="false">P187/Q187</f>
        <v>67195.4243753183</v>
      </c>
      <c r="S187" s="1567" t="str">
        <f aca="false">IF(MONTH($A187)=12,SUM(R176:R187)," ")</f>
        <v> </v>
      </c>
    </row>
    <row r="188" customFormat="false" ht="12.75" hidden="false" customHeight="false" outlineLevel="0" collapsed="false">
      <c r="A188" s="1538" t="n">
        <f aca="false">'Plant Operations'!A188</f>
        <v>41609</v>
      </c>
      <c r="C188" s="1595" t="n">
        <f aca="false">IF($A188&gt;Endyr,0,VLOOKUP($A188,Tariff_Table,Tariff!$D$33))</f>
        <v>6530.38420490929</v>
      </c>
      <c r="D188" s="1565" t="n">
        <f aca="false">VLOOKUP($A188,Curves_Table,Escalation!$R$291)</f>
        <v>3.43620643785714</v>
      </c>
      <c r="E188" s="1606" t="n">
        <f aca="false">C188*D188</f>
        <v>22439.7482465899</v>
      </c>
      <c r="F188" s="1540" t="n">
        <f aca="false">'Plant Operations'!C188</f>
        <v>480</v>
      </c>
      <c r="G188" s="1606" t="n">
        <f aca="false">E188*F188/1000</f>
        <v>10771.0791583631</v>
      </c>
      <c r="H188" s="1576" t="n">
        <f aca="false">IF(Assm!$L$74=0,VLOOKUP($A188,Curves_Table,Escalation!$D$291),VLOOKUP($A188,Curves_Table,Escalation!$E$291))</f>
        <v>2.81590062513899</v>
      </c>
      <c r="I188" s="394" t="n">
        <f aca="false">G188/H188</f>
        <v>3825.09207256967</v>
      </c>
      <c r="J188" s="1579" t="n">
        <f aca="false">IF(MONTH($A188)=12,SUM(I177:I188)," ")</f>
        <v>45817.8735926921</v>
      </c>
      <c r="L188" s="1607" t="n">
        <f aca="false">IF($A188&gt;Endyr,0,VLOOKUP($A188,Tariff_Table,Tariff!$J$33))</f>
        <v>0.19</v>
      </c>
      <c r="M188" s="1576" t="n">
        <f aca="false">D188</f>
        <v>3.43620643785714</v>
      </c>
      <c r="N188" s="1608" t="n">
        <f aca="false">L188*M188</f>
        <v>0.652879223192857</v>
      </c>
      <c r="O188" s="397" t="n">
        <f aca="false">'Plant Operations'!$I188+'Plant Operations'!$M188</f>
        <v>298980.864</v>
      </c>
      <c r="P188" s="1606" t="n">
        <f aca="false">N188*O188</f>
        <v>195198.394237849</v>
      </c>
      <c r="Q188" s="1565" t="n">
        <f aca="false">$H188</f>
        <v>2.81590062513899</v>
      </c>
      <c r="R188" s="1566" t="n">
        <f aca="false">P188/Q188</f>
        <v>69320.0578511944</v>
      </c>
      <c r="S188" s="1567" t="n">
        <f aca="false">IF(MONTH($A188)=12,SUM(R177:R188)," ")</f>
        <v>805503.843938109</v>
      </c>
    </row>
    <row r="189" customFormat="false" ht="12.75" hidden="false" customHeight="false" outlineLevel="0" collapsed="false">
      <c r="A189" s="1538" t="n">
        <f aca="false">'Plant Operations'!A189</f>
        <v>41640</v>
      </c>
      <c r="C189" s="1595" t="n">
        <f aca="false">IF($A189&gt;Endyr,0,VLOOKUP($A189,Tariff_Table,Tariff!$D$33))</f>
        <v>6530.38420490929</v>
      </c>
      <c r="D189" s="1565" t="n">
        <f aca="false">VLOOKUP($A189,Curves_Table,Escalation!$R$291)</f>
        <v>3.43620643785714</v>
      </c>
      <c r="E189" s="1606" t="n">
        <f aca="false">C189*D189</f>
        <v>22439.7482465899</v>
      </c>
      <c r="F189" s="1540" t="n">
        <f aca="false">'Plant Operations'!C189</f>
        <v>480</v>
      </c>
      <c r="G189" s="1606" t="n">
        <f aca="false">E189*F189/1000</f>
        <v>10771.0791583631</v>
      </c>
      <c r="H189" s="1576" t="n">
        <f aca="false">IF(Assm!$L$74=0,VLOOKUP($A189,Curves_Table,Escalation!$D$291),VLOOKUP($A189,Curves_Table,Escalation!$E$291))</f>
        <v>2.82055022749078</v>
      </c>
      <c r="I189" s="394" t="n">
        <f aca="false">G189/H189</f>
        <v>3818.78650959012</v>
      </c>
      <c r="J189" s="1579" t="str">
        <f aca="false">IF(MONTH($A189)=12,SUM(I178:I189)," ")</f>
        <v> </v>
      </c>
      <c r="L189" s="1607" t="n">
        <f aca="false">IF($A189&gt;Endyr,0,VLOOKUP($A189,Tariff_Table,Tariff!$J$33))</f>
        <v>0.19</v>
      </c>
      <c r="M189" s="1576" t="n">
        <f aca="false">D189</f>
        <v>3.43620643785714</v>
      </c>
      <c r="N189" s="1608" t="n">
        <f aca="false">L189*M189</f>
        <v>0.652879223192857</v>
      </c>
      <c r="O189" s="397" t="n">
        <f aca="false">'Plant Operations'!$I189+'Plant Operations'!$M189</f>
        <v>298980.864</v>
      </c>
      <c r="P189" s="1606" t="n">
        <f aca="false">N189*O189</f>
        <v>195198.394237849</v>
      </c>
      <c r="Q189" s="1565" t="n">
        <f aca="false">$H189</f>
        <v>2.82055022749078</v>
      </c>
      <c r="R189" s="1566" t="n">
        <f aca="false">P189/Q189</f>
        <v>69205.785571669</v>
      </c>
      <c r="S189" s="1567" t="str">
        <f aca="false">IF(MONTH($A189)=12,SUM(R178:R189)," ")</f>
        <v> </v>
      </c>
    </row>
    <row r="190" customFormat="false" ht="12.75" hidden="false" customHeight="false" outlineLevel="0" collapsed="false">
      <c r="A190" s="1538" t="n">
        <f aca="false">'Plant Operations'!A190</f>
        <v>41671</v>
      </c>
      <c r="C190" s="1595" t="n">
        <f aca="false">IF($A190&gt;Endyr,0,VLOOKUP($A190,Tariff_Table,Tariff!$D$33))</f>
        <v>6530.38420490929</v>
      </c>
      <c r="D190" s="1565" t="n">
        <f aca="false">VLOOKUP($A190,Curves_Table,Escalation!$R$291)</f>
        <v>3.43620643785714</v>
      </c>
      <c r="E190" s="1606" t="n">
        <f aca="false">C190*D190</f>
        <v>22439.7482465899</v>
      </c>
      <c r="F190" s="1540" t="n">
        <f aca="false">'Plant Operations'!C190</f>
        <v>480</v>
      </c>
      <c r="G190" s="1606" t="n">
        <f aca="false">E190*F190/1000</f>
        <v>10771.0791583631</v>
      </c>
      <c r="H190" s="1576" t="n">
        <f aca="false">IF(Assm!$L$74=0,VLOOKUP($A190,Curves_Table,Escalation!$D$291),VLOOKUP($A190,Curves_Table,Escalation!$E$291))</f>
        <v>2.82520750724491</v>
      </c>
      <c r="I190" s="394" t="n">
        <f aca="false">G190/H190</f>
        <v>3812.49134116414</v>
      </c>
      <c r="J190" s="1579" t="str">
        <f aca="false">IF(MONTH($A190)=12,SUM(I179:I190)," ")</f>
        <v> </v>
      </c>
      <c r="L190" s="1607" t="n">
        <f aca="false">IF($A190&gt;Endyr,0,VLOOKUP($A190,Tariff_Table,Tariff!$J$33))</f>
        <v>0.19</v>
      </c>
      <c r="M190" s="1576" t="n">
        <f aca="false">D190</f>
        <v>3.43620643785714</v>
      </c>
      <c r="N190" s="1608" t="n">
        <f aca="false">L190*M190</f>
        <v>0.652879223192857</v>
      </c>
      <c r="O190" s="397" t="n">
        <f aca="false">'Plant Operations'!$I190+'Plant Operations'!$M190</f>
        <v>270047.232</v>
      </c>
      <c r="P190" s="1606" t="n">
        <f aca="false">N190*O190</f>
        <v>176308.227053541</v>
      </c>
      <c r="Q190" s="1565" t="n">
        <f aca="false">$H190</f>
        <v>2.82520750724491</v>
      </c>
      <c r="R190" s="1566" t="n">
        <f aca="false">P190/Q190</f>
        <v>62405.4079572633</v>
      </c>
      <c r="S190" s="1567" t="str">
        <f aca="false">IF(MONTH($A190)=12,SUM(R179:R190)," ")</f>
        <v> </v>
      </c>
    </row>
    <row r="191" customFormat="false" ht="12.75" hidden="false" customHeight="false" outlineLevel="0" collapsed="false">
      <c r="A191" s="1538" t="n">
        <f aca="false">'Plant Operations'!A191</f>
        <v>41699</v>
      </c>
      <c r="C191" s="1595" t="n">
        <f aca="false">IF($A191&gt;Endyr,0,VLOOKUP($A191,Tariff_Table,Tariff!$D$33))</f>
        <v>6530.38420490929</v>
      </c>
      <c r="D191" s="1565" t="n">
        <f aca="false">VLOOKUP($A191,Curves_Table,Escalation!$R$291)</f>
        <v>3.43620643785714</v>
      </c>
      <c r="E191" s="1606" t="n">
        <f aca="false">C191*D191</f>
        <v>22439.7482465899</v>
      </c>
      <c r="F191" s="1540" t="n">
        <f aca="false">'Plant Operations'!C191</f>
        <v>480</v>
      </c>
      <c r="G191" s="1606" t="n">
        <f aca="false">E191*F191/1000</f>
        <v>10771.0791583631</v>
      </c>
      <c r="H191" s="1576" t="n">
        <f aca="false">IF(Assm!$L$74=0,VLOOKUP($A191,Curves_Table,Escalation!$D$291),VLOOKUP($A191,Curves_Table,Escalation!$E$291))</f>
        <v>2.82987247707826</v>
      </c>
      <c r="I191" s="394" t="n">
        <f aca="false">G191/H191</f>
        <v>3806.2065501566</v>
      </c>
      <c r="J191" s="1579" t="str">
        <f aca="false">IF(MONTH($A191)=12,SUM(I180:I191)," ")</f>
        <v> </v>
      </c>
      <c r="L191" s="1607" t="n">
        <f aca="false">IF($A191&gt;Endyr,0,VLOOKUP($A191,Tariff_Table,Tariff!$J$33))</f>
        <v>0.19</v>
      </c>
      <c r="M191" s="1576" t="n">
        <f aca="false">D191</f>
        <v>3.43620643785714</v>
      </c>
      <c r="N191" s="1608" t="n">
        <f aca="false">L191*M191</f>
        <v>0.652879223192857</v>
      </c>
      <c r="O191" s="397" t="n">
        <f aca="false">'Plant Operations'!$I191+'Plant Operations'!$M191</f>
        <v>298980.864</v>
      </c>
      <c r="P191" s="1606" t="n">
        <f aca="false">N191*O191</f>
        <v>195198.394237849</v>
      </c>
      <c r="Q191" s="1565" t="n">
        <f aca="false">$H191</f>
        <v>2.82987247707826</v>
      </c>
      <c r="R191" s="1566" t="n">
        <f aca="false">P191/Q191</f>
        <v>68977.8058265667</v>
      </c>
      <c r="S191" s="1567" t="str">
        <f aca="false">IF(MONTH($A191)=12,SUM(R180:R191)," ")</f>
        <v> </v>
      </c>
    </row>
    <row r="192" customFormat="false" ht="12.75" hidden="false" customHeight="false" outlineLevel="0" collapsed="false">
      <c r="A192" s="1538" t="n">
        <f aca="false">'Plant Operations'!A192</f>
        <v>41730</v>
      </c>
      <c r="C192" s="1595" t="n">
        <f aca="false">IF($A192&gt;Endyr,0,VLOOKUP($A192,Tariff_Table,Tariff!$D$33))</f>
        <v>6530.38420490929</v>
      </c>
      <c r="D192" s="1565" t="n">
        <f aca="false">VLOOKUP($A192,Curves_Table,Escalation!$R$291)</f>
        <v>3.43620643785714</v>
      </c>
      <c r="E192" s="1606" t="n">
        <f aca="false">C192*D192</f>
        <v>22439.7482465899</v>
      </c>
      <c r="F192" s="1540" t="n">
        <f aca="false">'Plant Operations'!C192</f>
        <v>480</v>
      </c>
      <c r="G192" s="1606" t="n">
        <f aca="false">E192*F192/1000</f>
        <v>10771.0791583631</v>
      </c>
      <c r="H192" s="1576" t="n">
        <f aca="false">IF(Assm!$L$74=0,VLOOKUP($A192,Curves_Table,Escalation!$D$291),VLOOKUP($A192,Curves_Table,Escalation!$E$291))</f>
        <v>2.83454514968866</v>
      </c>
      <c r="I192" s="394" t="n">
        <f aca="false">G192/H192</f>
        <v>3799.93211946059</v>
      </c>
      <c r="J192" s="1579" t="str">
        <f aca="false">IF(MONTH($A192)=12,SUM(I181:I192)," ")</f>
        <v> </v>
      </c>
      <c r="L192" s="1607" t="n">
        <f aca="false">IF($A192&gt;Endyr,0,VLOOKUP($A192,Tariff_Table,Tariff!$J$33))</f>
        <v>0.19</v>
      </c>
      <c r="M192" s="1576" t="n">
        <f aca="false">D192</f>
        <v>3.43620643785714</v>
      </c>
      <c r="N192" s="1608" t="n">
        <f aca="false">L192*M192</f>
        <v>0.652879223192857</v>
      </c>
      <c r="O192" s="397" t="n">
        <f aca="false">'Plant Operations'!$I192+'Plant Operations'!$M192</f>
        <v>289336.32</v>
      </c>
      <c r="P192" s="1606" t="n">
        <f aca="false">N192*O192</f>
        <v>188901.67184308</v>
      </c>
      <c r="Q192" s="1565" t="n">
        <f aca="false">$H192</f>
        <v>2.83454514968866</v>
      </c>
      <c r="R192" s="1566" t="n">
        <f aca="false">P192/Q192</f>
        <v>66642.6752326837</v>
      </c>
      <c r="S192" s="1567" t="str">
        <f aca="false">IF(MONTH($A192)=12,SUM(R181:R192)," ")</f>
        <v> </v>
      </c>
    </row>
    <row r="193" customFormat="false" ht="12.75" hidden="false" customHeight="false" outlineLevel="0" collapsed="false">
      <c r="A193" s="1538" t="n">
        <f aca="false">'Plant Operations'!A193</f>
        <v>41760</v>
      </c>
      <c r="C193" s="1595" t="n">
        <f aca="false">IF($A193&gt;Endyr,0,VLOOKUP($A193,Tariff_Table,Tariff!$D$33))</f>
        <v>4167.65616933402</v>
      </c>
      <c r="D193" s="1565" t="n">
        <f aca="false">VLOOKUP($A193,Curves_Table,Escalation!$R$291)</f>
        <v>3.67674088850714</v>
      </c>
      <c r="E193" s="1606" t="n">
        <f aca="false">C193*D193</f>
        <v>15323.3918470294</v>
      </c>
      <c r="F193" s="1540" t="n">
        <f aca="false">'Plant Operations'!C193</f>
        <v>480</v>
      </c>
      <c r="G193" s="1606" t="n">
        <f aca="false">E193*F193/1000</f>
        <v>7355.22808657413</v>
      </c>
      <c r="H193" s="1576" t="n">
        <f aca="false">IF(Assm!$L$74=0,VLOOKUP($A193,Curves_Table,Escalation!$D$291),VLOOKUP($A193,Curves_Table,Escalation!$E$291))</f>
        <v>2.8392255377949</v>
      </c>
      <c r="I193" s="394" t="n">
        <f aca="false">G193/H193</f>
        <v>2590.57548921831</v>
      </c>
      <c r="J193" s="1579" t="str">
        <f aca="false">IF(MONTH($A193)=12,SUM(I182:I193)," ")</f>
        <v> </v>
      </c>
      <c r="L193" s="1607" t="n">
        <f aca="false">IF($A193&gt;Endyr,0,VLOOKUP($A193,Tariff_Table,Tariff!$J$33))</f>
        <v>0.19</v>
      </c>
      <c r="M193" s="1576" t="n">
        <f aca="false">D193</f>
        <v>3.67674088850714</v>
      </c>
      <c r="N193" s="1608" t="n">
        <f aca="false">L193*M193</f>
        <v>0.698580768816357</v>
      </c>
      <c r="O193" s="397" t="n">
        <f aca="false">'Plant Operations'!$I193+'Plant Operations'!$M193</f>
        <v>298980.864</v>
      </c>
      <c r="P193" s="1606" t="n">
        <f aca="false">N193*O193</f>
        <v>208862.281834499</v>
      </c>
      <c r="Q193" s="1565" t="n">
        <f aca="false">$H193</f>
        <v>2.8392255377949</v>
      </c>
      <c r="R193" s="1566" t="n">
        <f aca="false">P193/Q193</f>
        <v>73563.1174960172</v>
      </c>
      <c r="S193" s="1567" t="str">
        <f aca="false">IF(MONTH($A193)=12,SUM(R182:R193)," ")</f>
        <v> </v>
      </c>
    </row>
    <row r="194" customFormat="false" ht="12.75" hidden="false" customHeight="false" outlineLevel="0" collapsed="false">
      <c r="A194" s="1538" t="n">
        <f aca="false">'Plant Operations'!A194</f>
        <v>41791</v>
      </c>
      <c r="C194" s="1595" t="n">
        <f aca="false">IF($A194&gt;Endyr,0,VLOOKUP($A194,Tariff_Table,Tariff!$D$33))</f>
        <v>4167.65616933402</v>
      </c>
      <c r="D194" s="1565" t="n">
        <f aca="false">VLOOKUP($A194,Curves_Table,Escalation!$R$291)</f>
        <v>3.67674088850714</v>
      </c>
      <c r="E194" s="1606" t="n">
        <f aca="false">C194*D194</f>
        <v>15323.3918470294</v>
      </c>
      <c r="F194" s="1540" t="n">
        <f aca="false">'Plant Operations'!C194</f>
        <v>480</v>
      </c>
      <c r="G194" s="1606" t="n">
        <f aca="false">E194*F194/1000</f>
        <v>7355.22808657413</v>
      </c>
      <c r="H194" s="1576" t="n">
        <f aca="false">IF(Assm!$L$74=0,VLOOKUP($A194,Curves_Table,Escalation!$D$291),VLOOKUP($A194,Curves_Table,Escalation!$E$291))</f>
        <v>2.84391365413677</v>
      </c>
      <c r="I194" s="394" t="n">
        <f aca="false">G194/H194</f>
        <v>2586.30499413201</v>
      </c>
      <c r="J194" s="1579" t="str">
        <f aca="false">IF(MONTH($A194)=12,SUM(I183:I194)," ")</f>
        <v> </v>
      </c>
      <c r="L194" s="1607" t="n">
        <f aca="false">IF($A194&gt;Endyr,0,VLOOKUP($A194,Tariff_Table,Tariff!$J$33))</f>
        <v>0.19</v>
      </c>
      <c r="M194" s="1576" t="n">
        <f aca="false">D194</f>
        <v>3.67674088850714</v>
      </c>
      <c r="N194" s="1608" t="n">
        <f aca="false">L194*M194</f>
        <v>0.698580768816357</v>
      </c>
      <c r="O194" s="397" t="n">
        <f aca="false">'Plant Operations'!$I194+'Plant Operations'!$M194</f>
        <v>289336.32</v>
      </c>
      <c r="P194" s="1606" t="n">
        <f aca="false">N194*O194</f>
        <v>202124.788872096</v>
      </c>
      <c r="Q194" s="1565" t="n">
        <f aca="false">$H194</f>
        <v>2.84391365413677</v>
      </c>
      <c r="R194" s="1566" t="n">
        <f aca="false">P194/Q194</f>
        <v>71072.7586887471</v>
      </c>
      <c r="S194" s="1567" t="str">
        <f aca="false">IF(MONTH($A194)=12,SUM(R183:R194)," ")</f>
        <v> </v>
      </c>
    </row>
    <row r="195" customFormat="false" ht="12.75" hidden="false" customHeight="false" outlineLevel="0" collapsed="false">
      <c r="A195" s="1538" t="n">
        <f aca="false">'Plant Operations'!A195</f>
        <v>41821</v>
      </c>
      <c r="C195" s="1595" t="n">
        <f aca="false">IF($A195&gt;Endyr,0,VLOOKUP($A195,Tariff_Table,Tariff!$D$33))</f>
        <v>4167.65616933402</v>
      </c>
      <c r="D195" s="1565" t="n">
        <f aca="false">VLOOKUP($A195,Curves_Table,Escalation!$R$291)</f>
        <v>3.67674088850714</v>
      </c>
      <c r="E195" s="1606" t="n">
        <f aca="false">C195*D195</f>
        <v>15323.3918470294</v>
      </c>
      <c r="F195" s="1540" t="n">
        <f aca="false">'Plant Operations'!C195</f>
        <v>480</v>
      </c>
      <c r="G195" s="1606" t="n">
        <f aca="false">E195*F195/1000</f>
        <v>7355.22808657413</v>
      </c>
      <c r="H195" s="1576" t="n">
        <f aca="false">IF(Assm!$L$74=0,VLOOKUP($A195,Curves_Table,Escalation!$D$291),VLOOKUP($A195,Curves_Table,Escalation!$E$291))</f>
        <v>2.8486095114751</v>
      </c>
      <c r="I195" s="394" t="n">
        <f aca="false">G195/H195</f>
        <v>2582.04153884376</v>
      </c>
      <c r="J195" s="1579" t="str">
        <f aca="false">IF(MONTH($A195)=12,SUM(I184:I195)," ")</f>
        <v> </v>
      </c>
      <c r="L195" s="1607" t="n">
        <f aca="false">IF($A195&gt;Endyr,0,VLOOKUP($A195,Tariff_Table,Tariff!$J$33))</f>
        <v>0.19</v>
      </c>
      <c r="M195" s="1576" t="n">
        <f aca="false">D195</f>
        <v>3.67674088850714</v>
      </c>
      <c r="N195" s="1608" t="n">
        <f aca="false">L195*M195</f>
        <v>0.698580768816357</v>
      </c>
      <c r="O195" s="397" t="n">
        <f aca="false">'Plant Operations'!$I195+'Plant Operations'!$M195</f>
        <v>298980.864</v>
      </c>
      <c r="P195" s="1606" t="n">
        <f aca="false">N195*O195</f>
        <v>208862.281834499</v>
      </c>
      <c r="Q195" s="1565" t="n">
        <f aca="false">$H195</f>
        <v>2.8486095114751</v>
      </c>
      <c r="R195" s="1566" t="n">
        <f aca="false">P195/Q195</f>
        <v>73320.7836992524</v>
      </c>
      <c r="S195" s="1567" t="str">
        <f aca="false">IF(MONTH($A195)=12,SUM(R184:R195)," ")</f>
        <v> </v>
      </c>
    </row>
    <row r="196" customFormat="false" ht="12.75" hidden="false" customHeight="false" outlineLevel="0" collapsed="false">
      <c r="A196" s="1538" t="n">
        <f aca="false">'Plant Operations'!A196</f>
        <v>41852</v>
      </c>
      <c r="C196" s="1595" t="n">
        <f aca="false">IF($A196&gt;Endyr,0,VLOOKUP($A196,Tariff_Table,Tariff!$D$33))</f>
        <v>4167.65616933402</v>
      </c>
      <c r="D196" s="1565" t="n">
        <f aca="false">VLOOKUP($A196,Curves_Table,Escalation!$R$291)</f>
        <v>3.67674088850714</v>
      </c>
      <c r="E196" s="1606" t="n">
        <f aca="false">C196*D196</f>
        <v>15323.3918470294</v>
      </c>
      <c r="F196" s="1540" t="n">
        <f aca="false">'Plant Operations'!C196</f>
        <v>480</v>
      </c>
      <c r="G196" s="1606" t="n">
        <f aca="false">E196*F196/1000</f>
        <v>7355.22808657413</v>
      </c>
      <c r="H196" s="1576" t="n">
        <f aca="false">IF(Assm!$L$74=0,VLOOKUP($A196,Curves_Table,Escalation!$D$291),VLOOKUP($A196,Curves_Table,Escalation!$E$291))</f>
        <v>2.85331312259178</v>
      </c>
      <c r="I196" s="394" t="n">
        <f aca="false">G196/H196</f>
        <v>2577.78511174864</v>
      </c>
      <c r="J196" s="1579" t="str">
        <f aca="false">IF(MONTH($A196)=12,SUM(I185:I196)," ")</f>
        <v> </v>
      </c>
      <c r="L196" s="1607" t="n">
        <f aca="false">IF($A196&gt;Endyr,0,VLOOKUP($A196,Tariff_Table,Tariff!$J$33))</f>
        <v>0.19</v>
      </c>
      <c r="M196" s="1576" t="n">
        <f aca="false">D196</f>
        <v>3.67674088850714</v>
      </c>
      <c r="N196" s="1608" t="n">
        <f aca="false">L196*M196</f>
        <v>0.698580768816357</v>
      </c>
      <c r="O196" s="397" t="n">
        <f aca="false">'Plant Operations'!$I196+'Plant Operations'!$M196</f>
        <v>298980.864</v>
      </c>
      <c r="P196" s="1606" t="n">
        <f aca="false">N196*O196</f>
        <v>208862.281834499</v>
      </c>
      <c r="Q196" s="1565" t="n">
        <f aca="false">$H196</f>
        <v>2.85331312259178</v>
      </c>
      <c r="R196" s="1566" t="n">
        <f aca="false">P196/Q196</f>
        <v>73199.91632912</v>
      </c>
      <c r="S196" s="1567" t="str">
        <f aca="false">IF(MONTH($A196)=12,SUM(R185:R196)," ")</f>
        <v> </v>
      </c>
    </row>
    <row r="197" customFormat="false" ht="12.75" hidden="false" customHeight="false" outlineLevel="0" collapsed="false">
      <c r="A197" s="1538" t="n">
        <f aca="false">'Plant Operations'!A197</f>
        <v>41883</v>
      </c>
      <c r="C197" s="1595" t="n">
        <f aca="false">IF($A197&gt;Endyr,0,VLOOKUP($A197,Tariff_Table,Tariff!$D$33))</f>
        <v>4167.65616933402</v>
      </c>
      <c r="D197" s="1565" t="n">
        <f aca="false">VLOOKUP($A197,Curves_Table,Escalation!$R$291)</f>
        <v>3.67674088850714</v>
      </c>
      <c r="E197" s="1606" t="n">
        <f aca="false">C197*D197</f>
        <v>15323.3918470294</v>
      </c>
      <c r="F197" s="1540" t="n">
        <f aca="false">'Plant Operations'!C197</f>
        <v>480</v>
      </c>
      <c r="G197" s="1606" t="n">
        <f aca="false">E197*F197/1000</f>
        <v>7355.22808657413</v>
      </c>
      <c r="H197" s="1576" t="n">
        <f aca="false">IF(Assm!$L$74=0,VLOOKUP($A197,Curves_Table,Escalation!$D$291),VLOOKUP($A197,Curves_Table,Escalation!$E$291))</f>
        <v>2.85802450028983</v>
      </c>
      <c r="I197" s="394" t="n">
        <f aca="false">G197/H197</f>
        <v>2573.53570126087</v>
      </c>
      <c r="J197" s="1579" t="str">
        <f aca="false">IF(MONTH($A197)=12,SUM(I186:I197)," ")</f>
        <v> </v>
      </c>
      <c r="L197" s="1607" t="n">
        <f aca="false">IF($A197&gt;Endyr,0,VLOOKUP($A197,Tariff_Table,Tariff!$J$33))</f>
        <v>0.19</v>
      </c>
      <c r="M197" s="1576" t="n">
        <f aca="false">D197</f>
        <v>3.67674088850714</v>
      </c>
      <c r="N197" s="1608" t="n">
        <f aca="false">L197*M197</f>
        <v>0.698580768816357</v>
      </c>
      <c r="O197" s="397" t="n">
        <f aca="false">'Plant Operations'!$I197+'Plant Operations'!$M197</f>
        <v>289336.32</v>
      </c>
      <c r="P197" s="1606" t="n">
        <f aca="false">N197*O197</f>
        <v>202124.788872096</v>
      </c>
      <c r="Q197" s="1565" t="n">
        <f aca="false">$H197</f>
        <v>2.85802450028983</v>
      </c>
      <c r="R197" s="1566" t="n">
        <f aca="false">P197/Q197</f>
        <v>70721.8531022383</v>
      </c>
      <c r="S197" s="1567" t="str">
        <f aca="false">IF(MONTH($A197)=12,SUM(R186:R197)," ")</f>
        <v> </v>
      </c>
    </row>
    <row r="198" customFormat="false" ht="12.75" hidden="false" customHeight="false" outlineLevel="0" collapsed="false">
      <c r="A198" s="1538" t="n">
        <f aca="false">'Plant Operations'!A198</f>
        <v>41913</v>
      </c>
      <c r="C198" s="1595" t="n">
        <f aca="false">IF($A198&gt;Endyr,0,VLOOKUP($A198,Tariff_Table,Tariff!$D$33))</f>
        <v>4167.65616933402</v>
      </c>
      <c r="D198" s="1565" t="n">
        <f aca="false">VLOOKUP($A198,Curves_Table,Escalation!$R$291)</f>
        <v>3.67674088850714</v>
      </c>
      <c r="E198" s="1606" t="n">
        <f aca="false">C198*D198</f>
        <v>15323.3918470294</v>
      </c>
      <c r="F198" s="1540" t="n">
        <f aca="false">'Plant Operations'!C198</f>
        <v>480</v>
      </c>
      <c r="G198" s="1606" t="n">
        <f aca="false">E198*F198/1000</f>
        <v>7355.22808657413</v>
      </c>
      <c r="H198" s="1576" t="n">
        <f aca="false">IF(Assm!$L$74=0,VLOOKUP($A198,Curves_Table,Escalation!$D$291),VLOOKUP($A198,Curves_Table,Escalation!$E$291))</f>
        <v>2.86274365739339</v>
      </c>
      <c r="I198" s="394" t="n">
        <f aca="false">G198/H198</f>
        <v>2569.29329581374</v>
      </c>
      <c r="J198" s="1579" t="str">
        <f aca="false">IF(MONTH($A198)=12,SUM(I187:I198)," ")</f>
        <v> </v>
      </c>
      <c r="L198" s="1607" t="n">
        <f aca="false">IF($A198&gt;Endyr,0,VLOOKUP($A198,Tariff_Table,Tariff!$J$33))</f>
        <v>0.19</v>
      </c>
      <c r="M198" s="1576" t="n">
        <f aca="false">D198</f>
        <v>3.67674088850714</v>
      </c>
      <c r="N198" s="1608" t="n">
        <f aca="false">L198*M198</f>
        <v>0.698580768816357</v>
      </c>
      <c r="O198" s="397" t="n">
        <f aca="false">'Plant Operations'!$I198+'Plant Operations'!$M198</f>
        <v>298980.864</v>
      </c>
      <c r="P198" s="1606" t="n">
        <f aca="false">N198*O198</f>
        <v>208862.281834499</v>
      </c>
      <c r="Q198" s="1565" t="n">
        <f aca="false">$H198</f>
        <v>2.86274365739339</v>
      </c>
      <c r="R198" s="1566" t="n">
        <f aca="false">P198/Q198</f>
        <v>72958.7790003782</v>
      </c>
      <c r="S198" s="1567" t="str">
        <f aca="false">IF(MONTH($A198)=12,SUM(R187:R198)," ")</f>
        <v> </v>
      </c>
    </row>
    <row r="199" customFormat="false" ht="12.75" hidden="false" customHeight="false" outlineLevel="0" collapsed="false">
      <c r="A199" s="1538" t="n">
        <f aca="false">'Plant Operations'!A199</f>
        <v>41944</v>
      </c>
      <c r="C199" s="1595" t="n">
        <f aca="false">IF($A199&gt;Endyr,0,VLOOKUP($A199,Tariff_Table,Tariff!$D$33))</f>
        <v>4167.65616933402</v>
      </c>
      <c r="D199" s="1565" t="n">
        <f aca="false">VLOOKUP($A199,Curves_Table,Escalation!$R$291)</f>
        <v>3.67674088850714</v>
      </c>
      <c r="E199" s="1606" t="n">
        <f aca="false">C199*D199</f>
        <v>15323.3918470294</v>
      </c>
      <c r="F199" s="1540" t="n">
        <f aca="false">'Plant Operations'!C199</f>
        <v>480</v>
      </c>
      <c r="G199" s="1606" t="n">
        <f aca="false">E199*F199/1000</f>
        <v>7355.22808657413</v>
      </c>
      <c r="H199" s="1576" t="n">
        <f aca="false">IF(Assm!$L$74=0,VLOOKUP($A199,Curves_Table,Escalation!$D$291),VLOOKUP($A199,Curves_Table,Escalation!$E$291))</f>
        <v>2.86747060674777</v>
      </c>
      <c r="I199" s="394" t="n">
        <f aca="false">G199/H199</f>
        <v>2565.05788385964</v>
      </c>
      <c r="J199" s="1579" t="str">
        <f aca="false">IF(MONTH($A199)=12,SUM(I188:I199)," ")</f>
        <v> </v>
      </c>
      <c r="L199" s="1607" t="n">
        <f aca="false">IF($A199&gt;Endyr,0,VLOOKUP($A199,Tariff_Table,Tariff!$J$33))</f>
        <v>0.19</v>
      </c>
      <c r="M199" s="1576" t="n">
        <f aca="false">D199</f>
        <v>3.67674088850714</v>
      </c>
      <c r="N199" s="1608" t="n">
        <f aca="false">L199*M199</f>
        <v>0.698580768816357</v>
      </c>
      <c r="O199" s="397" t="n">
        <f aca="false">'Plant Operations'!$I199+'Plant Operations'!$M199</f>
        <v>289336.32</v>
      </c>
      <c r="P199" s="1606" t="n">
        <f aca="false">N199*O199</f>
        <v>202124.788872096</v>
      </c>
      <c r="Q199" s="1565" t="n">
        <f aca="false">$H199</f>
        <v>2.86747060674777</v>
      </c>
      <c r="R199" s="1566" t="n">
        <f aca="false">P199/Q199</f>
        <v>70488.8790826497</v>
      </c>
      <c r="S199" s="1567" t="str">
        <f aca="false">IF(MONTH($A199)=12,SUM(R188:R199)," ")</f>
        <v> </v>
      </c>
    </row>
    <row r="200" customFormat="false" ht="12.75" hidden="false" customHeight="false" outlineLevel="0" collapsed="false">
      <c r="A200" s="1538" t="n">
        <f aca="false">'Plant Operations'!A200</f>
        <v>41974</v>
      </c>
      <c r="C200" s="1595" t="n">
        <f aca="false">IF($A200&gt;Endyr,0,VLOOKUP($A200,Tariff_Table,Tariff!$D$33))</f>
        <v>4167.65616933402</v>
      </c>
      <c r="D200" s="1565" t="n">
        <f aca="false">VLOOKUP($A200,Curves_Table,Escalation!$R$291)</f>
        <v>3.67674088850714</v>
      </c>
      <c r="E200" s="1606" t="n">
        <f aca="false">C200*D200</f>
        <v>15323.3918470294</v>
      </c>
      <c r="F200" s="1540" t="n">
        <f aca="false">'Plant Operations'!C200</f>
        <v>480</v>
      </c>
      <c r="G200" s="1606" t="n">
        <f aca="false">E200*F200/1000</f>
        <v>7355.22808657413</v>
      </c>
      <c r="H200" s="1576" t="n">
        <f aca="false">IF(Assm!$L$74=0,VLOOKUP($A200,Curves_Table,Escalation!$D$291),VLOOKUP($A200,Curves_Table,Escalation!$E$291))</f>
        <v>2.8722053612195</v>
      </c>
      <c r="I200" s="394" t="n">
        <f aca="false">G200/H200</f>
        <v>2560.82945386997</v>
      </c>
      <c r="J200" s="1579" t="n">
        <f aca="false">IF(MONTH($A200)=12,SUM(I189:I200)," ")</f>
        <v>35842.8399891184</v>
      </c>
      <c r="L200" s="1607" t="n">
        <f aca="false">IF($A200&gt;Endyr,0,VLOOKUP($A200,Tariff_Table,Tariff!$J$33))</f>
        <v>0.19</v>
      </c>
      <c r="M200" s="1576" t="n">
        <f aca="false">D200</f>
        <v>3.67674088850714</v>
      </c>
      <c r="N200" s="1608" t="n">
        <f aca="false">L200*M200</f>
        <v>0.698580768816357</v>
      </c>
      <c r="O200" s="397" t="n">
        <f aca="false">'Plant Operations'!$I200+'Plant Operations'!$M200</f>
        <v>298980.864</v>
      </c>
      <c r="P200" s="1606" t="n">
        <f aca="false">N200*O200</f>
        <v>208862.281834499</v>
      </c>
      <c r="Q200" s="1565" t="n">
        <f aca="false">$H200</f>
        <v>2.8722053612195</v>
      </c>
      <c r="R200" s="1566" t="n">
        <f aca="false">P200/Q200</f>
        <v>72718.4360333548</v>
      </c>
      <c r="S200" s="1567" t="n">
        <f aca="false">IF(MONTH($A200)=12,SUM(R189:R200)," ")</f>
        <v>845276.19801994</v>
      </c>
    </row>
    <row r="201" customFormat="false" ht="12.75" hidden="false" customHeight="false" outlineLevel="0" collapsed="false">
      <c r="A201" s="1538" t="n">
        <f aca="false">'Plant Operations'!A201</f>
        <v>42005</v>
      </c>
      <c r="C201" s="1595" t="n">
        <f aca="false">IF($A201&gt;Endyr,0,VLOOKUP($A201,Tariff_Table,Tariff!$D$33))</f>
        <v>4167.65616933402</v>
      </c>
      <c r="D201" s="1565" t="n">
        <f aca="false">VLOOKUP($A201,Curves_Table,Escalation!$R$291)</f>
        <v>3.67674088850714</v>
      </c>
      <c r="E201" s="1606" t="n">
        <f aca="false">C201*D201</f>
        <v>15323.3918470294</v>
      </c>
      <c r="F201" s="1540" t="n">
        <f aca="false">'Plant Operations'!C201</f>
        <v>480</v>
      </c>
      <c r="G201" s="1606" t="n">
        <f aca="false">E201*F201/1000</f>
        <v>7355.22808657413</v>
      </c>
      <c r="H201" s="1576" t="n">
        <f aca="false">IF(Assm!$L$74=0,VLOOKUP($A201,Curves_Table,Escalation!$D$291),VLOOKUP($A201,Curves_Table,Escalation!$E$291))</f>
        <v>2.87694237018618</v>
      </c>
      <c r="I201" s="394" t="n">
        <f aca="false">G201/H201</f>
        <v>2556.61293837392</v>
      </c>
      <c r="J201" s="1579" t="str">
        <f aca="false">IF(MONTH($A201)=12,SUM(I190:I201)," ")</f>
        <v> </v>
      </c>
      <c r="L201" s="1607" t="n">
        <f aca="false">IF($A201&gt;Endyr,0,VLOOKUP($A201,Tariff_Table,Tariff!$J$33))</f>
        <v>0.19</v>
      </c>
      <c r="M201" s="1576" t="n">
        <f aca="false">D201</f>
        <v>3.67674088850714</v>
      </c>
      <c r="N201" s="1608" t="n">
        <f aca="false">L201*M201</f>
        <v>0.698580768816357</v>
      </c>
      <c r="O201" s="397" t="n">
        <f aca="false">'Plant Operations'!$I201+'Plant Operations'!$M201</f>
        <v>298980.864</v>
      </c>
      <c r="P201" s="1606" t="n">
        <f aca="false">N201*O201</f>
        <v>208862.281834499</v>
      </c>
      <c r="Q201" s="1565" t="n">
        <f aca="false">$H201</f>
        <v>2.87694237018618</v>
      </c>
      <c r="R201" s="1566" t="n">
        <f aca="false">P201/Q201</f>
        <v>72598.7020104897</v>
      </c>
      <c r="S201" s="1567" t="str">
        <f aca="false">IF(MONTH($A201)=12,SUM(R190:R201)," ")</f>
        <v> </v>
      </c>
    </row>
    <row r="202" customFormat="false" ht="12.75" hidden="false" customHeight="false" outlineLevel="0" collapsed="false">
      <c r="A202" s="1538" t="n">
        <f aca="false">'Plant Operations'!A202</f>
        <v>42036</v>
      </c>
      <c r="C202" s="1595" t="n">
        <f aca="false">IF($A202&gt;Endyr,0,VLOOKUP($A202,Tariff_Table,Tariff!$D$33))</f>
        <v>4167.65616933402</v>
      </c>
      <c r="D202" s="1565" t="n">
        <f aca="false">VLOOKUP($A202,Curves_Table,Escalation!$R$291)</f>
        <v>3.67674088850714</v>
      </c>
      <c r="E202" s="1606" t="n">
        <f aca="false">C202*D202</f>
        <v>15323.3918470294</v>
      </c>
      <c r="F202" s="1540" t="n">
        <f aca="false">'Plant Operations'!C202</f>
        <v>480</v>
      </c>
      <c r="G202" s="1606" t="n">
        <f aca="false">E202*F202/1000</f>
        <v>7355.22808657413</v>
      </c>
      <c r="H202" s="1576" t="n">
        <f aca="false">IF(Assm!$L$74=0,VLOOKUP($A202,Curves_Table,Escalation!$D$291),VLOOKUP($A202,Curves_Table,Escalation!$E$291))</f>
        <v>2.88168719170494</v>
      </c>
      <c r="I202" s="394" t="n">
        <f aca="false">G202/H202</f>
        <v>2552.40336555143</v>
      </c>
      <c r="J202" s="1579" t="str">
        <f aca="false">IF(MONTH($A202)=12,SUM(I191:I202)," ")</f>
        <v> </v>
      </c>
      <c r="L202" s="1607" t="n">
        <f aca="false">IF($A202&gt;Endyr,0,VLOOKUP($A202,Tariff_Table,Tariff!$J$33))</f>
        <v>0.19</v>
      </c>
      <c r="M202" s="1576" t="n">
        <f aca="false">D202</f>
        <v>3.67674088850714</v>
      </c>
      <c r="N202" s="1608" t="n">
        <f aca="false">L202*M202</f>
        <v>0.698580768816357</v>
      </c>
      <c r="O202" s="397" t="n">
        <f aca="false">'Plant Operations'!$I202+'Plant Operations'!$M202</f>
        <v>270047.232</v>
      </c>
      <c r="P202" s="1606" t="n">
        <f aca="false">N202*O202</f>
        <v>188649.802947289</v>
      </c>
      <c r="Q202" s="1565" t="n">
        <f aca="false">$H202</f>
        <v>2.88168719170494</v>
      </c>
      <c r="R202" s="1566" t="n">
        <f aca="false">P202/Q202</f>
        <v>65465.0523798438</v>
      </c>
      <c r="S202" s="1567" t="str">
        <f aca="false">IF(MONTH($A202)=12,SUM(R191:R202)," ")</f>
        <v> </v>
      </c>
    </row>
    <row r="203" customFormat="false" ht="12.75" hidden="false" customHeight="false" outlineLevel="0" collapsed="false">
      <c r="A203" s="1538" t="n">
        <f aca="false">'Plant Operations'!A203</f>
        <v>42064</v>
      </c>
      <c r="C203" s="1595" t="n">
        <f aca="false">IF($A203&gt;Endyr,0,VLOOKUP($A203,Tariff_Table,Tariff!$D$33))</f>
        <v>4167.65616933402</v>
      </c>
      <c r="D203" s="1565" t="n">
        <f aca="false">VLOOKUP($A203,Curves_Table,Escalation!$R$291)</f>
        <v>3.67674088850714</v>
      </c>
      <c r="E203" s="1606" t="n">
        <f aca="false">C203*D203</f>
        <v>15323.3918470294</v>
      </c>
      <c r="F203" s="1540" t="n">
        <f aca="false">'Plant Operations'!C203</f>
        <v>480</v>
      </c>
      <c r="G203" s="1606" t="n">
        <f aca="false">E203*F203/1000</f>
        <v>7355.22808657413</v>
      </c>
      <c r="H203" s="1576" t="n">
        <f aca="false">IF(Assm!$L$74=0,VLOOKUP($A203,Curves_Table,Escalation!$D$291),VLOOKUP($A203,Curves_Table,Escalation!$E$291))</f>
        <v>2.8864398386607</v>
      </c>
      <c r="I203" s="394" t="n">
        <f aca="false">G203/H203</f>
        <v>2548.20072397107</v>
      </c>
      <c r="J203" s="1579" t="str">
        <f aca="false">IF(MONTH($A203)=12,SUM(I192:I203)," ")</f>
        <v> </v>
      </c>
      <c r="L203" s="1607" t="n">
        <f aca="false">IF($A203&gt;Endyr,0,VLOOKUP($A203,Tariff_Table,Tariff!$J$33))</f>
        <v>0.19</v>
      </c>
      <c r="M203" s="1576" t="n">
        <f aca="false">D203</f>
        <v>3.67674088850714</v>
      </c>
      <c r="N203" s="1608" t="n">
        <f aca="false">L203*M203</f>
        <v>0.698580768816357</v>
      </c>
      <c r="O203" s="397" t="n">
        <f aca="false">'Plant Operations'!$I203+'Plant Operations'!$M203</f>
        <v>298980.864</v>
      </c>
      <c r="P203" s="1606" t="n">
        <f aca="false">N203*O203</f>
        <v>208862.281834499</v>
      </c>
      <c r="Q203" s="1565" t="n">
        <f aca="false">$H203</f>
        <v>2.8864398386607</v>
      </c>
      <c r="R203" s="1566" t="n">
        <f aca="false">P203/Q203</f>
        <v>72359.8250817556</v>
      </c>
      <c r="S203" s="1567" t="str">
        <f aca="false">IF(MONTH($A203)=12,SUM(R192:R203)," ")</f>
        <v> </v>
      </c>
    </row>
    <row r="204" customFormat="false" ht="12.75" hidden="false" customHeight="false" outlineLevel="0" collapsed="false">
      <c r="A204" s="1538" t="n">
        <f aca="false">'Plant Operations'!A204</f>
        <v>42095</v>
      </c>
      <c r="C204" s="1595" t="n">
        <f aca="false">IF($A204&gt;Endyr,0,VLOOKUP($A204,Tariff_Table,Tariff!$D$33))</f>
        <v>4167.65616933402</v>
      </c>
      <c r="D204" s="1565" t="n">
        <f aca="false">VLOOKUP($A204,Curves_Table,Escalation!$R$291)</f>
        <v>3.67674088850714</v>
      </c>
      <c r="E204" s="1606" t="n">
        <f aca="false">C204*D204</f>
        <v>15323.3918470294</v>
      </c>
      <c r="F204" s="1540" t="n">
        <f aca="false">'Plant Operations'!C204</f>
        <v>480</v>
      </c>
      <c r="G204" s="1606" t="n">
        <f aca="false">E204*F204/1000</f>
        <v>7355.22808657413</v>
      </c>
      <c r="H204" s="1576" t="n">
        <f aca="false">IF(Assm!$L$74=0,VLOOKUP($A204,Curves_Table,Escalation!$D$291),VLOOKUP($A204,Curves_Table,Escalation!$E$291))</f>
        <v>2.89120032395961</v>
      </c>
      <c r="I204" s="394" t="n">
        <f aca="false">G204/H204</f>
        <v>2544.00500222028</v>
      </c>
      <c r="J204" s="1579" t="str">
        <f aca="false">IF(MONTH($A204)=12,SUM(I193:I204)," ")</f>
        <v> </v>
      </c>
      <c r="L204" s="1607" t="n">
        <f aca="false">IF($A204&gt;Endyr,0,VLOOKUP($A204,Tariff_Table,Tariff!$J$33))</f>
        <v>0.19</v>
      </c>
      <c r="M204" s="1576" t="n">
        <f aca="false">D204</f>
        <v>3.67674088850714</v>
      </c>
      <c r="N204" s="1608" t="n">
        <f aca="false">L204*M204</f>
        <v>0.698580768816357</v>
      </c>
      <c r="O204" s="397" t="n">
        <f aca="false">'Plant Operations'!$I204+'Plant Operations'!$M204</f>
        <v>289336.32</v>
      </c>
      <c r="P204" s="1606" t="n">
        <f aca="false">N204*O204</f>
        <v>202124.788872096</v>
      </c>
      <c r="Q204" s="1565" t="n">
        <f aca="false">$H204</f>
        <v>2.89120032395961</v>
      </c>
      <c r="R204" s="1566" t="n">
        <f aca="false">P204/Q204</f>
        <v>69910.3369618049</v>
      </c>
      <c r="S204" s="1567" t="str">
        <f aca="false">IF(MONTH($A204)=12,SUM(R193:R204)," ")</f>
        <v> </v>
      </c>
    </row>
    <row r="205" customFormat="false" ht="12.75" hidden="false" customHeight="false" outlineLevel="0" collapsed="false">
      <c r="A205" s="1538" t="n">
        <f aca="false">'Plant Operations'!A205</f>
        <v>42125</v>
      </c>
      <c r="C205" s="1595" t="n">
        <f aca="false">IF($A205&gt;Endyr,0,VLOOKUP($A205,Tariff_Table,Tariff!$D$33))</f>
        <v>2290.32496307238</v>
      </c>
      <c r="D205" s="1565" t="n">
        <f aca="false">VLOOKUP($A205,Curves_Table,Escalation!$R$291)</f>
        <v>3.9328867884074</v>
      </c>
      <c r="E205" s="1606" t="n">
        <f aca="false">C205*D205</f>
        <v>9007.58878842702</v>
      </c>
      <c r="F205" s="1540" t="n">
        <f aca="false">'Plant Operations'!C205</f>
        <v>480</v>
      </c>
      <c r="G205" s="1606" t="n">
        <f aca="false">E205*F205/1000</f>
        <v>4323.64261844497</v>
      </c>
      <c r="H205" s="1576" t="n">
        <f aca="false">IF(Assm!$L$74=0,VLOOKUP($A205,Curves_Table,Escalation!$D$291),VLOOKUP($A205,Curves_Table,Escalation!$E$291))</f>
        <v>2.89596866052913</v>
      </c>
      <c r="I205" s="394" t="n">
        <f aca="false">G205/H205</f>
        <v>1492.98667398389</v>
      </c>
      <c r="J205" s="1579" t="str">
        <f aca="false">IF(MONTH($A205)=12,SUM(I194:I205)," ")</f>
        <v> </v>
      </c>
      <c r="L205" s="1607" t="n">
        <f aca="false">IF($A205&gt;Endyr,0,VLOOKUP($A205,Tariff_Table,Tariff!$J$33))</f>
        <v>0.19</v>
      </c>
      <c r="M205" s="1576" t="n">
        <f aca="false">D205</f>
        <v>3.9328867884074</v>
      </c>
      <c r="N205" s="1608" t="n">
        <f aca="false">L205*M205</f>
        <v>0.747248489797406</v>
      </c>
      <c r="O205" s="397" t="n">
        <f aca="false">'Plant Operations'!$I205+'Plant Operations'!$M205</f>
        <v>298980.864</v>
      </c>
      <c r="P205" s="1606" t="n">
        <f aca="false">N205*O205</f>
        <v>223412.999102324</v>
      </c>
      <c r="Q205" s="1565" t="n">
        <f aca="false">$H205</f>
        <v>2.89596866052913</v>
      </c>
      <c r="R205" s="1566" t="n">
        <f aca="false">P205/Q205</f>
        <v>77146.2074667283</v>
      </c>
      <c r="S205" s="1567" t="str">
        <f aca="false">IF(MONTH($A205)=12,SUM(R194:R205)," ")</f>
        <v> </v>
      </c>
    </row>
    <row r="206" customFormat="false" ht="12.75" hidden="false" customHeight="false" outlineLevel="0" collapsed="false">
      <c r="A206" s="1538" t="n">
        <f aca="false">'Plant Operations'!A206</f>
        <v>42156</v>
      </c>
      <c r="C206" s="1595" t="n">
        <f aca="false">IF($A206&gt;Endyr,0,VLOOKUP($A206,Tariff_Table,Tariff!$D$33))</f>
        <v>2290.32496307238</v>
      </c>
      <c r="D206" s="1565" t="n">
        <f aca="false">VLOOKUP($A206,Curves_Table,Escalation!$R$291)</f>
        <v>3.9328867884074</v>
      </c>
      <c r="E206" s="1606" t="n">
        <f aca="false">C206*D206</f>
        <v>9007.58878842702</v>
      </c>
      <c r="F206" s="1540" t="n">
        <f aca="false">'Plant Operations'!C206</f>
        <v>480</v>
      </c>
      <c r="G206" s="1606" t="n">
        <f aca="false">E206*F206/1000</f>
        <v>4323.64261844497</v>
      </c>
      <c r="H206" s="1576" t="n">
        <f aca="false">IF(Assm!$L$74=0,VLOOKUP($A206,Curves_Table,Escalation!$D$291),VLOOKUP($A206,Curves_Table,Escalation!$E$291))</f>
        <v>2.90074486131804</v>
      </c>
      <c r="I206" s="394" t="n">
        <f aca="false">G206/H206</f>
        <v>1490.52840741064</v>
      </c>
      <c r="J206" s="1579" t="str">
        <f aca="false">IF(MONTH($A206)=12,SUM(I195:I206)," ")</f>
        <v> </v>
      </c>
      <c r="L206" s="1607" t="n">
        <f aca="false">IF($A206&gt;Endyr,0,VLOOKUP($A206,Tariff_Table,Tariff!$J$33))</f>
        <v>0.19</v>
      </c>
      <c r="M206" s="1576" t="n">
        <f aca="false">D206</f>
        <v>3.9328867884074</v>
      </c>
      <c r="N206" s="1608" t="n">
        <f aca="false">L206*M206</f>
        <v>0.747248489797406</v>
      </c>
      <c r="O206" s="397" t="n">
        <f aca="false">'Plant Operations'!$I206+'Plant Operations'!$M206</f>
        <v>289336.32</v>
      </c>
      <c r="P206" s="1606" t="n">
        <f aca="false">N206*O206</f>
        <v>216206.128163539</v>
      </c>
      <c r="Q206" s="1565" t="n">
        <f aca="false">$H206</f>
        <v>2.90074486131804</v>
      </c>
      <c r="R206" s="1566" t="n">
        <f aca="false">P206/Q206</f>
        <v>74534.6931564671</v>
      </c>
      <c r="S206" s="1567" t="str">
        <f aca="false">IF(MONTH($A206)=12,SUM(R195:R206)," ")</f>
        <v> </v>
      </c>
    </row>
    <row r="207" customFormat="false" ht="12.75" hidden="false" customHeight="false" outlineLevel="0" collapsed="false">
      <c r="A207" s="1538" t="n">
        <f aca="false">'Plant Operations'!A207</f>
        <v>42186</v>
      </c>
      <c r="C207" s="1595" t="n">
        <f aca="false">IF($A207&gt;Endyr,0,VLOOKUP($A207,Tariff_Table,Tariff!$D$33))</f>
        <v>2290.32496307238</v>
      </c>
      <c r="D207" s="1565" t="n">
        <f aca="false">VLOOKUP($A207,Curves_Table,Escalation!$R$291)</f>
        <v>3.9328867884074</v>
      </c>
      <c r="E207" s="1606" t="n">
        <f aca="false">C207*D207</f>
        <v>9007.58878842702</v>
      </c>
      <c r="F207" s="1540" t="n">
        <f aca="false">'Plant Operations'!C207</f>
        <v>480</v>
      </c>
      <c r="G207" s="1606" t="n">
        <f aca="false">E207*F207/1000</f>
        <v>4323.64261844497</v>
      </c>
      <c r="H207" s="1576" t="n">
        <f aca="false">IF(Assm!$L$74=0,VLOOKUP($A207,Curves_Table,Escalation!$D$291),VLOOKUP($A207,Curves_Table,Escalation!$E$291))</f>
        <v>2.90552893929647</v>
      </c>
      <c r="I207" s="394" t="n">
        <f aca="false">G207/H207</f>
        <v>1488.0741884787</v>
      </c>
      <c r="J207" s="1579" t="str">
        <f aca="false">IF(MONTH($A207)=12,SUM(I196:I207)," ")</f>
        <v> </v>
      </c>
      <c r="L207" s="1607" t="n">
        <f aca="false">IF($A207&gt;Endyr,0,VLOOKUP($A207,Tariff_Table,Tariff!$J$33))</f>
        <v>0.19</v>
      </c>
      <c r="M207" s="1576" t="n">
        <f aca="false">D207</f>
        <v>3.9328867884074</v>
      </c>
      <c r="N207" s="1608" t="n">
        <f aca="false">L207*M207</f>
        <v>0.747248489797406</v>
      </c>
      <c r="O207" s="397" t="n">
        <f aca="false">'Plant Operations'!$I207+'Plant Operations'!$M207</f>
        <v>298980.864</v>
      </c>
      <c r="P207" s="1606" t="n">
        <f aca="false">N207*O207</f>
        <v>223412.999102324</v>
      </c>
      <c r="Q207" s="1565" t="n">
        <f aca="false">$H207</f>
        <v>2.90552893929647</v>
      </c>
      <c r="R207" s="1566" t="n">
        <f aca="false">P207/Q207</f>
        <v>76892.3675413192</v>
      </c>
      <c r="S207" s="1567" t="str">
        <f aca="false">IF(MONTH($A207)=12,SUM(R196:R207)," ")</f>
        <v> </v>
      </c>
    </row>
    <row r="208" customFormat="false" ht="12.75" hidden="false" customHeight="false" outlineLevel="0" collapsed="false">
      <c r="A208" s="1538" t="n">
        <f aca="false">'Plant Operations'!A208</f>
        <v>42217</v>
      </c>
      <c r="C208" s="1595" t="n">
        <f aca="false">IF($A208&gt;Endyr,0,VLOOKUP($A208,Tariff_Table,Tariff!$D$33))</f>
        <v>2290.32496307238</v>
      </c>
      <c r="D208" s="1565" t="n">
        <f aca="false">VLOOKUP($A208,Curves_Table,Escalation!$R$291)</f>
        <v>3.9328867884074</v>
      </c>
      <c r="E208" s="1606" t="n">
        <f aca="false">C208*D208</f>
        <v>9007.58878842702</v>
      </c>
      <c r="F208" s="1540" t="n">
        <f aca="false">'Plant Operations'!C208</f>
        <v>480</v>
      </c>
      <c r="G208" s="1606" t="n">
        <f aca="false">E208*F208/1000</f>
        <v>4323.64261844497</v>
      </c>
      <c r="H208" s="1576" t="n">
        <f aca="false">IF(Assm!$L$74=0,VLOOKUP($A208,Curves_Table,Escalation!$D$291),VLOOKUP($A208,Curves_Table,Escalation!$E$291))</f>
        <v>2.91032090745594</v>
      </c>
      <c r="I208" s="394" t="n">
        <f aca="false">G208/H208</f>
        <v>1485.62401052346</v>
      </c>
      <c r="J208" s="1579" t="str">
        <f aca="false">IF(MONTH($A208)=12,SUM(I197:I208)," ")</f>
        <v> </v>
      </c>
      <c r="L208" s="1607" t="n">
        <f aca="false">IF($A208&gt;Endyr,0,VLOOKUP($A208,Tariff_Table,Tariff!$J$33))</f>
        <v>0.19</v>
      </c>
      <c r="M208" s="1576" t="n">
        <f aca="false">D208</f>
        <v>3.9328867884074</v>
      </c>
      <c r="N208" s="1608" t="n">
        <f aca="false">L208*M208</f>
        <v>0.747248489797406</v>
      </c>
      <c r="O208" s="397" t="n">
        <f aca="false">'Plant Operations'!$I208+'Plant Operations'!$M208</f>
        <v>298980.864</v>
      </c>
      <c r="P208" s="1606" t="n">
        <f aca="false">N208*O208</f>
        <v>223412.999102324</v>
      </c>
      <c r="Q208" s="1565" t="n">
        <f aca="false">$H208</f>
        <v>2.91032090745594</v>
      </c>
      <c r="R208" s="1566" t="n">
        <f aca="false">P208/Q208</f>
        <v>76765.7609612612</v>
      </c>
      <c r="S208" s="1567" t="str">
        <f aca="false">IF(MONTH($A208)=12,SUM(R197:R208)," ")</f>
        <v> </v>
      </c>
    </row>
    <row r="209" customFormat="false" ht="12.75" hidden="false" customHeight="false" outlineLevel="0" collapsed="false">
      <c r="A209" s="1538" t="n">
        <f aca="false">'Plant Operations'!A209</f>
        <v>42248</v>
      </c>
      <c r="C209" s="1595" t="n">
        <f aca="false">IF($A209&gt;Endyr,0,VLOOKUP($A209,Tariff_Table,Tariff!$D$33))</f>
        <v>2290.32496307238</v>
      </c>
      <c r="D209" s="1565" t="n">
        <f aca="false">VLOOKUP($A209,Curves_Table,Escalation!$R$291)</f>
        <v>3.9328867884074</v>
      </c>
      <c r="E209" s="1606" t="n">
        <f aca="false">C209*D209</f>
        <v>9007.58878842702</v>
      </c>
      <c r="F209" s="1540" t="n">
        <f aca="false">'Plant Operations'!C209</f>
        <v>480</v>
      </c>
      <c r="G209" s="1606" t="n">
        <f aca="false">E209*F209/1000</f>
        <v>4323.64261844497</v>
      </c>
      <c r="H209" s="1576" t="n">
        <f aca="false">IF(Assm!$L$74=0,VLOOKUP($A209,Curves_Table,Escalation!$D$291),VLOOKUP($A209,Curves_Table,Escalation!$E$291))</f>
        <v>2.91512077880939</v>
      </c>
      <c r="I209" s="394" t="n">
        <f aca="false">G209/H209</f>
        <v>1483.17786689128</v>
      </c>
      <c r="J209" s="1579" t="str">
        <f aca="false">IF(MONTH($A209)=12,SUM(I198:I209)," ")</f>
        <v> </v>
      </c>
      <c r="L209" s="1607" t="n">
        <f aca="false">IF($A209&gt;Endyr,0,VLOOKUP($A209,Tariff_Table,Tariff!$J$33))</f>
        <v>0.19</v>
      </c>
      <c r="M209" s="1576" t="n">
        <f aca="false">D209</f>
        <v>3.9328867884074</v>
      </c>
      <c r="N209" s="1608" t="n">
        <f aca="false">L209*M209</f>
        <v>0.747248489797406</v>
      </c>
      <c r="O209" s="397" t="n">
        <f aca="false">'Plant Operations'!$I209+'Plant Operations'!$M209</f>
        <v>289336.32</v>
      </c>
      <c r="P209" s="1606" t="n">
        <f aca="false">N209*O209</f>
        <v>216206.128163539</v>
      </c>
      <c r="Q209" s="1565" t="n">
        <f aca="false">$H209</f>
        <v>2.91512077880939</v>
      </c>
      <c r="R209" s="1566" t="n">
        <f aca="false">P209/Q209</f>
        <v>74167.1253332573</v>
      </c>
      <c r="S209" s="1567" t="str">
        <f aca="false">IF(MONTH($A209)=12,SUM(R198:R209)," ")</f>
        <v> </v>
      </c>
    </row>
    <row r="210" customFormat="false" ht="12.75" hidden="false" customHeight="false" outlineLevel="0" collapsed="false">
      <c r="A210" s="1538" t="n">
        <f aca="false">'Plant Operations'!A210</f>
        <v>42278</v>
      </c>
      <c r="C210" s="1595" t="n">
        <f aca="false">IF($A210&gt;Endyr,0,VLOOKUP($A210,Tariff_Table,Tariff!$D$33))</f>
        <v>2290.32496307238</v>
      </c>
      <c r="D210" s="1565" t="n">
        <f aca="false">VLOOKUP($A210,Curves_Table,Escalation!$R$291)</f>
        <v>3.9328867884074</v>
      </c>
      <c r="E210" s="1606" t="n">
        <f aca="false">C210*D210</f>
        <v>9007.58878842702</v>
      </c>
      <c r="F210" s="1540" t="n">
        <f aca="false">'Plant Operations'!C210</f>
        <v>480</v>
      </c>
      <c r="G210" s="1606" t="n">
        <f aca="false">E210*F210/1000</f>
        <v>4323.64261844497</v>
      </c>
      <c r="H210" s="1576" t="n">
        <f aca="false">IF(Assm!$L$74=0,VLOOKUP($A210,Curves_Table,Escalation!$D$291),VLOOKUP($A210,Curves_Table,Escalation!$E$291))</f>
        <v>2.91992856639125</v>
      </c>
      <c r="I210" s="394" t="n">
        <f aca="false">G210/H210</f>
        <v>1480.73575093948</v>
      </c>
      <c r="J210" s="1579" t="str">
        <f aca="false">IF(MONTH($A210)=12,SUM(I199:I210)," ")</f>
        <v> </v>
      </c>
      <c r="L210" s="1607" t="n">
        <f aca="false">IF($A210&gt;Endyr,0,VLOOKUP($A210,Tariff_Table,Tariff!$J$33))</f>
        <v>0.19</v>
      </c>
      <c r="M210" s="1576" t="n">
        <f aca="false">D210</f>
        <v>3.9328867884074</v>
      </c>
      <c r="N210" s="1608" t="n">
        <f aca="false">L210*M210</f>
        <v>0.747248489797406</v>
      </c>
      <c r="O210" s="397" t="n">
        <f aca="false">'Plant Operations'!$I210+'Plant Operations'!$M210</f>
        <v>298980.864</v>
      </c>
      <c r="P210" s="1606" t="n">
        <f aca="false">N210*O210</f>
        <v>223412.999102324</v>
      </c>
      <c r="Q210" s="1565" t="n">
        <f aca="false">$H210</f>
        <v>2.91992856639125</v>
      </c>
      <c r="R210" s="1566" t="n">
        <f aca="false">P210/Q210</f>
        <v>76513.1728473895</v>
      </c>
      <c r="S210" s="1567" t="str">
        <f aca="false">IF(MONTH($A210)=12,SUM(R199:R210)," ")</f>
        <v> </v>
      </c>
    </row>
    <row r="211" customFormat="false" ht="12.75" hidden="false" customHeight="false" outlineLevel="0" collapsed="false">
      <c r="A211" s="1538" t="n">
        <f aca="false">'Plant Operations'!A211</f>
        <v>42309</v>
      </c>
      <c r="C211" s="1595" t="n">
        <f aca="false">IF($A211&gt;Endyr,0,VLOOKUP($A211,Tariff_Table,Tariff!$D$33))</f>
        <v>2290.32496307238</v>
      </c>
      <c r="D211" s="1565" t="n">
        <f aca="false">VLOOKUP($A211,Curves_Table,Escalation!$R$291)</f>
        <v>3.9328867884074</v>
      </c>
      <c r="E211" s="1606" t="n">
        <f aca="false">C211*D211</f>
        <v>9007.58878842702</v>
      </c>
      <c r="F211" s="1540" t="n">
        <f aca="false">'Plant Operations'!C211</f>
        <v>480</v>
      </c>
      <c r="G211" s="1606" t="n">
        <f aca="false">E211*F211/1000</f>
        <v>4323.64261844497</v>
      </c>
      <c r="H211" s="1576" t="n">
        <f aca="false">IF(Assm!$L$74=0,VLOOKUP($A211,Curves_Table,Escalation!$D$291),VLOOKUP($A211,Curves_Table,Escalation!$E$291))</f>
        <v>2.9247442832574</v>
      </c>
      <c r="I211" s="394" t="n">
        <f aca="false">G211/H211</f>
        <v>1478.2976560363</v>
      </c>
      <c r="J211" s="1579" t="str">
        <f aca="false">IF(MONTH($A211)=12,SUM(I200:I211)," ")</f>
        <v> </v>
      </c>
      <c r="L211" s="1607" t="n">
        <f aca="false">IF($A211&gt;Endyr,0,VLOOKUP($A211,Tariff_Table,Tariff!$J$33))</f>
        <v>0.19</v>
      </c>
      <c r="M211" s="1576" t="n">
        <f aca="false">D211</f>
        <v>3.9328867884074</v>
      </c>
      <c r="N211" s="1608" t="n">
        <f aca="false">L211*M211</f>
        <v>0.747248489797406</v>
      </c>
      <c r="O211" s="397" t="n">
        <f aca="false">'Plant Operations'!$I211+'Plant Operations'!$M211</f>
        <v>289336.32</v>
      </c>
      <c r="P211" s="1606" t="n">
        <f aca="false">N211*O211</f>
        <v>216206.128163539</v>
      </c>
      <c r="Q211" s="1565" t="n">
        <f aca="false">$H211</f>
        <v>2.9247442832574</v>
      </c>
      <c r="R211" s="1566" t="n">
        <f aca="false">P211/Q211</f>
        <v>73923.0877041811</v>
      </c>
      <c r="S211" s="1567" t="str">
        <f aca="false">IF(MONTH($A211)=12,SUM(R200:R211)," ")</f>
        <v> </v>
      </c>
    </row>
    <row r="212" customFormat="false" ht="12.75" hidden="false" customHeight="false" outlineLevel="0" collapsed="false">
      <c r="A212" s="1538" t="n">
        <f aca="false">'Plant Operations'!A212</f>
        <v>42339</v>
      </c>
      <c r="C212" s="1595" t="n">
        <f aca="false">IF($A212&gt;Endyr,0,VLOOKUP($A212,Tariff_Table,Tariff!$D$33))</f>
        <v>2290.32496307238</v>
      </c>
      <c r="D212" s="1565" t="n">
        <f aca="false">VLOOKUP($A212,Curves_Table,Escalation!$R$291)</f>
        <v>3.9328867884074</v>
      </c>
      <c r="E212" s="1606" t="n">
        <f aca="false">C212*D212</f>
        <v>9007.58878842702</v>
      </c>
      <c r="F212" s="1540" t="n">
        <f aca="false">'Plant Operations'!C212</f>
        <v>480</v>
      </c>
      <c r="G212" s="1606" t="n">
        <f aca="false">E212*F212/1000</f>
        <v>4323.64261844497</v>
      </c>
      <c r="H212" s="1576" t="n">
        <f aca="false">IF(Assm!$L$74=0,VLOOKUP($A212,Curves_Table,Escalation!$D$291),VLOOKUP($A212,Curves_Table,Escalation!$E$291))</f>
        <v>2.9295679424853</v>
      </c>
      <c r="I212" s="394" t="n">
        <f aca="false">G212/H212</f>
        <v>1475.86357556091</v>
      </c>
      <c r="J212" s="1579" t="n">
        <f aca="false">IF(MONTH($A212)=12,SUM(I201:I212)," ")</f>
        <v>22076.5101599414</v>
      </c>
      <c r="L212" s="1607" t="n">
        <f aca="false">IF($A212&gt;Endyr,0,VLOOKUP($A212,Tariff_Table,Tariff!$J$33))</f>
        <v>0.19</v>
      </c>
      <c r="M212" s="1576" t="n">
        <f aca="false">D212</f>
        <v>3.9328867884074</v>
      </c>
      <c r="N212" s="1608" t="n">
        <f aca="false">L212*M212</f>
        <v>0.747248489797406</v>
      </c>
      <c r="O212" s="397" t="n">
        <f aca="false">'Plant Operations'!$I212+'Plant Operations'!$M212</f>
        <v>298980.864</v>
      </c>
      <c r="P212" s="1606" t="n">
        <f aca="false">N212*O212</f>
        <v>223412.999102324</v>
      </c>
      <c r="Q212" s="1565" t="n">
        <f aca="false">$H212</f>
        <v>2.9295679424853</v>
      </c>
      <c r="R212" s="1566" t="n">
        <f aca="false">P212/Q212</f>
        <v>76261.4158430445</v>
      </c>
      <c r="S212" s="1567" t="n">
        <f aca="false">IF(MONTH($A212)=12,SUM(R201:R212)," ")</f>
        <v>886537.747287542</v>
      </c>
    </row>
    <row r="213" customFormat="false" ht="12.75" hidden="false" customHeight="false" outlineLevel="0" collapsed="false">
      <c r="A213" s="1538" t="n">
        <f aca="false">'Plant Operations'!A213</f>
        <v>42370</v>
      </c>
      <c r="C213" s="1595" t="n">
        <f aca="false">IF($A213&gt;Endyr,0,VLOOKUP($A213,Tariff_Table,Tariff!$D$33))</f>
        <v>2290.32496307238</v>
      </c>
      <c r="D213" s="1565" t="n">
        <f aca="false">VLOOKUP($A213,Curves_Table,Escalation!$R$291)</f>
        <v>3.9328867884074</v>
      </c>
      <c r="E213" s="1606" t="n">
        <f aca="false">C213*D213</f>
        <v>9007.58878842702</v>
      </c>
      <c r="F213" s="1540" t="n">
        <f aca="false">'Plant Operations'!C213</f>
        <v>480</v>
      </c>
      <c r="G213" s="1606" t="n">
        <f aca="false">E213*F213/1000</f>
        <v>4323.64261844497</v>
      </c>
      <c r="H213" s="1576" t="n">
        <f aca="false">IF(Assm!$L$74=0,VLOOKUP($A213,Curves_Table,Escalation!$D$291),VLOOKUP($A213,Curves_Table,Escalation!$E$291))</f>
        <v>2.9344084151188</v>
      </c>
      <c r="I213" s="394" t="n">
        <f aca="false">G213/H213</f>
        <v>1473.42905512692</v>
      </c>
      <c r="J213" s="1579" t="str">
        <f aca="false">IF(MONTH($A213)=12,SUM(I202:I213)," ")</f>
        <v> </v>
      </c>
      <c r="L213" s="1607" t="n">
        <f aca="false">IF($A213&gt;Endyr,0,VLOOKUP($A213,Tariff_Table,Tariff!$J$33))</f>
        <v>0.19</v>
      </c>
      <c r="M213" s="1576" t="n">
        <f aca="false">D213</f>
        <v>3.9328867884074</v>
      </c>
      <c r="N213" s="1608" t="n">
        <f aca="false">L213*M213</f>
        <v>0.747248489797406</v>
      </c>
      <c r="O213" s="397" t="n">
        <f aca="false">'Plant Operations'!$I213+'Plant Operations'!$M213</f>
        <v>298980.864</v>
      </c>
      <c r="P213" s="1606" t="n">
        <f aca="false">N213*O213</f>
        <v>223412.999102324</v>
      </c>
      <c r="Q213" s="1565" t="n">
        <f aca="false">$H213</f>
        <v>2.9344084151188</v>
      </c>
      <c r="R213" s="1566" t="n">
        <f aca="false">P213/Q213</f>
        <v>76135.6183247172</v>
      </c>
      <c r="S213" s="1567" t="str">
        <f aca="false">IF(MONTH($A213)=12,SUM(R202:R213)," ")</f>
        <v> </v>
      </c>
    </row>
    <row r="214" customFormat="false" ht="12.75" hidden="false" customHeight="false" outlineLevel="0" collapsed="false">
      <c r="A214" s="1538" t="n">
        <f aca="false">'Plant Operations'!A214</f>
        <v>42401</v>
      </c>
      <c r="C214" s="1595" t="n">
        <f aca="false">IF($A214&gt;Endyr,0,VLOOKUP($A214,Tariff_Table,Tariff!$D$33))</f>
        <v>2290.32496307238</v>
      </c>
      <c r="D214" s="1565" t="n">
        <f aca="false">VLOOKUP($A214,Curves_Table,Escalation!$R$291)</f>
        <v>3.9328867884074</v>
      </c>
      <c r="E214" s="1606" t="n">
        <f aca="false">C214*D214</f>
        <v>9007.58878842702</v>
      </c>
      <c r="F214" s="1540" t="n">
        <f aca="false">'Plant Operations'!C214</f>
        <v>480</v>
      </c>
      <c r="G214" s="1606" t="n">
        <f aca="false">E214*F214/1000</f>
        <v>4323.64261844497</v>
      </c>
      <c r="H214" s="1576" t="n">
        <f aca="false">IF(Assm!$L$74=0,VLOOKUP($A214,Curves_Table,Escalation!$D$291),VLOOKUP($A214,Curves_Table,Escalation!$E$291))</f>
        <v>2.93925688557853</v>
      </c>
      <c r="I214" s="394" t="n">
        <f aca="false">G214/H214</f>
        <v>1470.99855057206</v>
      </c>
      <c r="J214" s="1579" t="str">
        <f aca="false">IF(MONTH($A214)=12,SUM(I203:I214)," ")</f>
        <v> </v>
      </c>
      <c r="L214" s="1607" t="n">
        <f aca="false">IF($A214&gt;Endyr,0,VLOOKUP($A214,Tariff_Table,Tariff!$J$33))</f>
        <v>0.19</v>
      </c>
      <c r="M214" s="1576" t="n">
        <f aca="false">D214</f>
        <v>3.9328867884074</v>
      </c>
      <c r="N214" s="1608" t="n">
        <f aca="false">L214*M214</f>
        <v>0.747248489797406</v>
      </c>
      <c r="O214" s="397" t="n">
        <f aca="false">'Plant Operations'!$I214+'Plant Operations'!$M214</f>
        <v>279691.776</v>
      </c>
      <c r="P214" s="1606" t="n">
        <f aca="false">N214*O214</f>
        <v>208999.257224754</v>
      </c>
      <c r="Q214" s="1565" t="n">
        <f aca="false">$H214</f>
        <v>2.93925688557853</v>
      </c>
      <c r="R214" s="1566" t="n">
        <f aca="false">P214/Q214</f>
        <v>71106.1555218972</v>
      </c>
      <c r="S214" s="1567" t="str">
        <f aca="false">IF(MONTH($A214)=12,SUM(R203:R214)," ")</f>
        <v> </v>
      </c>
    </row>
    <row r="215" customFormat="false" ht="12.75" hidden="false" customHeight="false" outlineLevel="0" collapsed="false">
      <c r="A215" s="1538" t="n">
        <f aca="false">'Plant Operations'!A215</f>
        <v>42430</v>
      </c>
      <c r="C215" s="1595" t="n">
        <f aca="false">IF($A215&gt;Endyr,0,VLOOKUP($A215,Tariff_Table,Tariff!$D$33))</f>
        <v>2290.32496307238</v>
      </c>
      <c r="D215" s="1565" t="n">
        <f aca="false">VLOOKUP($A215,Curves_Table,Escalation!$R$291)</f>
        <v>3.9328867884074</v>
      </c>
      <c r="E215" s="1606" t="n">
        <f aca="false">C215*D215</f>
        <v>9007.58878842702</v>
      </c>
      <c r="F215" s="1540" t="n">
        <f aca="false">'Plant Operations'!C215</f>
        <v>480</v>
      </c>
      <c r="G215" s="1606" t="n">
        <f aca="false">E215*F215/1000</f>
        <v>4323.64261844497</v>
      </c>
      <c r="H215" s="1576" t="n">
        <f aca="false">IF(Assm!$L$74=0,VLOOKUP($A215,Curves_Table,Escalation!$D$291),VLOOKUP($A215,Curves_Table,Escalation!$E$291))</f>
        <v>2.94411336707915</v>
      </c>
      <c r="I215" s="394" t="n">
        <f aca="false">G215/H215</f>
        <v>1468.57205527192</v>
      </c>
      <c r="J215" s="1579" t="str">
        <f aca="false">IF(MONTH($A215)=12,SUM(I204:I215)," ")</f>
        <v> </v>
      </c>
      <c r="L215" s="1607" t="n">
        <f aca="false">IF($A215&gt;Endyr,0,VLOOKUP($A215,Tariff_Table,Tariff!$J$33))</f>
        <v>0.19</v>
      </c>
      <c r="M215" s="1576" t="n">
        <f aca="false">D215</f>
        <v>3.9328867884074</v>
      </c>
      <c r="N215" s="1608" t="n">
        <f aca="false">L215*M215</f>
        <v>0.747248489797406</v>
      </c>
      <c r="O215" s="397" t="n">
        <f aca="false">'Plant Operations'!$I215+'Plant Operations'!$M215</f>
        <v>298980.864</v>
      </c>
      <c r="P215" s="1606" t="n">
        <f aca="false">N215*O215</f>
        <v>223412.999102324</v>
      </c>
      <c r="Q215" s="1565" t="n">
        <f aca="false">$H215</f>
        <v>2.94411336707915</v>
      </c>
      <c r="R215" s="1566" t="n">
        <f aca="false">P215/Q215</f>
        <v>75884.6454761255</v>
      </c>
      <c r="S215" s="1567" t="str">
        <f aca="false">IF(MONTH($A215)=12,SUM(R204:R215)," ")</f>
        <v> </v>
      </c>
    </row>
    <row r="216" customFormat="false" ht="12.75" hidden="false" customHeight="false" outlineLevel="0" collapsed="false">
      <c r="A216" s="1538" t="n">
        <f aca="false">'Plant Operations'!A216</f>
        <v>42461</v>
      </c>
      <c r="C216" s="1595" t="n">
        <f aca="false">IF($A216&gt;Endyr,0,VLOOKUP($A216,Tariff_Table,Tariff!$D$33))</f>
        <v>2290.32496307238</v>
      </c>
      <c r="D216" s="1565" t="n">
        <f aca="false">VLOOKUP($A216,Curves_Table,Escalation!$R$291)</f>
        <v>3.9328867884074</v>
      </c>
      <c r="E216" s="1606" t="n">
        <f aca="false">C216*D216</f>
        <v>9007.58878842702</v>
      </c>
      <c r="F216" s="1540" t="n">
        <f aca="false">'Plant Operations'!C216</f>
        <v>480</v>
      </c>
      <c r="G216" s="1606" t="n">
        <f aca="false">E216*F216/1000</f>
        <v>4323.64261844497</v>
      </c>
      <c r="H216" s="1576" t="n">
        <f aca="false">IF(Assm!$L$74=0,VLOOKUP($A216,Curves_Table,Escalation!$D$291),VLOOKUP($A216,Curves_Table,Escalation!$E$291))</f>
        <v>2.94897787285716</v>
      </c>
      <c r="I216" s="394" t="n">
        <f aca="false">G216/H216</f>
        <v>1466.14956261301</v>
      </c>
      <c r="J216" s="1579" t="str">
        <f aca="false">IF(MONTH($A216)=12,SUM(I205:I216)," ")</f>
        <v> </v>
      </c>
      <c r="L216" s="1607" t="n">
        <f aca="false">IF($A216&gt;Endyr,0,VLOOKUP($A216,Tariff_Table,Tariff!$J$33))</f>
        <v>0.19</v>
      </c>
      <c r="M216" s="1576" t="n">
        <f aca="false">D216</f>
        <v>3.9328867884074</v>
      </c>
      <c r="N216" s="1608" t="n">
        <f aca="false">L216*M216</f>
        <v>0.747248489797406</v>
      </c>
      <c r="O216" s="397" t="n">
        <f aca="false">'Plant Operations'!$I216+'Plant Operations'!$M216</f>
        <v>289336.32</v>
      </c>
      <c r="P216" s="1606" t="n">
        <f aca="false">N216*O216</f>
        <v>216206.128163539</v>
      </c>
      <c r="Q216" s="1565" t="n">
        <f aca="false">$H216</f>
        <v>2.94897787285716</v>
      </c>
      <c r="R216" s="1566" t="n">
        <f aca="false">P216/Q216</f>
        <v>73315.615608219</v>
      </c>
      <c r="S216" s="1567" t="str">
        <f aca="false">IF(MONTH($A216)=12,SUM(R205:R216)," ")</f>
        <v> </v>
      </c>
    </row>
    <row r="217" customFormat="false" ht="12.75" hidden="false" customHeight="false" outlineLevel="0" collapsed="false">
      <c r="A217" s="1538" t="n">
        <f aca="false">'Plant Operations'!A217</f>
        <v>42491</v>
      </c>
      <c r="C217" s="1595" t="n">
        <f aca="false">IF($A217&gt;Endyr,0,VLOOKUP($A217,Tariff_Table,Tariff!$D$33))</f>
        <v>2290.32496307238</v>
      </c>
      <c r="D217" s="1565" t="n">
        <f aca="false">VLOOKUP($A217,Curves_Table,Escalation!$R$291)</f>
        <v>4.2042559768075</v>
      </c>
      <c r="E217" s="1606" t="n">
        <f aca="false">C217*D217</f>
        <v>9629.11241482847</v>
      </c>
      <c r="F217" s="1540" t="n">
        <f aca="false">'Plant Operations'!C217</f>
        <v>480</v>
      </c>
      <c r="G217" s="1606" t="n">
        <f aca="false">E217*F217/1000</f>
        <v>4621.97395911767</v>
      </c>
      <c r="H217" s="1576" t="n">
        <f aca="false">IF(Assm!$L$74=0,VLOOKUP($A217,Curves_Table,Escalation!$D$291),VLOOKUP($A217,Curves_Table,Escalation!$E$291))</f>
        <v>2.95385041617093</v>
      </c>
      <c r="I217" s="394" t="n">
        <f aca="false">G217/H217</f>
        <v>1564.72850954624</v>
      </c>
      <c r="J217" s="1579" t="str">
        <f aca="false">IF(MONTH($A217)=12,SUM(I206:I217)," ")</f>
        <v> </v>
      </c>
      <c r="L217" s="1607" t="n">
        <f aca="false">IF($A217&gt;Endyr,0,VLOOKUP($A217,Tariff_Table,Tariff!$J$33))</f>
        <v>0.19</v>
      </c>
      <c r="M217" s="1576" t="n">
        <f aca="false">D217</f>
        <v>4.2042559768075</v>
      </c>
      <c r="N217" s="1608" t="n">
        <f aca="false">L217*M217</f>
        <v>0.798808635593426</v>
      </c>
      <c r="O217" s="397" t="n">
        <f aca="false">'Plant Operations'!$I217+'Plant Operations'!$M217</f>
        <v>298980.864</v>
      </c>
      <c r="P217" s="1606" t="n">
        <f aca="false">N217*O217</f>
        <v>238828.496040384</v>
      </c>
      <c r="Q217" s="1565" t="n">
        <f aca="false">$H217</f>
        <v>2.95385041617093</v>
      </c>
      <c r="R217" s="1566" t="n">
        <f aca="false">P217/Q217</f>
        <v>80853.2804277803</v>
      </c>
      <c r="S217" s="1567" t="str">
        <f aca="false">IF(MONTH($A217)=12,SUM(R206:R217)," ")</f>
        <v> </v>
      </c>
    </row>
    <row r="218" customFormat="false" ht="12.75" hidden="false" customHeight="false" outlineLevel="0" collapsed="false">
      <c r="A218" s="1538" t="n">
        <f aca="false">'Plant Operations'!A218</f>
        <v>42522</v>
      </c>
      <c r="C218" s="1595" t="n">
        <f aca="false">IF($A218&gt;Endyr,0,VLOOKUP($A218,Tariff_Table,Tariff!$D$33))</f>
        <v>2290.32496307238</v>
      </c>
      <c r="D218" s="1565" t="n">
        <f aca="false">VLOOKUP($A218,Curves_Table,Escalation!$R$291)</f>
        <v>4.2042559768075</v>
      </c>
      <c r="E218" s="1606" t="n">
        <f aca="false">C218*D218</f>
        <v>9629.11241482847</v>
      </c>
      <c r="F218" s="1540" t="n">
        <f aca="false">'Plant Operations'!C218</f>
        <v>480</v>
      </c>
      <c r="G218" s="1606" t="n">
        <f aca="false">E218*F218/1000</f>
        <v>4621.97395911767</v>
      </c>
      <c r="H218" s="1576" t="n">
        <f aca="false">IF(Assm!$L$74=0,VLOOKUP($A218,Curves_Table,Escalation!$D$291),VLOOKUP($A218,Curves_Table,Escalation!$E$291))</f>
        <v>2.95873101030073</v>
      </c>
      <c r="I218" s="394" t="n">
        <f aca="false">G218/H218</f>
        <v>1562.14740137796</v>
      </c>
      <c r="J218" s="1579" t="str">
        <f aca="false">IF(MONTH($A218)=12,SUM(I207:I218)," ")</f>
        <v> </v>
      </c>
      <c r="L218" s="1607" t="n">
        <f aca="false">IF($A218&gt;Endyr,0,VLOOKUP($A218,Tariff_Table,Tariff!$J$33))</f>
        <v>0.19</v>
      </c>
      <c r="M218" s="1576" t="n">
        <f aca="false">D218</f>
        <v>4.2042559768075</v>
      </c>
      <c r="N218" s="1608" t="n">
        <f aca="false">L218*M218</f>
        <v>0.798808635593426</v>
      </c>
      <c r="O218" s="397" t="n">
        <f aca="false">'Plant Operations'!$I218+'Plant Operations'!$M218</f>
        <v>289336.32</v>
      </c>
      <c r="P218" s="1606" t="n">
        <f aca="false">N218*O218</f>
        <v>231124.351006823</v>
      </c>
      <c r="Q218" s="1565" t="n">
        <f aca="false">$H218</f>
        <v>2.95873101030073</v>
      </c>
      <c r="R218" s="1566" t="n">
        <f aca="false">P218/Q218</f>
        <v>78116.0403572243</v>
      </c>
      <c r="S218" s="1567" t="str">
        <f aca="false">IF(MONTH($A218)=12,SUM(R207:R218)," ")</f>
        <v> </v>
      </c>
    </row>
    <row r="219" customFormat="false" ht="12.75" hidden="false" customHeight="false" outlineLevel="0" collapsed="false">
      <c r="A219" s="1538" t="n">
        <f aca="false">'Plant Operations'!A219</f>
        <v>42552</v>
      </c>
      <c r="C219" s="1595" t="n">
        <f aca="false">IF($A219&gt;Endyr,0,VLOOKUP($A219,Tariff_Table,Tariff!$D$33))</f>
        <v>2290.32496307238</v>
      </c>
      <c r="D219" s="1565" t="n">
        <f aca="false">VLOOKUP($A219,Curves_Table,Escalation!$R$291)</f>
        <v>4.2042559768075</v>
      </c>
      <c r="E219" s="1606" t="n">
        <f aca="false">C219*D219</f>
        <v>9629.11241482847</v>
      </c>
      <c r="F219" s="1540" t="n">
        <f aca="false">'Plant Operations'!C219</f>
        <v>480</v>
      </c>
      <c r="G219" s="1606" t="n">
        <f aca="false">E219*F219/1000</f>
        <v>4621.97395911767</v>
      </c>
      <c r="H219" s="1576" t="n">
        <f aca="false">IF(Assm!$L$74=0,VLOOKUP($A219,Curves_Table,Escalation!$D$291),VLOOKUP($A219,Curves_Table,Escalation!$E$291))</f>
        <v>2.96361966854878</v>
      </c>
      <c r="I219" s="394" t="n">
        <f aca="false">G219/H219</f>
        <v>1559.57055089358</v>
      </c>
      <c r="J219" s="1579" t="str">
        <f aca="false">IF(MONTH($A219)=12,SUM(I208:I219)," ")</f>
        <v> </v>
      </c>
      <c r="L219" s="1607" t="n">
        <f aca="false">IF($A219&gt;Endyr,0,VLOOKUP($A219,Tariff_Table,Tariff!$J$33))</f>
        <v>0.19</v>
      </c>
      <c r="M219" s="1576" t="n">
        <f aca="false">D219</f>
        <v>4.2042559768075</v>
      </c>
      <c r="N219" s="1608" t="n">
        <f aca="false">L219*M219</f>
        <v>0.798808635593426</v>
      </c>
      <c r="O219" s="397" t="n">
        <f aca="false">'Plant Operations'!$I219+'Plant Operations'!$M219</f>
        <v>298980.864</v>
      </c>
      <c r="P219" s="1606" t="n">
        <f aca="false">N219*O219</f>
        <v>238828.496040384</v>
      </c>
      <c r="Q219" s="1565" t="n">
        <f aca="false">$H219</f>
        <v>2.96361966854878</v>
      </c>
      <c r="R219" s="1566" t="n">
        <f aca="false">P219/Q219</f>
        <v>80586.7563152368</v>
      </c>
      <c r="S219" s="1567" t="str">
        <f aca="false">IF(MONTH($A219)=12,SUM(R208:R219)," ")</f>
        <v> </v>
      </c>
    </row>
    <row r="220" customFormat="false" ht="12.75" hidden="false" customHeight="false" outlineLevel="0" collapsed="false">
      <c r="A220" s="1538" t="n">
        <f aca="false">'Plant Operations'!A220</f>
        <v>42583</v>
      </c>
      <c r="C220" s="1595" t="n">
        <f aca="false">IF($A220&gt;Endyr,0,VLOOKUP($A220,Tariff_Table,Tariff!$D$33))</f>
        <v>2290.32496307238</v>
      </c>
      <c r="D220" s="1565" t="n">
        <f aca="false">VLOOKUP($A220,Curves_Table,Escalation!$R$291)</f>
        <v>4.2042559768075</v>
      </c>
      <c r="E220" s="1606" t="n">
        <f aca="false">C220*D220</f>
        <v>9629.11241482847</v>
      </c>
      <c r="F220" s="1540" t="n">
        <f aca="false">'Plant Operations'!C220</f>
        <v>480</v>
      </c>
      <c r="G220" s="1606" t="n">
        <f aca="false">E220*F220/1000</f>
        <v>4621.97395911767</v>
      </c>
      <c r="H220" s="1576" t="n">
        <f aca="false">IF(Assm!$L$74=0,VLOOKUP($A220,Curves_Table,Escalation!$D$291),VLOOKUP($A220,Curves_Table,Escalation!$E$291))</f>
        <v>2.96851640423929</v>
      </c>
      <c r="I220" s="394" t="n">
        <f aca="false">G220/H220</f>
        <v>1556.9979510698</v>
      </c>
      <c r="J220" s="1579" t="str">
        <f aca="false">IF(MONTH($A220)=12,SUM(I209:I220)," ")</f>
        <v> </v>
      </c>
      <c r="L220" s="1607" t="n">
        <f aca="false">IF($A220&gt;Endyr,0,VLOOKUP($A220,Tariff_Table,Tariff!$J$33))</f>
        <v>0.19</v>
      </c>
      <c r="M220" s="1576" t="n">
        <f aca="false">D220</f>
        <v>4.2042559768075</v>
      </c>
      <c r="N220" s="1608" t="n">
        <f aca="false">L220*M220</f>
        <v>0.798808635593426</v>
      </c>
      <c r="O220" s="397" t="n">
        <f aca="false">'Plant Operations'!$I220+'Plant Operations'!$M220</f>
        <v>298980.864</v>
      </c>
      <c r="P220" s="1606" t="n">
        <f aca="false">N220*O220</f>
        <v>238828.496040384</v>
      </c>
      <c r="Q220" s="1565" t="n">
        <f aca="false">$H220</f>
        <v>2.96851640423929</v>
      </c>
      <c r="R220" s="1566" t="n">
        <f aca="false">P220/Q220</f>
        <v>80453.8239031849</v>
      </c>
      <c r="S220" s="1567" t="str">
        <f aca="false">IF(MONTH($A220)=12,SUM(R209:R220)," ")</f>
        <v> </v>
      </c>
    </row>
    <row r="221" customFormat="false" ht="12.75" hidden="false" customHeight="false" outlineLevel="0" collapsed="false">
      <c r="A221" s="1538" t="n">
        <f aca="false">'Plant Operations'!A221</f>
        <v>42614</v>
      </c>
      <c r="C221" s="1595" t="n">
        <f aca="false">IF($A221&gt;Endyr,0,VLOOKUP($A221,Tariff_Table,Tariff!$D$33))</f>
        <v>2290.32496307238</v>
      </c>
      <c r="D221" s="1565" t="n">
        <f aca="false">VLOOKUP($A221,Curves_Table,Escalation!$R$291)</f>
        <v>4.2042559768075</v>
      </c>
      <c r="E221" s="1606" t="n">
        <f aca="false">C221*D221</f>
        <v>9629.11241482847</v>
      </c>
      <c r="F221" s="1540" t="n">
        <f aca="false">'Plant Operations'!C221</f>
        <v>480</v>
      </c>
      <c r="G221" s="1606" t="n">
        <f aca="false">E221*F221/1000</f>
        <v>4621.97395911767</v>
      </c>
      <c r="H221" s="1576" t="n">
        <f aca="false">IF(Assm!$L$74=0,VLOOKUP($A221,Curves_Table,Escalation!$D$291),VLOOKUP($A221,Curves_Table,Escalation!$E$291))</f>
        <v>2.97342123071846</v>
      </c>
      <c r="I221" s="394" t="n">
        <f aca="false">G221/H221</f>
        <v>1554.42959489492</v>
      </c>
      <c r="J221" s="1579" t="str">
        <f aca="false">IF(MONTH($A221)=12,SUM(I210:I221)," ")</f>
        <v> </v>
      </c>
      <c r="L221" s="1607" t="n">
        <f aca="false">IF($A221&gt;Endyr,0,VLOOKUP($A221,Tariff_Table,Tariff!$J$33))</f>
        <v>0.19</v>
      </c>
      <c r="M221" s="1576" t="n">
        <f aca="false">D221</f>
        <v>4.2042559768075</v>
      </c>
      <c r="N221" s="1608" t="n">
        <f aca="false">L221*M221</f>
        <v>0.798808635593426</v>
      </c>
      <c r="O221" s="397" t="n">
        <f aca="false">'Plant Operations'!$I221+'Plant Operations'!$M221</f>
        <v>289336.32</v>
      </c>
      <c r="P221" s="1606" t="n">
        <f aca="false">N221*O221</f>
        <v>231124.351006823</v>
      </c>
      <c r="Q221" s="1565" t="n">
        <f aca="false">$H221</f>
        <v>2.97342123071846</v>
      </c>
      <c r="R221" s="1566" t="n">
        <f aca="false">P221/Q221</f>
        <v>77730.1071974174</v>
      </c>
      <c r="S221" s="1567" t="str">
        <f aca="false">IF(MONTH($A221)=12,SUM(R210:R221)," ")</f>
        <v> </v>
      </c>
    </row>
    <row r="222" customFormat="false" ht="12.75" hidden="false" customHeight="false" outlineLevel="0" collapsed="false">
      <c r="A222" s="1538" t="n">
        <f aca="false">'Plant Operations'!A222</f>
        <v>42644</v>
      </c>
      <c r="C222" s="1595" t="n">
        <f aca="false">IF($A222&gt;Endyr,0,VLOOKUP($A222,Tariff_Table,Tariff!$D$33))</f>
        <v>2290.32496307238</v>
      </c>
      <c r="D222" s="1565" t="n">
        <f aca="false">VLOOKUP($A222,Curves_Table,Escalation!$R$291)</f>
        <v>4.2042559768075</v>
      </c>
      <c r="E222" s="1606" t="n">
        <f aca="false">C222*D222</f>
        <v>9629.11241482847</v>
      </c>
      <c r="F222" s="1540" t="n">
        <f aca="false">'Plant Operations'!C222</f>
        <v>480</v>
      </c>
      <c r="G222" s="1606" t="n">
        <f aca="false">E222*F222/1000</f>
        <v>4621.97395911767</v>
      </c>
      <c r="H222" s="1576" t="n">
        <f aca="false">IF(Assm!$L$74=0,VLOOKUP($A222,Curves_Table,Escalation!$D$291),VLOOKUP($A222,Curves_Table,Escalation!$E$291))</f>
        <v>2.97833416135456</v>
      </c>
      <c r="I222" s="394" t="n">
        <f aca="false">G222/H222</f>
        <v>1551.86547536881</v>
      </c>
      <c r="J222" s="1579" t="str">
        <f aca="false">IF(MONTH($A222)=12,SUM(I211:I222)," ")</f>
        <v> </v>
      </c>
      <c r="L222" s="1607" t="n">
        <f aca="false">IF($A222&gt;Endyr,0,VLOOKUP($A222,Tariff_Table,Tariff!$J$33))</f>
        <v>0.19</v>
      </c>
      <c r="M222" s="1576" t="n">
        <f aca="false">D222</f>
        <v>4.2042559768075</v>
      </c>
      <c r="N222" s="1608" t="n">
        <f aca="false">L222*M222</f>
        <v>0.798808635593426</v>
      </c>
      <c r="O222" s="397" t="n">
        <f aca="false">'Plant Operations'!$I222+'Plant Operations'!$M222</f>
        <v>298980.864</v>
      </c>
      <c r="P222" s="1606" t="n">
        <f aca="false">N222*O222</f>
        <v>238828.496040384</v>
      </c>
      <c r="Q222" s="1565" t="n">
        <f aca="false">$H222</f>
        <v>2.97833416135456</v>
      </c>
      <c r="R222" s="1566" t="n">
        <f aca="false">P222/Q222</f>
        <v>80188.6165559619</v>
      </c>
      <c r="S222" s="1567" t="str">
        <f aca="false">IF(MONTH($A222)=12,SUM(R211:R222)," ")</f>
        <v> </v>
      </c>
    </row>
    <row r="223" customFormat="false" ht="12.75" hidden="false" customHeight="false" outlineLevel="0" collapsed="false">
      <c r="A223" s="1538" t="n">
        <f aca="false">'Plant Operations'!A223</f>
        <v>42675</v>
      </c>
      <c r="C223" s="1595" t="n">
        <f aca="false">IF($A223&gt;Endyr,0,VLOOKUP($A223,Tariff_Table,Tariff!$D$33))</f>
        <v>2290.32496307238</v>
      </c>
      <c r="D223" s="1565" t="n">
        <f aca="false">VLOOKUP($A223,Curves_Table,Escalation!$R$291)</f>
        <v>4.2042559768075</v>
      </c>
      <c r="E223" s="1606" t="n">
        <f aca="false">C223*D223</f>
        <v>9629.11241482847</v>
      </c>
      <c r="F223" s="1540" t="n">
        <f aca="false">'Plant Operations'!C223</f>
        <v>480</v>
      </c>
      <c r="G223" s="1606" t="n">
        <f aca="false">E223*F223/1000</f>
        <v>4621.97395911767</v>
      </c>
      <c r="H223" s="1576" t="n">
        <f aca="false">IF(Assm!$L$74=0,VLOOKUP($A223,Curves_Table,Escalation!$D$291),VLOOKUP($A223,Curves_Table,Escalation!$E$291))</f>
        <v>2.98325520953795</v>
      </c>
      <c r="I223" s="394" t="n">
        <f aca="false">G223/H223</f>
        <v>1549.30558550286</v>
      </c>
      <c r="J223" s="1579" t="str">
        <f aca="false">IF(MONTH($A223)=12,SUM(I212:I223)," ")</f>
        <v> </v>
      </c>
      <c r="L223" s="1607" t="n">
        <f aca="false">IF($A223&gt;Endyr,0,VLOOKUP($A223,Tariff_Table,Tariff!$J$33))</f>
        <v>0.19</v>
      </c>
      <c r="M223" s="1576" t="n">
        <f aca="false">D223</f>
        <v>4.2042559768075</v>
      </c>
      <c r="N223" s="1608" t="n">
        <f aca="false">L223*M223</f>
        <v>0.798808635593426</v>
      </c>
      <c r="O223" s="397" t="n">
        <f aca="false">'Plant Operations'!$I223+'Plant Operations'!$M223</f>
        <v>289336.32</v>
      </c>
      <c r="P223" s="1606" t="n">
        <f aca="false">N223*O223</f>
        <v>231124.351006823</v>
      </c>
      <c r="Q223" s="1565" t="n">
        <f aca="false">$H223</f>
        <v>2.98325520953795</v>
      </c>
      <c r="R223" s="1566" t="n">
        <f aca="false">P223/Q223</f>
        <v>77473.8782883478</v>
      </c>
      <c r="S223" s="1567" t="str">
        <f aca="false">IF(MONTH($A223)=12,SUM(R212:R223)," ")</f>
        <v> </v>
      </c>
    </row>
    <row r="224" customFormat="false" ht="12.75" hidden="false" customHeight="false" outlineLevel="0" collapsed="false">
      <c r="A224" s="1538" t="n">
        <f aca="false">'Plant Operations'!A224</f>
        <v>42705</v>
      </c>
      <c r="C224" s="1595" t="n">
        <f aca="false">IF($A224&gt;Endyr,0,VLOOKUP($A224,Tariff_Table,Tariff!$D$33))</f>
        <v>2290.32496307238</v>
      </c>
      <c r="D224" s="1565" t="n">
        <f aca="false">VLOOKUP($A224,Curves_Table,Escalation!$R$291)</f>
        <v>4.2042559768075</v>
      </c>
      <c r="E224" s="1606" t="n">
        <f aca="false">C224*D224</f>
        <v>9629.11241482847</v>
      </c>
      <c r="F224" s="1540" t="n">
        <f aca="false">'Plant Operations'!C224</f>
        <v>480</v>
      </c>
      <c r="G224" s="1606" t="n">
        <f aca="false">E224*F224/1000</f>
        <v>4621.97395911767</v>
      </c>
      <c r="H224" s="1576" t="n">
        <f aca="false">IF(Assm!$L$74=0,VLOOKUP($A224,Curves_Table,Escalation!$D$291),VLOOKUP($A224,Curves_Table,Escalation!$E$291))</f>
        <v>2.9881843886811</v>
      </c>
      <c r="I224" s="394" t="n">
        <f aca="false">G224/H224</f>
        <v>1546.74991832003</v>
      </c>
      <c r="J224" s="1579" t="n">
        <f aca="false">IF(MONTH($A224)=12,SUM(I213:I224)," ")</f>
        <v>18324.9442105581</v>
      </c>
      <c r="L224" s="1607" t="n">
        <f aca="false">IF($A224&gt;Endyr,0,VLOOKUP($A224,Tariff_Table,Tariff!$J$33))</f>
        <v>0.19</v>
      </c>
      <c r="M224" s="1576" t="n">
        <f aca="false">D224</f>
        <v>4.2042559768075</v>
      </c>
      <c r="N224" s="1608" t="n">
        <f aca="false">L224*M224</f>
        <v>0.798808635593426</v>
      </c>
      <c r="O224" s="397" t="n">
        <f aca="false">'Plant Operations'!$I224+'Plant Operations'!$M224</f>
        <v>298980.864</v>
      </c>
      <c r="P224" s="1606" t="n">
        <f aca="false">N224*O224</f>
        <v>238828.496040384</v>
      </c>
      <c r="Q224" s="1565" t="n">
        <f aca="false">$H224</f>
        <v>2.9881843886811</v>
      </c>
      <c r="R224" s="1566" t="n">
        <f aca="false">P224/Q224</f>
        <v>79924.2834361356</v>
      </c>
      <c r="S224" s="1567" t="n">
        <f aca="false">IF(MONTH($A224)=12,SUM(R213:R224)," ")</f>
        <v>931768.821412248</v>
      </c>
    </row>
    <row r="225" customFormat="false" ht="12.75" hidden="false" customHeight="false" outlineLevel="0" collapsed="false">
      <c r="A225" s="1538" t="n">
        <f aca="false">'Plant Operations'!A225</f>
        <v>42736</v>
      </c>
      <c r="C225" s="1595" t="n">
        <f aca="false">IF($A225&gt;Endyr,0,VLOOKUP($A225,Tariff_Table,Tariff!$D$33))</f>
        <v>2290.32496307238</v>
      </c>
      <c r="D225" s="1565" t="n">
        <f aca="false">VLOOKUP($A225,Curves_Table,Escalation!$R$291)</f>
        <v>4.2042559768075</v>
      </c>
      <c r="E225" s="1606" t="n">
        <f aca="false">C225*D225</f>
        <v>9629.11241482847</v>
      </c>
      <c r="F225" s="1540" t="n">
        <f aca="false">'Plant Operations'!C225</f>
        <v>480</v>
      </c>
      <c r="G225" s="1606" t="n">
        <f aca="false">E225*F225/1000</f>
        <v>4621.97395911767</v>
      </c>
      <c r="H225" s="1576" t="n">
        <f aca="false">IF(Assm!$L$74=0,VLOOKUP($A225,Curves_Table,Escalation!$D$291),VLOOKUP($A225,Curves_Table,Escalation!$E$291))</f>
        <v>2.99310910169973</v>
      </c>
      <c r="I225" s="394" t="n">
        <f aca="false">G225/H225</f>
        <v>1544.20497284678</v>
      </c>
      <c r="J225" s="1579" t="str">
        <f aca="false">IF(MONTH($A225)=12,SUM(I214:I225)," ")</f>
        <v> </v>
      </c>
      <c r="L225" s="1607" t="n">
        <f aca="false">IF($A225&gt;Endyr,0,VLOOKUP($A225,Tariff_Table,Tariff!$J$33))</f>
        <v>0.19</v>
      </c>
      <c r="M225" s="1576" t="n">
        <f aca="false">D225</f>
        <v>4.2042559768075</v>
      </c>
      <c r="N225" s="1608" t="n">
        <f aca="false">L225*M225</f>
        <v>0.798808635593426</v>
      </c>
      <c r="O225" s="397" t="n">
        <f aca="false">'Plant Operations'!$I225+'Plant Operations'!$M225</f>
        <v>298980.864</v>
      </c>
      <c r="P225" s="1606" t="n">
        <f aca="false">N225*O225</f>
        <v>238828.496040384</v>
      </c>
      <c r="Q225" s="1565" t="n">
        <f aca="false">$H225</f>
        <v>2.99310910169973</v>
      </c>
      <c r="R225" s="1566" t="n">
        <f aca="false">P225/Q225</f>
        <v>79792.7799907987</v>
      </c>
      <c r="S225" s="1567" t="str">
        <f aca="false">IF(MONTH($A225)=12,SUM(R214:R225)," ")</f>
        <v> </v>
      </c>
    </row>
    <row r="226" customFormat="false" ht="12.75" hidden="false" customHeight="false" outlineLevel="0" collapsed="false">
      <c r="A226" s="1538" t="n">
        <f aca="false">'Plant Operations'!A226</f>
        <v>42767</v>
      </c>
      <c r="C226" s="1595" t="n">
        <f aca="false">IF($A226&gt;Endyr,0,VLOOKUP($A226,Tariff_Table,Tariff!$D$33))</f>
        <v>2290.32496307238</v>
      </c>
      <c r="D226" s="1565" t="n">
        <f aca="false">VLOOKUP($A226,Curves_Table,Escalation!$R$291)</f>
        <v>4.2042559768075</v>
      </c>
      <c r="E226" s="1606" t="n">
        <f aca="false">C226*D226</f>
        <v>9629.11241482847</v>
      </c>
      <c r="F226" s="1540" t="n">
        <f aca="false">'Plant Operations'!C226</f>
        <v>480</v>
      </c>
      <c r="G226" s="1606" t="n">
        <f aca="false">E226*F226/1000</f>
        <v>4621.97395911767</v>
      </c>
      <c r="H226" s="1576" t="n">
        <f aca="false">IF(Assm!$L$74=0,VLOOKUP($A226,Curves_Table,Escalation!$D$291),VLOOKUP($A226,Curves_Table,Escalation!$E$291))</f>
        <v>2.99804193095055</v>
      </c>
      <c r="I226" s="394" t="n">
        <f aca="false">G226/H226</f>
        <v>1541.66421470037</v>
      </c>
      <c r="J226" s="1579" t="str">
        <f aca="false">IF(MONTH($A226)=12,SUM(I215:I226)," ")</f>
        <v> </v>
      </c>
      <c r="L226" s="1607" t="n">
        <f aca="false">IF($A226&gt;Endyr,0,VLOOKUP($A226,Tariff_Table,Tariff!$J$33))</f>
        <v>0.19</v>
      </c>
      <c r="M226" s="1576" t="n">
        <f aca="false">D226</f>
        <v>4.2042559768075</v>
      </c>
      <c r="N226" s="1608" t="n">
        <f aca="false">L226*M226</f>
        <v>0.798808635593426</v>
      </c>
      <c r="O226" s="397" t="n">
        <f aca="false">'Plant Operations'!$I226+'Plant Operations'!$M226</f>
        <v>270047.232</v>
      </c>
      <c r="P226" s="1606" t="n">
        <f aca="false">N226*O226</f>
        <v>215716.060939701</v>
      </c>
      <c r="Q226" s="1565" t="n">
        <f aca="false">$H226</f>
        <v>2.99804193095055</v>
      </c>
      <c r="R226" s="1566" t="n">
        <f aca="false">P226/Q226</f>
        <v>71952.3161810172</v>
      </c>
      <c r="S226" s="1567" t="str">
        <f aca="false">IF(MONTH($A226)=12,SUM(R215:R226)," ")</f>
        <v> </v>
      </c>
    </row>
    <row r="227" customFormat="false" ht="12.75" hidden="false" customHeight="false" outlineLevel="0" collapsed="false">
      <c r="A227" s="1538" t="n">
        <f aca="false">'Plant Operations'!A227</f>
        <v>42795</v>
      </c>
      <c r="C227" s="1595" t="n">
        <f aca="false">IF($A227&gt;Endyr,0,VLOOKUP($A227,Tariff_Table,Tariff!$D$33))</f>
        <v>2290.32496307238</v>
      </c>
      <c r="D227" s="1565" t="n">
        <f aca="false">VLOOKUP($A227,Curves_Table,Escalation!$R$291)</f>
        <v>4.2042559768075</v>
      </c>
      <c r="E227" s="1606" t="n">
        <f aca="false">C227*D227</f>
        <v>9629.11241482847</v>
      </c>
      <c r="F227" s="1540" t="n">
        <f aca="false">'Plant Operations'!C227</f>
        <v>480</v>
      </c>
      <c r="G227" s="1606" t="n">
        <f aca="false">E227*F227/1000</f>
        <v>4621.97395911767</v>
      </c>
      <c r="H227" s="1576" t="n">
        <f aca="false">IF(Assm!$L$74=0,VLOOKUP($A227,Curves_Table,Escalation!$D$291),VLOOKUP($A227,Curves_Table,Escalation!$E$291))</f>
        <v>3.00298288980961</v>
      </c>
      <c r="I227" s="394" t="n">
        <f aca="false">G227/H227</f>
        <v>1539.1276369912</v>
      </c>
      <c r="J227" s="1579" t="str">
        <f aca="false">IF(MONTH($A227)=12,SUM(I216:I227)," ")</f>
        <v> </v>
      </c>
      <c r="L227" s="1607" t="n">
        <f aca="false">IF($A227&gt;Endyr,0,VLOOKUP($A227,Tariff_Table,Tariff!$J$33))</f>
        <v>0.19</v>
      </c>
      <c r="M227" s="1576" t="n">
        <f aca="false">D227</f>
        <v>4.2042559768075</v>
      </c>
      <c r="N227" s="1608" t="n">
        <f aca="false">L227*M227</f>
        <v>0.798808635593426</v>
      </c>
      <c r="O227" s="397" t="n">
        <f aca="false">'Plant Operations'!$I227+'Plant Operations'!$M227</f>
        <v>298980.864</v>
      </c>
      <c r="P227" s="1606" t="n">
        <f aca="false">N227*O227</f>
        <v>238828.496040384</v>
      </c>
      <c r="Q227" s="1565" t="n">
        <f aca="false">$H227</f>
        <v>3.00298288980961</v>
      </c>
      <c r="R227" s="1566" t="n">
        <f aca="false">P227/Q227</f>
        <v>79530.4218518293</v>
      </c>
      <c r="S227" s="1567" t="str">
        <f aca="false">IF(MONTH($A227)=12,SUM(R216:R227)," ")</f>
        <v> </v>
      </c>
    </row>
    <row r="228" customFormat="false" ht="12.75" hidden="false" customHeight="false" outlineLevel="0" collapsed="false">
      <c r="A228" s="1538" t="n">
        <f aca="false">'Plant Operations'!A228</f>
        <v>42826</v>
      </c>
      <c r="C228" s="1595" t="n">
        <f aca="false">IF($A228&gt;Endyr,0,VLOOKUP($A228,Tariff_Table,Tariff!$D$33))</f>
        <v>2290.32496307238</v>
      </c>
      <c r="D228" s="1565" t="n">
        <f aca="false">VLOOKUP($A228,Curves_Table,Escalation!$R$291)</f>
        <v>4.2042559768075</v>
      </c>
      <c r="E228" s="1606" t="n">
        <f aca="false">C228*D228</f>
        <v>9629.11241482847</v>
      </c>
      <c r="F228" s="1540" t="n">
        <f aca="false">'Plant Operations'!C228</f>
        <v>480</v>
      </c>
      <c r="G228" s="1606" t="n">
        <f aca="false">E228*F228/1000</f>
        <v>4621.97395911767</v>
      </c>
      <c r="H228" s="1576" t="n">
        <f aca="false">IF(Assm!$L$74=0,VLOOKUP($A228,Curves_Table,Escalation!$D$291),VLOOKUP($A228,Curves_Table,Escalation!$E$291))</f>
        <v>3.00793199167501</v>
      </c>
      <c r="I228" s="394" t="n">
        <f aca="false">G228/H228</f>
        <v>1536.59523284097</v>
      </c>
      <c r="J228" s="1579" t="str">
        <f aca="false">IF(MONTH($A228)=12,SUM(I217:I228)," ")</f>
        <v> </v>
      </c>
      <c r="L228" s="1607" t="n">
        <f aca="false">IF($A228&gt;Endyr,0,VLOOKUP($A228,Tariff_Table,Tariff!$J$33))</f>
        <v>0.19</v>
      </c>
      <c r="M228" s="1576" t="n">
        <f aca="false">D228</f>
        <v>4.2042559768075</v>
      </c>
      <c r="N228" s="1608" t="n">
        <f aca="false">L228*M228</f>
        <v>0.798808635593426</v>
      </c>
      <c r="O228" s="397" t="n">
        <f aca="false">'Plant Operations'!$I228+'Plant Operations'!$M228</f>
        <v>289336.32</v>
      </c>
      <c r="P228" s="1606" t="n">
        <f aca="false">N228*O228</f>
        <v>231124.351006823</v>
      </c>
      <c r="Q228" s="1565" t="n">
        <f aca="false">$H228</f>
        <v>3.00793199167501</v>
      </c>
      <c r="R228" s="1566" t="n">
        <f aca="false">P228/Q228</f>
        <v>76838.2901097834</v>
      </c>
      <c r="S228" s="1567" t="str">
        <f aca="false">IF(MONTH($A228)=12,SUM(R217:R228)," ")</f>
        <v> </v>
      </c>
    </row>
    <row r="229" customFormat="false" ht="12.75" hidden="false" customHeight="false" outlineLevel="0" collapsed="false">
      <c r="A229" s="1538" t="n">
        <f aca="false">'Plant Operations'!A229</f>
        <v>42856</v>
      </c>
      <c r="C229" s="1595" t="n">
        <f aca="false">IF($A229&gt;Endyr,0,VLOOKUP($A229,Tariff_Table,Tariff!$D$33))</f>
        <v>2089.04912836767</v>
      </c>
      <c r="D229" s="1565" t="n">
        <f aca="false">VLOOKUP($A229,Curves_Table,Escalation!$R$291)</f>
        <v>4.49294778333362</v>
      </c>
      <c r="E229" s="1606" t="n">
        <f aca="false">C229*D229</f>
        <v>9385.98865057456</v>
      </c>
      <c r="F229" s="1540" t="n">
        <f aca="false">'Plant Operations'!C229</f>
        <v>480</v>
      </c>
      <c r="G229" s="1606" t="n">
        <f aca="false">E229*F229/1000</f>
        <v>4505.27455227579</v>
      </c>
      <c r="H229" s="1576" t="n">
        <f aca="false">IF(Assm!$L$74=0,VLOOKUP($A229,Curves_Table,Escalation!$D$291),VLOOKUP($A229,Curves_Table,Escalation!$E$291))</f>
        <v>3.01288924996692</v>
      </c>
      <c r="I229" s="394" t="n">
        <f aca="false">G229/H229</f>
        <v>1495.33360787332</v>
      </c>
      <c r="J229" s="1579" t="str">
        <f aca="false">IF(MONTH($A229)=12,SUM(I218:I229)," ")</f>
        <v> </v>
      </c>
      <c r="L229" s="1607" t="n">
        <f aca="false">IF($A229&gt;Endyr,0,VLOOKUP($A229,Tariff_Table,Tariff!$J$33))</f>
        <v>0.19</v>
      </c>
      <c r="M229" s="1576" t="n">
        <f aca="false">D229</f>
        <v>4.49294778333362</v>
      </c>
      <c r="N229" s="1608" t="n">
        <f aca="false">L229*M229</f>
        <v>0.853660078833388</v>
      </c>
      <c r="O229" s="397" t="n">
        <f aca="false">'Plant Operations'!$I229+'Plant Operations'!$M229</f>
        <v>298980.864</v>
      </c>
      <c r="P229" s="1606" t="n">
        <f aca="false">N229*O229</f>
        <v>255228.027931914</v>
      </c>
      <c r="Q229" s="1565" t="n">
        <f aca="false">$H229</f>
        <v>3.01288924996692</v>
      </c>
      <c r="R229" s="1566" t="n">
        <f aca="false">P229/Q229</f>
        <v>84712.0510436009</v>
      </c>
      <c r="S229" s="1567" t="str">
        <f aca="false">IF(MONTH($A229)=12,SUM(R218:R229)," ")</f>
        <v> </v>
      </c>
    </row>
    <row r="230" customFormat="false" ht="12.75" hidden="false" customHeight="false" outlineLevel="0" collapsed="false">
      <c r="A230" s="1538" t="n">
        <f aca="false">'Plant Operations'!A230</f>
        <v>42887</v>
      </c>
      <c r="C230" s="1595" t="n">
        <f aca="false">IF($A230&gt;Endyr,0,VLOOKUP($A230,Tariff_Table,Tariff!$D$33))</f>
        <v>2089.04912836767</v>
      </c>
      <c r="D230" s="1565" t="n">
        <f aca="false">VLOOKUP($A230,Curves_Table,Escalation!$R$291)</f>
        <v>4.49294778333362</v>
      </c>
      <c r="E230" s="1606" t="n">
        <f aca="false">C230*D230</f>
        <v>9385.98865057456</v>
      </c>
      <c r="F230" s="1540" t="n">
        <f aca="false">'Plant Operations'!C230</f>
        <v>480</v>
      </c>
      <c r="G230" s="1606" t="n">
        <f aca="false">E230*F230/1000</f>
        <v>4505.27455227579</v>
      </c>
      <c r="H230" s="1576" t="n">
        <f aca="false">IF(Assm!$L$74=0,VLOOKUP($A230,Curves_Table,Escalation!$D$291),VLOOKUP($A230,Curves_Table,Escalation!$E$291))</f>
        <v>3.01785467812765</v>
      </c>
      <c r="I230" s="394" t="n">
        <f aca="false">G230/H230</f>
        <v>1492.87326024292</v>
      </c>
      <c r="J230" s="1579" t="str">
        <f aca="false">IF(MONTH($A230)=12,SUM(I219:I230)," ")</f>
        <v> </v>
      </c>
      <c r="L230" s="1607" t="n">
        <f aca="false">IF($A230&gt;Endyr,0,VLOOKUP($A230,Tariff_Table,Tariff!$J$33))</f>
        <v>0.19</v>
      </c>
      <c r="M230" s="1576" t="n">
        <f aca="false">D230</f>
        <v>4.49294778333362</v>
      </c>
      <c r="N230" s="1608" t="n">
        <f aca="false">L230*M230</f>
        <v>0.853660078833388</v>
      </c>
      <c r="O230" s="397" t="n">
        <f aca="false">'Plant Operations'!$I230+'Plant Operations'!$M230</f>
        <v>289336.32</v>
      </c>
      <c r="P230" s="1606" t="n">
        <f aca="false">N230*O230</f>
        <v>246994.865740562</v>
      </c>
      <c r="Q230" s="1565" t="n">
        <f aca="false">$H230</f>
        <v>3.01785467812765</v>
      </c>
      <c r="R230" s="1566" t="n">
        <f aca="false">P230/Q230</f>
        <v>81844.5193967404</v>
      </c>
      <c r="S230" s="1567" t="str">
        <f aca="false">IF(MONTH($A230)=12,SUM(R219:R230)," ")</f>
        <v> </v>
      </c>
    </row>
    <row r="231" customFormat="false" ht="12.75" hidden="false" customHeight="false" outlineLevel="0" collapsed="false">
      <c r="A231" s="1538" t="n">
        <f aca="false">'Plant Operations'!A231</f>
        <v>42917</v>
      </c>
      <c r="C231" s="1595" t="n">
        <f aca="false">IF($A231&gt;Endyr,0,VLOOKUP($A231,Tariff_Table,Tariff!$D$33))</f>
        <v>2089.04912836767</v>
      </c>
      <c r="D231" s="1565" t="n">
        <f aca="false">VLOOKUP($A231,Curves_Table,Escalation!$R$291)</f>
        <v>4.49294778333362</v>
      </c>
      <c r="E231" s="1606" t="n">
        <f aca="false">C231*D231</f>
        <v>9385.98865057456</v>
      </c>
      <c r="F231" s="1540" t="n">
        <f aca="false">'Plant Operations'!C231</f>
        <v>480</v>
      </c>
      <c r="G231" s="1606" t="n">
        <f aca="false">E231*F231/1000</f>
        <v>4505.27455227579</v>
      </c>
      <c r="H231" s="1576" t="n">
        <f aca="false">IF(Assm!$L$74=0,VLOOKUP($A231,Curves_Table,Escalation!$D$291),VLOOKUP($A231,Curves_Table,Escalation!$E$291))</f>
        <v>3.02282828962165</v>
      </c>
      <c r="I231" s="394" t="n">
        <f aca="false">G231/H231</f>
        <v>1490.41696074629</v>
      </c>
      <c r="J231" s="1579" t="str">
        <f aca="false">IF(MONTH($A231)=12,SUM(I220:I231)," ")</f>
        <v> </v>
      </c>
      <c r="L231" s="1607" t="n">
        <f aca="false">IF($A231&gt;Endyr,0,VLOOKUP($A231,Tariff_Table,Tariff!$J$33))</f>
        <v>0.19</v>
      </c>
      <c r="M231" s="1576" t="n">
        <f aca="false">D231</f>
        <v>4.49294778333362</v>
      </c>
      <c r="N231" s="1608" t="n">
        <f aca="false">L231*M231</f>
        <v>0.853660078833388</v>
      </c>
      <c r="O231" s="397" t="n">
        <f aca="false">'Plant Operations'!$I231+'Plant Operations'!$M231</f>
        <v>298980.864</v>
      </c>
      <c r="P231" s="1606" t="n">
        <f aca="false">N231*O231</f>
        <v>255228.027931914</v>
      </c>
      <c r="Q231" s="1565" t="n">
        <f aca="false">$H231</f>
        <v>3.02282828962165</v>
      </c>
      <c r="R231" s="1566" t="n">
        <f aca="false">P231/Q231</f>
        <v>84433.5183735693</v>
      </c>
      <c r="S231" s="1567" t="str">
        <f aca="false">IF(MONTH($A231)=12,SUM(R220:R231)," ")</f>
        <v> </v>
      </c>
    </row>
    <row r="232" customFormat="false" ht="12.75" hidden="false" customHeight="false" outlineLevel="0" collapsed="false">
      <c r="A232" s="1538" t="n">
        <f aca="false">'Plant Operations'!A232</f>
        <v>42948</v>
      </c>
      <c r="C232" s="1595" t="n">
        <f aca="false">IF($A232&gt;Endyr,0,VLOOKUP($A232,Tariff_Table,Tariff!$D$33))</f>
        <v>2089.04912836767</v>
      </c>
      <c r="D232" s="1565" t="n">
        <f aca="false">VLOOKUP($A232,Curves_Table,Escalation!$R$291)</f>
        <v>4.49294778333362</v>
      </c>
      <c r="E232" s="1606" t="n">
        <f aca="false">C232*D232</f>
        <v>9385.98865057456</v>
      </c>
      <c r="F232" s="1540" t="n">
        <f aca="false">'Plant Operations'!C232</f>
        <v>480</v>
      </c>
      <c r="G232" s="1606" t="n">
        <f aca="false">E232*F232/1000</f>
        <v>4505.27455227579</v>
      </c>
      <c r="H232" s="1576" t="n">
        <f aca="false">IF(Assm!$L$74=0,VLOOKUP($A232,Curves_Table,Escalation!$D$291),VLOOKUP($A232,Curves_Table,Escalation!$E$291))</f>
        <v>3.02781009793555</v>
      </c>
      <c r="I232" s="394" t="n">
        <f aca="false">G232/H232</f>
        <v>1487.96470272281</v>
      </c>
      <c r="J232" s="1579" t="str">
        <f aca="false">IF(MONTH($A232)=12,SUM(I221:I232)," ")</f>
        <v> </v>
      </c>
      <c r="L232" s="1607" t="n">
        <f aca="false">IF($A232&gt;Endyr,0,VLOOKUP($A232,Tariff_Table,Tariff!$J$33))</f>
        <v>0.19</v>
      </c>
      <c r="M232" s="1576" t="n">
        <f aca="false">D232</f>
        <v>4.49294778333362</v>
      </c>
      <c r="N232" s="1608" t="n">
        <f aca="false">L232*M232</f>
        <v>0.853660078833388</v>
      </c>
      <c r="O232" s="397" t="n">
        <f aca="false">'Plant Operations'!$I232+'Plant Operations'!$M232</f>
        <v>298980.864</v>
      </c>
      <c r="P232" s="1606" t="n">
        <f aca="false">N232*O232</f>
        <v>255228.027931914</v>
      </c>
      <c r="Q232" s="1565" t="n">
        <f aca="false">$H232</f>
        <v>3.02781009793555</v>
      </c>
      <c r="R232" s="1566" t="n">
        <f aca="false">P232/Q232</f>
        <v>84294.5956570846</v>
      </c>
      <c r="S232" s="1567" t="str">
        <f aca="false">IF(MONTH($A232)=12,SUM(R221:R232)," ")</f>
        <v> </v>
      </c>
    </row>
    <row r="233" customFormat="false" ht="12.75" hidden="false" customHeight="false" outlineLevel="0" collapsed="false">
      <c r="A233" s="1538" t="n">
        <f aca="false">'Plant Operations'!A233</f>
        <v>42979</v>
      </c>
      <c r="C233" s="1595" t="n">
        <f aca="false">IF($A233&gt;Endyr,0,VLOOKUP($A233,Tariff_Table,Tariff!$D$33))</f>
        <v>2089.04912836767</v>
      </c>
      <c r="D233" s="1565" t="n">
        <f aca="false">VLOOKUP($A233,Curves_Table,Escalation!$R$291)</f>
        <v>4.49294778333362</v>
      </c>
      <c r="E233" s="1606" t="n">
        <f aca="false">C233*D233</f>
        <v>9385.98865057456</v>
      </c>
      <c r="F233" s="1540" t="n">
        <f aca="false">'Plant Operations'!C233</f>
        <v>480</v>
      </c>
      <c r="G233" s="1606" t="n">
        <f aca="false">E233*F233/1000</f>
        <v>4505.27455227579</v>
      </c>
      <c r="H233" s="1576" t="n">
        <f aca="false">IF(Assm!$L$74=0,VLOOKUP($A233,Curves_Table,Escalation!$D$291),VLOOKUP($A233,Curves_Table,Escalation!$E$291))</f>
        <v>3.03280011657821</v>
      </c>
      <c r="I233" s="394" t="n">
        <f aca="false">G233/H233</f>
        <v>1485.51647952286</v>
      </c>
      <c r="J233" s="1579" t="str">
        <f aca="false">IF(MONTH($A233)=12,SUM(I222:I233)," ")</f>
        <v> </v>
      </c>
      <c r="L233" s="1607" t="n">
        <f aca="false">IF($A233&gt;Endyr,0,VLOOKUP($A233,Tariff_Table,Tariff!$J$33))</f>
        <v>0.19</v>
      </c>
      <c r="M233" s="1576" t="n">
        <f aca="false">D233</f>
        <v>4.49294778333362</v>
      </c>
      <c r="N233" s="1608" t="n">
        <f aca="false">L233*M233</f>
        <v>0.853660078833388</v>
      </c>
      <c r="O233" s="397" t="n">
        <f aca="false">'Plant Operations'!$I233+'Plant Operations'!$M233</f>
        <v>289336.32</v>
      </c>
      <c r="P233" s="1606" t="n">
        <f aca="false">N233*O233</f>
        <v>246994.865740562</v>
      </c>
      <c r="Q233" s="1565" t="n">
        <f aca="false">$H233</f>
        <v>3.03280011657821</v>
      </c>
      <c r="R233" s="1566" t="n">
        <f aca="false">P233/Q233</f>
        <v>81441.1950165831</v>
      </c>
      <c r="S233" s="1567" t="str">
        <f aca="false">IF(MONTH($A233)=12,SUM(R222:R233)," ")</f>
        <v> </v>
      </c>
    </row>
    <row r="234" customFormat="false" ht="12.75" hidden="false" customHeight="false" outlineLevel="0" collapsed="false">
      <c r="A234" s="1538" t="n">
        <f aca="false">'Plant Operations'!A234</f>
        <v>43009</v>
      </c>
      <c r="C234" s="1595" t="n">
        <f aca="false">IF($A234&gt;Endyr,0,VLOOKUP($A234,Tariff_Table,Tariff!$D$33))</f>
        <v>2089.04912836767</v>
      </c>
      <c r="D234" s="1565" t="n">
        <f aca="false">VLOOKUP($A234,Curves_Table,Escalation!$R$291)</f>
        <v>4.49294778333362</v>
      </c>
      <c r="E234" s="1606" t="n">
        <f aca="false">C234*D234</f>
        <v>9385.98865057456</v>
      </c>
      <c r="F234" s="1540" t="n">
        <f aca="false">'Plant Operations'!C234</f>
        <v>480</v>
      </c>
      <c r="G234" s="1606" t="n">
        <f aca="false">E234*F234/1000</f>
        <v>4505.27455227579</v>
      </c>
      <c r="H234" s="1576" t="n">
        <f aca="false">IF(Assm!$L$74=0,VLOOKUP($A234,Curves_Table,Escalation!$D$291),VLOOKUP($A234,Curves_Table,Escalation!$E$291))</f>
        <v>3.03779835908079</v>
      </c>
      <c r="I234" s="394" t="n">
        <f aca="false">G234/H234</f>
        <v>1483.07228450774</v>
      </c>
      <c r="J234" s="1579" t="str">
        <f aca="false">IF(MONTH($A234)=12,SUM(I223:I234)," ")</f>
        <v> </v>
      </c>
      <c r="L234" s="1607" t="n">
        <f aca="false">IF($A234&gt;Endyr,0,VLOOKUP($A234,Tariff_Table,Tariff!$J$33))</f>
        <v>0.19</v>
      </c>
      <c r="M234" s="1576" t="n">
        <f aca="false">D234</f>
        <v>4.49294778333362</v>
      </c>
      <c r="N234" s="1608" t="n">
        <f aca="false">L234*M234</f>
        <v>0.853660078833388</v>
      </c>
      <c r="O234" s="397" t="n">
        <f aca="false">'Plant Operations'!$I234+'Plant Operations'!$M234</f>
        <v>298980.864</v>
      </c>
      <c r="P234" s="1606" t="n">
        <f aca="false">N234*O234</f>
        <v>255228.027931914</v>
      </c>
      <c r="Q234" s="1565" t="n">
        <f aca="false">$H234</f>
        <v>3.03779835908079</v>
      </c>
      <c r="R234" s="1566" t="n">
        <f aca="false">P234/Q234</f>
        <v>84017.4355776348</v>
      </c>
      <c r="S234" s="1567" t="str">
        <f aca="false">IF(MONTH($A234)=12,SUM(R223:R234)," ")</f>
        <v> </v>
      </c>
    </row>
    <row r="235" customFormat="false" ht="12.75" hidden="false" customHeight="false" outlineLevel="0" collapsed="false">
      <c r="A235" s="1538" t="n">
        <f aca="false">'Plant Operations'!A235</f>
        <v>43040</v>
      </c>
      <c r="C235" s="1595" t="n">
        <f aca="false">IF($A235&gt;Endyr,0,VLOOKUP($A235,Tariff_Table,Tariff!$D$33))</f>
        <v>2089.04912836767</v>
      </c>
      <c r="D235" s="1565" t="n">
        <f aca="false">VLOOKUP($A235,Curves_Table,Escalation!$R$291)</f>
        <v>4.49294778333362</v>
      </c>
      <c r="E235" s="1606" t="n">
        <f aca="false">C235*D235</f>
        <v>9385.98865057456</v>
      </c>
      <c r="F235" s="1540" t="n">
        <f aca="false">'Plant Operations'!C235</f>
        <v>480</v>
      </c>
      <c r="G235" s="1606" t="n">
        <f aca="false">E235*F235/1000</f>
        <v>4505.27455227579</v>
      </c>
      <c r="H235" s="1576" t="n">
        <f aca="false">IF(Assm!$L$74=0,VLOOKUP($A235,Curves_Table,Escalation!$D$291),VLOOKUP($A235,Curves_Table,Escalation!$E$291))</f>
        <v>3.04280483899669</v>
      </c>
      <c r="I235" s="394" t="n">
        <f aca="false">G235/H235</f>
        <v>1480.63211104966</v>
      </c>
      <c r="J235" s="1579" t="str">
        <f aca="false">IF(MONTH($A235)=12,SUM(I224:I235)," ")</f>
        <v> </v>
      </c>
      <c r="L235" s="1607" t="n">
        <f aca="false">IF($A235&gt;Endyr,0,VLOOKUP($A235,Tariff_Table,Tariff!$J$33))</f>
        <v>0.19</v>
      </c>
      <c r="M235" s="1576" t="n">
        <f aca="false">D235</f>
        <v>4.49294778333362</v>
      </c>
      <c r="N235" s="1608" t="n">
        <f aca="false">L235*M235</f>
        <v>0.853660078833388</v>
      </c>
      <c r="O235" s="397" t="n">
        <f aca="false">'Plant Operations'!$I235+'Plant Operations'!$M235</f>
        <v>289336.32</v>
      </c>
      <c r="P235" s="1606" t="n">
        <f aca="false">N235*O235</f>
        <v>246994.865740562</v>
      </c>
      <c r="Q235" s="1565" t="n">
        <f aca="false">$H235</f>
        <v>3.04280483899669</v>
      </c>
      <c r="R235" s="1566" t="n">
        <f aca="false">P235/Q235</f>
        <v>81173.4168997853</v>
      </c>
      <c r="S235" s="1567" t="str">
        <f aca="false">IF(MONTH($A235)=12,SUM(R224:R235)," ")</f>
        <v> </v>
      </c>
    </row>
    <row r="236" customFormat="false" ht="12.75" hidden="false" customHeight="false" outlineLevel="0" collapsed="false">
      <c r="A236" s="1538" t="n">
        <f aca="false">'Plant Operations'!A236</f>
        <v>43070</v>
      </c>
      <c r="C236" s="1595" t="n">
        <f aca="false">IF($A236&gt;Endyr,0,VLOOKUP($A236,Tariff_Table,Tariff!$D$33))</f>
        <v>2089.04912836767</v>
      </c>
      <c r="D236" s="1565" t="n">
        <f aca="false">VLOOKUP($A236,Curves_Table,Escalation!$R$291)</f>
        <v>4.49294778333362</v>
      </c>
      <c r="E236" s="1606" t="n">
        <f aca="false">C236*D236</f>
        <v>9385.98865057456</v>
      </c>
      <c r="F236" s="1540" t="n">
        <f aca="false">'Plant Operations'!C236</f>
        <v>480</v>
      </c>
      <c r="G236" s="1606" t="n">
        <f aca="false">E236*F236/1000</f>
        <v>4505.27455227579</v>
      </c>
      <c r="H236" s="1576" t="n">
        <f aca="false">IF(Assm!$L$74=0,VLOOKUP($A236,Curves_Table,Escalation!$D$291),VLOOKUP($A236,Curves_Table,Escalation!$E$291))</f>
        <v>3.04781956990169</v>
      </c>
      <c r="I236" s="394" t="n">
        <f aca="false">G236/H236</f>
        <v>1478.19595253177</v>
      </c>
      <c r="J236" s="1579" t="n">
        <f aca="false">IF(MONTH($A236)=12,SUM(I225:I236)," ")</f>
        <v>18055.5974165767</v>
      </c>
      <c r="L236" s="1607" t="n">
        <f aca="false">IF($A236&gt;Endyr,0,VLOOKUP($A236,Tariff_Table,Tariff!$J$33))</f>
        <v>0.19</v>
      </c>
      <c r="M236" s="1576" t="n">
        <f aca="false">D236</f>
        <v>4.49294778333362</v>
      </c>
      <c r="N236" s="1608" t="n">
        <f aca="false">L236*M236</f>
        <v>0.853660078833388</v>
      </c>
      <c r="O236" s="397" t="n">
        <f aca="false">'Plant Operations'!$I236+'Plant Operations'!$M236</f>
        <v>298980.864</v>
      </c>
      <c r="P236" s="1606" t="n">
        <f aca="false">N236*O236</f>
        <v>255228.027931914</v>
      </c>
      <c r="Q236" s="1565" t="n">
        <f aca="false">$H236</f>
        <v>3.04781956990169</v>
      </c>
      <c r="R236" s="1566" t="n">
        <f aca="false">P236/Q236</f>
        <v>83741.1867987142</v>
      </c>
      <c r="S236" s="1567" t="n">
        <f aca="false">IF(MONTH($A236)=12,SUM(R225:R236)," ")</f>
        <v>973771.726897141</v>
      </c>
    </row>
    <row r="237" customFormat="false" ht="12.75" hidden="false" customHeight="false" outlineLevel="0" collapsed="false">
      <c r="A237" s="1538" t="n">
        <f aca="false">'Plant Operations'!A237</f>
        <v>43101</v>
      </c>
      <c r="C237" s="1595" t="n">
        <f aca="false">IF($A237&gt;Endyr,0,VLOOKUP($A237,Tariff_Table,Tariff!$D$33))</f>
        <v>2089.04912836767</v>
      </c>
      <c r="D237" s="1565" t="n">
        <f aca="false">VLOOKUP($A237,Curves_Table,Escalation!$R$291)</f>
        <v>4.49294778333362</v>
      </c>
      <c r="E237" s="1606" t="n">
        <f aca="false">C237*D237</f>
        <v>9385.98865057456</v>
      </c>
      <c r="F237" s="1540" t="n">
        <f aca="false">'Plant Operations'!C237</f>
        <v>480</v>
      </c>
      <c r="G237" s="1606" t="n">
        <f aca="false">E237*F237/1000</f>
        <v>4505.27455227579</v>
      </c>
      <c r="H237" s="1576" t="n">
        <f aca="false">IF(Assm!$L$74=0,VLOOKUP($A237,Curves_Table,Escalation!$D$291),VLOOKUP($A237,Curves_Table,Escalation!$E$291))</f>
        <v>3.05285098115965</v>
      </c>
      <c r="I237" s="394" t="n">
        <f aca="false">G237/H237</f>
        <v>1475.75973412382</v>
      </c>
      <c r="J237" s="1579" t="str">
        <f aca="false">IF(MONTH($A237)=12,SUM(I226:I237)," ")</f>
        <v> </v>
      </c>
      <c r="L237" s="1607" t="n">
        <f aca="false">IF($A237&gt;Endyr,0,VLOOKUP($A237,Tariff_Table,Tariff!$J$33))</f>
        <v>0.19</v>
      </c>
      <c r="M237" s="1576" t="n">
        <f aca="false">D237</f>
        <v>4.49294778333362</v>
      </c>
      <c r="N237" s="1608" t="n">
        <f aca="false">L237*M237</f>
        <v>0.853660078833388</v>
      </c>
      <c r="O237" s="397" t="n">
        <f aca="false">'Plant Operations'!$I237+'Plant Operations'!$M237</f>
        <v>298980.864</v>
      </c>
      <c r="P237" s="1606" t="n">
        <f aca="false">N237*O237</f>
        <v>255228.027931914</v>
      </c>
      <c r="Q237" s="1565" t="n">
        <f aca="false">$H237</f>
        <v>3.05285098115965</v>
      </c>
      <c r="R237" s="1566" t="n">
        <f aca="false">P237/Q237</f>
        <v>83603.1727414891</v>
      </c>
      <c r="S237" s="1567" t="str">
        <f aca="false">IF(MONTH($A237)=12,SUM(R226:R237)," ")</f>
        <v> </v>
      </c>
    </row>
    <row r="238" customFormat="false" ht="12.75" hidden="false" customHeight="false" outlineLevel="0" collapsed="false">
      <c r="A238" s="1538" t="n">
        <f aca="false">'Plant Operations'!A238</f>
        <v>43132</v>
      </c>
      <c r="C238" s="1595" t="n">
        <f aca="false">IF($A238&gt;Endyr,0,VLOOKUP($A238,Tariff_Table,Tariff!$D$33))</f>
        <v>2089.04912836767</v>
      </c>
      <c r="D238" s="1565" t="n">
        <f aca="false">VLOOKUP($A238,Curves_Table,Escalation!$R$291)</f>
        <v>4.49294778333362</v>
      </c>
      <c r="E238" s="1606" t="n">
        <f aca="false">C238*D238</f>
        <v>9385.98865057456</v>
      </c>
      <c r="F238" s="1540" t="n">
        <f aca="false">'Plant Operations'!C238</f>
        <v>480</v>
      </c>
      <c r="G238" s="1606" t="n">
        <f aca="false">E238*F238/1000</f>
        <v>4505.27455227579</v>
      </c>
      <c r="H238" s="1576" t="n">
        <f aca="false">IF(Assm!$L$74=0,VLOOKUP($A238,Curves_Table,Escalation!$D$291),VLOOKUP($A238,Curves_Table,Escalation!$E$291))</f>
        <v>3.05789069838804</v>
      </c>
      <c r="I238" s="394" t="n">
        <f aca="false">G238/H238</f>
        <v>1473.32753085345</v>
      </c>
      <c r="J238" s="1579" t="str">
        <f aca="false">IF(MONTH($A238)=12,SUM(I227:I238)," ")</f>
        <v> </v>
      </c>
      <c r="L238" s="1607" t="n">
        <f aca="false">IF($A238&gt;Endyr,0,VLOOKUP($A238,Tariff_Table,Tariff!$J$33))</f>
        <v>0.19</v>
      </c>
      <c r="M238" s="1576" t="n">
        <f aca="false">D238</f>
        <v>4.49294778333362</v>
      </c>
      <c r="N238" s="1608" t="n">
        <f aca="false">L238*M238</f>
        <v>0.853660078833388</v>
      </c>
      <c r="O238" s="397" t="n">
        <f aca="false">'Plant Operations'!$I238+'Plant Operations'!$M238</f>
        <v>270047.232</v>
      </c>
      <c r="P238" s="1606" t="n">
        <f aca="false">N238*O238</f>
        <v>230528.541357858</v>
      </c>
      <c r="Q238" s="1565" t="n">
        <f aca="false">$H238</f>
        <v>3.05789069838804</v>
      </c>
      <c r="R238" s="1566" t="n">
        <f aca="false">P238/Q238</f>
        <v>75388.0907121307</v>
      </c>
      <c r="S238" s="1567" t="str">
        <f aca="false">IF(MONTH($A238)=12,SUM(R227:R238)," ")</f>
        <v> </v>
      </c>
    </row>
    <row r="239" customFormat="false" ht="12.75" hidden="false" customHeight="false" outlineLevel="0" collapsed="false">
      <c r="A239" s="1538" t="n">
        <f aca="false">'Plant Operations'!A239</f>
        <v>43160</v>
      </c>
      <c r="C239" s="1595" t="n">
        <f aca="false">IF($A239&gt;Endyr,0,VLOOKUP($A239,Tariff_Table,Tariff!$D$33))</f>
        <v>2089.04912836767</v>
      </c>
      <c r="D239" s="1565" t="n">
        <f aca="false">VLOOKUP($A239,Curves_Table,Escalation!$R$291)</f>
        <v>4.49294778333362</v>
      </c>
      <c r="E239" s="1606" t="n">
        <f aca="false">C239*D239</f>
        <v>9385.98865057456</v>
      </c>
      <c r="F239" s="1540" t="n">
        <f aca="false">'Plant Operations'!C239</f>
        <v>480</v>
      </c>
      <c r="G239" s="1606" t="n">
        <f aca="false">E239*F239/1000</f>
        <v>4505.27455227579</v>
      </c>
      <c r="H239" s="1576" t="n">
        <f aca="false">IF(Assm!$L$74=0,VLOOKUP($A239,Curves_Table,Escalation!$D$291),VLOOKUP($A239,Curves_Table,Escalation!$E$291))</f>
        <v>3.06293873529856</v>
      </c>
      <c r="I239" s="394" t="n">
        <f aca="false">G239/H239</f>
        <v>1470.89933610332</v>
      </c>
      <c r="J239" s="1579" t="str">
        <f aca="false">IF(MONTH($A239)=12,SUM(I228:I239)," ")</f>
        <v> </v>
      </c>
      <c r="L239" s="1607" t="n">
        <f aca="false">IF($A239&gt;Endyr,0,VLOOKUP($A239,Tariff_Table,Tariff!$J$33))</f>
        <v>0.19</v>
      </c>
      <c r="M239" s="1576" t="n">
        <f aca="false">D239</f>
        <v>4.49294778333362</v>
      </c>
      <c r="N239" s="1608" t="n">
        <f aca="false">L239*M239</f>
        <v>0.853660078833388</v>
      </c>
      <c r="O239" s="397" t="n">
        <f aca="false">'Plant Operations'!$I239+'Plant Operations'!$M239</f>
        <v>298980.864</v>
      </c>
      <c r="P239" s="1606" t="n">
        <f aca="false">N239*O239</f>
        <v>255228.027931914</v>
      </c>
      <c r="Q239" s="1565" t="n">
        <f aca="false">$H239</f>
        <v>3.06293873529856</v>
      </c>
      <c r="R239" s="1566" t="n">
        <f aca="false">P239/Q239</f>
        <v>83327.8266360872</v>
      </c>
      <c r="S239" s="1567" t="str">
        <f aca="false">IF(MONTH($A239)=12,SUM(R228:R239)," ")</f>
        <v> </v>
      </c>
    </row>
    <row r="240" customFormat="false" ht="12.75" hidden="false" customHeight="false" outlineLevel="0" collapsed="false">
      <c r="A240" s="1538" t="n">
        <f aca="false">'Plant Operations'!A240</f>
        <v>43191</v>
      </c>
      <c r="C240" s="1595" t="n">
        <f aca="false">IF($A240&gt;Endyr,0,VLOOKUP($A240,Tariff_Table,Tariff!$D$33))</f>
        <v>2089.04912836767</v>
      </c>
      <c r="D240" s="1565" t="n">
        <f aca="false">VLOOKUP($A240,Curves_Table,Escalation!$R$291)</f>
        <v>4.49294778333362</v>
      </c>
      <c r="E240" s="1606" t="n">
        <f aca="false">C240*D240</f>
        <v>9385.98865057456</v>
      </c>
      <c r="F240" s="1540" t="n">
        <f aca="false">'Plant Operations'!C240</f>
        <v>480</v>
      </c>
      <c r="G240" s="1606" t="n">
        <f aca="false">E240*F240/1000</f>
        <v>4505.27455227579</v>
      </c>
      <c r="H240" s="1576" t="n">
        <f aca="false">IF(Assm!$L$74=0,VLOOKUP($A240,Curves_Table,Escalation!$D$291),VLOOKUP($A240,Curves_Table,Escalation!$E$291))</f>
        <v>3.06799510562553</v>
      </c>
      <c r="I240" s="394" t="n">
        <f aca="false">G240/H240</f>
        <v>1468.47514326696</v>
      </c>
      <c r="J240" s="1579" t="str">
        <f aca="false">IF(MONTH($A240)=12,SUM(I229:I240)," ")</f>
        <v> </v>
      </c>
      <c r="L240" s="1607" t="n">
        <f aca="false">IF($A240&gt;Endyr,0,VLOOKUP($A240,Tariff_Table,Tariff!$J$33))</f>
        <v>0.19</v>
      </c>
      <c r="M240" s="1576" t="n">
        <f aca="false">D240</f>
        <v>4.49294778333362</v>
      </c>
      <c r="N240" s="1608" t="n">
        <f aca="false">L240*M240</f>
        <v>0.853660078833388</v>
      </c>
      <c r="O240" s="397" t="n">
        <f aca="false">'Plant Operations'!$I240+'Plant Operations'!$M240</f>
        <v>289336.32</v>
      </c>
      <c r="P240" s="1606" t="n">
        <f aca="false">N240*O240</f>
        <v>246994.865740562</v>
      </c>
      <c r="Q240" s="1565" t="n">
        <f aca="false">$H240</f>
        <v>3.06799510562553</v>
      </c>
      <c r="R240" s="1566" t="n">
        <f aca="false">P240/Q240</f>
        <v>80506.9295213896</v>
      </c>
      <c r="S240" s="1567" t="str">
        <f aca="false">IF(MONTH($A240)=12,SUM(R229:R240)," ")</f>
        <v> </v>
      </c>
    </row>
    <row r="241" customFormat="false" ht="12.75" hidden="false" customHeight="false" outlineLevel="0" collapsed="false">
      <c r="A241" s="1538" t="n">
        <f aca="false">'Plant Operations'!A241</f>
        <v>43221</v>
      </c>
      <c r="C241" s="1595" t="n">
        <f aca="false">IF($A241&gt;Endyr,0,VLOOKUP($A241,Tariff_Table,Tariff!$D$33))</f>
        <v>1291.01851851852</v>
      </c>
      <c r="D241" s="1565" t="n">
        <f aca="false">VLOOKUP($A241,Curves_Table,Escalation!$R$291)</f>
        <v>4.79846823260031</v>
      </c>
      <c r="E241" s="1606" t="n">
        <f aca="false">C241*D241</f>
        <v>6194.91134880983</v>
      </c>
      <c r="F241" s="1540" t="n">
        <f aca="false">'Plant Operations'!C241</f>
        <v>480</v>
      </c>
      <c r="G241" s="1606" t="n">
        <f aca="false">E241*F241/1000</f>
        <v>2973.55744742872</v>
      </c>
      <c r="H241" s="1576" t="n">
        <f aca="false">IF(Assm!$L$74=0,VLOOKUP($A241,Curves_Table,Escalation!$D$291),VLOOKUP($A241,Curves_Table,Escalation!$E$291))</f>
        <v>3.07305982312594</v>
      </c>
      <c r="I241" s="394" t="n">
        <f aca="false">G241/H241</f>
        <v>967.621074295908</v>
      </c>
      <c r="J241" s="1579" t="str">
        <f aca="false">IF(MONTH($A241)=12,SUM(I230:I241)," ")</f>
        <v> </v>
      </c>
      <c r="L241" s="1607" t="n">
        <f aca="false">IF($A241&gt;Endyr,0,VLOOKUP($A241,Tariff_Table,Tariff!$J$33))</f>
        <v>0.19</v>
      </c>
      <c r="M241" s="1576" t="n">
        <f aca="false">D241</f>
        <v>4.79846823260031</v>
      </c>
      <c r="N241" s="1608" t="n">
        <f aca="false">L241*M241</f>
        <v>0.911708964194059</v>
      </c>
      <c r="O241" s="397" t="n">
        <f aca="false">'Plant Operations'!$I241+'Plant Operations'!$M241</f>
        <v>298980.864</v>
      </c>
      <c r="P241" s="1606" t="n">
        <f aca="false">N241*O241</f>
        <v>272583.533831285</v>
      </c>
      <c r="Q241" s="1565" t="n">
        <f aca="false">$H241</f>
        <v>3.07305982312594</v>
      </c>
      <c r="R241" s="1566" t="n">
        <f aca="false">P241/Q241</f>
        <v>88701.0177218127</v>
      </c>
      <c r="S241" s="1567" t="str">
        <f aca="false">IF(MONTH($A241)=12,SUM(R230:R241)," ")</f>
        <v> </v>
      </c>
    </row>
    <row r="242" customFormat="false" ht="12.75" hidden="false" customHeight="false" outlineLevel="0" collapsed="false">
      <c r="A242" s="1538" t="n">
        <f aca="false">'Plant Operations'!A242</f>
        <v>43252</v>
      </c>
      <c r="C242" s="1595" t="n">
        <f aca="false">IF($A242&gt;Endyr,0,VLOOKUP($A242,Tariff_Table,Tariff!$D$33))</f>
        <v>1291.01851851852</v>
      </c>
      <c r="D242" s="1565" t="n">
        <f aca="false">VLOOKUP($A242,Curves_Table,Escalation!$R$291)</f>
        <v>4.79846823260031</v>
      </c>
      <c r="E242" s="1606" t="n">
        <f aca="false">C242*D242</f>
        <v>6194.91134880983</v>
      </c>
      <c r="F242" s="1540" t="n">
        <f aca="false">'Plant Operations'!C242</f>
        <v>480</v>
      </c>
      <c r="G242" s="1606" t="n">
        <f aca="false">E242*F242/1000</f>
        <v>2973.55744742872</v>
      </c>
      <c r="H242" s="1576" t="n">
        <f aca="false">IF(Assm!$L$74=0,VLOOKUP($A242,Curves_Table,Escalation!$D$291),VLOOKUP($A242,Curves_Table,Escalation!$E$291))</f>
        <v>3.07813290157952</v>
      </c>
      <c r="I242" s="394" t="n">
        <f aca="false">G242/H242</f>
        <v>966.026335608467</v>
      </c>
      <c r="J242" s="1579" t="str">
        <f aca="false">IF(MONTH($A242)=12,SUM(I231:I242)," ")</f>
        <v> </v>
      </c>
      <c r="L242" s="1607" t="n">
        <f aca="false">IF($A242&gt;Endyr,0,VLOOKUP($A242,Tariff_Table,Tariff!$J$33))</f>
        <v>0.19</v>
      </c>
      <c r="M242" s="1576" t="n">
        <f aca="false">D242</f>
        <v>4.79846823260031</v>
      </c>
      <c r="N242" s="1608" t="n">
        <f aca="false">L242*M242</f>
        <v>0.911708964194059</v>
      </c>
      <c r="O242" s="397" t="n">
        <f aca="false">'Plant Operations'!$I242+'Plant Operations'!$M242</f>
        <v>289336.32</v>
      </c>
      <c r="P242" s="1606" t="n">
        <f aca="false">N242*O242</f>
        <v>263790.516610921</v>
      </c>
      <c r="Q242" s="1565" t="n">
        <f aca="false">$H242</f>
        <v>3.07813290157952</v>
      </c>
      <c r="R242" s="1566" t="n">
        <f aca="false">P242/Q242</f>
        <v>85698.2219564201</v>
      </c>
      <c r="S242" s="1567" t="str">
        <f aca="false">IF(MONTH($A242)=12,SUM(R231:R242)," ")</f>
        <v> </v>
      </c>
    </row>
    <row r="243" customFormat="false" ht="12.75" hidden="false" customHeight="false" outlineLevel="0" collapsed="false">
      <c r="A243" s="1538" t="n">
        <f aca="false">'Plant Operations'!A243</f>
        <v>43282</v>
      </c>
      <c r="C243" s="1595" t="n">
        <f aca="false">IF($A243&gt;Endyr,0,VLOOKUP($A243,Tariff_Table,Tariff!$D$33))</f>
        <v>1291.01851851852</v>
      </c>
      <c r="D243" s="1565" t="n">
        <f aca="false">VLOOKUP($A243,Curves_Table,Escalation!$R$291)</f>
        <v>4.79846823260031</v>
      </c>
      <c r="E243" s="1606" t="n">
        <f aca="false">C243*D243</f>
        <v>6194.91134880983</v>
      </c>
      <c r="F243" s="1540" t="n">
        <f aca="false">'Plant Operations'!C243</f>
        <v>480</v>
      </c>
      <c r="G243" s="1606" t="n">
        <f aca="false">E243*F243/1000</f>
        <v>2973.55744742872</v>
      </c>
      <c r="H243" s="1576" t="n">
        <f aca="false">IF(Assm!$L$74=0,VLOOKUP($A243,Curves_Table,Escalation!$D$291),VLOOKUP($A243,Curves_Table,Escalation!$E$291))</f>
        <v>3.0832143547887</v>
      </c>
      <c r="I243" s="394" t="n">
        <f aca="false">G243/H243</f>
        <v>964.434225213804</v>
      </c>
      <c r="J243" s="1579" t="str">
        <f aca="false">IF(MONTH($A243)=12,SUM(I232:I243)," ")</f>
        <v> </v>
      </c>
      <c r="L243" s="1607" t="n">
        <f aca="false">IF($A243&gt;Endyr,0,VLOOKUP($A243,Tariff_Table,Tariff!$J$33))</f>
        <v>0.19</v>
      </c>
      <c r="M243" s="1576" t="n">
        <f aca="false">D243</f>
        <v>4.79846823260031</v>
      </c>
      <c r="N243" s="1608" t="n">
        <f aca="false">L243*M243</f>
        <v>0.911708964194059</v>
      </c>
      <c r="O243" s="397" t="n">
        <f aca="false">'Plant Operations'!$I243+'Plant Operations'!$M243</f>
        <v>298980.864</v>
      </c>
      <c r="P243" s="1606" t="n">
        <f aca="false">N243*O243</f>
        <v>272583.533831285</v>
      </c>
      <c r="Q243" s="1565" t="n">
        <f aca="false">$H243</f>
        <v>3.0832143547887</v>
      </c>
      <c r="R243" s="1566" t="n">
        <f aca="false">P243/Q243</f>
        <v>88408.8819215314</v>
      </c>
      <c r="S243" s="1567" t="str">
        <f aca="false">IF(MONTH($A243)=12,SUM(R232:R243)," ")</f>
        <v> </v>
      </c>
    </row>
    <row r="244" customFormat="false" ht="12.75" hidden="false" customHeight="false" outlineLevel="0" collapsed="false">
      <c r="A244" s="1538" t="n">
        <f aca="false">'Plant Operations'!A244</f>
        <v>43313</v>
      </c>
      <c r="C244" s="1595" t="n">
        <f aca="false">IF($A244&gt;Endyr,0,VLOOKUP($A244,Tariff_Table,Tariff!$D$33))</f>
        <v>1291.01851851852</v>
      </c>
      <c r="D244" s="1565" t="n">
        <f aca="false">VLOOKUP($A244,Curves_Table,Escalation!$R$291)</f>
        <v>4.79846823260031</v>
      </c>
      <c r="E244" s="1606" t="n">
        <f aca="false">C244*D244</f>
        <v>6194.91134880983</v>
      </c>
      <c r="F244" s="1540" t="n">
        <f aca="false">'Plant Operations'!C244</f>
        <v>480</v>
      </c>
      <c r="G244" s="1606" t="n">
        <f aca="false">E244*F244/1000</f>
        <v>2973.55744742872</v>
      </c>
      <c r="H244" s="1576" t="n">
        <f aca="false">IF(Assm!$L$74=0,VLOOKUP($A244,Curves_Table,Escalation!$D$291),VLOOKUP($A244,Curves_Table,Escalation!$E$291))</f>
        <v>3.08830419657873</v>
      </c>
      <c r="I244" s="394" t="n">
        <f aca="false">G244/H244</f>
        <v>962.844738780223</v>
      </c>
      <c r="J244" s="1579" t="str">
        <f aca="false">IF(MONTH($A244)=12,SUM(I233:I244)," ")</f>
        <v> </v>
      </c>
      <c r="L244" s="1607" t="n">
        <f aca="false">IF($A244&gt;Endyr,0,VLOOKUP($A244,Tariff_Table,Tariff!$J$33))</f>
        <v>0.19</v>
      </c>
      <c r="M244" s="1576" t="n">
        <f aca="false">D244</f>
        <v>4.79846823260031</v>
      </c>
      <c r="N244" s="1608" t="n">
        <f aca="false">L244*M244</f>
        <v>0.911708964194059</v>
      </c>
      <c r="O244" s="397" t="n">
        <f aca="false">'Plant Operations'!$I244+'Plant Operations'!$M244</f>
        <v>298980.864</v>
      </c>
      <c r="P244" s="1606" t="n">
        <f aca="false">N244*O244</f>
        <v>272583.533831285</v>
      </c>
      <c r="Q244" s="1565" t="n">
        <f aca="false">$H244</f>
        <v>3.08830419657873</v>
      </c>
      <c r="R244" s="1566" t="n">
        <f aca="false">P244/Q244</f>
        <v>88263.1750244217</v>
      </c>
      <c r="S244" s="1567" t="str">
        <f aca="false">IF(MONTH($A244)=12,SUM(R233:R244)," ")</f>
        <v> </v>
      </c>
    </row>
    <row r="245" customFormat="false" ht="12.75" hidden="false" customHeight="false" outlineLevel="0" collapsed="false">
      <c r="A245" s="1538" t="n">
        <f aca="false">'Plant Operations'!A245</f>
        <v>43344</v>
      </c>
      <c r="C245" s="1595" t="n">
        <f aca="false">IF($A245&gt;Endyr,0,VLOOKUP($A245,Tariff_Table,Tariff!$D$33))</f>
        <v>1291.01851851852</v>
      </c>
      <c r="D245" s="1565" t="n">
        <f aca="false">VLOOKUP($A245,Curves_Table,Escalation!$R$291)</f>
        <v>4.79846823260031</v>
      </c>
      <c r="E245" s="1606" t="n">
        <f aca="false">C245*D245</f>
        <v>6194.91134880983</v>
      </c>
      <c r="F245" s="1540" t="n">
        <f aca="false">'Plant Operations'!C245</f>
        <v>480</v>
      </c>
      <c r="G245" s="1606" t="n">
        <f aca="false">E245*F245/1000</f>
        <v>2973.55744742872</v>
      </c>
      <c r="H245" s="1576" t="n">
        <f aca="false">IF(Assm!$L$74=0,VLOOKUP($A245,Curves_Table,Escalation!$D$291),VLOOKUP($A245,Curves_Table,Escalation!$E$291))</f>
        <v>3.09340244079768</v>
      </c>
      <c r="I245" s="394" t="n">
        <f aca="false">G245/H245</f>
        <v>961.257871983167</v>
      </c>
      <c r="J245" s="1579" t="str">
        <f aca="false">IF(MONTH($A245)=12,SUM(I234:I245)," ")</f>
        <v> </v>
      </c>
      <c r="L245" s="1607" t="n">
        <f aca="false">IF($A245&gt;Endyr,0,VLOOKUP($A245,Tariff_Table,Tariff!$J$33))</f>
        <v>0.19</v>
      </c>
      <c r="M245" s="1576" t="n">
        <f aca="false">D245</f>
        <v>4.79846823260031</v>
      </c>
      <c r="N245" s="1608" t="n">
        <f aca="false">L245*M245</f>
        <v>0.911708964194059</v>
      </c>
      <c r="O245" s="397" t="n">
        <f aca="false">'Plant Operations'!$I245+'Plant Operations'!$M245</f>
        <v>289336.32</v>
      </c>
      <c r="P245" s="1606" t="n">
        <f aca="false">N245*O245</f>
        <v>263790.516610921</v>
      </c>
      <c r="Q245" s="1565" t="n">
        <f aca="false">$H245</f>
        <v>3.09340244079768</v>
      </c>
      <c r="R245" s="1566" t="n">
        <f aca="false">P245/Q245</f>
        <v>85275.2015489126</v>
      </c>
      <c r="S245" s="1567" t="str">
        <f aca="false">IF(MONTH($A245)=12,SUM(R234:R245)," ")</f>
        <v> </v>
      </c>
    </row>
    <row r="246" customFormat="false" ht="12.75" hidden="false" customHeight="false" outlineLevel="0" collapsed="false">
      <c r="A246" s="1538" t="n">
        <f aca="false">'Plant Operations'!A246</f>
        <v>43374</v>
      </c>
      <c r="C246" s="1595" t="n">
        <f aca="false">IF($A246&gt;Endyr,0,VLOOKUP($A246,Tariff_Table,Tariff!$D$33))</f>
        <v>1291.01851851852</v>
      </c>
      <c r="D246" s="1565" t="n">
        <f aca="false">VLOOKUP($A246,Curves_Table,Escalation!$R$291)</f>
        <v>4.79846823260031</v>
      </c>
      <c r="E246" s="1606" t="n">
        <f aca="false">C246*D246</f>
        <v>6194.91134880983</v>
      </c>
      <c r="F246" s="1540" t="n">
        <f aca="false">'Plant Operations'!C246</f>
        <v>480</v>
      </c>
      <c r="G246" s="1606" t="n">
        <f aca="false">E246*F246/1000</f>
        <v>2973.55744742872</v>
      </c>
      <c r="H246" s="1576" t="n">
        <f aca="false">IF(Assm!$L$74=0,VLOOKUP($A246,Curves_Table,Escalation!$D$291),VLOOKUP($A246,Curves_Table,Escalation!$E$291))</f>
        <v>3.09850910131647</v>
      </c>
      <c r="I246" s="394" t="n">
        <f aca="false">G246/H246</f>
        <v>959.673620505207</v>
      </c>
      <c r="J246" s="1579" t="str">
        <f aca="false">IF(MONTH($A246)=12,SUM(I235:I246)," ")</f>
        <v> </v>
      </c>
      <c r="L246" s="1607" t="n">
        <f aca="false">IF($A246&gt;Endyr,0,VLOOKUP($A246,Tariff_Table,Tariff!$J$33))</f>
        <v>0.19</v>
      </c>
      <c r="M246" s="1576" t="n">
        <f aca="false">D246</f>
        <v>4.79846823260031</v>
      </c>
      <c r="N246" s="1608" t="n">
        <f aca="false">L246*M246</f>
        <v>0.911708964194059</v>
      </c>
      <c r="O246" s="397" t="n">
        <f aca="false">'Plant Operations'!$I246+'Plant Operations'!$M246</f>
        <v>298980.864</v>
      </c>
      <c r="P246" s="1606" t="n">
        <f aca="false">N246*O246</f>
        <v>272583.533831285</v>
      </c>
      <c r="Q246" s="1565" t="n">
        <f aca="false">$H246</f>
        <v>3.09850910131647</v>
      </c>
      <c r="R246" s="1566" t="n">
        <f aca="false">P246/Q246</f>
        <v>87972.4812541203</v>
      </c>
      <c r="S246" s="1567" t="str">
        <f aca="false">IF(MONTH($A246)=12,SUM(R235:R246)," ")</f>
        <v> </v>
      </c>
    </row>
    <row r="247" customFormat="false" ht="12.75" hidden="false" customHeight="false" outlineLevel="0" collapsed="false">
      <c r="A247" s="1538" t="n">
        <f aca="false">'Plant Operations'!A247</f>
        <v>43405</v>
      </c>
      <c r="C247" s="1595" t="n">
        <f aca="false">IF($A247&gt;Endyr,0,VLOOKUP($A247,Tariff_Table,Tariff!$D$33))</f>
        <v>1291.01851851852</v>
      </c>
      <c r="D247" s="1565" t="n">
        <f aca="false">VLOOKUP($A247,Curves_Table,Escalation!$R$291)</f>
        <v>4.79846823260031</v>
      </c>
      <c r="E247" s="1606" t="n">
        <f aca="false">C247*D247</f>
        <v>6194.91134880983</v>
      </c>
      <c r="F247" s="1540" t="n">
        <f aca="false">'Plant Operations'!C247</f>
        <v>480</v>
      </c>
      <c r="G247" s="1606" t="n">
        <f aca="false">E247*F247/1000</f>
        <v>2973.55744742872</v>
      </c>
      <c r="H247" s="1576" t="n">
        <f aca="false">IF(Assm!$L$74=0,VLOOKUP($A247,Curves_Table,Escalation!$D$291),VLOOKUP($A247,Curves_Table,Escalation!$E$291))</f>
        <v>3.10362419202893</v>
      </c>
      <c r="I247" s="394" t="n">
        <f aca="false">G247/H247</f>
        <v>958.091980036029</v>
      </c>
      <c r="J247" s="1579" t="str">
        <f aca="false">IF(MONTH($A247)=12,SUM(I236:I247)," ")</f>
        <v> </v>
      </c>
      <c r="L247" s="1607" t="n">
        <f aca="false">IF($A247&gt;Endyr,0,VLOOKUP($A247,Tariff_Table,Tariff!$J$33))</f>
        <v>0.19</v>
      </c>
      <c r="M247" s="1576" t="n">
        <f aca="false">D247</f>
        <v>4.79846823260031</v>
      </c>
      <c r="N247" s="1608" t="n">
        <f aca="false">L247*M247</f>
        <v>0.911708964194059</v>
      </c>
      <c r="O247" s="397" t="n">
        <f aca="false">'Plant Operations'!$I247+'Plant Operations'!$M247</f>
        <v>289336.32</v>
      </c>
      <c r="P247" s="1606" t="n">
        <f aca="false">N247*O247</f>
        <v>263790.516610921</v>
      </c>
      <c r="Q247" s="1565" t="n">
        <f aca="false">$H247</f>
        <v>3.10362419202893</v>
      </c>
      <c r="R247" s="1566" t="n">
        <f aca="false">P247/Q247</f>
        <v>84994.3486355136</v>
      </c>
      <c r="S247" s="1567" t="str">
        <f aca="false">IF(MONTH($A247)=12,SUM(R236:R247)," ")</f>
        <v> </v>
      </c>
    </row>
    <row r="248" customFormat="false" ht="12.75" hidden="false" customHeight="false" outlineLevel="0" collapsed="false">
      <c r="A248" s="1538" t="n">
        <f aca="false">'Plant Operations'!A248</f>
        <v>43435</v>
      </c>
      <c r="C248" s="1595" t="n">
        <f aca="false">IF($A248&gt;Endyr,0,VLOOKUP($A248,Tariff_Table,Tariff!$D$33))</f>
        <v>1291.01851851852</v>
      </c>
      <c r="D248" s="1565" t="n">
        <f aca="false">VLOOKUP($A248,Curves_Table,Escalation!$R$291)</f>
        <v>4.79846823260031</v>
      </c>
      <c r="E248" s="1606" t="n">
        <f aca="false">C248*D248</f>
        <v>6194.91134880983</v>
      </c>
      <c r="F248" s="1540" t="n">
        <f aca="false">'Plant Operations'!C248</f>
        <v>480</v>
      </c>
      <c r="G248" s="1606" t="n">
        <f aca="false">E248*F248/1000</f>
        <v>2973.55744742872</v>
      </c>
      <c r="H248" s="1576" t="n">
        <f aca="false">IF(Assm!$L$74=0,VLOOKUP($A248,Curves_Table,Escalation!$D$291),VLOOKUP($A248,Curves_Table,Escalation!$E$291))</f>
        <v>3.10874772685181</v>
      </c>
      <c r="I248" s="394" t="n">
        <f aca="false">G248/H248</f>
        <v>956.512946272423</v>
      </c>
      <c r="J248" s="1579" t="n">
        <f aca="false">IF(MONTH($A248)=12,SUM(I237:I248)," ")</f>
        <v>13584.9245370428</v>
      </c>
      <c r="L248" s="1607" t="n">
        <f aca="false">IF($A248&gt;Endyr,0,VLOOKUP($A248,Tariff_Table,Tariff!$J$33))</f>
        <v>0.19</v>
      </c>
      <c r="M248" s="1576" t="n">
        <f aca="false">D248</f>
        <v>4.79846823260031</v>
      </c>
      <c r="N248" s="1608" t="n">
        <f aca="false">L248*M248</f>
        <v>0.911708964194059</v>
      </c>
      <c r="O248" s="397" t="n">
        <f aca="false">'Plant Operations'!$I248+'Plant Operations'!$M248</f>
        <v>298980.864</v>
      </c>
      <c r="P248" s="1606" t="n">
        <f aca="false">N248*O248</f>
        <v>272583.533831285</v>
      </c>
      <c r="Q248" s="1565" t="n">
        <f aca="false">$H248</f>
        <v>3.10874772685181</v>
      </c>
      <c r="R248" s="1566" t="n">
        <f aca="false">P248/Q248</f>
        <v>87682.744880469</v>
      </c>
      <c r="S248" s="1567" t="n">
        <f aca="false">IF(MONTH($A248)=12,SUM(R237:R248)," ")</f>
        <v>1019822.0925543</v>
      </c>
    </row>
    <row r="249" customFormat="false" ht="12.75" hidden="false" customHeight="false" outlineLevel="0" collapsed="false">
      <c r="A249" s="1538" t="n">
        <f aca="false">'Plant Operations'!A249</f>
        <v>43466</v>
      </c>
      <c r="C249" s="1595" t="n">
        <f aca="false">IF($A249&gt;Endyr,0,VLOOKUP($A249,Tariff_Table,Tariff!$D$33))</f>
        <v>1291.01851851852</v>
      </c>
      <c r="D249" s="1565" t="n">
        <f aca="false">VLOOKUP($A249,Curves_Table,Escalation!$R$291)</f>
        <v>4.79846823260031</v>
      </c>
      <c r="E249" s="1606" t="n">
        <f aca="false">C249*D249</f>
        <v>6194.91134880983</v>
      </c>
      <c r="F249" s="1540" t="n">
        <f aca="false">'Plant Operations'!C249</f>
        <v>480</v>
      </c>
      <c r="G249" s="1606" t="n">
        <f aca="false">E249*F249/1000</f>
        <v>2973.55744742872</v>
      </c>
      <c r="H249" s="1576" t="n">
        <f aca="false">IF(Assm!$L$74=0,VLOOKUP($A249,Curves_Table,Escalation!$D$291),VLOOKUP($A249,Curves_Table,Escalation!$E$291))</f>
        <v>3.11389218833154</v>
      </c>
      <c r="I249" s="394" t="n">
        <f aca="false">G249/H249</f>
        <v>954.932691173867</v>
      </c>
      <c r="J249" s="1579" t="str">
        <f aca="false">IF(MONTH($A249)=12,SUM(I238:I249)," ")</f>
        <v> </v>
      </c>
      <c r="L249" s="1607" t="n">
        <f aca="false">IF($A249&gt;Endyr,0,VLOOKUP($A249,Tariff_Table,Tariff!$J$33))</f>
        <v>0.19</v>
      </c>
      <c r="M249" s="1576" t="n">
        <f aca="false">D249</f>
        <v>4.79846823260031</v>
      </c>
      <c r="N249" s="1608" t="n">
        <f aca="false">L249*M249</f>
        <v>0.911708964194059</v>
      </c>
      <c r="O249" s="397" t="n">
        <f aca="false">'Plant Operations'!$I249+'Plant Operations'!$M249</f>
        <v>298980.864</v>
      </c>
      <c r="P249" s="1606" t="n">
        <f aca="false">N249*O249</f>
        <v>272583.533831285</v>
      </c>
      <c r="Q249" s="1565" t="n">
        <f aca="false">$H249</f>
        <v>3.11389218833154</v>
      </c>
      <c r="R249" s="1566" t="n">
        <f aca="false">P249/Q249</f>
        <v>87537.8842121501</v>
      </c>
      <c r="S249" s="1567" t="str">
        <f aca="false">IF(MONTH($A249)=12,SUM(R238:R249)," ")</f>
        <v> </v>
      </c>
    </row>
    <row r="250" customFormat="false" ht="12.75" hidden="false" customHeight="false" outlineLevel="0" collapsed="false">
      <c r="A250" s="1538" t="n">
        <f aca="false">'Plant Operations'!A250</f>
        <v>43497</v>
      </c>
      <c r="C250" s="1595" t="n">
        <f aca="false">IF($A250&gt;Endyr,0,VLOOKUP($A250,Tariff_Table,Tariff!$D$33))</f>
        <v>1291.01851851852</v>
      </c>
      <c r="D250" s="1565" t="n">
        <f aca="false">VLOOKUP($A250,Curves_Table,Escalation!$R$291)</f>
        <v>4.79846823260031</v>
      </c>
      <c r="E250" s="1606" t="n">
        <f aca="false">C250*D250</f>
        <v>6194.91134880983</v>
      </c>
      <c r="F250" s="1540" t="n">
        <f aca="false">'Plant Operations'!C250</f>
        <v>480</v>
      </c>
      <c r="G250" s="1606" t="n">
        <f aca="false">E250*F250/1000</f>
        <v>2973.55744742872</v>
      </c>
      <c r="H250" s="1576" t="n">
        <f aca="false">IF(Assm!$L$74=0,VLOOKUP($A250,Curves_Table,Escalation!$D$291),VLOOKUP($A250,Curves_Table,Escalation!$E$291))</f>
        <v>3.11904516304111</v>
      </c>
      <c r="I250" s="394" t="n">
        <f aca="false">G250/H250</f>
        <v>953.355046814858</v>
      </c>
      <c r="J250" s="1579" t="str">
        <f aca="false">IF(MONTH($A250)=12,SUM(I239:I250)," ")</f>
        <v> </v>
      </c>
      <c r="L250" s="1607" t="n">
        <f aca="false">IF($A250&gt;Endyr,0,VLOOKUP($A250,Tariff_Table,Tariff!$J$33))</f>
        <v>0.19</v>
      </c>
      <c r="M250" s="1576" t="n">
        <f aca="false">D250</f>
        <v>4.79846823260031</v>
      </c>
      <c r="N250" s="1608" t="n">
        <f aca="false">L250*M250</f>
        <v>0.911708964194059</v>
      </c>
      <c r="O250" s="397" t="n">
        <f aca="false">'Plant Operations'!$I250+'Plant Operations'!$M250</f>
        <v>270047.232</v>
      </c>
      <c r="P250" s="1606" t="n">
        <f aca="false">N250*O250</f>
        <v>246204.482170193</v>
      </c>
      <c r="Q250" s="1565" t="n">
        <f aca="false">$H250</f>
        <v>3.11904516304111</v>
      </c>
      <c r="R250" s="1566" t="n">
        <f aca="false">P250/Q250</f>
        <v>78935.8503325229</v>
      </c>
      <c r="S250" s="1567" t="str">
        <f aca="false">IF(MONTH($A250)=12,SUM(R239:R250)," ")</f>
        <v> </v>
      </c>
    </row>
    <row r="251" customFormat="false" ht="12.75" hidden="false" customHeight="false" outlineLevel="0" collapsed="false">
      <c r="A251" s="1538" t="n">
        <f aca="false">'Plant Operations'!A251</f>
        <v>43525</v>
      </c>
      <c r="C251" s="1595" t="n">
        <f aca="false">IF($A251&gt;Endyr,0,VLOOKUP($A251,Tariff_Table,Tariff!$D$33))</f>
        <v>1291.01851851852</v>
      </c>
      <c r="D251" s="1565" t="n">
        <f aca="false">VLOOKUP($A251,Curves_Table,Escalation!$R$291)</f>
        <v>4.79846823260031</v>
      </c>
      <c r="E251" s="1606" t="n">
        <f aca="false">C251*D251</f>
        <v>6194.91134880983</v>
      </c>
      <c r="F251" s="1540" t="n">
        <f aca="false">'Plant Operations'!C251</f>
        <v>480</v>
      </c>
      <c r="G251" s="1606" t="n">
        <f aca="false">E251*F251/1000</f>
        <v>2973.55744742872</v>
      </c>
      <c r="H251" s="1576" t="n">
        <f aca="false">IF(Assm!$L$74=0,VLOOKUP($A251,Curves_Table,Escalation!$D$291),VLOOKUP($A251,Curves_Table,Escalation!$E$291))</f>
        <v>3.12420666506851</v>
      </c>
      <c r="I251" s="394" t="n">
        <f aca="false">G251/H251</f>
        <v>951.780008882194</v>
      </c>
      <c r="J251" s="1579" t="str">
        <f aca="false">IF(MONTH($A251)=12,SUM(I240:I251)," ")</f>
        <v> </v>
      </c>
      <c r="L251" s="1607" t="n">
        <f aca="false">IF($A251&gt;Endyr,0,VLOOKUP($A251,Tariff_Table,Tariff!$J$33))</f>
        <v>0.19</v>
      </c>
      <c r="M251" s="1576" t="n">
        <f aca="false">D251</f>
        <v>4.79846823260031</v>
      </c>
      <c r="N251" s="1608" t="n">
        <f aca="false">L251*M251</f>
        <v>0.911708964194059</v>
      </c>
      <c r="O251" s="397" t="n">
        <f aca="false">'Plant Operations'!$I251+'Plant Operations'!$M251</f>
        <v>298980.864</v>
      </c>
      <c r="P251" s="1606" t="n">
        <f aca="false">N251*O251</f>
        <v>272583.533831285</v>
      </c>
      <c r="Q251" s="1565" t="n">
        <f aca="false">$H251</f>
        <v>3.12420666506851</v>
      </c>
      <c r="R251" s="1566" t="n">
        <f aca="false">P251/Q251</f>
        <v>87248.8804530821</v>
      </c>
      <c r="S251" s="1567" t="str">
        <f aca="false">IF(MONTH($A251)=12,SUM(R240:R251)," ")</f>
        <v> </v>
      </c>
    </row>
    <row r="252" customFormat="false" ht="12.75" hidden="false" customHeight="false" outlineLevel="0" collapsed="false">
      <c r="A252" s="1538" t="n">
        <f aca="false">'Plant Operations'!A252</f>
        <v>43556</v>
      </c>
      <c r="C252" s="1595" t="n">
        <f aca="false">IF($A252&gt;Endyr,0,VLOOKUP($A252,Tariff_Table,Tariff!$D$33))</f>
        <v>1291.01851851852</v>
      </c>
      <c r="D252" s="1565" t="n">
        <f aca="false">VLOOKUP($A252,Curves_Table,Escalation!$R$291)</f>
        <v>4.79846823260031</v>
      </c>
      <c r="E252" s="1606" t="n">
        <f aca="false">C252*D252</f>
        <v>6194.91134880983</v>
      </c>
      <c r="F252" s="1540" t="n">
        <f aca="false">'Plant Operations'!C252</f>
        <v>480</v>
      </c>
      <c r="G252" s="1606" t="n">
        <f aca="false">E252*F252/1000</f>
        <v>2973.55744742872</v>
      </c>
      <c r="H252" s="1576" t="n">
        <f aca="false">IF(Assm!$L$74=0,VLOOKUP($A252,Curves_Table,Escalation!$D$291),VLOOKUP($A252,Curves_Table,Escalation!$E$291))</f>
        <v>3.12937670852503</v>
      </c>
      <c r="I252" s="394" t="n">
        <f aca="false">G252/H252</f>
        <v>950.207573069797</v>
      </c>
      <c r="J252" s="1579" t="str">
        <f aca="false">IF(MONTH($A252)=12,SUM(I241:I252)," ")</f>
        <v> </v>
      </c>
      <c r="L252" s="1607" t="n">
        <f aca="false">IF($A252&gt;Endyr,0,VLOOKUP($A252,Tariff_Table,Tariff!$J$33))</f>
        <v>0.19</v>
      </c>
      <c r="M252" s="1576" t="n">
        <f aca="false">D252</f>
        <v>4.79846823260031</v>
      </c>
      <c r="N252" s="1608" t="n">
        <f aca="false">L252*M252</f>
        <v>0.911708964194059</v>
      </c>
      <c r="O252" s="397" t="n">
        <f aca="false">'Plant Operations'!$I252+'Plant Operations'!$M252</f>
        <v>289336.32</v>
      </c>
      <c r="P252" s="1606" t="n">
        <f aca="false">N252*O252</f>
        <v>263790.516610921</v>
      </c>
      <c r="Q252" s="1565" t="n">
        <f aca="false">$H252</f>
        <v>3.12937670852503</v>
      </c>
      <c r="R252" s="1566" t="n">
        <f aca="false">P252/Q252</f>
        <v>84294.906360204</v>
      </c>
      <c r="S252" s="1567" t="str">
        <f aca="false">IF(MONTH($A252)=12,SUM(R241:R252)," ")</f>
        <v> </v>
      </c>
    </row>
    <row r="253" customFormat="false" ht="12.75" hidden="false" customHeight="false" outlineLevel="0" collapsed="false">
      <c r="A253" s="1538" t="n">
        <f aca="false">'Plant Operations'!A253</f>
        <v>43586</v>
      </c>
      <c r="C253" s="1595" t="n">
        <f aca="false">IF($A253&gt;Endyr,0,VLOOKUP($A253,Tariff_Table,Tariff!$D$33))</f>
        <v>0</v>
      </c>
      <c r="D253" s="1565" t="n">
        <f aca="false">VLOOKUP($A253,Curves_Table,Escalation!$R$291)</f>
        <v>5.12476407241713</v>
      </c>
      <c r="E253" s="1606" t="n">
        <f aca="false">C253*D253</f>
        <v>0</v>
      </c>
      <c r="F253" s="1540" t="n">
        <f aca="false">'Plant Operations'!C253</f>
        <v>0</v>
      </c>
      <c r="G253" s="1606" t="n">
        <f aca="false">E253*F253/1000</f>
        <v>0</v>
      </c>
      <c r="H253" s="1576" t="n">
        <f aca="false">IF(Assm!$L$74=0,VLOOKUP($A253,Curves_Table,Escalation!$D$291),VLOOKUP($A253,Curves_Table,Escalation!$E$291))</f>
        <v>3.13455530754531</v>
      </c>
      <c r="I253" s="394" t="n">
        <f aca="false">G253/H253</f>
        <v>0</v>
      </c>
      <c r="J253" s="1579" t="str">
        <f aca="false">IF(MONTH($A253)=12,SUM(I242:I253)," ")</f>
        <v> </v>
      </c>
      <c r="L253" s="1607" t="n">
        <f aca="false">IF($A253&gt;Endyr,0,VLOOKUP($A253,Tariff_Table,Tariff!$J$33))</f>
        <v>0</v>
      </c>
      <c r="M253" s="1576" t="n">
        <f aca="false">D253</f>
        <v>5.12476407241713</v>
      </c>
      <c r="N253" s="1608" t="n">
        <f aca="false">L253*M253</f>
        <v>0</v>
      </c>
      <c r="O253" s="397" t="n">
        <f aca="false">'Plant Operations'!$I253+'Plant Operations'!$M253</f>
        <v>0</v>
      </c>
      <c r="P253" s="1606" t="n">
        <f aca="false">N253*O253</f>
        <v>0</v>
      </c>
      <c r="Q253" s="1565" t="n">
        <f aca="false">$H253</f>
        <v>3.13455530754531</v>
      </c>
      <c r="R253" s="1566" t="n">
        <f aca="false">P253/Q253</f>
        <v>0</v>
      </c>
      <c r="S253" s="1567" t="str">
        <f aca="false">IF(MONTH($A253)=12,SUM(R242:R253)," ")</f>
        <v> </v>
      </c>
    </row>
    <row r="254" customFormat="false" ht="12.75" hidden="false" customHeight="false" outlineLevel="0" collapsed="false">
      <c r="A254" s="1538" t="n">
        <f aca="false">'Plant Operations'!A254</f>
        <v>43617</v>
      </c>
      <c r="C254" s="1595" t="n">
        <f aca="false">IF($A254&gt;Endyr,0,VLOOKUP($A254,Tariff_Table,Tariff!$D$33))</f>
        <v>0</v>
      </c>
      <c r="D254" s="1565" t="n">
        <f aca="false">VLOOKUP($A254,Curves_Table,Escalation!$R$291)</f>
        <v>5.12476407241713</v>
      </c>
      <c r="E254" s="1606" t="n">
        <f aca="false">C254*D254</f>
        <v>0</v>
      </c>
      <c r="F254" s="1540" t="n">
        <f aca="false">'Plant Operations'!C254</f>
        <v>0</v>
      </c>
      <c r="G254" s="1606" t="n">
        <f aca="false">E254*F254/1000</f>
        <v>0</v>
      </c>
      <c r="H254" s="1576" t="n">
        <f aca="false">IF(Assm!$L$74=0,VLOOKUP($A254,Curves_Table,Escalation!$D$291),VLOOKUP($A254,Curves_Table,Escalation!$E$291))</f>
        <v>3.13455530754531</v>
      </c>
      <c r="I254" s="394" t="n">
        <f aca="false">G254/H254</f>
        <v>0</v>
      </c>
      <c r="J254" s="1579" t="str">
        <f aca="false">IF(MONTH($A254)=12,SUM(I243:I254)," ")</f>
        <v> </v>
      </c>
      <c r="L254" s="1607" t="n">
        <f aca="false">IF($A254&gt;Endyr,0,VLOOKUP($A254,Tariff_Table,Tariff!$J$33))</f>
        <v>0</v>
      </c>
      <c r="M254" s="1576" t="n">
        <f aca="false">D254</f>
        <v>5.12476407241713</v>
      </c>
      <c r="N254" s="1608" t="n">
        <f aca="false">L254*M254</f>
        <v>0</v>
      </c>
      <c r="O254" s="397" t="n">
        <f aca="false">'Plant Operations'!$I254+'Plant Operations'!$M254</f>
        <v>0</v>
      </c>
      <c r="P254" s="1606" t="n">
        <f aca="false">N254*O254</f>
        <v>0</v>
      </c>
      <c r="Q254" s="1565" t="n">
        <f aca="false">$H254</f>
        <v>3.13455530754531</v>
      </c>
      <c r="R254" s="1566" t="n">
        <f aca="false">P254/Q254</f>
        <v>0</v>
      </c>
      <c r="S254" s="1567" t="str">
        <f aca="false">IF(MONTH($A254)=12,SUM(R243:R254)," ")</f>
        <v> </v>
      </c>
    </row>
    <row r="255" customFormat="false" ht="12.75" hidden="false" customHeight="false" outlineLevel="0" collapsed="false">
      <c r="A255" s="1538" t="n">
        <f aca="false">'Plant Operations'!A255</f>
        <v>43647</v>
      </c>
      <c r="C255" s="1595" t="n">
        <f aca="false">IF($A255&gt;Endyr,0,VLOOKUP($A255,Tariff_Table,Tariff!$D$33))</f>
        <v>0</v>
      </c>
      <c r="D255" s="1565" t="n">
        <f aca="false">VLOOKUP($A255,Curves_Table,Escalation!$R$291)</f>
        <v>5.12476407241713</v>
      </c>
      <c r="E255" s="1606" t="n">
        <f aca="false">C255*D255</f>
        <v>0</v>
      </c>
      <c r="F255" s="1540" t="n">
        <f aca="false">'Plant Operations'!C255</f>
        <v>0</v>
      </c>
      <c r="G255" s="1606" t="n">
        <f aca="false">E255*F255/1000</f>
        <v>0</v>
      </c>
      <c r="H255" s="1576" t="n">
        <f aca="false">IF(Assm!$L$74=0,VLOOKUP($A255,Curves_Table,Escalation!$D$291),VLOOKUP($A255,Curves_Table,Escalation!$E$291))</f>
        <v>3.13455530754531</v>
      </c>
      <c r="I255" s="394" t="n">
        <f aca="false">G255/H255</f>
        <v>0</v>
      </c>
      <c r="J255" s="1579" t="str">
        <f aca="false">IF(MONTH($A255)=12,SUM(I244:I255)," ")</f>
        <v> </v>
      </c>
      <c r="L255" s="1607" t="n">
        <f aca="false">IF($A255&gt;Endyr,0,VLOOKUP($A255,Tariff_Table,Tariff!$J$33))</f>
        <v>0</v>
      </c>
      <c r="M255" s="1576" t="n">
        <f aca="false">D255</f>
        <v>5.12476407241713</v>
      </c>
      <c r="N255" s="1608" t="n">
        <f aca="false">L255*M255</f>
        <v>0</v>
      </c>
      <c r="O255" s="397" t="n">
        <f aca="false">'Plant Operations'!$I255+'Plant Operations'!$M255</f>
        <v>0</v>
      </c>
      <c r="P255" s="1606" t="n">
        <f aca="false">N255*O255</f>
        <v>0</v>
      </c>
      <c r="Q255" s="1565" t="n">
        <f aca="false">$H255</f>
        <v>3.13455530754531</v>
      </c>
      <c r="R255" s="1566" t="n">
        <f aca="false">P255/Q255</f>
        <v>0</v>
      </c>
      <c r="S255" s="1567" t="str">
        <f aca="false">IF(MONTH($A255)=12,SUM(R244:R255)," ")</f>
        <v> </v>
      </c>
    </row>
    <row r="256" customFormat="false" ht="12.75" hidden="false" customHeight="false" outlineLevel="0" collapsed="false">
      <c r="A256" s="1538" t="n">
        <f aca="false">'Plant Operations'!A256</f>
        <v>43678</v>
      </c>
      <c r="C256" s="1595" t="n">
        <f aca="false">IF($A256&gt;Endyr,0,VLOOKUP($A256,Tariff_Table,Tariff!$D$33))</f>
        <v>0</v>
      </c>
      <c r="D256" s="1565" t="n">
        <f aca="false">VLOOKUP($A256,Curves_Table,Escalation!$R$291)</f>
        <v>5.12476407241713</v>
      </c>
      <c r="E256" s="1606" t="n">
        <f aca="false">C256*D256</f>
        <v>0</v>
      </c>
      <c r="F256" s="1540" t="n">
        <f aca="false">'Plant Operations'!C256</f>
        <v>0</v>
      </c>
      <c r="G256" s="1606" t="n">
        <f aca="false">E256*F256/1000</f>
        <v>0</v>
      </c>
      <c r="H256" s="1576" t="n">
        <f aca="false">IF(Assm!$L$74=0,VLOOKUP($A256,Curves_Table,Escalation!$D$291),VLOOKUP($A256,Curves_Table,Escalation!$E$291))</f>
        <v>3.13455530754531</v>
      </c>
      <c r="I256" s="394" t="n">
        <f aca="false">G256/H256</f>
        <v>0</v>
      </c>
      <c r="J256" s="1579" t="str">
        <f aca="false">IF(MONTH($A256)=12,SUM(I245:I256)," ")</f>
        <v> </v>
      </c>
      <c r="L256" s="1607" t="n">
        <f aca="false">IF($A256&gt;Endyr,0,VLOOKUP($A256,Tariff_Table,Tariff!$J$33))</f>
        <v>0</v>
      </c>
      <c r="M256" s="1576" t="n">
        <f aca="false">D256</f>
        <v>5.12476407241713</v>
      </c>
      <c r="N256" s="1608" t="n">
        <f aca="false">L256*M256</f>
        <v>0</v>
      </c>
      <c r="O256" s="397" t="n">
        <f aca="false">'Plant Operations'!$I256+'Plant Operations'!$M256</f>
        <v>0</v>
      </c>
      <c r="P256" s="1606" t="n">
        <f aca="false">N256*O256</f>
        <v>0</v>
      </c>
      <c r="Q256" s="1565" t="n">
        <f aca="false">$H256</f>
        <v>3.13455530754531</v>
      </c>
      <c r="R256" s="1566" t="n">
        <f aca="false">P256/Q256</f>
        <v>0</v>
      </c>
      <c r="S256" s="1567" t="str">
        <f aca="false">IF(MONTH($A256)=12,SUM(R245:R256)," ")</f>
        <v> </v>
      </c>
    </row>
    <row r="257" customFormat="false" ht="12.75" hidden="false" customHeight="false" outlineLevel="0" collapsed="false">
      <c r="A257" s="1538" t="n">
        <f aca="false">'Plant Operations'!A257</f>
        <v>43709</v>
      </c>
      <c r="C257" s="1595" t="n">
        <f aca="false">IF($A257&gt;Endyr,0,VLOOKUP($A257,Tariff_Table,Tariff!$D$33))</f>
        <v>0</v>
      </c>
      <c r="D257" s="1565" t="n">
        <f aca="false">VLOOKUP($A257,Curves_Table,Escalation!$R$291)</f>
        <v>5.12476407241713</v>
      </c>
      <c r="E257" s="1606" t="n">
        <f aca="false">C257*D257</f>
        <v>0</v>
      </c>
      <c r="F257" s="1540" t="n">
        <f aca="false">'Plant Operations'!C257</f>
        <v>0</v>
      </c>
      <c r="G257" s="1606" t="n">
        <f aca="false">E257*F257/1000</f>
        <v>0</v>
      </c>
      <c r="H257" s="1576" t="n">
        <f aca="false">IF(Assm!$L$74=0,VLOOKUP($A257,Curves_Table,Escalation!$D$291),VLOOKUP($A257,Curves_Table,Escalation!$E$291))</f>
        <v>3.13455530754531</v>
      </c>
      <c r="I257" s="394" t="n">
        <f aca="false">G257/H257</f>
        <v>0</v>
      </c>
      <c r="J257" s="1579" t="str">
        <f aca="false">IF(MONTH($A257)=12,SUM(I246:I257)," ")</f>
        <v> </v>
      </c>
      <c r="L257" s="1607" t="n">
        <f aca="false">IF($A257&gt;Endyr,0,VLOOKUP($A257,Tariff_Table,Tariff!$J$33))</f>
        <v>0</v>
      </c>
      <c r="M257" s="1576" t="n">
        <f aca="false">D257</f>
        <v>5.12476407241713</v>
      </c>
      <c r="N257" s="1608" t="n">
        <f aca="false">L257*M257</f>
        <v>0</v>
      </c>
      <c r="O257" s="397" t="n">
        <f aca="false">'Plant Operations'!$I257+'Plant Operations'!$M257</f>
        <v>0</v>
      </c>
      <c r="P257" s="1606" t="n">
        <f aca="false">N257*O257</f>
        <v>0</v>
      </c>
      <c r="Q257" s="1565" t="n">
        <f aca="false">$H257</f>
        <v>3.13455530754531</v>
      </c>
      <c r="R257" s="1566" t="n">
        <f aca="false">P257/Q257</f>
        <v>0</v>
      </c>
      <c r="S257" s="1567" t="str">
        <f aca="false">IF(MONTH($A257)=12,SUM(R246:R257)," ")</f>
        <v> </v>
      </c>
    </row>
    <row r="258" customFormat="false" ht="12.75" hidden="false" customHeight="false" outlineLevel="0" collapsed="false">
      <c r="A258" s="1538" t="n">
        <f aca="false">'Plant Operations'!A258</f>
        <v>43739</v>
      </c>
      <c r="C258" s="1595" t="n">
        <f aca="false">IF($A258&gt;Endyr,0,VLOOKUP($A258,Tariff_Table,Tariff!$D$33))</f>
        <v>0</v>
      </c>
      <c r="D258" s="1565" t="n">
        <f aca="false">VLOOKUP($A258,Curves_Table,Escalation!$R$291)</f>
        <v>5.12476407241713</v>
      </c>
      <c r="E258" s="1606" t="n">
        <f aca="false">C258*D258</f>
        <v>0</v>
      </c>
      <c r="F258" s="1540" t="n">
        <f aca="false">'Plant Operations'!C258</f>
        <v>0</v>
      </c>
      <c r="G258" s="1606" t="n">
        <f aca="false">E258*F258/1000</f>
        <v>0</v>
      </c>
      <c r="H258" s="1576" t="n">
        <f aca="false">IF(Assm!$L$74=0,VLOOKUP($A258,Curves_Table,Escalation!$D$291),VLOOKUP($A258,Curves_Table,Escalation!$E$291))</f>
        <v>3.13455530754531</v>
      </c>
      <c r="I258" s="394" t="n">
        <f aca="false">G258/H258</f>
        <v>0</v>
      </c>
      <c r="J258" s="1579" t="str">
        <f aca="false">IF(MONTH($A258)=12,SUM(I247:I258)," ")</f>
        <v> </v>
      </c>
      <c r="L258" s="1607" t="n">
        <f aca="false">IF($A258&gt;Endyr,0,VLOOKUP($A258,Tariff_Table,Tariff!$J$33))</f>
        <v>0</v>
      </c>
      <c r="M258" s="1576" t="n">
        <f aca="false">D258</f>
        <v>5.12476407241713</v>
      </c>
      <c r="N258" s="1608" t="n">
        <f aca="false">L258*M258</f>
        <v>0</v>
      </c>
      <c r="O258" s="397" t="n">
        <f aca="false">'Plant Operations'!$I258+'Plant Operations'!$M258</f>
        <v>0</v>
      </c>
      <c r="P258" s="1606" t="n">
        <f aca="false">N258*O258</f>
        <v>0</v>
      </c>
      <c r="Q258" s="1565" t="n">
        <f aca="false">$H258</f>
        <v>3.13455530754531</v>
      </c>
      <c r="R258" s="1566" t="n">
        <f aca="false">P258/Q258</f>
        <v>0</v>
      </c>
      <c r="S258" s="1567" t="str">
        <f aca="false">IF(MONTH($A258)=12,SUM(R247:R258)," ")</f>
        <v> </v>
      </c>
    </row>
    <row r="259" customFormat="false" ht="12.75" hidden="false" customHeight="false" outlineLevel="0" collapsed="false">
      <c r="A259" s="1538" t="n">
        <f aca="false">'Plant Operations'!A259</f>
        <v>43770</v>
      </c>
      <c r="C259" s="1595" t="n">
        <f aca="false">IF($A259&gt;Endyr,0,VLOOKUP($A259,Tariff_Table,Tariff!$D$33))</f>
        <v>0</v>
      </c>
      <c r="D259" s="1565" t="n">
        <f aca="false">VLOOKUP($A259,Curves_Table,Escalation!$R$291)</f>
        <v>5.12476407241713</v>
      </c>
      <c r="E259" s="1606" t="n">
        <f aca="false">C259*D259</f>
        <v>0</v>
      </c>
      <c r="F259" s="1540" t="n">
        <f aca="false">'Plant Operations'!C259</f>
        <v>0</v>
      </c>
      <c r="G259" s="1606" t="n">
        <f aca="false">E259*F259/1000</f>
        <v>0</v>
      </c>
      <c r="H259" s="1576" t="n">
        <f aca="false">IF(Assm!$L$74=0,VLOOKUP($A259,Curves_Table,Escalation!$D$291),VLOOKUP($A259,Curves_Table,Escalation!$E$291))</f>
        <v>3.13455530754531</v>
      </c>
      <c r="I259" s="394" t="n">
        <f aca="false">G259/H259</f>
        <v>0</v>
      </c>
      <c r="J259" s="1579" t="str">
        <f aca="false">IF(MONTH($A259)=12,SUM(I248:I259)," ")</f>
        <v> </v>
      </c>
      <c r="L259" s="1607" t="n">
        <f aca="false">IF($A259&gt;Endyr,0,VLOOKUP($A259,Tariff_Table,Tariff!$J$33))</f>
        <v>0</v>
      </c>
      <c r="M259" s="1576" t="n">
        <f aca="false">D259</f>
        <v>5.12476407241713</v>
      </c>
      <c r="N259" s="1608" t="n">
        <f aca="false">L259*M259</f>
        <v>0</v>
      </c>
      <c r="O259" s="397" t="n">
        <f aca="false">'Plant Operations'!$I259+'Plant Operations'!$M259</f>
        <v>0</v>
      </c>
      <c r="P259" s="1606" t="n">
        <f aca="false">N259*O259</f>
        <v>0</v>
      </c>
      <c r="Q259" s="1565" t="n">
        <f aca="false">$H259</f>
        <v>3.13455530754531</v>
      </c>
      <c r="R259" s="1566" t="n">
        <f aca="false">P259/Q259</f>
        <v>0</v>
      </c>
      <c r="S259" s="1567" t="str">
        <f aca="false">IF(MONTH($A259)=12,SUM(R248:R259)," ")</f>
        <v> </v>
      </c>
    </row>
    <row r="260" customFormat="false" ht="12.75" hidden="false" customHeight="false" outlineLevel="0" collapsed="false">
      <c r="A260" s="1538" t="n">
        <f aca="false">'Plant Operations'!A260</f>
        <v>43800</v>
      </c>
      <c r="C260" s="1595" t="n">
        <f aca="false">IF($A260&gt;Endyr,0,VLOOKUP($A260,Tariff_Table,Tariff!$D$33))</f>
        <v>0</v>
      </c>
      <c r="D260" s="1565" t="n">
        <f aca="false">VLOOKUP($A260,Curves_Table,Escalation!$R$291)</f>
        <v>5.12476407241713</v>
      </c>
      <c r="E260" s="1606" t="n">
        <f aca="false">C260*D260</f>
        <v>0</v>
      </c>
      <c r="F260" s="1540" t="n">
        <f aca="false">'Plant Operations'!C260</f>
        <v>0</v>
      </c>
      <c r="G260" s="1606" t="n">
        <f aca="false">E260*F260/1000</f>
        <v>0</v>
      </c>
      <c r="H260" s="1576" t="n">
        <f aca="false">IF(Assm!$L$74=0,VLOOKUP($A260,Curves_Table,Escalation!$D$291),VLOOKUP($A260,Curves_Table,Escalation!$E$291))</f>
        <v>3.13455530754531</v>
      </c>
      <c r="I260" s="394" t="n">
        <f aca="false">G260/H260</f>
        <v>0</v>
      </c>
      <c r="J260" s="1579" t="n">
        <f aca="false">IF(MONTH($A260)=12,SUM(I249:I260)," ")</f>
        <v>3810.27531994072</v>
      </c>
      <c r="L260" s="1607" t="n">
        <f aca="false">IF($A260&gt;Endyr,0,VLOOKUP($A260,Tariff_Table,Tariff!$J$33))</f>
        <v>0</v>
      </c>
      <c r="M260" s="1576" t="n">
        <f aca="false">D260</f>
        <v>5.12476407241713</v>
      </c>
      <c r="N260" s="1608" t="n">
        <f aca="false">L260*M260</f>
        <v>0</v>
      </c>
      <c r="O260" s="397" t="n">
        <f aca="false">'Plant Operations'!$I260+'Plant Operations'!$M260</f>
        <v>0</v>
      </c>
      <c r="P260" s="1606" t="n">
        <f aca="false">N260*O260</f>
        <v>0</v>
      </c>
      <c r="Q260" s="1565" t="n">
        <f aca="false">$H260</f>
        <v>3.13455530754531</v>
      </c>
      <c r="R260" s="1566" t="n">
        <f aca="false">P260/Q260</f>
        <v>0</v>
      </c>
      <c r="S260" s="1567" t="n">
        <f aca="false">IF(MONTH($A260)=12,SUM(R249:R260)," ")</f>
        <v>338017.521357959</v>
      </c>
    </row>
    <row r="261" customFormat="false" ht="12.75" hidden="false" customHeight="false" outlineLevel="0" collapsed="false">
      <c r="A261" s="1538" t="n">
        <f aca="false">'Plant Operations'!A261</f>
        <v>43831</v>
      </c>
      <c r="C261" s="1595" t="n">
        <f aca="false">IF($A261&gt;Endyr,0,VLOOKUP($A261,Tariff_Table,Tariff!$D$33))</f>
        <v>0</v>
      </c>
      <c r="D261" s="1565" t="n">
        <f aca="false">VLOOKUP($A261,Curves_Table,Escalation!$R$291)</f>
        <v>5.12476407241713</v>
      </c>
      <c r="E261" s="1606" t="n">
        <f aca="false">C261*D261</f>
        <v>0</v>
      </c>
      <c r="F261" s="1540" t="n">
        <f aca="false">'Plant Operations'!C261</f>
        <v>0</v>
      </c>
      <c r="G261" s="1606" t="n">
        <f aca="false">E261*F261/1000</f>
        <v>0</v>
      </c>
      <c r="H261" s="1576" t="n">
        <f aca="false">IF(Assm!$L$74=0,VLOOKUP($A261,Curves_Table,Escalation!$D$291),VLOOKUP($A261,Curves_Table,Escalation!$E$291))</f>
        <v>3.13455530754531</v>
      </c>
      <c r="I261" s="394" t="n">
        <f aca="false">G261/H261</f>
        <v>0</v>
      </c>
      <c r="J261" s="1579" t="str">
        <f aca="false">IF(MONTH($A261)=12,SUM(I250:I261)," ")</f>
        <v> </v>
      </c>
      <c r="L261" s="1607" t="n">
        <f aca="false">IF($A261&gt;Endyr,0,VLOOKUP($A261,Tariff_Table,Tariff!$J$33))</f>
        <v>0</v>
      </c>
      <c r="M261" s="1576" t="n">
        <f aca="false">D261</f>
        <v>5.12476407241713</v>
      </c>
      <c r="N261" s="1608" t="n">
        <f aca="false">L261*M261</f>
        <v>0</v>
      </c>
      <c r="O261" s="397" t="n">
        <f aca="false">'Plant Operations'!$I261+'Plant Operations'!$M261</f>
        <v>0</v>
      </c>
      <c r="P261" s="1606" t="n">
        <f aca="false">N261*O261</f>
        <v>0</v>
      </c>
      <c r="Q261" s="1565" t="n">
        <f aca="false">$H261</f>
        <v>3.13455530754531</v>
      </c>
      <c r="R261" s="1566" t="n">
        <f aca="false">P261/Q261</f>
        <v>0</v>
      </c>
      <c r="S261" s="1567" t="str">
        <f aca="false">IF(MONTH($A261)=12,SUM(R250:R261)," ")</f>
        <v> </v>
      </c>
    </row>
    <row r="262" customFormat="false" ht="12.75" hidden="false" customHeight="false" outlineLevel="0" collapsed="false">
      <c r="A262" s="1538" t="n">
        <f aca="false">'Plant Operations'!A262</f>
        <v>43862</v>
      </c>
      <c r="C262" s="1595" t="n">
        <f aca="false">IF($A262&gt;Endyr,0,VLOOKUP($A262,Tariff_Table,Tariff!$D$33))</f>
        <v>0</v>
      </c>
      <c r="D262" s="1565" t="n">
        <f aca="false">VLOOKUP($A262,Curves_Table,Escalation!$R$291)</f>
        <v>5.12476407241713</v>
      </c>
      <c r="E262" s="1606" t="n">
        <f aca="false">C262*D262</f>
        <v>0</v>
      </c>
      <c r="F262" s="1540" t="n">
        <f aca="false">'Plant Operations'!C262</f>
        <v>0</v>
      </c>
      <c r="G262" s="1606" t="n">
        <f aca="false">E262*F262/1000</f>
        <v>0</v>
      </c>
      <c r="H262" s="1576" t="n">
        <f aca="false">IF(Assm!$L$74=0,VLOOKUP($A262,Curves_Table,Escalation!$D$291),VLOOKUP($A262,Curves_Table,Escalation!$E$291))</f>
        <v>3.13455530754531</v>
      </c>
      <c r="I262" s="394" t="n">
        <f aca="false">G262/H262</f>
        <v>0</v>
      </c>
      <c r="J262" s="1579" t="str">
        <f aca="false">IF(MONTH($A262)=12,SUM(I251:I262)," ")</f>
        <v> </v>
      </c>
      <c r="L262" s="1607" t="n">
        <f aca="false">IF($A262&gt;Endyr,0,VLOOKUP($A262,Tariff_Table,Tariff!$J$33))</f>
        <v>0</v>
      </c>
      <c r="M262" s="1576" t="n">
        <f aca="false">D262</f>
        <v>5.12476407241713</v>
      </c>
      <c r="N262" s="1608" t="n">
        <f aca="false">L262*M262</f>
        <v>0</v>
      </c>
      <c r="O262" s="397" t="n">
        <f aca="false">'Plant Operations'!$I262+'Plant Operations'!$M262</f>
        <v>0</v>
      </c>
      <c r="P262" s="1606" t="n">
        <f aca="false">N262*O262</f>
        <v>0</v>
      </c>
      <c r="Q262" s="1565" t="n">
        <f aca="false">$H262</f>
        <v>3.13455530754531</v>
      </c>
      <c r="R262" s="1566" t="n">
        <f aca="false">P262/Q262</f>
        <v>0</v>
      </c>
      <c r="S262" s="1567" t="str">
        <f aca="false">IF(MONTH($A262)=12,SUM(R251:R262)," ")</f>
        <v> </v>
      </c>
    </row>
    <row r="263" customFormat="false" ht="12.75" hidden="false" customHeight="false" outlineLevel="0" collapsed="false">
      <c r="A263" s="1538" t="n">
        <f aca="false">'Plant Operations'!A263</f>
        <v>43891</v>
      </c>
      <c r="C263" s="1595" t="n">
        <f aca="false">IF($A263&gt;Endyr,0,VLOOKUP($A263,Tariff_Table,Tariff!$D$33))</f>
        <v>0</v>
      </c>
      <c r="D263" s="1565" t="n">
        <f aca="false">VLOOKUP($A263,Curves_Table,Escalation!$R$291)</f>
        <v>5.12476407241713</v>
      </c>
      <c r="E263" s="1606" t="n">
        <f aca="false">C263*D263</f>
        <v>0</v>
      </c>
      <c r="F263" s="1540" t="n">
        <f aca="false">'Plant Operations'!C263</f>
        <v>0</v>
      </c>
      <c r="G263" s="1606" t="n">
        <f aca="false">E263*F263/1000</f>
        <v>0</v>
      </c>
      <c r="H263" s="1576" t="n">
        <f aca="false">IF(Assm!$L$74=0,VLOOKUP($A263,Curves_Table,Escalation!$D$291),VLOOKUP($A263,Curves_Table,Escalation!$E$291))</f>
        <v>3.13455530754531</v>
      </c>
      <c r="I263" s="394" t="n">
        <f aca="false">G263/H263</f>
        <v>0</v>
      </c>
      <c r="J263" s="1579" t="str">
        <f aca="false">IF(MONTH($A263)=12,SUM(I252:I263)," ")</f>
        <v> </v>
      </c>
      <c r="L263" s="1607" t="n">
        <f aca="false">IF($A263&gt;Endyr,0,VLOOKUP($A263,Tariff_Table,Tariff!$J$33))</f>
        <v>0</v>
      </c>
      <c r="M263" s="1576" t="n">
        <f aca="false">D263</f>
        <v>5.12476407241713</v>
      </c>
      <c r="N263" s="1608" t="n">
        <f aca="false">L263*M263</f>
        <v>0</v>
      </c>
      <c r="O263" s="397" t="n">
        <f aca="false">'Plant Operations'!$I263+'Plant Operations'!$M263</f>
        <v>0</v>
      </c>
      <c r="P263" s="1606" t="n">
        <f aca="false">N263*O263</f>
        <v>0</v>
      </c>
      <c r="Q263" s="1565" t="n">
        <f aca="false">$H263</f>
        <v>3.13455530754531</v>
      </c>
      <c r="R263" s="1566" t="n">
        <f aca="false">P263/Q263</f>
        <v>0</v>
      </c>
      <c r="S263" s="1567" t="str">
        <f aca="false">IF(MONTH($A263)=12,SUM(R252:R263)," ")</f>
        <v> </v>
      </c>
    </row>
    <row r="264" customFormat="false" ht="12.75" hidden="false" customHeight="false" outlineLevel="0" collapsed="false">
      <c r="A264" s="1538" t="n">
        <f aca="false">'Plant Operations'!A264</f>
        <v>43922</v>
      </c>
      <c r="C264" s="1595" t="n">
        <f aca="false">IF($A264&gt;Endyr,0,VLOOKUP($A264,Tariff_Table,Tariff!$D$33))</f>
        <v>0</v>
      </c>
      <c r="D264" s="1565" t="n">
        <f aca="false">VLOOKUP($A264,Curves_Table,Escalation!$R$291)</f>
        <v>5.12476407241713</v>
      </c>
      <c r="E264" s="1606" t="n">
        <f aca="false">C264*D264</f>
        <v>0</v>
      </c>
      <c r="F264" s="1540" t="n">
        <f aca="false">'Plant Operations'!C264</f>
        <v>0</v>
      </c>
      <c r="G264" s="1606" t="n">
        <f aca="false">E264*F264/1000</f>
        <v>0</v>
      </c>
      <c r="H264" s="1576" t="n">
        <f aca="false">IF(Assm!$L$74=0,VLOOKUP($A264,Curves_Table,Escalation!$D$291),VLOOKUP($A264,Curves_Table,Escalation!$E$291))</f>
        <v>3.13455530754531</v>
      </c>
      <c r="I264" s="394" t="n">
        <f aca="false">G264/H264</f>
        <v>0</v>
      </c>
      <c r="J264" s="1579" t="str">
        <f aca="false">IF(MONTH($A264)=12,SUM(I253:I264)," ")</f>
        <v> </v>
      </c>
      <c r="L264" s="1607" t="n">
        <f aca="false">IF($A264&gt;Endyr,0,VLOOKUP($A264,Tariff_Table,Tariff!$J$33))</f>
        <v>0</v>
      </c>
      <c r="M264" s="1576" t="n">
        <f aca="false">D264</f>
        <v>5.12476407241713</v>
      </c>
      <c r="N264" s="1608" t="n">
        <f aca="false">L264*M264</f>
        <v>0</v>
      </c>
      <c r="O264" s="397" t="n">
        <f aca="false">'Plant Operations'!$I264+'Plant Operations'!$M264</f>
        <v>0</v>
      </c>
      <c r="P264" s="1606" t="n">
        <f aca="false">N264*O264</f>
        <v>0</v>
      </c>
      <c r="Q264" s="1565" t="n">
        <f aca="false">$H264</f>
        <v>3.13455530754531</v>
      </c>
      <c r="R264" s="1566" t="n">
        <f aca="false">P264/Q264</f>
        <v>0</v>
      </c>
      <c r="S264" s="1567" t="str">
        <f aca="false">IF(MONTH($A264)=12,SUM(R253:R264)," ")</f>
        <v> </v>
      </c>
    </row>
    <row r="265" customFormat="false" ht="12.75" hidden="false" customHeight="false" outlineLevel="0" collapsed="false">
      <c r="A265" s="1538" t="n">
        <f aca="false">'Plant Operations'!A265</f>
        <v>43952</v>
      </c>
      <c r="C265" s="1595" t="n">
        <f aca="false">IF($A265&gt;Endyr,0,VLOOKUP($A265,Tariff_Table,Tariff!$D$33))</f>
        <v>0</v>
      </c>
      <c r="D265" s="1565" t="n">
        <f aca="false">VLOOKUP($A265,Curves_Table,Escalation!$R$291)</f>
        <v>5.12476407241713</v>
      </c>
      <c r="E265" s="1606" t="n">
        <f aca="false">C265*D265</f>
        <v>0</v>
      </c>
      <c r="F265" s="1540" t="n">
        <f aca="false">'Plant Operations'!C265</f>
        <v>0</v>
      </c>
      <c r="G265" s="1606" t="n">
        <f aca="false">E265*F265/1000</f>
        <v>0</v>
      </c>
      <c r="H265" s="1576" t="n">
        <f aca="false">IF(Assm!$L$74=0,VLOOKUP($A265,Curves_Table,Escalation!$D$291),VLOOKUP($A265,Curves_Table,Escalation!$E$291))</f>
        <v>3.13455530754531</v>
      </c>
      <c r="I265" s="394" t="n">
        <f aca="false">G265/H265</f>
        <v>0</v>
      </c>
      <c r="J265" s="1579" t="str">
        <f aca="false">IF(MONTH($A265)=12,SUM(I254:I265)," ")</f>
        <v> </v>
      </c>
      <c r="L265" s="1607" t="n">
        <f aca="false">IF($A265&gt;Endyr,0,VLOOKUP($A265,Tariff_Table,Tariff!$J$33))</f>
        <v>0</v>
      </c>
      <c r="M265" s="1576" t="n">
        <f aca="false">D265</f>
        <v>5.12476407241713</v>
      </c>
      <c r="N265" s="1608" t="n">
        <f aca="false">L265*M265</f>
        <v>0</v>
      </c>
      <c r="O265" s="397" t="n">
        <f aca="false">'Plant Operations'!$I265+'Plant Operations'!$M265</f>
        <v>0</v>
      </c>
      <c r="P265" s="1606" t="n">
        <f aca="false">N265*O265</f>
        <v>0</v>
      </c>
      <c r="Q265" s="1565" t="n">
        <f aca="false">$H265</f>
        <v>3.13455530754531</v>
      </c>
      <c r="R265" s="1566" t="n">
        <f aca="false">P265/Q265</f>
        <v>0</v>
      </c>
      <c r="S265" s="1567" t="str">
        <f aca="false">IF(MONTH($A265)=12,SUM(R254:R265)," ")</f>
        <v> </v>
      </c>
    </row>
    <row r="266" customFormat="false" ht="12.75" hidden="false" customHeight="false" outlineLevel="0" collapsed="false">
      <c r="A266" s="1538" t="n">
        <f aca="false">'Plant Operations'!A266</f>
        <v>43983</v>
      </c>
      <c r="C266" s="1595" t="n">
        <f aca="false">IF($A266&gt;Endyr,0,VLOOKUP($A266,Tariff_Table,Tariff!$D$33))</f>
        <v>0</v>
      </c>
      <c r="D266" s="1565" t="n">
        <f aca="false">VLOOKUP($A266,Curves_Table,Escalation!$R$291)</f>
        <v>5.12476407241713</v>
      </c>
      <c r="E266" s="1606" t="n">
        <f aca="false">C266*D266</f>
        <v>0</v>
      </c>
      <c r="F266" s="1540" t="n">
        <f aca="false">'Plant Operations'!C266</f>
        <v>0</v>
      </c>
      <c r="G266" s="1606" t="n">
        <f aca="false">E266*F266/1000</f>
        <v>0</v>
      </c>
      <c r="H266" s="1576" t="n">
        <f aca="false">IF(Assm!$L$74=0,VLOOKUP($A266,Curves_Table,Escalation!$D$291),VLOOKUP($A266,Curves_Table,Escalation!$E$291))</f>
        <v>3.13455530754531</v>
      </c>
      <c r="I266" s="394" t="n">
        <f aca="false">G266/H266</f>
        <v>0</v>
      </c>
      <c r="J266" s="1579" t="str">
        <f aca="false">IF(MONTH($A266)=12,SUM(I255:I266)," ")</f>
        <v> </v>
      </c>
      <c r="L266" s="1607" t="n">
        <f aca="false">IF($A266&gt;Endyr,0,VLOOKUP($A266,Tariff_Table,Tariff!$J$33))</f>
        <v>0</v>
      </c>
      <c r="M266" s="1576" t="n">
        <f aca="false">D266</f>
        <v>5.12476407241713</v>
      </c>
      <c r="N266" s="1608" t="n">
        <f aca="false">L266*M266</f>
        <v>0</v>
      </c>
      <c r="O266" s="397" t="n">
        <f aca="false">'Plant Operations'!$I266+'Plant Operations'!$M266</f>
        <v>0</v>
      </c>
      <c r="P266" s="1606" t="n">
        <f aca="false">N266*O266</f>
        <v>0</v>
      </c>
      <c r="Q266" s="1565" t="n">
        <f aca="false">$H266</f>
        <v>3.13455530754531</v>
      </c>
      <c r="R266" s="1566" t="n">
        <f aca="false">P266/Q266</f>
        <v>0</v>
      </c>
      <c r="S266" s="1567" t="str">
        <f aca="false">IF(MONTH($A266)=12,SUM(R255:R266)," ")</f>
        <v> </v>
      </c>
    </row>
    <row r="267" customFormat="false" ht="13.5" hidden="false" customHeight="false" outlineLevel="0" collapsed="false">
      <c r="A267" s="1538"/>
      <c r="C267" s="744"/>
      <c r="D267" s="388"/>
      <c r="E267" s="388"/>
      <c r="G267" s="388"/>
      <c r="H267" s="388"/>
      <c r="I267" s="388"/>
      <c r="J267" s="1537"/>
      <c r="L267" s="744"/>
      <c r="N267" s="388"/>
      <c r="O267" s="388"/>
      <c r="P267" s="388"/>
      <c r="Q267" s="388"/>
      <c r="R267" s="388"/>
      <c r="S267" s="1537"/>
    </row>
    <row r="268" customFormat="false" ht="13.5" hidden="false" customHeight="false" outlineLevel="0" collapsed="false">
      <c r="A268" s="1549"/>
      <c r="C268" s="1550"/>
      <c r="D268" s="1551"/>
      <c r="E268" s="1551"/>
      <c r="F268" s="1551"/>
      <c r="G268" s="1551"/>
      <c r="H268" s="1551"/>
      <c r="I268" s="1589" t="s">
        <v>1843</v>
      </c>
      <c r="J268" s="1590" t="n">
        <f aca="false">SUM(J12:J266)</f>
        <v>696474.400448084</v>
      </c>
      <c r="L268" s="1550"/>
      <c r="M268" s="1551"/>
      <c r="N268" s="1551"/>
      <c r="O268" s="1551"/>
      <c r="P268" s="1551"/>
      <c r="Q268" s="1551"/>
      <c r="R268" s="1589" t="s">
        <v>1844</v>
      </c>
      <c r="S268" s="1590" t="n">
        <f aca="false">SUM(S12:S266)</f>
        <v>12890503.8443459</v>
      </c>
    </row>
    <row r="270" customFormat="false" ht="12.75" hidden="false" customHeight="false" outlineLevel="0" collapsed="false">
      <c r="A270" s="1556" t="n">
        <v>1</v>
      </c>
      <c r="B270" s="1556" t="n">
        <f aca="false">A270+1</f>
        <v>2</v>
      </c>
      <c r="C270" s="1556" t="n">
        <f aca="false">B270+1</f>
        <v>3</v>
      </c>
      <c r="D270" s="1556" t="n">
        <f aca="false">C270+1</f>
        <v>4</v>
      </c>
      <c r="E270" s="1556" t="n">
        <f aca="false">D270+1</f>
        <v>5</v>
      </c>
      <c r="F270" s="1556" t="n">
        <f aca="false">E270+1</f>
        <v>6</v>
      </c>
      <c r="G270" s="1556" t="n">
        <f aca="false">F270+1</f>
        <v>7</v>
      </c>
      <c r="H270" s="1556" t="n">
        <f aca="false">G270+1</f>
        <v>8</v>
      </c>
      <c r="I270" s="1556" t="n">
        <f aca="false">H270+1</f>
        <v>9</v>
      </c>
      <c r="J270" s="1556" t="n">
        <f aca="false">I270+1</f>
        <v>10</v>
      </c>
      <c r="K270" s="1556" t="n">
        <f aca="false">J270+1</f>
        <v>11</v>
      </c>
      <c r="L270" s="1556" t="n">
        <f aca="false">K270+1</f>
        <v>12</v>
      </c>
      <c r="M270" s="1556" t="n">
        <f aca="false">L270+1</f>
        <v>13</v>
      </c>
      <c r="N270" s="1556" t="n">
        <f aca="false">M270+1</f>
        <v>14</v>
      </c>
      <c r="O270" s="1556" t="n">
        <f aca="false">N270+1</f>
        <v>15</v>
      </c>
      <c r="P270" s="1556" t="n">
        <f aca="false">O270+1</f>
        <v>16</v>
      </c>
      <c r="Q270" s="1556" t="n">
        <f aca="false">P270+1</f>
        <v>17</v>
      </c>
      <c r="R270" s="1556" t="n">
        <f aca="false">Q270+1</f>
        <v>18</v>
      </c>
      <c r="S270" s="1556" t="n">
        <f aca="false">R270+1</f>
        <v>19</v>
      </c>
    </row>
  </sheetData>
  <mergeCells count="2">
    <mergeCell ref="C6:J6"/>
    <mergeCell ref="L6:S6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D270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C12" activeCellId="0" sqref="C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.7"/>
    <col collapsed="false" customWidth="true" hidden="false" outlineLevel="0" max="3" min="3" style="0" width="13.7"/>
    <col collapsed="false" customWidth="true" hidden="false" outlineLevel="0" max="4" min="4" style="0" width="10.71"/>
    <col collapsed="false" customWidth="true" hidden="false" outlineLevel="0" max="5" min="5" style="0" width="13.7"/>
    <col collapsed="false" customWidth="true" hidden="false" outlineLevel="0" max="6" min="6" style="388" width="10.71"/>
    <col collapsed="false" customWidth="true" hidden="false" outlineLevel="0" max="9" min="7" style="0" width="10.71"/>
    <col collapsed="false" customWidth="true" hidden="false" outlineLevel="0" max="10" min="10" style="0" width="12.7"/>
    <col collapsed="false" customWidth="true" hidden="false" outlineLevel="0" max="11" min="11" style="0" width="2.7"/>
    <col collapsed="false" customWidth="true" hidden="false" outlineLevel="0" max="12" min="12" style="0" width="13.7"/>
    <col collapsed="false" customWidth="true" hidden="false" outlineLevel="0" max="13" min="13" style="0" width="10.71"/>
    <col collapsed="false" customWidth="true" hidden="false" outlineLevel="0" max="14" min="14" style="0" width="13.7"/>
    <col collapsed="false" customWidth="true" hidden="false" outlineLevel="0" max="15" min="15" style="388" width="10.71"/>
    <col collapsed="false" customWidth="true" hidden="false" outlineLevel="0" max="18" min="16" style="0" width="10.71"/>
    <col collapsed="false" customWidth="true" hidden="false" outlineLevel="0" max="19" min="19" style="0" width="12.7"/>
    <col collapsed="false" customWidth="true" hidden="false" outlineLevel="0" max="20" min="20" style="0" width="2.7"/>
    <col collapsed="false" customWidth="true" hidden="false" outlineLevel="0" max="21" min="21" style="0" width="10.71"/>
    <col collapsed="false" customWidth="true" hidden="false" outlineLevel="0" max="22" min="22" style="388" width="10.71"/>
    <col collapsed="false" customWidth="true" hidden="false" outlineLevel="0" max="29" min="23" style="0" width="10.71"/>
    <col collapsed="false" customWidth="true" hidden="false" outlineLevel="0" max="30" min="30" style="0" width="12.7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1522"/>
      <c r="C1" s="388"/>
      <c r="D1" s="388"/>
      <c r="E1" s="388"/>
      <c r="G1" s="388"/>
      <c r="H1" s="388"/>
      <c r="I1" s="388"/>
      <c r="J1" s="388"/>
      <c r="K1" s="1522"/>
      <c r="L1" s="388"/>
      <c r="M1" s="388"/>
      <c r="N1" s="388"/>
      <c r="P1" s="388"/>
      <c r="Q1" s="388"/>
      <c r="R1" s="388"/>
      <c r="S1" s="388"/>
      <c r="T1" s="1522"/>
      <c r="U1" s="388"/>
      <c r="W1" s="388"/>
      <c r="X1" s="388"/>
      <c r="Y1" s="388"/>
      <c r="Z1" s="388"/>
      <c r="AA1" s="388"/>
      <c r="AB1" s="388"/>
      <c r="AC1" s="388"/>
      <c r="AD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1522"/>
      <c r="C2" s="388"/>
      <c r="D2" s="388"/>
      <c r="E2" s="388"/>
      <c r="G2" s="388"/>
      <c r="H2" s="388"/>
      <c r="I2" s="388"/>
      <c r="J2" s="388"/>
      <c r="K2" s="1522"/>
      <c r="L2" s="388"/>
      <c r="M2" s="388"/>
      <c r="N2" s="388"/>
      <c r="P2" s="388"/>
      <c r="Q2" s="388"/>
      <c r="R2" s="388"/>
      <c r="S2" s="388"/>
      <c r="T2" s="1522"/>
      <c r="U2" s="388"/>
      <c r="W2" s="388"/>
      <c r="X2" s="388"/>
      <c r="Y2" s="388"/>
      <c r="Z2" s="388"/>
      <c r="AA2" s="388"/>
      <c r="AB2" s="388"/>
      <c r="AC2" s="388"/>
      <c r="AD2" s="388"/>
    </row>
    <row r="3" customFormat="false" ht="15" hidden="false" customHeight="false" outlineLevel="0" collapsed="false">
      <c r="A3" s="19" t="str">
        <f aca="false">TOC!B4</f>
        <v>ENRON INTERNATIONAL</v>
      </c>
      <c r="B3" s="19"/>
      <c r="C3" s="388"/>
      <c r="D3" s="388"/>
      <c r="E3" s="388"/>
      <c r="G3" s="388"/>
      <c r="H3" s="388"/>
      <c r="I3" s="388"/>
      <c r="J3" s="388"/>
      <c r="K3" s="19"/>
      <c r="L3" s="388"/>
      <c r="M3" s="388"/>
      <c r="N3" s="388"/>
      <c r="P3" s="388"/>
      <c r="Q3" s="388"/>
      <c r="R3" s="388"/>
      <c r="S3" s="388"/>
      <c r="T3" s="19"/>
      <c r="U3" s="388"/>
      <c r="W3" s="388"/>
      <c r="X3" s="388"/>
      <c r="Y3" s="388"/>
      <c r="Z3" s="388"/>
      <c r="AA3" s="388"/>
      <c r="AB3" s="388"/>
      <c r="AC3" s="388"/>
      <c r="AD3" s="388"/>
    </row>
    <row r="4" customFormat="false" ht="15" hidden="false" customHeight="false" outlineLevel="0" collapsed="false">
      <c r="A4" s="21" t="s">
        <v>1866</v>
      </c>
      <c r="B4" s="21"/>
      <c r="C4" s="632"/>
      <c r="D4" s="632"/>
      <c r="E4" s="632"/>
      <c r="G4" s="388"/>
      <c r="H4" s="388"/>
      <c r="I4" s="388"/>
      <c r="J4" s="388"/>
      <c r="K4" s="1572"/>
      <c r="L4" s="388"/>
      <c r="M4" s="388"/>
      <c r="N4" s="388"/>
      <c r="P4" s="388"/>
      <c r="Q4" s="388"/>
      <c r="R4" s="388"/>
      <c r="S4" s="388"/>
      <c r="T4" s="1572"/>
      <c r="U4" s="388"/>
      <c r="W4" s="388"/>
      <c r="X4" s="388"/>
      <c r="Y4" s="388"/>
      <c r="Z4" s="388"/>
      <c r="AA4" s="388"/>
      <c r="AB4" s="388"/>
      <c r="AC4" s="388"/>
      <c r="AD4" s="388"/>
    </row>
    <row r="5" customFormat="false" ht="12.75" hidden="false" customHeight="false" outlineLevel="0" collapsed="false">
      <c r="A5" s="1523"/>
      <c r="B5" s="1523"/>
      <c r="C5" s="1523"/>
      <c r="D5" s="388"/>
      <c r="E5" s="388"/>
      <c r="G5" s="388"/>
      <c r="H5" s="388"/>
      <c r="I5" s="388"/>
      <c r="J5" s="388"/>
      <c r="K5" s="1523"/>
      <c r="L5" s="1523"/>
      <c r="M5" s="388"/>
      <c r="N5" s="388"/>
      <c r="P5" s="388"/>
      <c r="Q5" s="388"/>
      <c r="R5" s="388"/>
      <c r="S5" s="388"/>
      <c r="T5" s="1523"/>
      <c r="U5" s="1523"/>
      <c r="V5" s="1523"/>
      <c r="W5" s="388"/>
      <c r="X5" s="388"/>
      <c r="Y5" s="388"/>
      <c r="Z5" s="388"/>
      <c r="AA5" s="388"/>
      <c r="AB5" s="388"/>
      <c r="AC5" s="388"/>
      <c r="AD5" s="388"/>
    </row>
    <row r="6" customFormat="false" ht="12.75" hidden="false" customHeight="false" outlineLevel="0" collapsed="false">
      <c r="C6" s="1524" t="s">
        <v>1867</v>
      </c>
      <c r="D6" s="1524"/>
      <c r="E6" s="1524"/>
      <c r="F6" s="1524"/>
      <c r="G6" s="1524"/>
      <c r="H6" s="1524"/>
      <c r="I6" s="1524"/>
      <c r="J6" s="1524"/>
      <c r="L6" s="1524" t="s">
        <v>1868</v>
      </c>
      <c r="M6" s="1524"/>
      <c r="N6" s="1524"/>
      <c r="O6" s="1524"/>
      <c r="P6" s="1524"/>
      <c r="Q6" s="1524"/>
      <c r="R6" s="1524"/>
      <c r="S6" s="1524"/>
      <c r="U6" s="1524" t="s">
        <v>1869</v>
      </c>
      <c r="V6" s="1524"/>
      <c r="W6" s="1524"/>
      <c r="X6" s="1524"/>
      <c r="Y6" s="1524"/>
      <c r="Z6" s="1524"/>
      <c r="AA6" s="1524"/>
      <c r="AB6" s="1524"/>
      <c r="AC6" s="1524"/>
      <c r="AD6" s="1524"/>
    </row>
    <row r="7" customFormat="false" ht="13.5" hidden="false" customHeight="false" outlineLevel="0" collapsed="false"/>
    <row r="8" customFormat="false" ht="12.75" hidden="false" customHeight="false" outlineLevel="0" collapsed="false">
      <c r="A8" s="1525"/>
      <c r="C8" s="545"/>
      <c r="D8" s="1527"/>
      <c r="E8" s="1527" t="s">
        <v>1828</v>
      </c>
      <c r="F8" s="1527" t="s">
        <v>709</v>
      </c>
      <c r="G8" s="1527" t="s">
        <v>1796</v>
      </c>
      <c r="H8" s="1527" t="s">
        <v>1829</v>
      </c>
      <c r="I8" s="1527" t="s">
        <v>1796</v>
      </c>
      <c r="J8" s="1530" t="s">
        <v>1797</v>
      </c>
      <c r="L8" s="545"/>
      <c r="M8" s="1527"/>
      <c r="N8" s="1527" t="s">
        <v>1828</v>
      </c>
      <c r="O8" s="1527" t="s">
        <v>709</v>
      </c>
      <c r="P8" s="1527" t="s">
        <v>1796</v>
      </c>
      <c r="Q8" s="1527" t="s">
        <v>1829</v>
      </c>
      <c r="R8" s="1527" t="s">
        <v>1796</v>
      </c>
      <c r="S8" s="1530" t="s">
        <v>1797</v>
      </c>
      <c r="U8" s="545"/>
      <c r="V8" s="1527"/>
      <c r="W8" s="1527" t="s">
        <v>1828</v>
      </c>
      <c r="X8" s="1527" t="s">
        <v>732</v>
      </c>
      <c r="Y8" s="1527" t="s">
        <v>1796</v>
      </c>
      <c r="Z8" s="1527" t="s">
        <v>1829</v>
      </c>
      <c r="AA8" s="1527"/>
      <c r="AB8" s="1527"/>
      <c r="AC8" s="1527" t="s">
        <v>1796</v>
      </c>
      <c r="AD8" s="1530" t="s">
        <v>1797</v>
      </c>
    </row>
    <row r="9" customFormat="false" ht="12.75" hidden="false" customHeight="false" outlineLevel="0" collapsed="false">
      <c r="A9" s="614"/>
      <c r="C9" s="264" t="s">
        <v>1851</v>
      </c>
      <c r="D9" s="229" t="s">
        <v>1870</v>
      </c>
      <c r="E9" s="427" t="s">
        <v>1851</v>
      </c>
      <c r="F9" s="427" t="s">
        <v>64</v>
      </c>
      <c r="G9" s="427" t="s">
        <v>782</v>
      </c>
      <c r="H9" s="79" t="s">
        <v>1621</v>
      </c>
      <c r="I9" s="427" t="s">
        <v>782</v>
      </c>
      <c r="J9" s="1533" t="s">
        <v>782</v>
      </c>
      <c r="L9" s="264" t="s">
        <v>1852</v>
      </c>
      <c r="M9" s="229" t="str">
        <f aca="false">D9</f>
        <v>Annex 10</v>
      </c>
      <c r="N9" s="427" t="s">
        <v>1852</v>
      </c>
      <c r="O9" s="427" t="s">
        <v>64</v>
      </c>
      <c r="P9" s="427" t="s">
        <v>782</v>
      </c>
      <c r="Q9" s="79" t="s">
        <v>1621</v>
      </c>
      <c r="R9" s="427" t="s">
        <v>782</v>
      </c>
      <c r="S9" s="1533" t="s">
        <v>782</v>
      </c>
      <c r="U9" s="264" t="s">
        <v>1853</v>
      </c>
      <c r="V9" s="229" t="str">
        <f aca="false">D9</f>
        <v>Annex 10</v>
      </c>
      <c r="W9" s="427" t="s">
        <v>1853</v>
      </c>
      <c r="X9" s="427" t="s">
        <v>1854</v>
      </c>
      <c r="Y9" s="427" t="s">
        <v>782</v>
      </c>
      <c r="Z9" s="79" t="s">
        <v>1621</v>
      </c>
      <c r="AA9" s="79"/>
      <c r="AB9" s="427" t="s">
        <v>1828</v>
      </c>
      <c r="AC9" s="427" t="s">
        <v>782</v>
      </c>
      <c r="AD9" s="1533" t="s">
        <v>782</v>
      </c>
    </row>
    <row r="10" customFormat="false" ht="12.75" hidden="false" customHeight="false" outlineLevel="0" collapsed="false">
      <c r="A10" s="1534" t="s">
        <v>1802</v>
      </c>
      <c r="C10" s="472" t="s">
        <v>1840</v>
      </c>
      <c r="D10" s="303" t="s">
        <v>1871</v>
      </c>
      <c r="E10" s="303" t="s">
        <v>1840</v>
      </c>
      <c r="F10" s="303" t="s">
        <v>63</v>
      </c>
      <c r="G10" s="303" t="s">
        <v>1857</v>
      </c>
      <c r="H10" s="303" t="s">
        <v>1822</v>
      </c>
      <c r="I10" s="303" t="s">
        <v>1841</v>
      </c>
      <c r="J10" s="475" t="s">
        <v>1841</v>
      </c>
      <c r="L10" s="472" t="s">
        <v>1840</v>
      </c>
      <c r="M10" s="303" t="str">
        <f aca="false">D10</f>
        <v>Gas Esc</v>
      </c>
      <c r="N10" s="303" t="s">
        <v>1840</v>
      </c>
      <c r="O10" s="303" t="s">
        <v>63</v>
      </c>
      <c r="P10" s="303" t="s">
        <v>1857</v>
      </c>
      <c r="Q10" s="303" t="s">
        <v>1822</v>
      </c>
      <c r="R10" s="303" t="s">
        <v>1841</v>
      </c>
      <c r="S10" s="475" t="s">
        <v>1841</v>
      </c>
      <c r="U10" s="472" t="s">
        <v>1842</v>
      </c>
      <c r="V10" s="303" t="str">
        <f aca="false">D10</f>
        <v>Gas Esc</v>
      </c>
      <c r="W10" s="303" t="s">
        <v>1840</v>
      </c>
      <c r="X10" s="303" t="s">
        <v>1859</v>
      </c>
      <c r="Y10" s="303" t="s">
        <v>1857</v>
      </c>
      <c r="Z10" s="303" t="s">
        <v>1822</v>
      </c>
      <c r="AA10" s="303" t="str">
        <f aca="false">H10</f>
        <v>Exch Rate</v>
      </c>
      <c r="AB10" s="303" t="s">
        <v>1872</v>
      </c>
      <c r="AC10" s="303" t="s">
        <v>1841</v>
      </c>
      <c r="AD10" s="475" t="s">
        <v>1841</v>
      </c>
    </row>
    <row r="11" customFormat="false" ht="12.75" hidden="false" customHeight="false" outlineLevel="0" collapsed="false">
      <c r="A11" s="614"/>
      <c r="C11" s="744"/>
      <c r="D11" s="388"/>
      <c r="E11" s="388"/>
      <c r="G11" s="388"/>
      <c r="H11" s="388"/>
      <c r="I11" s="388"/>
      <c r="J11" s="1537"/>
      <c r="L11" s="744"/>
      <c r="M11" s="388"/>
      <c r="N11" s="388"/>
      <c r="P11" s="388"/>
      <c r="Q11" s="388"/>
      <c r="R11" s="388"/>
      <c r="S11" s="1537"/>
      <c r="U11" s="744"/>
      <c r="W11" s="388"/>
      <c r="X11" s="388"/>
      <c r="Y11" s="388"/>
      <c r="Z11" s="388"/>
      <c r="AA11" s="388"/>
      <c r="AB11" s="388"/>
      <c r="AC11" s="388"/>
      <c r="AD11" s="1537"/>
    </row>
    <row r="12" customFormat="false" ht="12.75" hidden="false" customHeight="false" outlineLevel="0" collapsed="false">
      <c r="A12" s="1538" t="n">
        <f aca="false">'Annex 12-Gas'!A12</f>
        <v>36951</v>
      </c>
      <c r="C12" s="1595" t="n">
        <f aca="false">IF($A12&gt;Endyr,0,VLOOKUP($A12,Tariff_Table,Tariff!$G$33))</f>
        <v>11645.56</v>
      </c>
      <c r="D12" s="1565" t="n">
        <f aca="false">VLOOKUP($A12,Curves_Table,Escalation!$AW$291)</f>
        <v>1.92488262910798</v>
      </c>
      <c r="E12" s="1563" t="n">
        <f aca="false">C12*D12</f>
        <v>22416.3361502347</v>
      </c>
      <c r="F12" s="1540" t="n">
        <f aca="false">VLOOKUP($A12,Plant_Table,'Plant Operations'!$C$270)</f>
        <v>150</v>
      </c>
      <c r="G12" s="1563" t="n">
        <f aca="false">E12*F12/1000</f>
        <v>3362.45042253521</v>
      </c>
      <c r="H12" s="1565" t="n">
        <f aca="false">IF(Assm!$L$74=0,VLOOKUP($A12,Curves_Table,Escalation!$D$291),VLOOKUP($A12,Curves_Table,Escalation!$E$291))</f>
        <v>1.84910127002989</v>
      </c>
      <c r="I12" s="394" t="n">
        <f aca="false">G12/H12</f>
        <v>1818.42415936519</v>
      </c>
      <c r="J12" s="1579" t="str">
        <f aca="false">IF(MONTH($A12)=12,SUM(I1:I12)," ")</f>
        <v> </v>
      </c>
      <c r="L12" s="1595" t="n">
        <f aca="false">IF($A12&gt;Endyr,0,VLOOKUP($A12,Tariff_Table,Tariff!$H$33))</f>
        <v>9025.02</v>
      </c>
      <c r="M12" s="1565" t="n">
        <f aca="false">D12</f>
        <v>1.92488262910798</v>
      </c>
      <c r="N12" s="1563" t="n">
        <f aca="false">L12*M12</f>
        <v>17372.1042253521</v>
      </c>
      <c r="O12" s="1540" t="n">
        <f aca="false">$F12</f>
        <v>150</v>
      </c>
      <c r="P12" s="1563" t="n">
        <f aca="false">N12*O12/1000</f>
        <v>2605.81563380282</v>
      </c>
      <c r="Q12" s="1565" t="n">
        <f aca="false">$H12</f>
        <v>1.84910127002989</v>
      </c>
      <c r="R12" s="394" t="n">
        <f aca="false">P12/Q12</f>
        <v>1409.23359690337</v>
      </c>
      <c r="S12" s="1579" t="str">
        <f aca="false">IF(MONTH($A12)=12,SUM(R1:R12)," ")</f>
        <v> </v>
      </c>
      <c r="U12" s="1595" t="n">
        <f aca="false">IF($A12&gt;Endyr,0,VLOOKUP($A12,Tariff_Table,Tariff!$I$33))</f>
        <v>3.2802</v>
      </c>
      <c r="V12" s="1565" t="n">
        <f aca="false">D12</f>
        <v>1.92488262910798</v>
      </c>
      <c r="W12" s="1563" t="n">
        <f aca="false">U12*V12</f>
        <v>6.314</v>
      </c>
      <c r="X12" s="397" t="n">
        <f aca="false">VLOOKUP($A12,Plant_Table,'Plant Operations'!$M$270)</f>
        <v>12600</v>
      </c>
      <c r="Y12" s="630" t="n">
        <f aca="false">W12*X12/1000</f>
        <v>79.5564</v>
      </c>
      <c r="Z12" s="1565" t="n">
        <f aca="false">$H12</f>
        <v>1.84910127002989</v>
      </c>
      <c r="AA12" s="1565" t="n">
        <f aca="false">H12</f>
        <v>1.84910127002989</v>
      </c>
      <c r="AB12" s="1609" t="n">
        <f aca="false">W12/AA12</f>
        <v>3.41463180104675</v>
      </c>
      <c r="AC12" s="1566" t="n">
        <f aca="false">Y12/Z12</f>
        <v>43.024360693189</v>
      </c>
      <c r="AD12" s="1567" t="str">
        <f aca="false">IF(MONTH($A12)=12,SUM(AC1:AC12)," ")</f>
        <v> </v>
      </c>
    </row>
    <row r="13" customFormat="false" ht="12.75" hidden="false" customHeight="false" outlineLevel="0" collapsed="false">
      <c r="A13" s="1538" t="n">
        <f aca="false">'Annex 12-Gas'!A13</f>
        <v>36982</v>
      </c>
      <c r="C13" s="1595" t="n">
        <f aca="false">IF($A13&gt;Endyr,0,VLOOKUP($A13,Tariff_Table,Tariff!$G$33))</f>
        <v>11645.56</v>
      </c>
      <c r="D13" s="1565" t="n">
        <f aca="false">VLOOKUP($A13,Curves_Table,Escalation!$AW$291)</f>
        <v>1.92488262910798</v>
      </c>
      <c r="E13" s="1563" t="n">
        <f aca="false">C13*D13</f>
        <v>22416.3361502347</v>
      </c>
      <c r="F13" s="1540" t="n">
        <f aca="false">VLOOKUP($A13,Plant_Table,'Plant Operations'!$C$270)</f>
        <v>237.779371584699</v>
      </c>
      <c r="G13" s="1563" t="n">
        <f aca="false">E13*F13/1000</f>
        <v>5330.1423230342</v>
      </c>
      <c r="H13" s="1565" t="n">
        <f aca="false">IF(Assm!$L$74=0,VLOOKUP($A13,Curves_Table,Escalation!$D$291),VLOOKUP($A13,Curves_Table,Escalation!$E$291))</f>
        <v>1.8644297889368</v>
      </c>
      <c r="I13" s="394" t="n">
        <f aca="false">G13/H13</f>
        <v>2858.85923656784</v>
      </c>
      <c r="J13" s="1579" t="str">
        <f aca="false">IF(MONTH($A13)=12,SUM(I2:I13)," ")</f>
        <v> </v>
      </c>
      <c r="L13" s="1595" t="n">
        <f aca="false">IF($A13&gt;Endyr,0,VLOOKUP($A13,Tariff_Table,Tariff!$H$33))</f>
        <v>9025.02</v>
      </c>
      <c r="M13" s="1565" t="n">
        <f aca="false">D13</f>
        <v>1.92488262910798</v>
      </c>
      <c r="N13" s="1563" t="n">
        <f aca="false">L13*M13</f>
        <v>17372.1042253521</v>
      </c>
      <c r="O13" s="1540" t="n">
        <f aca="false">$F13</f>
        <v>237.779371584699</v>
      </c>
      <c r="P13" s="1563" t="n">
        <f aca="false">N13*O13/1000</f>
        <v>4130.72802580813</v>
      </c>
      <c r="Q13" s="1565" t="n">
        <f aca="false">$H13</f>
        <v>1.8644297889368</v>
      </c>
      <c r="R13" s="394" t="n">
        <f aca="false">P13/Q13</f>
        <v>2215.54496196057</v>
      </c>
      <c r="S13" s="1579" t="str">
        <f aca="false">IF(MONTH($A13)=12,SUM(R2:R13)," ")</f>
        <v> </v>
      </c>
      <c r="U13" s="1595" t="n">
        <f aca="false">IF($A13&gt;Endyr,0,VLOOKUP($A13,Tariff_Table,Tariff!$I$33))</f>
        <v>3.2802</v>
      </c>
      <c r="V13" s="1565" t="n">
        <f aca="false">D13</f>
        <v>1.92488262910798</v>
      </c>
      <c r="W13" s="1563" t="n">
        <f aca="false">U13*V13</f>
        <v>6.314</v>
      </c>
      <c r="X13" s="397" t="n">
        <f aca="false">VLOOKUP($A13,Plant_Table,'Plant Operations'!$M$270)</f>
        <v>70200</v>
      </c>
      <c r="Y13" s="630" t="n">
        <f aca="false">W13*X13/1000</f>
        <v>443.2428</v>
      </c>
      <c r="Z13" s="1565" t="n">
        <f aca="false">$H13</f>
        <v>1.8644297889368</v>
      </c>
      <c r="AA13" s="1565" t="n">
        <f aca="false">H13</f>
        <v>1.8644297889368</v>
      </c>
      <c r="AB13" s="1609" t="n">
        <f aca="false">W13/AA13</f>
        <v>3.38655820533773</v>
      </c>
      <c r="AC13" s="1566" t="n">
        <f aca="false">Y13/Z13</f>
        <v>237.736386014709</v>
      </c>
      <c r="AD13" s="1567" t="str">
        <f aca="false">IF(MONTH($A13)=12,SUM(AC2:AC13)," ")</f>
        <v> </v>
      </c>
    </row>
    <row r="14" customFormat="false" ht="12.75" hidden="false" customHeight="false" outlineLevel="0" collapsed="false">
      <c r="A14" s="1538" t="n">
        <f aca="false">'Annex 12-Gas'!A14</f>
        <v>37012</v>
      </c>
      <c r="C14" s="1595" t="n">
        <f aca="false">IF($A14&gt;Endyr,0,VLOOKUP($A14,Tariff_Table,Tariff!$G$33))</f>
        <v>11645.56</v>
      </c>
      <c r="D14" s="1565" t="n">
        <f aca="false">VLOOKUP($A14,Curves_Table,Escalation!$AW$291)</f>
        <v>1.92488262910798</v>
      </c>
      <c r="E14" s="1563" t="n">
        <f aca="false">C14*D14</f>
        <v>22416.3361502347</v>
      </c>
      <c r="F14" s="1540" t="n">
        <f aca="false">VLOOKUP($A14,Plant_Table,'Plant Operations'!$C$270)</f>
        <v>237.779371584699</v>
      </c>
      <c r="G14" s="1563" t="n">
        <f aca="false">E14*F14/1000</f>
        <v>5330.1423230342</v>
      </c>
      <c r="H14" s="1565" t="n">
        <f aca="false">IF(Assm!$L$74=0,VLOOKUP($A14,Curves_Table,Escalation!$D$291),VLOOKUP($A14,Curves_Table,Escalation!$E$291))</f>
        <v>1.87988537686674</v>
      </c>
      <c r="I14" s="394" t="n">
        <f aca="false">G14/H14</f>
        <v>2835.35495760816</v>
      </c>
      <c r="J14" s="1579" t="str">
        <f aca="false">IF(MONTH($A14)=12,SUM(I3:I14)," ")</f>
        <v> </v>
      </c>
      <c r="L14" s="1595" t="n">
        <f aca="false">IF($A14&gt;Endyr,0,VLOOKUP($A14,Tariff_Table,Tariff!$H$33))</f>
        <v>9025.02</v>
      </c>
      <c r="M14" s="1565" t="n">
        <f aca="false">D14</f>
        <v>1.92488262910798</v>
      </c>
      <c r="N14" s="1563" t="n">
        <f aca="false">L14*M14</f>
        <v>17372.1042253521</v>
      </c>
      <c r="O14" s="1540" t="n">
        <f aca="false">$F14</f>
        <v>237.779371584699</v>
      </c>
      <c r="P14" s="1563" t="n">
        <f aca="false">N14*O14/1000</f>
        <v>4130.72802580813</v>
      </c>
      <c r="Q14" s="1565" t="n">
        <f aca="false">$H14</f>
        <v>1.87988537686674</v>
      </c>
      <c r="R14" s="394" t="n">
        <f aca="false">P14/Q14</f>
        <v>2197.32972905664</v>
      </c>
      <c r="S14" s="1579" t="str">
        <f aca="false">IF(MONTH($A14)=12,SUM(R3:R14)," ")</f>
        <v> </v>
      </c>
      <c r="U14" s="1595" t="n">
        <f aca="false">IF($A14&gt;Endyr,0,VLOOKUP($A14,Tariff_Table,Tariff!$I$33))</f>
        <v>3.2802</v>
      </c>
      <c r="V14" s="1565" t="n">
        <f aca="false">D14</f>
        <v>1.92488262910798</v>
      </c>
      <c r="W14" s="1563" t="n">
        <f aca="false">U14*V14</f>
        <v>6.314</v>
      </c>
      <c r="X14" s="397" t="n">
        <f aca="false">VLOOKUP($A14,Plant_Table,'Plant Operations'!$M$270)</f>
        <v>146880</v>
      </c>
      <c r="Y14" s="630" t="n">
        <f aca="false">W14*X14/1000</f>
        <v>927.40032</v>
      </c>
      <c r="Z14" s="1565" t="n">
        <f aca="false">$H14</f>
        <v>1.87988537686674</v>
      </c>
      <c r="AA14" s="1565" t="n">
        <f aca="false">H14</f>
        <v>1.87988537686674</v>
      </c>
      <c r="AB14" s="1609" t="n">
        <f aca="false">W14/AA14</f>
        <v>3.35871541834308</v>
      </c>
      <c r="AC14" s="1566" t="n">
        <f aca="false">Y14/Z14</f>
        <v>493.328120646231</v>
      </c>
      <c r="AD14" s="1567" t="str">
        <f aca="false">IF(MONTH($A14)=12,SUM(AC3:AC14)," ")</f>
        <v> </v>
      </c>
    </row>
    <row r="15" customFormat="false" ht="12.75" hidden="false" customHeight="false" outlineLevel="0" collapsed="false">
      <c r="A15" s="1538" t="n">
        <f aca="false">'Annex 12-Gas'!A15</f>
        <v>37043</v>
      </c>
      <c r="C15" s="1595" t="n">
        <f aca="false">IF($A15&gt;Endyr,0,VLOOKUP($A15,Tariff_Table,Tariff!$G$33))</f>
        <v>11645.56</v>
      </c>
      <c r="D15" s="1565" t="n">
        <f aca="false">VLOOKUP($A15,Curves_Table,Escalation!$AW$291)</f>
        <v>1.92488262910798</v>
      </c>
      <c r="E15" s="1563" t="n">
        <f aca="false">C15*D15</f>
        <v>22416.3361502347</v>
      </c>
      <c r="F15" s="1540" t="n">
        <f aca="false">VLOOKUP($A15,Plant_Table,'Plant Operations'!$C$270)</f>
        <v>237.779371584699</v>
      </c>
      <c r="G15" s="1563" t="n">
        <f aca="false">E15*F15/1000</f>
        <v>5330.1423230342</v>
      </c>
      <c r="H15" s="1565" t="n">
        <f aca="false">IF(Assm!$L$74=0,VLOOKUP($A15,Curves_Table,Escalation!$D$291),VLOOKUP($A15,Curves_Table,Escalation!$E$291))</f>
        <v>1.89546908718545</v>
      </c>
      <c r="I15" s="394" t="n">
        <f aca="false">G15/H15</f>
        <v>2812.04392045709</v>
      </c>
      <c r="J15" s="1579" t="str">
        <f aca="false">IF(MONTH($A15)=12,SUM(I4:I15)," ")</f>
        <v> </v>
      </c>
      <c r="L15" s="1595" t="n">
        <f aca="false">IF($A15&gt;Endyr,0,VLOOKUP($A15,Tariff_Table,Tariff!$H$33))</f>
        <v>9025.02</v>
      </c>
      <c r="M15" s="1565" t="n">
        <f aca="false">D15</f>
        <v>1.92488262910798</v>
      </c>
      <c r="N15" s="1563" t="n">
        <f aca="false">L15*M15</f>
        <v>17372.1042253521</v>
      </c>
      <c r="O15" s="1540" t="n">
        <f aca="false">$F15</f>
        <v>237.779371584699</v>
      </c>
      <c r="P15" s="1563" t="n">
        <f aca="false">N15*O15/1000</f>
        <v>4130.72802580813</v>
      </c>
      <c r="Q15" s="1565" t="n">
        <f aca="false">$H15</f>
        <v>1.89546908718545</v>
      </c>
      <c r="R15" s="394" t="n">
        <f aca="false">P15/Q15</f>
        <v>2179.26425375882</v>
      </c>
      <c r="S15" s="1579" t="str">
        <f aca="false">IF(MONTH($A15)=12,SUM(R4:R15)," ")</f>
        <v> </v>
      </c>
      <c r="U15" s="1595" t="n">
        <f aca="false">IF($A15&gt;Endyr,0,VLOOKUP($A15,Tariff_Table,Tariff!$I$33))</f>
        <v>3.2802</v>
      </c>
      <c r="V15" s="1565" t="n">
        <f aca="false">D15</f>
        <v>1.92488262910798</v>
      </c>
      <c r="W15" s="1563" t="n">
        <f aca="false">U15*V15</f>
        <v>6.314</v>
      </c>
      <c r="X15" s="397" t="n">
        <f aca="false">VLOOKUP($A15,Plant_Table,'Plant Operations'!$M$270)</f>
        <v>232128</v>
      </c>
      <c r="Y15" s="630" t="n">
        <f aca="false">W15*X15/1000</f>
        <v>1465.656192</v>
      </c>
      <c r="Z15" s="1565" t="n">
        <f aca="false">$H15</f>
        <v>1.89546908718545</v>
      </c>
      <c r="AA15" s="1565" t="n">
        <f aca="false">H15</f>
        <v>1.89546908718545</v>
      </c>
      <c r="AB15" s="1609" t="n">
        <f aca="false">W15/AA15</f>
        <v>3.3311015424554</v>
      </c>
      <c r="AC15" s="1566" t="n">
        <f aca="false">Y15/Z15</f>
        <v>773.241938847088</v>
      </c>
      <c r="AD15" s="1567" t="str">
        <f aca="false">IF(MONTH($A15)=12,SUM(AC4:AC15)," ")</f>
        <v> </v>
      </c>
    </row>
    <row r="16" customFormat="false" ht="12.75" hidden="false" customHeight="false" outlineLevel="0" collapsed="false">
      <c r="A16" s="1538" t="n">
        <f aca="false">'Annex 12-Gas'!A16</f>
        <v>37073</v>
      </c>
      <c r="C16" s="1595" t="n">
        <f aca="false">IF($A16&gt;Endyr,0,VLOOKUP($A16,Tariff_Table,Tariff!$G$33))</f>
        <v>11645.56</v>
      </c>
      <c r="D16" s="1565" t="n">
        <f aca="false">VLOOKUP($A16,Curves_Table,Escalation!$AW$291)</f>
        <v>1.92488262910798</v>
      </c>
      <c r="E16" s="1563" t="n">
        <f aca="false">C16*D16</f>
        <v>22416.3361502347</v>
      </c>
      <c r="F16" s="1540" t="n">
        <f aca="false">VLOOKUP($A16,Plant_Table,'Plant Operations'!$C$270)</f>
        <v>237.779371584699</v>
      </c>
      <c r="G16" s="1563" t="n">
        <f aca="false">E16*F16/1000</f>
        <v>5330.1423230342</v>
      </c>
      <c r="H16" s="1565" t="n">
        <f aca="false">IF(Assm!$L$74=0,VLOOKUP($A16,Curves_Table,Escalation!$D$291),VLOOKUP($A16,Curves_Table,Escalation!$E$291))</f>
        <v>1.91118198199078</v>
      </c>
      <c r="I16" s="394" t="n">
        <f aca="false">G16/H16</f>
        <v>2788.92453636574</v>
      </c>
      <c r="J16" s="1579" t="str">
        <f aca="false">IF(MONTH($A16)=12,SUM(I5:I16)," ")</f>
        <v> </v>
      </c>
      <c r="L16" s="1595" t="n">
        <f aca="false">IF($A16&gt;Endyr,0,VLOOKUP($A16,Tariff_Table,Tariff!$H$33))</f>
        <v>9025.02</v>
      </c>
      <c r="M16" s="1565" t="n">
        <f aca="false">D16</f>
        <v>1.92488262910798</v>
      </c>
      <c r="N16" s="1563" t="n">
        <f aca="false">L16*M16</f>
        <v>17372.1042253521</v>
      </c>
      <c r="O16" s="1540" t="n">
        <f aca="false">$F16</f>
        <v>237.779371584699</v>
      </c>
      <c r="P16" s="1563" t="n">
        <f aca="false">N16*O16/1000</f>
        <v>4130.72802580813</v>
      </c>
      <c r="Q16" s="1565" t="n">
        <f aca="false">$H16</f>
        <v>1.91118198199078</v>
      </c>
      <c r="R16" s="394" t="n">
        <f aca="false">P16/Q16</f>
        <v>2161.34730482618</v>
      </c>
      <c r="S16" s="1579" t="str">
        <f aca="false">IF(MONTH($A16)=12,SUM(R5:R16)," ")</f>
        <v> </v>
      </c>
      <c r="U16" s="1595" t="n">
        <f aca="false">IF($A16&gt;Endyr,0,VLOOKUP($A16,Tariff_Table,Tariff!$I$33))</f>
        <v>3.2802</v>
      </c>
      <c r="V16" s="1565" t="n">
        <f aca="false">D16</f>
        <v>1.92488262910798</v>
      </c>
      <c r="W16" s="1563" t="n">
        <f aca="false">U16*V16</f>
        <v>6.314</v>
      </c>
      <c r="X16" s="397" t="n">
        <f aca="false">VLOOKUP($A16,Plant_Table,'Plant Operations'!$M$270)</f>
        <v>234410</v>
      </c>
      <c r="Y16" s="630" t="n">
        <f aca="false">W16*X16/1000</f>
        <v>1480.06474</v>
      </c>
      <c r="Z16" s="1565" t="n">
        <f aca="false">$H16</f>
        <v>1.91118198199078</v>
      </c>
      <c r="AA16" s="1565" t="n">
        <f aca="false">H16</f>
        <v>1.91118198199078</v>
      </c>
      <c r="AB16" s="1609" t="n">
        <f aca="false">W16/AA16</f>
        <v>3.30371469566861</v>
      </c>
      <c r="AC16" s="1566" t="n">
        <f aca="false">Y16/Z16</f>
        <v>774.423761811678</v>
      </c>
      <c r="AD16" s="1567" t="str">
        <f aca="false">IF(MONTH($A16)=12,SUM(AC5:AC16)," ")</f>
        <v> </v>
      </c>
    </row>
    <row r="17" customFormat="false" ht="12.75" hidden="false" customHeight="false" outlineLevel="0" collapsed="false">
      <c r="A17" s="1538" t="n">
        <f aca="false">'Annex 12-Gas'!A17</f>
        <v>37104</v>
      </c>
      <c r="C17" s="1595" t="n">
        <f aca="false">IF($A17&gt;Endyr,0,VLOOKUP($A17,Tariff_Table,Tariff!$G$33))</f>
        <v>11645.56</v>
      </c>
      <c r="D17" s="1565" t="n">
        <f aca="false">VLOOKUP($A17,Curves_Table,Escalation!$AW$291)</f>
        <v>1.92488262910798</v>
      </c>
      <c r="E17" s="1563" t="n">
        <f aca="false">C17*D17</f>
        <v>22416.3361502347</v>
      </c>
      <c r="F17" s="1540" t="n">
        <f aca="false">VLOOKUP($A17,Plant_Table,'Plant Operations'!$C$270)</f>
        <v>480</v>
      </c>
      <c r="G17" s="1563" t="n">
        <f aca="false">E17*F17/1000</f>
        <v>10759.8413521127</v>
      </c>
      <c r="H17" s="1565" t="n">
        <f aca="false">IF(Assm!$L$74=0,VLOOKUP($A17,Curves_Table,Escalation!$D$291),VLOOKUP($A17,Curves_Table,Escalation!$E$291))</f>
        <v>1.92702513218504</v>
      </c>
      <c r="I17" s="394" t="n">
        <f aca="false">G17/H17</f>
        <v>5583.65387788802</v>
      </c>
      <c r="J17" s="1579" t="str">
        <f aca="false">IF(MONTH($A17)=12,SUM(I6:I17)," ")</f>
        <v> </v>
      </c>
      <c r="L17" s="1595" t="n">
        <f aca="false">IF($A17&gt;Endyr,0,VLOOKUP($A17,Tariff_Table,Tariff!$H$33))</f>
        <v>9025.02</v>
      </c>
      <c r="M17" s="1565" t="n">
        <f aca="false">D17</f>
        <v>1.92488262910798</v>
      </c>
      <c r="N17" s="1563" t="n">
        <f aca="false">L17*M17</f>
        <v>17372.1042253521</v>
      </c>
      <c r="O17" s="1540" t="n">
        <f aca="false">$F17</f>
        <v>480</v>
      </c>
      <c r="P17" s="1563" t="n">
        <f aca="false">N17*O17/1000</f>
        <v>8338.61002816901</v>
      </c>
      <c r="Q17" s="1565" t="n">
        <f aca="false">$H17</f>
        <v>1.92702513218504</v>
      </c>
      <c r="R17" s="394" t="n">
        <f aca="false">P17/Q17</f>
        <v>4327.19318959474</v>
      </c>
      <c r="S17" s="1579" t="str">
        <f aca="false">IF(MONTH($A17)=12,SUM(R6:R17)," ")</f>
        <v> </v>
      </c>
      <c r="U17" s="1595" t="n">
        <f aca="false">IF($A17&gt;Endyr,0,VLOOKUP($A17,Tariff_Table,Tariff!$I$33))</f>
        <v>3.2802</v>
      </c>
      <c r="V17" s="1565" t="n">
        <f aca="false">D17</f>
        <v>1.92488262910798</v>
      </c>
      <c r="W17" s="1563" t="n">
        <f aca="false">U17*V17</f>
        <v>6.314</v>
      </c>
      <c r="X17" s="397" t="n">
        <f aca="false">VLOOKUP($A17,Plant_Table,'Plant Operations'!$M$270)</f>
        <v>298980.864</v>
      </c>
      <c r="Y17" s="630" t="n">
        <f aca="false">W17*X17/1000</f>
        <v>1887.765175296</v>
      </c>
      <c r="Z17" s="1565" t="n">
        <f aca="false">$H17</f>
        <v>1.92702513218504</v>
      </c>
      <c r="AA17" s="1565" t="n">
        <f aca="false">H17</f>
        <v>1.92702513218504</v>
      </c>
      <c r="AB17" s="1609" t="n">
        <f aca="false">W17/AA17</f>
        <v>3.27655301144962</v>
      </c>
      <c r="AC17" s="1566" t="n">
        <f aca="false">Y17/Z17</f>
        <v>979.62665030501</v>
      </c>
      <c r="AD17" s="1567" t="str">
        <f aca="false">IF(MONTH($A17)=12,SUM(AC6:AC17)," ")</f>
        <v> </v>
      </c>
    </row>
    <row r="18" customFormat="false" ht="12.75" hidden="false" customHeight="false" outlineLevel="0" collapsed="false">
      <c r="A18" s="1538" t="n">
        <f aca="false">'Annex 12-Gas'!A18</f>
        <v>37135</v>
      </c>
      <c r="C18" s="1595" t="n">
        <f aca="false">IF($A18&gt;Endyr,0,VLOOKUP($A18,Tariff_Table,Tariff!$G$33))</f>
        <v>7427.29</v>
      </c>
      <c r="D18" s="1565" t="n">
        <f aca="false">VLOOKUP($A18,Curves_Table,Escalation!$AW$291)</f>
        <v>1.92488262910798</v>
      </c>
      <c r="E18" s="1563" t="n">
        <f aca="false">C18*D18</f>
        <v>14296.6615023474</v>
      </c>
      <c r="F18" s="1540" t="n">
        <f aca="false">VLOOKUP($A18,Plant_Table,'Plant Operations'!$C$270)</f>
        <v>480</v>
      </c>
      <c r="G18" s="1563" t="n">
        <f aca="false">E18*F18/1000</f>
        <v>6862.39752112676</v>
      </c>
      <c r="H18" s="1565" t="n">
        <f aca="false">IF(Assm!$L$74=0,VLOOKUP($A18,Curves_Table,Escalation!$D$291),VLOOKUP($A18,Curves_Table,Escalation!$E$291))</f>
        <v>1.94299961754803</v>
      </c>
      <c r="I18" s="394" t="n">
        <f aca="false">G18/H18</f>
        <v>3531.85737102036</v>
      </c>
      <c r="J18" s="1579" t="str">
        <f aca="false">IF(MONTH($A18)=12,SUM(I7:I18)," ")</f>
        <v> </v>
      </c>
      <c r="L18" s="1595" t="n">
        <f aca="false">IF($A18&gt;Endyr,0,VLOOKUP($A18,Tariff_Table,Tariff!$H$33))</f>
        <v>6126.75</v>
      </c>
      <c r="M18" s="1565" t="n">
        <f aca="false">D18</f>
        <v>1.92488262910798</v>
      </c>
      <c r="N18" s="1563" t="n">
        <f aca="false">L18*M18</f>
        <v>11793.2746478873</v>
      </c>
      <c r="O18" s="1540" t="n">
        <f aca="false">$F18</f>
        <v>480</v>
      </c>
      <c r="P18" s="1563" t="n">
        <f aca="false">N18*O18/1000</f>
        <v>5660.77183098592</v>
      </c>
      <c r="Q18" s="1565" t="n">
        <f aca="false">$H18</f>
        <v>1.94299961754803</v>
      </c>
      <c r="R18" s="394" t="n">
        <f aca="false">P18/Q18</f>
        <v>2913.41891159481</v>
      </c>
      <c r="S18" s="1579" t="str">
        <f aca="false">IF(MONTH($A18)=12,SUM(R7:R18)," ")</f>
        <v> </v>
      </c>
      <c r="U18" s="1595" t="n">
        <f aca="false">IF($A18&gt;Endyr,0,VLOOKUP($A18,Tariff_Table,Tariff!$I$33))</f>
        <v>2.36</v>
      </c>
      <c r="V18" s="1565" t="n">
        <f aca="false">D18</f>
        <v>1.92488262910798</v>
      </c>
      <c r="W18" s="1563" t="n">
        <f aca="false">U18*V18</f>
        <v>4.54272300469484</v>
      </c>
      <c r="X18" s="397" t="n">
        <f aca="false">VLOOKUP($A18,Plant_Table,'Plant Operations'!$M$270)</f>
        <v>289336.32</v>
      </c>
      <c r="Y18" s="630" t="n">
        <f aca="false">W18*X18/1000</f>
        <v>1314.37475695775</v>
      </c>
      <c r="Z18" s="1565" t="n">
        <f aca="false">$H18</f>
        <v>1.94299961754803</v>
      </c>
      <c r="AA18" s="1565" t="n">
        <f aca="false">H18</f>
        <v>1.94299961754803</v>
      </c>
      <c r="AB18" s="1609" t="n">
        <f aca="false">W18/AA18</f>
        <v>2.33799480126894</v>
      </c>
      <c r="AC18" s="1566" t="n">
        <f aca="false">Y18/Z18</f>
        <v>676.466811978287</v>
      </c>
      <c r="AD18" s="1567" t="str">
        <f aca="false">IF(MONTH($A18)=12,SUM(AC7:AC18)," ")</f>
        <v> </v>
      </c>
    </row>
    <row r="19" customFormat="false" ht="12.75" hidden="false" customHeight="false" outlineLevel="0" collapsed="false">
      <c r="A19" s="1538" t="n">
        <f aca="false">'Annex 12-Gas'!A19</f>
        <v>37165</v>
      </c>
      <c r="C19" s="1595" t="n">
        <f aca="false">IF($A19&gt;Endyr,0,VLOOKUP($A19,Tariff_Table,Tariff!$G$33))</f>
        <v>7427.29</v>
      </c>
      <c r="D19" s="1565" t="n">
        <f aca="false">VLOOKUP($A19,Curves_Table,Escalation!$AW$291)</f>
        <v>1.92488262910798</v>
      </c>
      <c r="E19" s="1563" t="n">
        <f aca="false">C19*D19</f>
        <v>14296.6615023474</v>
      </c>
      <c r="F19" s="1540" t="n">
        <f aca="false">VLOOKUP($A19,Plant_Table,'Plant Operations'!$C$270)</f>
        <v>480</v>
      </c>
      <c r="G19" s="1563" t="n">
        <f aca="false">E19*F19/1000</f>
        <v>6862.39752112676</v>
      </c>
      <c r="H19" s="1565" t="n">
        <f aca="false">IF(Assm!$L$74=0,VLOOKUP($A19,Curves_Table,Escalation!$D$291),VLOOKUP($A19,Curves_Table,Escalation!$E$291))</f>
        <v>1.95910652681061</v>
      </c>
      <c r="I19" s="394" t="n">
        <f aca="false">G19/H19</f>
        <v>3502.81999840949</v>
      </c>
      <c r="J19" s="1579" t="str">
        <f aca="false">IF(MONTH($A19)=12,SUM(I8:I19)," ")</f>
        <v> </v>
      </c>
      <c r="L19" s="1595" t="n">
        <f aca="false">IF($A19&gt;Endyr,0,VLOOKUP($A19,Tariff_Table,Tariff!$H$33))</f>
        <v>6126.75</v>
      </c>
      <c r="M19" s="1565" t="n">
        <f aca="false">D19</f>
        <v>1.92488262910798</v>
      </c>
      <c r="N19" s="1563" t="n">
        <f aca="false">L19*M19</f>
        <v>11793.2746478873</v>
      </c>
      <c r="O19" s="1540" t="n">
        <f aca="false">$F19</f>
        <v>480</v>
      </c>
      <c r="P19" s="1563" t="n">
        <f aca="false">N19*O19/1000</f>
        <v>5660.77183098592</v>
      </c>
      <c r="Q19" s="1565" t="n">
        <f aca="false">$H19</f>
        <v>1.95910652681061</v>
      </c>
      <c r="R19" s="394" t="n">
        <f aca="false">P19/Q19</f>
        <v>2889.46606706556</v>
      </c>
      <c r="S19" s="1579" t="str">
        <f aca="false">IF(MONTH($A19)=12,SUM(R8:R19)," ")</f>
        <v> </v>
      </c>
      <c r="U19" s="1595" t="n">
        <f aca="false">IF($A19&gt;Endyr,0,VLOOKUP($A19,Tariff_Table,Tariff!$I$33))</f>
        <v>2.36</v>
      </c>
      <c r="V19" s="1565" t="n">
        <f aca="false">D19</f>
        <v>1.92488262910798</v>
      </c>
      <c r="W19" s="1563" t="n">
        <f aca="false">U19*V19</f>
        <v>4.54272300469484</v>
      </c>
      <c r="X19" s="397" t="n">
        <f aca="false">VLOOKUP($A19,Plant_Table,'Plant Operations'!$M$270)</f>
        <v>298980.864</v>
      </c>
      <c r="Y19" s="630" t="n">
        <f aca="false">W19*X19/1000</f>
        <v>1358.18724885634</v>
      </c>
      <c r="Z19" s="1565" t="n">
        <f aca="false">$H19</f>
        <v>1.95910652681061</v>
      </c>
      <c r="AA19" s="1565" t="n">
        <f aca="false">H19</f>
        <v>1.95910652681061</v>
      </c>
      <c r="AB19" s="1609" t="n">
        <f aca="false">W19/AA19</f>
        <v>2.31877283982628</v>
      </c>
      <c r="AC19" s="1566" t="n">
        <f aca="false">Y19/Z19</f>
        <v>693.268707070994</v>
      </c>
      <c r="AD19" s="1567" t="str">
        <f aca="false">IF(MONTH($A19)=12,SUM(AC8:AC19)," ")</f>
        <v> </v>
      </c>
    </row>
    <row r="20" customFormat="false" ht="12.75" hidden="false" customHeight="false" outlineLevel="0" collapsed="false">
      <c r="A20" s="1538" t="n">
        <f aca="false">'Annex 12-Gas'!A20</f>
        <v>37196</v>
      </c>
      <c r="C20" s="1595" t="n">
        <f aca="false">IF($A20&gt;Endyr,0,VLOOKUP($A20,Tariff_Table,Tariff!$G$33))</f>
        <v>7427.29</v>
      </c>
      <c r="D20" s="1565" t="n">
        <f aca="false">VLOOKUP($A20,Curves_Table,Escalation!$AW$291)</f>
        <v>1.92488262910798</v>
      </c>
      <c r="E20" s="1563" t="n">
        <f aca="false">C20*D20</f>
        <v>14296.6615023474</v>
      </c>
      <c r="F20" s="1540" t="n">
        <f aca="false">VLOOKUP($A20,Plant_Table,'Plant Operations'!$C$270)</f>
        <v>480</v>
      </c>
      <c r="G20" s="1563" t="n">
        <f aca="false">E20*F20/1000</f>
        <v>6862.39752112676</v>
      </c>
      <c r="H20" s="1565" t="n">
        <f aca="false">IF(Assm!$L$74=0,VLOOKUP($A20,Curves_Table,Escalation!$D$291),VLOOKUP($A20,Curves_Table,Escalation!$E$291))</f>
        <v>1.97534695772891</v>
      </c>
      <c r="I20" s="394" t="n">
        <f aca="false">G20/H20</f>
        <v>3474.02135826133</v>
      </c>
      <c r="J20" s="1579" t="str">
        <f aca="false">IF(MONTH($A20)=12,SUM(I9:I20)," ")</f>
        <v> </v>
      </c>
      <c r="L20" s="1595" t="n">
        <f aca="false">IF($A20&gt;Endyr,0,VLOOKUP($A20,Tariff_Table,Tariff!$H$33))</f>
        <v>6126.75</v>
      </c>
      <c r="M20" s="1565" t="n">
        <f aca="false">D20</f>
        <v>1.92488262910798</v>
      </c>
      <c r="N20" s="1563" t="n">
        <f aca="false">L20*M20</f>
        <v>11793.2746478873</v>
      </c>
      <c r="O20" s="1540" t="n">
        <f aca="false">$F20</f>
        <v>480</v>
      </c>
      <c r="P20" s="1563" t="n">
        <f aca="false">N20*O20/1000</f>
        <v>5660.77183098592</v>
      </c>
      <c r="Q20" s="1565" t="n">
        <f aca="false">$H20</f>
        <v>1.97534695772891</v>
      </c>
      <c r="R20" s="394" t="n">
        <f aca="false">P20/Q20</f>
        <v>2865.71015225305</v>
      </c>
      <c r="S20" s="1579" t="str">
        <f aca="false">IF(MONTH($A20)=12,SUM(R9:R20)," ")</f>
        <v> </v>
      </c>
      <c r="U20" s="1595" t="n">
        <f aca="false">IF($A20&gt;Endyr,0,VLOOKUP($A20,Tariff_Table,Tariff!$I$33))</f>
        <v>2.36</v>
      </c>
      <c r="V20" s="1565" t="n">
        <f aca="false">D20</f>
        <v>1.92488262910798</v>
      </c>
      <c r="W20" s="1563" t="n">
        <f aca="false">U20*V20</f>
        <v>4.54272300469484</v>
      </c>
      <c r="X20" s="397" t="n">
        <f aca="false">VLOOKUP($A20,Plant_Table,'Plant Operations'!$M$270)</f>
        <v>289336.32</v>
      </c>
      <c r="Y20" s="630" t="n">
        <f aca="false">W20*X20/1000</f>
        <v>1314.37475695775</v>
      </c>
      <c r="Z20" s="1565" t="n">
        <f aca="false">$H20</f>
        <v>1.97534695772891</v>
      </c>
      <c r="AA20" s="1565" t="n">
        <f aca="false">H20</f>
        <v>1.97534695772891</v>
      </c>
      <c r="AB20" s="1609" t="n">
        <f aca="false">W20/AA20</f>
        <v>2.29970891286748</v>
      </c>
      <c r="AC20" s="1566" t="n">
        <f aca="false">Y20/Z20</f>
        <v>665.389313920278</v>
      </c>
      <c r="AD20" s="1567" t="str">
        <f aca="false">IF(MONTH($A20)=12,SUM(AC9:AC20)," ")</f>
        <v> </v>
      </c>
    </row>
    <row r="21" customFormat="false" ht="12.75" hidden="false" customHeight="false" outlineLevel="0" collapsed="false">
      <c r="A21" s="1538" t="n">
        <f aca="false">'Annex 12-Gas'!A21</f>
        <v>37226</v>
      </c>
      <c r="C21" s="1595" t="n">
        <f aca="false">IF($A21&gt;Endyr,0,VLOOKUP($A21,Tariff_Table,Tariff!$G$33))</f>
        <v>7427.29</v>
      </c>
      <c r="D21" s="1565" t="n">
        <f aca="false">VLOOKUP($A21,Curves_Table,Escalation!$AW$291)</f>
        <v>1.92488262910798</v>
      </c>
      <c r="E21" s="1563" t="n">
        <f aca="false">C21*D21</f>
        <v>14296.6615023474</v>
      </c>
      <c r="F21" s="1540" t="n">
        <f aca="false">VLOOKUP($A21,Plant_Table,'Plant Operations'!$C$270)</f>
        <v>480</v>
      </c>
      <c r="G21" s="1563" t="n">
        <f aca="false">E21*F21/1000</f>
        <v>6862.39752112676</v>
      </c>
      <c r="H21" s="1565" t="n">
        <f aca="false">IF(Assm!$L$74=0,VLOOKUP($A21,Curves_Table,Escalation!$D$291),VLOOKUP($A21,Curves_Table,Escalation!$E$291))</f>
        <v>1.99172201715913</v>
      </c>
      <c r="I21" s="394" t="n">
        <f aca="false">G21/H21</f>
        <v>3445.45948782293</v>
      </c>
      <c r="J21" s="1579" t="n">
        <f aca="false">IF(MONTH($A21)=12,SUM(I10:I21)," ")</f>
        <v>32651.4189037662</v>
      </c>
      <c r="L21" s="1595" t="n">
        <f aca="false">IF($A21&gt;Endyr,0,VLOOKUP($A21,Tariff_Table,Tariff!$H$33))</f>
        <v>6126.75</v>
      </c>
      <c r="M21" s="1565" t="n">
        <f aca="false">D21</f>
        <v>1.92488262910798</v>
      </c>
      <c r="N21" s="1563" t="n">
        <f aca="false">L21*M21</f>
        <v>11793.2746478873</v>
      </c>
      <c r="O21" s="1540" t="n">
        <f aca="false">$F21</f>
        <v>480</v>
      </c>
      <c r="P21" s="1563" t="n">
        <f aca="false">N21*O21/1000</f>
        <v>5660.77183098592</v>
      </c>
      <c r="Q21" s="1565" t="n">
        <f aca="false">$H21</f>
        <v>1.99172201715913</v>
      </c>
      <c r="R21" s="394" t="n">
        <f aca="false">P21/Q21</f>
        <v>2842.14954808809</v>
      </c>
      <c r="S21" s="1579" t="n">
        <f aca="false">IF(MONTH($A21)=12,SUM(R10:R21)," ")</f>
        <v>26000.6577151018</v>
      </c>
      <c r="U21" s="1595" t="n">
        <f aca="false">IF($A21&gt;Endyr,0,VLOOKUP($A21,Tariff_Table,Tariff!$I$33))</f>
        <v>2.36</v>
      </c>
      <c r="V21" s="1565" t="n">
        <f aca="false">D21</f>
        <v>1.92488262910798</v>
      </c>
      <c r="W21" s="1563" t="n">
        <f aca="false">U21*V21</f>
        <v>4.54272300469484</v>
      </c>
      <c r="X21" s="397" t="n">
        <f aca="false">VLOOKUP($A21,Plant_Table,'Plant Operations'!$M$270)</f>
        <v>298980.864</v>
      </c>
      <c r="Y21" s="630" t="n">
        <f aca="false">W21*X21/1000</f>
        <v>1358.18724885634</v>
      </c>
      <c r="Z21" s="1565" t="n">
        <f aca="false">$H21</f>
        <v>1.99172201715913</v>
      </c>
      <c r="AA21" s="1565" t="n">
        <f aca="false">H21</f>
        <v>1.99172201715913</v>
      </c>
      <c r="AB21" s="1609" t="n">
        <f aca="false">W21/AA21</f>
        <v>2.28080172110277</v>
      </c>
      <c r="AC21" s="1566" t="n">
        <f aca="false">Y21/Z21</f>
        <v>681.916069187995</v>
      </c>
      <c r="AD21" s="1567" t="n">
        <f aca="false">IF(MONTH($A21)=12,SUM(AC10:AC21)," ")</f>
        <v>6018.42212047546</v>
      </c>
    </row>
    <row r="22" customFormat="false" ht="12.75" hidden="false" customHeight="false" outlineLevel="0" collapsed="false">
      <c r="A22" s="1538" t="n">
        <f aca="false">'Annex 12-Gas'!A22</f>
        <v>37257</v>
      </c>
      <c r="C22" s="1595" t="n">
        <f aca="false">IF($A22&gt;Endyr,0,VLOOKUP($A22,Tariff_Table,Tariff!$G$33))</f>
        <v>7427.29</v>
      </c>
      <c r="D22" s="1565" t="n">
        <f aca="false">VLOOKUP($A22,Curves_Table,Escalation!$AW$291)</f>
        <v>1.92488262910798</v>
      </c>
      <c r="E22" s="1563" t="n">
        <f aca="false">C22*D22</f>
        <v>14296.6615023474</v>
      </c>
      <c r="F22" s="1540" t="n">
        <f aca="false">VLOOKUP($A22,Plant_Table,'Plant Operations'!$C$270)</f>
        <v>480</v>
      </c>
      <c r="G22" s="1563" t="n">
        <f aca="false">E22*F22/1000</f>
        <v>6862.39752112676</v>
      </c>
      <c r="H22" s="1565" t="n">
        <f aca="false">IF(Assm!$L$74=0,VLOOKUP($A22,Curves_Table,Escalation!$D$291),VLOOKUP($A22,Curves_Table,Escalation!$E$291))</f>
        <v>2.00248656102165</v>
      </c>
      <c r="I22" s="394" t="n">
        <f aca="false">G22/H22</f>
        <v>3426.93811519296</v>
      </c>
      <c r="J22" s="1579" t="str">
        <f aca="false">IF(MONTH($A22)=12,SUM(I11:I22)," ")</f>
        <v> </v>
      </c>
      <c r="L22" s="1595" t="n">
        <f aca="false">IF($A22&gt;Endyr,0,VLOOKUP($A22,Tariff_Table,Tariff!$H$33))</f>
        <v>6126.75</v>
      </c>
      <c r="M22" s="1565" t="n">
        <f aca="false">D22</f>
        <v>1.92488262910798</v>
      </c>
      <c r="N22" s="1563" t="n">
        <f aca="false">L22*M22</f>
        <v>11793.2746478873</v>
      </c>
      <c r="O22" s="1540" t="n">
        <f aca="false">$F22</f>
        <v>480</v>
      </c>
      <c r="P22" s="1563" t="n">
        <f aca="false">N22*O22/1000</f>
        <v>5660.77183098592</v>
      </c>
      <c r="Q22" s="1565" t="n">
        <f aca="false">$H22</f>
        <v>2.00248656102165</v>
      </c>
      <c r="R22" s="394" t="n">
        <f aca="false">P22/Q22</f>
        <v>2826.87132147237</v>
      </c>
      <c r="S22" s="1579" t="str">
        <f aca="false">IF(MONTH($A22)=12,SUM(R11:R22)," ")</f>
        <v> </v>
      </c>
      <c r="U22" s="1595" t="n">
        <f aca="false">IF($A22&gt;Endyr,0,VLOOKUP($A22,Tariff_Table,Tariff!$I$33))</f>
        <v>2.36</v>
      </c>
      <c r="V22" s="1565" t="n">
        <f aca="false">D22</f>
        <v>1.92488262910798</v>
      </c>
      <c r="W22" s="1563" t="n">
        <f aca="false">U22*V22</f>
        <v>4.54272300469484</v>
      </c>
      <c r="X22" s="397" t="n">
        <f aca="false">VLOOKUP($A22,Plant_Table,'Plant Operations'!$M$270)</f>
        <v>298980.864</v>
      </c>
      <c r="Y22" s="630" t="n">
        <f aca="false">W22*X22/1000</f>
        <v>1358.18724885634</v>
      </c>
      <c r="Z22" s="1565" t="n">
        <f aca="false">$H22</f>
        <v>2.00248656102165</v>
      </c>
      <c r="AA22" s="1565" t="n">
        <f aca="false">H22</f>
        <v>2.00248656102165</v>
      </c>
      <c r="AB22" s="1609" t="n">
        <f aca="false">W22/AA22</f>
        <v>2.26854106944777</v>
      </c>
      <c r="AC22" s="1566" t="n">
        <f aca="false">Y22/Z22</f>
        <v>678.250368962979</v>
      </c>
      <c r="AD22" s="1567" t="str">
        <f aca="false">IF(MONTH($A22)=12,SUM(AC11:AC22)," ")</f>
        <v> </v>
      </c>
    </row>
    <row r="23" customFormat="false" ht="12.75" hidden="false" customHeight="false" outlineLevel="0" collapsed="false">
      <c r="A23" s="1538" t="n">
        <f aca="false">'Annex 12-Gas'!A23</f>
        <v>37288</v>
      </c>
      <c r="C23" s="1595" t="n">
        <f aca="false">IF($A23&gt;Endyr,0,VLOOKUP($A23,Tariff_Table,Tariff!$G$33))</f>
        <v>7427.29</v>
      </c>
      <c r="D23" s="1565" t="n">
        <f aca="false">VLOOKUP($A23,Curves_Table,Escalation!$AW$291)</f>
        <v>1.92488262910798</v>
      </c>
      <c r="E23" s="1563" t="n">
        <f aca="false">C23*D23</f>
        <v>14296.6615023474</v>
      </c>
      <c r="F23" s="1540" t="n">
        <f aca="false">VLOOKUP($A23,Plant_Table,'Plant Operations'!$C$270)</f>
        <v>480</v>
      </c>
      <c r="G23" s="1563" t="n">
        <f aca="false">E23*F23/1000</f>
        <v>6862.39752112676</v>
      </c>
      <c r="H23" s="1565" t="n">
        <f aca="false">IF(Assm!$L$74=0,VLOOKUP($A23,Curves_Table,Escalation!$D$291),VLOOKUP($A23,Curves_Table,Escalation!$E$291))</f>
        <v>2.01330928338677</v>
      </c>
      <c r="I23" s="394" t="n">
        <f aca="false">G23/H23</f>
        <v>3408.51630584194</v>
      </c>
      <c r="J23" s="1579" t="str">
        <f aca="false">IF(MONTH($A23)=12,SUM(I12:I23)," ")</f>
        <v> </v>
      </c>
      <c r="L23" s="1595" t="n">
        <f aca="false">IF($A23&gt;Endyr,0,VLOOKUP($A23,Tariff_Table,Tariff!$H$33))</f>
        <v>6126.75</v>
      </c>
      <c r="M23" s="1565" t="n">
        <f aca="false">D23</f>
        <v>1.92488262910798</v>
      </c>
      <c r="N23" s="1563" t="n">
        <f aca="false">L23*M23</f>
        <v>11793.2746478873</v>
      </c>
      <c r="O23" s="1540" t="n">
        <f aca="false">$F23</f>
        <v>480</v>
      </c>
      <c r="P23" s="1563" t="n">
        <f aca="false">N23*O23/1000</f>
        <v>5660.77183098592</v>
      </c>
      <c r="Q23" s="1565" t="n">
        <f aca="false">$H23</f>
        <v>2.01330928338677</v>
      </c>
      <c r="R23" s="394" t="n">
        <f aca="false">P23/Q23</f>
        <v>2811.67522431696</v>
      </c>
      <c r="S23" s="1579" t="str">
        <f aca="false">IF(MONTH($A23)=12,SUM(R12:R23)," ")</f>
        <v> </v>
      </c>
      <c r="U23" s="1595" t="n">
        <f aca="false">IF($A23&gt;Endyr,0,VLOOKUP($A23,Tariff_Table,Tariff!$I$33))</f>
        <v>2.36</v>
      </c>
      <c r="V23" s="1565" t="n">
        <f aca="false">D23</f>
        <v>1.92488262910798</v>
      </c>
      <c r="W23" s="1563" t="n">
        <f aca="false">U23*V23</f>
        <v>4.54272300469484</v>
      </c>
      <c r="X23" s="397" t="n">
        <f aca="false">VLOOKUP($A23,Plant_Table,'Plant Operations'!$M$270)</f>
        <v>270047.232</v>
      </c>
      <c r="Y23" s="630" t="n">
        <f aca="false">W23*X23/1000</f>
        <v>1226.74977316056</v>
      </c>
      <c r="Z23" s="1565" t="n">
        <f aca="false">$H23</f>
        <v>2.01330928338677</v>
      </c>
      <c r="AA23" s="1565" t="n">
        <f aca="false">H23</f>
        <v>2.01330928338677</v>
      </c>
      <c r="AB23" s="1609" t="n">
        <f aca="false">W23/AA23</f>
        <v>2.25634632601163</v>
      </c>
      <c r="AC23" s="1566" t="n">
        <f aca="false">Y23/Z23</f>
        <v>609.320079772809</v>
      </c>
      <c r="AD23" s="1567" t="str">
        <f aca="false">IF(MONTH($A23)=12,SUM(AC12:AC23)," ")</f>
        <v> </v>
      </c>
    </row>
    <row r="24" customFormat="false" ht="12.75" hidden="false" customHeight="false" outlineLevel="0" collapsed="false">
      <c r="A24" s="1538" t="n">
        <f aca="false">'Annex 12-Gas'!A24</f>
        <v>37316</v>
      </c>
      <c r="C24" s="1595" t="n">
        <f aca="false">IF($A24&gt;Endyr,0,VLOOKUP($A24,Tariff_Table,Tariff!$G$33))</f>
        <v>7427.29</v>
      </c>
      <c r="D24" s="1565" t="n">
        <f aca="false">VLOOKUP($A24,Curves_Table,Escalation!$AW$291)</f>
        <v>1.92488262910798</v>
      </c>
      <c r="E24" s="1563" t="n">
        <f aca="false">C24*D24</f>
        <v>14296.6615023474</v>
      </c>
      <c r="F24" s="1540" t="n">
        <f aca="false">VLOOKUP($A24,Plant_Table,'Plant Operations'!$C$270)</f>
        <v>480</v>
      </c>
      <c r="G24" s="1563" t="n">
        <f aca="false">E24*F24/1000</f>
        <v>6862.39752112676</v>
      </c>
      <c r="H24" s="1565" t="n">
        <f aca="false">IF(Assm!$L$74=0,VLOOKUP($A24,Curves_Table,Escalation!$D$291),VLOOKUP($A24,Curves_Table,Escalation!$E$291))</f>
        <v>2.02419049868846</v>
      </c>
      <c r="I24" s="394" t="n">
        <f aca="false">G24/H24</f>
        <v>3390.19352455865</v>
      </c>
      <c r="J24" s="1579" t="str">
        <f aca="false">IF(MONTH($A24)=12,SUM(I13:I24)," ")</f>
        <v> </v>
      </c>
      <c r="L24" s="1595" t="n">
        <f aca="false">IF($A24&gt;Endyr,0,VLOOKUP($A24,Tariff_Table,Tariff!$H$33))</f>
        <v>6126.75</v>
      </c>
      <c r="M24" s="1565" t="n">
        <f aca="false">D24</f>
        <v>1.92488262910798</v>
      </c>
      <c r="N24" s="1563" t="n">
        <f aca="false">L24*M24</f>
        <v>11793.2746478873</v>
      </c>
      <c r="O24" s="1540" t="n">
        <f aca="false">$F24</f>
        <v>480</v>
      </c>
      <c r="P24" s="1563" t="n">
        <f aca="false">N24*O24/1000</f>
        <v>5660.77183098592</v>
      </c>
      <c r="Q24" s="1565" t="n">
        <f aca="false">$H24</f>
        <v>2.02419049868846</v>
      </c>
      <c r="R24" s="394" t="n">
        <f aca="false">P24/Q24</f>
        <v>2796.56081512768</v>
      </c>
      <c r="S24" s="1579" t="str">
        <f aca="false">IF(MONTH($A24)=12,SUM(R13:R24)," ")</f>
        <v> </v>
      </c>
      <c r="U24" s="1595" t="n">
        <f aca="false">IF($A24&gt;Endyr,0,VLOOKUP($A24,Tariff_Table,Tariff!$I$33))</f>
        <v>2.36</v>
      </c>
      <c r="V24" s="1565" t="n">
        <f aca="false">D24</f>
        <v>1.92488262910798</v>
      </c>
      <c r="W24" s="1563" t="n">
        <f aca="false">U24*V24</f>
        <v>4.54272300469484</v>
      </c>
      <c r="X24" s="397" t="n">
        <f aca="false">VLOOKUP($A24,Plant_Table,'Plant Operations'!$M$270)</f>
        <v>298980.864</v>
      </c>
      <c r="Y24" s="630" t="n">
        <f aca="false">W24*X24/1000</f>
        <v>1358.18724885634</v>
      </c>
      <c r="Z24" s="1565" t="n">
        <f aca="false">$H24</f>
        <v>2.02419049868846</v>
      </c>
      <c r="AA24" s="1565" t="n">
        <f aca="false">H24</f>
        <v>2.02419049868846</v>
      </c>
      <c r="AB24" s="1609" t="n">
        <f aca="false">W24/AA24</f>
        <v>2.24421713649887</v>
      </c>
      <c r="AC24" s="1566" t="n">
        <f aca="false">Y24/Z24</f>
        <v>670.977978474038</v>
      </c>
      <c r="AD24" s="1567" t="str">
        <f aca="false">IF(MONTH($A24)=12,SUM(AC13:AC24)," ")</f>
        <v> </v>
      </c>
    </row>
    <row r="25" customFormat="false" ht="12.75" hidden="false" customHeight="false" outlineLevel="0" collapsed="false">
      <c r="A25" s="1538" t="n">
        <f aca="false">'Annex 12-Gas'!A25</f>
        <v>37347</v>
      </c>
      <c r="C25" s="1595" t="n">
        <f aca="false">IF($A25&gt;Endyr,0,VLOOKUP($A25,Tariff_Table,Tariff!$G$33))</f>
        <v>7427.29</v>
      </c>
      <c r="D25" s="1565" t="n">
        <f aca="false">VLOOKUP($A25,Curves_Table,Escalation!$AW$291)</f>
        <v>1.92488262910798</v>
      </c>
      <c r="E25" s="1563" t="n">
        <f aca="false">C25*D25</f>
        <v>14296.6615023474</v>
      </c>
      <c r="F25" s="1540" t="n">
        <f aca="false">VLOOKUP($A25,Plant_Table,'Plant Operations'!$C$270)</f>
        <v>480</v>
      </c>
      <c r="G25" s="1563" t="n">
        <f aca="false">E25*F25/1000</f>
        <v>6862.39752112676</v>
      </c>
      <c r="H25" s="1565" t="n">
        <f aca="false">IF(Assm!$L$74=0,VLOOKUP($A25,Curves_Table,Escalation!$D$291),VLOOKUP($A25,Curves_Table,Escalation!$E$291))</f>
        <v>2.03513052306008</v>
      </c>
      <c r="I25" s="394" t="n">
        <f aca="false">G25/H25</f>
        <v>3371.96923900893</v>
      </c>
      <c r="J25" s="1579" t="str">
        <f aca="false">IF(MONTH($A25)=12,SUM(I14:I25)," ")</f>
        <v> </v>
      </c>
      <c r="L25" s="1595" t="n">
        <f aca="false">IF($A25&gt;Endyr,0,VLOOKUP($A25,Tariff_Table,Tariff!$H$33))</f>
        <v>6126.75</v>
      </c>
      <c r="M25" s="1565" t="n">
        <f aca="false">D25</f>
        <v>1.92488262910798</v>
      </c>
      <c r="N25" s="1563" t="n">
        <f aca="false">L25*M25</f>
        <v>11793.2746478873</v>
      </c>
      <c r="O25" s="1540" t="n">
        <f aca="false">$F25</f>
        <v>480</v>
      </c>
      <c r="P25" s="1563" t="n">
        <f aca="false">N25*O25/1000</f>
        <v>5660.77183098592</v>
      </c>
      <c r="Q25" s="1565" t="n">
        <f aca="false">$H25</f>
        <v>2.03513052306008</v>
      </c>
      <c r="R25" s="394" t="n">
        <f aca="false">P25/Q25</f>
        <v>2781.52765478364</v>
      </c>
      <c r="S25" s="1579" t="str">
        <f aca="false">IF(MONTH($A25)=12,SUM(R14:R25)," ")</f>
        <v> </v>
      </c>
      <c r="U25" s="1595" t="n">
        <f aca="false">IF($A25&gt;Endyr,0,VLOOKUP($A25,Tariff_Table,Tariff!$I$33))</f>
        <v>2.36</v>
      </c>
      <c r="V25" s="1565" t="n">
        <f aca="false">D25</f>
        <v>1.92488262910798</v>
      </c>
      <c r="W25" s="1563" t="n">
        <f aca="false">U25*V25</f>
        <v>4.54272300469484</v>
      </c>
      <c r="X25" s="397" t="n">
        <f aca="false">VLOOKUP($A25,Plant_Table,'Plant Operations'!$M$270)</f>
        <v>289336.32</v>
      </c>
      <c r="Y25" s="630" t="n">
        <f aca="false">W25*X25/1000</f>
        <v>1314.37475695775</v>
      </c>
      <c r="Z25" s="1565" t="n">
        <f aca="false">$H25</f>
        <v>2.03513052306008</v>
      </c>
      <c r="AA25" s="1565" t="n">
        <f aca="false">H25</f>
        <v>2.03513052306008</v>
      </c>
      <c r="AB25" s="1609" t="n">
        <f aca="false">W25/AA25</f>
        <v>2.23215314851858</v>
      </c>
      <c r="AC25" s="1566" t="n">
        <f aca="false">Y25/Z25</f>
        <v>645.84297766878</v>
      </c>
      <c r="AD25" s="1567" t="str">
        <f aca="false">IF(MONTH($A25)=12,SUM(AC14:AC25)," ")</f>
        <v> </v>
      </c>
    </row>
    <row r="26" customFormat="false" ht="12.75" hidden="false" customHeight="false" outlineLevel="0" collapsed="false">
      <c r="A26" s="1538" t="n">
        <f aca="false">'Annex 12-Gas'!A26</f>
        <v>37377</v>
      </c>
      <c r="C26" s="1595" t="n">
        <f aca="false">IF($A26&gt;Endyr,0,VLOOKUP($A26,Tariff_Table,Tariff!$G$33))</f>
        <v>7420.08</v>
      </c>
      <c r="D26" s="1565" t="n">
        <f aca="false">VLOOKUP($A26,Curves_Table,Escalation!$AW$291)</f>
        <v>1.92488262910798</v>
      </c>
      <c r="E26" s="1563" t="n">
        <f aca="false">C26*D26</f>
        <v>14282.7830985915</v>
      </c>
      <c r="F26" s="1540" t="n">
        <f aca="false">VLOOKUP($A26,Plant_Table,'Plant Operations'!$C$270)</f>
        <v>480</v>
      </c>
      <c r="G26" s="1563" t="n">
        <f aca="false">E26*F26/1000</f>
        <v>6855.73588732394</v>
      </c>
      <c r="H26" s="1565" t="n">
        <f aca="false">IF(Assm!$L$74=0,VLOOKUP($A26,Curves_Table,Escalation!$D$291),VLOOKUP($A26,Curves_Table,Escalation!$E$291))</f>
        <v>2.04612967434359</v>
      </c>
      <c r="I26" s="394" t="n">
        <f aca="false">G26/H26</f>
        <v>3350.58719556633</v>
      </c>
      <c r="J26" s="1579" t="str">
        <f aca="false">IF(MONTH($A26)=12,SUM(I15:I26)," ")</f>
        <v> </v>
      </c>
      <c r="L26" s="1595" t="n">
        <f aca="false">IF($A26&gt;Endyr,0,VLOOKUP($A26,Tariff_Table,Tariff!$H$33))</f>
        <v>6103.17</v>
      </c>
      <c r="M26" s="1565" t="n">
        <f aca="false">D26</f>
        <v>1.92488262910798</v>
      </c>
      <c r="N26" s="1563" t="n">
        <f aca="false">L26*M26</f>
        <v>11747.885915493</v>
      </c>
      <c r="O26" s="1540" t="n">
        <f aca="false">$F26</f>
        <v>480</v>
      </c>
      <c r="P26" s="1563" t="n">
        <f aca="false">N26*O26/1000</f>
        <v>5638.98523943662</v>
      </c>
      <c r="Q26" s="1565" t="n">
        <f aca="false">$H26</f>
        <v>2.04612967434359</v>
      </c>
      <c r="R26" s="394" t="n">
        <f aca="false">P26/Q26</f>
        <v>2755.92759840387</v>
      </c>
      <c r="S26" s="1579" t="str">
        <f aca="false">IF(MONTH($A26)=12,SUM(R15:R26)," ")</f>
        <v> </v>
      </c>
      <c r="U26" s="1595" t="n">
        <f aca="false">IF($A26&gt;Endyr,0,VLOOKUP($A26,Tariff_Table,Tariff!$I$33))</f>
        <v>2.3</v>
      </c>
      <c r="V26" s="1565" t="n">
        <f aca="false">D26</f>
        <v>1.92488262910798</v>
      </c>
      <c r="W26" s="1563" t="n">
        <f aca="false">U26*V26</f>
        <v>4.42723004694836</v>
      </c>
      <c r="X26" s="397" t="n">
        <f aca="false">VLOOKUP($A26,Plant_Table,'Plant Operations'!$M$270)</f>
        <v>298980.864</v>
      </c>
      <c r="Y26" s="630" t="n">
        <f aca="false">W26*X26/1000</f>
        <v>1323.65706456338</v>
      </c>
      <c r="Z26" s="1565" t="n">
        <f aca="false">$H26</f>
        <v>2.04612967434359</v>
      </c>
      <c r="AA26" s="1565" t="n">
        <f aca="false">H26</f>
        <v>2.04612967434359</v>
      </c>
      <c r="AB26" s="1609" t="n">
        <f aca="false">W26/AA26</f>
        <v>2.16370941805955</v>
      </c>
      <c r="AC26" s="1566" t="n">
        <f aca="false">Y26/Z26</f>
        <v>646.907711256383</v>
      </c>
      <c r="AD26" s="1567" t="str">
        <f aca="false">IF(MONTH($A26)=12,SUM(AC15:AC26)," ")</f>
        <v> </v>
      </c>
    </row>
    <row r="27" customFormat="false" ht="12.75" hidden="false" customHeight="false" outlineLevel="0" collapsed="false">
      <c r="A27" s="1538" t="n">
        <f aca="false">'Annex 12-Gas'!A27</f>
        <v>37408</v>
      </c>
      <c r="C27" s="1595" t="n">
        <f aca="false">IF($A27&gt;Endyr,0,VLOOKUP($A27,Tariff_Table,Tariff!$G$33))</f>
        <v>7420.08</v>
      </c>
      <c r="D27" s="1565" t="n">
        <f aca="false">VLOOKUP($A27,Curves_Table,Escalation!$AW$291)</f>
        <v>1.92488262910798</v>
      </c>
      <c r="E27" s="1563" t="n">
        <f aca="false">C27*D27</f>
        <v>14282.7830985915</v>
      </c>
      <c r="F27" s="1540" t="n">
        <f aca="false">VLOOKUP($A27,Plant_Table,'Plant Operations'!$C$270)</f>
        <v>480</v>
      </c>
      <c r="G27" s="1563" t="n">
        <f aca="false">E27*F27/1000</f>
        <v>6855.73588732394</v>
      </c>
      <c r="H27" s="1565" t="n">
        <f aca="false">IF(Assm!$L$74=0,VLOOKUP($A27,Curves_Table,Escalation!$D$291),VLOOKUP($A27,Curves_Table,Escalation!$E$291))</f>
        <v>2.05718827209876</v>
      </c>
      <c r="I27" s="394" t="n">
        <f aca="false">G27/H27</f>
        <v>3332.57581734592</v>
      </c>
      <c r="J27" s="1579" t="str">
        <f aca="false">IF(MONTH($A27)=12,SUM(I16:I27)," ")</f>
        <v> </v>
      </c>
      <c r="L27" s="1595" t="n">
        <f aca="false">IF($A27&gt;Endyr,0,VLOOKUP($A27,Tariff_Table,Tariff!$H$33))</f>
        <v>6103.17</v>
      </c>
      <c r="M27" s="1565" t="n">
        <f aca="false">D27</f>
        <v>1.92488262910798</v>
      </c>
      <c r="N27" s="1563" t="n">
        <f aca="false">L27*M27</f>
        <v>11747.885915493</v>
      </c>
      <c r="O27" s="1540" t="n">
        <f aca="false">$F27</f>
        <v>480</v>
      </c>
      <c r="P27" s="1563" t="n">
        <f aca="false">N27*O27/1000</f>
        <v>5638.98523943662</v>
      </c>
      <c r="Q27" s="1565" t="n">
        <f aca="false">$H27</f>
        <v>2.05718827209876</v>
      </c>
      <c r="R27" s="394" t="n">
        <f aca="false">P27/Q27</f>
        <v>2741.11286551507</v>
      </c>
      <c r="S27" s="1579" t="str">
        <f aca="false">IF(MONTH($A27)=12,SUM(R16:R27)," ")</f>
        <v> </v>
      </c>
      <c r="U27" s="1595" t="n">
        <f aca="false">IF($A27&gt;Endyr,0,VLOOKUP($A27,Tariff_Table,Tariff!$I$33))</f>
        <v>2.3</v>
      </c>
      <c r="V27" s="1565" t="n">
        <f aca="false">D27</f>
        <v>1.92488262910798</v>
      </c>
      <c r="W27" s="1563" t="n">
        <f aca="false">U27*V27</f>
        <v>4.42723004694836</v>
      </c>
      <c r="X27" s="397" t="n">
        <f aca="false">VLOOKUP($A27,Plant_Table,'Plant Operations'!$M$270)</f>
        <v>289336.32</v>
      </c>
      <c r="Y27" s="630" t="n">
        <f aca="false">W27*X27/1000</f>
        <v>1280.95844957746</v>
      </c>
      <c r="Z27" s="1565" t="n">
        <f aca="false">$H27</f>
        <v>2.05718827209876</v>
      </c>
      <c r="AA27" s="1565" t="n">
        <f aca="false">H27</f>
        <v>2.05718827209876</v>
      </c>
      <c r="AB27" s="1609" t="n">
        <f aca="false">W27/AA27</f>
        <v>2.15207820645005</v>
      </c>
      <c r="AC27" s="1566" t="n">
        <f aca="false">Y27/Z27</f>
        <v>622.674388606456</v>
      </c>
      <c r="AD27" s="1567" t="str">
        <f aca="false">IF(MONTH($A27)=12,SUM(AC16:AC27)," ")</f>
        <v> </v>
      </c>
    </row>
    <row r="28" customFormat="false" ht="12.75" hidden="false" customHeight="false" outlineLevel="0" collapsed="false">
      <c r="A28" s="1538" t="n">
        <f aca="false">'Annex 12-Gas'!A28</f>
        <v>37438</v>
      </c>
      <c r="C28" s="1595" t="n">
        <f aca="false">IF($A28&gt;Endyr,0,VLOOKUP($A28,Tariff_Table,Tariff!$G$33))</f>
        <v>7420.08</v>
      </c>
      <c r="D28" s="1565" t="n">
        <f aca="false">VLOOKUP($A28,Curves_Table,Escalation!$AW$291)</f>
        <v>1.92488262910798</v>
      </c>
      <c r="E28" s="1563" t="n">
        <f aca="false">C28*D28</f>
        <v>14282.7830985915</v>
      </c>
      <c r="F28" s="1540" t="n">
        <f aca="false">VLOOKUP($A28,Plant_Table,'Plant Operations'!$C$270)</f>
        <v>480</v>
      </c>
      <c r="G28" s="1563" t="n">
        <f aca="false">E28*F28/1000</f>
        <v>6855.73588732394</v>
      </c>
      <c r="H28" s="1565" t="n">
        <f aca="false">IF(Assm!$L$74=0,VLOOKUP($A28,Curves_Table,Escalation!$D$291),VLOOKUP($A28,Curves_Table,Escalation!$E$291))</f>
        <v>2.06830663761246</v>
      </c>
      <c r="I28" s="394" t="n">
        <f aca="false">G28/H28</f>
        <v>3314.66126088434</v>
      </c>
      <c r="J28" s="1579" t="str">
        <f aca="false">IF(MONTH($A28)=12,SUM(I17:I28)," ")</f>
        <v> </v>
      </c>
      <c r="L28" s="1595" t="n">
        <f aca="false">IF($A28&gt;Endyr,0,VLOOKUP($A28,Tariff_Table,Tariff!$H$33))</f>
        <v>6103.17</v>
      </c>
      <c r="M28" s="1565" t="n">
        <f aca="false">D28</f>
        <v>1.92488262910798</v>
      </c>
      <c r="N28" s="1563" t="n">
        <f aca="false">L28*M28</f>
        <v>11747.885915493</v>
      </c>
      <c r="O28" s="1540" t="n">
        <f aca="false">$F28</f>
        <v>480</v>
      </c>
      <c r="P28" s="1563" t="n">
        <f aca="false">N28*O28/1000</f>
        <v>5638.98523943662</v>
      </c>
      <c r="Q28" s="1565" t="n">
        <f aca="false">$H28</f>
        <v>2.06830663761246</v>
      </c>
      <c r="R28" s="394" t="n">
        <f aca="false">P28/Q28</f>
        <v>2726.37777053501</v>
      </c>
      <c r="S28" s="1579" t="str">
        <f aca="false">IF(MONTH($A28)=12,SUM(R17:R28)," ")</f>
        <v> </v>
      </c>
      <c r="U28" s="1595" t="n">
        <f aca="false">IF($A28&gt;Endyr,0,VLOOKUP($A28,Tariff_Table,Tariff!$I$33))</f>
        <v>2.3</v>
      </c>
      <c r="V28" s="1565" t="n">
        <f aca="false">D28</f>
        <v>1.92488262910798</v>
      </c>
      <c r="W28" s="1563" t="n">
        <f aca="false">U28*V28</f>
        <v>4.42723004694836</v>
      </c>
      <c r="X28" s="397" t="n">
        <f aca="false">VLOOKUP($A28,Plant_Table,'Plant Operations'!$M$270)</f>
        <v>298980.864</v>
      </c>
      <c r="Y28" s="630" t="n">
        <f aca="false">W28*X28/1000</f>
        <v>1323.65706456338</v>
      </c>
      <c r="Z28" s="1565" t="n">
        <f aca="false">$H28</f>
        <v>2.06830663761246</v>
      </c>
      <c r="AA28" s="1565" t="n">
        <f aca="false">H28</f>
        <v>2.06830663761246</v>
      </c>
      <c r="AB28" s="1609" t="n">
        <f aca="false">W28/AA28</f>
        <v>2.14050951944868</v>
      </c>
      <c r="AC28" s="1566" t="n">
        <f aca="false">Y28/Z28</f>
        <v>639.971385524992</v>
      </c>
      <c r="AD28" s="1567" t="str">
        <f aca="false">IF(MONTH($A28)=12,SUM(AC17:AC28)," ")</f>
        <v> </v>
      </c>
    </row>
    <row r="29" customFormat="false" ht="12.75" hidden="false" customHeight="false" outlineLevel="0" collapsed="false">
      <c r="A29" s="1538" t="n">
        <f aca="false">'Annex 12-Gas'!A29</f>
        <v>37469</v>
      </c>
      <c r="C29" s="1595" t="n">
        <f aca="false">IF($A29&gt;Endyr,0,VLOOKUP($A29,Tariff_Table,Tariff!$G$33))</f>
        <v>7420.08</v>
      </c>
      <c r="D29" s="1565" t="n">
        <f aca="false">VLOOKUP($A29,Curves_Table,Escalation!$AW$291)</f>
        <v>1.92488262910798</v>
      </c>
      <c r="E29" s="1563" t="n">
        <f aca="false">C29*D29</f>
        <v>14282.7830985915</v>
      </c>
      <c r="F29" s="1540" t="n">
        <f aca="false">VLOOKUP($A29,Plant_Table,'Plant Operations'!$C$270)</f>
        <v>480</v>
      </c>
      <c r="G29" s="1563" t="n">
        <f aca="false">E29*F29/1000</f>
        <v>6855.73588732394</v>
      </c>
      <c r="H29" s="1565" t="n">
        <f aca="false">IF(Assm!$L$74=0,VLOOKUP($A29,Curves_Table,Escalation!$D$291),VLOOKUP($A29,Curves_Table,Escalation!$E$291))</f>
        <v>2.07948509390801</v>
      </c>
      <c r="I29" s="394" t="n">
        <f aca="false">G29/H29</f>
        <v>3296.84300570765</v>
      </c>
      <c r="J29" s="1579" t="str">
        <f aca="false">IF(MONTH($A29)=12,SUM(I18:I29)," ")</f>
        <v> </v>
      </c>
      <c r="L29" s="1595" t="n">
        <f aca="false">IF($A29&gt;Endyr,0,VLOOKUP($A29,Tariff_Table,Tariff!$H$33))</f>
        <v>6103.17</v>
      </c>
      <c r="M29" s="1565" t="n">
        <f aca="false">D29</f>
        <v>1.92488262910798</v>
      </c>
      <c r="N29" s="1563" t="n">
        <f aca="false">L29*M29</f>
        <v>11747.885915493</v>
      </c>
      <c r="O29" s="1540" t="n">
        <f aca="false">$F29</f>
        <v>480</v>
      </c>
      <c r="P29" s="1563" t="n">
        <f aca="false">N29*O29/1000</f>
        <v>5638.98523943662</v>
      </c>
      <c r="Q29" s="1565" t="n">
        <f aca="false">$H29</f>
        <v>2.07948509390801</v>
      </c>
      <c r="R29" s="394" t="n">
        <f aca="false">P29/Q29</f>
        <v>2711.72188536306</v>
      </c>
      <c r="S29" s="1579" t="str">
        <f aca="false">IF(MONTH($A29)=12,SUM(R18:R29)," ")</f>
        <v> </v>
      </c>
      <c r="U29" s="1595" t="n">
        <f aca="false">IF($A29&gt;Endyr,0,VLOOKUP($A29,Tariff_Table,Tariff!$I$33))</f>
        <v>2.3</v>
      </c>
      <c r="V29" s="1565" t="n">
        <f aca="false">D29</f>
        <v>1.92488262910798</v>
      </c>
      <c r="W29" s="1563" t="n">
        <f aca="false">U29*V29</f>
        <v>4.42723004694836</v>
      </c>
      <c r="X29" s="397" t="n">
        <f aca="false">VLOOKUP($A29,Plant_Table,'Plant Operations'!$M$270)</f>
        <v>298980.864</v>
      </c>
      <c r="Y29" s="630" t="n">
        <f aca="false">W29*X29/1000</f>
        <v>1323.65706456338</v>
      </c>
      <c r="Z29" s="1565" t="n">
        <f aca="false">$H29</f>
        <v>2.07948509390801</v>
      </c>
      <c r="AA29" s="1565" t="n">
        <f aca="false">H29</f>
        <v>2.07948509390801</v>
      </c>
      <c r="AB29" s="1609" t="n">
        <f aca="false">W29/AA29</f>
        <v>2.1290030209489</v>
      </c>
      <c r="AC29" s="1566" t="n">
        <f aca="false">Y29/Z29</f>
        <v>636.531162661911</v>
      </c>
      <c r="AD29" s="1567" t="str">
        <f aca="false">IF(MONTH($A29)=12,SUM(AC18:AC29)," ")</f>
        <v> </v>
      </c>
    </row>
    <row r="30" customFormat="false" ht="12.75" hidden="false" customHeight="false" outlineLevel="0" collapsed="false">
      <c r="A30" s="1538" t="n">
        <f aca="false">'Annex 12-Gas'!A30</f>
        <v>37500</v>
      </c>
      <c r="C30" s="1595" t="n">
        <f aca="false">IF($A30&gt;Endyr,0,VLOOKUP($A30,Tariff_Table,Tariff!$G$33))</f>
        <v>7420.08</v>
      </c>
      <c r="D30" s="1565" t="n">
        <f aca="false">VLOOKUP($A30,Curves_Table,Escalation!$AW$291)</f>
        <v>1.92488262910798</v>
      </c>
      <c r="E30" s="1563" t="n">
        <f aca="false">C30*D30</f>
        <v>14282.7830985915</v>
      </c>
      <c r="F30" s="1540" t="n">
        <f aca="false">VLOOKUP($A30,Plant_Table,'Plant Operations'!$C$270)</f>
        <v>480</v>
      </c>
      <c r="G30" s="1563" t="n">
        <f aca="false">E30*F30/1000</f>
        <v>6855.73588732394</v>
      </c>
      <c r="H30" s="1565" t="n">
        <f aca="false">IF(Assm!$L$74=0,VLOOKUP($A30,Curves_Table,Escalation!$D$291),VLOOKUP($A30,Curves_Table,Escalation!$E$291))</f>
        <v>2.09072396575457</v>
      </c>
      <c r="I30" s="394" t="n">
        <f aca="false">G30/H30</f>
        <v>3279.12053413977</v>
      </c>
      <c r="J30" s="1579" t="str">
        <f aca="false">IF(MONTH($A30)=12,SUM(I19:I30)," ")</f>
        <v> </v>
      </c>
      <c r="L30" s="1595" t="n">
        <f aca="false">IF($A30&gt;Endyr,0,VLOOKUP($A30,Tariff_Table,Tariff!$H$33))</f>
        <v>6103.17</v>
      </c>
      <c r="M30" s="1565" t="n">
        <f aca="false">D30</f>
        <v>1.92488262910798</v>
      </c>
      <c r="N30" s="1563" t="n">
        <f aca="false">L30*M30</f>
        <v>11747.885915493</v>
      </c>
      <c r="O30" s="1540" t="n">
        <f aca="false">$F30</f>
        <v>480</v>
      </c>
      <c r="P30" s="1563" t="n">
        <f aca="false">N30*O30/1000</f>
        <v>5638.98523943662</v>
      </c>
      <c r="Q30" s="1565" t="n">
        <f aca="false">$H30</f>
        <v>2.09072396575457</v>
      </c>
      <c r="R30" s="394" t="n">
        <f aca="false">P30/Q30</f>
        <v>2697.14478419987</v>
      </c>
      <c r="S30" s="1579" t="str">
        <f aca="false">IF(MONTH($A30)=12,SUM(R19:R30)," ")</f>
        <v> </v>
      </c>
      <c r="U30" s="1595" t="n">
        <f aca="false">IF($A30&gt;Endyr,0,VLOOKUP($A30,Tariff_Table,Tariff!$I$33))</f>
        <v>2.3</v>
      </c>
      <c r="V30" s="1565" t="n">
        <f aca="false">D30</f>
        <v>1.92488262910798</v>
      </c>
      <c r="W30" s="1563" t="n">
        <f aca="false">U30*V30</f>
        <v>4.42723004694836</v>
      </c>
      <c r="X30" s="397" t="n">
        <f aca="false">VLOOKUP($A30,Plant_Table,'Plant Operations'!$M$270)</f>
        <v>289336.32</v>
      </c>
      <c r="Y30" s="630" t="n">
        <f aca="false">W30*X30/1000</f>
        <v>1280.95844957746</v>
      </c>
      <c r="Z30" s="1565" t="n">
        <f aca="false">$H30</f>
        <v>2.09072396575457</v>
      </c>
      <c r="AA30" s="1565" t="n">
        <f aca="false">H30</f>
        <v>2.09072396575457</v>
      </c>
      <c r="AB30" s="1609" t="n">
        <f aca="false">W30/AA30</f>
        <v>2.11755837665089</v>
      </c>
      <c r="AC30" s="1566" t="n">
        <f aca="false">Y30/Z30</f>
        <v>612.686548085342</v>
      </c>
      <c r="AD30" s="1567" t="str">
        <f aca="false">IF(MONTH($A30)=12,SUM(AC19:AC30)," ")</f>
        <v> </v>
      </c>
    </row>
    <row r="31" customFormat="false" ht="12.75" hidden="false" customHeight="false" outlineLevel="0" collapsed="false">
      <c r="A31" s="1538" t="n">
        <f aca="false">'Annex 12-Gas'!A31</f>
        <v>37530</v>
      </c>
      <c r="C31" s="1595" t="n">
        <f aca="false">IF($A31&gt;Endyr,0,VLOOKUP($A31,Tariff_Table,Tariff!$G$33))</f>
        <v>7420.08</v>
      </c>
      <c r="D31" s="1565" t="n">
        <f aca="false">VLOOKUP($A31,Curves_Table,Escalation!$AW$291)</f>
        <v>1.92488262910798</v>
      </c>
      <c r="E31" s="1563" t="n">
        <f aca="false">C31*D31</f>
        <v>14282.7830985915</v>
      </c>
      <c r="F31" s="1540" t="n">
        <f aca="false">VLOOKUP($A31,Plant_Table,'Plant Operations'!$C$270)</f>
        <v>480</v>
      </c>
      <c r="G31" s="1563" t="n">
        <f aca="false">E31*F31/1000</f>
        <v>6855.73588732394</v>
      </c>
      <c r="H31" s="1565" t="n">
        <f aca="false">IF(Assm!$L$74=0,VLOOKUP($A31,Curves_Table,Escalation!$D$291),VLOOKUP($A31,Curves_Table,Escalation!$E$291))</f>
        <v>2.10202357967654</v>
      </c>
      <c r="I31" s="394" t="n">
        <f aca="false">G31/H31</f>
        <v>3261.49333128742</v>
      </c>
      <c r="J31" s="1579" t="str">
        <f aca="false">IF(MONTH($A31)=12,SUM(I20:I31)," ")</f>
        <v> </v>
      </c>
      <c r="L31" s="1595" t="n">
        <f aca="false">IF($A31&gt;Endyr,0,VLOOKUP($A31,Tariff_Table,Tariff!$H$33))</f>
        <v>6103.17</v>
      </c>
      <c r="M31" s="1565" t="n">
        <f aca="false">D31</f>
        <v>1.92488262910798</v>
      </c>
      <c r="N31" s="1563" t="n">
        <f aca="false">L31*M31</f>
        <v>11747.885915493</v>
      </c>
      <c r="O31" s="1540" t="n">
        <f aca="false">$F31</f>
        <v>480</v>
      </c>
      <c r="P31" s="1563" t="n">
        <f aca="false">N31*O31/1000</f>
        <v>5638.98523943662</v>
      </c>
      <c r="Q31" s="1565" t="n">
        <f aca="false">$H31</f>
        <v>2.10202357967654</v>
      </c>
      <c r="R31" s="394" t="n">
        <f aca="false">P31/Q31</f>
        <v>2682.64604353504</v>
      </c>
      <c r="S31" s="1579" t="str">
        <f aca="false">IF(MONTH($A31)=12,SUM(R20:R31)," ")</f>
        <v> </v>
      </c>
      <c r="U31" s="1595" t="n">
        <f aca="false">IF($A31&gt;Endyr,0,VLOOKUP($A31,Tariff_Table,Tariff!$I$33))</f>
        <v>2.3</v>
      </c>
      <c r="V31" s="1565" t="n">
        <f aca="false">D31</f>
        <v>1.92488262910798</v>
      </c>
      <c r="W31" s="1563" t="n">
        <f aca="false">U31*V31</f>
        <v>4.42723004694836</v>
      </c>
      <c r="X31" s="397" t="n">
        <f aca="false">VLOOKUP($A31,Plant_Table,'Plant Operations'!$M$270)</f>
        <v>298980.864</v>
      </c>
      <c r="Y31" s="630" t="n">
        <f aca="false">W31*X31/1000</f>
        <v>1323.65706456338</v>
      </c>
      <c r="Z31" s="1565" t="n">
        <f aca="false">$H31</f>
        <v>2.10202357967654</v>
      </c>
      <c r="AA31" s="1565" t="n">
        <f aca="false">H31</f>
        <v>2.10202357967654</v>
      </c>
      <c r="AB31" s="1609" t="n">
        <f aca="false">W31/AA31</f>
        <v>2.10617525405192</v>
      </c>
      <c r="AC31" s="1566" t="n">
        <f aca="false">Y31/Z31</f>
        <v>629.706097191862</v>
      </c>
      <c r="AD31" s="1567" t="str">
        <f aca="false">IF(MONTH($A31)=12,SUM(AC20:AC31)," ")</f>
        <v> </v>
      </c>
    </row>
    <row r="32" customFormat="false" ht="12.75" hidden="false" customHeight="false" outlineLevel="0" collapsed="false">
      <c r="A32" s="1538" t="n">
        <f aca="false">'Annex 12-Gas'!A32</f>
        <v>37561</v>
      </c>
      <c r="C32" s="1595" t="n">
        <f aca="false">IF($A32&gt;Endyr,0,VLOOKUP($A32,Tariff_Table,Tariff!$G$33))</f>
        <v>7420.08</v>
      </c>
      <c r="D32" s="1565" t="n">
        <f aca="false">VLOOKUP($A32,Curves_Table,Escalation!$AW$291)</f>
        <v>1.92488262910798</v>
      </c>
      <c r="E32" s="1563" t="n">
        <f aca="false">C32*D32</f>
        <v>14282.7830985915</v>
      </c>
      <c r="F32" s="1540" t="n">
        <f aca="false">VLOOKUP($A32,Plant_Table,'Plant Operations'!$C$270)</f>
        <v>480</v>
      </c>
      <c r="G32" s="1563" t="n">
        <f aca="false">E32*F32/1000</f>
        <v>6855.73588732394</v>
      </c>
      <c r="H32" s="1565" t="n">
        <f aca="false">IF(Assm!$L$74=0,VLOOKUP($A32,Curves_Table,Escalation!$D$291),VLOOKUP($A32,Curves_Table,Escalation!$E$291))</f>
        <v>2.11338426396307</v>
      </c>
      <c r="I32" s="394" t="n">
        <f aca="false">G32/H32</f>
        <v>3243.96088502519</v>
      </c>
      <c r="J32" s="1579" t="str">
        <f aca="false">IF(MONTH($A32)=12,SUM(I21:I32)," ")</f>
        <v> </v>
      </c>
      <c r="L32" s="1595" t="n">
        <f aca="false">IF($A32&gt;Endyr,0,VLOOKUP($A32,Tariff_Table,Tariff!$H$33))</f>
        <v>6103.17</v>
      </c>
      <c r="M32" s="1565" t="n">
        <f aca="false">D32</f>
        <v>1.92488262910798</v>
      </c>
      <c r="N32" s="1563" t="n">
        <f aca="false">L32*M32</f>
        <v>11747.885915493</v>
      </c>
      <c r="O32" s="1540" t="n">
        <f aca="false">$F32</f>
        <v>480</v>
      </c>
      <c r="P32" s="1563" t="n">
        <f aca="false">N32*O32/1000</f>
        <v>5638.98523943662</v>
      </c>
      <c r="Q32" s="1565" t="n">
        <f aca="false">$H32</f>
        <v>2.11338426396307</v>
      </c>
      <c r="R32" s="394" t="n">
        <f aca="false">P32/Q32</f>
        <v>2668.22524213475</v>
      </c>
      <c r="S32" s="1579" t="str">
        <f aca="false">IF(MONTH($A32)=12,SUM(R21:R32)," ")</f>
        <v> </v>
      </c>
      <c r="U32" s="1595" t="n">
        <f aca="false">IF($A32&gt;Endyr,0,VLOOKUP($A32,Tariff_Table,Tariff!$I$33))</f>
        <v>2.3</v>
      </c>
      <c r="V32" s="1565" t="n">
        <f aca="false">D32</f>
        <v>1.92488262910798</v>
      </c>
      <c r="W32" s="1563" t="n">
        <f aca="false">U32*V32</f>
        <v>4.42723004694836</v>
      </c>
      <c r="X32" s="397" t="n">
        <f aca="false">VLOOKUP($A32,Plant_Table,'Plant Operations'!$M$270)</f>
        <v>289336.32</v>
      </c>
      <c r="Y32" s="630" t="n">
        <f aca="false">W32*X32/1000</f>
        <v>1280.95844957746</v>
      </c>
      <c r="Z32" s="1565" t="n">
        <f aca="false">$H32</f>
        <v>2.11338426396307</v>
      </c>
      <c r="AA32" s="1565" t="n">
        <f aca="false">H32</f>
        <v>2.11338426396307</v>
      </c>
      <c r="AB32" s="1609" t="n">
        <f aca="false">W32/AA32</f>
        <v>2.09485332243665</v>
      </c>
      <c r="AC32" s="1566" t="n">
        <f aca="false">Y32/Z32</f>
        <v>606.117151253593</v>
      </c>
      <c r="AD32" s="1567" t="str">
        <f aca="false">IF(MONTH($A32)=12,SUM(AC21:AC32)," ")</f>
        <v> </v>
      </c>
    </row>
    <row r="33" customFormat="false" ht="12.75" hidden="false" customHeight="false" outlineLevel="0" collapsed="false">
      <c r="A33" s="1538" t="n">
        <f aca="false">'Annex 12-Gas'!A33</f>
        <v>37591</v>
      </c>
      <c r="C33" s="1595" t="n">
        <f aca="false">IF($A33&gt;Endyr,0,VLOOKUP($A33,Tariff_Table,Tariff!$G$33))</f>
        <v>7420.08</v>
      </c>
      <c r="D33" s="1565" t="n">
        <f aca="false">VLOOKUP($A33,Curves_Table,Escalation!$AW$291)</f>
        <v>1.92488262910798</v>
      </c>
      <c r="E33" s="1563" t="n">
        <f aca="false">C33*D33</f>
        <v>14282.7830985915</v>
      </c>
      <c r="F33" s="1540" t="n">
        <f aca="false">VLOOKUP($A33,Plant_Table,'Plant Operations'!$C$270)</f>
        <v>480</v>
      </c>
      <c r="G33" s="1563" t="n">
        <f aca="false">E33*F33/1000</f>
        <v>6855.73588732394</v>
      </c>
      <c r="H33" s="1565" t="n">
        <f aca="false">IF(Assm!$L$74=0,VLOOKUP($A33,Curves_Table,Escalation!$D$291),VLOOKUP($A33,Curves_Table,Escalation!$E$291))</f>
        <v>2.12480634867759</v>
      </c>
      <c r="I33" s="394" t="n">
        <f aca="false">G33/H33</f>
        <v>3226.52268598064</v>
      </c>
      <c r="J33" s="1579" t="n">
        <f aca="false">IF(MONTH($A33)=12,SUM(I22:I33)," ")</f>
        <v>39903.3819005397</v>
      </c>
      <c r="L33" s="1595" t="n">
        <f aca="false">IF($A33&gt;Endyr,0,VLOOKUP($A33,Tariff_Table,Tariff!$H$33))</f>
        <v>6103.17</v>
      </c>
      <c r="M33" s="1565" t="n">
        <f aca="false">D33</f>
        <v>1.92488262910798</v>
      </c>
      <c r="N33" s="1563" t="n">
        <f aca="false">L33*M33</f>
        <v>11747.885915493</v>
      </c>
      <c r="O33" s="1540" t="n">
        <f aca="false">$F33</f>
        <v>480</v>
      </c>
      <c r="P33" s="1563" t="n">
        <f aca="false">N33*O33/1000</f>
        <v>5638.98523943662</v>
      </c>
      <c r="Q33" s="1565" t="n">
        <f aca="false">$H33</f>
        <v>2.12480634867759</v>
      </c>
      <c r="R33" s="394" t="n">
        <f aca="false">P33/Q33</f>
        <v>2653.88196102959</v>
      </c>
      <c r="S33" s="1579" t="n">
        <f aca="false">IF(MONTH($A33)=12,SUM(R22:R33)," ")</f>
        <v>32853.6731664169</v>
      </c>
      <c r="U33" s="1595" t="n">
        <f aca="false">IF($A33&gt;Endyr,0,VLOOKUP($A33,Tariff_Table,Tariff!$I$33))</f>
        <v>2.3</v>
      </c>
      <c r="V33" s="1565" t="n">
        <f aca="false">D33</f>
        <v>1.92488262910798</v>
      </c>
      <c r="W33" s="1563" t="n">
        <f aca="false">U33*V33</f>
        <v>4.42723004694836</v>
      </c>
      <c r="X33" s="397" t="n">
        <f aca="false">VLOOKUP($A33,Plant_Table,'Plant Operations'!$M$270)</f>
        <v>298980.864</v>
      </c>
      <c r="Y33" s="630" t="n">
        <f aca="false">W33*X33/1000</f>
        <v>1323.65706456338</v>
      </c>
      <c r="Z33" s="1565" t="n">
        <f aca="false">$H33</f>
        <v>2.12480634867759</v>
      </c>
      <c r="AA33" s="1565" t="n">
        <f aca="false">H33</f>
        <v>2.12480634867759</v>
      </c>
      <c r="AB33" s="1609" t="n">
        <f aca="false">W33/AA33</f>
        <v>2.08359225286752</v>
      </c>
      <c r="AC33" s="1566" t="n">
        <f aca="false">Y33/Z33</f>
        <v>622.954211986038</v>
      </c>
      <c r="AD33" s="1567" t="n">
        <f aca="false">IF(MONTH($A33)=12,SUM(AC22:AC33)," ")</f>
        <v>7621.94006144518</v>
      </c>
    </row>
    <row r="34" customFormat="false" ht="12.75" hidden="false" customHeight="false" outlineLevel="0" collapsed="false">
      <c r="A34" s="1538" t="n">
        <f aca="false">'Annex 12-Gas'!A34</f>
        <v>37622</v>
      </c>
      <c r="C34" s="1595" t="n">
        <f aca="false">IF($A34&gt;Endyr,0,VLOOKUP($A34,Tariff_Table,Tariff!$G$33))</f>
        <v>7420.08</v>
      </c>
      <c r="D34" s="1565" t="n">
        <f aca="false">VLOOKUP($A34,Curves_Table,Escalation!$AW$291)</f>
        <v>1.92488262910798</v>
      </c>
      <c r="E34" s="1563" t="n">
        <f aca="false">C34*D34</f>
        <v>14282.7830985915</v>
      </c>
      <c r="F34" s="1540" t="n">
        <f aca="false">VLOOKUP($A34,Plant_Table,'Plant Operations'!$C$270)</f>
        <v>480</v>
      </c>
      <c r="G34" s="1563" t="n">
        <f aca="false">E34*F34/1000</f>
        <v>6855.73588732394</v>
      </c>
      <c r="H34" s="1565" t="n">
        <f aca="false">IF(Assm!$L$74=0,VLOOKUP($A34,Curves_Table,Escalation!$D$291),VLOOKUP($A34,Curves_Table,Escalation!$E$291))</f>
        <v>2.13087787834043</v>
      </c>
      <c r="I34" s="394" t="n">
        <f aca="false">G34/H34</f>
        <v>3217.32932563143</v>
      </c>
      <c r="J34" s="1579" t="str">
        <f aca="false">IF(MONTH($A34)=12,SUM(I23:I34)," ")</f>
        <v> </v>
      </c>
      <c r="L34" s="1595" t="n">
        <f aca="false">IF($A34&gt;Endyr,0,VLOOKUP($A34,Tariff_Table,Tariff!$H$33))</f>
        <v>6103.17</v>
      </c>
      <c r="M34" s="1565" t="n">
        <f aca="false">D34</f>
        <v>1.92488262910798</v>
      </c>
      <c r="N34" s="1563" t="n">
        <f aca="false">L34*M34</f>
        <v>11747.885915493</v>
      </c>
      <c r="O34" s="1540" t="n">
        <f aca="false">$F34</f>
        <v>480</v>
      </c>
      <c r="P34" s="1563" t="n">
        <f aca="false">N34*O34/1000</f>
        <v>5638.98523943662</v>
      </c>
      <c r="Q34" s="1565" t="n">
        <f aca="false">$H34</f>
        <v>2.13087787834043</v>
      </c>
      <c r="R34" s="394" t="n">
        <f aca="false">P34/Q34</f>
        <v>2646.32023109104</v>
      </c>
      <c r="S34" s="1579" t="str">
        <f aca="false">IF(MONTH($A34)=12,SUM(R23:R34)," ")</f>
        <v> </v>
      </c>
      <c r="U34" s="1595" t="n">
        <f aca="false">IF($A34&gt;Endyr,0,VLOOKUP($A34,Tariff_Table,Tariff!$I$33))</f>
        <v>2.3</v>
      </c>
      <c r="V34" s="1565" t="n">
        <f aca="false">D34</f>
        <v>1.92488262910798</v>
      </c>
      <c r="W34" s="1563" t="n">
        <f aca="false">U34*V34</f>
        <v>4.42723004694836</v>
      </c>
      <c r="X34" s="397" t="n">
        <f aca="false">VLOOKUP($A34,Plant_Table,'Plant Operations'!$M$270)</f>
        <v>298980.864</v>
      </c>
      <c r="Y34" s="630" t="n">
        <f aca="false">W34*X34/1000</f>
        <v>1323.65706456338</v>
      </c>
      <c r="Z34" s="1565" t="n">
        <f aca="false">$H34</f>
        <v>2.13087787834043</v>
      </c>
      <c r="AA34" s="1565" t="n">
        <f aca="false">H34</f>
        <v>2.13087787834043</v>
      </c>
      <c r="AB34" s="1609" t="n">
        <f aca="false">W34/AA34</f>
        <v>2.07765545456616</v>
      </c>
      <c r="AC34" s="1566" t="n">
        <f aca="false">Y34/Z34</f>
        <v>621.179222900504</v>
      </c>
      <c r="AD34" s="1567" t="str">
        <f aca="false">IF(MONTH($A34)=12,SUM(AC23:AC34)," ")</f>
        <v> </v>
      </c>
    </row>
    <row r="35" customFormat="false" ht="12.75" hidden="false" customHeight="false" outlineLevel="0" collapsed="false">
      <c r="A35" s="1538" t="n">
        <f aca="false">'Annex 12-Gas'!A35</f>
        <v>37653</v>
      </c>
      <c r="C35" s="1595" t="n">
        <f aca="false">IF($A35&gt;Endyr,0,VLOOKUP($A35,Tariff_Table,Tariff!$G$33))</f>
        <v>7420.08</v>
      </c>
      <c r="D35" s="1565" t="n">
        <f aca="false">VLOOKUP($A35,Curves_Table,Escalation!$AW$291)</f>
        <v>1.92488262910798</v>
      </c>
      <c r="E35" s="1563" t="n">
        <f aca="false">C35*D35</f>
        <v>14282.7830985915</v>
      </c>
      <c r="F35" s="1540" t="n">
        <f aca="false">VLOOKUP($A35,Plant_Table,'Plant Operations'!$C$270)</f>
        <v>480</v>
      </c>
      <c r="G35" s="1563" t="n">
        <f aca="false">E35*F35/1000</f>
        <v>6855.73588732394</v>
      </c>
      <c r="H35" s="1565" t="n">
        <f aca="false">IF(Assm!$L$74=0,VLOOKUP($A35,Curves_Table,Escalation!$D$291),VLOOKUP($A35,Curves_Table,Escalation!$E$291))</f>
        <v>2.13696675710073</v>
      </c>
      <c r="I35" s="394" t="n">
        <f aca="false">G35/H35</f>
        <v>3208.16216000724</v>
      </c>
      <c r="J35" s="1579" t="str">
        <f aca="false">IF(MONTH($A35)=12,SUM(I24:I35)," ")</f>
        <v> </v>
      </c>
      <c r="L35" s="1595" t="n">
        <f aca="false">IF($A35&gt;Endyr,0,VLOOKUP($A35,Tariff_Table,Tariff!$H$33))</f>
        <v>6103.17</v>
      </c>
      <c r="M35" s="1565" t="n">
        <f aca="false">D35</f>
        <v>1.92488262910798</v>
      </c>
      <c r="N35" s="1563" t="n">
        <f aca="false">L35*M35</f>
        <v>11747.885915493</v>
      </c>
      <c r="O35" s="1540" t="n">
        <f aca="false">$F35</f>
        <v>480</v>
      </c>
      <c r="P35" s="1563" t="n">
        <f aca="false">N35*O35/1000</f>
        <v>5638.98523943662</v>
      </c>
      <c r="Q35" s="1565" t="n">
        <f aca="false">$H35</f>
        <v>2.13696675710073</v>
      </c>
      <c r="R35" s="394" t="n">
        <f aca="false">P35/Q35</f>
        <v>2638.78004685818</v>
      </c>
      <c r="S35" s="1579" t="str">
        <f aca="false">IF(MONTH($A35)=12,SUM(R24:R35)," ")</f>
        <v> </v>
      </c>
      <c r="U35" s="1595" t="n">
        <f aca="false">IF($A35&gt;Endyr,0,VLOOKUP($A35,Tariff_Table,Tariff!$I$33))</f>
        <v>2.3</v>
      </c>
      <c r="V35" s="1565" t="n">
        <f aca="false">D35</f>
        <v>1.92488262910798</v>
      </c>
      <c r="W35" s="1563" t="n">
        <f aca="false">U35*V35</f>
        <v>4.42723004694836</v>
      </c>
      <c r="X35" s="397" t="n">
        <f aca="false">VLOOKUP($A35,Plant_Table,'Plant Operations'!$M$270)</f>
        <v>270047.232</v>
      </c>
      <c r="Y35" s="630" t="n">
        <f aca="false">W35*X35/1000</f>
        <v>1195.56121960563</v>
      </c>
      <c r="Z35" s="1565" t="n">
        <f aca="false">$H35</f>
        <v>2.13696675710073</v>
      </c>
      <c r="AA35" s="1565" t="n">
        <f aca="false">H35</f>
        <v>2.13696675710073</v>
      </c>
      <c r="AB35" s="1609" t="n">
        <f aca="false">W35/AA35</f>
        <v>2.07173557203804</v>
      </c>
      <c r="AC35" s="1566" t="n">
        <f aca="false">Y35/Z35</f>
        <v>559.46645666481</v>
      </c>
      <c r="AD35" s="1567" t="str">
        <f aca="false">IF(MONTH($A35)=12,SUM(AC24:AC35)," ")</f>
        <v> </v>
      </c>
    </row>
    <row r="36" customFormat="false" ht="12.75" hidden="false" customHeight="false" outlineLevel="0" collapsed="false">
      <c r="A36" s="1538" t="n">
        <f aca="false">'Annex 12-Gas'!A36</f>
        <v>37681</v>
      </c>
      <c r="C36" s="1595" t="n">
        <f aca="false">IF($A36&gt;Endyr,0,VLOOKUP($A36,Tariff_Table,Tariff!$G$33))</f>
        <v>7420.08</v>
      </c>
      <c r="D36" s="1565" t="n">
        <f aca="false">VLOOKUP($A36,Curves_Table,Escalation!$AW$291)</f>
        <v>1.92488262910798</v>
      </c>
      <c r="E36" s="1563" t="n">
        <f aca="false">C36*D36</f>
        <v>14282.7830985915</v>
      </c>
      <c r="F36" s="1540" t="n">
        <f aca="false">VLOOKUP($A36,Plant_Table,'Plant Operations'!$C$270)</f>
        <v>480</v>
      </c>
      <c r="G36" s="1563" t="n">
        <f aca="false">E36*F36/1000</f>
        <v>6855.73588732394</v>
      </c>
      <c r="H36" s="1565" t="n">
        <f aca="false">IF(Assm!$L$74=0,VLOOKUP($A36,Curves_Table,Escalation!$D$291),VLOOKUP($A36,Curves_Table,Escalation!$E$291))</f>
        <v>2.14307303453269</v>
      </c>
      <c r="I36" s="394" t="n">
        <f aca="false">G36/H36</f>
        <v>3199.0211144712</v>
      </c>
      <c r="J36" s="1579" t="str">
        <f aca="false">IF(MONTH($A36)=12,SUM(I25:I36)," ")</f>
        <v> </v>
      </c>
      <c r="L36" s="1595" t="n">
        <f aca="false">IF($A36&gt;Endyr,0,VLOOKUP($A36,Tariff_Table,Tariff!$H$33))</f>
        <v>6103.17</v>
      </c>
      <c r="M36" s="1565" t="n">
        <f aca="false">D36</f>
        <v>1.92488262910798</v>
      </c>
      <c r="N36" s="1563" t="n">
        <f aca="false">L36*M36</f>
        <v>11747.885915493</v>
      </c>
      <c r="O36" s="1540" t="n">
        <f aca="false">$F36</f>
        <v>480</v>
      </c>
      <c r="P36" s="1563" t="n">
        <f aca="false">N36*O36/1000</f>
        <v>5638.98523943662</v>
      </c>
      <c r="Q36" s="1565" t="n">
        <f aca="false">$H36</f>
        <v>2.14307303453269</v>
      </c>
      <c r="R36" s="394" t="n">
        <f aca="false">P36/Q36</f>
        <v>2631.26134694062</v>
      </c>
      <c r="S36" s="1579" t="str">
        <f aca="false">IF(MONTH($A36)=12,SUM(R25:R36)," ")</f>
        <v> </v>
      </c>
      <c r="U36" s="1595" t="n">
        <f aca="false">IF($A36&gt;Endyr,0,VLOOKUP($A36,Tariff_Table,Tariff!$I$33))</f>
        <v>2.3</v>
      </c>
      <c r="V36" s="1565" t="n">
        <f aca="false">D36</f>
        <v>1.92488262910798</v>
      </c>
      <c r="W36" s="1563" t="n">
        <f aca="false">U36*V36</f>
        <v>4.42723004694836</v>
      </c>
      <c r="X36" s="397" t="n">
        <f aca="false">VLOOKUP($A36,Plant_Table,'Plant Operations'!$M$270)</f>
        <v>298980.864</v>
      </c>
      <c r="Y36" s="630" t="n">
        <f aca="false">W36*X36/1000</f>
        <v>1323.65706456338</v>
      </c>
      <c r="Z36" s="1565" t="n">
        <f aca="false">$H36</f>
        <v>2.14307303453269</v>
      </c>
      <c r="AA36" s="1565" t="n">
        <f aca="false">H36</f>
        <v>2.14307303453269</v>
      </c>
      <c r="AB36" s="1609" t="n">
        <f aca="false">W36/AA36</f>
        <v>2.0658325570849</v>
      </c>
      <c r="AC36" s="1566" t="n">
        <f aca="false">Y36/Z36</f>
        <v>617.644402796571</v>
      </c>
      <c r="AD36" s="1567" t="str">
        <f aca="false">IF(MONTH($A36)=12,SUM(AC25:AC36)," ")</f>
        <v> </v>
      </c>
    </row>
    <row r="37" customFormat="false" ht="12.75" hidden="false" customHeight="false" outlineLevel="0" collapsed="false">
      <c r="A37" s="1538" t="n">
        <f aca="false">'Annex 12-Gas'!A37</f>
        <v>37712</v>
      </c>
      <c r="C37" s="1595" t="n">
        <f aca="false">IF($A37&gt;Endyr,0,VLOOKUP($A37,Tariff_Table,Tariff!$G$33))</f>
        <v>7420.08</v>
      </c>
      <c r="D37" s="1565" t="n">
        <f aca="false">VLOOKUP($A37,Curves_Table,Escalation!$AW$291)</f>
        <v>1.92488262910798</v>
      </c>
      <c r="E37" s="1563" t="n">
        <f aca="false">C37*D37</f>
        <v>14282.7830985915</v>
      </c>
      <c r="F37" s="1540" t="n">
        <f aca="false">VLOOKUP($A37,Plant_Table,'Plant Operations'!$C$270)</f>
        <v>480</v>
      </c>
      <c r="G37" s="1563" t="n">
        <f aca="false">E37*F37/1000</f>
        <v>6855.73588732394</v>
      </c>
      <c r="H37" s="1565" t="n">
        <f aca="false">IF(Assm!$L$74=0,VLOOKUP($A37,Curves_Table,Escalation!$D$291),VLOOKUP($A37,Curves_Table,Escalation!$E$291))</f>
        <v>2.14919676035217</v>
      </c>
      <c r="I37" s="394" t="n">
        <f aca="false">G37/H37</f>
        <v>3189.9061145991</v>
      </c>
      <c r="J37" s="1579" t="str">
        <f aca="false">IF(MONTH($A37)=12,SUM(I26:I37)," ")</f>
        <v> </v>
      </c>
      <c r="L37" s="1595" t="n">
        <f aca="false">IF($A37&gt;Endyr,0,VLOOKUP($A37,Tariff_Table,Tariff!$H$33))</f>
        <v>6103.17</v>
      </c>
      <c r="M37" s="1565" t="n">
        <f aca="false">D37</f>
        <v>1.92488262910798</v>
      </c>
      <c r="N37" s="1563" t="n">
        <f aca="false">L37*M37</f>
        <v>11747.885915493</v>
      </c>
      <c r="O37" s="1540" t="n">
        <f aca="false">$F37</f>
        <v>480</v>
      </c>
      <c r="P37" s="1563" t="n">
        <f aca="false">N37*O37/1000</f>
        <v>5638.98523943662</v>
      </c>
      <c r="Q37" s="1565" t="n">
        <f aca="false">$H37</f>
        <v>2.14919676035217</v>
      </c>
      <c r="R37" s="394" t="n">
        <f aca="false">P37/Q37</f>
        <v>2623.76407012293</v>
      </c>
      <c r="S37" s="1579" t="str">
        <f aca="false">IF(MONTH($A37)=12,SUM(R26:R37)," ")</f>
        <v> </v>
      </c>
      <c r="U37" s="1595" t="n">
        <f aca="false">IF($A37&gt;Endyr,0,VLOOKUP($A37,Tariff_Table,Tariff!$I$33))</f>
        <v>2.3</v>
      </c>
      <c r="V37" s="1565" t="n">
        <f aca="false">D37</f>
        <v>1.92488262910798</v>
      </c>
      <c r="W37" s="1563" t="n">
        <f aca="false">U37*V37</f>
        <v>4.42723004694836</v>
      </c>
      <c r="X37" s="397" t="n">
        <f aca="false">VLOOKUP($A37,Plant_Table,'Plant Operations'!$M$270)</f>
        <v>289336.32</v>
      </c>
      <c r="Y37" s="630" t="n">
        <f aca="false">W37*X37/1000</f>
        <v>1280.95844957746</v>
      </c>
      <c r="Z37" s="1565" t="n">
        <f aca="false">$H37</f>
        <v>2.14919676035217</v>
      </c>
      <c r="AA37" s="1565" t="n">
        <f aca="false">H37</f>
        <v>2.14919676035217</v>
      </c>
      <c r="AB37" s="1609" t="n">
        <f aca="false">W37/AA37</f>
        <v>2.05994636164579</v>
      </c>
      <c r="AC37" s="1566" t="n">
        <f aca="false">Y37/Z37</f>
        <v>596.017299675981</v>
      </c>
      <c r="AD37" s="1567" t="str">
        <f aca="false">IF(MONTH($A37)=12,SUM(AC26:AC37)," ")</f>
        <v> </v>
      </c>
    </row>
    <row r="38" customFormat="false" ht="12.75" hidden="false" customHeight="false" outlineLevel="0" collapsed="false">
      <c r="A38" s="1538" t="n">
        <f aca="false">'Annex 12-Gas'!A38</f>
        <v>37742</v>
      </c>
      <c r="C38" s="1595" t="n">
        <f aca="false">IF($A38&gt;Endyr,0,VLOOKUP($A38,Tariff_Table,Tariff!$G$33))</f>
        <v>7428.1</v>
      </c>
      <c r="D38" s="1565" t="n">
        <f aca="false">VLOOKUP($A38,Curves_Table,Escalation!$AW$291)</f>
        <v>2.08528457419664</v>
      </c>
      <c r="E38" s="1563" t="n">
        <f aca="false">C38*D38</f>
        <v>15489.7023455901</v>
      </c>
      <c r="F38" s="1540" t="n">
        <f aca="false">VLOOKUP($A38,Plant_Table,'Plant Operations'!$C$270)</f>
        <v>480</v>
      </c>
      <c r="G38" s="1563" t="n">
        <f aca="false">E38*F38/1000</f>
        <v>7435.05712588323</v>
      </c>
      <c r="H38" s="1565" t="n">
        <f aca="false">IF(Assm!$L$74=0,VLOOKUP($A38,Curves_Table,Escalation!$D$291),VLOOKUP($A38,Curves_Table,Escalation!$E$291))</f>
        <v>2.15533798441706</v>
      </c>
      <c r="I38" s="394" t="n">
        <f aca="false">G38/H38</f>
        <v>3449.6014915703</v>
      </c>
      <c r="J38" s="1579" t="str">
        <f aca="false">IF(MONTH($A38)=12,SUM(I27:I38)," ")</f>
        <v> </v>
      </c>
      <c r="L38" s="1595" t="n">
        <f aca="false">IF($A38&gt;Endyr,0,VLOOKUP($A38,Tariff_Table,Tariff!$H$33))</f>
        <v>6129.36</v>
      </c>
      <c r="M38" s="1565" t="n">
        <f aca="false">D38</f>
        <v>2.08528457419664</v>
      </c>
      <c r="N38" s="1563" t="n">
        <f aca="false">L38*M38</f>
        <v>12781.4598576979</v>
      </c>
      <c r="O38" s="1540" t="n">
        <f aca="false">$F38</f>
        <v>480</v>
      </c>
      <c r="P38" s="1563" t="n">
        <f aca="false">N38*O38/1000</f>
        <v>6135.100731695</v>
      </c>
      <c r="Q38" s="1565" t="n">
        <f aca="false">$H38</f>
        <v>2.15533798441706</v>
      </c>
      <c r="R38" s="394" t="n">
        <f aca="false">P38/Q38</f>
        <v>2846.46806025381</v>
      </c>
      <c r="S38" s="1579" t="str">
        <f aca="false">IF(MONTH($A38)=12,SUM(R27:R38)," ")</f>
        <v> </v>
      </c>
      <c r="U38" s="1595" t="n">
        <f aca="false">IF($A38&gt;Endyr,0,VLOOKUP($A38,Tariff_Table,Tariff!$I$33))</f>
        <v>2.31</v>
      </c>
      <c r="V38" s="1565" t="n">
        <f aca="false">D38</f>
        <v>2.08528457419664</v>
      </c>
      <c r="W38" s="1563" t="n">
        <f aca="false">U38*V38</f>
        <v>4.81700736639424</v>
      </c>
      <c r="X38" s="397" t="n">
        <f aca="false">VLOOKUP($A38,Plant_Table,'Plant Operations'!$M$270)</f>
        <v>298980.864</v>
      </c>
      <c r="Y38" s="630" t="n">
        <f aca="false">W38*X38/1000</f>
        <v>1440.19302429891</v>
      </c>
      <c r="Z38" s="1565" t="n">
        <f aca="false">$H38</f>
        <v>2.15533798441706</v>
      </c>
      <c r="AA38" s="1565" t="n">
        <f aca="false">H38</f>
        <v>2.15533798441706</v>
      </c>
      <c r="AB38" s="1609" t="n">
        <f aca="false">W38/AA38</f>
        <v>2.23491972081449</v>
      </c>
      <c r="AC38" s="1566" t="n">
        <f aca="false">Y38/Z38</f>
        <v>668.198229099754</v>
      </c>
      <c r="AD38" s="1567" t="str">
        <f aca="false">IF(MONTH($A38)=12,SUM(AC27:AC38)," ")</f>
        <v> </v>
      </c>
    </row>
    <row r="39" customFormat="false" ht="12.75" hidden="false" customHeight="false" outlineLevel="0" collapsed="false">
      <c r="A39" s="1538" t="n">
        <f aca="false">'Annex 12-Gas'!A39</f>
        <v>37773</v>
      </c>
      <c r="C39" s="1595" t="n">
        <f aca="false">IF($A39&gt;Endyr,0,VLOOKUP($A39,Tariff_Table,Tariff!$G$33))</f>
        <v>7428.1</v>
      </c>
      <c r="D39" s="1565" t="n">
        <f aca="false">VLOOKUP($A39,Curves_Table,Escalation!$AW$291)</f>
        <v>2.08528457419664</v>
      </c>
      <c r="E39" s="1563" t="n">
        <f aca="false">C39*D39</f>
        <v>15489.7023455901</v>
      </c>
      <c r="F39" s="1540" t="n">
        <f aca="false">VLOOKUP($A39,Plant_Table,'Plant Operations'!$C$270)</f>
        <v>480</v>
      </c>
      <c r="G39" s="1563" t="n">
        <f aca="false">E39*F39/1000</f>
        <v>7435.05712588323</v>
      </c>
      <c r="H39" s="1565" t="n">
        <f aca="false">IF(Assm!$L$74=0,VLOOKUP($A39,Curves_Table,Escalation!$D$291),VLOOKUP($A39,Curves_Table,Escalation!$E$291))</f>
        <v>2.16149675672775</v>
      </c>
      <c r="I39" s="394" t="n">
        <f aca="false">G39/H39</f>
        <v>3439.77251075732</v>
      </c>
      <c r="J39" s="1579" t="str">
        <f aca="false">IF(MONTH($A39)=12,SUM(I28:I39)," ")</f>
        <v> </v>
      </c>
      <c r="L39" s="1595" t="n">
        <f aca="false">IF($A39&gt;Endyr,0,VLOOKUP($A39,Tariff_Table,Tariff!$H$33))</f>
        <v>6129.36</v>
      </c>
      <c r="M39" s="1565" t="n">
        <f aca="false">D39</f>
        <v>2.08528457419664</v>
      </c>
      <c r="N39" s="1563" t="n">
        <f aca="false">L39*M39</f>
        <v>12781.4598576979</v>
      </c>
      <c r="O39" s="1540" t="n">
        <f aca="false">$F39</f>
        <v>480</v>
      </c>
      <c r="P39" s="1563" t="n">
        <f aca="false">N39*O39/1000</f>
        <v>6135.100731695</v>
      </c>
      <c r="Q39" s="1565" t="n">
        <f aca="false">$H39</f>
        <v>2.16149675672775</v>
      </c>
      <c r="R39" s="394" t="n">
        <f aca="false">P39/Q39</f>
        <v>2838.35759299625</v>
      </c>
      <c r="S39" s="1579" t="str">
        <f aca="false">IF(MONTH($A39)=12,SUM(R28:R39)," ")</f>
        <v> </v>
      </c>
      <c r="U39" s="1595" t="n">
        <f aca="false">IF($A39&gt;Endyr,0,VLOOKUP($A39,Tariff_Table,Tariff!$I$33))</f>
        <v>2.31</v>
      </c>
      <c r="V39" s="1565" t="n">
        <f aca="false">D39</f>
        <v>2.08528457419664</v>
      </c>
      <c r="W39" s="1563" t="n">
        <f aca="false">U39*V39</f>
        <v>4.81700736639424</v>
      </c>
      <c r="X39" s="397" t="n">
        <f aca="false">VLOOKUP($A39,Plant_Table,'Plant Operations'!$M$270)</f>
        <v>289336.32</v>
      </c>
      <c r="Y39" s="630" t="n">
        <f aca="false">W39*X39/1000</f>
        <v>1393.7351848054</v>
      </c>
      <c r="Z39" s="1565" t="n">
        <f aca="false">$H39</f>
        <v>2.16149675672775</v>
      </c>
      <c r="AA39" s="1565" t="n">
        <f aca="false">H39</f>
        <v>2.16149675672775</v>
      </c>
      <c r="AB39" s="1609" t="n">
        <f aca="false">W39/AA39</f>
        <v>2.22855174378638</v>
      </c>
      <c r="AC39" s="1566" t="n">
        <f aca="false">Y39/Z39</f>
        <v>644.800960476734</v>
      </c>
      <c r="AD39" s="1567" t="str">
        <f aca="false">IF(MONTH($A39)=12,SUM(AC28:AC39)," ")</f>
        <v> </v>
      </c>
    </row>
    <row r="40" customFormat="false" ht="12.75" hidden="false" customHeight="false" outlineLevel="0" collapsed="false">
      <c r="A40" s="1538" t="n">
        <f aca="false">'Annex 12-Gas'!A40</f>
        <v>37803</v>
      </c>
      <c r="C40" s="1595" t="n">
        <f aca="false">IF($A40&gt;Endyr,0,VLOOKUP($A40,Tariff_Table,Tariff!$G$33))</f>
        <v>7428.1</v>
      </c>
      <c r="D40" s="1565" t="n">
        <f aca="false">VLOOKUP($A40,Curves_Table,Escalation!$AW$291)</f>
        <v>2.08528457419664</v>
      </c>
      <c r="E40" s="1563" t="n">
        <f aca="false">C40*D40</f>
        <v>15489.7023455901</v>
      </c>
      <c r="F40" s="1540" t="n">
        <f aca="false">VLOOKUP($A40,Plant_Table,'Plant Operations'!$C$270)</f>
        <v>480</v>
      </c>
      <c r="G40" s="1563" t="n">
        <f aca="false">E40*F40/1000</f>
        <v>7435.05712588323</v>
      </c>
      <c r="H40" s="1565" t="n">
        <f aca="false">IF(Assm!$L$74=0,VLOOKUP($A40,Curves_Table,Escalation!$D$291),VLOOKUP($A40,Curves_Table,Escalation!$E$291))</f>
        <v>2.16767312742749</v>
      </c>
      <c r="I40" s="394" t="n">
        <f aca="false">G40/H40</f>
        <v>3429.9715357485</v>
      </c>
      <c r="J40" s="1579" t="str">
        <f aca="false">IF(MONTH($A40)=12,SUM(I29:I40)," ")</f>
        <v> </v>
      </c>
      <c r="L40" s="1595" t="n">
        <f aca="false">IF($A40&gt;Endyr,0,VLOOKUP($A40,Tariff_Table,Tariff!$H$33))</f>
        <v>6129.36</v>
      </c>
      <c r="M40" s="1565" t="n">
        <f aca="false">D40</f>
        <v>2.08528457419664</v>
      </c>
      <c r="N40" s="1563" t="n">
        <f aca="false">L40*M40</f>
        <v>12781.4598576979</v>
      </c>
      <c r="O40" s="1540" t="n">
        <f aca="false">$F40</f>
        <v>480</v>
      </c>
      <c r="P40" s="1563" t="n">
        <f aca="false">N40*O40/1000</f>
        <v>6135.100731695</v>
      </c>
      <c r="Q40" s="1565" t="n">
        <f aca="false">$H40</f>
        <v>2.16767312742749</v>
      </c>
      <c r="R40" s="394" t="n">
        <f aca="false">P40/Q40</f>
        <v>2830.2702349666</v>
      </c>
      <c r="S40" s="1579" t="str">
        <f aca="false">IF(MONTH($A40)=12,SUM(R29:R40)," ")</f>
        <v> </v>
      </c>
      <c r="U40" s="1595" t="n">
        <f aca="false">IF($A40&gt;Endyr,0,VLOOKUP($A40,Tariff_Table,Tariff!$I$33))</f>
        <v>2.31</v>
      </c>
      <c r="V40" s="1565" t="n">
        <f aca="false">D40</f>
        <v>2.08528457419664</v>
      </c>
      <c r="W40" s="1563" t="n">
        <f aca="false">U40*V40</f>
        <v>4.81700736639424</v>
      </c>
      <c r="X40" s="397" t="n">
        <f aca="false">VLOOKUP($A40,Plant_Table,'Plant Operations'!$M$270)</f>
        <v>298980.864</v>
      </c>
      <c r="Y40" s="630" t="n">
        <f aca="false">W40*X40/1000</f>
        <v>1440.19302429891</v>
      </c>
      <c r="Z40" s="1565" t="n">
        <f aca="false">$H40</f>
        <v>2.16767312742749</v>
      </c>
      <c r="AA40" s="1565" t="n">
        <f aca="false">H40</f>
        <v>2.16767312742749</v>
      </c>
      <c r="AB40" s="1609" t="n">
        <f aca="false">W40/AA40</f>
        <v>2.22220191109297</v>
      </c>
      <c r="AC40" s="1566" t="n">
        <f aca="false">Y40/Z40</f>
        <v>664.395847361026</v>
      </c>
      <c r="AD40" s="1567" t="str">
        <f aca="false">IF(MONTH($A40)=12,SUM(AC29:AC40)," ")</f>
        <v> </v>
      </c>
    </row>
    <row r="41" customFormat="false" ht="12.75" hidden="false" customHeight="false" outlineLevel="0" collapsed="false">
      <c r="A41" s="1538" t="n">
        <f aca="false">'Annex 12-Gas'!A41</f>
        <v>37834</v>
      </c>
      <c r="C41" s="1595" t="n">
        <f aca="false">IF($A41&gt;Endyr,0,VLOOKUP($A41,Tariff_Table,Tariff!$G$33))</f>
        <v>7428.1</v>
      </c>
      <c r="D41" s="1565" t="n">
        <f aca="false">VLOOKUP($A41,Curves_Table,Escalation!$AW$291)</f>
        <v>2.08528457419664</v>
      </c>
      <c r="E41" s="1563" t="n">
        <f aca="false">C41*D41</f>
        <v>15489.7023455901</v>
      </c>
      <c r="F41" s="1540" t="n">
        <f aca="false">VLOOKUP($A41,Plant_Table,'Plant Operations'!$C$270)</f>
        <v>480</v>
      </c>
      <c r="G41" s="1563" t="n">
        <f aca="false">E41*F41/1000</f>
        <v>7435.05712588323</v>
      </c>
      <c r="H41" s="1565" t="n">
        <f aca="false">IF(Assm!$L$74=0,VLOOKUP($A41,Curves_Table,Escalation!$D$291),VLOOKUP($A41,Curves_Table,Escalation!$E$291))</f>
        <v>2.17386714680281</v>
      </c>
      <c r="I41" s="394" t="n">
        <f aca="false">G41/H41</f>
        <v>3420.19848674666</v>
      </c>
      <c r="J41" s="1579" t="str">
        <f aca="false">IF(MONTH($A41)=12,SUM(I30:I41)," ")</f>
        <v> </v>
      </c>
      <c r="L41" s="1595" t="n">
        <f aca="false">IF($A41&gt;Endyr,0,VLOOKUP($A41,Tariff_Table,Tariff!$H$33))</f>
        <v>6129.36</v>
      </c>
      <c r="M41" s="1565" t="n">
        <f aca="false">D41</f>
        <v>2.08528457419664</v>
      </c>
      <c r="N41" s="1563" t="n">
        <f aca="false">L41*M41</f>
        <v>12781.4598576979</v>
      </c>
      <c r="O41" s="1540" t="n">
        <f aca="false">$F41</f>
        <v>480</v>
      </c>
      <c r="P41" s="1563" t="n">
        <f aca="false">N41*O41/1000</f>
        <v>6135.100731695</v>
      </c>
      <c r="Q41" s="1565" t="n">
        <f aca="false">$H41</f>
        <v>2.17386714680281</v>
      </c>
      <c r="R41" s="394" t="n">
        <f aca="false">P41/Q41</f>
        <v>2822.20592031953</v>
      </c>
      <c r="S41" s="1579" t="str">
        <f aca="false">IF(MONTH($A41)=12,SUM(R30:R41)," ")</f>
        <v> </v>
      </c>
      <c r="U41" s="1595" t="n">
        <f aca="false">IF($A41&gt;Endyr,0,VLOOKUP($A41,Tariff_Table,Tariff!$I$33))</f>
        <v>2.31</v>
      </c>
      <c r="V41" s="1565" t="n">
        <f aca="false">D41</f>
        <v>2.08528457419664</v>
      </c>
      <c r="W41" s="1563" t="n">
        <f aca="false">U41*V41</f>
        <v>4.81700736639424</v>
      </c>
      <c r="X41" s="397" t="n">
        <f aca="false">VLOOKUP($A41,Plant_Table,'Plant Operations'!$M$270)</f>
        <v>298980.864</v>
      </c>
      <c r="Y41" s="630" t="n">
        <f aca="false">W41*X41/1000</f>
        <v>1440.19302429891</v>
      </c>
      <c r="Z41" s="1565" t="n">
        <f aca="false">$H41</f>
        <v>2.17386714680281</v>
      </c>
      <c r="AA41" s="1565" t="n">
        <f aca="false">H41</f>
        <v>2.17386714680281</v>
      </c>
      <c r="AB41" s="1609" t="n">
        <f aca="false">W41/AA41</f>
        <v>2.21587017103543</v>
      </c>
      <c r="AC41" s="1566" t="n">
        <f aca="false">Y41/Z41</f>
        <v>662.502778248001</v>
      </c>
      <c r="AD41" s="1567" t="str">
        <f aca="false">IF(MONTH($A41)=12,SUM(AC30:AC41)," ")</f>
        <v> </v>
      </c>
    </row>
    <row r="42" customFormat="false" ht="12.75" hidden="false" customHeight="false" outlineLevel="0" collapsed="false">
      <c r="A42" s="1538" t="n">
        <f aca="false">'Annex 12-Gas'!A42</f>
        <v>37865</v>
      </c>
      <c r="C42" s="1595" t="n">
        <f aca="false">IF($A42&gt;Endyr,0,VLOOKUP($A42,Tariff_Table,Tariff!$G$33))</f>
        <v>7428.1</v>
      </c>
      <c r="D42" s="1565" t="n">
        <f aca="false">VLOOKUP($A42,Curves_Table,Escalation!$AW$291)</f>
        <v>2.08528457419664</v>
      </c>
      <c r="E42" s="1563" t="n">
        <f aca="false">C42*D42</f>
        <v>15489.7023455901</v>
      </c>
      <c r="F42" s="1540" t="n">
        <f aca="false">VLOOKUP($A42,Plant_Table,'Plant Operations'!$C$270)</f>
        <v>480</v>
      </c>
      <c r="G42" s="1563" t="n">
        <f aca="false">E42*F42/1000</f>
        <v>7435.05712588323</v>
      </c>
      <c r="H42" s="1565" t="n">
        <f aca="false">IF(Assm!$L$74=0,VLOOKUP($A42,Curves_Table,Escalation!$D$291),VLOOKUP($A42,Curves_Table,Escalation!$E$291))</f>
        <v>2.18007886528392</v>
      </c>
      <c r="I42" s="394" t="n">
        <f aca="false">G42/H42</f>
        <v>3410.45328418196</v>
      </c>
      <c r="J42" s="1579" t="str">
        <f aca="false">IF(MONTH($A42)=12,SUM(I31:I42)," ")</f>
        <v> </v>
      </c>
      <c r="L42" s="1595" t="n">
        <f aca="false">IF($A42&gt;Endyr,0,VLOOKUP($A42,Tariff_Table,Tariff!$H$33))</f>
        <v>6129.36</v>
      </c>
      <c r="M42" s="1565" t="n">
        <f aca="false">D42</f>
        <v>2.08528457419664</v>
      </c>
      <c r="N42" s="1563" t="n">
        <f aca="false">L42*M42</f>
        <v>12781.4598576979</v>
      </c>
      <c r="O42" s="1540" t="n">
        <f aca="false">$F42</f>
        <v>480</v>
      </c>
      <c r="P42" s="1563" t="n">
        <f aca="false">N42*O42/1000</f>
        <v>6135.100731695</v>
      </c>
      <c r="Q42" s="1565" t="n">
        <f aca="false">$H42</f>
        <v>2.18007886528392</v>
      </c>
      <c r="R42" s="394" t="n">
        <f aca="false">P42/Q42</f>
        <v>2814.16458339731</v>
      </c>
      <c r="S42" s="1579" t="str">
        <f aca="false">IF(MONTH($A42)=12,SUM(R31:R42)," ")</f>
        <v> </v>
      </c>
      <c r="U42" s="1595" t="n">
        <f aca="false">IF($A42&gt;Endyr,0,VLOOKUP($A42,Tariff_Table,Tariff!$I$33))</f>
        <v>2.31</v>
      </c>
      <c r="V42" s="1565" t="n">
        <f aca="false">D42</f>
        <v>2.08528457419664</v>
      </c>
      <c r="W42" s="1563" t="n">
        <f aca="false">U42*V42</f>
        <v>4.81700736639424</v>
      </c>
      <c r="X42" s="397" t="n">
        <f aca="false">VLOOKUP($A42,Plant_Table,'Plant Operations'!$M$270)</f>
        <v>289336.32</v>
      </c>
      <c r="Y42" s="630" t="n">
        <f aca="false">W42*X42/1000</f>
        <v>1393.7351848054</v>
      </c>
      <c r="Z42" s="1565" t="n">
        <f aca="false">$H42</f>
        <v>2.18007886528392</v>
      </c>
      <c r="AA42" s="1565" t="n">
        <f aca="false">H42</f>
        <v>2.18007886528392</v>
      </c>
      <c r="AB42" s="1609" t="n">
        <f aca="false">W42/AA42</f>
        <v>2.20955647206226</v>
      </c>
      <c r="AC42" s="1566" t="n">
        <f aca="false">Y42/Z42</f>
        <v>639.304938458677</v>
      </c>
      <c r="AD42" s="1567" t="str">
        <f aca="false">IF(MONTH($A42)=12,SUM(AC31:AC42)," ")</f>
        <v> </v>
      </c>
    </row>
    <row r="43" customFormat="false" ht="12.75" hidden="false" customHeight="false" outlineLevel="0" collapsed="false">
      <c r="A43" s="1538" t="n">
        <f aca="false">'Annex 12-Gas'!A43</f>
        <v>37895</v>
      </c>
      <c r="C43" s="1595" t="n">
        <f aca="false">IF($A43&gt;Endyr,0,VLOOKUP($A43,Tariff_Table,Tariff!$G$33))</f>
        <v>7428.1</v>
      </c>
      <c r="D43" s="1565" t="n">
        <f aca="false">VLOOKUP($A43,Curves_Table,Escalation!$AW$291)</f>
        <v>2.08528457419664</v>
      </c>
      <c r="E43" s="1563" t="n">
        <f aca="false">C43*D43</f>
        <v>15489.7023455901</v>
      </c>
      <c r="F43" s="1540" t="n">
        <f aca="false">VLOOKUP($A43,Plant_Table,'Plant Operations'!$C$270)</f>
        <v>480</v>
      </c>
      <c r="G43" s="1563" t="n">
        <f aca="false">E43*F43/1000</f>
        <v>7435.05712588323</v>
      </c>
      <c r="H43" s="1565" t="n">
        <f aca="false">IF(Assm!$L$74=0,VLOOKUP($A43,Curves_Table,Escalation!$D$291),VLOOKUP($A43,Curves_Table,Escalation!$E$291))</f>
        <v>2.18630833344516</v>
      </c>
      <c r="I43" s="394" t="n">
        <f aca="false">G43/H43</f>
        <v>3400.73584871131</v>
      </c>
      <c r="J43" s="1579" t="str">
        <f aca="false">IF(MONTH($A43)=12,SUM(I32:I43)," ")</f>
        <v> </v>
      </c>
      <c r="L43" s="1595" t="n">
        <f aca="false">IF($A43&gt;Endyr,0,VLOOKUP($A43,Tariff_Table,Tariff!$H$33))</f>
        <v>6129.36</v>
      </c>
      <c r="M43" s="1565" t="n">
        <f aca="false">D43</f>
        <v>2.08528457419664</v>
      </c>
      <c r="N43" s="1563" t="n">
        <f aca="false">L43*M43</f>
        <v>12781.4598576979</v>
      </c>
      <c r="O43" s="1540" t="n">
        <f aca="false">$F43</f>
        <v>480</v>
      </c>
      <c r="P43" s="1563" t="n">
        <f aca="false">N43*O43/1000</f>
        <v>6135.100731695</v>
      </c>
      <c r="Q43" s="1565" t="n">
        <f aca="false">$H43</f>
        <v>2.18630833344516</v>
      </c>
      <c r="R43" s="394" t="n">
        <f aca="false">P43/Q43</f>
        <v>2806.1461587293</v>
      </c>
      <c r="S43" s="1579" t="str">
        <f aca="false">IF(MONTH($A43)=12,SUM(R32:R43)," ")</f>
        <v> </v>
      </c>
      <c r="U43" s="1595" t="n">
        <f aca="false">IF($A43&gt;Endyr,0,VLOOKUP($A43,Tariff_Table,Tariff!$I$33))</f>
        <v>2.31</v>
      </c>
      <c r="V43" s="1565" t="n">
        <f aca="false">D43</f>
        <v>2.08528457419664</v>
      </c>
      <c r="W43" s="1563" t="n">
        <f aca="false">U43*V43</f>
        <v>4.81700736639424</v>
      </c>
      <c r="X43" s="397" t="n">
        <f aca="false">VLOOKUP($A43,Plant_Table,'Plant Operations'!$M$270)</f>
        <v>298980.864</v>
      </c>
      <c r="Y43" s="630" t="n">
        <f aca="false">W43*X43/1000</f>
        <v>1440.19302429891</v>
      </c>
      <c r="Z43" s="1565" t="n">
        <f aca="false">$H43</f>
        <v>2.18630833344516</v>
      </c>
      <c r="AA43" s="1565" t="n">
        <f aca="false">H43</f>
        <v>2.18630833344516</v>
      </c>
      <c r="AB43" s="1609" t="n">
        <f aca="false">W43/AA43</f>
        <v>2.20326076276883</v>
      </c>
      <c r="AC43" s="1566" t="n">
        <f aca="false">Y43/Z43</f>
        <v>658.732806469924</v>
      </c>
      <c r="AD43" s="1567" t="str">
        <f aca="false">IF(MONTH($A43)=12,SUM(AC32:AC43)," ")</f>
        <v> </v>
      </c>
    </row>
    <row r="44" customFormat="false" ht="12.75" hidden="false" customHeight="false" outlineLevel="0" collapsed="false">
      <c r="A44" s="1538" t="n">
        <f aca="false">'Annex 12-Gas'!A44</f>
        <v>37926</v>
      </c>
      <c r="C44" s="1595" t="n">
        <f aca="false">IF($A44&gt;Endyr,0,VLOOKUP($A44,Tariff_Table,Tariff!$G$33))</f>
        <v>7428.1</v>
      </c>
      <c r="D44" s="1565" t="n">
        <f aca="false">VLOOKUP($A44,Curves_Table,Escalation!$AW$291)</f>
        <v>2.08528457419664</v>
      </c>
      <c r="E44" s="1563" t="n">
        <f aca="false">C44*D44</f>
        <v>15489.7023455901</v>
      </c>
      <c r="F44" s="1540" t="n">
        <f aca="false">VLOOKUP($A44,Plant_Table,'Plant Operations'!$C$270)</f>
        <v>480</v>
      </c>
      <c r="G44" s="1563" t="n">
        <f aca="false">E44*F44/1000</f>
        <v>7435.05712588323</v>
      </c>
      <c r="H44" s="1565" t="n">
        <f aca="false">IF(Assm!$L$74=0,VLOOKUP($A44,Curves_Table,Escalation!$D$291),VLOOKUP($A44,Curves_Table,Escalation!$E$291))</f>
        <v>2.19255560200536</v>
      </c>
      <c r="I44" s="394" t="n">
        <f aca="false">G44/H44</f>
        <v>3391.04610121766</v>
      </c>
      <c r="J44" s="1579" t="str">
        <f aca="false">IF(MONTH($A44)=12,SUM(I33:I44)," ")</f>
        <v> </v>
      </c>
      <c r="L44" s="1595" t="n">
        <f aca="false">IF($A44&gt;Endyr,0,VLOOKUP($A44,Tariff_Table,Tariff!$H$33))</f>
        <v>6129.36</v>
      </c>
      <c r="M44" s="1565" t="n">
        <f aca="false">D44</f>
        <v>2.08528457419664</v>
      </c>
      <c r="N44" s="1563" t="n">
        <f aca="false">L44*M44</f>
        <v>12781.4598576979</v>
      </c>
      <c r="O44" s="1540" t="n">
        <f aca="false">$F44</f>
        <v>480</v>
      </c>
      <c r="P44" s="1563" t="n">
        <f aca="false">N44*O44/1000</f>
        <v>6135.100731695</v>
      </c>
      <c r="Q44" s="1565" t="n">
        <f aca="false">$H44</f>
        <v>2.19255560200536</v>
      </c>
      <c r="R44" s="394" t="n">
        <f aca="false">P44/Q44</f>
        <v>2798.15058103142</v>
      </c>
      <c r="S44" s="1579" t="str">
        <f aca="false">IF(MONTH($A44)=12,SUM(R33:R44)," ")</f>
        <v> </v>
      </c>
      <c r="U44" s="1595" t="n">
        <f aca="false">IF($A44&gt;Endyr,0,VLOOKUP($A44,Tariff_Table,Tariff!$I$33))</f>
        <v>2.31</v>
      </c>
      <c r="V44" s="1565" t="n">
        <f aca="false">D44</f>
        <v>2.08528457419664</v>
      </c>
      <c r="W44" s="1563" t="n">
        <f aca="false">U44*V44</f>
        <v>4.81700736639424</v>
      </c>
      <c r="X44" s="397" t="n">
        <f aca="false">VLOOKUP($A44,Plant_Table,'Plant Operations'!$M$270)</f>
        <v>289336.32</v>
      </c>
      <c r="Y44" s="630" t="n">
        <f aca="false">W44*X44/1000</f>
        <v>1393.7351848054</v>
      </c>
      <c r="Z44" s="1565" t="n">
        <f aca="false">$H44</f>
        <v>2.19255560200536</v>
      </c>
      <c r="AA44" s="1565" t="n">
        <f aca="false">H44</f>
        <v>2.19255560200536</v>
      </c>
      <c r="AB44" s="1609" t="n">
        <f aca="false">W44/AA44</f>
        <v>2.19698299189699</v>
      </c>
      <c r="AC44" s="1566" t="n">
        <f aca="false">Y44/Z44</f>
        <v>635.666973978064</v>
      </c>
      <c r="AD44" s="1567" t="str">
        <f aca="false">IF(MONTH($A44)=12,SUM(AC33:AC44)," ")</f>
        <v> </v>
      </c>
    </row>
    <row r="45" customFormat="false" ht="12.75" hidden="false" customHeight="false" outlineLevel="0" collapsed="false">
      <c r="A45" s="1538" t="n">
        <f aca="false">'Annex 12-Gas'!A45</f>
        <v>37956</v>
      </c>
      <c r="C45" s="1595" t="n">
        <f aca="false">IF($A45&gt;Endyr,0,VLOOKUP($A45,Tariff_Table,Tariff!$G$33))</f>
        <v>7428.1</v>
      </c>
      <c r="D45" s="1565" t="n">
        <f aca="false">VLOOKUP($A45,Curves_Table,Escalation!$AW$291)</f>
        <v>2.08528457419664</v>
      </c>
      <c r="E45" s="1563" t="n">
        <f aca="false">C45*D45</f>
        <v>15489.7023455901</v>
      </c>
      <c r="F45" s="1540" t="n">
        <f aca="false">VLOOKUP($A45,Plant_Table,'Plant Operations'!$C$270)</f>
        <v>480</v>
      </c>
      <c r="G45" s="1563" t="n">
        <f aca="false">E45*F45/1000</f>
        <v>7435.05712588323</v>
      </c>
      <c r="H45" s="1565" t="n">
        <f aca="false">IF(Assm!$L$74=0,VLOOKUP($A45,Curves_Table,Escalation!$D$291),VLOOKUP($A45,Curves_Table,Escalation!$E$291))</f>
        <v>2.19882072182829</v>
      </c>
      <c r="I45" s="394" t="n">
        <f aca="false">G45/H45</f>
        <v>3381.38396280943</v>
      </c>
      <c r="J45" s="1579" t="n">
        <f aca="false">IF(MONTH($A45)=12,SUM(I34:I45)," ")</f>
        <v>40137.5819364521</v>
      </c>
      <c r="L45" s="1595" t="n">
        <f aca="false">IF($A45&gt;Endyr,0,VLOOKUP($A45,Tariff_Table,Tariff!$H$33))</f>
        <v>6129.36</v>
      </c>
      <c r="M45" s="1565" t="n">
        <f aca="false">D45</f>
        <v>2.08528457419664</v>
      </c>
      <c r="N45" s="1563" t="n">
        <f aca="false">L45*M45</f>
        <v>12781.4598576979</v>
      </c>
      <c r="O45" s="1540" t="n">
        <f aca="false">$F45</f>
        <v>480</v>
      </c>
      <c r="P45" s="1563" t="n">
        <f aca="false">N45*O45/1000</f>
        <v>6135.100731695</v>
      </c>
      <c r="Q45" s="1565" t="n">
        <f aca="false">$H45</f>
        <v>2.19882072182829</v>
      </c>
      <c r="R45" s="394" t="n">
        <f aca="false">P45/Q45</f>
        <v>2790.17778520558</v>
      </c>
      <c r="S45" s="1579" t="n">
        <f aca="false">IF(MONTH($A45)=12,SUM(R34:R45)," ")</f>
        <v>33086.0666119126</v>
      </c>
      <c r="U45" s="1595" t="n">
        <f aca="false">IF($A45&gt;Endyr,0,VLOOKUP($A45,Tariff_Table,Tariff!$I$33))</f>
        <v>2.31</v>
      </c>
      <c r="V45" s="1565" t="n">
        <f aca="false">D45</f>
        <v>2.08528457419664</v>
      </c>
      <c r="W45" s="1563" t="n">
        <f aca="false">U45*V45</f>
        <v>4.81700736639424</v>
      </c>
      <c r="X45" s="397" t="n">
        <f aca="false">VLOOKUP($A45,Plant_Table,'Plant Operations'!$M$270)</f>
        <v>298980.864</v>
      </c>
      <c r="Y45" s="630" t="n">
        <f aca="false">W45*X45/1000</f>
        <v>1440.19302429891</v>
      </c>
      <c r="Z45" s="1565" t="n">
        <f aca="false">$H45</f>
        <v>2.19882072182829</v>
      </c>
      <c r="AA45" s="1565" t="n">
        <f aca="false">H45</f>
        <v>2.19882072182829</v>
      </c>
      <c r="AB45" s="1609" t="n">
        <f aca="false">W45/AA45</f>
        <v>2.19072310833462</v>
      </c>
      <c r="AC45" s="1566" t="n">
        <f aca="false">Y45/Z45</f>
        <v>654.984287714649</v>
      </c>
      <c r="AD45" s="1567" t="n">
        <f aca="false">IF(MONTH($A45)=12,SUM(AC34:AC45)," ")</f>
        <v>7622.8942038447</v>
      </c>
    </row>
    <row r="46" customFormat="false" ht="12.75" hidden="false" customHeight="false" outlineLevel="0" collapsed="false">
      <c r="A46" s="1538" t="n">
        <f aca="false">'Annex 12-Gas'!A46</f>
        <v>37987</v>
      </c>
      <c r="C46" s="1595" t="n">
        <f aca="false">IF($A46&gt;Endyr,0,VLOOKUP($A46,Tariff_Table,Tariff!$G$33))</f>
        <v>7428.1</v>
      </c>
      <c r="D46" s="1565" t="n">
        <f aca="false">VLOOKUP($A46,Curves_Table,Escalation!$AW$291)</f>
        <v>2.08528457419664</v>
      </c>
      <c r="E46" s="1563" t="n">
        <f aca="false">C46*D46</f>
        <v>15489.7023455901</v>
      </c>
      <c r="F46" s="1540" t="n">
        <f aca="false">VLOOKUP($A46,Plant_Table,'Plant Operations'!$C$270)</f>
        <v>480</v>
      </c>
      <c r="G46" s="1563" t="n">
        <f aca="false">E46*F46/1000</f>
        <v>7435.05712588323</v>
      </c>
      <c r="H46" s="1565" t="n">
        <f aca="false">IF(Assm!$L$74=0,VLOOKUP($A46,Curves_Table,Escalation!$D$291),VLOOKUP($A46,Curves_Table,Escalation!$E$291))</f>
        <v>2.20450306493358</v>
      </c>
      <c r="I46" s="394" t="n">
        <f aca="false">G46/H46</f>
        <v>3372.66808295738</v>
      </c>
      <c r="J46" s="1579" t="str">
        <f aca="false">IF(MONTH($A46)=12,SUM(I35:I46)," ")</f>
        <v> </v>
      </c>
      <c r="L46" s="1595" t="n">
        <f aca="false">IF($A46&gt;Endyr,0,VLOOKUP($A46,Tariff_Table,Tariff!$H$33))</f>
        <v>6129.36</v>
      </c>
      <c r="M46" s="1565" t="n">
        <f aca="false">D46</f>
        <v>2.08528457419664</v>
      </c>
      <c r="N46" s="1563" t="n">
        <f aca="false">L46*M46</f>
        <v>12781.4598576979</v>
      </c>
      <c r="O46" s="1540" t="n">
        <f aca="false">$F46</f>
        <v>480</v>
      </c>
      <c r="P46" s="1563" t="n">
        <f aca="false">N46*O46/1000</f>
        <v>6135.100731695</v>
      </c>
      <c r="Q46" s="1565" t="n">
        <f aca="false">$H46</f>
        <v>2.20450306493358</v>
      </c>
      <c r="R46" s="394" t="n">
        <f aca="false">P46/Q46</f>
        <v>2782.9858026892</v>
      </c>
      <c r="S46" s="1579" t="str">
        <f aca="false">IF(MONTH($A46)=12,SUM(R35:R46)," ")</f>
        <v> </v>
      </c>
      <c r="U46" s="1595" t="n">
        <f aca="false">IF($A46&gt;Endyr,0,VLOOKUP($A46,Tariff_Table,Tariff!$I$33))</f>
        <v>2.31</v>
      </c>
      <c r="V46" s="1565" t="n">
        <f aca="false">D46</f>
        <v>2.08528457419664</v>
      </c>
      <c r="W46" s="1563" t="n">
        <f aca="false">U46*V46</f>
        <v>4.81700736639424</v>
      </c>
      <c r="X46" s="397" t="n">
        <f aca="false">VLOOKUP($A46,Plant_Table,'Plant Operations'!$M$270)</f>
        <v>298980.864</v>
      </c>
      <c r="Y46" s="630" t="n">
        <f aca="false">W46*X46/1000</f>
        <v>1440.19302429891</v>
      </c>
      <c r="Z46" s="1565" t="n">
        <f aca="false">$H46</f>
        <v>2.20450306493358</v>
      </c>
      <c r="AA46" s="1565" t="n">
        <f aca="false">H46</f>
        <v>2.20450306493358</v>
      </c>
      <c r="AB46" s="1609" t="n">
        <f aca="false">W46/AA46</f>
        <v>2.1850762845455</v>
      </c>
      <c r="AC46" s="1566" t="n">
        <f aca="false">Y46/Z46</f>
        <v>653.295995459323</v>
      </c>
      <c r="AD46" s="1567" t="str">
        <f aca="false">IF(MONTH($A46)=12,SUM(AC35:AC46)," ")</f>
        <v> </v>
      </c>
    </row>
    <row r="47" customFormat="false" ht="12.75" hidden="false" customHeight="false" outlineLevel="0" collapsed="false">
      <c r="A47" s="1538" t="n">
        <f aca="false">'Annex 12-Gas'!A47</f>
        <v>38018</v>
      </c>
      <c r="C47" s="1595" t="n">
        <f aca="false">IF($A47&gt;Endyr,0,VLOOKUP($A47,Tariff_Table,Tariff!$G$33))</f>
        <v>7428.1</v>
      </c>
      <c r="D47" s="1565" t="n">
        <f aca="false">VLOOKUP($A47,Curves_Table,Escalation!$AW$291)</f>
        <v>2.08528457419664</v>
      </c>
      <c r="E47" s="1563" t="n">
        <f aca="false">C47*D47</f>
        <v>15489.7023455901</v>
      </c>
      <c r="F47" s="1540" t="n">
        <f aca="false">VLOOKUP($A47,Plant_Table,'Plant Operations'!$C$270)</f>
        <v>480</v>
      </c>
      <c r="G47" s="1563" t="n">
        <f aca="false">E47*F47/1000</f>
        <v>7435.05712588323</v>
      </c>
      <c r="H47" s="1565" t="n">
        <f aca="false">IF(Assm!$L$74=0,VLOOKUP($A47,Curves_Table,Escalation!$D$291),VLOOKUP($A47,Curves_Table,Escalation!$E$291))</f>
        <v>2.21020009273911</v>
      </c>
      <c r="I47" s="394" t="n">
        <f aca="false">G47/H47</f>
        <v>3363.97466922053</v>
      </c>
      <c r="J47" s="1579" t="str">
        <f aca="false">IF(MONTH($A47)=12,SUM(I36:I47)," ")</f>
        <v> </v>
      </c>
      <c r="L47" s="1595" t="n">
        <f aca="false">IF($A47&gt;Endyr,0,VLOOKUP($A47,Tariff_Table,Tariff!$H$33))</f>
        <v>6129.36</v>
      </c>
      <c r="M47" s="1565" t="n">
        <f aca="false">D47</f>
        <v>2.08528457419664</v>
      </c>
      <c r="N47" s="1563" t="n">
        <f aca="false">L47*M47</f>
        <v>12781.4598576979</v>
      </c>
      <c r="O47" s="1540" t="n">
        <f aca="false">$F47</f>
        <v>480</v>
      </c>
      <c r="P47" s="1563" t="n">
        <f aca="false">N47*O47/1000</f>
        <v>6135.100731695</v>
      </c>
      <c r="Q47" s="1565" t="n">
        <f aca="false">$H47</f>
        <v>2.21020009273911</v>
      </c>
      <c r="R47" s="394" t="n">
        <f aca="false">P47/Q47</f>
        <v>2775.81235827917</v>
      </c>
      <c r="S47" s="1579" t="str">
        <f aca="false">IF(MONTH($A47)=12,SUM(R36:R47)," ")</f>
        <v> </v>
      </c>
      <c r="U47" s="1595" t="n">
        <f aca="false">IF($A47&gt;Endyr,0,VLOOKUP($A47,Tariff_Table,Tariff!$I$33))</f>
        <v>2.31</v>
      </c>
      <c r="V47" s="1565" t="n">
        <f aca="false">D47</f>
        <v>2.08528457419664</v>
      </c>
      <c r="W47" s="1563" t="n">
        <f aca="false">U47*V47</f>
        <v>4.81700736639424</v>
      </c>
      <c r="X47" s="397" t="n">
        <f aca="false">VLOOKUP($A47,Plant_Table,'Plant Operations'!$M$270)</f>
        <v>279691.776</v>
      </c>
      <c r="Y47" s="630" t="n">
        <f aca="false">W47*X47/1000</f>
        <v>1347.27734531189</v>
      </c>
      <c r="Z47" s="1565" t="n">
        <f aca="false">$H47</f>
        <v>2.21020009273911</v>
      </c>
      <c r="AA47" s="1565" t="n">
        <f aca="false">H47</f>
        <v>2.21020009273911</v>
      </c>
      <c r="AB47" s="1609" t="n">
        <f aca="false">W47/AA47</f>
        <v>2.17944401605037</v>
      </c>
      <c r="AC47" s="1566" t="n">
        <f aca="false">Y47/Z47</f>
        <v>609.572567541702</v>
      </c>
      <c r="AD47" s="1567" t="str">
        <f aca="false">IF(MONTH($A47)=12,SUM(AC36:AC47)," ")</f>
        <v> </v>
      </c>
    </row>
    <row r="48" customFormat="false" ht="12.75" hidden="false" customHeight="false" outlineLevel="0" collapsed="false">
      <c r="A48" s="1538" t="n">
        <f aca="false">'Annex 12-Gas'!A48</f>
        <v>38047</v>
      </c>
      <c r="C48" s="1595" t="n">
        <f aca="false">IF($A48&gt;Endyr,0,VLOOKUP($A48,Tariff_Table,Tariff!$G$33))</f>
        <v>7428.1</v>
      </c>
      <c r="D48" s="1565" t="n">
        <f aca="false">VLOOKUP($A48,Curves_Table,Escalation!$AW$291)</f>
        <v>2.08528457419664</v>
      </c>
      <c r="E48" s="1563" t="n">
        <f aca="false">C48*D48</f>
        <v>15489.7023455901</v>
      </c>
      <c r="F48" s="1540" t="n">
        <f aca="false">VLOOKUP($A48,Plant_Table,'Plant Operations'!$C$270)</f>
        <v>480</v>
      </c>
      <c r="G48" s="1563" t="n">
        <f aca="false">E48*F48/1000</f>
        <v>7435.05712588323</v>
      </c>
      <c r="H48" s="1565" t="n">
        <f aca="false">IF(Assm!$L$74=0,VLOOKUP($A48,Curves_Table,Escalation!$D$291),VLOOKUP($A48,Curves_Table,Escalation!$E$291))</f>
        <v>2.21591184319408</v>
      </c>
      <c r="I48" s="394" t="n">
        <f aca="false">G48/H48</f>
        <v>3355.30366369003</v>
      </c>
      <c r="J48" s="1579" t="str">
        <f aca="false">IF(MONTH($A48)=12,SUM(I37:I48)," ")</f>
        <v> </v>
      </c>
      <c r="L48" s="1595" t="n">
        <f aca="false">IF($A48&gt;Endyr,0,VLOOKUP($A48,Tariff_Table,Tariff!$H$33))</f>
        <v>6129.36</v>
      </c>
      <c r="M48" s="1565" t="n">
        <f aca="false">D48</f>
        <v>2.08528457419664</v>
      </c>
      <c r="N48" s="1563" t="n">
        <f aca="false">L48*M48</f>
        <v>12781.4598576979</v>
      </c>
      <c r="O48" s="1540" t="n">
        <f aca="false">$F48</f>
        <v>480</v>
      </c>
      <c r="P48" s="1563" t="n">
        <f aca="false">N48*O48/1000</f>
        <v>6135.100731695</v>
      </c>
      <c r="Q48" s="1565" t="n">
        <f aca="false">$H48</f>
        <v>2.21591184319408</v>
      </c>
      <c r="R48" s="394" t="n">
        <f aca="false">P48/Q48</f>
        <v>2768.65740419154</v>
      </c>
      <c r="S48" s="1579" t="str">
        <f aca="false">IF(MONTH($A48)=12,SUM(R37:R48)," ")</f>
        <v> </v>
      </c>
      <c r="U48" s="1595" t="n">
        <f aca="false">IF($A48&gt;Endyr,0,VLOOKUP($A48,Tariff_Table,Tariff!$I$33))</f>
        <v>2.31</v>
      </c>
      <c r="V48" s="1565" t="n">
        <f aca="false">D48</f>
        <v>2.08528457419664</v>
      </c>
      <c r="W48" s="1563" t="n">
        <f aca="false">U48*V48</f>
        <v>4.81700736639424</v>
      </c>
      <c r="X48" s="397" t="n">
        <f aca="false">VLOOKUP($A48,Plant_Table,'Plant Operations'!$M$270)</f>
        <v>298980.864</v>
      </c>
      <c r="Y48" s="630" t="n">
        <f aca="false">W48*X48/1000</f>
        <v>1440.19302429891</v>
      </c>
      <c r="Z48" s="1565" t="n">
        <f aca="false">$H48</f>
        <v>2.21591184319408</v>
      </c>
      <c r="AA48" s="1565" t="n">
        <f aca="false">H48</f>
        <v>2.21591184319408</v>
      </c>
      <c r="AB48" s="1609" t="n">
        <f aca="false">W48/AA48</f>
        <v>2.17382626533142</v>
      </c>
      <c r="AC48" s="1566" t="n">
        <f aca="false">Y48/Z48</f>
        <v>649.93245499468</v>
      </c>
      <c r="AD48" s="1567" t="str">
        <f aca="false">IF(MONTH($A48)=12,SUM(AC37:AC48)," ")</f>
        <v> </v>
      </c>
    </row>
    <row r="49" customFormat="false" ht="12.75" hidden="false" customHeight="false" outlineLevel="0" collapsed="false">
      <c r="A49" s="1538" t="n">
        <f aca="false">'Annex 12-Gas'!A49</f>
        <v>38078</v>
      </c>
      <c r="C49" s="1595" t="n">
        <f aca="false">IF($A49&gt;Endyr,0,VLOOKUP($A49,Tariff_Table,Tariff!$G$33))</f>
        <v>7428.1</v>
      </c>
      <c r="D49" s="1565" t="n">
        <f aca="false">VLOOKUP($A49,Curves_Table,Escalation!$AW$291)</f>
        <v>2.08528457419664</v>
      </c>
      <c r="E49" s="1563" t="n">
        <f aca="false">C49*D49</f>
        <v>15489.7023455901</v>
      </c>
      <c r="F49" s="1540" t="n">
        <f aca="false">VLOOKUP($A49,Plant_Table,'Plant Operations'!$C$270)</f>
        <v>480</v>
      </c>
      <c r="G49" s="1563" t="n">
        <f aca="false">E49*F49/1000</f>
        <v>7435.05712588323</v>
      </c>
      <c r="H49" s="1565" t="n">
        <f aca="false">IF(Assm!$L$74=0,VLOOKUP($A49,Curves_Table,Escalation!$D$291),VLOOKUP($A49,Curves_Table,Escalation!$E$291))</f>
        <v>2.22163835434577</v>
      </c>
      <c r="I49" s="394" t="n">
        <f aca="false">G49/H49</f>
        <v>3346.65500860635</v>
      </c>
      <c r="J49" s="1579" t="str">
        <f aca="false">IF(MONTH($A49)=12,SUM(I38:I49)," ")</f>
        <v> </v>
      </c>
      <c r="L49" s="1595" t="n">
        <f aca="false">IF($A49&gt;Endyr,0,VLOOKUP($A49,Tariff_Table,Tariff!$H$33))</f>
        <v>6129.36</v>
      </c>
      <c r="M49" s="1565" t="n">
        <f aca="false">D49</f>
        <v>2.08528457419664</v>
      </c>
      <c r="N49" s="1563" t="n">
        <f aca="false">L49*M49</f>
        <v>12781.4598576979</v>
      </c>
      <c r="O49" s="1540" t="n">
        <f aca="false">$F49</f>
        <v>480</v>
      </c>
      <c r="P49" s="1563" t="n">
        <f aca="false">N49*O49/1000</f>
        <v>6135.100731695</v>
      </c>
      <c r="Q49" s="1565" t="n">
        <f aca="false">$H49</f>
        <v>2.22163835434577</v>
      </c>
      <c r="R49" s="394" t="n">
        <f aca="false">P49/Q49</f>
        <v>2761.5208927655</v>
      </c>
      <c r="S49" s="1579" t="str">
        <f aca="false">IF(MONTH($A49)=12,SUM(R38:R49)," ")</f>
        <v> </v>
      </c>
      <c r="U49" s="1595" t="n">
        <f aca="false">IF($A49&gt;Endyr,0,VLOOKUP($A49,Tariff_Table,Tariff!$I$33))</f>
        <v>2.31</v>
      </c>
      <c r="V49" s="1565" t="n">
        <f aca="false">D49</f>
        <v>2.08528457419664</v>
      </c>
      <c r="W49" s="1563" t="n">
        <f aca="false">U49*V49</f>
        <v>4.81700736639424</v>
      </c>
      <c r="X49" s="397" t="n">
        <f aca="false">VLOOKUP($A49,Plant_Table,'Plant Operations'!$M$270)</f>
        <v>289336.32</v>
      </c>
      <c r="Y49" s="630" t="n">
        <f aca="false">W49*X49/1000</f>
        <v>1393.7351848054</v>
      </c>
      <c r="Z49" s="1565" t="n">
        <f aca="false">$H49</f>
        <v>2.22163835434577</v>
      </c>
      <c r="AA49" s="1565" t="n">
        <f aca="false">H49</f>
        <v>2.22163835434577</v>
      </c>
      <c r="AB49" s="1609" t="n">
        <f aca="false">W49/AA49</f>
        <v>2.1682229949675</v>
      </c>
      <c r="AC49" s="1566" t="n">
        <f aca="false">Y49/Z49</f>
        <v>627.345662303274</v>
      </c>
      <c r="AD49" s="1567" t="str">
        <f aca="false">IF(MONTH($A49)=12,SUM(AC38:AC49)," ")</f>
        <v> </v>
      </c>
    </row>
    <row r="50" customFormat="false" ht="12.75" hidden="false" customHeight="false" outlineLevel="0" collapsed="false">
      <c r="A50" s="1538" t="n">
        <f aca="false">'Annex 12-Gas'!A50</f>
        <v>38108</v>
      </c>
      <c r="C50" s="1595" t="n">
        <f aca="false">IF($A50&gt;Endyr,0,VLOOKUP($A50,Tariff_Table,Tariff!$G$33))</f>
        <v>7432.1</v>
      </c>
      <c r="D50" s="1565" t="n">
        <f aca="false">VLOOKUP($A50,Curves_Table,Escalation!$AW$291)</f>
        <v>2.25210734013237</v>
      </c>
      <c r="E50" s="1563" t="n">
        <f aca="false">C50*D50</f>
        <v>16737.8869625978</v>
      </c>
      <c r="F50" s="1540" t="n">
        <f aca="false">VLOOKUP($A50,Plant_Table,'Plant Operations'!$C$270)</f>
        <v>480</v>
      </c>
      <c r="G50" s="1563" t="n">
        <f aca="false">E50*F50/1000</f>
        <v>8034.18574204694</v>
      </c>
      <c r="H50" s="1565" t="n">
        <f aca="false">IF(Assm!$L$74=0,VLOOKUP($A50,Curves_Table,Escalation!$D$291),VLOOKUP($A50,Curves_Table,Escalation!$E$291))</f>
        <v>2.22737966433978</v>
      </c>
      <c r="I50" s="394" t="n">
        <f aca="false">G50/H50</f>
        <v>3607.01225330993</v>
      </c>
      <c r="J50" s="1579" t="str">
        <f aca="false">IF(MONTH($A50)=12,SUM(I39:I50)," ")</f>
        <v> </v>
      </c>
      <c r="L50" s="1595" t="n">
        <f aca="false">IF($A50&gt;Endyr,0,VLOOKUP($A50,Tariff_Table,Tariff!$H$33))</f>
        <v>6142.46</v>
      </c>
      <c r="M50" s="1565" t="n">
        <f aca="false">D50</f>
        <v>2.25210734013237</v>
      </c>
      <c r="N50" s="1563" t="n">
        <f aca="false">L50*M50</f>
        <v>13833.4792524695</v>
      </c>
      <c r="O50" s="1540" t="n">
        <f aca="false">$F50</f>
        <v>480</v>
      </c>
      <c r="P50" s="1563" t="n">
        <f aca="false">N50*O50/1000</f>
        <v>6640.07004118535</v>
      </c>
      <c r="Q50" s="1565" t="n">
        <f aca="false">$H50</f>
        <v>2.22737966433978</v>
      </c>
      <c r="R50" s="394" t="n">
        <f aca="false">P50/Q50</f>
        <v>2981.11280599913</v>
      </c>
      <c r="S50" s="1579" t="str">
        <f aca="false">IF(MONTH($A50)=12,SUM(R39:R50)," ")</f>
        <v> </v>
      </c>
      <c r="U50" s="1595" t="n">
        <f aca="false">IF($A50&gt;Endyr,0,VLOOKUP($A50,Tariff_Table,Tariff!$I$33))</f>
        <v>2.31</v>
      </c>
      <c r="V50" s="1565" t="n">
        <f aca="false">D50</f>
        <v>2.25210734013237</v>
      </c>
      <c r="W50" s="1563" t="n">
        <f aca="false">U50*V50</f>
        <v>5.20236795570577</v>
      </c>
      <c r="X50" s="397" t="n">
        <f aca="false">VLOOKUP($A50,Plant_Table,'Plant Operations'!$M$270)</f>
        <v>298980.864</v>
      </c>
      <c r="Y50" s="630" t="n">
        <f aca="false">W50*X50/1000</f>
        <v>1555.40846624283</v>
      </c>
      <c r="Z50" s="1565" t="n">
        <f aca="false">$H50</f>
        <v>2.22737966433978</v>
      </c>
      <c r="AA50" s="1565" t="n">
        <f aca="false">H50</f>
        <v>2.22737966433978</v>
      </c>
      <c r="AB50" s="1609" t="n">
        <f aca="false">W50/AA50</f>
        <v>2.33564490104466</v>
      </c>
      <c r="AC50" s="1566" t="n">
        <f aca="false">Y50/Z50</f>
        <v>698.313130511528</v>
      </c>
      <c r="AD50" s="1567" t="str">
        <f aca="false">IF(MONTH($A50)=12,SUM(AC39:AC50)," ")</f>
        <v> </v>
      </c>
    </row>
    <row r="51" customFormat="false" ht="12.75" hidden="false" customHeight="false" outlineLevel="0" collapsed="false">
      <c r="A51" s="1538" t="n">
        <f aca="false">'Annex 12-Gas'!A51</f>
        <v>38139</v>
      </c>
      <c r="C51" s="1595" t="n">
        <f aca="false">IF($A51&gt;Endyr,0,VLOOKUP($A51,Tariff_Table,Tariff!$G$33))</f>
        <v>7432.1</v>
      </c>
      <c r="D51" s="1565" t="n">
        <f aca="false">VLOOKUP($A51,Curves_Table,Escalation!$AW$291)</f>
        <v>2.25210734013237</v>
      </c>
      <c r="E51" s="1563" t="n">
        <f aca="false">C51*D51</f>
        <v>16737.8869625978</v>
      </c>
      <c r="F51" s="1540" t="n">
        <f aca="false">VLOOKUP($A51,Plant_Table,'Plant Operations'!$C$270)</f>
        <v>480</v>
      </c>
      <c r="G51" s="1563" t="n">
        <f aca="false">E51*F51/1000</f>
        <v>8034.18574204694</v>
      </c>
      <c r="H51" s="1565" t="n">
        <f aca="false">IF(Assm!$L$74=0,VLOOKUP($A51,Curves_Table,Escalation!$D$291),VLOOKUP($A51,Curves_Table,Escalation!$E$291))</f>
        <v>2.23313581142029</v>
      </c>
      <c r="I51" s="394" t="n">
        <f aca="false">G51/H51</f>
        <v>3597.71479233819</v>
      </c>
      <c r="J51" s="1579" t="str">
        <f aca="false">IF(MONTH($A51)=12,SUM(I40:I51)," ")</f>
        <v> </v>
      </c>
      <c r="L51" s="1595" t="n">
        <f aca="false">IF($A51&gt;Endyr,0,VLOOKUP($A51,Tariff_Table,Tariff!$H$33))</f>
        <v>6142.46</v>
      </c>
      <c r="M51" s="1565" t="n">
        <f aca="false">D51</f>
        <v>2.25210734013237</v>
      </c>
      <c r="N51" s="1563" t="n">
        <f aca="false">L51*M51</f>
        <v>13833.4792524695</v>
      </c>
      <c r="O51" s="1540" t="n">
        <f aca="false">$F51</f>
        <v>480</v>
      </c>
      <c r="P51" s="1563" t="n">
        <f aca="false">N51*O51/1000</f>
        <v>6640.07004118535</v>
      </c>
      <c r="Q51" s="1565" t="n">
        <f aca="false">$H51</f>
        <v>2.23313581142029</v>
      </c>
      <c r="R51" s="394" t="n">
        <f aca="false">P51/Q51</f>
        <v>2973.42866798693</v>
      </c>
      <c r="S51" s="1579" t="str">
        <f aca="false">IF(MONTH($A51)=12,SUM(R40:R51)," ")</f>
        <v> </v>
      </c>
      <c r="U51" s="1595" t="n">
        <f aca="false">IF($A51&gt;Endyr,0,VLOOKUP($A51,Tariff_Table,Tariff!$I$33))</f>
        <v>2.31</v>
      </c>
      <c r="V51" s="1565" t="n">
        <f aca="false">D51</f>
        <v>2.25210734013237</v>
      </c>
      <c r="W51" s="1563" t="n">
        <f aca="false">U51*V51</f>
        <v>5.20236795570577</v>
      </c>
      <c r="X51" s="397" t="n">
        <f aca="false">VLOOKUP($A51,Plant_Table,'Plant Operations'!$M$270)</f>
        <v>289336.32</v>
      </c>
      <c r="Y51" s="630" t="n">
        <f aca="false">W51*X51/1000</f>
        <v>1505.23399958983</v>
      </c>
      <c r="Z51" s="1565" t="n">
        <f aca="false">$H51</f>
        <v>2.23313581142029</v>
      </c>
      <c r="AA51" s="1565" t="n">
        <f aca="false">H51</f>
        <v>2.23313581142029</v>
      </c>
      <c r="AB51" s="1609" t="n">
        <f aca="false">W51/AA51</f>
        <v>2.3296245257905</v>
      </c>
      <c r="AC51" s="1566" t="n">
        <f aca="false">Y51/Z51</f>
        <v>674.044987273967</v>
      </c>
      <c r="AD51" s="1567" t="str">
        <f aca="false">IF(MONTH($A51)=12,SUM(AC40:AC51)," ")</f>
        <v> </v>
      </c>
    </row>
    <row r="52" customFormat="false" ht="12.75" hidden="false" customHeight="false" outlineLevel="0" collapsed="false">
      <c r="A52" s="1538" t="n">
        <f aca="false">'Annex 12-Gas'!A52</f>
        <v>38169</v>
      </c>
      <c r="C52" s="1595" t="n">
        <f aca="false">IF($A52&gt;Endyr,0,VLOOKUP($A52,Tariff_Table,Tariff!$G$33))</f>
        <v>7432.1</v>
      </c>
      <c r="D52" s="1565" t="n">
        <f aca="false">VLOOKUP($A52,Curves_Table,Escalation!$AW$291)</f>
        <v>2.25210734013237</v>
      </c>
      <c r="E52" s="1563" t="n">
        <f aca="false">C52*D52</f>
        <v>16737.8869625978</v>
      </c>
      <c r="F52" s="1540" t="n">
        <f aca="false">VLOOKUP($A52,Plant_Table,'Plant Operations'!$C$270)</f>
        <v>480</v>
      </c>
      <c r="G52" s="1563" t="n">
        <f aca="false">E52*F52/1000</f>
        <v>8034.18574204694</v>
      </c>
      <c r="H52" s="1565" t="n">
        <f aca="false">IF(Assm!$L$74=0,VLOOKUP($A52,Curves_Table,Escalation!$D$291),VLOOKUP($A52,Curves_Table,Escalation!$E$291))</f>
        <v>2.23890683393033</v>
      </c>
      <c r="I52" s="394" t="n">
        <f aca="false">G52/H52</f>
        <v>3588.44129656935</v>
      </c>
      <c r="J52" s="1579" t="str">
        <f aca="false">IF(MONTH($A52)=12,SUM(I41:I52)," ")</f>
        <v> </v>
      </c>
      <c r="L52" s="1595" t="n">
        <f aca="false">IF($A52&gt;Endyr,0,VLOOKUP($A52,Tariff_Table,Tariff!$H$33))</f>
        <v>6142.46</v>
      </c>
      <c r="M52" s="1565" t="n">
        <f aca="false">D52</f>
        <v>2.25210734013237</v>
      </c>
      <c r="N52" s="1563" t="n">
        <f aca="false">L52*M52</f>
        <v>13833.4792524695</v>
      </c>
      <c r="O52" s="1540" t="n">
        <f aca="false">$F52</f>
        <v>480</v>
      </c>
      <c r="P52" s="1563" t="n">
        <f aca="false">N52*O52/1000</f>
        <v>6640.07004118535</v>
      </c>
      <c r="Q52" s="1565" t="n">
        <f aca="false">$H52</f>
        <v>2.23890683393033</v>
      </c>
      <c r="R52" s="394" t="n">
        <f aca="false">P52/Q52</f>
        <v>2965.76433666465</v>
      </c>
      <c r="S52" s="1579" t="str">
        <f aca="false">IF(MONTH($A52)=12,SUM(R41:R52)," ")</f>
        <v> </v>
      </c>
      <c r="U52" s="1595" t="n">
        <f aca="false">IF($A52&gt;Endyr,0,VLOOKUP($A52,Tariff_Table,Tariff!$I$33))</f>
        <v>2.31</v>
      </c>
      <c r="V52" s="1565" t="n">
        <f aca="false">D52</f>
        <v>2.25210734013237</v>
      </c>
      <c r="W52" s="1563" t="n">
        <f aca="false">U52*V52</f>
        <v>5.20236795570577</v>
      </c>
      <c r="X52" s="397" t="n">
        <f aca="false">VLOOKUP($A52,Plant_Table,'Plant Operations'!$M$270)</f>
        <v>298980.864</v>
      </c>
      <c r="Y52" s="630" t="n">
        <f aca="false">W52*X52/1000</f>
        <v>1555.40846624283</v>
      </c>
      <c r="Z52" s="1565" t="n">
        <f aca="false">$H52</f>
        <v>2.23890683393033</v>
      </c>
      <c r="AA52" s="1565" t="n">
        <f aca="false">H52</f>
        <v>2.23890683393033</v>
      </c>
      <c r="AB52" s="1609" t="n">
        <f aca="false">W52/AA52</f>
        <v>2.32361966869929</v>
      </c>
      <c r="AC52" s="1566" t="n">
        <f aca="false">Y52/Z52</f>
        <v>694.717816155108</v>
      </c>
      <c r="AD52" s="1567" t="str">
        <f aca="false">IF(MONTH($A52)=12,SUM(AC41:AC52)," ")</f>
        <v> </v>
      </c>
    </row>
    <row r="53" customFormat="false" ht="12.75" hidden="false" customHeight="false" outlineLevel="0" collapsed="false">
      <c r="A53" s="1538" t="n">
        <f aca="false">'Annex 12-Gas'!A53</f>
        <v>38200</v>
      </c>
      <c r="C53" s="1595" t="n">
        <f aca="false">IF($A53&gt;Endyr,0,VLOOKUP($A53,Tariff_Table,Tariff!$G$33))</f>
        <v>7432.1</v>
      </c>
      <c r="D53" s="1565" t="n">
        <f aca="false">VLOOKUP($A53,Curves_Table,Escalation!$AW$291)</f>
        <v>2.25210734013237</v>
      </c>
      <c r="E53" s="1563" t="n">
        <f aca="false">C53*D53</f>
        <v>16737.8869625978</v>
      </c>
      <c r="F53" s="1540" t="n">
        <f aca="false">VLOOKUP($A53,Plant_Table,'Plant Operations'!$C$270)</f>
        <v>480</v>
      </c>
      <c r="G53" s="1563" t="n">
        <f aca="false">E53*F53/1000</f>
        <v>8034.18574204694</v>
      </c>
      <c r="H53" s="1565" t="n">
        <f aca="false">IF(Assm!$L$74=0,VLOOKUP($A53,Curves_Table,Escalation!$D$291),VLOOKUP($A53,Curves_Table,Escalation!$E$291))</f>
        <v>2.24469277031199</v>
      </c>
      <c r="I53" s="394" t="n">
        <f aca="false">G53/H53</f>
        <v>3579.19170423053</v>
      </c>
      <c r="J53" s="1579" t="str">
        <f aca="false">IF(MONTH($A53)=12,SUM(I42:I53)," ")</f>
        <v> </v>
      </c>
      <c r="L53" s="1595" t="n">
        <f aca="false">IF($A53&gt;Endyr,0,VLOOKUP($A53,Tariff_Table,Tariff!$H$33))</f>
        <v>6142.46</v>
      </c>
      <c r="M53" s="1565" t="n">
        <f aca="false">D53</f>
        <v>2.25210734013237</v>
      </c>
      <c r="N53" s="1563" t="n">
        <f aca="false">L53*M53</f>
        <v>13833.4792524695</v>
      </c>
      <c r="O53" s="1540" t="n">
        <f aca="false">$F53</f>
        <v>480</v>
      </c>
      <c r="P53" s="1563" t="n">
        <f aca="false">N53*O53/1000</f>
        <v>6640.07004118535</v>
      </c>
      <c r="Q53" s="1565" t="n">
        <f aca="false">$H53</f>
        <v>2.24469277031199</v>
      </c>
      <c r="R53" s="394" t="n">
        <f aca="false">P53/Q53</f>
        <v>2958.11976097844</v>
      </c>
      <c r="S53" s="1579" t="str">
        <f aca="false">IF(MONTH($A53)=12,SUM(R42:R53)," ")</f>
        <v> </v>
      </c>
      <c r="U53" s="1595" t="n">
        <f aca="false">IF($A53&gt;Endyr,0,VLOOKUP($A53,Tariff_Table,Tariff!$I$33))</f>
        <v>2.31</v>
      </c>
      <c r="V53" s="1565" t="n">
        <f aca="false">D53</f>
        <v>2.25210734013237</v>
      </c>
      <c r="W53" s="1563" t="n">
        <f aca="false">U53*V53</f>
        <v>5.20236795570577</v>
      </c>
      <c r="X53" s="397" t="n">
        <f aca="false">VLOOKUP($A53,Plant_Table,'Plant Operations'!$M$270)</f>
        <v>298980.864</v>
      </c>
      <c r="Y53" s="630" t="n">
        <f aca="false">W53*X53/1000</f>
        <v>1555.40846624283</v>
      </c>
      <c r="Z53" s="1565" t="n">
        <f aca="false">$H53</f>
        <v>2.24469277031199</v>
      </c>
      <c r="AA53" s="1565" t="n">
        <f aca="false">H53</f>
        <v>2.24469277031199</v>
      </c>
      <c r="AB53" s="1609" t="n">
        <f aca="false">W53/AA53</f>
        <v>2.31763028977132</v>
      </c>
      <c r="AC53" s="1566" t="n">
        <f aca="false">Y53/Z53</f>
        <v>692.9271064684</v>
      </c>
      <c r="AD53" s="1567" t="str">
        <f aca="false">IF(MONTH($A53)=12,SUM(AC42:AC53)," ")</f>
        <v> </v>
      </c>
    </row>
    <row r="54" customFormat="false" ht="12.75" hidden="false" customHeight="false" outlineLevel="0" collapsed="false">
      <c r="A54" s="1538" t="n">
        <f aca="false">'Annex 12-Gas'!A54</f>
        <v>38231</v>
      </c>
      <c r="C54" s="1595" t="n">
        <f aca="false">IF($A54&gt;Endyr,0,VLOOKUP($A54,Tariff_Table,Tariff!$G$33))</f>
        <v>7432.1</v>
      </c>
      <c r="D54" s="1565" t="n">
        <f aca="false">VLOOKUP($A54,Curves_Table,Escalation!$AW$291)</f>
        <v>2.25210734013237</v>
      </c>
      <c r="E54" s="1563" t="n">
        <f aca="false">C54*D54</f>
        <v>16737.8869625978</v>
      </c>
      <c r="F54" s="1540" t="n">
        <f aca="false">VLOOKUP($A54,Plant_Table,'Plant Operations'!$C$270)</f>
        <v>480</v>
      </c>
      <c r="G54" s="1563" t="n">
        <f aca="false">E54*F54/1000</f>
        <v>8034.18574204694</v>
      </c>
      <c r="H54" s="1565" t="n">
        <f aca="false">IF(Assm!$L$74=0,VLOOKUP($A54,Curves_Table,Escalation!$D$291),VLOOKUP($A54,Curves_Table,Escalation!$E$291))</f>
        <v>2.25049365910673</v>
      </c>
      <c r="I54" s="394" t="n">
        <f aca="false">G54/H54</f>
        <v>3569.96595370808</v>
      </c>
      <c r="J54" s="1579" t="str">
        <f aca="false">IF(MONTH($A54)=12,SUM(I43:I54)," ")</f>
        <v> </v>
      </c>
      <c r="L54" s="1595" t="n">
        <f aca="false">IF($A54&gt;Endyr,0,VLOOKUP($A54,Tariff_Table,Tariff!$H$33))</f>
        <v>6142.46</v>
      </c>
      <c r="M54" s="1565" t="n">
        <f aca="false">D54</f>
        <v>2.25210734013237</v>
      </c>
      <c r="N54" s="1563" t="n">
        <f aca="false">L54*M54</f>
        <v>13833.4792524695</v>
      </c>
      <c r="O54" s="1540" t="n">
        <f aca="false">$F54</f>
        <v>480</v>
      </c>
      <c r="P54" s="1563" t="n">
        <f aca="false">N54*O54/1000</f>
        <v>6640.07004118535</v>
      </c>
      <c r="Q54" s="1565" t="n">
        <f aca="false">$H54</f>
        <v>2.25049365910673</v>
      </c>
      <c r="R54" s="394" t="n">
        <f aca="false">P54/Q54</f>
        <v>2950.49489000602</v>
      </c>
      <c r="S54" s="1579" t="str">
        <f aca="false">IF(MONTH($A54)=12,SUM(R43:R54)," ")</f>
        <v> </v>
      </c>
      <c r="U54" s="1595" t="n">
        <f aca="false">IF($A54&gt;Endyr,0,VLOOKUP($A54,Tariff_Table,Tariff!$I$33))</f>
        <v>2.31</v>
      </c>
      <c r="V54" s="1565" t="n">
        <f aca="false">D54</f>
        <v>2.25210734013237</v>
      </c>
      <c r="W54" s="1563" t="n">
        <f aca="false">U54*V54</f>
        <v>5.20236795570577</v>
      </c>
      <c r="X54" s="397" t="n">
        <f aca="false">VLOOKUP($A54,Plant_Table,'Plant Operations'!$M$270)</f>
        <v>289336.32</v>
      </c>
      <c r="Y54" s="630" t="n">
        <f aca="false">W54*X54/1000</f>
        <v>1505.23399958983</v>
      </c>
      <c r="Z54" s="1565" t="n">
        <f aca="false">$H54</f>
        <v>2.25049365910673</v>
      </c>
      <c r="AA54" s="1565" t="n">
        <f aca="false">H54</f>
        <v>2.25049365910673</v>
      </c>
      <c r="AB54" s="1609" t="n">
        <f aca="false">W54/AA54</f>
        <v>2.31165634910996</v>
      </c>
      <c r="AC54" s="1566" t="n">
        <f aca="false">Y54/Z54</f>
        <v>668.846141156111</v>
      </c>
      <c r="AD54" s="1567" t="str">
        <f aca="false">IF(MONTH($A54)=12,SUM(AC43:AC54)," ")</f>
        <v> </v>
      </c>
    </row>
    <row r="55" customFormat="false" ht="12.75" hidden="false" customHeight="false" outlineLevel="0" collapsed="false">
      <c r="A55" s="1538" t="n">
        <f aca="false">'Annex 12-Gas'!A55</f>
        <v>38261</v>
      </c>
      <c r="C55" s="1595" t="n">
        <f aca="false">IF($A55&gt;Endyr,0,VLOOKUP($A55,Tariff_Table,Tariff!$G$33))</f>
        <v>7432.1</v>
      </c>
      <c r="D55" s="1565" t="n">
        <f aca="false">VLOOKUP($A55,Curves_Table,Escalation!$AW$291)</f>
        <v>2.25210734013237</v>
      </c>
      <c r="E55" s="1563" t="n">
        <f aca="false">C55*D55</f>
        <v>16737.8869625978</v>
      </c>
      <c r="F55" s="1540" t="n">
        <f aca="false">VLOOKUP($A55,Plant_Table,'Plant Operations'!$C$270)</f>
        <v>480</v>
      </c>
      <c r="G55" s="1563" t="n">
        <f aca="false">E55*F55/1000</f>
        <v>8034.18574204694</v>
      </c>
      <c r="H55" s="1565" t="n">
        <f aca="false">IF(Assm!$L$74=0,VLOOKUP($A55,Curves_Table,Escalation!$D$291),VLOOKUP($A55,Curves_Table,Escalation!$E$291))</f>
        <v>2.25630953895558</v>
      </c>
      <c r="I55" s="394" t="n">
        <f aca="false">G55/H55</f>
        <v>3560.76398354716</v>
      </c>
      <c r="J55" s="1579" t="str">
        <f aca="false">IF(MONTH($A55)=12,SUM(I44:I55)," ")</f>
        <v> </v>
      </c>
      <c r="L55" s="1595" t="n">
        <f aca="false">IF($A55&gt;Endyr,0,VLOOKUP($A55,Tariff_Table,Tariff!$H$33))</f>
        <v>6142.46</v>
      </c>
      <c r="M55" s="1565" t="n">
        <f aca="false">D55</f>
        <v>2.25210734013237</v>
      </c>
      <c r="N55" s="1563" t="n">
        <f aca="false">L55*M55</f>
        <v>13833.4792524695</v>
      </c>
      <c r="O55" s="1540" t="n">
        <f aca="false">$F55</f>
        <v>480</v>
      </c>
      <c r="P55" s="1563" t="n">
        <f aca="false">N55*O55/1000</f>
        <v>6640.07004118535</v>
      </c>
      <c r="Q55" s="1565" t="n">
        <f aca="false">$H55</f>
        <v>2.25630953895558</v>
      </c>
      <c r="R55" s="394" t="n">
        <f aca="false">P55/Q55</f>
        <v>2942.88967295638</v>
      </c>
      <c r="S55" s="1579" t="str">
        <f aca="false">IF(MONTH($A55)=12,SUM(R44:R55)," ")</f>
        <v> </v>
      </c>
      <c r="U55" s="1595" t="n">
        <f aca="false">IF($A55&gt;Endyr,0,VLOOKUP($A55,Tariff_Table,Tariff!$I$33))</f>
        <v>2.31</v>
      </c>
      <c r="V55" s="1565" t="n">
        <f aca="false">D55</f>
        <v>2.25210734013237</v>
      </c>
      <c r="W55" s="1563" t="n">
        <f aca="false">U55*V55</f>
        <v>5.20236795570577</v>
      </c>
      <c r="X55" s="397" t="n">
        <f aca="false">VLOOKUP($A55,Plant_Table,'Plant Operations'!$M$270)</f>
        <v>298980.864</v>
      </c>
      <c r="Y55" s="630" t="n">
        <f aca="false">W55*X55/1000</f>
        <v>1555.40846624283</v>
      </c>
      <c r="Z55" s="1565" t="n">
        <f aca="false">$H55</f>
        <v>2.25630953895558</v>
      </c>
      <c r="AA55" s="1565" t="n">
        <f aca="false">H55</f>
        <v>2.25630953895558</v>
      </c>
      <c r="AB55" s="1609" t="n">
        <f aca="false">W55/AA55</f>
        <v>2.30569780692142</v>
      </c>
      <c r="AC55" s="1566" t="n">
        <f aca="false">Y55/Z55</f>
        <v>689.359522436272</v>
      </c>
      <c r="AD55" s="1567" t="str">
        <f aca="false">IF(MONTH($A55)=12,SUM(AC44:AC55)," ")</f>
        <v> </v>
      </c>
    </row>
    <row r="56" customFormat="false" ht="12.75" hidden="false" customHeight="false" outlineLevel="0" collapsed="false">
      <c r="A56" s="1538" t="n">
        <f aca="false">'Annex 12-Gas'!A56</f>
        <v>38292</v>
      </c>
      <c r="C56" s="1595" t="n">
        <f aca="false">IF($A56&gt;Endyr,0,VLOOKUP($A56,Tariff_Table,Tariff!$G$33))</f>
        <v>7432.1</v>
      </c>
      <c r="D56" s="1565" t="n">
        <f aca="false">VLOOKUP($A56,Curves_Table,Escalation!$AW$291)</f>
        <v>2.25210734013237</v>
      </c>
      <c r="E56" s="1563" t="n">
        <f aca="false">C56*D56</f>
        <v>16737.8869625978</v>
      </c>
      <c r="F56" s="1540" t="n">
        <f aca="false">VLOOKUP($A56,Plant_Table,'Plant Operations'!$C$270)</f>
        <v>480</v>
      </c>
      <c r="G56" s="1563" t="n">
        <f aca="false">E56*F56/1000</f>
        <v>8034.18574204694</v>
      </c>
      <c r="H56" s="1565" t="n">
        <f aca="false">IF(Assm!$L$74=0,VLOOKUP($A56,Curves_Table,Escalation!$D$291),VLOOKUP($A56,Curves_Table,Escalation!$E$291))</f>
        <v>2.26214044859947</v>
      </c>
      <c r="I56" s="394" t="n">
        <f aca="false">G56/H56</f>
        <v>3551.58573245133</v>
      </c>
      <c r="J56" s="1579" t="str">
        <f aca="false">IF(MONTH($A56)=12,SUM(I45:I56)," ")</f>
        <v> </v>
      </c>
      <c r="L56" s="1595" t="n">
        <f aca="false">IF($A56&gt;Endyr,0,VLOOKUP($A56,Tariff_Table,Tariff!$H$33))</f>
        <v>6142.46</v>
      </c>
      <c r="M56" s="1565" t="n">
        <f aca="false">D56</f>
        <v>2.25210734013237</v>
      </c>
      <c r="N56" s="1563" t="n">
        <f aca="false">L56*M56</f>
        <v>13833.4792524695</v>
      </c>
      <c r="O56" s="1540" t="n">
        <f aca="false">$F56</f>
        <v>480</v>
      </c>
      <c r="P56" s="1563" t="n">
        <f aca="false">N56*O56/1000</f>
        <v>6640.07004118535</v>
      </c>
      <c r="Q56" s="1565" t="n">
        <f aca="false">$H56</f>
        <v>2.26214044859947</v>
      </c>
      <c r="R56" s="394" t="n">
        <f aca="false">P56/Q56</f>
        <v>2935.30405916941</v>
      </c>
      <c r="S56" s="1579" t="str">
        <f aca="false">IF(MONTH($A56)=12,SUM(R45:R56)," ")</f>
        <v> </v>
      </c>
      <c r="U56" s="1595" t="n">
        <f aca="false">IF($A56&gt;Endyr,0,VLOOKUP($A56,Tariff_Table,Tariff!$I$33))</f>
        <v>2.31</v>
      </c>
      <c r="V56" s="1565" t="n">
        <f aca="false">D56</f>
        <v>2.25210734013237</v>
      </c>
      <c r="W56" s="1563" t="n">
        <f aca="false">U56*V56</f>
        <v>5.20236795570577</v>
      </c>
      <c r="X56" s="397" t="n">
        <f aca="false">VLOOKUP($A56,Plant_Table,'Plant Operations'!$M$270)</f>
        <v>289336.32</v>
      </c>
      <c r="Y56" s="630" t="n">
        <f aca="false">W56*X56/1000</f>
        <v>1505.23399958983</v>
      </c>
      <c r="Z56" s="1565" t="n">
        <f aca="false">$H56</f>
        <v>2.26214044859947</v>
      </c>
      <c r="AA56" s="1565" t="n">
        <f aca="false">H56</f>
        <v>2.26214044859947</v>
      </c>
      <c r="AB56" s="1609" t="n">
        <f aca="false">W56/AA56</f>
        <v>2.29975462351449</v>
      </c>
      <c r="AC56" s="1566" t="n">
        <f aca="false">Y56/Z56</f>
        <v>665.402539670667</v>
      </c>
      <c r="AD56" s="1567" t="str">
        <f aca="false">IF(MONTH($A56)=12,SUM(AC45:AC56)," ")</f>
        <v> </v>
      </c>
    </row>
    <row r="57" customFormat="false" ht="12.75" hidden="false" customHeight="false" outlineLevel="0" collapsed="false">
      <c r="A57" s="1538" t="n">
        <f aca="false">'Annex 12-Gas'!A57</f>
        <v>38322</v>
      </c>
      <c r="C57" s="1595" t="n">
        <f aca="false">IF($A57&gt;Endyr,0,VLOOKUP($A57,Tariff_Table,Tariff!$G$33))</f>
        <v>7432.1</v>
      </c>
      <c r="D57" s="1565" t="n">
        <f aca="false">VLOOKUP($A57,Curves_Table,Escalation!$AW$291)</f>
        <v>2.25210734013237</v>
      </c>
      <c r="E57" s="1563" t="n">
        <f aca="false">C57*D57</f>
        <v>16737.8869625978</v>
      </c>
      <c r="F57" s="1540" t="n">
        <f aca="false">VLOOKUP($A57,Plant_Table,'Plant Operations'!$C$270)</f>
        <v>480</v>
      </c>
      <c r="G57" s="1563" t="n">
        <f aca="false">E57*F57/1000</f>
        <v>8034.18574204694</v>
      </c>
      <c r="H57" s="1565" t="n">
        <f aca="false">IF(Assm!$L$74=0,VLOOKUP($A57,Curves_Table,Escalation!$D$291),VLOOKUP($A57,Curves_Table,Escalation!$E$291))</f>
        <v>2.26798642687942</v>
      </c>
      <c r="I57" s="394" t="n">
        <f aca="false">G57/H57</f>
        <v>3542.43113928216</v>
      </c>
      <c r="J57" s="1579" t="n">
        <f aca="false">IF(MONTH($A57)=12,SUM(I46:I57)," ")</f>
        <v>42035.708279911</v>
      </c>
      <c r="L57" s="1595" t="n">
        <f aca="false">IF($A57&gt;Endyr,0,VLOOKUP($A57,Tariff_Table,Tariff!$H$33))</f>
        <v>6142.46</v>
      </c>
      <c r="M57" s="1565" t="n">
        <f aca="false">D57</f>
        <v>2.25210734013237</v>
      </c>
      <c r="N57" s="1563" t="n">
        <f aca="false">L57*M57</f>
        <v>13833.4792524695</v>
      </c>
      <c r="O57" s="1540" t="n">
        <f aca="false">$F57</f>
        <v>480</v>
      </c>
      <c r="P57" s="1563" t="n">
        <f aca="false">N57*O57/1000</f>
        <v>6640.07004118535</v>
      </c>
      <c r="Q57" s="1565" t="n">
        <f aca="false">$H57</f>
        <v>2.26798642687942</v>
      </c>
      <c r="R57" s="394" t="n">
        <f aca="false">P57/Q57</f>
        <v>2927.73799811562</v>
      </c>
      <c r="S57" s="1579" t="n">
        <f aca="false">IF(MONTH($A57)=12,SUM(R46:R57)," ")</f>
        <v>34723.828649802</v>
      </c>
      <c r="U57" s="1595" t="n">
        <f aca="false">IF($A57&gt;Endyr,0,VLOOKUP($A57,Tariff_Table,Tariff!$I$33))</f>
        <v>2.31</v>
      </c>
      <c r="V57" s="1565" t="n">
        <f aca="false">D57</f>
        <v>2.25210734013237</v>
      </c>
      <c r="W57" s="1563" t="n">
        <f aca="false">U57*V57</f>
        <v>5.20236795570577</v>
      </c>
      <c r="X57" s="397" t="n">
        <f aca="false">VLOOKUP($A57,Plant_Table,'Plant Operations'!$M$270)</f>
        <v>298980.864</v>
      </c>
      <c r="Y57" s="630" t="n">
        <f aca="false">W57*X57/1000</f>
        <v>1555.40846624283</v>
      </c>
      <c r="Z57" s="1565" t="n">
        <f aca="false">$H57</f>
        <v>2.26798642687942</v>
      </c>
      <c r="AA57" s="1565" t="n">
        <f aca="false">H57</f>
        <v>2.26798642687942</v>
      </c>
      <c r="AB57" s="1609" t="n">
        <f aca="false">W57/AA57</f>
        <v>2.29382675930025</v>
      </c>
      <c r="AC57" s="1566" t="n">
        <f aca="false">Y57/Z57</f>
        <v>685.810306361909</v>
      </c>
      <c r="AD57" s="1567" t="n">
        <f aca="false">IF(MONTH($A57)=12,SUM(AC46:AC57)," ")</f>
        <v>8009.56823033294</v>
      </c>
    </row>
    <row r="58" customFormat="false" ht="12.75" hidden="false" customHeight="false" outlineLevel="0" collapsed="false">
      <c r="A58" s="1538" t="n">
        <f aca="false">'Annex 12-Gas'!A58</f>
        <v>38353</v>
      </c>
      <c r="C58" s="1595" t="n">
        <f aca="false">IF($A58&gt;Endyr,0,VLOOKUP($A58,Tariff_Table,Tariff!$G$33))</f>
        <v>7432.1</v>
      </c>
      <c r="D58" s="1565" t="n">
        <f aca="false">VLOOKUP($A58,Curves_Table,Escalation!$AW$291)</f>
        <v>2.25210734013237</v>
      </c>
      <c r="E58" s="1563" t="n">
        <f aca="false">C58*D58</f>
        <v>16737.8869625978</v>
      </c>
      <c r="F58" s="1540" t="n">
        <f aca="false">VLOOKUP($A58,Plant_Table,'Plant Operations'!$C$270)</f>
        <v>480</v>
      </c>
      <c r="G58" s="1563" t="n">
        <f aca="false">E58*F58/1000</f>
        <v>8034.18574204694</v>
      </c>
      <c r="H58" s="1565" t="n">
        <f aca="false">IF(Assm!$L$74=0,VLOOKUP($A58,Curves_Table,Escalation!$D$291),VLOOKUP($A58,Curves_Table,Escalation!$E$291))</f>
        <v>2.27329442304836</v>
      </c>
      <c r="I58" s="394" t="n">
        <f aca="false">G58/H58</f>
        <v>3534.15979056225</v>
      </c>
      <c r="J58" s="1579" t="str">
        <f aca="false">IF(MONTH($A58)=12,SUM(I47:I58)," ")</f>
        <v> </v>
      </c>
      <c r="L58" s="1595" t="n">
        <f aca="false">IF($A58&gt;Endyr,0,VLOOKUP($A58,Tariff_Table,Tariff!$H$33))</f>
        <v>6142.46</v>
      </c>
      <c r="M58" s="1565" t="n">
        <f aca="false">D58</f>
        <v>2.25210734013237</v>
      </c>
      <c r="N58" s="1563" t="n">
        <f aca="false">L58*M58</f>
        <v>13833.4792524695</v>
      </c>
      <c r="O58" s="1540" t="n">
        <f aca="false">$F58</f>
        <v>480</v>
      </c>
      <c r="P58" s="1563" t="n">
        <f aca="false">N58*O58/1000</f>
        <v>6640.07004118535</v>
      </c>
      <c r="Q58" s="1565" t="n">
        <f aca="false">$H58</f>
        <v>2.27329442304836</v>
      </c>
      <c r="R58" s="394" t="n">
        <f aca="false">P58/Q58</f>
        <v>2920.90191831878</v>
      </c>
      <c r="S58" s="1579" t="str">
        <f aca="false">IF(MONTH($A58)=12,SUM(R47:R58)," ")</f>
        <v> </v>
      </c>
      <c r="U58" s="1595" t="n">
        <f aca="false">IF($A58&gt;Endyr,0,VLOOKUP($A58,Tariff_Table,Tariff!$I$33))</f>
        <v>2.31</v>
      </c>
      <c r="V58" s="1565" t="n">
        <f aca="false">D58</f>
        <v>2.25210734013237</v>
      </c>
      <c r="W58" s="1563" t="n">
        <f aca="false">U58*V58</f>
        <v>5.20236795570577</v>
      </c>
      <c r="X58" s="397" t="n">
        <f aca="false">VLOOKUP($A58,Plant_Table,'Plant Operations'!$M$270)</f>
        <v>298980.864</v>
      </c>
      <c r="Y58" s="630" t="n">
        <f aca="false">W58*X58/1000</f>
        <v>1555.40846624283</v>
      </c>
      <c r="Z58" s="1565" t="n">
        <f aca="false">$H58</f>
        <v>2.27329442304836</v>
      </c>
      <c r="AA58" s="1565" t="n">
        <f aca="false">H58</f>
        <v>2.27329442304836</v>
      </c>
      <c r="AB58" s="1609" t="n">
        <f aca="false">W58/AA58</f>
        <v>2.28847082144762</v>
      </c>
      <c r="AC58" s="1566" t="n">
        <f aca="false">Y58/Z58</f>
        <v>684.208983435198</v>
      </c>
      <c r="AD58" s="1567" t="str">
        <f aca="false">IF(MONTH($A58)=12,SUM(AC47:AC58)," ")</f>
        <v> </v>
      </c>
    </row>
    <row r="59" customFormat="false" ht="12.75" hidden="false" customHeight="false" outlineLevel="0" collapsed="false">
      <c r="A59" s="1538" t="n">
        <f aca="false">'Annex 12-Gas'!A59</f>
        <v>38384</v>
      </c>
      <c r="C59" s="1595" t="n">
        <f aca="false">IF($A59&gt;Endyr,0,VLOOKUP($A59,Tariff_Table,Tariff!$G$33))</f>
        <v>7432.1</v>
      </c>
      <c r="D59" s="1565" t="n">
        <f aca="false">VLOOKUP($A59,Curves_Table,Escalation!$AW$291)</f>
        <v>2.25210734013237</v>
      </c>
      <c r="E59" s="1563" t="n">
        <f aca="false">C59*D59</f>
        <v>16737.8869625978</v>
      </c>
      <c r="F59" s="1540" t="n">
        <f aca="false">VLOOKUP($A59,Plant_Table,'Plant Operations'!$C$270)</f>
        <v>480</v>
      </c>
      <c r="G59" s="1563" t="n">
        <f aca="false">E59*F59/1000</f>
        <v>8034.18574204694</v>
      </c>
      <c r="H59" s="1565" t="n">
        <f aca="false">IF(Assm!$L$74=0,VLOOKUP($A59,Curves_Table,Escalation!$D$291),VLOOKUP($A59,Curves_Table,Escalation!$E$291))</f>
        <v>2.27861484205326</v>
      </c>
      <c r="I59" s="394" t="n">
        <f aca="false">G59/H59</f>
        <v>3525.90775490926</v>
      </c>
      <c r="J59" s="1579" t="str">
        <f aca="false">IF(MONTH($A59)=12,SUM(I48:I59)," ")</f>
        <v> </v>
      </c>
      <c r="L59" s="1595" t="n">
        <f aca="false">IF($A59&gt;Endyr,0,VLOOKUP($A59,Tariff_Table,Tariff!$H$33))</f>
        <v>6142.46</v>
      </c>
      <c r="M59" s="1565" t="n">
        <f aca="false">D59</f>
        <v>2.25210734013237</v>
      </c>
      <c r="N59" s="1563" t="n">
        <f aca="false">L59*M59</f>
        <v>13833.4792524695</v>
      </c>
      <c r="O59" s="1540" t="n">
        <f aca="false">$F59</f>
        <v>480</v>
      </c>
      <c r="P59" s="1563" t="n">
        <f aca="false">N59*O59/1000</f>
        <v>6640.07004118535</v>
      </c>
      <c r="Q59" s="1565" t="n">
        <f aca="false">$H59</f>
        <v>2.27861484205326</v>
      </c>
      <c r="R59" s="394" t="n">
        <f aca="false">P59/Q59</f>
        <v>2914.0818003283</v>
      </c>
      <c r="S59" s="1579" t="str">
        <f aca="false">IF(MONTH($A59)=12,SUM(R48:R59)," ")</f>
        <v> </v>
      </c>
      <c r="U59" s="1595" t="n">
        <f aca="false">IF($A59&gt;Endyr,0,VLOOKUP($A59,Tariff_Table,Tariff!$I$33))</f>
        <v>2.31</v>
      </c>
      <c r="V59" s="1565" t="n">
        <f aca="false">D59</f>
        <v>2.25210734013237</v>
      </c>
      <c r="W59" s="1563" t="n">
        <f aca="false">U59*V59</f>
        <v>5.20236795570577</v>
      </c>
      <c r="X59" s="397" t="n">
        <f aca="false">VLOOKUP($A59,Plant_Table,'Plant Operations'!$M$270)</f>
        <v>270047.232</v>
      </c>
      <c r="Y59" s="630" t="n">
        <f aca="false">W59*X59/1000</f>
        <v>1404.88506628384</v>
      </c>
      <c r="Z59" s="1565" t="n">
        <f aca="false">$H59</f>
        <v>2.27861484205326</v>
      </c>
      <c r="AA59" s="1565" t="n">
        <f aca="false">H59</f>
        <v>2.27861484205326</v>
      </c>
      <c r="AB59" s="1609" t="n">
        <f aca="false">W59/AA59</f>
        <v>2.28312738936516</v>
      </c>
      <c r="AC59" s="1566" t="n">
        <f aca="false">Y59/Z59</f>
        <v>616.552231801449</v>
      </c>
      <c r="AD59" s="1567" t="str">
        <f aca="false">IF(MONTH($A59)=12,SUM(AC48:AC59)," ")</f>
        <v> </v>
      </c>
    </row>
    <row r="60" customFormat="false" ht="12.75" hidden="false" customHeight="false" outlineLevel="0" collapsed="false">
      <c r="A60" s="1538" t="n">
        <f aca="false">'Annex 12-Gas'!A60</f>
        <v>38412</v>
      </c>
      <c r="C60" s="1595" t="n">
        <f aca="false">IF($A60&gt;Endyr,0,VLOOKUP($A60,Tariff_Table,Tariff!$G$33))</f>
        <v>7432.1</v>
      </c>
      <c r="D60" s="1565" t="n">
        <f aca="false">VLOOKUP($A60,Curves_Table,Escalation!$AW$291)</f>
        <v>2.25210734013237</v>
      </c>
      <c r="E60" s="1563" t="n">
        <f aca="false">C60*D60</f>
        <v>16737.8869625978</v>
      </c>
      <c r="F60" s="1540" t="n">
        <f aca="false">VLOOKUP($A60,Plant_Table,'Plant Operations'!$C$270)</f>
        <v>480</v>
      </c>
      <c r="G60" s="1563" t="n">
        <f aca="false">E60*F60/1000</f>
        <v>8034.18574204694</v>
      </c>
      <c r="H60" s="1565" t="n">
        <f aca="false">IF(Assm!$L$74=0,VLOOKUP($A60,Curves_Table,Escalation!$D$291),VLOOKUP($A60,Curves_Table,Escalation!$E$291))</f>
        <v>2.28394771296852</v>
      </c>
      <c r="I60" s="394" t="n">
        <f aca="false">G60/H60</f>
        <v>3517.67498722842</v>
      </c>
      <c r="J60" s="1579" t="str">
        <f aca="false">IF(MONTH($A60)=12,SUM(I49:I60)," ")</f>
        <v> </v>
      </c>
      <c r="L60" s="1595" t="n">
        <f aca="false">IF($A60&gt;Endyr,0,VLOOKUP($A60,Tariff_Table,Tariff!$H$33))</f>
        <v>6142.46</v>
      </c>
      <c r="M60" s="1565" t="n">
        <f aca="false">D60</f>
        <v>2.25210734013237</v>
      </c>
      <c r="N60" s="1563" t="n">
        <f aca="false">L60*M60</f>
        <v>13833.4792524695</v>
      </c>
      <c r="O60" s="1540" t="n">
        <f aca="false">$F60</f>
        <v>480</v>
      </c>
      <c r="P60" s="1563" t="n">
        <f aca="false">N60*O60/1000</f>
        <v>6640.07004118535</v>
      </c>
      <c r="Q60" s="1565" t="n">
        <f aca="false">$H60</f>
        <v>2.28394771296852</v>
      </c>
      <c r="R60" s="394" t="n">
        <f aca="false">P60/Q60</f>
        <v>2907.27760687438</v>
      </c>
      <c r="S60" s="1579" t="str">
        <f aca="false">IF(MONTH($A60)=12,SUM(R49:R60)," ")</f>
        <v> </v>
      </c>
      <c r="U60" s="1595" t="n">
        <f aca="false">IF($A60&gt;Endyr,0,VLOOKUP($A60,Tariff_Table,Tariff!$I$33))</f>
        <v>2.31</v>
      </c>
      <c r="V60" s="1565" t="n">
        <f aca="false">D60</f>
        <v>2.25210734013237</v>
      </c>
      <c r="W60" s="1563" t="n">
        <f aca="false">U60*V60</f>
        <v>5.20236795570577</v>
      </c>
      <c r="X60" s="397" t="n">
        <f aca="false">VLOOKUP($A60,Plant_Table,'Plant Operations'!$M$270)</f>
        <v>298980.864</v>
      </c>
      <c r="Y60" s="630" t="n">
        <f aca="false">W60*X60/1000</f>
        <v>1555.40846624283</v>
      </c>
      <c r="Z60" s="1565" t="n">
        <f aca="false">$H60</f>
        <v>2.28394771296852</v>
      </c>
      <c r="AA60" s="1565" t="n">
        <f aca="false">H60</f>
        <v>2.28394771296852</v>
      </c>
      <c r="AB60" s="1609" t="n">
        <f aca="false">W60/AA60</f>
        <v>2.27779643385272</v>
      </c>
      <c r="AC60" s="1566" t="n">
        <f aca="false">Y60/Z60</f>
        <v>681.017545809405</v>
      </c>
      <c r="AD60" s="1567" t="str">
        <f aca="false">IF(MONTH($A60)=12,SUM(AC49:AC60)," ")</f>
        <v> </v>
      </c>
    </row>
    <row r="61" customFormat="false" ht="12.75" hidden="false" customHeight="false" outlineLevel="0" collapsed="false">
      <c r="A61" s="1538" t="n">
        <f aca="false">'Annex 12-Gas'!A61</f>
        <v>38443</v>
      </c>
      <c r="C61" s="1595" t="n">
        <f aca="false">IF($A61&gt;Endyr,0,VLOOKUP($A61,Tariff_Table,Tariff!$G$33))</f>
        <v>7432.1</v>
      </c>
      <c r="D61" s="1565" t="n">
        <f aca="false">VLOOKUP($A61,Curves_Table,Escalation!$AW$291)</f>
        <v>2.25210734013237</v>
      </c>
      <c r="E61" s="1563" t="n">
        <f aca="false">C61*D61</f>
        <v>16737.8869625978</v>
      </c>
      <c r="F61" s="1540" t="n">
        <f aca="false">VLOOKUP($A61,Plant_Table,'Plant Operations'!$C$270)</f>
        <v>480</v>
      </c>
      <c r="G61" s="1563" t="n">
        <f aca="false">E61*F61/1000</f>
        <v>8034.18574204694</v>
      </c>
      <c r="H61" s="1565" t="n">
        <f aca="false">IF(Assm!$L$74=0,VLOOKUP($A61,Curves_Table,Escalation!$D$291),VLOOKUP($A61,Curves_Table,Escalation!$E$291))</f>
        <v>2.2892930649366</v>
      </c>
      <c r="I61" s="394" t="n">
        <f aca="false">G61/H61</f>
        <v>3509.46144253026</v>
      </c>
      <c r="J61" s="1579" t="str">
        <f aca="false">IF(MONTH($A61)=12,SUM(I50:I61)," ")</f>
        <v> </v>
      </c>
      <c r="L61" s="1595" t="n">
        <f aca="false">IF($A61&gt;Endyr,0,VLOOKUP($A61,Tariff_Table,Tariff!$H$33))</f>
        <v>6142.46</v>
      </c>
      <c r="M61" s="1565" t="n">
        <f aca="false">D61</f>
        <v>2.25210734013237</v>
      </c>
      <c r="N61" s="1563" t="n">
        <f aca="false">L61*M61</f>
        <v>13833.4792524695</v>
      </c>
      <c r="O61" s="1540" t="n">
        <f aca="false">$F61</f>
        <v>480</v>
      </c>
      <c r="P61" s="1563" t="n">
        <f aca="false">N61*O61/1000</f>
        <v>6640.07004118535</v>
      </c>
      <c r="Q61" s="1565" t="n">
        <f aca="false">$H61</f>
        <v>2.2892930649366</v>
      </c>
      <c r="R61" s="394" t="n">
        <f aca="false">P61/Q61</f>
        <v>2900.48930077427</v>
      </c>
      <c r="S61" s="1579" t="str">
        <f aca="false">IF(MONTH($A61)=12,SUM(R50:R61)," ")</f>
        <v> </v>
      </c>
      <c r="U61" s="1595" t="n">
        <f aca="false">IF($A61&gt;Endyr,0,VLOOKUP($A61,Tariff_Table,Tariff!$I$33))</f>
        <v>2.31</v>
      </c>
      <c r="V61" s="1565" t="n">
        <f aca="false">D61</f>
        <v>2.25210734013237</v>
      </c>
      <c r="W61" s="1563" t="n">
        <f aca="false">U61*V61</f>
        <v>5.20236795570577</v>
      </c>
      <c r="X61" s="397" t="n">
        <f aca="false">VLOOKUP($A61,Plant_Table,'Plant Operations'!$M$270)</f>
        <v>289336.32</v>
      </c>
      <c r="Y61" s="630" t="n">
        <f aca="false">W61*X61/1000</f>
        <v>1505.23399958983</v>
      </c>
      <c r="Z61" s="1565" t="n">
        <f aca="false">$H61</f>
        <v>2.2892930649366</v>
      </c>
      <c r="AA61" s="1565" t="n">
        <f aca="false">H61</f>
        <v>2.2892930649366</v>
      </c>
      <c r="AB61" s="1609" t="n">
        <f aca="false">W61/AA61</f>
        <v>2.2724779257783</v>
      </c>
      <c r="AC61" s="1566" t="n">
        <f aca="false">Y61/Z61</f>
        <v>657.510400325926</v>
      </c>
      <c r="AD61" s="1567" t="str">
        <f aca="false">IF(MONTH($A61)=12,SUM(AC50:AC61)," ")</f>
        <v> </v>
      </c>
    </row>
    <row r="62" customFormat="false" ht="12.75" hidden="false" customHeight="false" outlineLevel="0" collapsed="false">
      <c r="A62" s="1538" t="n">
        <f aca="false">'Annex 12-Gas'!A62</f>
        <v>38473</v>
      </c>
      <c r="C62" s="1595" t="n">
        <f aca="false">IF($A62&gt;Endyr,0,VLOOKUP($A62,Tariff_Table,Tariff!$G$33))</f>
        <v>7420.61</v>
      </c>
      <c r="D62" s="1565" t="n">
        <f aca="false">VLOOKUP($A62,Curves_Table,Escalation!$AW$291)</f>
        <v>2.42851660770782</v>
      </c>
      <c r="E62" s="1563" t="n">
        <f aca="false">C62*D62</f>
        <v>18021.0746243227</v>
      </c>
      <c r="F62" s="1540" t="n">
        <f aca="false">VLOOKUP($A62,Plant_Table,'Plant Operations'!$C$270)</f>
        <v>480</v>
      </c>
      <c r="G62" s="1563" t="n">
        <f aca="false">E62*F62/1000</f>
        <v>8650.11581967491</v>
      </c>
      <c r="H62" s="1565" t="n">
        <f aca="false">IF(Assm!$L$74=0,VLOOKUP($A62,Curves_Table,Escalation!$D$291),VLOOKUP($A62,Curves_Table,Escalation!$E$291))</f>
        <v>2.29465092716816</v>
      </c>
      <c r="I62" s="394" t="n">
        <f aca="false">G62/H62</f>
        <v>3769.68702178594</v>
      </c>
      <c r="J62" s="1579" t="str">
        <f aca="false">IF(MONTH($A62)=12,SUM(I51:I62)," ")</f>
        <v> </v>
      </c>
      <c r="L62" s="1595" t="n">
        <f aca="false">IF($A62&gt;Endyr,0,VLOOKUP($A62,Tariff_Table,Tariff!$H$33))</f>
        <v>6104.93</v>
      </c>
      <c r="M62" s="1565" t="n">
        <f aca="false">D62</f>
        <v>2.42851660770782</v>
      </c>
      <c r="N62" s="1563" t="n">
        <f aca="false">L62*M62</f>
        <v>14825.9238938937</v>
      </c>
      <c r="O62" s="1540" t="n">
        <f aca="false">$F62</f>
        <v>480</v>
      </c>
      <c r="P62" s="1563" t="n">
        <f aca="false">N62*O62/1000</f>
        <v>7116.44346906898</v>
      </c>
      <c r="Q62" s="1565" t="n">
        <f aca="false">$H62</f>
        <v>2.29465092716816</v>
      </c>
      <c r="R62" s="394" t="n">
        <f aca="false">P62/Q62</f>
        <v>3101.31854253379</v>
      </c>
      <c r="S62" s="1579" t="str">
        <f aca="false">IF(MONTH($A62)=12,SUM(R51:R62)," ")</f>
        <v> </v>
      </c>
      <c r="U62" s="1595" t="n">
        <f aca="false">IF($A62&gt;Endyr,0,VLOOKUP($A62,Tariff_Table,Tariff!$I$33))</f>
        <v>2.3</v>
      </c>
      <c r="V62" s="1565" t="n">
        <f aca="false">D62</f>
        <v>2.42851660770782</v>
      </c>
      <c r="W62" s="1563" t="n">
        <f aca="false">U62*V62</f>
        <v>5.58558819772798</v>
      </c>
      <c r="X62" s="397" t="n">
        <f aca="false">VLOOKUP($A62,Plant_Table,'Plant Operations'!$M$270)</f>
        <v>298980.864</v>
      </c>
      <c r="Y62" s="630" t="n">
        <f aca="false">W62*X62/1000</f>
        <v>1669.98398530492</v>
      </c>
      <c r="Z62" s="1565" t="n">
        <f aca="false">$H62</f>
        <v>2.29465092716816</v>
      </c>
      <c r="AA62" s="1565" t="n">
        <f aca="false">H62</f>
        <v>2.29465092716816</v>
      </c>
      <c r="AB62" s="1609" t="n">
        <f aca="false">W62/AA62</f>
        <v>2.43417773553086</v>
      </c>
      <c r="AC62" s="1566" t="n">
        <f aca="false">Y62/Z62</f>
        <v>727.772562498579</v>
      </c>
      <c r="AD62" s="1567" t="str">
        <f aca="false">IF(MONTH($A62)=12,SUM(AC51:AC62)," ")</f>
        <v> </v>
      </c>
    </row>
    <row r="63" customFormat="false" ht="12.75" hidden="false" customHeight="false" outlineLevel="0" collapsed="false">
      <c r="A63" s="1538" t="n">
        <f aca="false">'Annex 12-Gas'!A63</f>
        <v>38504</v>
      </c>
      <c r="C63" s="1595" t="n">
        <f aca="false">IF($A63&gt;Endyr,0,VLOOKUP($A63,Tariff_Table,Tariff!$G$33))</f>
        <v>7420.61</v>
      </c>
      <c r="D63" s="1565" t="n">
        <f aca="false">VLOOKUP($A63,Curves_Table,Escalation!$AW$291)</f>
        <v>2.42851660770782</v>
      </c>
      <c r="E63" s="1563" t="n">
        <f aca="false">C63*D63</f>
        <v>18021.0746243227</v>
      </c>
      <c r="F63" s="1540" t="n">
        <f aca="false">VLOOKUP($A63,Plant_Table,'Plant Operations'!$C$270)</f>
        <v>480</v>
      </c>
      <c r="G63" s="1563" t="n">
        <f aca="false">E63*F63/1000</f>
        <v>8650.11581967491</v>
      </c>
      <c r="H63" s="1565" t="n">
        <f aca="false">IF(Assm!$L$74=0,VLOOKUP($A63,Curves_Table,Escalation!$D$291),VLOOKUP($A63,Curves_Table,Escalation!$E$291))</f>
        <v>2.30002132894223</v>
      </c>
      <c r="I63" s="394" t="n">
        <f aca="false">G63/H63</f>
        <v>3760.88504520654</v>
      </c>
      <c r="J63" s="1579" t="str">
        <f aca="false">IF(MONTH($A63)=12,SUM(I52:I63)," ")</f>
        <v> </v>
      </c>
      <c r="L63" s="1595" t="n">
        <f aca="false">IF($A63&gt;Endyr,0,VLOOKUP($A63,Tariff_Table,Tariff!$H$33))</f>
        <v>6104.93</v>
      </c>
      <c r="M63" s="1565" t="n">
        <f aca="false">D63</f>
        <v>2.42851660770782</v>
      </c>
      <c r="N63" s="1563" t="n">
        <f aca="false">L63*M63</f>
        <v>14825.9238938937</v>
      </c>
      <c r="O63" s="1540" t="n">
        <f aca="false">$F63</f>
        <v>480</v>
      </c>
      <c r="P63" s="1563" t="n">
        <f aca="false">N63*O63/1000</f>
        <v>7116.44346906898</v>
      </c>
      <c r="Q63" s="1565" t="n">
        <f aca="false">$H63</f>
        <v>2.30002132894223</v>
      </c>
      <c r="R63" s="394" t="n">
        <f aca="false">P63/Q63</f>
        <v>3094.07716333735</v>
      </c>
      <c r="S63" s="1579" t="str">
        <f aca="false">IF(MONTH($A63)=12,SUM(R52:R63)," ")</f>
        <v> </v>
      </c>
      <c r="U63" s="1595" t="n">
        <f aca="false">IF($A63&gt;Endyr,0,VLOOKUP($A63,Tariff_Table,Tariff!$I$33))</f>
        <v>2.3</v>
      </c>
      <c r="V63" s="1565" t="n">
        <f aca="false">D63</f>
        <v>2.42851660770782</v>
      </c>
      <c r="W63" s="1563" t="n">
        <f aca="false">U63*V63</f>
        <v>5.58558819772798</v>
      </c>
      <c r="X63" s="397" t="n">
        <f aca="false">VLOOKUP($A63,Plant_Table,'Plant Operations'!$M$270)</f>
        <v>289336.32</v>
      </c>
      <c r="Y63" s="630" t="n">
        <f aca="false">W63*X63/1000</f>
        <v>1616.11353416605</v>
      </c>
      <c r="Z63" s="1565" t="n">
        <f aca="false">$H63</f>
        <v>2.30002132894223</v>
      </c>
      <c r="AA63" s="1565" t="n">
        <f aca="false">H63</f>
        <v>2.30002132894223</v>
      </c>
      <c r="AB63" s="1609" t="n">
        <f aca="false">W63/AA63</f>
        <v>2.42849408718169</v>
      </c>
      <c r="AC63" s="1566" t="n">
        <f aca="false">Y63/Z63</f>
        <v>702.65154232691</v>
      </c>
      <c r="AD63" s="1567" t="str">
        <f aca="false">IF(MONTH($A63)=12,SUM(AC52:AC63)," ")</f>
        <v> </v>
      </c>
    </row>
    <row r="64" customFormat="false" ht="12.75" hidden="false" customHeight="false" outlineLevel="0" collapsed="false">
      <c r="A64" s="1538" t="n">
        <f aca="false">'Annex 12-Gas'!A64</f>
        <v>38534</v>
      </c>
      <c r="C64" s="1595" t="n">
        <f aca="false">IF($A64&gt;Endyr,0,VLOOKUP($A64,Tariff_Table,Tariff!$G$33))</f>
        <v>7420.61</v>
      </c>
      <c r="D64" s="1565" t="n">
        <f aca="false">VLOOKUP($A64,Curves_Table,Escalation!$AW$291)</f>
        <v>2.42851660770782</v>
      </c>
      <c r="E64" s="1563" t="n">
        <f aca="false">C64*D64</f>
        <v>18021.0746243227</v>
      </c>
      <c r="F64" s="1540" t="n">
        <f aca="false">VLOOKUP($A64,Plant_Table,'Plant Operations'!$C$270)</f>
        <v>480</v>
      </c>
      <c r="G64" s="1563" t="n">
        <f aca="false">E64*F64/1000</f>
        <v>8650.11581967491</v>
      </c>
      <c r="H64" s="1565" t="n">
        <f aca="false">IF(Assm!$L$74=0,VLOOKUP($A64,Curves_Table,Escalation!$D$291),VLOOKUP($A64,Curves_Table,Escalation!$E$291))</f>
        <v>2.30540429960635</v>
      </c>
      <c r="I64" s="394" t="n">
        <f aca="false">G64/H64</f>
        <v>3752.10362067596</v>
      </c>
      <c r="J64" s="1579" t="str">
        <f aca="false">IF(MONTH($A64)=12,SUM(I53:I64)," ")</f>
        <v> </v>
      </c>
      <c r="L64" s="1595" t="n">
        <f aca="false">IF($A64&gt;Endyr,0,VLOOKUP($A64,Tariff_Table,Tariff!$H$33))</f>
        <v>6104.93</v>
      </c>
      <c r="M64" s="1565" t="n">
        <f aca="false">D64</f>
        <v>2.42851660770782</v>
      </c>
      <c r="N64" s="1563" t="n">
        <f aca="false">L64*M64</f>
        <v>14825.9238938937</v>
      </c>
      <c r="O64" s="1540" t="n">
        <f aca="false">$F64</f>
        <v>480</v>
      </c>
      <c r="P64" s="1563" t="n">
        <f aca="false">N64*O64/1000</f>
        <v>7116.44346906898</v>
      </c>
      <c r="Q64" s="1565" t="n">
        <f aca="false">$H64</f>
        <v>2.30540429960635</v>
      </c>
      <c r="R64" s="394" t="n">
        <f aca="false">P64/Q64</f>
        <v>3086.85269229528</v>
      </c>
      <c r="S64" s="1579" t="str">
        <f aca="false">IF(MONTH($A64)=12,SUM(R53:R64)," ")</f>
        <v> </v>
      </c>
      <c r="U64" s="1595" t="n">
        <f aca="false">IF($A64&gt;Endyr,0,VLOOKUP($A64,Tariff_Table,Tariff!$I$33))</f>
        <v>2.3</v>
      </c>
      <c r="V64" s="1565" t="n">
        <f aca="false">D64</f>
        <v>2.42851660770782</v>
      </c>
      <c r="W64" s="1563" t="n">
        <f aca="false">U64*V64</f>
        <v>5.58558819772798</v>
      </c>
      <c r="X64" s="397" t="n">
        <f aca="false">VLOOKUP($A64,Plant_Table,'Plant Operations'!$M$270)</f>
        <v>298980.864</v>
      </c>
      <c r="Y64" s="630" t="n">
        <f aca="false">W64*X64/1000</f>
        <v>1669.98398530492</v>
      </c>
      <c r="Z64" s="1565" t="n">
        <f aca="false">$H64</f>
        <v>2.30540429960635</v>
      </c>
      <c r="AA64" s="1565" t="n">
        <f aca="false">H64</f>
        <v>2.30540429960635</v>
      </c>
      <c r="AB64" s="1609" t="n">
        <f aca="false">W64/AA64</f>
        <v>2.42282370978563</v>
      </c>
      <c r="AC64" s="1566" t="n">
        <f aca="false">Y64/Z64</f>
        <v>724.377926071392</v>
      </c>
      <c r="AD64" s="1567" t="str">
        <f aca="false">IF(MONTH($A64)=12,SUM(AC53:AC64)," ")</f>
        <v> </v>
      </c>
    </row>
    <row r="65" customFormat="false" ht="12.75" hidden="false" customHeight="false" outlineLevel="0" collapsed="false">
      <c r="A65" s="1538" t="n">
        <f aca="false">'Annex 12-Gas'!A65</f>
        <v>38565</v>
      </c>
      <c r="C65" s="1595" t="n">
        <f aca="false">IF($A65&gt;Endyr,0,VLOOKUP($A65,Tariff_Table,Tariff!$G$33))</f>
        <v>7420.61</v>
      </c>
      <c r="D65" s="1565" t="n">
        <f aca="false">VLOOKUP($A65,Curves_Table,Escalation!$AW$291)</f>
        <v>2.42851660770782</v>
      </c>
      <c r="E65" s="1563" t="n">
        <f aca="false">C65*D65</f>
        <v>18021.0746243227</v>
      </c>
      <c r="F65" s="1540" t="n">
        <f aca="false">VLOOKUP($A65,Plant_Table,'Plant Operations'!$C$270)</f>
        <v>480</v>
      </c>
      <c r="G65" s="1563" t="n">
        <f aca="false">E65*F65/1000</f>
        <v>8650.11581967491</v>
      </c>
      <c r="H65" s="1565" t="n">
        <f aca="false">IF(Assm!$L$74=0,VLOOKUP($A65,Curves_Table,Escalation!$D$291),VLOOKUP($A65,Curves_Table,Escalation!$E$291))</f>
        <v>2.31079986857675</v>
      </c>
      <c r="I65" s="394" t="n">
        <f aca="false">G65/H65</f>
        <v>3743.34270020649</v>
      </c>
      <c r="J65" s="1579" t="str">
        <f aca="false">IF(MONTH($A65)=12,SUM(I54:I65)," ")</f>
        <v> </v>
      </c>
      <c r="L65" s="1595" t="n">
        <f aca="false">IF($A65&gt;Endyr,0,VLOOKUP($A65,Tariff_Table,Tariff!$H$33))</f>
        <v>6104.93</v>
      </c>
      <c r="M65" s="1565" t="n">
        <f aca="false">D65</f>
        <v>2.42851660770782</v>
      </c>
      <c r="N65" s="1563" t="n">
        <f aca="false">L65*M65</f>
        <v>14825.9238938937</v>
      </c>
      <c r="O65" s="1540" t="n">
        <f aca="false">$F65</f>
        <v>480</v>
      </c>
      <c r="P65" s="1563" t="n">
        <f aca="false">N65*O65/1000</f>
        <v>7116.44346906898</v>
      </c>
      <c r="Q65" s="1565" t="n">
        <f aca="false">$H65</f>
        <v>2.31079986857675</v>
      </c>
      <c r="R65" s="394" t="n">
        <f aca="false">P65/Q65</f>
        <v>3079.64508992813</v>
      </c>
      <c r="S65" s="1579" t="str">
        <f aca="false">IF(MONTH($A65)=12,SUM(R54:R65)," ")</f>
        <v> </v>
      </c>
      <c r="U65" s="1595" t="n">
        <f aca="false">IF($A65&gt;Endyr,0,VLOOKUP($A65,Tariff_Table,Tariff!$I$33))</f>
        <v>2.3</v>
      </c>
      <c r="V65" s="1565" t="n">
        <f aca="false">D65</f>
        <v>2.42851660770782</v>
      </c>
      <c r="W65" s="1563" t="n">
        <f aca="false">U65*V65</f>
        <v>5.58558819772798</v>
      </c>
      <c r="X65" s="397" t="n">
        <f aca="false">VLOOKUP($A65,Plant_Table,'Plant Operations'!$M$270)</f>
        <v>298980.864</v>
      </c>
      <c r="Y65" s="630" t="n">
        <f aca="false">W65*X65/1000</f>
        <v>1669.98398530492</v>
      </c>
      <c r="Z65" s="1565" t="n">
        <f aca="false">$H65</f>
        <v>2.31079986857675</v>
      </c>
      <c r="AA65" s="1565" t="n">
        <f aca="false">H65</f>
        <v>2.31079986857675</v>
      </c>
      <c r="AB65" s="1609" t="n">
        <f aca="false">W65/AA65</f>
        <v>2.41716657235583</v>
      </c>
      <c r="AC65" s="1566" t="n">
        <f aca="false">Y65/Z65</f>
        <v>722.686550234866</v>
      </c>
      <c r="AD65" s="1567" t="str">
        <f aca="false">IF(MONTH($A65)=12,SUM(AC54:AC65)," ")</f>
        <v> </v>
      </c>
    </row>
    <row r="66" customFormat="false" ht="12.75" hidden="false" customHeight="false" outlineLevel="0" collapsed="false">
      <c r="A66" s="1538" t="n">
        <f aca="false">'Annex 12-Gas'!A66</f>
        <v>38596</v>
      </c>
      <c r="C66" s="1595" t="n">
        <f aca="false">IF($A66&gt;Endyr,0,VLOOKUP($A66,Tariff_Table,Tariff!$G$33))</f>
        <v>7420.61</v>
      </c>
      <c r="D66" s="1565" t="n">
        <f aca="false">VLOOKUP($A66,Curves_Table,Escalation!$AW$291)</f>
        <v>2.42851660770782</v>
      </c>
      <c r="E66" s="1563" t="n">
        <f aca="false">C66*D66</f>
        <v>18021.0746243227</v>
      </c>
      <c r="F66" s="1540" t="n">
        <f aca="false">VLOOKUP($A66,Plant_Table,'Plant Operations'!$C$270)</f>
        <v>480</v>
      </c>
      <c r="G66" s="1563" t="n">
        <f aca="false">E66*F66/1000</f>
        <v>8650.11581967491</v>
      </c>
      <c r="H66" s="1565" t="n">
        <f aca="false">IF(Assm!$L$74=0,VLOOKUP($A66,Curves_Table,Escalation!$D$291),VLOOKUP($A66,Curves_Table,Escalation!$E$291))</f>
        <v>2.31620806533853</v>
      </c>
      <c r="I66" s="394" t="n">
        <f aca="false">G66/H66</f>
        <v>3734.60223592246</v>
      </c>
      <c r="J66" s="1579" t="str">
        <f aca="false">IF(MONTH($A66)=12,SUM(I55:I66)," ")</f>
        <v> </v>
      </c>
      <c r="L66" s="1595" t="n">
        <f aca="false">IF($A66&gt;Endyr,0,VLOOKUP($A66,Tariff_Table,Tariff!$H$33))</f>
        <v>6104.93</v>
      </c>
      <c r="M66" s="1565" t="n">
        <f aca="false">D66</f>
        <v>2.42851660770782</v>
      </c>
      <c r="N66" s="1563" t="n">
        <f aca="false">L66*M66</f>
        <v>14825.9238938937</v>
      </c>
      <c r="O66" s="1540" t="n">
        <f aca="false">$F66</f>
        <v>480</v>
      </c>
      <c r="P66" s="1563" t="n">
        <f aca="false">N66*O66/1000</f>
        <v>7116.44346906898</v>
      </c>
      <c r="Q66" s="1565" t="n">
        <f aca="false">$H66</f>
        <v>2.31620806533853</v>
      </c>
      <c r="R66" s="394" t="n">
        <f aca="false">P66/Q66</f>
        <v>3072.45431684863</v>
      </c>
      <c r="S66" s="1579" t="str">
        <f aca="false">IF(MONTH($A66)=12,SUM(R55:R66)," ")</f>
        <v> </v>
      </c>
      <c r="U66" s="1595" t="n">
        <f aca="false">IF($A66&gt;Endyr,0,VLOOKUP($A66,Tariff_Table,Tariff!$I$33))</f>
        <v>2.3</v>
      </c>
      <c r="V66" s="1565" t="n">
        <f aca="false">D66</f>
        <v>2.42851660770782</v>
      </c>
      <c r="W66" s="1563" t="n">
        <f aca="false">U66*V66</f>
        <v>5.58558819772798</v>
      </c>
      <c r="X66" s="397" t="n">
        <f aca="false">VLOOKUP($A66,Plant_Table,'Plant Operations'!$M$270)</f>
        <v>289336.32</v>
      </c>
      <c r="Y66" s="630" t="n">
        <f aca="false">W66*X66/1000</f>
        <v>1616.11353416605</v>
      </c>
      <c r="Z66" s="1565" t="n">
        <f aca="false">$H66</f>
        <v>2.31620806533853</v>
      </c>
      <c r="AA66" s="1565" t="n">
        <f aca="false">H66</f>
        <v>2.31620806533853</v>
      </c>
      <c r="AB66" s="1609" t="n">
        <f aca="false">W66/AA66</f>
        <v>2.41152264397785</v>
      </c>
      <c r="AC66" s="1566" t="n">
        <f aca="false">Y66/Z66</f>
        <v>697.741087405221</v>
      </c>
      <c r="AD66" s="1567" t="str">
        <f aca="false">IF(MONTH($A66)=12,SUM(AC55:AC66)," ")</f>
        <v> </v>
      </c>
    </row>
    <row r="67" customFormat="false" ht="12.75" hidden="false" customHeight="false" outlineLevel="0" collapsed="false">
      <c r="A67" s="1538" t="n">
        <f aca="false">'Annex 12-Gas'!A67</f>
        <v>38626</v>
      </c>
      <c r="C67" s="1595" t="n">
        <f aca="false">IF($A67&gt;Endyr,0,VLOOKUP($A67,Tariff_Table,Tariff!$G$33))</f>
        <v>7420.61</v>
      </c>
      <c r="D67" s="1565" t="n">
        <f aca="false">VLOOKUP($A67,Curves_Table,Escalation!$AW$291)</f>
        <v>2.42851660770782</v>
      </c>
      <c r="E67" s="1563" t="n">
        <f aca="false">C67*D67</f>
        <v>18021.0746243227</v>
      </c>
      <c r="F67" s="1540" t="n">
        <f aca="false">VLOOKUP($A67,Plant_Table,'Plant Operations'!$C$270)</f>
        <v>480</v>
      </c>
      <c r="G67" s="1563" t="n">
        <f aca="false">E67*F67/1000</f>
        <v>8650.11581967491</v>
      </c>
      <c r="H67" s="1565" t="n">
        <f aca="false">IF(Assm!$L$74=0,VLOOKUP($A67,Curves_Table,Escalation!$D$291),VLOOKUP($A67,Curves_Table,Escalation!$E$291))</f>
        <v>2.32162891944576</v>
      </c>
      <c r="I67" s="394" t="n">
        <f aca="false">G67/H67</f>
        <v>3725.88218006</v>
      </c>
      <c r="J67" s="1579" t="str">
        <f aca="false">IF(MONTH($A67)=12,SUM(I56:I67)," ")</f>
        <v> </v>
      </c>
      <c r="L67" s="1595" t="n">
        <f aca="false">IF($A67&gt;Endyr,0,VLOOKUP($A67,Tariff_Table,Tariff!$H$33))</f>
        <v>6104.93</v>
      </c>
      <c r="M67" s="1565" t="n">
        <f aca="false">D67</f>
        <v>2.42851660770782</v>
      </c>
      <c r="N67" s="1563" t="n">
        <f aca="false">L67*M67</f>
        <v>14825.9238938937</v>
      </c>
      <c r="O67" s="1540" t="n">
        <f aca="false">$F67</f>
        <v>480</v>
      </c>
      <c r="P67" s="1563" t="n">
        <f aca="false">N67*O67/1000</f>
        <v>7116.44346906898</v>
      </c>
      <c r="Q67" s="1565" t="n">
        <f aca="false">$H67</f>
        <v>2.32162891944576</v>
      </c>
      <c r="R67" s="394" t="n">
        <f aca="false">P67/Q67</f>
        <v>3065.28033376147</v>
      </c>
      <c r="S67" s="1579" t="str">
        <f aca="false">IF(MONTH($A67)=12,SUM(R56:R67)," ")</f>
        <v> </v>
      </c>
      <c r="U67" s="1595" t="n">
        <f aca="false">IF($A67&gt;Endyr,0,VLOOKUP($A67,Tariff_Table,Tariff!$I$33))</f>
        <v>2.3</v>
      </c>
      <c r="V67" s="1565" t="n">
        <f aca="false">D67</f>
        <v>2.42851660770782</v>
      </c>
      <c r="W67" s="1563" t="n">
        <f aca="false">U67*V67</f>
        <v>5.58558819772798</v>
      </c>
      <c r="X67" s="397" t="n">
        <f aca="false">VLOOKUP($A67,Plant_Table,'Plant Operations'!$M$270)</f>
        <v>298980.864</v>
      </c>
      <c r="Y67" s="630" t="n">
        <f aca="false">W67*X67/1000</f>
        <v>1669.98398530492</v>
      </c>
      <c r="Z67" s="1565" t="n">
        <f aca="false">$H67</f>
        <v>2.32162891944576</v>
      </c>
      <c r="AA67" s="1565" t="n">
        <f aca="false">H67</f>
        <v>2.32162891944576</v>
      </c>
      <c r="AB67" s="1609" t="n">
        <f aca="false">W67/AA67</f>
        <v>2.40589189380938</v>
      </c>
      <c r="AC67" s="1566" t="n">
        <f aca="false">Y67/Z67</f>
        <v>719.315637101725</v>
      </c>
      <c r="AD67" s="1567" t="str">
        <f aca="false">IF(MONTH($A67)=12,SUM(AC56:AC67)," ")</f>
        <v> </v>
      </c>
    </row>
    <row r="68" customFormat="false" ht="12.75" hidden="false" customHeight="false" outlineLevel="0" collapsed="false">
      <c r="A68" s="1538" t="n">
        <f aca="false">'Annex 12-Gas'!A68</f>
        <v>38657</v>
      </c>
      <c r="C68" s="1595" t="n">
        <f aca="false">IF($A68&gt;Endyr,0,VLOOKUP($A68,Tariff_Table,Tariff!$G$33))</f>
        <v>7420.61</v>
      </c>
      <c r="D68" s="1565" t="n">
        <f aca="false">VLOOKUP($A68,Curves_Table,Escalation!$AW$291)</f>
        <v>2.42851660770782</v>
      </c>
      <c r="E68" s="1563" t="n">
        <f aca="false">C68*D68</f>
        <v>18021.0746243227</v>
      </c>
      <c r="F68" s="1540" t="n">
        <f aca="false">VLOOKUP($A68,Plant_Table,'Plant Operations'!$C$270)</f>
        <v>480</v>
      </c>
      <c r="G68" s="1563" t="n">
        <f aca="false">E68*F68/1000</f>
        <v>8650.11581967491</v>
      </c>
      <c r="H68" s="1565" t="n">
        <f aca="false">IF(Assm!$L$74=0,VLOOKUP($A68,Curves_Table,Escalation!$D$291),VLOOKUP($A68,Curves_Table,Escalation!$E$291))</f>
        <v>2.3270624605217</v>
      </c>
      <c r="I68" s="394" t="n">
        <f aca="false">G68/H68</f>
        <v>3717.18248496676</v>
      </c>
      <c r="J68" s="1579" t="str">
        <f aca="false">IF(MONTH($A68)=12,SUM(I57:I68)," ")</f>
        <v> </v>
      </c>
      <c r="L68" s="1595" t="n">
        <f aca="false">IF($A68&gt;Endyr,0,VLOOKUP($A68,Tariff_Table,Tariff!$H$33))</f>
        <v>6104.93</v>
      </c>
      <c r="M68" s="1565" t="n">
        <f aca="false">D68</f>
        <v>2.42851660770782</v>
      </c>
      <c r="N68" s="1563" t="n">
        <f aca="false">L68*M68</f>
        <v>14825.9238938937</v>
      </c>
      <c r="O68" s="1540" t="n">
        <f aca="false">$F68</f>
        <v>480</v>
      </c>
      <c r="P68" s="1563" t="n">
        <f aca="false">N68*O68/1000</f>
        <v>7116.44346906898</v>
      </c>
      <c r="Q68" s="1565" t="n">
        <f aca="false">$H68</f>
        <v>2.3270624605217</v>
      </c>
      <c r="R68" s="394" t="n">
        <f aca="false">P68/Q68</f>
        <v>3058.1231014631</v>
      </c>
      <c r="S68" s="1579" t="str">
        <f aca="false">IF(MONTH($A68)=12,SUM(R57:R68)," ")</f>
        <v> </v>
      </c>
      <c r="U68" s="1595" t="n">
        <f aca="false">IF($A68&gt;Endyr,0,VLOOKUP($A68,Tariff_Table,Tariff!$I$33))</f>
        <v>2.3</v>
      </c>
      <c r="V68" s="1565" t="n">
        <f aca="false">D68</f>
        <v>2.42851660770782</v>
      </c>
      <c r="W68" s="1563" t="n">
        <f aca="false">U68*V68</f>
        <v>5.58558819772798</v>
      </c>
      <c r="X68" s="397" t="n">
        <f aca="false">VLOOKUP($A68,Plant_Table,'Plant Operations'!$M$270)</f>
        <v>289336.32</v>
      </c>
      <c r="Y68" s="630" t="n">
        <f aca="false">W68*X68/1000</f>
        <v>1616.11353416605</v>
      </c>
      <c r="Z68" s="1565" t="n">
        <f aca="false">$H68</f>
        <v>2.3270624605217</v>
      </c>
      <c r="AA68" s="1565" t="n">
        <f aca="false">H68</f>
        <v>2.3270624605217</v>
      </c>
      <c r="AB68" s="1609" t="n">
        <f aca="false">W68/AA68</f>
        <v>2.40027429108017</v>
      </c>
      <c r="AC68" s="1566" t="n">
        <f aca="false">Y68/Z68</f>
        <v>694.486530371744</v>
      </c>
      <c r="AD68" s="1567" t="str">
        <f aca="false">IF(MONTH($A68)=12,SUM(AC57:AC68)," ")</f>
        <v> </v>
      </c>
    </row>
    <row r="69" customFormat="false" ht="12.75" hidden="false" customHeight="false" outlineLevel="0" collapsed="false">
      <c r="A69" s="1538" t="n">
        <f aca="false">'Annex 12-Gas'!A69</f>
        <v>38687</v>
      </c>
      <c r="C69" s="1595" t="n">
        <f aca="false">IF($A69&gt;Endyr,0,VLOOKUP($A69,Tariff_Table,Tariff!$G$33))</f>
        <v>7420.61</v>
      </c>
      <c r="D69" s="1565" t="n">
        <f aca="false">VLOOKUP($A69,Curves_Table,Escalation!$AW$291)</f>
        <v>2.42851660770782</v>
      </c>
      <c r="E69" s="1563" t="n">
        <f aca="false">C69*D69</f>
        <v>18021.0746243227</v>
      </c>
      <c r="F69" s="1540" t="n">
        <f aca="false">VLOOKUP($A69,Plant_Table,'Plant Operations'!$C$270)</f>
        <v>480</v>
      </c>
      <c r="G69" s="1563" t="n">
        <f aca="false">E69*F69/1000</f>
        <v>8650.11581967491</v>
      </c>
      <c r="H69" s="1565" t="n">
        <f aca="false">IF(Assm!$L$74=0,VLOOKUP($A69,Curves_Table,Escalation!$D$291),VLOOKUP($A69,Curves_Table,Escalation!$E$291))</f>
        <v>2.33250871825894</v>
      </c>
      <c r="I69" s="394" t="n">
        <f aca="false">G69/H69</f>
        <v>3708.50310310165</v>
      </c>
      <c r="J69" s="1579" t="n">
        <f aca="false">IF(MONTH($A69)=12,SUM(I58:I69)," ")</f>
        <v>43999.392367156</v>
      </c>
      <c r="L69" s="1595" t="n">
        <f aca="false">IF($A69&gt;Endyr,0,VLOOKUP($A69,Tariff_Table,Tariff!$H$33))</f>
        <v>6104.93</v>
      </c>
      <c r="M69" s="1565" t="n">
        <f aca="false">D69</f>
        <v>2.42851660770782</v>
      </c>
      <c r="N69" s="1563" t="n">
        <f aca="false">L69*M69</f>
        <v>14825.9238938937</v>
      </c>
      <c r="O69" s="1540" t="n">
        <f aca="false">$F69</f>
        <v>480</v>
      </c>
      <c r="P69" s="1563" t="n">
        <f aca="false">N69*O69/1000</f>
        <v>7116.44346906898</v>
      </c>
      <c r="Q69" s="1565" t="n">
        <f aca="false">$H69</f>
        <v>2.33250871825894</v>
      </c>
      <c r="R69" s="394" t="n">
        <f aca="false">P69/Q69</f>
        <v>3050.98258084151</v>
      </c>
      <c r="S69" s="1579" t="n">
        <f aca="false">IF(MONTH($A69)=12,SUM(R58:R69)," ")</f>
        <v>36251.484447305</v>
      </c>
      <c r="U69" s="1595" t="n">
        <f aca="false">IF($A69&gt;Endyr,0,VLOOKUP($A69,Tariff_Table,Tariff!$I$33))</f>
        <v>2.3</v>
      </c>
      <c r="V69" s="1565" t="n">
        <f aca="false">D69</f>
        <v>2.42851660770782</v>
      </c>
      <c r="W69" s="1563" t="n">
        <f aca="false">U69*V69</f>
        <v>5.58558819772798</v>
      </c>
      <c r="X69" s="397" t="n">
        <f aca="false">VLOOKUP($A69,Plant_Table,'Plant Operations'!$M$270)</f>
        <v>298980.864</v>
      </c>
      <c r="Y69" s="630" t="n">
        <f aca="false">W69*X69/1000</f>
        <v>1669.98398530492</v>
      </c>
      <c r="Z69" s="1565" t="n">
        <f aca="false">$H69</f>
        <v>2.33250871825894</v>
      </c>
      <c r="AA69" s="1565" t="n">
        <f aca="false">H69</f>
        <v>2.33250871825894</v>
      </c>
      <c r="AB69" s="1609" t="n">
        <f aca="false">W69/AA69</f>
        <v>2.39466980509177</v>
      </c>
      <c r="AC69" s="1566" t="n">
        <f aca="false">Y69/Z69</f>
        <v>715.960447321049</v>
      </c>
      <c r="AD69" s="1567" t="n">
        <f aca="false">IF(MONTH($A69)=12,SUM(AC58:AC69)," ")</f>
        <v>8344.28144470347</v>
      </c>
    </row>
    <row r="70" customFormat="false" ht="12.75" hidden="false" customHeight="false" outlineLevel="0" collapsed="false">
      <c r="A70" s="1538" t="n">
        <f aca="false">'Annex 12-Gas'!A70</f>
        <v>38718</v>
      </c>
      <c r="C70" s="1595" t="n">
        <f aca="false">IF($A70&gt;Endyr,0,VLOOKUP($A70,Tariff_Table,Tariff!$G$33))</f>
        <v>7420.61</v>
      </c>
      <c r="D70" s="1565" t="n">
        <f aca="false">VLOOKUP($A70,Curves_Table,Escalation!$AW$291)</f>
        <v>2.42851660770782</v>
      </c>
      <c r="E70" s="1563" t="n">
        <f aca="false">C70*D70</f>
        <v>18021.0746243227</v>
      </c>
      <c r="F70" s="1540" t="n">
        <f aca="false">VLOOKUP($A70,Plant_Table,'Plant Operations'!$C$270)</f>
        <v>480</v>
      </c>
      <c r="G70" s="1563" t="n">
        <f aca="false">E70*F70/1000</f>
        <v>8650.11581967491</v>
      </c>
      <c r="H70" s="1565" t="n">
        <f aca="false">IF(Assm!$L$74=0,VLOOKUP($A70,Curves_Table,Escalation!$D$291),VLOOKUP($A70,Curves_Table,Escalation!$E$291))</f>
        <v>2.33788261742251</v>
      </c>
      <c r="I70" s="394" t="n">
        <f aca="false">G70/H70</f>
        <v>3699.97867096148</v>
      </c>
      <c r="J70" s="1579" t="str">
        <f aca="false">IF(MONTH($A70)=12,SUM(I59:I70)," ")</f>
        <v> </v>
      </c>
      <c r="L70" s="1595" t="n">
        <f aca="false">IF($A70&gt;Endyr,0,VLOOKUP($A70,Tariff_Table,Tariff!$H$33))</f>
        <v>6104.93</v>
      </c>
      <c r="M70" s="1565" t="n">
        <f aca="false">D70</f>
        <v>2.42851660770782</v>
      </c>
      <c r="N70" s="1563" t="n">
        <f aca="false">L70*M70</f>
        <v>14825.9238938937</v>
      </c>
      <c r="O70" s="1540" t="n">
        <f aca="false">$F70</f>
        <v>480</v>
      </c>
      <c r="P70" s="1563" t="n">
        <f aca="false">N70*O70/1000</f>
        <v>7116.44346906898</v>
      </c>
      <c r="Q70" s="1565" t="n">
        <f aca="false">$H70</f>
        <v>2.33788261742251</v>
      </c>
      <c r="R70" s="394" t="n">
        <f aca="false">P70/Q70</f>
        <v>3043.96953723655</v>
      </c>
      <c r="S70" s="1579" t="str">
        <f aca="false">IF(MONTH($A70)=12,SUM(R59:R70)," ")</f>
        <v> </v>
      </c>
      <c r="U70" s="1595" t="n">
        <f aca="false">IF($A70&gt;Endyr,0,VLOOKUP($A70,Tariff_Table,Tariff!$I$33))</f>
        <v>2.3</v>
      </c>
      <c r="V70" s="1565" t="n">
        <f aca="false">D70</f>
        <v>2.42851660770782</v>
      </c>
      <c r="W70" s="1563" t="n">
        <f aca="false">U70*V70</f>
        <v>5.58558819772798</v>
      </c>
      <c r="X70" s="397" t="n">
        <f aca="false">VLOOKUP($A70,Plant_Table,'Plant Operations'!$M$270)</f>
        <v>298980.864</v>
      </c>
      <c r="Y70" s="630" t="n">
        <f aca="false">W70*X70/1000</f>
        <v>1669.98398530492</v>
      </c>
      <c r="Z70" s="1565" t="n">
        <f aca="false">$H70</f>
        <v>2.33788261742251</v>
      </c>
      <c r="AA70" s="1565" t="n">
        <f aca="false">H70</f>
        <v>2.33788261742251</v>
      </c>
      <c r="AB70" s="1609" t="n">
        <f aca="false">W70/AA70</f>
        <v>2.38916537387409</v>
      </c>
      <c r="AC70" s="1566" t="n">
        <f aca="false">Y70/Z70</f>
        <v>714.314727719757</v>
      </c>
      <c r="AD70" s="1567" t="str">
        <f aca="false">IF(MONTH($A70)=12,SUM(AC59:AC70)," ")</f>
        <v> </v>
      </c>
    </row>
    <row r="71" customFormat="false" ht="12.75" hidden="false" customHeight="false" outlineLevel="0" collapsed="false">
      <c r="A71" s="1538" t="n">
        <f aca="false">'Annex 12-Gas'!A71</f>
        <v>38749</v>
      </c>
      <c r="C71" s="1595" t="n">
        <f aca="false">IF($A71&gt;Endyr,0,VLOOKUP($A71,Tariff_Table,Tariff!$G$33))</f>
        <v>7420.61</v>
      </c>
      <c r="D71" s="1565" t="n">
        <f aca="false">VLOOKUP($A71,Curves_Table,Escalation!$AW$291)</f>
        <v>2.42851660770782</v>
      </c>
      <c r="E71" s="1563" t="n">
        <f aca="false">C71*D71</f>
        <v>18021.0746243227</v>
      </c>
      <c r="F71" s="1540" t="n">
        <f aca="false">VLOOKUP($A71,Plant_Table,'Plant Operations'!$C$270)</f>
        <v>480</v>
      </c>
      <c r="G71" s="1563" t="n">
        <f aca="false">E71*F71/1000</f>
        <v>8650.11581967491</v>
      </c>
      <c r="H71" s="1565" t="n">
        <f aca="false">IF(Assm!$L$74=0,VLOOKUP($A71,Curves_Table,Escalation!$D$291),VLOOKUP($A71,Curves_Table,Escalation!$E$291))</f>
        <v>2.34326889758685</v>
      </c>
      <c r="I71" s="394" t="n">
        <f aca="false">G71/H71</f>
        <v>3691.47383323484</v>
      </c>
      <c r="J71" s="1579" t="str">
        <f aca="false">IF(MONTH($A71)=12,SUM(I60:I71)," ")</f>
        <v> </v>
      </c>
      <c r="L71" s="1595" t="n">
        <f aca="false">IF($A71&gt;Endyr,0,VLOOKUP($A71,Tariff_Table,Tariff!$H$33))</f>
        <v>6104.93</v>
      </c>
      <c r="M71" s="1565" t="n">
        <f aca="false">D71</f>
        <v>2.42851660770782</v>
      </c>
      <c r="N71" s="1563" t="n">
        <f aca="false">L71*M71</f>
        <v>14825.9238938937</v>
      </c>
      <c r="O71" s="1540" t="n">
        <f aca="false">$F71</f>
        <v>480</v>
      </c>
      <c r="P71" s="1563" t="n">
        <f aca="false">N71*O71/1000</f>
        <v>7116.44346906898</v>
      </c>
      <c r="Q71" s="1565" t="n">
        <f aca="false">$H71</f>
        <v>2.34326889758685</v>
      </c>
      <c r="R71" s="394" t="n">
        <f aca="false">P71/Q71</f>
        <v>3036.97261394014</v>
      </c>
      <c r="S71" s="1579" t="str">
        <f aca="false">IF(MONTH($A71)=12,SUM(R60:R71)," ")</f>
        <v> </v>
      </c>
      <c r="U71" s="1595" t="n">
        <f aca="false">IF($A71&gt;Endyr,0,VLOOKUP($A71,Tariff_Table,Tariff!$I$33))</f>
        <v>2.3</v>
      </c>
      <c r="V71" s="1565" t="n">
        <f aca="false">D71</f>
        <v>2.42851660770782</v>
      </c>
      <c r="W71" s="1563" t="n">
        <f aca="false">U71*V71</f>
        <v>5.58558819772798</v>
      </c>
      <c r="X71" s="397" t="n">
        <f aca="false">VLOOKUP($A71,Plant_Table,'Plant Operations'!$M$270)</f>
        <v>270047.232</v>
      </c>
      <c r="Y71" s="630" t="n">
        <f aca="false">W71*X71/1000</f>
        <v>1508.37263188831</v>
      </c>
      <c r="Z71" s="1565" t="n">
        <f aca="false">$H71</f>
        <v>2.34326889758685</v>
      </c>
      <c r="AA71" s="1565" t="n">
        <f aca="false">H71</f>
        <v>2.34326889758685</v>
      </c>
      <c r="AB71" s="1609" t="n">
        <f aca="false">W71/AA71</f>
        <v>2.38367359524131</v>
      </c>
      <c r="AC71" s="1566" t="n">
        <f aca="false">Y71/Z71</f>
        <v>643.704456386403</v>
      </c>
      <c r="AD71" s="1567" t="str">
        <f aca="false">IF(MONTH($A71)=12,SUM(AC60:AC71)," ")</f>
        <v> </v>
      </c>
    </row>
    <row r="72" customFormat="false" ht="12.75" hidden="false" customHeight="false" outlineLevel="0" collapsed="false">
      <c r="A72" s="1538" t="n">
        <f aca="false">'Annex 12-Gas'!A72</f>
        <v>38777</v>
      </c>
      <c r="C72" s="1595" t="n">
        <f aca="false">IF($A72&gt;Endyr,0,VLOOKUP($A72,Tariff_Table,Tariff!$G$33))</f>
        <v>7420.61</v>
      </c>
      <c r="D72" s="1565" t="n">
        <f aca="false">VLOOKUP($A72,Curves_Table,Escalation!$AW$291)</f>
        <v>2.42851660770782</v>
      </c>
      <c r="E72" s="1563" t="n">
        <f aca="false">C72*D72</f>
        <v>18021.0746243227</v>
      </c>
      <c r="F72" s="1540" t="n">
        <f aca="false">VLOOKUP($A72,Plant_Table,'Plant Operations'!$C$270)</f>
        <v>480</v>
      </c>
      <c r="G72" s="1563" t="n">
        <f aca="false">E72*F72/1000</f>
        <v>8650.11581967491</v>
      </c>
      <c r="H72" s="1565" t="n">
        <f aca="false">IF(Assm!$L$74=0,VLOOKUP($A72,Curves_Table,Escalation!$D$291),VLOOKUP($A72,Curves_Table,Escalation!$E$291))</f>
        <v>2.34866758727671</v>
      </c>
      <c r="I72" s="394" t="n">
        <f aca="false">G72/H72</f>
        <v>3682.98854488163</v>
      </c>
      <c r="J72" s="1579" t="str">
        <f aca="false">IF(MONTH($A72)=12,SUM(I61:I72)," ")</f>
        <v> </v>
      </c>
      <c r="L72" s="1595" t="n">
        <f aca="false">IF($A72&gt;Endyr,0,VLOOKUP($A72,Tariff_Table,Tariff!$H$33))</f>
        <v>6104.93</v>
      </c>
      <c r="M72" s="1565" t="n">
        <f aca="false">D72</f>
        <v>2.42851660770782</v>
      </c>
      <c r="N72" s="1563" t="n">
        <f aca="false">L72*M72</f>
        <v>14825.9238938937</v>
      </c>
      <c r="O72" s="1540" t="n">
        <f aca="false">$F72</f>
        <v>480</v>
      </c>
      <c r="P72" s="1563" t="n">
        <f aca="false">N72*O72/1000</f>
        <v>7116.44346906898</v>
      </c>
      <c r="Q72" s="1565" t="n">
        <f aca="false">$H72</f>
        <v>2.34866758727671</v>
      </c>
      <c r="R72" s="394" t="n">
        <f aca="false">P72/Q72</f>
        <v>3029.99177389786</v>
      </c>
      <c r="S72" s="1579" t="str">
        <f aca="false">IF(MONTH($A72)=12,SUM(R61:R72)," ")</f>
        <v> </v>
      </c>
      <c r="U72" s="1595" t="n">
        <f aca="false">IF($A72&gt;Endyr,0,VLOOKUP($A72,Tariff_Table,Tariff!$I$33))</f>
        <v>2.3</v>
      </c>
      <c r="V72" s="1565" t="n">
        <f aca="false">D72</f>
        <v>2.42851660770782</v>
      </c>
      <c r="W72" s="1563" t="n">
        <f aca="false">U72*V72</f>
        <v>5.58558819772798</v>
      </c>
      <c r="X72" s="397" t="n">
        <f aca="false">VLOOKUP($A72,Plant_Table,'Plant Operations'!$M$270)</f>
        <v>298980.864</v>
      </c>
      <c r="Y72" s="630" t="n">
        <f aca="false">W72*X72/1000</f>
        <v>1669.98398530492</v>
      </c>
      <c r="Z72" s="1565" t="n">
        <f aca="false">$H72</f>
        <v>2.34866758727671</v>
      </c>
      <c r="AA72" s="1565" t="n">
        <f aca="false">H72</f>
        <v>2.34866758727671</v>
      </c>
      <c r="AB72" s="1609" t="n">
        <f aca="false">W72/AA72</f>
        <v>2.37819444010997</v>
      </c>
      <c r="AC72" s="1566" t="n">
        <f aca="false">Y72/Z72</f>
        <v>711.034628464076</v>
      </c>
      <c r="AD72" s="1567" t="str">
        <f aca="false">IF(MONTH($A72)=12,SUM(AC61:AC72)," ")</f>
        <v> </v>
      </c>
    </row>
    <row r="73" customFormat="false" ht="12.75" hidden="false" customHeight="false" outlineLevel="0" collapsed="false">
      <c r="A73" s="1538" t="n">
        <f aca="false">'Annex 12-Gas'!A73</f>
        <v>38808</v>
      </c>
      <c r="C73" s="1595" t="n">
        <f aca="false">IF($A73&gt;Endyr,0,VLOOKUP($A73,Tariff_Table,Tariff!$G$33))</f>
        <v>7420.61</v>
      </c>
      <c r="D73" s="1565" t="n">
        <f aca="false">VLOOKUP($A73,Curves_Table,Escalation!$AW$291)</f>
        <v>2.42851660770782</v>
      </c>
      <c r="E73" s="1563" t="n">
        <f aca="false">C73*D73</f>
        <v>18021.0746243227</v>
      </c>
      <c r="F73" s="1540" t="n">
        <f aca="false">VLOOKUP($A73,Plant_Table,'Plant Operations'!$C$270)</f>
        <v>480</v>
      </c>
      <c r="G73" s="1563" t="n">
        <f aca="false">E73*F73/1000</f>
        <v>8650.11581967491</v>
      </c>
      <c r="H73" s="1565" t="n">
        <f aca="false">IF(Assm!$L$74=0,VLOOKUP($A73,Curves_Table,Escalation!$D$291),VLOOKUP($A73,Curves_Table,Escalation!$E$291))</f>
        <v>2.35407871508258</v>
      </c>
      <c r="I73" s="394" t="n">
        <f aca="false">G73/H73</f>
        <v>3674.52276096532</v>
      </c>
      <c r="J73" s="1579" t="str">
        <f aca="false">IF(MONTH($A73)=12,SUM(I62:I73)," ")</f>
        <v> </v>
      </c>
      <c r="L73" s="1595" t="n">
        <f aca="false">IF($A73&gt;Endyr,0,VLOOKUP($A73,Tariff_Table,Tariff!$H$33))</f>
        <v>6104.93</v>
      </c>
      <c r="M73" s="1565" t="n">
        <f aca="false">D73</f>
        <v>2.42851660770782</v>
      </c>
      <c r="N73" s="1563" t="n">
        <f aca="false">L73*M73</f>
        <v>14825.9238938937</v>
      </c>
      <c r="O73" s="1540" t="n">
        <f aca="false">$F73</f>
        <v>480</v>
      </c>
      <c r="P73" s="1563" t="n">
        <f aca="false">N73*O73/1000</f>
        <v>7116.44346906898</v>
      </c>
      <c r="Q73" s="1565" t="n">
        <f aca="false">$H73</f>
        <v>2.35407871508258</v>
      </c>
      <c r="R73" s="394" t="n">
        <f aca="false">P73/Q73</f>
        <v>3023.02698014044</v>
      </c>
      <c r="S73" s="1579" t="str">
        <f aca="false">IF(MONTH($A73)=12,SUM(R62:R73)," ")</f>
        <v> </v>
      </c>
      <c r="U73" s="1595" t="n">
        <f aca="false">IF($A73&gt;Endyr,0,VLOOKUP($A73,Tariff_Table,Tariff!$I$33))</f>
        <v>2.3</v>
      </c>
      <c r="V73" s="1565" t="n">
        <f aca="false">D73</f>
        <v>2.42851660770782</v>
      </c>
      <c r="W73" s="1563" t="n">
        <f aca="false">U73*V73</f>
        <v>5.58558819772798</v>
      </c>
      <c r="X73" s="397" t="n">
        <f aca="false">VLOOKUP($A73,Plant_Table,'Plant Operations'!$M$270)</f>
        <v>289336.32</v>
      </c>
      <c r="Y73" s="630" t="n">
        <f aca="false">W73*X73/1000</f>
        <v>1616.11353416605</v>
      </c>
      <c r="Z73" s="1565" t="n">
        <f aca="false">$H73</f>
        <v>2.35407871508258</v>
      </c>
      <c r="AA73" s="1565" t="n">
        <f aca="false">H73</f>
        <v>2.35407871508258</v>
      </c>
      <c r="AB73" s="1609" t="n">
        <f aca="false">W73/AA73</f>
        <v>2.37272787946348</v>
      </c>
      <c r="AC73" s="1566" t="n">
        <f aca="false">Y73/Z73</f>
        <v>686.516353005366</v>
      </c>
      <c r="AD73" s="1567" t="str">
        <f aca="false">IF(MONTH($A73)=12,SUM(AC62:AC73)," ")</f>
        <v> </v>
      </c>
    </row>
    <row r="74" customFormat="false" ht="12.75" hidden="false" customHeight="false" outlineLevel="0" collapsed="false">
      <c r="A74" s="1538" t="n">
        <f aca="false">'Annex 12-Gas'!A74</f>
        <v>38838</v>
      </c>
      <c r="C74" s="1595" t="n">
        <f aca="false">IF($A74&gt;Endyr,0,VLOOKUP($A74,Tariff_Table,Tariff!$G$33))</f>
        <v>7429.43</v>
      </c>
      <c r="D74" s="1565" t="n">
        <f aca="false">VLOOKUP($A74,Curves_Table,Escalation!$AW$291)</f>
        <v>2.61065535328591</v>
      </c>
      <c r="E74" s="1563" t="n">
        <f aca="false">C74*D74</f>
        <v>19395.6812013629</v>
      </c>
      <c r="F74" s="1540" t="n">
        <f aca="false">VLOOKUP($A74,Plant_Table,'Plant Operations'!$C$270)</f>
        <v>480</v>
      </c>
      <c r="G74" s="1563" t="n">
        <f aca="false">E74*F74/1000</f>
        <v>9309.9269766542</v>
      </c>
      <c r="H74" s="1565" t="n">
        <f aca="false">IF(Assm!$L$74=0,VLOOKUP($A74,Curves_Table,Escalation!$D$291),VLOOKUP($A74,Curves_Table,Escalation!$E$291))</f>
        <v>2.35950230966078</v>
      </c>
      <c r="I74" s="394" t="n">
        <f aca="false">G74/H74</f>
        <v>3945.71640745401</v>
      </c>
      <c r="J74" s="1579" t="str">
        <f aca="false">IF(MONTH($A74)=12,SUM(I63:I74)," ")</f>
        <v> </v>
      </c>
      <c r="L74" s="1595" t="n">
        <f aca="false">IF($A74&gt;Endyr,0,VLOOKUP($A74,Tariff_Table,Tariff!$H$33))</f>
        <v>6133.73</v>
      </c>
      <c r="M74" s="1565" t="n">
        <f aca="false">D74</f>
        <v>2.61065535328591</v>
      </c>
      <c r="N74" s="1563" t="n">
        <f aca="false">L74*M74</f>
        <v>16013.0550601104</v>
      </c>
      <c r="O74" s="1540" t="n">
        <f aca="false">$F74</f>
        <v>480</v>
      </c>
      <c r="P74" s="1563" t="n">
        <f aca="false">N74*O74/1000</f>
        <v>7686.26642885297</v>
      </c>
      <c r="Q74" s="1565" t="n">
        <f aca="false">$H74</f>
        <v>2.35950230966078</v>
      </c>
      <c r="R74" s="394" t="n">
        <f aca="false">P74/Q74</f>
        <v>3257.57953165894</v>
      </c>
      <c r="S74" s="1579" t="str">
        <f aca="false">IF(MONTH($A74)=12,SUM(R63:R74)," ")</f>
        <v> </v>
      </c>
      <c r="U74" s="1595" t="n">
        <f aca="false">IF($A74&gt;Endyr,0,VLOOKUP($A74,Tariff_Table,Tariff!$I$33))</f>
        <v>2.31</v>
      </c>
      <c r="V74" s="1565" t="n">
        <f aca="false">D74</f>
        <v>2.61065535328591</v>
      </c>
      <c r="W74" s="1563" t="n">
        <f aca="false">U74*V74</f>
        <v>6.03061386609044</v>
      </c>
      <c r="X74" s="397" t="n">
        <f aca="false">VLOOKUP($A74,Plant_Table,'Plant Operations'!$M$270)</f>
        <v>298980.864</v>
      </c>
      <c r="Y74" s="630" t="n">
        <f aca="false">W74*X74/1000</f>
        <v>1803.0381441341</v>
      </c>
      <c r="Z74" s="1565" t="n">
        <f aca="false">$H74</f>
        <v>2.35950230966078</v>
      </c>
      <c r="AA74" s="1565" t="n">
        <f aca="false">H74</f>
        <v>2.35950230966078</v>
      </c>
      <c r="AB74" s="1609" t="n">
        <f aca="false">W74/AA74</f>
        <v>2.55588385796386</v>
      </c>
      <c r="AC74" s="1566" t="n">
        <f aca="false">Y74/Z74</f>
        <v>764.160364137688</v>
      </c>
      <c r="AD74" s="1567" t="str">
        <f aca="false">IF(MONTH($A74)=12,SUM(AC63:AC74)," ")</f>
        <v> </v>
      </c>
    </row>
    <row r="75" customFormat="false" ht="12.75" hidden="false" customHeight="false" outlineLevel="0" collapsed="false">
      <c r="A75" s="1538" t="n">
        <f aca="false">'Annex 12-Gas'!A75</f>
        <v>38869</v>
      </c>
      <c r="C75" s="1595" t="n">
        <f aca="false">IF($A75&gt;Endyr,0,VLOOKUP($A75,Tariff_Table,Tariff!$G$33))</f>
        <v>7429.43</v>
      </c>
      <c r="D75" s="1565" t="n">
        <f aca="false">VLOOKUP($A75,Curves_Table,Escalation!$AW$291)</f>
        <v>2.61065535328591</v>
      </c>
      <c r="E75" s="1563" t="n">
        <f aca="false">C75*D75</f>
        <v>19395.6812013629</v>
      </c>
      <c r="F75" s="1540" t="n">
        <f aca="false">VLOOKUP($A75,Plant_Table,'Plant Operations'!$C$270)</f>
        <v>480</v>
      </c>
      <c r="G75" s="1563" t="n">
        <f aca="false">E75*F75/1000</f>
        <v>9309.9269766542</v>
      </c>
      <c r="H75" s="1565" t="n">
        <f aca="false">IF(Assm!$L$74=0,VLOOKUP($A75,Curves_Table,Escalation!$D$291),VLOOKUP($A75,Curves_Table,Escalation!$E$291))</f>
        <v>2.36493839973371</v>
      </c>
      <c r="I75" s="394" t="n">
        <f aca="false">G75/H75</f>
        <v>3936.64671253276</v>
      </c>
      <c r="J75" s="1579" t="str">
        <f aca="false">IF(MONTH($A75)=12,SUM(I64:I75)," ")</f>
        <v> </v>
      </c>
      <c r="L75" s="1595" t="n">
        <f aca="false">IF($A75&gt;Endyr,0,VLOOKUP($A75,Tariff_Table,Tariff!$H$33))</f>
        <v>6133.73</v>
      </c>
      <c r="M75" s="1565" t="n">
        <f aca="false">D75</f>
        <v>2.61065535328591</v>
      </c>
      <c r="N75" s="1563" t="n">
        <f aca="false">L75*M75</f>
        <v>16013.0550601104</v>
      </c>
      <c r="O75" s="1540" t="n">
        <f aca="false">$F75</f>
        <v>480</v>
      </c>
      <c r="P75" s="1563" t="n">
        <f aca="false">N75*O75/1000</f>
        <v>7686.26642885297</v>
      </c>
      <c r="Q75" s="1565" t="n">
        <f aca="false">$H75</f>
        <v>2.36493839973371</v>
      </c>
      <c r="R75" s="394" t="n">
        <f aca="false">P75/Q75</f>
        <v>3250.09160057549</v>
      </c>
      <c r="S75" s="1579" t="str">
        <f aca="false">IF(MONTH($A75)=12,SUM(R64:R75)," ")</f>
        <v> </v>
      </c>
      <c r="U75" s="1595" t="n">
        <f aca="false">IF($A75&gt;Endyr,0,VLOOKUP($A75,Tariff_Table,Tariff!$I$33))</f>
        <v>2.31</v>
      </c>
      <c r="V75" s="1565" t="n">
        <f aca="false">D75</f>
        <v>2.61065535328591</v>
      </c>
      <c r="W75" s="1563" t="n">
        <f aca="false">U75*V75</f>
        <v>6.03061386609044</v>
      </c>
      <c r="X75" s="397" t="n">
        <f aca="false">VLOOKUP($A75,Plant_Table,'Plant Operations'!$M$270)</f>
        <v>289336.32</v>
      </c>
      <c r="Y75" s="630" t="n">
        <f aca="false">W75*X75/1000</f>
        <v>1744.87562335558</v>
      </c>
      <c r="Z75" s="1565" t="n">
        <f aca="false">$H75</f>
        <v>2.36493839973371</v>
      </c>
      <c r="AA75" s="1565" t="n">
        <f aca="false">H75</f>
        <v>2.36493839973371</v>
      </c>
      <c r="AB75" s="1609" t="n">
        <f aca="false">W75/AA75</f>
        <v>2.55000885721568</v>
      </c>
      <c r="AC75" s="1566" t="n">
        <f aca="false">Y75/Z75</f>
        <v>737.810178714191</v>
      </c>
      <c r="AD75" s="1567" t="str">
        <f aca="false">IF(MONTH($A75)=12,SUM(AC64:AC75)," ")</f>
        <v> </v>
      </c>
    </row>
    <row r="76" customFormat="false" ht="12.75" hidden="false" customHeight="false" outlineLevel="0" collapsed="false">
      <c r="A76" s="1538" t="n">
        <f aca="false">'Annex 12-Gas'!A76</f>
        <v>38899</v>
      </c>
      <c r="C76" s="1595" t="n">
        <f aca="false">IF($A76&gt;Endyr,0,VLOOKUP($A76,Tariff_Table,Tariff!$G$33))</f>
        <v>7429.43</v>
      </c>
      <c r="D76" s="1565" t="n">
        <f aca="false">VLOOKUP($A76,Curves_Table,Escalation!$AW$291)</f>
        <v>2.61065535328591</v>
      </c>
      <c r="E76" s="1563" t="n">
        <f aca="false">C76*D76</f>
        <v>19395.6812013629</v>
      </c>
      <c r="F76" s="1540" t="n">
        <f aca="false">VLOOKUP($A76,Plant_Table,'Plant Operations'!$C$270)</f>
        <v>480</v>
      </c>
      <c r="G76" s="1563" t="n">
        <f aca="false">E76*F76/1000</f>
        <v>9309.9269766542</v>
      </c>
      <c r="H76" s="1565" t="n">
        <f aca="false">IF(Assm!$L$74=0,VLOOKUP($A76,Curves_Table,Escalation!$D$291),VLOOKUP($A76,Curves_Table,Escalation!$E$291))</f>
        <v>2.3703870140899</v>
      </c>
      <c r="I76" s="394" t="n">
        <f aca="false">G76/H76</f>
        <v>3927.59786537588</v>
      </c>
      <c r="J76" s="1579" t="str">
        <f aca="false">IF(MONTH($A76)=12,SUM(I65:I76)," ")</f>
        <v> </v>
      </c>
      <c r="L76" s="1595" t="n">
        <f aca="false">IF($A76&gt;Endyr,0,VLOOKUP($A76,Tariff_Table,Tariff!$H$33))</f>
        <v>6133.73</v>
      </c>
      <c r="M76" s="1565" t="n">
        <f aca="false">D76</f>
        <v>2.61065535328591</v>
      </c>
      <c r="N76" s="1563" t="n">
        <f aca="false">L76*M76</f>
        <v>16013.0550601104</v>
      </c>
      <c r="O76" s="1540" t="n">
        <f aca="false">$F76</f>
        <v>480</v>
      </c>
      <c r="P76" s="1563" t="n">
        <f aca="false">N76*O76/1000</f>
        <v>7686.26642885297</v>
      </c>
      <c r="Q76" s="1565" t="n">
        <f aca="false">$H76</f>
        <v>2.3703870140899</v>
      </c>
      <c r="R76" s="394" t="n">
        <f aca="false">P76/Q76</f>
        <v>3242.62088138552</v>
      </c>
      <c r="S76" s="1579" t="str">
        <f aca="false">IF(MONTH($A76)=12,SUM(R65:R76)," ")</f>
        <v> </v>
      </c>
      <c r="U76" s="1595" t="n">
        <f aca="false">IF($A76&gt;Endyr,0,VLOOKUP($A76,Tariff_Table,Tariff!$I$33))</f>
        <v>2.31</v>
      </c>
      <c r="V76" s="1565" t="n">
        <f aca="false">D76</f>
        <v>2.61065535328591</v>
      </c>
      <c r="W76" s="1563" t="n">
        <f aca="false">U76*V76</f>
        <v>6.03061386609044</v>
      </c>
      <c r="X76" s="397" t="n">
        <f aca="false">VLOOKUP($A76,Plant_Table,'Plant Operations'!$M$270)</f>
        <v>298980.864</v>
      </c>
      <c r="Y76" s="630" t="n">
        <f aca="false">W76*X76/1000</f>
        <v>1803.0381441341</v>
      </c>
      <c r="Z76" s="1565" t="n">
        <f aca="false">$H76</f>
        <v>2.3703870140899</v>
      </c>
      <c r="AA76" s="1565" t="n">
        <f aca="false">H76</f>
        <v>2.3703870140899</v>
      </c>
      <c r="AB76" s="1609" t="n">
        <f aca="false">W76/AA76</f>
        <v>2.54414736085022</v>
      </c>
      <c r="AC76" s="1566" t="n">
        <f aca="false">Y76/Z76</f>
        <v>760.651376090318</v>
      </c>
      <c r="AD76" s="1567" t="str">
        <f aca="false">IF(MONTH($A76)=12,SUM(AC65:AC76)," ")</f>
        <v> </v>
      </c>
    </row>
    <row r="77" customFormat="false" ht="12.75" hidden="false" customHeight="false" outlineLevel="0" collapsed="false">
      <c r="A77" s="1538" t="n">
        <f aca="false">'Annex 12-Gas'!A77</f>
        <v>38930</v>
      </c>
      <c r="C77" s="1595" t="n">
        <f aca="false">IF($A77&gt;Endyr,0,VLOOKUP($A77,Tariff_Table,Tariff!$G$33))</f>
        <v>7429.43</v>
      </c>
      <c r="D77" s="1565" t="n">
        <f aca="false">VLOOKUP($A77,Curves_Table,Escalation!$AW$291)</f>
        <v>2.61065535328591</v>
      </c>
      <c r="E77" s="1563" t="n">
        <f aca="false">C77*D77</f>
        <v>19395.6812013629</v>
      </c>
      <c r="F77" s="1540" t="n">
        <f aca="false">VLOOKUP($A77,Plant_Table,'Plant Operations'!$C$270)</f>
        <v>480</v>
      </c>
      <c r="G77" s="1563" t="n">
        <f aca="false">E77*F77/1000</f>
        <v>9309.9269766542</v>
      </c>
      <c r="H77" s="1565" t="n">
        <f aca="false">IF(Assm!$L$74=0,VLOOKUP($A77,Curves_Table,Escalation!$D$291),VLOOKUP($A77,Curves_Table,Escalation!$E$291))</f>
        <v>2.37584818158422</v>
      </c>
      <c r="I77" s="394" t="n">
        <f aca="false">G77/H77</f>
        <v>3918.56981806234</v>
      </c>
      <c r="J77" s="1579" t="str">
        <f aca="false">IF(MONTH($A77)=12,SUM(I66:I77)," ")</f>
        <v> </v>
      </c>
      <c r="L77" s="1595" t="n">
        <f aca="false">IF($A77&gt;Endyr,0,VLOOKUP($A77,Tariff_Table,Tariff!$H$33))</f>
        <v>6133.73</v>
      </c>
      <c r="M77" s="1565" t="n">
        <f aca="false">D77</f>
        <v>2.61065535328591</v>
      </c>
      <c r="N77" s="1563" t="n">
        <f aca="false">L77*M77</f>
        <v>16013.0550601104</v>
      </c>
      <c r="O77" s="1540" t="n">
        <f aca="false">$F77</f>
        <v>480</v>
      </c>
      <c r="P77" s="1563" t="n">
        <f aca="false">N77*O77/1000</f>
        <v>7686.26642885297</v>
      </c>
      <c r="Q77" s="1565" t="n">
        <f aca="false">$H77</f>
        <v>2.37584818158422</v>
      </c>
      <c r="R77" s="394" t="n">
        <f aca="false">P77/Q77</f>
        <v>3235.16733452546</v>
      </c>
      <c r="S77" s="1579" t="str">
        <f aca="false">IF(MONTH($A77)=12,SUM(R66:R77)," ")</f>
        <v> </v>
      </c>
      <c r="U77" s="1595" t="n">
        <f aca="false">IF($A77&gt;Endyr,0,VLOOKUP($A77,Tariff_Table,Tariff!$I$33))</f>
        <v>2.31</v>
      </c>
      <c r="V77" s="1565" t="n">
        <f aca="false">D77</f>
        <v>2.61065535328591</v>
      </c>
      <c r="W77" s="1563" t="n">
        <f aca="false">U77*V77</f>
        <v>6.03061386609044</v>
      </c>
      <c r="X77" s="397" t="n">
        <f aca="false">VLOOKUP($A77,Plant_Table,'Plant Operations'!$M$270)</f>
        <v>298980.864</v>
      </c>
      <c r="Y77" s="630" t="n">
        <f aca="false">W77*X77/1000</f>
        <v>1803.0381441341</v>
      </c>
      <c r="Z77" s="1565" t="n">
        <f aca="false">$H77</f>
        <v>2.37584818158422</v>
      </c>
      <c r="AA77" s="1565" t="n">
        <f aca="false">H77</f>
        <v>2.37584818158422</v>
      </c>
      <c r="AB77" s="1609" t="n">
        <f aca="false">W77/AA77</f>
        <v>2.53829933782605</v>
      </c>
      <c r="AC77" s="1566" t="n">
        <f aca="false">Y77/Z77</f>
        <v>758.90292911386</v>
      </c>
      <c r="AD77" s="1567" t="str">
        <f aca="false">IF(MONTH($A77)=12,SUM(AC66:AC77)," ")</f>
        <v> </v>
      </c>
    </row>
    <row r="78" customFormat="false" ht="12.75" hidden="false" customHeight="false" outlineLevel="0" collapsed="false">
      <c r="A78" s="1538" t="n">
        <f aca="false">'Annex 12-Gas'!A78</f>
        <v>38961</v>
      </c>
      <c r="C78" s="1595" t="n">
        <f aca="false">IF($A78&gt;Endyr,0,VLOOKUP($A78,Tariff_Table,Tariff!$G$33))</f>
        <v>7429.43</v>
      </c>
      <c r="D78" s="1565" t="n">
        <f aca="false">VLOOKUP($A78,Curves_Table,Escalation!$AW$291)</f>
        <v>2.61065535328591</v>
      </c>
      <c r="E78" s="1563" t="n">
        <f aca="false">C78*D78</f>
        <v>19395.6812013629</v>
      </c>
      <c r="F78" s="1540" t="n">
        <f aca="false">VLOOKUP($A78,Plant_Table,'Plant Operations'!$C$270)</f>
        <v>480</v>
      </c>
      <c r="G78" s="1563" t="n">
        <f aca="false">E78*F78/1000</f>
        <v>9309.9269766542</v>
      </c>
      <c r="H78" s="1565" t="n">
        <f aca="false">IF(Assm!$L$74=0,VLOOKUP($A78,Curves_Table,Escalation!$D$291),VLOOKUP($A78,Curves_Table,Escalation!$E$291))</f>
        <v>2.38132193113802</v>
      </c>
      <c r="I78" s="394" t="n">
        <f aca="false">G78/H78</f>
        <v>3909.56252278123</v>
      </c>
      <c r="J78" s="1579" t="str">
        <f aca="false">IF(MONTH($A78)=12,SUM(I67:I78)," ")</f>
        <v> </v>
      </c>
      <c r="L78" s="1595" t="n">
        <f aca="false">IF($A78&gt;Endyr,0,VLOOKUP($A78,Tariff_Table,Tariff!$H$33))</f>
        <v>6133.73</v>
      </c>
      <c r="M78" s="1565" t="n">
        <f aca="false">D78</f>
        <v>2.61065535328591</v>
      </c>
      <c r="N78" s="1563" t="n">
        <f aca="false">L78*M78</f>
        <v>16013.0550601104</v>
      </c>
      <c r="O78" s="1540" t="n">
        <f aca="false">$F78</f>
        <v>480</v>
      </c>
      <c r="P78" s="1563" t="n">
        <f aca="false">N78*O78/1000</f>
        <v>7686.26642885297</v>
      </c>
      <c r="Q78" s="1565" t="n">
        <f aca="false">$H78</f>
        <v>2.38132193113802</v>
      </c>
      <c r="R78" s="394" t="n">
        <f aca="false">P78/Q78</f>
        <v>3227.73092052269</v>
      </c>
      <c r="S78" s="1579" t="str">
        <f aca="false">IF(MONTH($A78)=12,SUM(R67:R78)," ")</f>
        <v> </v>
      </c>
      <c r="U78" s="1595" t="n">
        <f aca="false">IF($A78&gt;Endyr,0,VLOOKUP($A78,Tariff_Table,Tariff!$I$33))</f>
        <v>2.31</v>
      </c>
      <c r="V78" s="1565" t="n">
        <f aca="false">D78</f>
        <v>2.61065535328591</v>
      </c>
      <c r="W78" s="1563" t="n">
        <f aca="false">U78*V78</f>
        <v>6.03061386609044</v>
      </c>
      <c r="X78" s="397" t="n">
        <f aca="false">VLOOKUP($A78,Plant_Table,'Plant Operations'!$M$270)</f>
        <v>289336.32</v>
      </c>
      <c r="Y78" s="630" t="n">
        <f aca="false">W78*X78/1000</f>
        <v>1744.87562335558</v>
      </c>
      <c r="Z78" s="1565" t="n">
        <f aca="false">$H78</f>
        <v>2.38132193113802</v>
      </c>
      <c r="AA78" s="1565" t="n">
        <f aca="false">H78</f>
        <v>2.38132193113802</v>
      </c>
      <c r="AB78" s="1609" t="n">
        <f aca="false">W78/AA78</f>
        <v>2.53246475717311</v>
      </c>
      <c r="AC78" s="1566" t="n">
        <f aca="false">Y78/Z78</f>
        <v>732.734033370162</v>
      </c>
      <c r="AD78" s="1567" t="str">
        <f aca="false">IF(MONTH($A78)=12,SUM(AC67:AC78)," ")</f>
        <v> </v>
      </c>
    </row>
    <row r="79" customFormat="false" ht="12.75" hidden="false" customHeight="false" outlineLevel="0" collapsed="false">
      <c r="A79" s="1538" t="n">
        <f aca="false">'Annex 12-Gas'!A79</f>
        <v>38991</v>
      </c>
      <c r="C79" s="1595" t="n">
        <f aca="false">IF($A79&gt;Endyr,0,VLOOKUP($A79,Tariff_Table,Tariff!$G$33))</f>
        <v>7429.43</v>
      </c>
      <c r="D79" s="1565" t="n">
        <f aca="false">VLOOKUP($A79,Curves_Table,Escalation!$AW$291)</f>
        <v>2.61065535328591</v>
      </c>
      <c r="E79" s="1563" t="n">
        <f aca="false">C79*D79</f>
        <v>19395.6812013629</v>
      </c>
      <c r="F79" s="1540" t="n">
        <f aca="false">VLOOKUP($A79,Plant_Table,'Plant Operations'!$C$270)</f>
        <v>480</v>
      </c>
      <c r="G79" s="1563" t="n">
        <f aca="false">E79*F79/1000</f>
        <v>9309.9269766542</v>
      </c>
      <c r="H79" s="1565" t="n">
        <f aca="false">IF(Assm!$L$74=0,VLOOKUP($A79,Curves_Table,Escalation!$D$291),VLOOKUP($A79,Curves_Table,Escalation!$E$291))</f>
        <v>2.38680829173927</v>
      </c>
      <c r="I79" s="394" t="n">
        <f aca="false">G79/H79</f>
        <v>3900.57593183155</v>
      </c>
      <c r="J79" s="1579" t="str">
        <f aca="false">IF(MONTH($A79)=12,SUM(I68:I79)," ")</f>
        <v> </v>
      </c>
      <c r="L79" s="1595" t="n">
        <f aca="false">IF($A79&gt;Endyr,0,VLOOKUP($A79,Tariff_Table,Tariff!$H$33))</f>
        <v>6133.73</v>
      </c>
      <c r="M79" s="1565" t="n">
        <f aca="false">D79</f>
        <v>2.61065535328591</v>
      </c>
      <c r="N79" s="1563" t="n">
        <f aca="false">L79*M79</f>
        <v>16013.0550601104</v>
      </c>
      <c r="O79" s="1540" t="n">
        <f aca="false">$F79</f>
        <v>480</v>
      </c>
      <c r="P79" s="1563" t="n">
        <f aca="false">N79*O79/1000</f>
        <v>7686.26642885297</v>
      </c>
      <c r="Q79" s="1565" t="n">
        <f aca="false">$H79</f>
        <v>2.38680829173927</v>
      </c>
      <c r="R79" s="394" t="n">
        <f aca="false">P79/Q79</f>
        <v>3220.31159999531</v>
      </c>
      <c r="S79" s="1579" t="str">
        <f aca="false">IF(MONTH($A79)=12,SUM(R68:R79)," ")</f>
        <v> </v>
      </c>
      <c r="U79" s="1595" t="n">
        <f aca="false">IF($A79&gt;Endyr,0,VLOOKUP($A79,Tariff_Table,Tariff!$I$33))</f>
        <v>2.31</v>
      </c>
      <c r="V79" s="1565" t="n">
        <f aca="false">D79</f>
        <v>2.61065535328591</v>
      </c>
      <c r="W79" s="1563" t="n">
        <f aca="false">U79*V79</f>
        <v>6.03061386609044</v>
      </c>
      <c r="X79" s="397" t="n">
        <f aca="false">VLOOKUP($A79,Plant_Table,'Plant Operations'!$M$270)</f>
        <v>298980.864</v>
      </c>
      <c r="Y79" s="630" t="n">
        <f aca="false">W79*X79/1000</f>
        <v>1803.0381441341</v>
      </c>
      <c r="Z79" s="1565" t="n">
        <f aca="false">$H79</f>
        <v>2.38680829173927</v>
      </c>
      <c r="AA79" s="1565" t="n">
        <f aca="false">H79</f>
        <v>2.38680829173927</v>
      </c>
      <c r="AB79" s="1609" t="n">
        <f aca="false">W79/AA79</f>
        <v>2.52664358799253</v>
      </c>
      <c r="AC79" s="1566" t="n">
        <f aca="false">Y79/Z79</f>
        <v>755.418082958067</v>
      </c>
      <c r="AD79" s="1567" t="str">
        <f aca="false">IF(MONTH($A79)=12,SUM(AC68:AC79)," ")</f>
        <v> </v>
      </c>
    </row>
    <row r="80" customFormat="false" ht="12.75" hidden="false" customHeight="false" outlineLevel="0" collapsed="false">
      <c r="A80" s="1538" t="n">
        <f aca="false">'Annex 12-Gas'!A80</f>
        <v>39022</v>
      </c>
      <c r="C80" s="1595" t="n">
        <f aca="false">IF($A80&gt;Endyr,0,VLOOKUP($A80,Tariff_Table,Tariff!$G$33))</f>
        <v>7429.43</v>
      </c>
      <c r="D80" s="1565" t="n">
        <f aca="false">VLOOKUP($A80,Curves_Table,Escalation!$AW$291)</f>
        <v>2.61065535328591</v>
      </c>
      <c r="E80" s="1563" t="n">
        <f aca="false">C80*D80</f>
        <v>19395.6812013629</v>
      </c>
      <c r="F80" s="1540" t="n">
        <f aca="false">VLOOKUP($A80,Plant_Table,'Plant Operations'!$C$270)</f>
        <v>480</v>
      </c>
      <c r="G80" s="1563" t="n">
        <f aca="false">E80*F80/1000</f>
        <v>9309.9269766542</v>
      </c>
      <c r="H80" s="1565" t="n">
        <f aca="false">IF(Assm!$L$74=0,VLOOKUP($A80,Curves_Table,Escalation!$D$291),VLOOKUP($A80,Curves_Table,Escalation!$E$291))</f>
        <v>2.39230729244276</v>
      </c>
      <c r="I80" s="394" t="n">
        <f aca="false">G80/H80</f>
        <v>3891.60999762197</v>
      </c>
      <c r="J80" s="1579" t="str">
        <f aca="false">IF(MONTH($A80)=12,SUM(I69:I80)," ")</f>
        <v> </v>
      </c>
      <c r="L80" s="1595" t="n">
        <f aca="false">IF($A80&gt;Endyr,0,VLOOKUP($A80,Tariff_Table,Tariff!$H$33))</f>
        <v>6133.73</v>
      </c>
      <c r="M80" s="1565" t="n">
        <f aca="false">D80</f>
        <v>2.61065535328591</v>
      </c>
      <c r="N80" s="1563" t="n">
        <f aca="false">L80*M80</f>
        <v>16013.0550601104</v>
      </c>
      <c r="O80" s="1540" t="n">
        <f aca="false">$F80</f>
        <v>480</v>
      </c>
      <c r="P80" s="1563" t="n">
        <f aca="false">N80*O80/1000</f>
        <v>7686.26642885297</v>
      </c>
      <c r="Q80" s="1565" t="n">
        <f aca="false">$H80</f>
        <v>2.39230729244276</v>
      </c>
      <c r="R80" s="394" t="n">
        <f aca="false">P80/Q80</f>
        <v>3212.90933365195</v>
      </c>
      <c r="S80" s="1579" t="str">
        <f aca="false">IF(MONTH($A80)=12,SUM(R69:R80)," ")</f>
        <v> </v>
      </c>
      <c r="U80" s="1595" t="n">
        <f aca="false">IF($A80&gt;Endyr,0,VLOOKUP($A80,Tariff_Table,Tariff!$I$33))</f>
        <v>2.31</v>
      </c>
      <c r="V80" s="1565" t="n">
        <f aca="false">D80</f>
        <v>2.61065535328591</v>
      </c>
      <c r="W80" s="1563" t="n">
        <f aca="false">U80*V80</f>
        <v>6.03061386609044</v>
      </c>
      <c r="X80" s="397" t="n">
        <f aca="false">VLOOKUP($A80,Plant_Table,'Plant Operations'!$M$270)</f>
        <v>289336.32</v>
      </c>
      <c r="Y80" s="630" t="n">
        <f aca="false">W80*X80/1000</f>
        <v>1744.87562335558</v>
      </c>
      <c r="Z80" s="1565" t="n">
        <f aca="false">$H80</f>
        <v>2.39230729244276</v>
      </c>
      <c r="AA80" s="1565" t="n">
        <f aca="false">H80</f>
        <v>2.39230729244276</v>
      </c>
      <c r="AB80" s="1609" t="n">
        <f aca="false">W80/AA80</f>
        <v>2.52083579945645</v>
      </c>
      <c r="AC80" s="1566" t="n">
        <f aca="false">Y80/Z80</f>
        <v>729.369353538987</v>
      </c>
      <c r="AD80" s="1567" t="str">
        <f aca="false">IF(MONTH($A80)=12,SUM(AC69:AC80)," ")</f>
        <v> </v>
      </c>
    </row>
    <row r="81" customFormat="false" ht="12.75" hidden="false" customHeight="false" outlineLevel="0" collapsed="false">
      <c r="A81" s="1538" t="n">
        <f aca="false">'Annex 12-Gas'!A81</f>
        <v>39052</v>
      </c>
      <c r="C81" s="1595" t="n">
        <f aca="false">IF($A81&gt;Endyr,0,VLOOKUP($A81,Tariff_Table,Tariff!$G$33))</f>
        <v>7429.43</v>
      </c>
      <c r="D81" s="1565" t="n">
        <f aca="false">VLOOKUP($A81,Curves_Table,Escalation!$AW$291)</f>
        <v>2.61065535328591</v>
      </c>
      <c r="E81" s="1563" t="n">
        <f aca="false">C81*D81</f>
        <v>19395.6812013629</v>
      </c>
      <c r="F81" s="1540" t="n">
        <f aca="false">VLOOKUP($A81,Plant_Table,'Plant Operations'!$C$270)</f>
        <v>480</v>
      </c>
      <c r="G81" s="1563" t="n">
        <f aca="false">E81*F81/1000</f>
        <v>9309.9269766542</v>
      </c>
      <c r="H81" s="1565" t="n">
        <f aca="false">IF(Assm!$L$74=0,VLOOKUP($A81,Curves_Table,Escalation!$D$291),VLOOKUP($A81,Curves_Table,Escalation!$E$291))</f>
        <v>2.39781896237018</v>
      </c>
      <c r="I81" s="394" t="n">
        <f aca="false">G81/H81</f>
        <v>3882.66467267053</v>
      </c>
      <c r="J81" s="1579" t="n">
        <f aca="false">IF(MONTH($A81)=12,SUM(I70:I81)," ")</f>
        <v>46061.9077383735</v>
      </c>
      <c r="L81" s="1595" t="n">
        <f aca="false">IF($A81&gt;Endyr,0,VLOOKUP($A81,Tariff_Table,Tariff!$H$33))</f>
        <v>6133.73</v>
      </c>
      <c r="M81" s="1565" t="n">
        <f aca="false">D81</f>
        <v>2.61065535328591</v>
      </c>
      <c r="N81" s="1563" t="n">
        <f aca="false">L81*M81</f>
        <v>16013.0550601104</v>
      </c>
      <c r="O81" s="1540" t="n">
        <f aca="false">$F81</f>
        <v>480</v>
      </c>
      <c r="P81" s="1563" t="n">
        <f aca="false">N81*O81/1000</f>
        <v>7686.26642885297</v>
      </c>
      <c r="Q81" s="1565" t="n">
        <f aca="false">$H81</f>
        <v>2.39781896237018</v>
      </c>
      <c r="R81" s="394" t="n">
        <f aca="false">P81/Q81</f>
        <v>3205.52408229156</v>
      </c>
      <c r="S81" s="1579" t="n">
        <f aca="false">IF(MONTH($A81)=12,SUM(R70:R81)," ")</f>
        <v>37985.8961898219</v>
      </c>
      <c r="U81" s="1595" t="n">
        <f aca="false">IF($A81&gt;Endyr,0,VLOOKUP($A81,Tariff_Table,Tariff!$I$33))</f>
        <v>2.31</v>
      </c>
      <c r="V81" s="1565" t="n">
        <f aca="false">D81</f>
        <v>2.61065535328591</v>
      </c>
      <c r="W81" s="1563" t="n">
        <f aca="false">U81*V81</f>
        <v>6.03061386609044</v>
      </c>
      <c r="X81" s="397" t="n">
        <f aca="false">VLOOKUP($A81,Plant_Table,'Plant Operations'!$M$270)</f>
        <v>298980.864</v>
      </c>
      <c r="Y81" s="630" t="n">
        <f aca="false">W81*X81/1000</f>
        <v>1803.0381441341</v>
      </c>
      <c r="Z81" s="1565" t="n">
        <f aca="false">$H81</f>
        <v>2.39781896237018</v>
      </c>
      <c r="AA81" s="1565" t="n">
        <f aca="false">H81</f>
        <v>2.39781896237018</v>
      </c>
      <c r="AB81" s="1609" t="n">
        <f aca="false">W81/AA81</f>
        <v>2.51504136080788</v>
      </c>
      <c r="AC81" s="1566" t="n">
        <f aca="false">Y81/Z81</f>
        <v>751.949239050077</v>
      </c>
      <c r="AD81" s="1567" t="n">
        <f aca="false">IF(MONTH($A81)=12,SUM(AC70:AC81)," ")</f>
        <v>8746.56572254895</v>
      </c>
    </row>
    <row r="82" customFormat="false" ht="12.75" hidden="false" customHeight="false" outlineLevel="0" collapsed="false">
      <c r="A82" s="1538" t="n">
        <f aca="false">'Annex 12-Gas'!A82</f>
        <v>39083</v>
      </c>
      <c r="C82" s="1595" t="n">
        <f aca="false">IF($A82&gt;Endyr,0,VLOOKUP($A82,Tariff_Table,Tariff!$G$33))</f>
        <v>7429.43</v>
      </c>
      <c r="D82" s="1565" t="n">
        <f aca="false">VLOOKUP($A82,Curves_Table,Escalation!$AW$291)</f>
        <v>2.61065535328591</v>
      </c>
      <c r="E82" s="1563" t="n">
        <f aca="false">C82*D82</f>
        <v>19395.6812013629</v>
      </c>
      <c r="F82" s="1540" t="n">
        <f aca="false">VLOOKUP($A82,Plant_Table,'Plant Operations'!$C$270)</f>
        <v>480</v>
      </c>
      <c r="G82" s="1563" t="n">
        <f aca="false">E82*F82/1000</f>
        <v>9309.9269766542</v>
      </c>
      <c r="H82" s="1565" t="n">
        <f aca="false">IF(Assm!$L$74=0,VLOOKUP($A82,Curves_Table,Escalation!$D$291),VLOOKUP($A82,Curves_Table,Escalation!$E$291))</f>
        <v>2.40318207825579</v>
      </c>
      <c r="I82" s="394" t="n">
        <f aca="false">G82/H82</f>
        <v>3873.99983583901</v>
      </c>
      <c r="J82" s="1579" t="str">
        <f aca="false">IF(MONTH($A82)=12,SUM(I71:I82)," ")</f>
        <v> </v>
      </c>
      <c r="L82" s="1595" t="n">
        <f aca="false">IF($A82&gt;Endyr,0,VLOOKUP($A82,Tariff_Table,Tariff!$H$33))</f>
        <v>6133.73</v>
      </c>
      <c r="M82" s="1565" t="n">
        <f aca="false">D82</f>
        <v>2.61065535328591</v>
      </c>
      <c r="N82" s="1563" t="n">
        <f aca="false">L82*M82</f>
        <v>16013.0550601104</v>
      </c>
      <c r="O82" s="1540" t="n">
        <f aca="false">$F82</f>
        <v>480</v>
      </c>
      <c r="P82" s="1563" t="n">
        <f aca="false">N82*O82/1000</f>
        <v>7686.26642885297</v>
      </c>
      <c r="Q82" s="1565" t="n">
        <f aca="false">$H82</f>
        <v>2.40318207825579</v>
      </c>
      <c r="R82" s="394" t="n">
        <f aca="false">P82/Q82</f>
        <v>3198.37040164331</v>
      </c>
      <c r="S82" s="1579" t="str">
        <f aca="false">IF(MONTH($A82)=12,SUM(R71:R82)," ")</f>
        <v> </v>
      </c>
      <c r="U82" s="1595" t="n">
        <f aca="false">IF($A82&gt;Endyr,0,VLOOKUP($A82,Tariff_Table,Tariff!$I$33))</f>
        <v>2.31</v>
      </c>
      <c r="V82" s="1565" t="n">
        <f aca="false">D82</f>
        <v>2.61065535328591</v>
      </c>
      <c r="W82" s="1563" t="n">
        <f aca="false">U82*V82</f>
        <v>6.03061386609044</v>
      </c>
      <c r="X82" s="397" t="n">
        <f aca="false">VLOOKUP($A82,Plant_Table,'Plant Operations'!$M$270)</f>
        <v>298980.864</v>
      </c>
      <c r="Y82" s="630" t="n">
        <f aca="false">W82*X82/1000</f>
        <v>1803.0381441341</v>
      </c>
      <c r="Z82" s="1565" t="n">
        <f aca="false">$H82</f>
        <v>2.40318207825579</v>
      </c>
      <c r="AA82" s="1565" t="n">
        <f aca="false">H82</f>
        <v>2.40318207825579</v>
      </c>
      <c r="AB82" s="1609" t="n">
        <f aca="false">W82/AA82</f>
        <v>2.5094286116129</v>
      </c>
      <c r="AC82" s="1566" t="n">
        <f aca="false">Y82/Z82</f>
        <v>750.271134446346</v>
      </c>
      <c r="AD82" s="1567" t="str">
        <f aca="false">IF(MONTH($A82)=12,SUM(AC71:AC82)," ")</f>
        <v> </v>
      </c>
    </row>
    <row r="83" customFormat="false" ht="12.75" hidden="false" customHeight="false" outlineLevel="0" collapsed="false">
      <c r="A83" s="1538" t="n">
        <f aca="false">'Annex 12-Gas'!A83</f>
        <v>39114</v>
      </c>
      <c r="C83" s="1595" t="n">
        <f aca="false">IF($A83&gt;Endyr,0,VLOOKUP($A83,Tariff_Table,Tariff!$G$33))</f>
        <v>7429.43</v>
      </c>
      <c r="D83" s="1565" t="n">
        <f aca="false">VLOOKUP($A83,Curves_Table,Escalation!$AW$291)</f>
        <v>2.61065535328591</v>
      </c>
      <c r="E83" s="1563" t="n">
        <f aca="false">C83*D83</f>
        <v>19395.6812013629</v>
      </c>
      <c r="F83" s="1540" t="n">
        <f aca="false">VLOOKUP($A83,Plant_Table,'Plant Operations'!$C$270)</f>
        <v>480</v>
      </c>
      <c r="G83" s="1563" t="n">
        <f aca="false">E83*F83/1000</f>
        <v>9309.9269766542</v>
      </c>
      <c r="H83" s="1565" t="n">
        <f aca="false">IF(Assm!$L$74=0,VLOOKUP($A83,Curves_Table,Escalation!$D$291),VLOOKUP($A83,Curves_Table,Escalation!$E$291))</f>
        <v>2.40855718963083</v>
      </c>
      <c r="I83" s="394" t="n">
        <f aca="false">G83/H83</f>
        <v>3865.35433608748</v>
      </c>
      <c r="J83" s="1579" t="str">
        <f aca="false">IF(MONTH($A83)=12,SUM(I72:I83)," ")</f>
        <v> </v>
      </c>
      <c r="L83" s="1595" t="n">
        <f aca="false">IF($A83&gt;Endyr,0,VLOOKUP($A83,Tariff_Table,Tariff!$H$33))</f>
        <v>6133.73</v>
      </c>
      <c r="M83" s="1565" t="n">
        <f aca="false">D83</f>
        <v>2.61065535328591</v>
      </c>
      <c r="N83" s="1563" t="n">
        <f aca="false">L83*M83</f>
        <v>16013.0550601104</v>
      </c>
      <c r="O83" s="1540" t="n">
        <f aca="false">$F83</f>
        <v>480</v>
      </c>
      <c r="P83" s="1563" t="n">
        <f aca="false">N83*O83/1000</f>
        <v>7686.26642885297</v>
      </c>
      <c r="Q83" s="1565" t="n">
        <f aca="false">$H83</f>
        <v>2.40855718963083</v>
      </c>
      <c r="R83" s="394" t="n">
        <f aca="false">P83/Q83</f>
        <v>3191.232685669</v>
      </c>
      <c r="S83" s="1579" t="str">
        <f aca="false">IF(MONTH($A83)=12,SUM(R72:R83)," ")</f>
        <v> </v>
      </c>
      <c r="U83" s="1595" t="n">
        <f aca="false">IF($A83&gt;Endyr,0,VLOOKUP($A83,Tariff_Table,Tariff!$I$33))</f>
        <v>2.31</v>
      </c>
      <c r="V83" s="1565" t="n">
        <f aca="false">D83</f>
        <v>2.61065535328591</v>
      </c>
      <c r="W83" s="1563" t="n">
        <f aca="false">U83*V83</f>
        <v>6.03061386609044</v>
      </c>
      <c r="X83" s="397" t="n">
        <f aca="false">VLOOKUP($A83,Plant_Table,'Plant Operations'!$M$270)</f>
        <v>270047.232</v>
      </c>
      <c r="Y83" s="630" t="n">
        <f aca="false">W83*X83/1000</f>
        <v>1628.55058179854</v>
      </c>
      <c r="Z83" s="1565" t="n">
        <f aca="false">$H83</f>
        <v>2.40855718963083</v>
      </c>
      <c r="AA83" s="1565" t="n">
        <f aca="false">H83</f>
        <v>2.40855718963083</v>
      </c>
      <c r="AB83" s="1609" t="n">
        <f aca="false">W83/AA83</f>
        <v>2.50382838823719</v>
      </c>
      <c r="AC83" s="1566" t="n">
        <f aca="false">Y83/Z83</f>
        <v>676.151925646473</v>
      </c>
      <c r="AD83" s="1567" t="str">
        <f aca="false">IF(MONTH($A83)=12,SUM(AC72:AC83)," ")</f>
        <v> </v>
      </c>
    </row>
    <row r="84" customFormat="false" ht="12.75" hidden="false" customHeight="false" outlineLevel="0" collapsed="false">
      <c r="A84" s="1538" t="n">
        <f aca="false">'Annex 12-Gas'!A84</f>
        <v>39142</v>
      </c>
      <c r="C84" s="1595" t="n">
        <f aca="false">IF($A84&gt;Endyr,0,VLOOKUP($A84,Tariff_Table,Tariff!$G$33))</f>
        <v>7429.43</v>
      </c>
      <c r="D84" s="1565" t="n">
        <f aca="false">VLOOKUP($A84,Curves_Table,Escalation!$AW$291)</f>
        <v>2.61065535328591</v>
      </c>
      <c r="E84" s="1563" t="n">
        <f aca="false">C84*D84</f>
        <v>19395.6812013629</v>
      </c>
      <c r="F84" s="1540" t="n">
        <f aca="false">VLOOKUP($A84,Plant_Table,'Plant Operations'!$C$270)</f>
        <v>480</v>
      </c>
      <c r="G84" s="1563" t="n">
        <f aca="false">E84*F84/1000</f>
        <v>9309.9269766542</v>
      </c>
      <c r="H84" s="1565" t="n">
        <f aca="false">IF(Assm!$L$74=0,VLOOKUP($A84,Curves_Table,Escalation!$D$291),VLOOKUP($A84,Curves_Table,Escalation!$E$291))</f>
        <v>2.41394432332517</v>
      </c>
      <c r="I84" s="394" t="n">
        <f aca="false">G84/H84</f>
        <v>3856.72813026189</v>
      </c>
      <c r="J84" s="1579" t="str">
        <f aca="false">IF(MONTH($A84)=12,SUM(I73:I84)," ")</f>
        <v> </v>
      </c>
      <c r="L84" s="1595" t="n">
        <f aca="false">IF($A84&gt;Endyr,0,VLOOKUP($A84,Tariff_Table,Tariff!$H$33))</f>
        <v>6133.73</v>
      </c>
      <c r="M84" s="1565" t="n">
        <f aca="false">D84</f>
        <v>2.61065535328591</v>
      </c>
      <c r="N84" s="1563" t="n">
        <f aca="false">L84*M84</f>
        <v>16013.0550601104</v>
      </c>
      <c r="O84" s="1540" t="n">
        <f aca="false">$F84</f>
        <v>480</v>
      </c>
      <c r="P84" s="1563" t="n">
        <f aca="false">N84*O84/1000</f>
        <v>7686.26642885297</v>
      </c>
      <c r="Q84" s="1565" t="n">
        <f aca="false">$H84</f>
        <v>2.41394432332517</v>
      </c>
      <c r="R84" s="394" t="n">
        <f aca="false">P84/Q84</f>
        <v>3184.11089874072</v>
      </c>
      <c r="S84" s="1579" t="str">
        <f aca="false">IF(MONTH($A84)=12,SUM(R73:R84)," ")</f>
        <v> </v>
      </c>
      <c r="U84" s="1595" t="n">
        <f aca="false">IF($A84&gt;Endyr,0,VLOOKUP($A84,Tariff_Table,Tariff!$I$33))</f>
        <v>2.31</v>
      </c>
      <c r="V84" s="1565" t="n">
        <f aca="false">D84</f>
        <v>2.61065535328591</v>
      </c>
      <c r="W84" s="1563" t="n">
        <f aca="false">U84*V84</f>
        <v>6.03061386609044</v>
      </c>
      <c r="X84" s="397" t="n">
        <f aca="false">VLOOKUP($A84,Plant_Table,'Plant Operations'!$M$270)</f>
        <v>298980.864</v>
      </c>
      <c r="Y84" s="630" t="n">
        <f aca="false">W84*X84/1000</f>
        <v>1803.0381441341</v>
      </c>
      <c r="Z84" s="1565" t="n">
        <f aca="false">$H84</f>
        <v>2.41394432332517</v>
      </c>
      <c r="AA84" s="1565" t="n">
        <f aca="false">H84</f>
        <v>2.41394432332517</v>
      </c>
      <c r="AB84" s="1609" t="n">
        <f aca="false">W84/AA84</f>
        <v>2.4982406627272</v>
      </c>
      <c r="AC84" s="1566" t="n">
        <f aca="false">Y84/Z84</f>
        <v>746.926151822112</v>
      </c>
      <c r="AD84" s="1567" t="str">
        <f aca="false">IF(MONTH($A84)=12,SUM(AC73:AC84)," ")</f>
        <v> </v>
      </c>
    </row>
    <row r="85" customFormat="false" ht="12.75" hidden="false" customHeight="false" outlineLevel="0" collapsed="false">
      <c r="A85" s="1538" t="n">
        <f aca="false">'Annex 12-Gas'!A85</f>
        <v>39173</v>
      </c>
      <c r="C85" s="1595" t="n">
        <f aca="false">IF($A85&gt;Endyr,0,VLOOKUP($A85,Tariff_Table,Tariff!$G$33))</f>
        <v>7429.43</v>
      </c>
      <c r="D85" s="1565" t="n">
        <f aca="false">VLOOKUP($A85,Curves_Table,Escalation!$AW$291)</f>
        <v>2.61065535328591</v>
      </c>
      <c r="E85" s="1563" t="n">
        <f aca="false">C85*D85</f>
        <v>19395.6812013629</v>
      </c>
      <c r="F85" s="1540" t="n">
        <f aca="false">VLOOKUP($A85,Plant_Table,'Plant Operations'!$C$270)</f>
        <v>480</v>
      </c>
      <c r="G85" s="1563" t="n">
        <f aca="false">E85*F85/1000</f>
        <v>9309.9269766542</v>
      </c>
      <c r="H85" s="1565" t="n">
        <f aca="false">IF(Assm!$L$74=0,VLOOKUP($A85,Curves_Table,Escalation!$D$291),VLOOKUP($A85,Curves_Table,Escalation!$E$291))</f>
        <v>2.41934350622871</v>
      </c>
      <c r="I85" s="394" t="n">
        <f aca="false">G85/H85</f>
        <v>3848.12117530453</v>
      </c>
      <c r="J85" s="1579" t="str">
        <f aca="false">IF(MONTH($A85)=12,SUM(I74:I85)," ")</f>
        <v> </v>
      </c>
      <c r="L85" s="1595" t="n">
        <f aca="false">IF($A85&gt;Endyr,0,VLOOKUP($A85,Tariff_Table,Tariff!$H$33))</f>
        <v>6133.73</v>
      </c>
      <c r="M85" s="1565" t="n">
        <f aca="false">D85</f>
        <v>2.61065535328591</v>
      </c>
      <c r="N85" s="1563" t="n">
        <f aca="false">L85*M85</f>
        <v>16013.0550601104</v>
      </c>
      <c r="O85" s="1540" t="n">
        <f aca="false">$F85</f>
        <v>480</v>
      </c>
      <c r="P85" s="1563" t="n">
        <f aca="false">N85*O85/1000</f>
        <v>7686.26642885297</v>
      </c>
      <c r="Q85" s="1565" t="n">
        <f aca="false">$H85</f>
        <v>2.41934350622871</v>
      </c>
      <c r="R85" s="394" t="n">
        <f aca="false">P85/Q85</f>
        <v>3177.00500531005</v>
      </c>
      <c r="S85" s="1579" t="str">
        <f aca="false">IF(MONTH($A85)=12,SUM(R74:R85)," ")</f>
        <v> </v>
      </c>
      <c r="U85" s="1595" t="n">
        <f aca="false">IF($A85&gt;Endyr,0,VLOOKUP($A85,Tariff_Table,Tariff!$I$33))</f>
        <v>2.31</v>
      </c>
      <c r="V85" s="1565" t="n">
        <f aca="false">D85</f>
        <v>2.61065535328591</v>
      </c>
      <c r="W85" s="1563" t="n">
        <f aca="false">U85*V85</f>
        <v>6.03061386609044</v>
      </c>
      <c r="X85" s="397" t="n">
        <f aca="false">VLOOKUP($A85,Plant_Table,'Plant Operations'!$M$270)</f>
        <v>289336.32</v>
      </c>
      <c r="Y85" s="630" t="n">
        <f aca="false">W85*X85/1000</f>
        <v>1744.87562335558</v>
      </c>
      <c r="Z85" s="1565" t="n">
        <f aca="false">$H85</f>
        <v>2.41934350622871</v>
      </c>
      <c r="AA85" s="1565" t="n">
        <f aca="false">H85</f>
        <v>2.41934350622871</v>
      </c>
      <c r="AB85" s="1609" t="n">
        <f aca="false">W85/AA85</f>
        <v>2.49266540719181</v>
      </c>
      <c r="AC85" s="1566" t="n">
        <f aca="false">Y85/Z85</f>
        <v>721.218635908179</v>
      </c>
      <c r="AD85" s="1567" t="str">
        <f aca="false">IF(MONTH($A85)=12,SUM(AC74:AC85)," ")</f>
        <v> </v>
      </c>
    </row>
    <row r="86" customFormat="false" ht="12.75" hidden="false" customHeight="false" outlineLevel="0" collapsed="false">
      <c r="A86" s="1538" t="n">
        <f aca="false">'Annex 12-Gas'!A86</f>
        <v>39203</v>
      </c>
      <c r="C86" s="1595" t="n">
        <f aca="false">IF($A86&gt;Endyr,0,VLOOKUP($A86,Tariff_Table,Tariff!$G$33))</f>
        <v>7433.43</v>
      </c>
      <c r="D86" s="1565" t="n">
        <f aca="false">VLOOKUP($A86,Curves_Table,Escalation!$AW$291)</f>
        <v>2.61065535328591</v>
      </c>
      <c r="E86" s="1563" t="n">
        <f aca="false">C86*D86</f>
        <v>19406.1238227761</v>
      </c>
      <c r="F86" s="1540" t="n">
        <f aca="false">VLOOKUP($A86,Plant_Table,'Plant Operations'!$C$270)</f>
        <v>480</v>
      </c>
      <c r="G86" s="1563" t="n">
        <f aca="false">E86*F86/1000</f>
        <v>9314.93943493251</v>
      </c>
      <c r="H86" s="1565" t="n">
        <f aca="false">IF(Assm!$L$74=0,VLOOKUP($A86,Curves_Table,Escalation!$D$291),VLOOKUP($A86,Curves_Table,Escalation!$E$291))</f>
        <v>2.42475476529148</v>
      </c>
      <c r="I86" s="394" t="n">
        <f aca="false">G86/H86</f>
        <v>3841.60063040963</v>
      </c>
      <c r="J86" s="1579" t="str">
        <f aca="false">IF(MONTH($A86)=12,SUM(I75:I86)," ")</f>
        <v> </v>
      </c>
      <c r="L86" s="1595" t="n">
        <f aca="false">IF($A86&gt;Endyr,0,VLOOKUP($A86,Tariff_Table,Tariff!$H$33))</f>
        <v>6146.82</v>
      </c>
      <c r="M86" s="1565" t="n">
        <f aca="false">D86</f>
        <v>2.61065535328591</v>
      </c>
      <c r="N86" s="1563" t="n">
        <f aca="false">L86*M86</f>
        <v>16047.2285386849</v>
      </c>
      <c r="O86" s="1540" t="n">
        <f aca="false">$F86</f>
        <v>480</v>
      </c>
      <c r="P86" s="1563" t="n">
        <f aca="false">N86*O86/1000</f>
        <v>7702.66969856874</v>
      </c>
      <c r="Q86" s="1565" t="n">
        <f aca="false">$H86</f>
        <v>2.42475476529148</v>
      </c>
      <c r="R86" s="394" t="n">
        <f aca="false">P86/Q86</f>
        <v>3176.67988896304</v>
      </c>
      <c r="S86" s="1579" t="str">
        <f aca="false">IF(MONTH($A86)=12,SUM(R75:R86)," ")</f>
        <v> </v>
      </c>
      <c r="U86" s="1595" t="n">
        <f aca="false">IF($A86&gt;Endyr,0,VLOOKUP($A86,Tariff_Table,Tariff!$I$33))</f>
        <v>2.32</v>
      </c>
      <c r="V86" s="1565" t="n">
        <f aca="false">D86</f>
        <v>2.61065535328591</v>
      </c>
      <c r="W86" s="1563" t="n">
        <f aca="false">U86*V86</f>
        <v>6.0567204196233</v>
      </c>
      <c r="X86" s="397" t="n">
        <f aca="false">VLOOKUP($A86,Plant_Table,'Plant Operations'!$M$270)</f>
        <v>298980.864</v>
      </c>
      <c r="Y86" s="630" t="n">
        <f aca="false">W86*X86/1000</f>
        <v>1810.84350406542</v>
      </c>
      <c r="Z86" s="1565" t="n">
        <f aca="false">$H86</f>
        <v>2.42475476529148</v>
      </c>
      <c r="AA86" s="1565" t="n">
        <f aca="false">H86</f>
        <v>2.42475476529148</v>
      </c>
      <c r="AB86" s="1609" t="n">
        <f aca="false">W86/AA86</f>
        <v>2.49786927169735</v>
      </c>
      <c r="AC86" s="1566" t="n">
        <f aca="false">Y86/Z86</f>
        <v>746.815113011123</v>
      </c>
      <c r="AD86" s="1567" t="str">
        <f aca="false">IF(MONTH($A86)=12,SUM(AC75:AC86)," ")</f>
        <v> </v>
      </c>
    </row>
    <row r="87" customFormat="false" ht="12.75" hidden="false" customHeight="false" outlineLevel="0" collapsed="false">
      <c r="A87" s="1538" t="n">
        <f aca="false">'Annex 12-Gas'!A87</f>
        <v>39234</v>
      </c>
      <c r="C87" s="1595" t="n">
        <f aca="false">IF($A87&gt;Endyr,0,VLOOKUP($A87,Tariff_Table,Tariff!$G$33))</f>
        <v>7433.43</v>
      </c>
      <c r="D87" s="1565" t="n">
        <f aca="false">VLOOKUP($A87,Curves_Table,Escalation!$AW$291)</f>
        <v>2.61065535328591</v>
      </c>
      <c r="E87" s="1563" t="n">
        <f aca="false">C87*D87</f>
        <v>19406.1238227761</v>
      </c>
      <c r="F87" s="1540" t="n">
        <f aca="false">VLOOKUP($A87,Plant_Table,'Plant Operations'!$C$270)</f>
        <v>480</v>
      </c>
      <c r="G87" s="1563" t="n">
        <f aca="false">E87*F87/1000</f>
        <v>9314.93943493251</v>
      </c>
      <c r="H87" s="1565" t="n">
        <f aca="false">IF(Assm!$L$74=0,VLOOKUP($A87,Curves_Table,Escalation!$D$291),VLOOKUP($A87,Curves_Table,Escalation!$E$291))</f>
        <v>2.4301781275238</v>
      </c>
      <c r="I87" s="394" t="n">
        <f aca="false">G87/H87</f>
        <v>3833.02743508101</v>
      </c>
      <c r="J87" s="1579" t="str">
        <f aca="false">IF(MONTH($A87)=12,SUM(I76:I87)," ")</f>
        <v> </v>
      </c>
      <c r="L87" s="1595" t="n">
        <f aca="false">IF($A87&gt;Endyr,0,VLOOKUP($A87,Tariff_Table,Tariff!$H$33))</f>
        <v>6146.82</v>
      </c>
      <c r="M87" s="1565" t="n">
        <f aca="false">D87</f>
        <v>2.61065535328591</v>
      </c>
      <c r="N87" s="1563" t="n">
        <f aca="false">L87*M87</f>
        <v>16047.2285386849</v>
      </c>
      <c r="O87" s="1540" t="n">
        <f aca="false">$F87</f>
        <v>480</v>
      </c>
      <c r="P87" s="1563" t="n">
        <f aca="false">N87*O87/1000</f>
        <v>7702.66969856874</v>
      </c>
      <c r="Q87" s="1565" t="n">
        <f aca="false">$H87</f>
        <v>2.4301781275238</v>
      </c>
      <c r="R87" s="394" t="n">
        <f aca="false">P87/Q87</f>
        <v>3169.59057911417</v>
      </c>
      <c r="S87" s="1579" t="str">
        <f aca="false">IF(MONTH($A87)=12,SUM(R76:R87)," ")</f>
        <v> </v>
      </c>
      <c r="U87" s="1595" t="n">
        <f aca="false">IF($A87&gt;Endyr,0,VLOOKUP($A87,Tariff_Table,Tariff!$I$33))</f>
        <v>2.32</v>
      </c>
      <c r="V87" s="1565" t="n">
        <f aca="false">D87</f>
        <v>2.61065535328591</v>
      </c>
      <c r="W87" s="1563" t="n">
        <f aca="false">U87*V87</f>
        <v>6.0567204196233</v>
      </c>
      <c r="X87" s="397" t="n">
        <f aca="false">VLOOKUP($A87,Plant_Table,'Plant Operations'!$M$270)</f>
        <v>289336.32</v>
      </c>
      <c r="Y87" s="630" t="n">
        <f aca="false">W87*X87/1000</f>
        <v>1752.42919748266</v>
      </c>
      <c r="Z87" s="1565" t="n">
        <f aca="false">$H87</f>
        <v>2.4301781275238</v>
      </c>
      <c r="AA87" s="1565" t="n">
        <f aca="false">H87</f>
        <v>2.4301781275238</v>
      </c>
      <c r="AB87" s="1609" t="n">
        <f aca="false">W87/AA87</f>
        <v>2.49229484498518</v>
      </c>
      <c r="AC87" s="1566" t="n">
        <f aca="false">Y87/Z87</f>
        <v>721.111418802983</v>
      </c>
      <c r="AD87" s="1567" t="str">
        <f aca="false">IF(MONTH($A87)=12,SUM(AC76:AC87)," ")</f>
        <v> </v>
      </c>
    </row>
    <row r="88" customFormat="false" ht="12.75" hidden="false" customHeight="false" outlineLevel="0" collapsed="false">
      <c r="A88" s="1538" t="n">
        <f aca="false">'Annex 12-Gas'!A88</f>
        <v>39264</v>
      </c>
      <c r="C88" s="1595" t="n">
        <f aca="false">IF($A88&gt;Endyr,0,VLOOKUP($A88,Tariff_Table,Tariff!$G$33))</f>
        <v>7433.43</v>
      </c>
      <c r="D88" s="1565" t="n">
        <f aca="false">VLOOKUP($A88,Curves_Table,Escalation!$AW$291)</f>
        <v>2.61065535328591</v>
      </c>
      <c r="E88" s="1563" t="n">
        <f aca="false">C88*D88</f>
        <v>19406.1238227761</v>
      </c>
      <c r="F88" s="1540" t="n">
        <f aca="false">VLOOKUP($A88,Plant_Table,'Plant Operations'!$C$270)</f>
        <v>480</v>
      </c>
      <c r="G88" s="1563" t="n">
        <f aca="false">E88*F88/1000</f>
        <v>9314.93943493251</v>
      </c>
      <c r="H88" s="1565" t="n">
        <f aca="false">IF(Assm!$L$74=0,VLOOKUP($A88,Curves_Table,Escalation!$D$291),VLOOKUP($A88,Curves_Table,Escalation!$E$291))</f>
        <v>2.43561361999639</v>
      </c>
      <c r="I88" s="394" t="n">
        <f aca="false">G88/H88</f>
        <v>3824.47337231852</v>
      </c>
      <c r="J88" s="1579" t="str">
        <f aca="false">IF(MONTH($A88)=12,SUM(I77:I88)," ")</f>
        <v> </v>
      </c>
      <c r="L88" s="1595" t="n">
        <f aca="false">IF($A88&gt;Endyr,0,VLOOKUP($A88,Tariff_Table,Tariff!$H$33))</f>
        <v>6146.82</v>
      </c>
      <c r="M88" s="1565" t="n">
        <f aca="false">D88</f>
        <v>2.61065535328591</v>
      </c>
      <c r="N88" s="1563" t="n">
        <f aca="false">L88*M88</f>
        <v>16047.2285386849</v>
      </c>
      <c r="O88" s="1540" t="n">
        <f aca="false">$F88</f>
        <v>480</v>
      </c>
      <c r="P88" s="1563" t="n">
        <f aca="false">N88*O88/1000</f>
        <v>7702.66969856874</v>
      </c>
      <c r="Q88" s="1565" t="n">
        <f aca="false">$H88</f>
        <v>2.43561361999639</v>
      </c>
      <c r="R88" s="394" t="n">
        <f aca="false">P88/Q88</f>
        <v>3162.51709028469</v>
      </c>
      <c r="S88" s="1579" t="str">
        <f aca="false">IF(MONTH($A88)=12,SUM(R77:R88)," ")</f>
        <v> </v>
      </c>
      <c r="U88" s="1595" t="n">
        <f aca="false">IF($A88&gt;Endyr,0,VLOOKUP($A88,Tariff_Table,Tariff!$I$33))</f>
        <v>2.32</v>
      </c>
      <c r="V88" s="1565" t="n">
        <f aca="false">D88</f>
        <v>2.61065535328591</v>
      </c>
      <c r="W88" s="1563" t="n">
        <f aca="false">U88*V88</f>
        <v>6.0567204196233</v>
      </c>
      <c r="X88" s="397" t="n">
        <f aca="false">VLOOKUP($A88,Plant_Table,'Plant Operations'!$M$270)</f>
        <v>298980.864</v>
      </c>
      <c r="Y88" s="630" t="n">
        <f aca="false">W88*X88/1000</f>
        <v>1810.84350406542</v>
      </c>
      <c r="Z88" s="1565" t="n">
        <f aca="false">$H88</f>
        <v>2.43561361999639</v>
      </c>
      <c r="AA88" s="1565" t="n">
        <f aca="false">H88</f>
        <v>2.43561361999639</v>
      </c>
      <c r="AB88" s="1609" t="n">
        <f aca="false">W88/AA88</f>
        <v>2.48673285856904</v>
      </c>
      <c r="AC88" s="1566" t="n">
        <f aca="false">Y88/Z88</f>
        <v>743.485538592161</v>
      </c>
      <c r="AD88" s="1567" t="str">
        <f aca="false">IF(MONTH($A88)=12,SUM(AC77:AC88)," ")</f>
        <v> </v>
      </c>
    </row>
    <row r="89" customFormat="false" ht="12.75" hidden="false" customHeight="false" outlineLevel="0" collapsed="false">
      <c r="A89" s="1538" t="n">
        <f aca="false">'Annex 12-Gas'!A89</f>
        <v>39295</v>
      </c>
      <c r="C89" s="1595" t="n">
        <f aca="false">IF($A89&gt;Endyr,0,VLOOKUP($A89,Tariff_Table,Tariff!$G$33))</f>
        <v>7433.43</v>
      </c>
      <c r="D89" s="1565" t="n">
        <f aca="false">VLOOKUP($A89,Curves_Table,Escalation!$AW$291)</f>
        <v>2.61065535328591</v>
      </c>
      <c r="E89" s="1563" t="n">
        <f aca="false">C89*D89</f>
        <v>19406.1238227761</v>
      </c>
      <c r="F89" s="1540" t="n">
        <f aca="false">VLOOKUP($A89,Plant_Table,'Plant Operations'!$C$270)</f>
        <v>480</v>
      </c>
      <c r="G89" s="1563" t="n">
        <f aca="false">E89*F89/1000</f>
        <v>9314.93943493251</v>
      </c>
      <c r="H89" s="1565" t="n">
        <f aca="false">IF(Assm!$L$74=0,VLOOKUP($A89,Curves_Table,Escalation!$D$291),VLOOKUP($A89,Curves_Table,Escalation!$E$291))</f>
        <v>2.44106126984052</v>
      </c>
      <c r="I89" s="394" t="n">
        <f aca="false">G89/H89</f>
        <v>3815.93839942455</v>
      </c>
      <c r="J89" s="1579" t="str">
        <f aca="false">IF(MONTH($A89)=12,SUM(I78:I89)," ")</f>
        <v> </v>
      </c>
      <c r="L89" s="1595" t="n">
        <f aca="false">IF($A89&gt;Endyr,0,VLOOKUP($A89,Tariff_Table,Tariff!$H$33))</f>
        <v>6146.82</v>
      </c>
      <c r="M89" s="1565" t="n">
        <f aca="false">D89</f>
        <v>2.61065535328591</v>
      </c>
      <c r="N89" s="1563" t="n">
        <f aca="false">L89*M89</f>
        <v>16047.2285386849</v>
      </c>
      <c r="O89" s="1540" t="n">
        <f aca="false">$F89</f>
        <v>480</v>
      </c>
      <c r="P89" s="1563" t="n">
        <f aca="false">N89*O89/1000</f>
        <v>7702.66969856874</v>
      </c>
      <c r="Q89" s="1565" t="n">
        <f aca="false">$H89</f>
        <v>2.44106126984052</v>
      </c>
      <c r="R89" s="394" t="n">
        <f aca="false">P89/Q89</f>
        <v>3155.45938716727</v>
      </c>
      <c r="S89" s="1579" t="str">
        <f aca="false">IF(MONTH($A89)=12,SUM(R78:R89)," ")</f>
        <v> </v>
      </c>
      <c r="U89" s="1595" t="n">
        <f aca="false">IF($A89&gt;Endyr,0,VLOOKUP($A89,Tariff_Table,Tariff!$I$33))</f>
        <v>2.32</v>
      </c>
      <c r="V89" s="1565" t="n">
        <f aca="false">D89</f>
        <v>2.61065535328591</v>
      </c>
      <c r="W89" s="1563" t="n">
        <f aca="false">U89*V89</f>
        <v>6.0567204196233</v>
      </c>
      <c r="X89" s="397" t="n">
        <f aca="false">VLOOKUP($A89,Plant_Table,'Plant Operations'!$M$270)</f>
        <v>298980.864</v>
      </c>
      <c r="Y89" s="630" t="n">
        <f aca="false">W89*X89/1000</f>
        <v>1810.84350406542</v>
      </c>
      <c r="Z89" s="1565" t="n">
        <f aca="false">$H89</f>
        <v>2.44106126984052</v>
      </c>
      <c r="AA89" s="1565" t="n">
        <f aca="false">H89</f>
        <v>2.44106126984052</v>
      </c>
      <c r="AB89" s="1609" t="n">
        <f aca="false">W89/AA89</f>
        <v>2.48118328468625</v>
      </c>
      <c r="AC89" s="1566" t="n">
        <f aca="false">Y89/Z89</f>
        <v>741.826322197854</v>
      </c>
      <c r="AD89" s="1567" t="str">
        <f aca="false">IF(MONTH($A89)=12,SUM(AC78:AC89)," ")</f>
        <v> </v>
      </c>
    </row>
    <row r="90" customFormat="false" ht="12.75" hidden="false" customHeight="false" outlineLevel="0" collapsed="false">
      <c r="A90" s="1538" t="n">
        <f aca="false">'Annex 12-Gas'!A90</f>
        <v>39326</v>
      </c>
      <c r="C90" s="1595" t="n">
        <f aca="false">IF($A90&gt;Endyr,0,VLOOKUP($A90,Tariff_Table,Tariff!$G$33))</f>
        <v>7433.43</v>
      </c>
      <c r="D90" s="1565" t="n">
        <f aca="false">VLOOKUP($A90,Curves_Table,Escalation!$AW$291)</f>
        <v>2.61065535328591</v>
      </c>
      <c r="E90" s="1563" t="n">
        <f aca="false">C90*D90</f>
        <v>19406.1238227761</v>
      </c>
      <c r="F90" s="1540" t="n">
        <f aca="false">VLOOKUP($A90,Plant_Table,'Plant Operations'!$C$270)</f>
        <v>480</v>
      </c>
      <c r="G90" s="1563" t="n">
        <f aca="false">E90*F90/1000</f>
        <v>9314.93943493251</v>
      </c>
      <c r="H90" s="1565" t="n">
        <f aca="false">IF(Assm!$L$74=0,VLOOKUP($A90,Curves_Table,Escalation!$D$291),VLOOKUP($A90,Curves_Table,Escalation!$E$291))</f>
        <v>2.44652110424816</v>
      </c>
      <c r="I90" s="394" t="n">
        <f aca="false">G90/H90</f>
        <v>3807.42247379676</v>
      </c>
      <c r="J90" s="1579" t="str">
        <f aca="false">IF(MONTH($A90)=12,SUM(I79:I90)," ")</f>
        <v> </v>
      </c>
      <c r="L90" s="1595" t="n">
        <f aca="false">IF($A90&gt;Endyr,0,VLOOKUP($A90,Tariff_Table,Tariff!$H$33))</f>
        <v>6146.82</v>
      </c>
      <c r="M90" s="1565" t="n">
        <f aca="false">D90</f>
        <v>2.61065535328591</v>
      </c>
      <c r="N90" s="1563" t="n">
        <f aca="false">L90*M90</f>
        <v>16047.2285386849</v>
      </c>
      <c r="O90" s="1540" t="n">
        <f aca="false">$F90</f>
        <v>480</v>
      </c>
      <c r="P90" s="1563" t="n">
        <f aca="false">N90*O90/1000</f>
        <v>7702.66969856874</v>
      </c>
      <c r="Q90" s="1565" t="n">
        <f aca="false">$H90</f>
        <v>2.44652110424816</v>
      </c>
      <c r="R90" s="394" t="n">
        <f aca="false">P90/Q90</f>
        <v>3148.41743453337</v>
      </c>
      <c r="S90" s="1579" t="str">
        <f aca="false">IF(MONTH($A90)=12,SUM(R79:R90)," ")</f>
        <v> </v>
      </c>
      <c r="U90" s="1595" t="n">
        <f aca="false">IF($A90&gt;Endyr,0,VLOOKUP($A90,Tariff_Table,Tariff!$I$33))</f>
        <v>2.32</v>
      </c>
      <c r="V90" s="1565" t="n">
        <f aca="false">D90</f>
        <v>2.61065535328591</v>
      </c>
      <c r="W90" s="1563" t="n">
        <f aca="false">U90*V90</f>
        <v>6.0567204196233</v>
      </c>
      <c r="X90" s="397" t="n">
        <f aca="false">VLOOKUP($A90,Plant_Table,'Plant Operations'!$M$270)</f>
        <v>289336.32</v>
      </c>
      <c r="Y90" s="630" t="n">
        <f aca="false">W90*X90/1000</f>
        <v>1752.42919748266</v>
      </c>
      <c r="Z90" s="1565" t="n">
        <f aca="false">$H90</f>
        <v>2.44652110424816</v>
      </c>
      <c r="AA90" s="1565" t="n">
        <f aca="false">H90</f>
        <v>2.44652110424816</v>
      </c>
      <c r="AB90" s="1609" t="n">
        <f aca="false">W90/AA90</f>
        <v>2.47564609563611</v>
      </c>
      <c r="AC90" s="1566" t="n">
        <f aca="false">Y90/Z90</f>
        <v>716.29433093372</v>
      </c>
      <c r="AD90" s="1567" t="str">
        <f aca="false">IF(MONTH($A90)=12,SUM(AC79:AC90)," ")</f>
        <v> </v>
      </c>
    </row>
    <row r="91" customFormat="false" ht="12.75" hidden="false" customHeight="false" outlineLevel="0" collapsed="false">
      <c r="A91" s="1538" t="n">
        <f aca="false">'Annex 12-Gas'!A91</f>
        <v>39356</v>
      </c>
      <c r="C91" s="1595" t="n">
        <f aca="false">IF($A91&gt;Endyr,0,VLOOKUP($A91,Tariff_Table,Tariff!$G$33))</f>
        <v>7433.43</v>
      </c>
      <c r="D91" s="1565" t="n">
        <f aca="false">VLOOKUP($A91,Curves_Table,Escalation!$AW$291)</f>
        <v>2.61065535328591</v>
      </c>
      <c r="E91" s="1563" t="n">
        <f aca="false">C91*D91</f>
        <v>19406.1238227761</v>
      </c>
      <c r="F91" s="1540" t="n">
        <f aca="false">VLOOKUP($A91,Plant_Table,'Plant Operations'!$C$270)</f>
        <v>480</v>
      </c>
      <c r="G91" s="1563" t="n">
        <f aca="false">E91*F91/1000</f>
        <v>9314.93943493251</v>
      </c>
      <c r="H91" s="1565" t="n">
        <f aca="false">IF(Assm!$L$74=0,VLOOKUP($A91,Curves_Table,Escalation!$D$291),VLOOKUP($A91,Curves_Table,Escalation!$E$291))</f>
        <v>2.45199315047208</v>
      </c>
      <c r="I91" s="394" t="n">
        <f aca="false">G91/H91</f>
        <v>3798.92555292787</v>
      </c>
      <c r="J91" s="1579" t="str">
        <f aca="false">IF(MONTH($A91)=12,SUM(I80:I91)," ")</f>
        <v> </v>
      </c>
      <c r="L91" s="1595" t="n">
        <f aca="false">IF($A91&gt;Endyr,0,VLOOKUP($A91,Tariff_Table,Tariff!$H$33))</f>
        <v>6146.82</v>
      </c>
      <c r="M91" s="1565" t="n">
        <f aca="false">D91</f>
        <v>2.61065535328591</v>
      </c>
      <c r="N91" s="1563" t="n">
        <f aca="false">L91*M91</f>
        <v>16047.2285386849</v>
      </c>
      <c r="O91" s="1540" t="n">
        <f aca="false">$F91</f>
        <v>480</v>
      </c>
      <c r="P91" s="1563" t="n">
        <f aca="false">N91*O91/1000</f>
        <v>7702.66969856874</v>
      </c>
      <c r="Q91" s="1565" t="n">
        <f aca="false">$H91</f>
        <v>2.45199315047208</v>
      </c>
      <c r="R91" s="394" t="n">
        <f aca="false">P91/Q91</f>
        <v>3141.39119723306</v>
      </c>
      <c r="S91" s="1579" t="str">
        <f aca="false">IF(MONTH($A91)=12,SUM(R80:R91)," ")</f>
        <v> </v>
      </c>
      <c r="U91" s="1595" t="n">
        <f aca="false">IF($A91&gt;Endyr,0,VLOOKUP($A91,Tariff_Table,Tariff!$I$33))</f>
        <v>2.32</v>
      </c>
      <c r="V91" s="1565" t="n">
        <f aca="false">D91</f>
        <v>2.61065535328591</v>
      </c>
      <c r="W91" s="1563" t="n">
        <f aca="false">U91*V91</f>
        <v>6.0567204196233</v>
      </c>
      <c r="X91" s="397" t="n">
        <f aca="false">VLOOKUP($A91,Plant_Table,'Plant Operations'!$M$270)</f>
        <v>298980.864</v>
      </c>
      <c r="Y91" s="630" t="n">
        <f aca="false">W91*X91/1000</f>
        <v>1810.84350406542</v>
      </c>
      <c r="Z91" s="1565" t="n">
        <f aca="false">$H91</f>
        <v>2.45199315047208</v>
      </c>
      <c r="AA91" s="1565" t="n">
        <f aca="false">H91</f>
        <v>2.45199315047208</v>
      </c>
      <c r="AB91" s="1609" t="n">
        <f aca="false">W91/AA91</f>
        <v>2.47012126377972</v>
      </c>
      <c r="AC91" s="1566" t="n">
        <f aca="false">Y91/Z91</f>
        <v>738.518989629632</v>
      </c>
      <c r="AD91" s="1567" t="str">
        <f aca="false">IF(MONTH($A91)=12,SUM(AC80:AC91)," ")</f>
        <v> </v>
      </c>
    </row>
    <row r="92" customFormat="false" ht="12.75" hidden="false" customHeight="false" outlineLevel="0" collapsed="false">
      <c r="A92" s="1538" t="n">
        <f aca="false">'Annex 12-Gas'!A92</f>
        <v>39387</v>
      </c>
      <c r="C92" s="1595" t="n">
        <f aca="false">IF($A92&gt;Endyr,0,VLOOKUP($A92,Tariff_Table,Tariff!$G$33))</f>
        <v>7433.43</v>
      </c>
      <c r="D92" s="1565" t="n">
        <f aca="false">VLOOKUP($A92,Curves_Table,Escalation!$AW$291)</f>
        <v>2.61065535328591</v>
      </c>
      <c r="E92" s="1563" t="n">
        <f aca="false">C92*D92</f>
        <v>19406.1238227761</v>
      </c>
      <c r="F92" s="1540" t="n">
        <f aca="false">VLOOKUP($A92,Plant_Table,'Plant Operations'!$C$270)</f>
        <v>480</v>
      </c>
      <c r="G92" s="1563" t="n">
        <f aca="false">E92*F92/1000</f>
        <v>9314.93943493251</v>
      </c>
      <c r="H92" s="1565" t="n">
        <f aca="false">IF(Assm!$L$74=0,VLOOKUP($A92,Curves_Table,Escalation!$D$291),VLOOKUP($A92,Curves_Table,Escalation!$E$291))</f>
        <v>2.45747743582601</v>
      </c>
      <c r="I92" s="394" t="n">
        <f aca="false">G92/H92</f>
        <v>3790.4475944055</v>
      </c>
      <c r="J92" s="1579" t="str">
        <f aca="false">IF(MONTH($A92)=12,SUM(I81:I92)," ")</f>
        <v> </v>
      </c>
      <c r="L92" s="1595" t="n">
        <f aca="false">IF($A92&gt;Endyr,0,VLOOKUP($A92,Tariff_Table,Tariff!$H$33))</f>
        <v>6146.82</v>
      </c>
      <c r="M92" s="1565" t="n">
        <f aca="false">D92</f>
        <v>2.61065535328591</v>
      </c>
      <c r="N92" s="1563" t="n">
        <f aca="false">L92*M92</f>
        <v>16047.2285386849</v>
      </c>
      <c r="O92" s="1540" t="n">
        <f aca="false">$F92</f>
        <v>480</v>
      </c>
      <c r="P92" s="1563" t="n">
        <f aca="false">N92*O92/1000</f>
        <v>7702.66969856874</v>
      </c>
      <c r="Q92" s="1565" t="n">
        <f aca="false">$H92</f>
        <v>2.45747743582601</v>
      </c>
      <c r="R92" s="394" t="n">
        <f aca="false">P92/Q92</f>
        <v>3134.38064019485</v>
      </c>
      <c r="S92" s="1579" t="str">
        <f aca="false">IF(MONTH($A92)=12,SUM(R81:R92)," ")</f>
        <v> </v>
      </c>
      <c r="U92" s="1595" t="n">
        <f aca="false">IF($A92&gt;Endyr,0,VLOOKUP($A92,Tariff_Table,Tariff!$I$33))</f>
        <v>2.32</v>
      </c>
      <c r="V92" s="1565" t="n">
        <f aca="false">D92</f>
        <v>2.61065535328591</v>
      </c>
      <c r="W92" s="1563" t="n">
        <f aca="false">U92*V92</f>
        <v>6.0567204196233</v>
      </c>
      <c r="X92" s="397" t="n">
        <f aca="false">VLOOKUP($A92,Plant_Table,'Plant Operations'!$M$270)</f>
        <v>289336.32</v>
      </c>
      <c r="Y92" s="630" t="n">
        <f aca="false">W92*X92/1000</f>
        <v>1752.42919748266</v>
      </c>
      <c r="Z92" s="1565" t="n">
        <f aca="false">$H92</f>
        <v>2.45747743582601</v>
      </c>
      <c r="AA92" s="1565" t="n">
        <f aca="false">H92</f>
        <v>2.45747743582601</v>
      </c>
      <c r="AB92" s="1609" t="n">
        <f aca="false">W92/AA92</f>
        <v>2.46460876153986</v>
      </c>
      <c r="AC92" s="1566" t="n">
        <f aca="false">Y92/Z92</f>
        <v>713.100829303701</v>
      </c>
      <c r="AD92" s="1567" t="str">
        <f aca="false">IF(MONTH($A92)=12,SUM(AC81:AC92)," ")</f>
        <v> </v>
      </c>
    </row>
    <row r="93" customFormat="false" ht="12.75" hidden="false" customHeight="false" outlineLevel="0" collapsed="false">
      <c r="A93" s="1538" t="n">
        <f aca="false">'Annex 12-Gas'!A93</f>
        <v>39417</v>
      </c>
      <c r="C93" s="1595" t="n">
        <f aca="false">IF($A93&gt;Endyr,0,VLOOKUP($A93,Tariff_Table,Tariff!$G$33))</f>
        <v>7433.43</v>
      </c>
      <c r="D93" s="1565" t="n">
        <f aca="false">VLOOKUP($A93,Curves_Table,Escalation!$AW$291)</f>
        <v>2.61065535328591</v>
      </c>
      <c r="E93" s="1563" t="n">
        <f aca="false">C93*D93</f>
        <v>19406.1238227761</v>
      </c>
      <c r="F93" s="1540" t="n">
        <f aca="false">VLOOKUP($A93,Plant_Table,'Plant Operations'!$C$270)</f>
        <v>480</v>
      </c>
      <c r="G93" s="1563" t="n">
        <f aca="false">E93*F93/1000</f>
        <v>9314.93943493251</v>
      </c>
      <c r="H93" s="1565" t="n">
        <f aca="false">IF(Assm!$L$74=0,VLOOKUP($A93,Curves_Table,Escalation!$D$291),VLOOKUP($A93,Curves_Table,Escalation!$E$291))</f>
        <v>2.46297398768479</v>
      </c>
      <c r="I93" s="394" t="n">
        <f aca="false">G93/H93</f>
        <v>3781.98855591188</v>
      </c>
      <c r="J93" s="1579" t="n">
        <f aca="false">IF(MONTH($A93)=12,SUM(I82:I93)," ")</f>
        <v>45938.0274917686</v>
      </c>
      <c r="L93" s="1595" t="n">
        <f aca="false">IF($A93&gt;Endyr,0,VLOOKUP($A93,Tariff_Table,Tariff!$H$33))</f>
        <v>6146.82</v>
      </c>
      <c r="M93" s="1565" t="n">
        <f aca="false">D93</f>
        <v>2.61065535328591</v>
      </c>
      <c r="N93" s="1563" t="n">
        <f aca="false">L93*M93</f>
        <v>16047.2285386849</v>
      </c>
      <c r="O93" s="1540" t="n">
        <f aca="false">$F93</f>
        <v>480</v>
      </c>
      <c r="P93" s="1563" t="n">
        <f aca="false">N93*O93/1000</f>
        <v>7702.66969856874</v>
      </c>
      <c r="Q93" s="1565" t="n">
        <f aca="false">$H93</f>
        <v>2.46297398768479</v>
      </c>
      <c r="R93" s="394" t="n">
        <f aca="false">P93/Q93</f>
        <v>3127.38572842554</v>
      </c>
      <c r="S93" s="1579" t="n">
        <f aca="false">IF(MONTH($A93)=12,SUM(R82:R93)," ")</f>
        <v>37966.5409372791</v>
      </c>
      <c r="U93" s="1595" t="n">
        <f aca="false">IF($A93&gt;Endyr,0,VLOOKUP($A93,Tariff_Table,Tariff!$I$33))</f>
        <v>2.32</v>
      </c>
      <c r="V93" s="1565" t="n">
        <f aca="false">D93</f>
        <v>2.61065535328591</v>
      </c>
      <c r="W93" s="1563" t="n">
        <f aca="false">U93*V93</f>
        <v>6.0567204196233</v>
      </c>
      <c r="X93" s="397" t="n">
        <f aca="false">VLOOKUP($A93,Plant_Table,'Plant Operations'!$M$270)</f>
        <v>298980.864</v>
      </c>
      <c r="Y93" s="630" t="n">
        <f aca="false">W93*X93/1000</f>
        <v>1810.84350406542</v>
      </c>
      <c r="Z93" s="1565" t="n">
        <f aca="false">$H93</f>
        <v>2.46297398768479</v>
      </c>
      <c r="AA93" s="1565" t="n">
        <f aca="false">H93</f>
        <v>2.46297398768479</v>
      </c>
      <c r="AB93" s="1609" t="n">
        <f aca="false">W93/AA93</f>
        <v>2.45910856140087</v>
      </c>
      <c r="AC93" s="1566" t="n">
        <f aca="false">Y93/Z93</f>
        <v>735.22640235743</v>
      </c>
      <c r="AD93" s="1567" t="n">
        <f aca="false">IF(MONTH($A93)=12,SUM(AC82:AC93)," ")</f>
        <v>8750.94679265171</v>
      </c>
    </row>
    <row r="94" customFormat="false" ht="12.75" hidden="false" customHeight="false" outlineLevel="0" collapsed="false">
      <c r="A94" s="1538" t="n">
        <f aca="false">'Annex 12-Gas'!A94</f>
        <v>39448</v>
      </c>
      <c r="C94" s="1595" t="n">
        <f aca="false">IF($A94&gt;Endyr,0,VLOOKUP($A94,Tariff_Table,Tariff!$G$33))</f>
        <v>7433.43</v>
      </c>
      <c r="D94" s="1565" t="n">
        <f aca="false">VLOOKUP($A94,Curves_Table,Escalation!$AW$291)</f>
        <v>2.61065535328591</v>
      </c>
      <c r="E94" s="1563" t="n">
        <f aca="false">C94*D94</f>
        <v>19406.1238227761</v>
      </c>
      <c r="F94" s="1540" t="n">
        <f aca="false">VLOOKUP($A94,Plant_Table,'Plant Operations'!$C$270)</f>
        <v>480</v>
      </c>
      <c r="G94" s="1563" t="n">
        <f aca="false">E94*F94/1000</f>
        <v>9314.93943493251</v>
      </c>
      <c r="H94" s="1565" t="n">
        <f aca="false">IF(Assm!$L$74=0,VLOOKUP($A94,Curves_Table,Escalation!$D$291),VLOOKUP($A94,Curves_Table,Escalation!$E$291))</f>
        <v>2.4681826378384</v>
      </c>
      <c r="I94" s="394" t="n">
        <f aca="false">G94/H94</f>
        <v>3774.00735753104</v>
      </c>
      <c r="J94" s="1579" t="str">
        <f aca="false">IF(MONTH($A94)=12,SUM(I83:I94)," ")</f>
        <v> </v>
      </c>
      <c r="L94" s="1595" t="n">
        <f aca="false">IF($A94&gt;Endyr,0,VLOOKUP($A94,Tariff_Table,Tariff!$H$33))</f>
        <v>6146.82</v>
      </c>
      <c r="M94" s="1565" t="n">
        <f aca="false">D94</f>
        <v>2.61065535328591</v>
      </c>
      <c r="N94" s="1563" t="n">
        <f aca="false">L94*M94</f>
        <v>16047.2285386849</v>
      </c>
      <c r="O94" s="1540" t="n">
        <f aca="false">$F94</f>
        <v>480</v>
      </c>
      <c r="P94" s="1563" t="n">
        <f aca="false">N94*O94/1000</f>
        <v>7702.66969856874</v>
      </c>
      <c r="Q94" s="1565" t="n">
        <f aca="false">$H94</f>
        <v>2.4681826378384</v>
      </c>
      <c r="R94" s="394" t="n">
        <f aca="false">P94/Q94</f>
        <v>3120.78595014939</v>
      </c>
      <c r="S94" s="1579" t="str">
        <f aca="false">IF(MONTH($A94)=12,SUM(R83:R94)," ")</f>
        <v> </v>
      </c>
      <c r="U94" s="1595" t="n">
        <f aca="false">IF($A94&gt;Endyr,0,VLOOKUP($A94,Tariff_Table,Tariff!$I$33))</f>
        <v>2.32</v>
      </c>
      <c r="V94" s="1565" t="n">
        <f aca="false">D94</f>
        <v>2.61065535328591</v>
      </c>
      <c r="W94" s="1563" t="n">
        <f aca="false">U94*V94</f>
        <v>6.0567204196233</v>
      </c>
      <c r="X94" s="397" t="n">
        <f aca="false">VLOOKUP($A94,Plant_Table,'Plant Operations'!$M$270)</f>
        <v>298980.864</v>
      </c>
      <c r="Y94" s="630" t="n">
        <f aca="false">W94*X94/1000</f>
        <v>1810.84350406542</v>
      </c>
      <c r="Z94" s="1565" t="n">
        <f aca="false">$H94</f>
        <v>2.4681826378384</v>
      </c>
      <c r="AA94" s="1565" t="n">
        <f aca="false">H94</f>
        <v>2.4681826378384</v>
      </c>
      <c r="AB94" s="1609" t="n">
        <f aca="false">W94/AA94</f>
        <v>2.45391906043375</v>
      </c>
      <c r="AC94" s="1566" t="n">
        <f aca="false">Y94/Z94</f>
        <v>733.67484087455</v>
      </c>
      <c r="AD94" s="1567" t="str">
        <f aca="false">IF(MONTH($A94)=12,SUM(AC83:AC94)," ")</f>
        <v> </v>
      </c>
    </row>
    <row r="95" customFormat="false" ht="12.75" hidden="false" customHeight="false" outlineLevel="0" collapsed="false">
      <c r="A95" s="1538" t="n">
        <f aca="false">'Annex 12-Gas'!A95</f>
        <v>39479</v>
      </c>
      <c r="C95" s="1595" t="n">
        <f aca="false">IF($A95&gt;Endyr,0,VLOOKUP($A95,Tariff_Table,Tariff!$G$33))</f>
        <v>7433.43</v>
      </c>
      <c r="D95" s="1565" t="n">
        <f aca="false">VLOOKUP($A95,Curves_Table,Escalation!$AW$291)</f>
        <v>2.61065535328591</v>
      </c>
      <c r="E95" s="1563" t="n">
        <f aca="false">C95*D95</f>
        <v>19406.1238227761</v>
      </c>
      <c r="F95" s="1540" t="n">
        <f aca="false">VLOOKUP($A95,Plant_Table,'Plant Operations'!$C$270)</f>
        <v>480</v>
      </c>
      <c r="G95" s="1563" t="n">
        <f aca="false">E95*F95/1000</f>
        <v>9314.93943493251</v>
      </c>
      <c r="H95" s="1565" t="n">
        <f aca="false">IF(Assm!$L$74=0,VLOOKUP($A95,Curves_Table,Escalation!$D$291),VLOOKUP($A95,Curves_Table,Escalation!$E$291))</f>
        <v>2.47340230314547</v>
      </c>
      <c r="I95" s="394" t="n">
        <f aca="false">G95/H95</f>
        <v>3766.0430020165</v>
      </c>
      <c r="J95" s="1579" t="str">
        <f aca="false">IF(MONTH($A95)=12,SUM(I84:I95)," ")</f>
        <v> </v>
      </c>
      <c r="L95" s="1595" t="n">
        <f aca="false">IF($A95&gt;Endyr,0,VLOOKUP($A95,Tariff_Table,Tariff!$H$33))</f>
        <v>6146.82</v>
      </c>
      <c r="M95" s="1565" t="n">
        <f aca="false">D95</f>
        <v>2.61065535328591</v>
      </c>
      <c r="N95" s="1563" t="n">
        <f aca="false">L95*M95</f>
        <v>16047.2285386849</v>
      </c>
      <c r="O95" s="1540" t="n">
        <f aca="false">$F95</f>
        <v>480</v>
      </c>
      <c r="P95" s="1563" t="n">
        <f aca="false">N95*O95/1000</f>
        <v>7702.66969856874</v>
      </c>
      <c r="Q95" s="1565" t="n">
        <f aca="false">$H95</f>
        <v>2.47340230314547</v>
      </c>
      <c r="R95" s="394" t="n">
        <f aca="false">P95/Q95</f>
        <v>3114.20009950387</v>
      </c>
      <c r="S95" s="1579" t="str">
        <f aca="false">IF(MONTH($A95)=12,SUM(R84:R95)," ")</f>
        <v> </v>
      </c>
      <c r="U95" s="1595" t="n">
        <f aca="false">IF($A95&gt;Endyr,0,VLOOKUP($A95,Tariff_Table,Tariff!$I$33))</f>
        <v>2.32</v>
      </c>
      <c r="V95" s="1565" t="n">
        <f aca="false">D95</f>
        <v>2.61065535328591</v>
      </c>
      <c r="W95" s="1563" t="n">
        <f aca="false">U95*V95</f>
        <v>6.0567204196233</v>
      </c>
      <c r="X95" s="397" t="n">
        <f aca="false">VLOOKUP($A95,Plant_Table,'Plant Operations'!$M$270)</f>
        <v>279691.776</v>
      </c>
      <c r="Y95" s="630" t="n">
        <f aca="false">W95*X95/1000</f>
        <v>1694.01489089991</v>
      </c>
      <c r="Z95" s="1565" t="n">
        <f aca="false">$H95</f>
        <v>2.47340230314547</v>
      </c>
      <c r="AA95" s="1565" t="n">
        <f aca="false">H95</f>
        <v>2.47340230314547</v>
      </c>
      <c r="AB95" s="1609" t="n">
        <f aca="false">W95/AA95</f>
        <v>2.44874051096373</v>
      </c>
      <c r="AC95" s="1566" t="n">
        <f aca="false">Y95/Z95</f>
        <v>684.892582474592</v>
      </c>
      <c r="AD95" s="1567" t="str">
        <f aca="false">IF(MONTH($A95)=12,SUM(AC84:AC95)," ")</f>
        <v> </v>
      </c>
    </row>
    <row r="96" customFormat="false" ht="12.75" hidden="false" customHeight="false" outlineLevel="0" collapsed="false">
      <c r="A96" s="1538" t="n">
        <f aca="false">'Annex 12-Gas'!A96</f>
        <v>39508</v>
      </c>
      <c r="C96" s="1595" t="n">
        <f aca="false">IF($A96&gt;Endyr,0,VLOOKUP($A96,Tariff_Table,Tariff!$G$33))</f>
        <v>7433.43</v>
      </c>
      <c r="D96" s="1565" t="n">
        <f aca="false">VLOOKUP($A96,Curves_Table,Escalation!$AW$291)</f>
        <v>2.61065535328591</v>
      </c>
      <c r="E96" s="1563" t="n">
        <f aca="false">C96*D96</f>
        <v>19406.1238227761</v>
      </c>
      <c r="F96" s="1540" t="n">
        <f aca="false">VLOOKUP($A96,Plant_Table,'Plant Operations'!$C$270)</f>
        <v>480</v>
      </c>
      <c r="G96" s="1563" t="n">
        <f aca="false">E96*F96/1000</f>
        <v>9314.93943493251</v>
      </c>
      <c r="H96" s="1565" t="n">
        <f aca="false">IF(Assm!$L$74=0,VLOOKUP($A96,Curves_Table,Escalation!$D$291),VLOOKUP($A96,Curves_Table,Escalation!$E$291))</f>
        <v>2.47863300690063</v>
      </c>
      <c r="I96" s="394" t="n">
        <f aca="false">G96/H96</f>
        <v>3758.09545382446</v>
      </c>
      <c r="J96" s="1579" t="str">
        <f aca="false">IF(MONTH($A96)=12,SUM(I85:I96)," ")</f>
        <v> </v>
      </c>
      <c r="L96" s="1595" t="n">
        <f aca="false">IF($A96&gt;Endyr,0,VLOOKUP($A96,Tariff_Table,Tariff!$H$33))</f>
        <v>6146.82</v>
      </c>
      <c r="M96" s="1565" t="n">
        <f aca="false">D96</f>
        <v>2.61065535328591</v>
      </c>
      <c r="N96" s="1563" t="n">
        <f aca="false">L96*M96</f>
        <v>16047.2285386849</v>
      </c>
      <c r="O96" s="1540" t="n">
        <f aca="false">$F96</f>
        <v>480</v>
      </c>
      <c r="P96" s="1563" t="n">
        <f aca="false">N96*O96/1000</f>
        <v>7702.66969856874</v>
      </c>
      <c r="Q96" s="1565" t="n">
        <f aca="false">$H96</f>
        <v>2.47863300690063</v>
      </c>
      <c r="R96" s="394" t="n">
        <f aca="false">P96/Q96</f>
        <v>3107.62814709727</v>
      </c>
      <c r="S96" s="1579" t="str">
        <f aca="false">IF(MONTH($A96)=12,SUM(R85:R96)," ")</f>
        <v> </v>
      </c>
      <c r="U96" s="1595" t="n">
        <f aca="false">IF($A96&gt;Endyr,0,VLOOKUP($A96,Tariff_Table,Tariff!$I$33))</f>
        <v>2.32</v>
      </c>
      <c r="V96" s="1565" t="n">
        <f aca="false">D96</f>
        <v>2.61065535328591</v>
      </c>
      <c r="W96" s="1563" t="n">
        <f aca="false">U96*V96</f>
        <v>6.0567204196233</v>
      </c>
      <c r="X96" s="397" t="n">
        <f aca="false">VLOOKUP($A96,Plant_Table,'Plant Operations'!$M$270)</f>
        <v>298980.864</v>
      </c>
      <c r="Y96" s="630" t="n">
        <f aca="false">W96*X96/1000</f>
        <v>1810.84350406542</v>
      </c>
      <c r="Z96" s="1565" t="n">
        <f aca="false">$H96</f>
        <v>2.47863300690063</v>
      </c>
      <c r="AA96" s="1565" t="n">
        <f aca="false">H96</f>
        <v>2.47863300690063</v>
      </c>
      <c r="AB96" s="1609" t="n">
        <f aca="false">W96/AA96</f>
        <v>2.44357288987967</v>
      </c>
      <c r="AC96" s="1566" t="n">
        <f aca="false">Y96/Z96</f>
        <v>730.5815338632</v>
      </c>
      <c r="AD96" s="1567" t="str">
        <f aca="false">IF(MONTH($A96)=12,SUM(AC85:AC96)," ")</f>
        <v> </v>
      </c>
    </row>
    <row r="97" customFormat="false" ht="12.75" hidden="false" customHeight="false" outlineLevel="0" collapsed="false">
      <c r="A97" s="1538" t="n">
        <f aca="false">'Annex 12-Gas'!A97</f>
        <v>39539</v>
      </c>
      <c r="C97" s="1595" t="n">
        <f aca="false">IF($A97&gt;Endyr,0,VLOOKUP($A97,Tariff_Table,Tariff!$G$33))</f>
        <v>7433.43</v>
      </c>
      <c r="D97" s="1565" t="n">
        <f aca="false">VLOOKUP($A97,Curves_Table,Escalation!$AW$291)</f>
        <v>2.61065535328591</v>
      </c>
      <c r="E97" s="1563" t="n">
        <f aca="false">C97*D97</f>
        <v>19406.1238227761</v>
      </c>
      <c r="F97" s="1540" t="n">
        <f aca="false">VLOOKUP($A97,Plant_Table,'Plant Operations'!$C$270)</f>
        <v>480</v>
      </c>
      <c r="G97" s="1563" t="n">
        <f aca="false">E97*F97/1000</f>
        <v>9314.93943493251</v>
      </c>
      <c r="H97" s="1565" t="n">
        <f aca="false">IF(Assm!$L$74=0,VLOOKUP($A97,Curves_Table,Escalation!$D$291),VLOOKUP($A97,Curves_Table,Escalation!$E$291))</f>
        <v>2.48387477244777</v>
      </c>
      <c r="I97" s="394" t="n">
        <f aca="false">G97/H97</f>
        <v>3750.16467748612</v>
      </c>
      <c r="J97" s="1579" t="str">
        <f aca="false">IF(MONTH($A97)=12,SUM(I86:I97)," ")</f>
        <v> </v>
      </c>
      <c r="L97" s="1595" t="n">
        <f aca="false">IF($A97&gt;Endyr,0,VLOOKUP($A97,Tariff_Table,Tariff!$H$33))</f>
        <v>6146.82</v>
      </c>
      <c r="M97" s="1565" t="n">
        <f aca="false">D97</f>
        <v>2.61065535328591</v>
      </c>
      <c r="N97" s="1563" t="n">
        <f aca="false">L97*M97</f>
        <v>16047.2285386849</v>
      </c>
      <c r="O97" s="1540" t="n">
        <f aca="false">$F97</f>
        <v>480</v>
      </c>
      <c r="P97" s="1563" t="n">
        <f aca="false">N97*O97/1000</f>
        <v>7702.66969856874</v>
      </c>
      <c r="Q97" s="1565" t="n">
        <f aca="false">$H97</f>
        <v>2.48387477244777</v>
      </c>
      <c r="R97" s="394" t="n">
        <f aca="false">P97/Q97</f>
        <v>3101.07006359988</v>
      </c>
      <c r="S97" s="1579" t="str">
        <f aca="false">IF(MONTH($A97)=12,SUM(R86:R97)," ")</f>
        <v> </v>
      </c>
      <c r="U97" s="1595" t="n">
        <f aca="false">IF($A97&gt;Endyr,0,VLOOKUP($A97,Tariff_Table,Tariff!$I$33))</f>
        <v>2.32</v>
      </c>
      <c r="V97" s="1565" t="n">
        <f aca="false">D97</f>
        <v>2.61065535328591</v>
      </c>
      <c r="W97" s="1563" t="n">
        <f aca="false">U97*V97</f>
        <v>6.0567204196233</v>
      </c>
      <c r="X97" s="397" t="n">
        <f aca="false">VLOOKUP($A97,Plant_Table,'Plant Operations'!$M$270)</f>
        <v>289336.32</v>
      </c>
      <c r="Y97" s="630" t="n">
        <f aca="false">W97*X97/1000</f>
        <v>1752.42919748266</v>
      </c>
      <c r="Z97" s="1565" t="n">
        <f aca="false">$H97</f>
        <v>2.48387477244777</v>
      </c>
      <c r="AA97" s="1565" t="n">
        <f aca="false">H97</f>
        <v>2.48387477244777</v>
      </c>
      <c r="AB97" s="1609" t="n">
        <f aca="false">W97/AA97</f>
        <v>2.43841617411921</v>
      </c>
      <c r="AC97" s="1566" t="n">
        <f aca="false">Y97/Z97</f>
        <v>705.52236244813</v>
      </c>
      <c r="AD97" s="1567" t="str">
        <f aca="false">IF(MONTH($A97)=12,SUM(AC86:AC97)," ")</f>
        <v> </v>
      </c>
    </row>
    <row r="98" customFormat="false" ht="12.75" hidden="false" customHeight="false" outlineLevel="0" collapsed="false">
      <c r="A98" s="1538" t="n">
        <f aca="false">'Annex 12-Gas'!A98</f>
        <v>39569</v>
      </c>
      <c r="C98" s="1595" t="n">
        <f aca="false">IF($A98&gt;Endyr,0,VLOOKUP($A98,Tariff_Table,Tariff!$G$33))</f>
        <v>7424.62</v>
      </c>
      <c r="D98" s="1565" t="n">
        <f aca="false">VLOOKUP($A98,Curves_Table,Escalation!$AW$291)</f>
        <v>2.61065535328591</v>
      </c>
      <c r="E98" s="1563" t="n">
        <f aca="false">C98*D98</f>
        <v>19383.1239491136</v>
      </c>
      <c r="F98" s="1540" t="n">
        <f aca="false">VLOOKUP($A98,Plant_Table,'Plant Operations'!$C$270)</f>
        <v>480</v>
      </c>
      <c r="G98" s="1563" t="n">
        <f aca="false">E98*F98/1000</f>
        <v>9303.89949557453</v>
      </c>
      <c r="H98" s="1565" t="n">
        <f aca="false">IF(Assm!$L$74=0,VLOOKUP($A98,Curves_Table,Escalation!$D$291),VLOOKUP($A98,Curves_Table,Escalation!$E$291))</f>
        <v>2.48912762318016</v>
      </c>
      <c r="I98" s="394" t="n">
        <f aca="false">G98/H98</f>
        <v>3737.81537311762</v>
      </c>
      <c r="J98" s="1579" t="str">
        <f aca="false">IF(MONTH($A98)=12,SUM(I87:I98)," ")</f>
        <v> </v>
      </c>
      <c r="L98" s="1595" t="n">
        <f aca="false">IF($A98&gt;Endyr,0,VLOOKUP($A98,Tariff_Table,Tariff!$H$33))</f>
        <v>6118.02</v>
      </c>
      <c r="M98" s="1565" t="n">
        <f aca="false">D98</f>
        <v>2.61065535328591</v>
      </c>
      <c r="N98" s="1563" t="n">
        <f aca="false">L98*M98</f>
        <v>15972.0416645102</v>
      </c>
      <c r="O98" s="1540" t="n">
        <f aca="false">$F98</f>
        <v>480</v>
      </c>
      <c r="P98" s="1563" t="n">
        <f aca="false">N98*O98/1000</f>
        <v>7666.57999896492</v>
      </c>
      <c r="Q98" s="1565" t="n">
        <f aca="false">$H98</f>
        <v>2.48912762318016</v>
      </c>
      <c r="R98" s="394" t="n">
        <f aca="false">P98/Q98</f>
        <v>3080.02688474845</v>
      </c>
      <c r="S98" s="1579" t="str">
        <f aca="false">IF(MONTH($A98)=12,SUM(R87:R98)," ")</f>
        <v> </v>
      </c>
      <c r="U98" s="1595" t="n">
        <f aca="false">IF($A98&gt;Endyr,0,VLOOKUP($A98,Tariff_Table,Tariff!$I$33))</f>
        <v>2.31</v>
      </c>
      <c r="V98" s="1565" t="n">
        <f aca="false">D98</f>
        <v>2.61065535328591</v>
      </c>
      <c r="W98" s="1563" t="n">
        <f aca="false">U98*V98</f>
        <v>6.03061386609044</v>
      </c>
      <c r="X98" s="397" t="n">
        <f aca="false">VLOOKUP($A98,Plant_Table,'Plant Operations'!$M$270)</f>
        <v>298980.864</v>
      </c>
      <c r="Y98" s="630" t="n">
        <f aca="false">W98*X98/1000</f>
        <v>1803.0381441341</v>
      </c>
      <c r="Z98" s="1565" t="n">
        <f aca="false">$H98</f>
        <v>2.48912762318016</v>
      </c>
      <c r="AA98" s="1565" t="n">
        <f aca="false">H98</f>
        <v>2.48912762318016</v>
      </c>
      <c r="AB98" s="1609" t="n">
        <f aca="false">W98/AA98</f>
        <v>2.42278210644161</v>
      </c>
      <c r="AC98" s="1566" t="n">
        <f aca="false">Y98/Z98</f>
        <v>724.365487467654</v>
      </c>
      <c r="AD98" s="1567" t="str">
        <f aca="false">IF(MONTH($A98)=12,SUM(AC87:AC98)," ")</f>
        <v> </v>
      </c>
    </row>
    <row r="99" customFormat="false" ht="12.75" hidden="false" customHeight="false" outlineLevel="0" collapsed="false">
      <c r="A99" s="1538" t="n">
        <f aca="false">'Annex 12-Gas'!A99</f>
        <v>39600</v>
      </c>
      <c r="C99" s="1595" t="n">
        <f aca="false">IF($A99&gt;Endyr,0,VLOOKUP($A99,Tariff_Table,Tariff!$G$33))</f>
        <v>7424.62</v>
      </c>
      <c r="D99" s="1565" t="n">
        <f aca="false">VLOOKUP($A99,Curves_Table,Escalation!$AW$291)</f>
        <v>2.61065535328591</v>
      </c>
      <c r="E99" s="1563" t="n">
        <f aca="false">C99*D99</f>
        <v>19383.1239491136</v>
      </c>
      <c r="F99" s="1540" t="n">
        <f aca="false">VLOOKUP($A99,Plant_Table,'Plant Operations'!$C$270)</f>
        <v>480</v>
      </c>
      <c r="G99" s="1563" t="n">
        <f aca="false">E99*F99/1000</f>
        <v>9303.89949557453</v>
      </c>
      <c r="H99" s="1565" t="n">
        <f aca="false">IF(Assm!$L$74=0,VLOOKUP($A99,Curves_Table,Escalation!$D$291),VLOOKUP($A99,Curves_Table,Escalation!$E$291))</f>
        <v>2.49439158254055</v>
      </c>
      <c r="I99" s="394" t="n">
        <f aca="false">G99/H99</f>
        <v>3729.92739419786</v>
      </c>
      <c r="J99" s="1579" t="str">
        <f aca="false">IF(MONTH($A99)=12,SUM(I88:I99)," ")</f>
        <v> </v>
      </c>
      <c r="L99" s="1595" t="n">
        <f aca="false">IF($A99&gt;Endyr,0,VLOOKUP($A99,Tariff_Table,Tariff!$H$33))</f>
        <v>6118.02</v>
      </c>
      <c r="M99" s="1565" t="n">
        <f aca="false">D99</f>
        <v>2.61065535328591</v>
      </c>
      <c r="N99" s="1563" t="n">
        <f aca="false">L99*M99</f>
        <v>15972.0416645102</v>
      </c>
      <c r="O99" s="1540" t="n">
        <f aca="false">$F99</f>
        <v>480</v>
      </c>
      <c r="P99" s="1563" t="n">
        <f aca="false">N99*O99/1000</f>
        <v>7666.57999896492</v>
      </c>
      <c r="Q99" s="1565" t="n">
        <f aca="false">$H99</f>
        <v>2.49439158254055</v>
      </c>
      <c r="R99" s="394" t="n">
        <f aca="false">P99/Q99</f>
        <v>3073.52704869076</v>
      </c>
      <c r="S99" s="1579" t="str">
        <f aca="false">IF(MONTH($A99)=12,SUM(R88:R99)," ")</f>
        <v> </v>
      </c>
      <c r="U99" s="1595" t="n">
        <f aca="false">IF($A99&gt;Endyr,0,VLOOKUP($A99,Tariff_Table,Tariff!$I$33))</f>
        <v>2.31</v>
      </c>
      <c r="V99" s="1565" t="n">
        <f aca="false">D99</f>
        <v>2.61065535328591</v>
      </c>
      <c r="W99" s="1563" t="n">
        <f aca="false">U99*V99</f>
        <v>6.03061386609044</v>
      </c>
      <c r="X99" s="397" t="n">
        <f aca="false">VLOOKUP($A99,Plant_Table,'Plant Operations'!$M$270)</f>
        <v>289336.32</v>
      </c>
      <c r="Y99" s="630" t="n">
        <f aca="false">W99*X99/1000</f>
        <v>1744.87562335558</v>
      </c>
      <c r="Z99" s="1565" t="n">
        <f aca="false">$H99</f>
        <v>2.49439158254055</v>
      </c>
      <c r="AA99" s="1565" t="n">
        <f aca="false">H99</f>
        <v>2.49439158254055</v>
      </c>
      <c r="AB99" s="1609" t="n">
        <f aca="false">W99/AA99</f>
        <v>2.41766926584488</v>
      </c>
      <c r="AC99" s="1566" t="n">
        <f aca="false">Y99/Z99</f>
        <v>699.519528356659</v>
      </c>
      <c r="AD99" s="1567" t="str">
        <f aca="false">IF(MONTH($A99)=12,SUM(AC88:AC99)," ")</f>
        <v> </v>
      </c>
    </row>
    <row r="100" customFormat="false" ht="12.75" hidden="false" customHeight="false" outlineLevel="0" collapsed="false">
      <c r="A100" s="1538" t="n">
        <f aca="false">'Annex 12-Gas'!A100</f>
        <v>39630</v>
      </c>
      <c r="C100" s="1595" t="n">
        <f aca="false">IF($A100&gt;Endyr,0,VLOOKUP($A100,Tariff_Table,Tariff!$G$33))</f>
        <v>7424.62</v>
      </c>
      <c r="D100" s="1565" t="n">
        <f aca="false">VLOOKUP($A100,Curves_Table,Escalation!$AW$291)</f>
        <v>2.61065535328591</v>
      </c>
      <c r="E100" s="1563" t="n">
        <f aca="false">C100*D100</f>
        <v>19383.1239491136</v>
      </c>
      <c r="F100" s="1540" t="n">
        <f aca="false">VLOOKUP($A100,Plant_Table,'Plant Operations'!$C$270)</f>
        <v>480</v>
      </c>
      <c r="G100" s="1563" t="n">
        <f aca="false">E100*F100/1000</f>
        <v>9303.89949557453</v>
      </c>
      <c r="H100" s="1565" t="n">
        <f aca="false">IF(Assm!$L$74=0,VLOOKUP($A100,Curves_Table,Escalation!$D$291),VLOOKUP($A100,Curves_Table,Escalation!$E$291))</f>
        <v>2.49966667402123</v>
      </c>
      <c r="I100" s="394" t="n">
        <f aca="false">G100/H100</f>
        <v>3722.0560614217</v>
      </c>
      <c r="J100" s="1579" t="str">
        <f aca="false">IF(MONTH($A100)=12,SUM(I89:I100)," ")</f>
        <v> </v>
      </c>
      <c r="L100" s="1595" t="n">
        <f aca="false">IF($A100&gt;Endyr,0,VLOOKUP($A100,Tariff_Table,Tariff!$H$33))</f>
        <v>6118.02</v>
      </c>
      <c r="M100" s="1565" t="n">
        <f aca="false">D100</f>
        <v>2.61065535328591</v>
      </c>
      <c r="N100" s="1563" t="n">
        <f aca="false">L100*M100</f>
        <v>15972.0416645102</v>
      </c>
      <c r="O100" s="1540" t="n">
        <f aca="false">$F100</f>
        <v>480</v>
      </c>
      <c r="P100" s="1563" t="n">
        <f aca="false">N100*O100/1000</f>
        <v>7666.57999896492</v>
      </c>
      <c r="Q100" s="1565" t="n">
        <f aca="false">$H100</f>
        <v>2.49966667402123</v>
      </c>
      <c r="R100" s="394" t="n">
        <f aca="false">P100/Q100</f>
        <v>3067.04092935385</v>
      </c>
      <c r="S100" s="1579" t="str">
        <f aca="false">IF(MONTH($A100)=12,SUM(R89:R100)," ")</f>
        <v> </v>
      </c>
      <c r="U100" s="1595" t="n">
        <f aca="false">IF($A100&gt;Endyr,0,VLOOKUP($A100,Tariff_Table,Tariff!$I$33))</f>
        <v>2.31</v>
      </c>
      <c r="V100" s="1565" t="n">
        <f aca="false">D100</f>
        <v>2.61065535328591</v>
      </c>
      <c r="W100" s="1563" t="n">
        <f aca="false">U100*V100</f>
        <v>6.03061386609044</v>
      </c>
      <c r="X100" s="397" t="n">
        <f aca="false">VLOOKUP($A100,Plant_Table,'Plant Operations'!$M$270)</f>
        <v>298980.864</v>
      </c>
      <c r="Y100" s="630" t="n">
        <f aca="false">W100*X100/1000</f>
        <v>1803.0381441341</v>
      </c>
      <c r="Z100" s="1565" t="n">
        <f aca="false">$H100</f>
        <v>2.49966667402123</v>
      </c>
      <c r="AA100" s="1565" t="n">
        <f aca="false">H100</f>
        <v>2.49966667402123</v>
      </c>
      <c r="AB100" s="1609" t="n">
        <f aca="false">W100/AA100</f>
        <v>2.41256721496749</v>
      </c>
      <c r="AC100" s="1566" t="n">
        <f aca="false">Y100/Z100</f>
        <v>721.311430389054</v>
      </c>
      <c r="AD100" s="1567" t="str">
        <f aca="false">IF(MONTH($A100)=12,SUM(AC89:AC100)," ")</f>
        <v> </v>
      </c>
    </row>
    <row r="101" customFormat="false" ht="12.75" hidden="false" customHeight="false" outlineLevel="0" collapsed="false">
      <c r="A101" s="1538" t="n">
        <f aca="false">'Annex 12-Gas'!A101</f>
        <v>39661</v>
      </c>
      <c r="C101" s="1595" t="n">
        <f aca="false">IF($A101&gt;Endyr,0,VLOOKUP($A101,Tariff_Table,Tariff!$G$33))</f>
        <v>7424.62</v>
      </c>
      <c r="D101" s="1565" t="n">
        <f aca="false">VLOOKUP($A101,Curves_Table,Escalation!$AW$291)</f>
        <v>2.61065535328591</v>
      </c>
      <c r="E101" s="1563" t="n">
        <f aca="false">C101*D101</f>
        <v>19383.1239491136</v>
      </c>
      <c r="F101" s="1540" t="n">
        <f aca="false">VLOOKUP($A101,Plant_Table,'Plant Operations'!$C$270)</f>
        <v>480</v>
      </c>
      <c r="G101" s="1563" t="n">
        <f aca="false">E101*F101/1000</f>
        <v>9303.89949557453</v>
      </c>
      <c r="H101" s="1565" t="n">
        <f aca="false">IF(Assm!$L$74=0,VLOOKUP($A101,Curves_Table,Escalation!$D$291),VLOOKUP($A101,Curves_Table,Escalation!$E$291))</f>
        <v>2.50495292116421</v>
      </c>
      <c r="I101" s="394" t="n">
        <f aca="false">G101/H101</f>
        <v>3714.20133966048</v>
      </c>
      <c r="J101" s="1579" t="str">
        <f aca="false">IF(MONTH($A101)=12,SUM(I90:I101)," ")</f>
        <v> </v>
      </c>
      <c r="L101" s="1595" t="n">
        <f aca="false">IF($A101&gt;Endyr,0,VLOOKUP($A101,Tariff_Table,Tariff!$H$33))</f>
        <v>6118.02</v>
      </c>
      <c r="M101" s="1565" t="n">
        <f aca="false">D101</f>
        <v>2.61065535328591</v>
      </c>
      <c r="N101" s="1563" t="n">
        <f aca="false">L101*M101</f>
        <v>15972.0416645102</v>
      </c>
      <c r="O101" s="1540" t="n">
        <f aca="false">$F101</f>
        <v>480</v>
      </c>
      <c r="P101" s="1563" t="n">
        <f aca="false">N101*O101/1000</f>
        <v>7666.57999896492</v>
      </c>
      <c r="Q101" s="1565" t="n">
        <f aca="false">$H101</f>
        <v>2.50495292116421</v>
      </c>
      <c r="R101" s="394" t="n">
        <f aca="false">P101/Q101</f>
        <v>3060.56849779108</v>
      </c>
      <c r="S101" s="1579" t="str">
        <f aca="false">IF(MONTH($A101)=12,SUM(R90:R101)," ")</f>
        <v> </v>
      </c>
      <c r="U101" s="1595" t="n">
        <f aca="false">IF($A101&gt;Endyr,0,VLOOKUP($A101,Tariff_Table,Tariff!$I$33))</f>
        <v>2.31</v>
      </c>
      <c r="V101" s="1565" t="n">
        <f aca="false">D101</f>
        <v>2.61065535328591</v>
      </c>
      <c r="W101" s="1563" t="n">
        <f aca="false">U101*V101</f>
        <v>6.03061386609044</v>
      </c>
      <c r="X101" s="397" t="n">
        <f aca="false">VLOOKUP($A101,Plant_Table,'Plant Operations'!$M$270)</f>
        <v>298980.864</v>
      </c>
      <c r="Y101" s="630" t="n">
        <f aca="false">W101*X101/1000</f>
        <v>1803.0381441341</v>
      </c>
      <c r="Z101" s="1565" t="n">
        <f aca="false">$H101</f>
        <v>2.50495292116421</v>
      </c>
      <c r="AA101" s="1565" t="n">
        <f aca="false">H101</f>
        <v>2.50495292116421</v>
      </c>
      <c r="AB101" s="1609" t="n">
        <f aca="false">W101/AA101</f>
        <v>2.40747593103971</v>
      </c>
      <c r="AC101" s="1566" t="n">
        <f aca="false">Y101/Z101</f>
        <v>719.789233921457</v>
      </c>
      <c r="AD101" s="1567" t="str">
        <f aca="false">IF(MONTH($A101)=12,SUM(AC90:AC101)," ")</f>
        <v> </v>
      </c>
    </row>
    <row r="102" customFormat="false" ht="12.75" hidden="false" customHeight="false" outlineLevel="0" collapsed="false">
      <c r="A102" s="1538" t="n">
        <f aca="false">'Annex 12-Gas'!A102</f>
        <v>39692</v>
      </c>
      <c r="C102" s="1595" t="n">
        <f aca="false">IF($A102&gt;Endyr,0,VLOOKUP($A102,Tariff_Table,Tariff!$G$33))</f>
        <v>7424.62</v>
      </c>
      <c r="D102" s="1565" t="n">
        <f aca="false">VLOOKUP($A102,Curves_Table,Escalation!$AW$291)</f>
        <v>2.61065535328591</v>
      </c>
      <c r="E102" s="1563" t="n">
        <f aca="false">C102*D102</f>
        <v>19383.1239491136</v>
      </c>
      <c r="F102" s="1540" t="n">
        <f aca="false">VLOOKUP($A102,Plant_Table,'Plant Operations'!$C$270)</f>
        <v>480</v>
      </c>
      <c r="G102" s="1563" t="n">
        <f aca="false">E102*F102/1000</f>
        <v>9303.89949557453</v>
      </c>
      <c r="H102" s="1565" t="n">
        <f aca="false">IF(Assm!$L$74=0,VLOOKUP($A102,Curves_Table,Escalation!$D$291),VLOOKUP($A102,Curves_Table,Escalation!$E$291))</f>
        <v>2.51025034756126</v>
      </c>
      <c r="I102" s="394" t="n">
        <f aca="false">G102/H102</f>
        <v>3706.36319385968</v>
      </c>
      <c r="J102" s="1579" t="str">
        <f aca="false">IF(MONTH($A102)=12,SUM(I91:I102)," ")</f>
        <v> </v>
      </c>
      <c r="L102" s="1595" t="n">
        <f aca="false">IF($A102&gt;Endyr,0,VLOOKUP($A102,Tariff_Table,Tariff!$H$33))</f>
        <v>6118.02</v>
      </c>
      <c r="M102" s="1565" t="n">
        <f aca="false">D102</f>
        <v>2.61065535328591</v>
      </c>
      <c r="N102" s="1563" t="n">
        <f aca="false">L102*M102</f>
        <v>15972.0416645102</v>
      </c>
      <c r="O102" s="1540" t="n">
        <f aca="false">$F102</f>
        <v>480</v>
      </c>
      <c r="P102" s="1563" t="n">
        <f aca="false">N102*O102/1000</f>
        <v>7666.57999896492</v>
      </c>
      <c r="Q102" s="1565" t="n">
        <f aca="false">$H102</f>
        <v>2.51025034756126</v>
      </c>
      <c r="R102" s="394" t="n">
        <f aca="false">P102/Q102</f>
        <v>3054.10972511689</v>
      </c>
      <c r="S102" s="1579" t="str">
        <f aca="false">IF(MONTH($A102)=12,SUM(R91:R102)," ")</f>
        <v> </v>
      </c>
      <c r="U102" s="1595" t="n">
        <f aca="false">IF($A102&gt;Endyr,0,VLOOKUP($A102,Tariff_Table,Tariff!$I$33))</f>
        <v>2.31</v>
      </c>
      <c r="V102" s="1565" t="n">
        <f aca="false">D102</f>
        <v>2.61065535328591</v>
      </c>
      <c r="W102" s="1563" t="n">
        <f aca="false">U102*V102</f>
        <v>6.03061386609044</v>
      </c>
      <c r="X102" s="397" t="n">
        <f aca="false">VLOOKUP($A102,Plant_Table,'Plant Operations'!$M$270)</f>
        <v>289336.32</v>
      </c>
      <c r="Y102" s="630" t="n">
        <f aca="false">W102*X102/1000</f>
        <v>1744.87562335558</v>
      </c>
      <c r="Z102" s="1565" t="n">
        <f aca="false">$H102</f>
        <v>2.51025034756126</v>
      </c>
      <c r="AA102" s="1565" t="n">
        <f aca="false">H102</f>
        <v>2.51025034756126</v>
      </c>
      <c r="AB102" s="1609" t="n">
        <f aca="false">W102/AA102</f>
        <v>2.40239539133985</v>
      </c>
      <c r="AC102" s="1566" t="n">
        <f aca="false">Y102/Z102</f>
        <v>695.100241715233</v>
      </c>
      <c r="AD102" s="1567" t="str">
        <f aca="false">IF(MONTH($A102)=12,SUM(AC91:AC102)," ")</f>
        <v> </v>
      </c>
    </row>
    <row r="103" customFormat="false" ht="12.75" hidden="false" customHeight="false" outlineLevel="0" collapsed="false">
      <c r="A103" s="1538" t="n">
        <f aca="false">'Annex 12-Gas'!A103</f>
        <v>39722</v>
      </c>
      <c r="C103" s="1595" t="n">
        <f aca="false">IF($A103&gt;Endyr,0,VLOOKUP($A103,Tariff_Table,Tariff!$G$33))</f>
        <v>7424.62</v>
      </c>
      <c r="D103" s="1565" t="n">
        <f aca="false">VLOOKUP($A103,Curves_Table,Escalation!$AW$291)</f>
        <v>2.61065535328591</v>
      </c>
      <c r="E103" s="1563" t="n">
        <f aca="false">C103*D103</f>
        <v>19383.1239491136</v>
      </c>
      <c r="F103" s="1540" t="n">
        <f aca="false">VLOOKUP($A103,Plant_Table,'Plant Operations'!$C$270)</f>
        <v>480</v>
      </c>
      <c r="G103" s="1563" t="n">
        <f aca="false">E103*F103/1000</f>
        <v>9303.89949557453</v>
      </c>
      <c r="H103" s="1565" t="n">
        <f aca="false">IF(Assm!$L$74=0,VLOOKUP($A103,Curves_Table,Escalation!$D$291),VLOOKUP($A103,Curves_Table,Escalation!$E$291))</f>
        <v>2.51555897685407</v>
      </c>
      <c r="I103" s="394" t="n">
        <f aca="false">G103/H103</f>
        <v>3698.54158903875</v>
      </c>
      <c r="J103" s="1579" t="str">
        <f aca="false">IF(MONTH($A103)=12,SUM(I92:I103)," ")</f>
        <v> </v>
      </c>
      <c r="L103" s="1595" t="n">
        <f aca="false">IF($A103&gt;Endyr,0,VLOOKUP($A103,Tariff_Table,Tariff!$H$33))</f>
        <v>6118.02</v>
      </c>
      <c r="M103" s="1565" t="n">
        <f aca="false">D103</f>
        <v>2.61065535328591</v>
      </c>
      <c r="N103" s="1563" t="n">
        <f aca="false">L103*M103</f>
        <v>15972.0416645102</v>
      </c>
      <c r="O103" s="1540" t="n">
        <f aca="false">$F103</f>
        <v>480</v>
      </c>
      <c r="P103" s="1563" t="n">
        <f aca="false">N103*O103/1000</f>
        <v>7666.57999896492</v>
      </c>
      <c r="Q103" s="1565" t="n">
        <f aca="false">$H103</f>
        <v>2.51555897685407</v>
      </c>
      <c r="R103" s="394" t="n">
        <f aca="false">P103/Q103</f>
        <v>3047.66458250669</v>
      </c>
      <c r="S103" s="1579" t="str">
        <f aca="false">IF(MONTH($A103)=12,SUM(R92:R103)," ")</f>
        <v> </v>
      </c>
      <c r="U103" s="1595" t="n">
        <f aca="false">IF($A103&gt;Endyr,0,VLOOKUP($A103,Tariff_Table,Tariff!$I$33))</f>
        <v>2.31</v>
      </c>
      <c r="V103" s="1565" t="n">
        <f aca="false">D103</f>
        <v>2.61065535328591</v>
      </c>
      <c r="W103" s="1563" t="n">
        <f aca="false">U103*V103</f>
        <v>6.03061386609044</v>
      </c>
      <c r="X103" s="397" t="n">
        <f aca="false">VLOOKUP($A103,Plant_Table,'Plant Operations'!$M$270)</f>
        <v>298980.864</v>
      </c>
      <c r="Y103" s="630" t="n">
        <f aca="false">W103*X103/1000</f>
        <v>1803.0381441341</v>
      </c>
      <c r="Z103" s="1565" t="n">
        <f aca="false">$H103</f>
        <v>2.51555897685407</v>
      </c>
      <c r="AA103" s="1565" t="n">
        <f aca="false">H103</f>
        <v>2.51555897685407</v>
      </c>
      <c r="AB103" s="1609" t="n">
        <f aca="false">W103/AA103</f>
        <v>2.39732557319418</v>
      </c>
      <c r="AC103" s="1566" t="n">
        <f aca="false">Y103/Z103</f>
        <v>716.754471162891</v>
      </c>
      <c r="AD103" s="1567" t="str">
        <f aca="false">IF(MONTH($A103)=12,SUM(AC92:AC103)," ")</f>
        <v> </v>
      </c>
    </row>
    <row r="104" customFormat="false" ht="12.75" hidden="false" customHeight="false" outlineLevel="0" collapsed="false">
      <c r="A104" s="1538" t="n">
        <f aca="false">'Annex 12-Gas'!A104</f>
        <v>39753</v>
      </c>
      <c r="C104" s="1595" t="n">
        <f aca="false">IF($A104&gt;Endyr,0,VLOOKUP($A104,Tariff_Table,Tariff!$G$33))</f>
        <v>7424.62</v>
      </c>
      <c r="D104" s="1565" t="n">
        <f aca="false">VLOOKUP($A104,Curves_Table,Escalation!$AW$291)</f>
        <v>2.61065535328591</v>
      </c>
      <c r="E104" s="1563" t="n">
        <f aca="false">C104*D104</f>
        <v>19383.1239491136</v>
      </c>
      <c r="F104" s="1540" t="n">
        <f aca="false">VLOOKUP($A104,Plant_Table,'Plant Operations'!$C$270)</f>
        <v>480</v>
      </c>
      <c r="G104" s="1563" t="n">
        <f aca="false">E104*F104/1000</f>
        <v>9303.89949557453</v>
      </c>
      <c r="H104" s="1565" t="n">
        <f aca="false">IF(Assm!$L$74=0,VLOOKUP($A104,Curves_Table,Escalation!$D$291),VLOOKUP($A104,Curves_Table,Escalation!$E$291))</f>
        <v>2.52087883273429</v>
      </c>
      <c r="I104" s="394" t="n">
        <f aca="false">G104/H104</f>
        <v>3690.73649029096</v>
      </c>
      <c r="J104" s="1579" t="str">
        <f aca="false">IF(MONTH($A104)=12,SUM(I93:I104)," ")</f>
        <v> </v>
      </c>
      <c r="L104" s="1595" t="n">
        <f aca="false">IF($A104&gt;Endyr,0,VLOOKUP($A104,Tariff_Table,Tariff!$H$33))</f>
        <v>6118.02</v>
      </c>
      <c r="M104" s="1565" t="n">
        <f aca="false">D104</f>
        <v>2.61065535328591</v>
      </c>
      <c r="N104" s="1563" t="n">
        <f aca="false">L104*M104</f>
        <v>15972.0416645102</v>
      </c>
      <c r="O104" s="1540" t="n">
        <f aca="false">$F104</f>
        <v>480</v>
      </c>
      <c r="P104" s="1563" t="n">
        <f aca="false">N104*O104/1000</f>
        <v>7666.57999896492</v>
      </c>
      <c r="Q104" s="1565" t="n">
        <f aca="false">$H104</f>
        <v>2.52087883273429</v>
      </c>
      <c r="R104" s="394" t="n">
        <f aca="false">P104/Q104</f>
        <v>3041.2330411967</v>
      </c>
      <c r="S104" s="1579" t="str">
        <f aca="false">IF(MONTH($A104)=12,SUM(R93:R104)," ")</f>
        <v> </v>
      </c>
      <c r="U104" s="1595" t="n">
        <f aca="false">IF($A104&gt;Endyr,0,VLOOKUP($A104,Tariff_Table,Tariff!$I$33))</f>
        <v>2.31</v>
      </c>
      <c r="V104" s="1565" t="n">
        <f aca="false">D104</f>
        <v>2.61065535328591</v>
      </c>
      <c r="W104" s="1563" t="n">
        <f aca="false">U104*V104</f>
        <v>6.03061386609044</v>
      </c>
      <c r="X104" s="397" t="n">
        <f aca="false">VLOOKUP($A104,Plant_Table,'Plant Operations'!$M$270)</f>
        <v>289336.32</v>
      </c>
      <c r="Y104" s="630" t="n">
        <f aca="false">W104*X104/1000</f>
        <v>1744.87562335558</v>
      </c>
      <c r="Z104" s="1565" t="n">
        <f aca="false">$H104</f>
        <v>2.52087883273429</v>
      </c>
      <c r="AA104" s="1565" t="n">
        <f aca="false">H104</f>
        <v>2.52087883273429</v>
      </c>
      <c r="AB104" s="1609" t="n">
        <f aca="false">W104/AA104</f>
        <v>2.3922664539768</v>
      </c>
      <c r="AC104" s="1566" t="n">
        <f aca="false">Y104/Z104</f>
        <v>692.169572253097</v>
      </c>
      <c r="AD104" s="1567" t="str">
        <f aca="false">IF(MONTH($A104)=12,SUM(AC93:AC104)," ")</f>
        <v> </v>
      </c>
    </row>
    <row r="105" customFormat="false" ht="12.75" hidden="false" customHeight="false" outlineLevel="0" collapsed="false">
      <c r="A105" s="1538" t="n">
        <f aca="false">'Annex 12-Gas'!A105</f>
        <v>39783</v>
      </c>
      <c r="C105" s="1595" t="n">
        <f aca="false">IF($A105&gt;Endyr,0,VLOOKUP($A105,Tariff_Table,Tariff!$G$33))</f>
        <v>7424.62</v>
      </c>
      <c r="D105" s="1565" t="n">
        <f aca="false">VLOOKUP($A105,Curves_Table,Escalation!$AW$291)</f>
        <v>2.61065535328591</v>
      </c>
      <c r="E105" s="1563" t="n">
        <f aca="false">C105*D105</f>
        <v>19383.1239491136</v>
      </c>
      <c r="F105" s="1540" t="n">
        <f aca="false">VLOOKUP($A105,Plant_Table,'Plant Operations'!$C$270)</f>
        <v>480</v>
      </c>
      <c r="G105" s="1563" t="n">
        <f aca="false">E105*F105/1000</f>
        <v>9303.89949557453</v>
      </c>
      <c r="H105" s="1565" t="n">
        <f aca="false">IF(Assm!$L$74=0,VLOOKUP($A105,Curves_Table,Escalation!$D$291),VLOOKUP($A105,Curves_Table,Escalation!$E$291))</f>
        <v>2.52620993894371</v>
      </c>
      <c r="I105" s="394" t="n">
        <f aca="false">G105/H105</f>
        <v>3682.94786278325</v>
      </c>
      <c r="J105" s="1579" t="n">
        <f aca="false">IF(MONTH($A105)=12,SUM(I94:I105)," ")</f>
        <v>44730.8997952284</v>
      </c>
      <c r="L105" s="1595" t="n">
        <f aca="false">IF($A105&gt;Endyr,0,VLOOKUP($A105,Tariff_Table,Tariff!$H$33))</f>
        <v>6118.02</v>
      </c>
      <c r="M105" s="1565" t="n">
        <f aca="false">D105</f>
        <v>2.61065535328591</v>
      </c>
      <c r="N105" s="1563" t="n">
        <f aca="false">L105*M105</f>
        <v>15972.0416645102</v>
      </c>
      <c r="O105" s="1540" t="n">
        <f aca="false">$F105</f>
        <v>480</v>
      </c>
      <c r="P105" s="1563" t="n">
        <f aca="false">N105*O105/1000</f>
        <v>7666.57999896492</v>
      </c>
      <c r="Q105" s="1565" t="n">
        <f aca="false">$H105</f>
        <v>2.52620993894371</v>
      </c>
      <c r="R105" s="394" t="n">
        <f aca="false">P105/Q105</f>
        <v>3034.81507248387</v>
      </c>
      <c r="S105" s="1579" t="n">
        <f aca="false">IF(MONTH($A105)=12,SUM(R94:R105)," ")</f>
        <v>36902.6700422387</v>
      </c>
      <c r="U105" s="1595" t="n">
        <f aca="false">IF($A105&gt;Endyr,0,VLOOKUP($A105,Tariff_Table,Tariff!$I$33))</f>
        <v>2.31</v>
      </c>
      <c r="V105" s="1565" t="n">
        <f aca="false">D105</f>
        <v>2.61065535328591</v>
      </c>
      <c r="W105" s="1563" t="n">
        <f aca="false">U105*V105</f>
        <v>6.03061386609044</v>
      </c>
      <c r="X105" s="397" t="n">
        <f aca="false">VLOOKUP($A105,Plant_Table,'Plant Operations'!$M$270)</f>
        <v>298980.864</v>
      </c>
      <c r="Y105" s="630" t="n">
        <f aca="false">W105*X105/1000</f>
        <v>1803.0381441341</v>
      </c>
      <c r="Z105" s="1565" t="n">
        <f aca="false">$H105</f>
        <v>2.52620993894371</v>
      </c>
      <c r="AA105" s="1565" t="n">
        <f aca="false">H105</f>
        <v>2.52620993894371</v>
      </c>
      <c r="AB105" s="1609" t="n">
        <f aca="false">W105/AA105</f>
        <v>2.38721801110958</v>
      </c>
      <c r="AC105" s="1566" t="n">
        <f aca="false">Y105/Z105</f>
        <v>713.732503517903</v>
      </c>
      <c r="AD105" s="1567" t="n">
        <f aca="false">IF(MONTH($A105)=12,SUM(AC94:AC105)," ")</f>
        <v>8537.41378844442</v>
      </c>
    </row>
    <row r="106" customFormat="false" ht="12.75" hidden="false" customHeight="false" outlineLevel="0" collapsed="false">
      <c r="A106" s="1538" t="n">
        <f aca="false">'Annex 12-Gas'!A106</f>
        <v>39814</v>
      </c>
      <c r="C106" s="1595" t="n">
        <f aca="false">IF($A106&gt;Endyr,0,VLOOKUP($A106,Tariff_Table,Tariff!$G$33))</f>
        <v>7424.62</v>
      </c>
      <c r="D106" s="1565" t="n">
        <f aca="false">VLOOKUP($A106,Curves_Table,Escalation!$AW$291)</f>
        <v>2.61065535328591</v>
      </c>
      <c r="E106" s="1563" t="n">
        <f aca="false">C106*D106</f>
        <v>19383.1239491136</v>
      </c>
      <c r="F106" s="1540" t="n">
        <f aca="false">VLOOKUP($A106,Plant_Table,'Plant Operations'!$C$270)</f>
        <v>480</v>
      </c>
      <c r="G106" s="1563" t="n">
        <f aca="false">E106*F106/1000</f>
        <v>9303.89949557453</v>
      </c>
      <c r="H106" s="1565" t="n">
        <f aca="false">IF(Assm!$L$74=0,VLOOKUP($A106,Curves_Table,Escalation!$D$291),VLOOKUP($A106,Curves_Table,Escalation!$E$291))</f>
        <v>2.53141351780118</v>
      </c>
      <c r="I106" s="394" t="n">
        <f aca="false">G106/H106</f>
        <v>3675.37718754699</v>
      </c>
      <c r="J106" s="1579" t="str">
        <f aca="false">IF(MONTH($A106)=12,SUM(I95:I106)," ")</f>
        <v> </v>
      </c>
      <c r="L106" s="1595" t="n">
        <f aca="false">IF($A106&gt;Endyr,0,VLOOKUP($A106,Tariff_Table,Tariff!$H$33))</f>
        <v>6118.02</v>
      </c>
      <c r="M106" s="1565" t="n">
        <f aca="false">D106</f>
        <v>2.61065535328591</v>
      </c>
      <c r="N106" s="1563" t="n">
        <f aca="false">L106*M106</f>
        <v>15972.0416645102</v>
      </c>
      <c r="O106" s="1540" t="n">
        <f aca="false">$F106</f>
        <v>480</v>
      </c>
      <c r="P106" s="1563" t="n">
        <f aca="false">N106*O106/1000</f>
        <v>7666.57999896492</v>
      </c>
      <c r="Q106" s="1565" t="n">
        <f aca="false">$H106</f>
        <v>2.53141351780118</v>
      </c>
      <c r="R106" s="394" t="n">
        <f aca="false">P106/Q106</f>
        <v>3028.57670035049</v>
      </c>
      <c r="S106" s="1579" t="str">
        <f aca="false">IF(MONTH($A106)=12,SUM(R95:R106)," ")</f>
        <v> </v>
      </c>
      <c r="U106" s="1595" t="n">
        <f aca="false">IF($A106&gt;Endyr,0,VLOOKUP($A106,Tariff_Table,Tariff!$I$33))</f>
        <v>2.31</v>
      </c>
      <c r="V106" s="1565" t="n">
        <f aca="false">D106</f>
        <v>2.61065535328591</v>
      </c>
      <c r="W106" s="1563" t="n">
        <f aca="false">U106*V106</f>
        <v>6.03061386609044</v>
      </c>
      <c r="X106" s="397" t="n">
        <f aca="false">VLOOKUP($A106,Plant_Table,'Plant Operations'!$M$270)</f>
        <v>298980.864</v>
      </c>
      <c r="Y106" s="630" t="n">
        <f aca="false">W106*X106/1000</f>
        <v>1803.0381441341</v>
      </c>
      <c r="Z106" s="1565" t="n">
        <f aca="false">$H106</f>
        <v>2.53141351780118</v>
      </c>
      <c r="AA106" s="1565" t="n">
        <f aca="false">H106</f>
        <v>2.53141351780118</v>
      </c>
      <c r="AB106" s="1609" t="n">
        <f aca="false">W106/AA106</f>
        <v>2.38231084083359</v>
      </c>
      <c r="AC106" s="1566" t="n">
        <f aca="false">Y106/Z106</f>
        <v>712.265353508993</v>
      </c>
      <c r="AD106" s="1567" t="str">
        <f aca="false">IF(MONTH($A106)=12,SUM(AC95:AC106)," ")</f>
        <v> </v>
      </c>
    </row>
    <row r="107" customFormat="false" ht="12.75" hidden="false" customHeight="false" outlineLevel="0" collapsed="false">
      <c r="A107" s="1538" t="n">
        <f aca="false">'Annex 12-Gas'!A107</f>
        <v>39845</v>
      </c>
      <c r="C107" s="1595" t="n">
        <f aca="false">IF($A107&gt;Endyr,0,VLOOKUP($A107,Tariff_Table,Tariff!$G$33))</f>
        <v>7424.62</v>
      </c>
      <c r="D107" s="1565" t="n">
        <f aca="false">VLOOKUP($A107,Curves_Table,Escalation!$AW$291)</f>
        <v>2.61065535328591</v>
      </c>
      <c r="E107" s="1563" t="n">
        <f aca="false">C107*D107</f>
        <v>19383.1239491136</v>
      </c>
      <c r="F107" s="1540" t="n">
        <f aca="false">VLOOKUP($A107,Plant_Table,'Plant Operations'!$C$270)</f>
        <v>480</v>
      </c>
      <c r="G107" s="1563" t="n">
        <f aca="false">E107*F107/1000</f>
        <v>9303.89949557453</v>
      </c>
      <c r="H107" s="1565" t="n">
        <f aca="false">IF(Assm!$L$74=0,VLOOKUP($A107,Curves_Table,Escalation!$D$291),VLOOKUP($A107,Curves_Table,Escalation!$E$291))</f>
        <v>2.53662781517912</v>
      </c>
      <c r="I107" s="394" t="n">
        <f aca="false">G107/H107</f>
        <v>3667.82207460639</v>
      </c>
      <c r="J107" s="1579" t="str">
        <f aca="false">IF(MONTH($A107)=12,SUM(I96:I107)," ")</f>
        <v> </v>
      </c>
      <c r="L107" s="1595" t="n">
        <f aca="false">IF($A107&gt;Endyr,0,VLOOKUP($A107,Tariff_Table,Tariff!$H$33))</f>
        <v>6118.02</v>
      </c>
      <c r="M107" s="1565" t="n">
        <f aca="false">D107</f>
        <v>2.61065535328591</v>
      </c>
      <c r="N107" s="1563" t="n">
        <f aca="false">L107*M107</f>
        <v>15972.0416645102</v>
      </c>
      <c r="O107" s="1540" t="n">
        <f aca="false">$F107</f>
        <v>480</v>
      </c>
      <c r="P107" s="1563" t="n">
        <f aca="false">N107*O107/1000</f>
        <v>7666.57999896492</v>
      </c>
      <c r="Q107" s="1565" t="n">
        <f aca="false">$H107</f>
        <v>2.53662781517912</v>
      </c>
      <c r="R107" s="394" t="n">
        <f aca="false">P107/Q107</f>
        <v>3022.35115182775</v>
      </c>
      <c r="S107" s="1579" t="str">
        <f aca="false">IF(MONTH($A107)=12,SUM(R96:R107)," ")</f>
        <v> </v>
      </c>
      <c r="U107" s="1595" t="n">
        <f aca="false">IF($A107&gt;Endyr,0,VLOOKUP($A107,Tariff_Table,Tariff!$I$33))</f>
        <v>2.31</v>
      </c>
      <c r="V107" s="1565" t="n">
        <f aca="false">D107</f>
        <v>2.61065535328591</v>
      </c>
      <c r="W107" s="1563" t="n">
        <f aca="false">U107*V107</f>
        <v>6.03061386609044</v>
      </c>
      <c r="X107" s="397" t="n">
        <f aca="false">VLOOKUP($A107,Plant_Table,'Plant Operations'!$M$270)</f>
        <v>270047.232</v>
      </c>
      <c r="Y107" s="630" t="n">
        <f aca="false">W107*X107/1000</f>
        <v>1628.55058179854</v>
      </c>
      <c r="Z107" s="1565" t="n">
        <f aca="false">$H107</f>
        <v>2.53662781517912</v>
      </c>
      <c r="AA107" s="1565" t="n">
        <f aca="false">H107</f>
        <v>2.53662781517912</v>
      </c>
      <c r="AB107" s="1609" t="n">
        <f aca="false">W107/AA107</f>
        <v>2.37741375774696</v>
      </c>
      <c r="AC107" s="1566" t="n">
        <f aca="false">Y107/Z107</f>
        <v>642.014004598285</v>
      </c>
      <c r="AD107" s="1567" t="str">
        <f aca="false">IF(MONTH($A107)=12,SUM(AC96:AC107)," ")</f>
        <v> </v>
      </c>
    </row>
    <row r="108" customFormat="false" ht="12.75" hidden="false" customHeight="false" outlineLevel="0" collapsed="false">
      <c r="A108" s="1538" t="n">
        <f aca="false">'Annex 12-Gas'!A108</f>
        <v>39873</v>
      </c>
      <c r="C108" s="1595" t="n">
        <f aca="false">IF($A108&gt;Endyr,0,VLOOKUP($A108,Tariff_Table,Tariff!$G$33))</f>
        <v>7424.62</v>
      </c>
      <c r="D108" s="1565" t="n">
        <f aca="false">VLOOKUP($A108,Curves_Table,Escalation!$AW$291)</f>
        <v>2.61065535328591</v>
      </c>
      <c r="E108" s="1563" t="n">
        <f aca="false">C108*D108</f>
        <v>19383.1239491136</v>
      </c>
      <c r="F108" s="1540" t="n">
        <f aca="false">VLOOKUP($A108,Plant_Table,'Plant Operations'!$C$270)</f>
        <v>480</v>
      </c>
      <c r="G108" s="1563" t="n">
        <f aca="false">E108*F108/1000</f>
        <v>9303.89949557453</v>
      </c>
      <c r="H108" s="1565" t="n">
        <f aca="false">IF(Assm!$L$74=0,VLOOKUP($A108,Curves_Table,Escalation!$D$291),VLOOKUP($A108,Curves_Table,Escalation!$E$291))</f>
        <v>2.54185285315591</v>
      </c>
      <c r="I108" s="394" t="n">
        <f aca="false">G108/H108</f>
        <v>3660.28249197155</v>
      </c>
      <c r="J108" s="1579" t="str">
        <f aca="false">IF(MONTH($A108)=12,SUM(I97:I108)," ")</f>
        <v> </v>
      </c>
      <c r="L108" s="1595" t="n">
        <f aca="false">IF($A108&gt;Endyr,0,VLOOKUP($A108,Tariff_Table,Tariff!$H$33))</f>
        <v>6118.02</v>
      </c>
      <c r="M108" s="1565" t="n">
        <f aca="false">D108</f>
        <v>2.61065535328591</v>
      </c>
      <c r="N108" s="1563" t="n">
        <f aca="false">L108*M108</f>
        <v>15972.0416645102</v>
      </c>
      <c r="O108" s="1540" t="n">
        <f aca="false">$F108</f>
        <v>480</v>
      </c>
      <c r="P108" s="1563" t="n">
        <f aca="false">N108*O108/1000</f>
        <v>7666.57999896492</v>
      </c>
      <c r="Q108" s="1565" t="n">
        <f aca="false">$H108</f>
        <v>2.54185285315591</v>
      </c>
      <c r="R108" s="394" t="n">
        <f aca="false">P108/Q108</f>
        <v>3016.13840055542</v>
      </c>
      <c r="S108" s="1579" t="str">
        <f aca="false">IF(MONTH($A108)=12,SUM(R97:R108)," ")</f>
        <v> </v>
      </c>
      <c r="U108" s="1595" t="n">
        <f aca="false">IF($A108&gt;Endyr,0,VLOOKUP($A108,Tariff_Table,Tariff!$I$33))</f>
        <v>2.31</v>
      </c>
      <c r="V108" s="1565" t="n">
        <f aca="false">D108</f>
        <v>2.61065535328591</v>
      </c>
      <c r="W108" s="1563" t="n">
        <f aca="false">U108*V108</f>
        <v>6.03061386609044</v>
      </c>
      <c r="X108" s="397" t="n">
        <f aca="false">VLOOKUP($A108,Plant_Table,'Plant Operations'!$M$270)</f>
        <v>298980.864</v>
      </c>
      <c r="Y108" s="630" t="n">
        <f aca="false">W108*X108/1000</f>
        <v>1803.0381441341</v>
      </c>
      <c r="Z108" s="1565" t="n">
        <f aca="false">$H108</f>
        <v>2.54185285315591</v>
      </c>
      <c r="AA108" s="1565" t="n">
        <f aca="false">H108</f>
        <v>2.54185285315591</v>
      </c>
      <c r="AB108" s="1609" t="n">
        <f aca="false">W108/AA108</f>
        <v>2.37252674111444</v>
      </c>
      <c r="AC108" s="1566" t="n">
        <f aca="false">Y108/Z108</f>
        <v>709.3400949215</v>
      </c>
      <c r="AD108" s="1567" t="str">
        <f aca="false">IF(MONTH($A108)=12,SUM(AC97:AC108)," ")</f>
        <v> </v>
      </c>
    </row>
    <row r="109" customFormat="false" ht="12.75" hidden="false" customHeight="false" outlineLevel="0" collapsed="false">
      <c r="A109" s="1538" t="n">
        <f aca="false">'Annex 12-Gas'!A109</f>
        <v>39904</v>
      </c>
      <c r="C109" s="1595" t="n">
        <f aca="false">IF($A109&gt;Endyr,0,VLOOKUP($A109,Tariff_Table,Tariff!$G$33))</f>
        <v>7424.62</v>
      </c>
      <c r="D109" s="1565" t="n">
        <f aca="false">VLOOKUP($A109,Curves_Table,Escalation!$AW$291)</f>
        <v>2.61065535328591</v>
      </c>
      <c r="E109" s="1563" t="n">
        <f aca="false">C109*D109</f>
        <v>19383.1239491136</v>
      </c>
      <c r="F109" s="1540" t="n">
        <f aca="false">VLOOKUP($A109,Plant_Table,'Plant Operations'!$C$270)</f>
        <v>480</v>
      </c>
      <c r="G109" s="1563" t="n">
        <f aca="false">E109*F109/1000</f>
        <v>9303.89949557453</v>
      </c>
      <c r="H109" s="1565" t="n">
        <f aca="false">IF(Assm!$L$74=0,VLOOKUP($A109,Curves_Table,Escalation!$D$291),VLOOKUP($A109,Curves_Table,Escalation!$E$291))</f>
        <v>2.54708865385545</v>
      </c>
      <c r="I109" s="394" t="n">
        <f aca="false">G109/H109</f>
        <v>3652.75840771836</v>
      </c>
      <c r="J109" s="1579" t="str">
        <f aca="false">IF(MONTH($A109)=12,SUM(I98:I109)," ")</f>
        <v> </v>
      </c>
      <c r="L109" s="1595" t="n">
        <f aca="false">IF($A109&gt;Endyr,0,VLOOKUP($A109,Tariff_Table,Tariff!$H$33))</f>
        <v>6118.02</v>
      </c>
      <c r="M109" s="1565" t="n">
        <f aca="false">D109</f>
        <v>2.61065535328591</v>
      </c>
      <c r="N109" s="1563" t="n">
        <f aca="false">L109*M109</f>
        <v>15972.0416645102</v>
      </c>
      <c r="O109" s="1540" t="n">
        <f aca="false">$F109</f>
        <v>480</v>
      </c>
      <c r="P109" s="1563" t="n">
        <f aca="false">N109*O109/1000</f>
        <v>7666.57999896492</v>
      </c>
      <c r="Q109" s="1565" t="n">
        <f aca="false">$H109</f>
        <v>2.54708865385545</v>
      </c>
      <c r="R109" s="394" t="n">
        <f aca="false">P109/Q109</f>
        <v>3009.93842022745</v>
      </c>
      <c r="S109" s="1579" t="str">
        <f aca="false">IF(MONTH($A109)=12,SUM(R98:R109)," ")</f>
        <v> </v>
      </c>
      <c r="U109" s="1595" t="n">
        <f aca="false">IF($A109&gt;Endyr,0,VLOOKUP($A109,Tariff_Table,Tariff!$I$33))</f>
        <v>2.31</v>
      </c>
      <c r="V109" s="1565" t="n">
        <f aca="false">D109</f>
        <v>2.61065535328591</v>
      </c>
      <c r="W109" s="1563" t="n">
        <f aca="false">U109*V109</f>
        <v>6.03061386609044</v>
      </c>
      <c r="X109" s="397" t="n">
        <f aca="false">VLOOKUP($A109,Plant_Table,'Plant Operations'!$M$270)</f>
        <v>289336.32</v>
      </c>
      <c r="Y109" s="630" t="n">
        <f aca="false">W109*X109/1000</f>
        <v>1744.87562335558</v>
      </c>
      <c r="Z109" s="1565" t="n">
        <f aca="false">$H109</f>
        <v>2.54708865385545</v>
      </c>
      <c r="AA109" s="1565" t="n">
        <f aca="false">H109</f>
        <v>2.54708865385545</v>
      </c>
      <c r="AB109" s="1609" t="n">
        <f aca="false">W109/AA109</f>
        <v>2.36764977024341</v>
      </c>
      <c r="AC109" s="1566" t="n">
        <f aca="false">Y109/Z109</f>
        <v>685.047071571074</v>
      </c>
      <c r="AD109" s="1567" t="str">
        <f aca="false">IF(MONTH($A109)=12,SUM(AC98:AC109)," ")</f>
        <v> </v>
      </c>
    </row>
    <row r="110" customFormat="false" ht="12.75" hidden="false" customHeight="false" outlineLevel="0" collapsed="false">
      <c r="A110" s="1538" t="n">
        <f aca="false">'Annex 12-Gas'!A110</f>
        <v>39934</v>
      </c>
      <c r="C110" s="1595" t="n">
        <f aca="false">IF($A110&gt;Endyr,0,VLOOKUP($A110,Tariff_Table,Tariff!$G$33))</f>
        <v>7431.57</v>
      </c>
      <c r="D110" s="1565" t="n">
        <f aca="false">VLOOKUP($A110,Curves_Table,Escalation!$AW$291)</f>
        <v>2.8038414171403</v>
      </c>
      <c r="E110" s="1563" t="n">
        <f aca="false">C110*D110</f>
        <v>20836.9437603773</v>
      </c>
      <c r="F110" s="1540" t="n">
        <f aca="false">VLOOKUP($A110,Plant_Table,'Plant Operations'!$C$270)</f>
        <v>480</v>
      </c>
      <c r="G110" s="1563" t="n">
        <f aca="false">E110*F110/1000</f>
        <v>10001.7330049811</v>
      </c>
      <c r="H110" s="1565" t="n">
        <f aca="false">IF(Assm!$L$74=0,VLOOKUP($A110,Curves_Table,Escalation!$D$291),VLOOKUP($A110,Curves_Table,Escalation!$E$291))</f>
        <v>2.55233523944716</v>
      </c>
      <c r="I110" s="394" t="n">
        <f aca="false">G110/H110</f>
        <v>3918.65960646591</v>
      </c>
      <c r="J110" s="1579" t="str">
        <f aca="false">IF(MONTH($A110)=12,SUM(I99:I110)," ")</f>
        <v> </v>
      </c>
      <c r="L110" s="1595" t="n">
        <f aca="false">IF($A110&gt;Endyr,0,VLOOKUP($A110,Tariff_Table,Tariff!$H$33))</f>
        <v>6140.72</v>
      </c>
      <c r="M110" s="1565" t="n">
        <f aca="false">D110</f>
        <v>2.8038414171403</v>
      </c>
      <c r="N110" s="1563" t="n">
        <f aca="false">L110*M110</f>
        <v>17217.6050670618</v>
      </c>
      <c r="O110" s="1540" t="n">
        <f aca="false">$F110</f>
        <v>480</v>
      </c>
      <c r="P110" s="1563" t="n">
        <f aca="false">N110*O110/1000</f>
        <v>8264.45043218964</v>
      </c>
      <c r="Q110" s="1565" t="n">
        <f aca="false">$H110</f>
        <v>2.55233523944716</v>
      </c>
      <c r="R110" s="394" t="n">
        <f aca="false">P110/Q110</f>
        <v>3237.9956615651</v>
      </c>
      <c r="S110" s="1579" t="str">
        <f aca="false">IF(MONTH($A110)=12,SUM(R99:R110)," ")</f>
        <v> </v>
      </c>
      <c r="U110" s="1595" t="n">
        <f aca="false">IF($A110&gt;Endyr,0,VLOOKUP($A110,Tariff_Table,Tariff!$I$33))</f>
        <v>2.31</v>
      </c>
      <c r="V110" s="1565" t="n">
        <f aca="false">D110</f>
        <v>2.8038414171403</v>
      </c>
      <c r="W110" s="1563" t="n">
        <f aca="false">U110*V110</f>
        <v>6.47687367359408</v>
      </c>
      <c r="X110" s="397" t="n">
        <f aca="false">VLOOKUP($A110,Plant_Table,'Plant Operations'!$M$270)</f>
        <v>298980.864</v>
      </c>
      <c r="Y110" s="630" t="n">
        <f aca="false">W110*X110/1000</f>
        <v>1936.46128695001</v>
      </c>
      <c r="Z110" s="1565" t="n">
        <f aca="false">$H110</f>
        <v>2.55233523944716</v>
      </c>
      <c r="AA110" s="1565" t="n">
        <f aca="false">H110</f>
        <v>2.55233523944716</v>
      </c>
      <c r="AB110" s="1609" t="n">
        <f aca="false">W110/AA110</f>
        <v>2.53762655214406</v>
      </c>
      <c r="AC110" s="1566" t="n">
        <f aca="false">Y110/Z110</f>
        <v>758.701779069371</v>
      </c>
      <c r="AD110" s="1567" t="str">
        <f aca="false">IF(MONTH($A110)=12,SUM(AC99:AC110)," ")</f>
        <v> </v>
      </c>
    </row>
    <row r="111" customFormat="false" ht="12.75" hidden="false" customHeight="false" outlineLevel="0" collapsed="false">
      <c r="A111" s="1538" t="n">
        <f aca="false">'Annex 12-Gas'!A111</f>
        <v>39965</v>
      </c>
      <c r="C111" s="1595" t="n">
        <f aca="false">IF($A111&gt;Endyr,0,VLOOKUP($A111,Tariff_Table,Tariff!$G$33))</f>
        <v>7431.57</v>
      </c>
      <c r="D111" s="1565" t="n">
        <f aca="false">VLOOKUP($A111,Curves_Table,Escalation!$AW$291)</f>
        <v>2.8038414171403</v>
      </c>
      <c r="E111" s="1563" t="n">
        <f aca="false">C111*D111</f>
        <v>20836.9437603773</v>
      </c>
      <c r="F111" s="1540" t="n">
        <f aca="false">VLOOKUP($A111,Plant_Table,'Plant Operations'!$C$270)</f>
        <v>480</v>
      </c>
      <c r="G111" s="1563" t="n">
        <f aca="false">E111*F111/1000</f>
        <v>10001.7330049811</v>
      </c>
      <c r="H111" s="1565" t="n">
        <f aca="false">IF(Assm!$L$74=0,VLOOKUP($A111,Curves_Table,Escalation!$D$291),VLOOKUP($A111,Curves_Table,Escalation!$E$291))</f>
        <v>2.55759263214617</v>
      </c>
      <c r="I111" s="394" t="n">
        <f aca="false">G111/H111</f>
        <v>3910.60440168232</v>
      </c>
      <c r="J111" s="1579" t="str">
        <f aca="false">IF(MONTH($A111)=12,SUM(I100:I111)," ")</f>
        <v> </v>
      </c>
      <c r="L111" s="1595" t="n">
        <f aca="false">IF($A111&gt;Endyr,0,VLOOKUP($A111,Tariff_Table,Tariff!$H$33))</f>
        <v>6140.72</v>
      </c>
      <c r="M111" s="1565" t="n">
        <f aca="false">D111</f>
        <v>2.8038414171403</v>
      </c>
      <c r="N111" s="1563" t="n">
        <f aca="false">L111*M111</f>
        <v>17217.6050670618</v>
      </c>
      <c r="O111" s="1540" t="n">
        <f aca="false">$F111</f>
        <v>480</v>
      </c>
      <c r="P111" s="1563" t="n">
        <f aca="false">N111*O111/1000</f>
        <v>8264.45043218964</v>
      </c>
      <c r="Q111" s="1565" t="n">
        <f aca="false">$H111</f>
        <v>2.55759263214617</v>
      </c>
      <c r="R111" s="394" t="n">
        <f aca="false">P111/Q111</f>
        <v>3231.339630993</v>
      </c>
      <c r="S111" s="1579" t="str">
        <f aca="false">IF(MONTH($A111)=12,SUM(R100:R111)," ")</f>
        <v> </v>
      </c>
      <c r="U111" s="1595" t="n">
        <f aca="false">IF($A111&gt;Endyr,0,VLOOKUP($A111,Tariff_Table,Tariff!$I$33))</f>
        <v>2.31</v>
      </c>
      <c r="V111" s="1565" t="n">
        <f aca="false">D111</f>
        <v>2.8038414171403</v>
      </c>
      <c r="W111" s="1563" t="n">
        <f aca="false">U111*V111</f>
        <v>6.47687367359408</v>
      </c>
      <c r="X111" s="397" t="n">
        <f aca="false">VLOOKUP($A111,Plant_Table,'Plant Operations'!$M$270)</f>
        <v>289336.32</v>
      </c>
      <c r="Y111" s="630" t="n">
        <f aca="false">W111*X111/1000</f>
        <v>1873.99479382259</v>
      </c>
      <c r="Z111" s="1565" t="n">
        <f aca="false">$H111</f>
        <v>2.55759263214617</v>
      </c>
      <c r="AA111" s="1565" t="n">
        <f aca="false">H111</f>
        <v>2.55759263214617</v>
      </c>
      <c r="AB111" s="1609" t="n">
        <f aca="false">W111/AA111</f>
        <v>2.53241020176035</v>
      </c>
      <c r="AC111" s="1566" t="n">
        <f aca="false">Y111/Z111</f>
        <v>732.718248507798</v>
      </c>
      <c r="AD111" s="1567" t="str">
        <f aca="false">IF(MONTH($A111)=12,SUM(AC100:AC111)," ")</f>
        <v> </v>
      </c>
    </row>
    <row r="112" customFormat="false" ht="12.75" hidden="false" customHeight="false" outlineLevel="0" collapsed="false">
      <c r="A112" s="1538" t="n">
        <f aca="false">'Annex 12-Gas'!A112</f>
        <v>39995</v>
      </c>
      <c r="C112" s="1595" t="n">
        <f aca="false">IF($A112&gt;Endyr,0,VLOOKUP($A112,Tariff_Table,Tariff!$G$33))</f>
        <v>7431.57</v>
      </c>
      <c r="D112" s="1565" t="n">
        <f aca="false">VLOOKUP($A112,Curves_Table,Escalation!$AW$291)</f>
        <v>2.8038414171403</v>
      </c>
      <c r="E112" s="1563" t="n">
        <f aca="false">C112*D112</f>
        <v>20836.9437603773</v>
      </c>
      <c r="F112" s="1540" t="n">
        <f aca="false">VLOOKUP($A112,Plant_Table,'Plant Operations'!$C$270)</f>
        <v>480</v>
      </c>
      <c r="G112" s="1563" t="n">
        <f aca="false">E112*F112/1000</f>
        <v>10001.7330049811</v>
      </c>
      <c r="H112" s="1565" t="n">
        <f aca="false">IF(Assm!$L$74=0,VLOOKUP($A112,Curves_Table,Escalation!$D$291),VLOOKUP($A112,Curves_Table,Escalation!$E$291))</f>
        <v>2.56286085421335</v>
      </c>
      <c r="I112" s="394" t="n">
        <f aca="false">G112/H112</f>
        <v>3902.56575519433</v>
      </c>
      <c r="J112" s="1579" t="str">
        <f aca="false">IF(MONTH($A112)=12,SUM(I101:I112)," ")</f>
        <v> </v>
      </c>
      <c r="L112" s="1595" t="n">
        <f aca="false">IF($A112&gt;Endyr,0,VLOOKUP($A112,Tariff_Table,Tariff!$H$33))</f>
        <v>6140.72</v>
      </c>
      <c r="M112" s="1565" t="n">
        <f aca="false">D112</f>
        <v>2.8038414171403</v>
      </c>
      <c r="N112" s="1563" t="n">
        <f aca="false">L112*M112</f>
        <v>17217.6050670618</v>
      </c>
      <c r="O112" s="1540" t="n">
        <f aca="false">$F112</f>
        <v>480</v>
      </c>
      <c r="P112" s="1563" t="n">
        <f aca="false">N112*O112/1000</f>
        <v>8264.45043218964</v>
      </c>
      <c r="Q112" s="1565" t="n">
        <f aca="false">$H112</f>
        <v>2.56286085421335</v>
      </c>
      <c r="R112" s="394" t="n">
        <f aca="false">P112/Q112</f>
        <v>3224.6972825711</v>
      </c>
      <c r="S112" s="1579" t="str">
        <f aca="false">IF(MONTH($A112)=12,SUM(R101:R112)," ")</f>
        <v> </v>
      </c>
      <c r="U112" s="1595" t="n">
        <f aca="false">IF($A112&gt;Endyr,0,VLOOKUP($A112,Tariff_Table,Tariff!$I$33))</f>
        <v>2.31</v>
      </c>
      <c r="V112" s="1565" t="n">
        <f aca="false">D112</f>
        <v>2.8038414171403</v>
      </c>
      <c r="W112" s="1563" t="n">
        <f aca="false">U112*V112</f>
        <v>6.47687367359408</v>
      </c>
      <c r="X112" s="397" t="n">
        <f aca="false">VLOOKUP($A112,Plant_Table,'Plant Operations'!$M$270)</f>
        <v>298980.864</v>
      </c>
      <c r="Y112" s="630" t="n">
        <f aca="false">W112*X112/1000</f>
        <v>1936.46128695001</v>
      </c>
      <c r="Z112" s="1565" t="n">
        <f aca="false">$H112</f>
        <v>2.56286085421335</v>
      </c>
      <c r="AA112" s="1565" t="n">
        <f aca="false">H112</f>
        <v>2.56286085421335</v>
      </c>
      <c r="AB112" s="1609" t="n">
        <f aca="false">W112/AA112</f>
        <v>2.52720457411727</v>
      </c>
      <c r="AC112" s="1566" t="n">
        <f aca="false">Y112/Z112</f>
        <v>755.585807074335</v>
      </c>
      <c r="AD112" s="1567" t="str">
        <f aca="false">IF(MONTH($A112)=12,SUM(AC101:AC112)," ")</f>
        <v> </v>
      </c>
    </row>
    <row r="113" customFormat="false" ht="12.75" hidden="false" customHeight="false" outlineLevel="0" collapsed="false">
      <c r="A113" s="1538" t="n">
        <f aca="false">'Annex 12-Gas'!A113</f>
        <v>40026</v>
      </c>
      <c r="C113" s="1595" t="n">
        <f aca="false">IF($A113&gt;Endyr,0,VLOOKUP($A113,Tariff_Table,Tariff!$G$33))</f>
        <v>7431.57</v>
      </c>
      <c r="D113" s="1565" t="n">
        <f aca="false">VLOOKUP($A113,Curves_Table,Escalation!$AW$291)</f>
        <v>2.8038414171403</v>
      </c>
      <c r="E113" s="1563" t="n">
        <f aca="false">C113*D113</f>
        <v>20836.9437603773</v>
      </c>
      <c r="F113" s="1540" t="n">
        <f aca="false">VLOOKUP($A113,Plant_Table,'Plant Operations'!$C$270)</f>
        <v>480</v>
      </c>
      <c r="G113" s="1563" t="n">
        <f aca="false">E113*F113/1000</f>
        <v>10001.7330049811</v>
      </c>
      <c r="H113" s="1565" t="n">
        <f aca="false">IF(Assm!$L$74=0,VLOOKUP($A113,Curves_Table,Escalation!$D$291),VLOOKUP($A113,Curves_Table,Escalation!$E$291))</f>
        <v>2.56813992795542</v>
      </c>
      <c r="I113" s="394" t="n">
        <f aca="false">G113/H113</f>
        <v>3894.54363296466</v>
      </c>
      <c r="J113" s="1579" t="str">
        <f aca="false">IF(MONTH($A113)=12,SUM(I102:I113)," ")</f>
        <v> </v>
      </c>
      <c r="L113" s="1595" t="n">
        <f aca="false">IF($A113&gt;Endyr,0,VLOOKUP($A113,Tariff_Table,Tariff!$H$33))</f>
        <v>6140.72</v>
      </c>
      <c r="M113" s="1565" t="n">
        <f aca="false">D113</f>
        <v>2.8038414171403</v>
      </c>
      <c r="N113" s="1563" t="n">
        <f aca="false">L113*M113</f>
        <v>17217.6050670618</v>
      </c>
      <c r="O113" s="1540" t="n">
        <f aca="false">$F113</f>
        <v>480</v>
      </c>
      <c r="P113" s="1563" t="n">
        <f aca="false">N113*O113/1000</f>
        <v>8264.45043218964</v>
      </c>
      <c r="Q113" s="1565" t="n">
        <f aca="false">$H113</f>
        <v>2.56813992795542</v>
      </c>
      <c r="R113" s="394" t="n">
        <f aca="false">P113/Q113</f>
        <v>3218.06858817434</v>
      </c>
      <c r="S113" s="1579" t="str">
        <f aca="false">IF(MONTH($A113)=12,SUM(R102:R113)," ")</f>
        <v> </v>
      </c>
      <c r="U113" s="1595" t="n">
        <f aca="false">IF($A113&gt;Endyr,0,VLOOKUP($A113,Tariff_Table,Tariff!$I$33))</f>
        <v>2.31</v>
      </c>
      <c r="V113" s="1565" t="n">
        <f aca="false">D113</f>
        <v>2.8038414171403</v>
      </c>
      <c r="W113" s="1563" t="n">
        <f aca="false">U113*V113</f>
        <v>6.47687367359408</v>
      </c>
      <c r="X113" s="397" t="n">
        <f aca="false">VLOOKUP($A113,Plant_Table,'Plant Operations'!$M$270)</f>
        <v>298980.864</v>
      </c>
      <c r="Y113" s="630" t="n">
        <f aca="false">W113*X113/1000</f>
        <v>1936.46128695001</v>
      </c>
      <c r="Z113" s="1565" t="n">
        <f aca="false">$H113</f>
        <v>2.56813992795542</v>
      </c>
      <c r="AA113" s="1565" t="n">
        <f aca="false">H113</f>
        <v>2.56813992795542</v>
      </c>
      <c r="AB113" s="1609" t="n">
        <f aca="false">W113/AA113</f>
        <v>2.52200964717313</v>
      </c>
      <c r="AC113" s="1566" t="n">
        <f aca="false">Y113/Z113</f>
        <v>754.032623328159</v>
      </c>
      <c r="AD113" s="1567" t="str">
        <f aca="false">IF(MONTH($A113)=12,SUM(AC102:AC113)," ")</f>
        <v> </v>
      </c>
    </row>
    <row r="114" customFormat="false" ht="12.75" hidden="false" customHeight="false" outlineLevel="0" collapsed="false">
      <c r="A114" s="1538" t="n">
        <f aca="false">'Annex 12-Gas'!A114</f>
        <v>40057</v>
      </c>
      <c r="C114" s="1595" t="n">
        <f aca="false">IF($A114&gt;Endyr,0,VLOOKUP($A114,Tariff_Table,Tariff!$G$33))</f>
        <v>7431.57</v>
      </c>
      <c r="D114" s="1565" t="n">
        <f aca="false">VLOOKUP($A114,Curves_Table,Escalation!$AW$291)</f>
        <v>2.8038414171403</v>
      </c>
      <c r="E114" s="1563" t="n">
        <f aca="false">C114*D114</f>
        <v>20836.9437603773</v>
      </c>
      <c r="F114" s="1540" t="n">
        <f aca="false">VLOOKUP($A114,Plant_Table,'Plant Operations'!$C$270)</f>
        <v>480</v>
      </c>
      <c r="G114" s="1563" t="n">
        <f aca="false">E114*F114/1000</f>
        <v>10001.7330049811</v>
      </c>
      <c r="H114" s="1565" t="n">
        <f aca="false">IF(Assm!$L$74=0,VLOOKUP($A114,Curves_Table,Escalation!$D$291),VLOOKUP($A114,Curves_Table,Escalation!$E$291))</f>
        <v>2.57342987572505</v>
      </c>
      <c r="I114" s="394" t="n">
        <f aca="false">G114/H114</f>
        <v>3886.53800102603</v>
      </c>
      <c r="J114" s="1579" t="str">
        <f aca="false">IF(MONTH($A114)=12,SUM(I103:I114)," ")</f>
        <v> </v>
      </c>
      <c r="L114" s="1595" t="n">
        <f aca="false">IF($A114&gt;Endyr,0,VLOOKUP($A114,Tariff_Table,Tariff!$H$33))</f>
        <v>6140.72</v>
      </c>
      <c r="M114" s="1565" t="n">
        <f aca="false">D114</f>
        <v>2.8038414171403</v>
      </c>
      <c r="N114" s="1563" t="n">
        <f aca="false">L114*M114</f>
        <v>17217.6050670618</v>
      </c>
      <c r="O114" s="1540" t="n">
        <f aca="false">$F114</f>
        <v>480</v>
      </c>
      <c r="P114" s="1563" t="n">
        <f aca="false">N114*O114/1000</f>
        <v>8264.45043218964</v>
      </c>
      <c r="Q114" s="1565" t="n">
        <f aca="false">$H114</f>
        <v>2.57342987572505</v>
      </c>
      <c r="R114" s="394" t="n">
        <f aca="false">P114/Q114</f>
        <v>3211.45351973547</v>
      </c>
      <c r="S114" s="1579" t="str">
        <f aca="false">IF(MONTH($A114)=12,SUM(R103:R114)," ")</f>
        <v> </v>
      </c>
      <c r="U114" s="1595" t="n">
        <f aca="false">IF($A114&gt;Endyr,0,VLOOKUP($A114,Tariff_Table,Tariff!$I$33))</f>
        <v>2.31</v>
      </c>
      <c r="V114" s="1565" t="n">
        <f aca="false">D114</f>
        <v>2.8038414171403</v>
      </c>
      <c r="W114" s="1563" t="n">
        <f aca="false">U114*V114</f>
        <v>6.47687367359408</v>
      </c>
      <c r="X114" s="397" t="n">
        <f aca="false">VLOOKUP($A114,Plant_Table,'Plant Operations'!$M$270)</f>
        <v>289336.32</v>
      </c>
      <c r="Y114" s="630" t="n">
        <f aca="false">W114*X114/1000</f>
        <v>1873.99479382259</v>
      </c>
      <c r="Z114" s="1565" t="n">
        <f aca="false">$H114</f>
        <v>2.57342987572505</v>
      </c>
      <c r="AA114" s="1565" t="n">
        <f aca="false">H114</f>
        <v>2.57342987572505</v>
      </c>
      <c r="AB114" s="1609" t="n">
        <f aca="false">W114/AA114</f>
        <v>2.51682539893155</v>
      </c>
      <c r="AC114" s="1566" t="n">
        <f aca="false">Y114/Z114</f>
        <v>728.208999009388</v>
      </c>
      <c r="AD114" s="1567" t="str">
        <f aca="false">IF(MONTH($A114)=12,SUM(AC103:AC114)," ")</f>
        <v> </v>
      </c>
    </row>
    <row r="115" customFormat="false" ht="12.75" hidden="false" customHeight="false" outlineLevel="0" collapsed="false">
      <c r="A115" s="1538" t="n">
        <f aca="false">'Annex 12-Gas'!A115</f>
        <v>40087</v>
      </c>
      <c r="C115" s="1595" t="n">
        <f aca="false">IF($A115&gt;Endyr,0,VLOOKUP($A115,Tariff_Table,Tariff!$G$33))</f>
        <v>7431.57</v>
      </c>
      <c r="D115" s="1565" t="n">
        <f aca="false">VLOOKUP($A115,Curves_Table,Escalation!$AW$291)</f>
        <v>2.8038414171403</v>
      </c>
      <c r="E115" s="1563" t="n">
        <f aca="false">C115*D115</f>
        <v>20836.9437603773</v>
      </c>
      <c r="F115" s="1540" t="n">
        <f aca="false">VLOOKUP($A115,Plant_Table,'Plant Operations'!$C$270)</f>
        <v>480</v>
      </c>
      <c r="G115" s="1563" t="n">
        <f aca="false">E115*F115/1000</f>
        <v>10001.7330049811</v>
      </c>
      <c r="H115" s="1565" t="n">
        <f aca="false">IF(Assm!$L$74=0,VLOOKUP($A115,Curves_Table,Escalation!$D$291),VLOOKUP($A115,Curves_Table,Escalation!$E$291))</f>
        <v>2.57873071992097</v>
      </c>
      <c r="I115" s="394" t="n">
        <f aca="false">G115/H115</f>
        <v>3878.54882548095</v>
      </c>
      <c r="J115" s="1579" t="str">
        <f aca="false">IF(MONTH($A115)=12,SUM(I104:I115)," ")</f>
        <v> </v>
      </c>
      <c r="L115" s="1595" t="n">
        <f aca="false">IF($A115&gt;Endyr,0,VLOOKUP($A115,Tariff_Table,Tariff!$H$33))</f>
        <v>6140.72</v>
      </c>
      <c r="M115" s="1565" t="n">
        <f aca="false">D115</f>
        <v>2.8038414171403</v>
      </c>
      <c r="N115" s="1563" t="n">
        <f aca="false">L115*M115</f>
        <v>17217.6050670618</v>
      </c>
      <c r="O115" s="1540" t="n">
        <f aca="false">$F115</f>
        <v>480</v>
      </c>
      <c r="P115" s="1563" t="n">
        <f aca="false">N115*O115/1000</f>
        <v>8264.45043218964</v>
      </c>
      <c r="Q115" s="1565" t="n">
        <f aca="false">$H115</f>
        <v>2.57873071992097</v>
      </c>
      <c r="R115" s="394" t="n">
        <f aca="false">P115/Q115</f>
        <v>3204.85204924496</v>
      </c>
      <c r="S115" s="1579" t="str">
        <f aca="false">IF(MONTH($A115)=12,SUM(R104:R115)," ")</f>
        <v> </v>
      </c>
      <c r="U115" s="1595" t="n">
        <f aca="false">IF($A115&gt;Endyr,0,VLOOKUP($A115,Tariff_Table,Tariff!$I$33))</f>
        <v>2.31</v>
      </c>
      <c r="V115" s="1565" t="n">
        <f aca="false">D115</f>
        <v>2.8038414171403</v>
      </c>
      <c r="W115" s="1563" t="n">
        <f aca="false">U115*V115</f>
        <v>6.47687367359408</v>
      </c>
      <c r="X115" s="397" t="n">
        <f aca="false">VLOOKUP($A115,Plant_Table,'Plant Operations'!$M$270)</f>
        <v>298980.864</v>
      </c>
      <c r="Y115" s="630" t="n">
        <f aca="false">W115*X115/1000</f>
        <v>1936.46128695001</v>
      </c>
      <c r="Z115" s="1565" t="n">
        <f aca="false">$H115</f>
        <v>2.57873071992097</v>
      </c>
      <c r="AA115" s="1565" t="n">
        <f aca="false">H115</f>
        <v>2.57873071992097</v>
      </c>
      <c r="AB115" s="1609" t="n">
        <f aca="false">W115/AA115</f>
        <v>2.51165180744137</v>
      </c>
      <c r="AC115" s="1566" t="n">
        <f aca="false">Y115/Z115</f>
        <v>750.935827455983</v>
      </c>
      <c r="AD115" s="1567" t="str">
        <f aca="false">IF(MONTH($A115)=12,SUM(AC104:AC115)," ")</f>
        <v> </v>
      </c>
    </row>
    <row r="116" customFormat="false" ht="12.75" hidden="false" customHeight="false" outlineLevel="0" collapsed="false">
      <c r="A116" s="1538" t="n">
        <f aca="false">'Annex 12-Gas'!A116</f>
        <v>40118</v>
      </c>
      <c r="C116" s="1595" t="n">
        <f aca="false">IF($A116&gt;Endyr,0,VLOOKUP($A116,Tariff_Table,Tariff!$G$33))</f>
        <v>7431.57</v>
      </c>
      <c r="D116" s="1565" t="n">
        <f aca="false">VLOOKUP($A116,Curves_Table,Escalation!$AW$291)</f>
        <v>2.8038414171403</v>
      </c>
      <c r="E116" s="1563" t="n">
        <f aca="false">C116*D116</f>
        <v>20836.9437603773</v>
      </c>
      <c r="F116" s="1540" t="n">
        <f aca="false">VLOOKUP($A116,Plant_Table,'Plant Operations'!$C$270)</f>
        <v>480</v>
      </c>
      <c r="G116" s="1563" t="n">
        <f aca="false">E116*F116/1000</f>
        <v>10001.7330049811</v>
      </c>
      <c r="H116" s="1565" t="n">
        <f aca="false">IF(Assm!$L$74=0,VLOOKUP($A116,Curves_Table,Escalation!$D$291),VLOOKUP($A116,Curves_Table,Escalation!$E$291))</f>
        <v>2.58404248298802</v>
      </c>
      <c r="I116" s="394" t="n">
        <f aca="false">G116/H116</f>
        <v>3870.57607250163</v>
      </c>
      <c r="J116" s="1579" t="str">
        <f aca="false">IF(MONTH($A116)=12,SUM(I105:I116)," ")</f>
        <v> </v>
      </c>
      <c r="L116" s="1595" t="n">
        <f aca="false">IF($A116&gt;Endyr,0,VLOOKUP($A116,Tariff_Table,Tariff!$H$33))</f>
        <v>6140.72</v>
      </c>
      <c r="M116" s="1565" t="n">
        <f aca="false">D116</f>
        <v>2.8038414171403</v>
      </c>
      <c r="N116" s="1563" t="n">
        <f aca="false">L116*M116</f>
        <v>17217.6050670618</v>
      </c>
      <c r="O116" s="1540" t="n">
        <f aca="false">$F116</f>
        <v>480</v>
      </c>
      <c r="P116" s="1563" t="n">
        <f aca="false">N116*O116/1000</f>
        <v>8264.45043218964</v>
      </c>
      <c r="Q116" s="1565" t="n">
        <f aca="false">$H116</f>
        <v>2.58404248298802</v>
      </c>
      <c r="R116" s="394" t="n">
        <f aca="false">P116/Q116</f>
        <v>3198.26414875083</v>
      </c>
      <c r="S116" s="1579" t="str">
        <f aca="false">IF(MONTH($A116)=12,SUM(R105:R116)," ")</f>
        <v> </v>
      </c>
      <c r="U116" s="1595" t="n">
        <f aca="false">IF($A116&gt;Endyr,0,VLOOKUP($A116,Tariff_Table,Tariff!$I$33))</f>
        <v>2.31</v>
      </c>
      <c r="V116" s="1565" t="n">
        <f aca="false">D116</f>
        <v>2.8038414171403</v>
      </c>
      <c r="W116" s="1563" t="n">
        <f aca="false">U116*V116</f>
        <v>6.47687367359408</v>
      </c>
      <c r="X116" s="397" t="n">
        <f aca="false">VLOOKUP($A116,Plant_Table,'Plant Operations'!$M$270)</f>
        <v>289336.32</v>
      </c>
      <c r="Y116" s="630" t="n">
        <f aca="false">W116*X116/1000</f>
        <v>1873.99479382259</v>
      </c>
      <c r="Z116" s="1565" t="n">
        <f aca="false">$H116</f>
        <v>2.58404248298802</v>
      </c>
      <c r="AA116" s="1565" t="n">
        <f aca="false">H116</f>
        <v>2.58404248298802</v>
      </c>
      <c r="AB116" s="1609" t="n">
        <f aca="false">W116/AA116</f>
        <v>2.50648885079654</v>
      </c>
      <c r="AC116" s="1566" t="n">
        <f aca="false">Y116/Z116</f>
        <v>725.218260210501</v>
      </c>
      <c r="AD116" s="1567" t="str">
        <f aca="false">IF(MONTH($A116)=12,SUM(AC105:AC116)," ")</f>
        <v> </v>
      </c>
    </row>
    <row r="117" customFormat="false" ht="12.75" hidden="false" customHeight="false" outlineLevel="0" collapsed="false">
      <c r="A117" s="1538" t="n">
        <f aca="false">'Annex 12-Gas'!A117</f>
        <v>40148</v>
      </c>
      <c r="C117" s="1595" t="n">
        <f aca="false">IF($A117&gt;Endyr,0,VLOOKUP($A117,Tariff_Table,Tariff!$G$33))</f>
        <v>7431.57</v>
      </c>
      <c r="D117" s="1565" t="n">
        <f aca="false">VLOOKUP($A117,Curves_Table,Escalation!$AW$291)</f>
        <v>2.8038414171403</v>
      </c>
      <c r="E117" s="1563" t="n">
        <f aca="false">C117*D117</f>
        <v>20836.9437603773</v>
      </c>
      <c r="F117" s="1540" t="n">
        <f aca="false">VLOOKUP($A117,Plant_Table,'Plant Operations'!$C$270)</f>
        <v>480</v>
      </c>
      <c r="G117" s="1563" t="n">
        <f aca="false">E117*F117/1000</f>
        <v>10001.7330049811</v>
      </c>
      <c r="H117" s="1565" t="n">
        <f aca="false">IF(Assm!$L$74=0,VLOOKUP($A117,Curves_Table,Escalation!$D$291),VLOOKUP($A117,Curves_Table,Escalation!$E$291))</f>
        <v>2.58936518741729</v>
      </c>
      <c r="I117" s="394" t="n">
        <f aca="false">G117/H117</f>
        <v>3862.6197083298</v>
      </c>
      <c r="J117" s="1579" t="n">
        <f aca="false">IF(MONTH($A117)=12,SUM(I106:I117)," ")</f>
        <v>45780.8961654889</v>
      </c>
      <c r="L117" s="1595" t="n">
        <f aca="false">IF($A117&gt;Endyr,0,VLOOKUP($A117,Tariff_Table,Tariff!$H$33))</f>
        <v>6140.72</v>
      </c>
      <c r="M117" s="1565" t="n">
        <f aca="false">D117</f>
        <v>2.8038414171403</v>
      </c>
      <c r="N117" s="1563" t="n">
        <f aca="false">L117*M117</f>
        <v>17217.6050670618</v>
      </c>
      <c r="O117" s="1540" t="n">
        <f aca="false">$F117</f>
        <v>480</v>
      </c>
      <c r="P117" s="1563" t="n">
        <f aca="false">N117*O117/1000</f>
        <v>8264.45043218964</v>
      </c>
      <c r="Q117" s="1565" t="n">
        <f aca="false">$H117</f>
        <v>2.58936518741729</v>
      </c>
      <c r="R117" s="394" t="n">
        <f aca="false">P117/Q117</f>
        <v>3191.68979035856</v>
      </c>
      <c r="S117" s="1579" t="n">
        <f aca="false">IF(MONTH($A117)=12,SUM(R106:R117)," ")</f>
        <v>37795.3653443545</v>
      </c>
      <c r="U117" s="1595" t="n">
        <f aca="false">IF($A117&gt;Endyr,0,VLOOKUP($A117,Tariff_Table,Tariff!$I$33))</f>
        <v>2.31</v>
      </c>
      <c r="V117" s="1565" t="n">
        <f aca="false">D117</f>
        <v>2.8038414171403</v>
      </c>
      <c r="W117" s="1563" t="n">
        <f aca="false">U117*V117</f>
        <v>6.47687367359408</v>
      </c>
      <c r="X117" s="397" t="n">
        <f aca="false">VLOOKUP($A117,Plant_Table,'Plant Operations'!$M$270)</f>
        <v>298980.864</v>
      </c>
      <c r="Y117" s="630" t="n">
        <f aca="false">W117*X117/1000</f>
        <v>1936.46128695001</v>
      </c>
      <c r="Z117" s="1565" t="n">
        <f aca="false">$H117</f>
        <v>2.58936518741729</v>
      </c>
      <c r="AA117" s="1565" t="n">
        <f aca="false">H117</f>
        <v>2.58936518741729</v>
      </c>
      <c r="AB117" s="1609" t="n">
        <f aca="false">W117/AA117</f>
        <v>2.50133650713607</v>
      </c>
      <c r="AC117" s="1566" t="n">
        <f aca="false">Y117/Z117</f>
        <v>747.851750058283</v>
      </c>
      <c r="AD117" s="1567" t="n">
        <f aca="false">IF(MONTH($A117)=12,SUM(AC106:AC117)," ")</f>
        <v>8701.91981931367</v>
      </c>
    </row>
    <row r="118" customFormat="false" ht="12.75" hidden="false" customHeight="false" outlineLevel="0" collapsed="false">
      <c r="A118" s="1538" t="n">
        <f aca="false">'Annex 12-Gas'!A118</f>
        <v>40179</v>
      </c>
      <c r="C118" s="1595" t="n">
        <f aca="false">IF($A118&gt;Endyr,0,VLOOKUP($A118,Tariff_Table,Tariff!$G$33))</f>
        <v>7431.57</v>
      </c>
      <c r="D118" s="1565" t="n">
        <f aca="false">VLOOKUP($A118,Curves_Table,Escalation!$AW$291)</f>
        <v>2.8038414171403</v>
      </c>
      <c r="E118" s="1563" t="n">
        <f aca="false">C118*D118</f>
        <v>20836.9437603773</v>
      </c>
      <c r="F118" s="1540" t="n">
        <f aca="false">VLOOKUP($A118,Plant_Table,'Plant Operations'!$C$270)</f>
        <v>480</v>
      </c>
      <c r="G118" s="1563" t="n">
        <f aca="false">E118*F118/1000</f>
        <v>10001.7330049811</v>
      </c>
      <c r="H118" s="1565" t="n">
        <f aca="false">IF(Assm!$L$74=0,VLOOKUP($A118,Curves_Table,Escalation!$D$291),VLOOKUP($A118,Curves_Table,Escalation!$E$291))</f>
        <v>2.59440828709463</v>
      </c>
      <c r="I118" s="394" t="n">
        <f aca="false">G118/H118</f>
        <v>3855.11141586031</v>
      </c>
      <c r="J118" s="1579" t="str">
        <f aca="false">IF(MONTH($A118)=12,SUM(I107:I118)," ")</f>
        <v> </v>
      </c>
      <c r="L118" s="1595" t="n">
        <f aca="false">IF($A118&gt;Endyr,0,VLOOKUP($A118,Tariff_Table,Tariff!$H$33))</f>
        <v>6140.72</v>
      </c>
      <c r="M118" s="1565" t="n">
        <f aca="false">D118</f>
        <v>2.8038414171403</v>
      </c>
      <c r="N118" s="1563" t="n">
        <f aca="false">L118*M118</f>
        <v>17217.6050670618</v>
      </c>
      <c r="O118" s="1540" t="n">
        <f aca="false">$F118</f>
        <v>480</v>
      </c>
      <c r="P118" s="1563" t="n">
        <f aca="false">N118*O118/1000</f>
        <v>8264.45043218964</v>
      </c>
      <c r="Q118" s="1565" t="n">
        <f aca="false">$H118</f>
        <v>2.59440828709463</v>
      </c>
      <c r="R118" s="394" t="n">
        <f aca="false">P118/Q118</f>
        <v>3185.48567444049</v>
      </c>
      <c r="S118" s="1579" t="str">
        <f aca="false">IF(MONTH($A118)=12,SUM(R107:R118)," ")</f>
        <v> </v>
      </c>
      <c r="U118" s="1595" t="n">
        <f aca="false">IF($A118&gt;Endyr,0,VLOOKUP($A118,Tariff_Table,Tariff!$I$33))</f>
        <v>2.31</v>
      </c>
      <c r="V118" s="1565" t="n">
        <f aca="false">D118</f>
        <v>2.8038414171403</v>
      </c>
      <c r="W118" s="1563" t="n">
        <f aca="false">U118*V118</f>
        <v>6.47687367359408</v>
      </c>
      <c r="X118" s="397" t="n">
        <f aca="false">VLOOKUP($A118,Plant_Table,'Plant Operations'!$M$270)</f>
        <v>298980.864</v>
      </c>
      <c r="Y118" s="630" t="n">
        <f aca="false">W118*X118/1000</f>
        <v>1936.46128695001</v>
      </c>
      <c r="Z118" s="1565" t="n">
        <f aca="false">$H118</f>
        <v>2.59440828709463</v>
      </c>
      <c r="AA118" s="1565" t="n">
        <f aca="false">H118</f>
        <v>2.59440828709463</v>
      </c>
      <c r="AB118" s="1609" t="n">
        <f aca="false">W118/AA118</f>
        <v>2.49647432357197</v>
      </c>
      <c r="AC118" s="1566" t="n">
        <f aca="false">Y118/Z118</f>
        <v>746.398050215362</v>
      </c>
      <c r="AD118" s="1567" t="str">
        <f aca="false">IF(MONTH($A118)=12,SUM(AC107:AC118)," ")</f>
        <v> </v>
      </c>
    </row>
    <row r="119" customFormat="false" ht="12.75" hidden="false" customHeight="false" outlineLevel="0" collapsed="false">
      <c r="A119" s="1538" t="n">
        <f aca="false">'Annex 12-Gas'!A119</f>
        <v>40210</v>
      </c>
      <c r="C119" s="1595" t="n">
        <f aca="false">IF($A119&gt;Endyr,0,VLOOKUP($A119,Tariff_Table,Tariff!$G$33))</f>
        <v>7431.57</v>
      </c>
      <c r="D119" s="1565" t="n">
        <f aca="false">VLOOKUP($A119,Curves_Table,Escalation!$AW$291)</f>
        <v>2.8038414171403</v>
      </c>
      <c r="E119" s="1563" t="n">
        <f aca="false">C119*D119</f>
        <v>20836.9437603773</v>
      </c>
      <c r="F119" s="1540" t="n">
        <f aca="false">VLOOKUP($A119,Plant_Table,'Plant Operations'!$C$270)</f>
        <v>480</v>
      </c>
      <c r="G119" s="1563" t="n">
        <f aca="false">E119*F119/1000</f>
        <v>10001.7330049811</v>
      </c>
      <c r="H119" s="1565" t="n">
        <f aca="false">IF(Assm!$L$74=0,VLOOKUP($A119,Curves_Table,Escalation!$D$291),VLOOKUP($A119,Curves_Table,Escalation!$E$291))</f>
        <v>2.59946120881426</v>
      </c>
      <c r="I119" s="394" t="n">
        <f aca="false">G119/H119</f>
        <v>3847.61771826685</v>
      </c>
      <c r="J119" s="1579" t="str">
        <f aca="false">IF(MONTH($A119)=12,SUM(I108:I119)," ")</f>
        <v> </v>
      </c>
      <c r="L119" s="1595" t="n">
        <f aca="false">IF($A119&gt;Endyr,0,VLOOKUP($A119,Tariff_Table,Tariff!$H$33))</f>
        <v>6140.72</v>
      </c>
      <c r="M119" s="1565" t="n">
        <f aca="false">D119</f>
        <v>2.8038414171403</v>
      </c>
      <c r="N119" s="1563" t="n">
        <f aca="false">L119*M119</f>
        <v>17217.6050670618</v>
      </c>
      <c r="O119" s="1540" t="n">
        <f aca="false">$F119</f>
        <v>480</v>
      </c>
      <c r="P119" s="1563" t="n">
        <f aca="false">N119*O119/1000</f>
        <v>8264.45043218964</v>
      </c>
      <c r="Q119" s="1565" t="n">
        <f aca="false">$H119</f>
        <v>2.59946120881426</v>
      </c>
      <c r="R119" s="394" t="n">
        <f aca="false">P119/Q119</f>
        <v>3179.29361829541</v>
      </c>
      <c r="S119" s="1579" t="str">
        <f aca="false">IF(MONTH($A119)=12,SUM(R108:R119)," ")</f>
        <v> </v>
      </c>
      <c r="U119" s="1595" t="n">
        <f aca="false">IF($A119&gt;Endyr,0,VLOOKUP($A119,Tariff_Table,Tariff!$I$33))</f>
        <v>2.31</v>
      </c>
      <c r="V119" s="1565" t="n">
        <f aca="false">D119</f>
        <v>2.8038414171403</v>
      </c>
      <c r="W119" s="1563" t="n">
        <f aca="false">U119*V119</f>
        <v>6.47687367359408</v>
      </c>
      <c r="X119" s="397" t="n">
        <f aca="false">VLOOKUP($A119,Plant_Table,'Plant Operations'!$M$270)</f>
        <v>270047.232</v>
      </c>
      <c r="Y119" s="630" t="n">
        <f aca="false">W119*X119/1000</f>
        <v>1749.06180756775</v>
      </c>
      <c r="Z119" s="1565" t="n">
        <f aca="false">$H119</f>
        <v>2.59946120881426</v>
      </c>
      <c r="AA119" s="1565" t="n">
        <f aca="false">H119</f>
        <v>2.59946120881426</v>
      </c>
      <c r="AB119" s="1609" t="n">
        <f aca="false">W119/AA119</f>
        <v>2.49162159128679</v>
      </c>
      <c r="AC119" s="1566" t="n">
        <f aca="false">Y119/Z119</f>
        <v>672.855513918434</v>
      </c>
      <c r="AD119" s="1567" t="str">
        <f aca="false">IF(MONTH($A119)=12,SUM(AC108:AC119)," ")</f>
        <v> </v>
      </c>
    </row>
    <row r="120" customFormat="false" ht="12.75" hidden="false" customHeight="false" outlineLevel="0" collapsed="false">
      <c r="A120" s="1538" t="n">
        <f aca="false">'Annex 12-Gas'!A120</f>
        <v>40238</v>
      </c>
      <c r="C120" s="1595" t="n">
        <f aca="false">IF($A120&gt;Endyr,0,VLOOKUP($A120,Tariff_Table,Tariff!$G$33))</f>
        <v>7431.57</v>
      </c>
      <c r="D120" s="1565" t="n">
        <f aca="false">VLOOKUP($A120,Curves_Table,Escalation!$AW$291)</f>
        <v>2.8038414171403</v>
      </c>
      <c r="E120" s="1563" t="n">
        <f aca="false">C120*D120</f>
        <v>20836.9437603773</v>
      </c>
      <c r="F120" s="1540" t="n">
        <f aca="false">VLOOKUP($A120,Plant_Table,'Plant Operations'!$C$270)</f>
        <v>480</v>
      </c>
      <c r="G120" s="1563" t="n">
        <f aca="false">E120*F120/1000</f>
        <v>10001.7330049811</v>
      </c>
      <c r="H120" s="1565" t="n">
        <f aca="false">IF(Assm!$L$74=0,VLOOKUP($A120,Curves_Table,Escalation!$D$291),VLOOKUP($A120,Curves_Table,Escalation!$E$291))</f>
        <v>2.60452397170578</v>
      </c>
      <c r="I120" s="394" t="n">
        <f aca="false">G120/H120</f>
        <v>3840.1385871794</v>
      </c>
      <c r="J120" s="1579" t="str">
        <f aca="false">IF(MONTH($A120)=12,SUM(I109:I120)," ")</f>
        <v> </v>
      </c>
      <c r="L120" s="1595" t="n">
        <f aca="false">IF($A120&gt;Endyr,0,VLOOKUP($A120,Tariff_Table,Tariff!$H$33))</f>
        <v>6140.72</v>
      </c>
      <c r="M120" s="1565" t="n">
        <f aca="false">D120</f>
        <v>2.8038414171403</v>
      </c>
      <c r="N120" s="1563" t="n">
        <f aca="false">L120*M120</f>
        <v>17217.6050670618</v>
      </c>
      <c r="O120" s="1540" t="n">
        <f aca="false">$F120</f>
        <v>480</v>
      </c>
      <c r="P120" s="1563" t="n">
        <f aca="false">N120*O120/1000</f>
        <v>8264.45043218964</v>
      </c>
      <c r="Q120" s="1565" t="n">
        <f aca="false">$H120</f>
        <v>2.60452397170578</v>
      </c>
      <c r="R120" s="394" t="n">
        <f aca="false">P120/Q120</f>
        <v>3173.11359848111</v>
      </c>
      <c r="S120" s="1579" t="str">
        <f aca="false">IF(MONTH($A120)=12,SUM(R109:R120)," ")</f>
        <v> </v>
      </c>
      <c r="U120" s="1595" t="n">
        <f aca="false">IF($A120&gt;Endyr,0,VLOOKUP($A120,Tariff_Table,Tariff!$I$33))</f>
        <v>2.31</v>
      </c>
      <c r="V120" s="1565" t="n">
        <f aca="false">D120</f>
        <v>2.8038414171403</v>
      </c>
      <c r="W120" s="1563" t="n">
        <f aca="false">U120*V120</f>
        <v>6.47687367359408</v>
      </c>
      <c r="X120" s="397" t="n">
        <f aca="false">VLOOKUP($A120,Plant_Table,'Plant Operations'!$M$270)</f>
        <v>298980.864</v>
      </c>
      <c r="Y120" s="630" t="n">
        <f aca="false">W120*X120/1000</f>
        <v>1936.46128695001</v>
      </c>
      <c r="Z120" s="1565" t="n">
        <f aca="false">$H120</f>
        <v>2.60452397170578</v>
      </c>
      <c r="AA120" s="1565" t="n">
        <f aca="false">H120</f>
        <v>2.60452397170578</v>
      </c>
      <c r="AB120" s="1609" t="n">
        <f aca="false">W120/AA120</f>
        <v>2.48677829190882</v>
      </c>
      <c r="AC120" s="1566" t="n">
        <f aca="false">Y120/Z120</f>
        <v>743.499122291344</v>
      </c>
      <c r="AD120" s="1567" t="str">
        <f aca="false">IF(MONTH($A120)=12,SUM(AC109:AC120)," ")</f>
        <v> </v>
      </c>
    </row>
    <row r="121" customFormat="false" ht="12.75" hidden="false" customHeight="false" outlineLevel="0" collapsed="false">
      <c r="A121" s="1538" t="n">
        <f aca="false">'Annex 12-Gas'!A121</f>
        <v>40269</v>
      </c>
      <c r="C121" s="1595" t="n">
        <f aca="false">IF($A121&gt;Endyr,0,VLOOKUP($A121,Tariff_Table,Tariff!$G$33))</f>
        <v>7431.57</v>
      </c>
      <c r="D121" s="1565" t="n">
        <f aca="false">VLOOKUP($A121,Curves_Table,Escalation!$AW$291)</f>
        <v>2.8038414171403</v>
      </c>
      <c r="E121" s="1563" t="n">
        <f aca="false">C121*D121</f>
        <v>20836.9437603773</v>
      </c>
      <c r="F121" s="1540" t="n">
        <f aca="false">VLOOKUP($A121,Plant_Table,'Plant Operations'!$C$270)</f>
        <v>480</v>
      </c>
      <c r="G121" s="1563" t="n">
        <f aca="false">E121*F121/1000</f>
        <v>10001.7330049811</v>
      </c>
      <c r="H121" s="1565" t="n">
        <f aca="false">IF(Assm!$L$74=0,VLOOKUP($A121,Curves_Table,Escalation!$D$291),VLOOKUP($A121,Curves_Table,Escalation!$E$291))</f>
        <v>2.60959659493605</v>
      </c>
      <c r="I121" s="394" t="n">
        <f aca="false">G121/H121</f>
        <v>3832.67399428309</v>
      </c>
      <c r="J121" s="1579" t="str">
        <f aca="false">IF(MONTH($A121)=12,SUM(I110:I121)," ")</f>
        <v> </v>
      </c>
      <c r="L121" s="1595" t="n">
        <f aca="false">IF($A121&gt;Endyr,0,VLOOKUP($A121,Tariff_Table,Tariff!$H$33))</f>
        <v>6140.72</v>
      </c>
      <c r="M121" s="1565" t="n">
        <f aca="false">D121</f>
        <v>2.8038414171403</v>
      </c>
      <c r="N121" s="1563" t="n">
        <f aca="false">L121*M121</f>
        <v>17217.6050670618</v>
      </c>
      <c r="O121" s="1540" t="n">
        <f aca="false">$F121</f>
        <v>480</v>
      </c>
      <c r="P121" s="1563" t="n">
        <f aca="false">N121*O121/1000</f>
        <v>8264.45043218964</v>
      </c>
      <c r="Q121" s="1565" t="n">
        <f aca="false">$H121</f>
        <v>2.60959659493605</v>
      </c>
      <c r="R121" s="394" t="n">
        <f aca="false">P121/Q121</f>
        <v>3166.94559160098</v>
      </c>
      <c r="S121" s="1579" t="str">
        <f aca="false">IF(MONTH($A121)=12,SUM(R110:R121)," ")</f>
        <v> </v>
      </c>
      <c r="U121" s="1595" t="n">
        <f aca="false">IF($A121&gt;Endyr,0,VLOOKUP($A121,Tariff_Table,Tariff!$I$33))</f>
        <v>2.31</v>
      </c>
      <c r="V121" s="1565" t="n">
        <f aca="false">D121</f>
        <v>2.8038414171403</v>
      </c>
      <c r="W121" s="1563" t="n">
        <f aca="false">U121*V121</f>
        <v>6.47687367359408</v>
      </c>
      <c r="X121" s="397" t="n">
        <f aca="false">VLOOKUP($A121,Plant_Table,'Plant Operations'!$M$270)</f>
        <v>289336.32</v>
      </c>
      <c r="Y121" s="630" t="n">
        <f aca="false">W121*X121/1000</f>
        <v>1873.99479382259</v>
      </c>
      <c r="Z121" s="1565" t="n">
        <f aca="false">$H121</f>
        <v>2.60959659493605</v>
      </c>
      <c r="AA121" s="1565" t="n">
        <f aca="false">H121</f>
        <v>2.60959659493605</v>
      </c>
      <c r="AB121" s="1609" t="n">
        <f aca="false">W121/AA121</f>
        <v>2.48194440710205</v>
      </c>
      <c r="AC121" s="1566" t="n">
        <f aca="false">Y121/Z121</f>
        <v>718.116661195489</v>
      </c>
      <c r="AD121" s="1567" t="str">
        <f aca="false">IF(MONTH($A121)=12,SUM(AC110:AC121)," ")</f>
        <v> </v>
      </c>
    </row>
    <row r="122" customFormat="false" ht="12.75" hidden="false" customHeight="false" outlineLevel="0" collapsed="false">
      <c r="A122" s="1538" t="n">
        <f aca="false">'Annex 12-Gas'!A122</f>
        <v>40299</v>
      </c>
      <c r="C122" s="1595" t="n">
        <f aca="false">IF($A122&gt;Endyr,0,VLOOKUP($A122,Tariff_Table,Tariff!$G$33))</f>
        <v>7434.78</v>
      </c>
      <c r="D122" s="1565" t="n">
        <f aca="false">VLOOKUP($A122,Curves_Table,Escalation!$AW$291)</f>
        <v>3.0057179991744</v>
      </c>
      <c r="E122" s="1563" t="n">
        <f aca="false">C122*D122</f>
        <v>22346.8520659018</v>
      </c>
      <c r="F122" s="1540" t="n">
        <f aca="false">VLOOKUP($A122,Plant_Table,'Plant Operations'!$C$270)</f>
        <v>480</v>
      </c>
      <c r="G122" s="1563" t="n">
        <f aca="false">E122*F122/1000</f>
        <v>10726.4889916329</v>
      </c>
      <c r="H122" s="1565" t="n">
        <f aca="false">IF(Assm!$L$74=0,VLOOKUP($A122,Curves_Table,Escalation!$D$291),VLOOKUP($A122,Curves_Table,Escalation!$E$291))</f>
        <v>2.61467909770927</v>
      </c>
      <c r="I122" s="394" t="n">
        <f aca="false">G122/H122</f>
        <v>4102.41126761231</v>
      </c>
      <c r="J122" s="1579" t="str">
        <f aca="false">IF(MONTH($A122)=12,SUM(I111:I122)," ")</f>
        <v> </v>
      </c>
      <c r="L122" s="1595" t="n">
        <f aca="false">IF($A122&gt;Endyr,0,VLOOKUP($A122,Tariff_Table,Tariff!$H$33))</f>
        <v>6151.18</v>
      </c>
      <c r="M122" s="1565" t="n">
        <f aca="false">D122</f>
        <v>3.0057179991744</v>
      </c>
      <c r="N122" s="1563" t="n">
        <f aca="false">L122*M122</f>
        <v>18488.7124421616</v>
      </c>
      <c r="O122" s="1540" t="n">
        <f aca="false">$F122</f>
        <v>480</v>
      </c>
      <c r="P122" s="1563" t="n">
        <f aca="false">N122*O122/1000</f>
        <v>8874.58197223756</v>
      </c>
      <c r="Q122" s="1565" t="n">
        <f aca="false">$H122</f>
        <v>2.61467909770927</v>
      </c>
      <c r="R122" s="394" t="n">
        <f aca="false">P122/Q122</f>
        <v>3394.13811049035</v>
      </c>
      <c r="S122" s="1579" t="str">
        <f aca="false">IF(MONTH($A122)=12,SUM(R111:R122)," ")</f>
        <v> </v>
      </c>
      <c r="U122" s="1595" t="n">
        <f aca="false">IF($A122&gt;Endyr,0,VLOOKUP($A122,Tariff_Table,Tariff!$I$33))</f>
        <v>2.32</v>
      </c>
      <c r="V122" s="1565" t="n">
        <f aca="false">D122</f>
        <v>3.0057179991744</v>
      </c>
      <c r="W122" s="1563" t="n">
        <f aca="false">U122*V122</f>
        <v>6.9732657580846</v>
      </c>
      <c r="X122" s="397" t="n">
        <f aca="false">VLOOKUP($A122,Plant_Table,'Plant Operations'!$M$270)</f>
        <v>298980.864</v>
      </c>
      <c r="Y122" s="630" t="n">
        <f aca="false">W122*X122/1000</f>
        <v>2084.87302125375</v>
      </c>
      <c r="Z122" s="1565" t="n">
        <f aca="false">$H122</f>
        <v>2.61467909770927</v>
      </c>
      <c r="AA122" s="1565" t="n">
        <f aca="false">H122</f>
        <v>2.61467909770927</v>
      </c>
      <c r="AB122" s="1609" t="n">
        <f aca="false">W122/AA122</f>
        <v>2.66696810487907</v>
      </c>
      <c r="AC122" s="1566" t="n">
        <f aca="false">Y122/Z122</f>
        <v>797.372428257187</v>
      </c>
      <c r="AD122" s="1567" t="str">
        <f aca="false">IF(MONTH($A122)=12,SUM(AC111:AC122)," ")</f>
        <v> </v>
      </c>
    </row>
    <row r="123" customFormat="false" ht="12.75" hidden="false" customHeight="false" outlineLevel="0" collapsed="false">
      <c r="A123" s="1538" t="n">
        <f aca="false">'Annex 12-Gas'!A123</f>
        <v>40330</v>
      </c>
      <c r="C123" s="1595" t="n">
        <f aca="false">IF($A123&gt;Endyr,0,VLOOKUP($A123,Tariff_Table,Tariff!$G$33))</f>
        <v>7434.78</v>
      </c>
      <c r="D123" s="1565" t="n">
        <f aca="false">VLOOKUP($A123,Curves_Table,Escalation!$AW$291)</f>
        <v>3.0057179991744</v>
      </c>
      <c r="E123" s="1563" t="n">
        <f aca="false">C123*D123</f>
        <v>22346.8520659018</v>
      </c>
      <c r="F123" s="1540" t="n">
        <f aca="false">VLOOKUP($A123,Plant_Table,'Plant Operations'!$C$270)</f>
        <v>480</v>
      </c>
      <c r="G123" s="1563" t="n">
        <f aca="false">E123*F123/1000</f>
        <v>10726.4889916329</v>
      </c>
      <c r="H123" s="1565" t="n">
        <f aca="false">IF(Assm!$L$74=0,VLOOKUP($A123,Curves_Table,Escalation!$D$291),VLOOKUP($A123,Curves_Table,Escalation!$E$291))</f>
        <v>2.61977149926703</v>
      </c>
      <c r="I123" s="394" t="n">
        <f aca="false">G123/H123</f>
        <v>4094.4368600979</v>
      </c>
      <c r="J123" s="1579" t="str">
        <f aca="false">IF(MONTH($A123)=12,SUM(I112:I123)," ")</f>
        <v> </v>
      </c>
      <c r="L123" s="1595" t="n">
        <f aca="false">IF($A123&gt;Endyr,0,VLOOKUP($A123,Tariff_Table,Tariff!$H$33))</f>
        <v>6151.18</v>
      </c>
      <c r="M123" s="1565" t="n">
        <f aca="false">D123</f>
        <v>3.0057179991744</v>
      </c>
      <c r="N123" s="1563" t="n">
        <f aca="false">L123*M123</f>
        <v>18488.7124421616</v>
      </c>
      <c r="O123" s="1540" t="n">
        <f aca="false">$F123</f>
        <v>480</v>
      </c>
      <c r="P123" s="1563" t="n">
        <f aca="false">N123*O123/1000</f>
        <v>8874.58197223756</v>
      </c>
      <c r="Q123" s="1565" t="n">
        <f aca="false">$H123</f>
        <v>2.61977149926703</v>
      </c>
      <c r="R123" s="394" t="n">
        <f aca="false">P123/Q123</f>
        <v>3387.5404685945</v>
      </c>
      <c r="S123" s="1579" t="str">
        <f aca="false">IF(MONTH($A123)=12,SUM(R112:R123)," ")</f>
        <v> </v>
      </c>
      <c r="U123" s="1595" t="n">
        <f aca="false">IF($A123&gt;Endyr,0,VLOOKUP($A123,Tariff_Table,Tariff!$I$33))</f>
        <v>2.32</v>
      </c>
      <c r="V123" s="1565" t="n">
        <f aca="false">D123</f>
        <v>3.0057179991744</v>
      </c>
      <c r="W123" s="1563" t="n">
        <f aca="false">U123*V123</f>
        <v>6.9732657580846</v>
      </c>
      <c r="X123" s="397" t="n">
        <f aca="false">VLOOKUP($A123,Plant_Table,'Plant Operations'!$M$270)</f>
        <v>289336.32</v>
      </c>
      <c r="Y123" s="630" t="n">
        <f aca="false">W123*X123/1000</f>
        <v>2017.61905282621</v>
      </c>
      <c r="Z123" s="1565" t="n">
        <f aca="false">$H123</f>
        <v>2.61977149926703</v>
      </c>
      <c r="AA123" s="1565" t="n">
        <f aca="false">H123</f>
        <v>2.61977149926703</v>
      </c>
      <c r="AB123" s="1609" t="n">
        <f aca="false">W123/AA123</f>
        <v>2.66178396094301</v>
      </c>
      <c r="AC123" s="1566" t="n">
        <f aca="false">Y123/Z123</f>
        <v>770.150775894274</v>
      </c>
      <c r="AD123" s="1567" t="str">
        <f aca="false">IF(MONTH($A123)=12,SUM(AC112:AC123)," ")</f>
        <v> </v>
      </c>
    </row>
    <row r="124" customFormat="false" ht="12.75" hidden="false" customHeight="false" outlineLevel="0" collapsed="false">
      <c r="A124" s="1538" t="n">
        <f aca="false">'Annex 12-Gas'!A124</f>
        <v>40360</v>
      </c>
      <c r="C124" s="1595" t="n">
        <f aca="false">IF($A124&gt;Endyr,0,VLOOKUP($A124,Tariff_Table,Tariff!$G$33))</f>
        <v>7434.78</v>
      </c>
      <c r="D124" s="1565" t="n">
        <f aca="false">VLOOKUP($A124,Curves_Table,Escalation!$AW$291)</f>
        <v>3.0057179991744</v>
      </c>
      <c r="E124" s="1563" t="n">
        <f aca="false">C124*D124</f>
        <v>22346.8520659018</v>
      </c>
      <c r="F124" s="1540" t="n">
        <f aca="false">VLOOKUP($A124,Plant_Table,'Plant Operations'!$C$270)</f>
        <v>480</v>
      </c>
      <c r="G124" s="1563" t="n">
        <f aca="false">E124*F124/1000</f>
        <v>10726.4889916329</v>
      </c>
      <c r="H124" s="1565" t="n">
        <f aca="false">IF(Assm!$L$74=0,VLOOKUP($A124,Curves_Table,Escalation!$D$291),VLOOKUP($A124,Curves_Table,Escalation!$E$291))</f>
        <v>2.62487381888841</v>
      </c>
      <c r="I124" s="394" t="n">
        <f aca="false">G124/H124</f>
        <v>4086.47795350992</v>
      </c>
      <c r="J124" s="1579" t="str">
        <f aca="false">IF(MONTH($A124)=12,SUM(I113:I124)," ")</f>
        <v> </v>
      </c>
      <c r="L124" s="1595" t="n">
        <f aca="false">IF($A124&gt;Endyr,0,VLOOKUP($A124,Tariff_Table,Tariff!$H$33))</f>
        <v>6151.18</v>
      </c>
      <c r="M124" s="1565" t="n">
        <f aca="false">D124</f>
        <v>3.0057179991744</v>
      </c>
      <c r="N124" s="1563" t="n">
        <f aca="false">L124*M124</f>
        <v>18488.7124421616</v>
      </c>
      <c r="O124" s="1540" t="n">
        <f aca="false">$F124</f>
        <v>480</v>
      </c>
      <c r="P124" s="1563" t="n">
        <f aca="false">N124*O124/1000</f>
        <v>8874.58197223756</v>
      </c>
      <c r="Q124" s="1565" t="n">
        <f aca="false">$H124</f>
        <v>2.62487381888841</v>
      </c>
      <c r="R124" s="394" t="n">
        <f aca="false">P124/Q124</f>
        <v>3380.95565142091</v>
      </c>
      <c r="S124" s="1579" t="str">
        <f aca="false">IF(MONTH($A124)=12,SUM(R113:R124)," ")</f>
        <v> </v>
      </c>
      <c r="U124" s="1595" t="n">
        <f aca="false">IF($A124&gt;Endyr,0,VLOOKUP($A124,Tariff_Table,Tariff!$I$33))</f>
        <v>2.32</v>
      </c>
      <c r="V124" s="1565" t="n">
        <f aca="false">D124</f>
        <v>3.0057179991744</v>
      </c>
      <c r="W124" s="1563" t="n">
        <f aca="false">U124*V124</f>
        <v>6.9732657580846</v>
      </c>
      <c r="X124" s="397" t="n">
        <f aca="false">VLOOKUP($A124,Plant_Table,'Plant Operations'!$M$270)</f>
        <v>298980.864</v>
      </c>
      <c r="Y124" s="630" t="n">
        <f aca="false">W124*X124/1000</f>
        <v>2084.87302125375</v>
      </c>
      <c r="Z124" s="1565" t="n">
        <f aca="false">$H124</f>
        <v>2.62487381888841</v>
      </c>
      <c r="AA124" s="1565" t="n">
        <f aca="false">H124</f>
        <v>2.62487381888841</v>
      </c>
      <c r="AB124" s="1609" t="n">
        <f aca="false">W124/AA124</f>
        <v>2.65660989412347</v>
      </c>
      <c r="AC124" s="1566" t="n">
        <f aca="false">Y124/Z124</f>
        <v>794.275521455983</v>
      </c>
      <c r="AD124" s="1567" t="str">
        <f aca="false">IF(MONTH($A124)=12,SUM(AC113:AC124)," ")</f>
        <v> </v>
      </c>
    </row>
    <row r="125" customFormat="false" ht="12.75" hidden="false" customHeight="false" outlineLevel="0" collapsed="false">
      <c r="A125" s="1538" t="n">
        <f aca="false">'Annex 12-Gas'!A125</f>
        <v>40391</v>
      </c>
      <c r="C125" s="1595" t="n">
        <f aca="false">IF($A125&gt;Endyr,0,VLOOKUP($A125,Tariff_Table,Tariff!$G$33))</f>
        <v>7434.78</v>
      </c>
      <c r="D125" s="1565" t="n">
        <f aca="false">VLOOKUP($A125,Curves_Table,Escalation!$AW$291)</f>
        <v>3.0057179991744</v>
      </c>
      <c r="E125" s="1563" t="n">
        <f aca="false">C125*D125</f>
        <v>22346.8520659018</v>
      </c>
      <c r="F125" s="1540" t="n">
        <f aca="false">VLOOKUP($A125,Plant_Table,'Plant Operations'!$C$270)</f>
        <v>480</v>
      </c>
      <c r="G125" s="1563" t="n">
        <f aca="false">E125*F125/1000</f>
        <v>10726.4889916329</v>
      </c>
      <c r="H125" s="1565" t="n">
        <f aca="false">IF(Assm!$L$74=0,VLOOKUP($A125,Curves_Table,Escalation!$D$291),VLOOKUP($A125,Curves_Table,Escalation!$E$291))</f>
        <v>2.62998607589002</v>
      </c>
      <c r="I125" s="394" t="n">
        <f aca="false">G125/H125</f>
        <v>4078.53451771713</v>
      </c>
      <c r="J125" s="1579" t="str">
        <f aca="false">IF(MONTH($A125)=12,SUM(I114:I125)," ")</f>
        <v> </v>
      </c>
      <c r="L125" s="1595" t="n">
        <f aca="false">IF($A125&gt;Endyr,0,VLOOKUP($A125,Tariff_Table,Tariff!$H$33))</f>
        <v>6151.18</v>
      </c>
      <c r="M125" s="1565" t="n">
        <f aca="false">D125</f>
        <v>3.0057179991744</v>
      </c>
      <c r="N125" s="1563" t="n">
        <f aca="false">L125*M125</f>
        <v>18488.7124421616</v>
      </c>
      <c r="O125" s="1540" t="n">
        <f aca="false">$F125</f>
        <v>480</v>
      </c>
      <c r="P125" s="1563" t="n">
        <f aca="false">N125*O125/1000</f>
        <v>8874.58197223756</v>
      </c>
      <c r="Q125" s="1565" t="n">
        <f aca="false">$H125</f>
        <v>2.62998607589002</v>
      </c>
      <c r="R125" s="394" t="n">
        <f aca="false">P125/Q125</f>
        <v>3374.38363404045</v>
      </c>
      <c r="S125" s="1579" t="str">
        <f aca="false">IF(MONTH($A125)=12,SUM(R114:R125)," ")</f>
        <v> </v>
      </c>
      <c r="U125" s="1595" t="n">
        <f aca="false">IF($A125&gt;Endyr,0,VLOOKUP($A125,Tariff_Table,Tariff!$I$33))</f>
        <v>2.32</v>
      </c>
      <c r="V125" s="1565" t="n">
        <f aca="false">D125</f>
        <v>3.0057179991744</v>
      </c>
      <c r="W125" s="1563" t="n">
        <f aca="false">U125*V125</f>
        <v>6.9732657580846</v>
      </c>
      <c r="X125" s="397" t="n">
        <f aca="false">VLOOKUP($A125,Plant_Table,'Plant Operations'!$M$270)</f>
        <v>298980.864</v>
      </c>
      <c r="Y125" s="630" t="n">
        <f aca="false">W125*X125/1000</f>
        <v>2084.87302125375</v>
      </c>
      <c r="Z125" s="1565" t="n">
        <f aca="false">$H125</f>
        <v>2.62998607589002</v>
      </c>
      <c r="AA125" s="1565" t="n">
        <f aca="false">H125</f>
        <v>2.62998607589002</v>
      </c>
      <c r="AB125" s="1609" t="n">
        <f aca="false">W125/AA125</f>
        <v>2.65144588483221</v>
      </c>
      <c r="AC125" s="1566" t="n">
        <f aca="false">Y125/Z125</f>
        <v>792.731581496377</v>
      </c>
      <c r="AD125" s="1567" t="str">
        <f aca="false">IF(MONTH($A125)=12,SUM(AC114:AC125)," ")</f>
        <v> </v>
      </c>
    </row>
    <row r="126" customFormat="false" ht="12.75" hidden="false" customHeight="false" outlineLevel="0" collapsed="false">
      <c r="A126" s="1538" t="n">
        <f aca="false">'Annex 12-Gas'!A126</f>
        <v>40422</v>
      </c>
      <c r="C126" s="1595" t="n">
        <f aca="false">IF($A126&gt;Endyr,0,VLOOKUP($A126,Tariff_Table,Tariff!$G$33))</f>
        <v>7434.78</v>
      </c>
      <c r="D126" s="1565" t="n">
        <f aca="false">VLOOKUP($A126,Curves_Table,Escalation!$AW$291)</f>
        <v>3.0057179991744</v>
      </c>
      <c r="E126" s="1563" t="n">
        <f aca="false">C126*D126</f>
        <v>22346.8520659018</v>
      </c>
      <c r="F126" s="1540" t="n">
        <f aca="false">VLOOKUP($A126,Plant_Table,'Plant Operations'!$C$270)</f>
        <v>480</v>
      </c>
      <c r="G126" s="1563" t="n">
        <f aca="false">E126*F126/1000</f>
        <v>10726.4889916329</v>
      </c>
      <c r="H126" s="1565" t="n">
        <f aca="false">IF(Assm!$L$74=0,VLOOKUP($A126,Curves_Table,Escalation!$D$291),VLOOKUP($A126,Curves_Table,Escalation!$E$291))</f>
        <v>2.63510828962611</v>
      </c>
      <c r="I126" s="394" t="n">
        <f aca="false">G126/H126</f>
        <v>4070.60652264686</v>
      </c>
      <c r="J126" s="1579" t="str">
        <f aca="false">IF(MONTH($A126)=12,SUM(I115:I126)," ")</f>
        <v> </v>
      </c>
      <c r="L126" s="1595" t="n">
        <f aca="false">IF($A126&gt;Endyr,0,VLOOKUP($A126,Tariff_Table,Tariff!$H$33))</f>
        <v>6151.18</v>
      </c>
      <c r="M126" s="1565" t="n">
        <f aca="false">D126</f>
        <v>3.0057179991744</v>
      </c>
      <c r="N126" s="1563" t="n">
        <f aca="false">L126*M126</f>
        <v>18488.7124421616</v>
      </c>
      <c r="O126" s="1540" t="n">
        <f aca="false">$F126</f>
        <v>480</v>
      </c>
      <c r="P126" s="1563" t="n">
        <f aca="false">N126*O126/1000</f>
        <v>8874.58197223756</v>
      </c>
      <c r="Q126" s="1565" t="n">
        <f aca="false">$H126</f>
        <v>2.63510828962611</v>
      </c>
      <c r="R126" s="394" t="n">
        <f aca="false">P126/Q126</f>
        <v>3367.82439157244</v>
      </c>
      <c r="S126" s="1579" t="str">
        <f aca="false">IF(MONTH($A126)=12,SUM(R115:R126)," ")</f>
        <v> </v>
      </c>
      <c r="U126" s="1595" t="n">
        <f aca="false">IF($A126&gt;Endyr,0,VLOOKUP($A126,Tariff_Table,Tariff!$I$33))</f>
        <v>2.32</v>
      </c>
      <c r="V126" s="1565" t="n">
        <f aca="false">D126</f>
        <v>3.0057179991744</v>
      </c>
      <c r="W126" s="1563" t="n">
        <f aca="false">U126*V126</f>
        <v>6.9732657580846</v>
      </c>
      <c r="X126" s="397" t="n">
        <f aca="false">VLOOKUP($A126,Plant_Table,'Plant Operations'!$M$270)</f>
        <v>289336.32</v>
      </c>
      <c r="Y126" s="630" t="n">
        <f aca="false">W126*X126/1000</f>
        <v>2017.61905282621</v>
      </c>
      <c r="Z126" s="1565" t="n">
        <f aca="false">$H126</f>
        <v>2.63510828962611</v>
      </c>
      <c r="AA126" s="1565" t="n">
        <f aca="false">H126</f>
        <v>2.63510828962611</v>
      </c>
      <c r="AB126" s="1609" t="n">
        <f aca="false">W126/AA126</f>
        <v>2.64629191351905</v>
      </c>
      <c r="AC126" s="1566" t="n">
        <f aca="false">Y126/Z126</f>
        <v>765.668363903361</v>
      </c>
      <c r="AD126" s="1567" t="str">
        <f aca="false">IF(MONTH($A126)=12,SUM(AC115:AC126)," ")</f>
        <v> </v>
      </c>
    </row>
    <row r="127" customFormat="false" ht="12.75" hidden="false" customHeight="false" outlineLevel="0" collapsed="false">
      <c r="A127" s="1538" t="n">
        <f aca="false">'Annex 12-Gas'!A127</f>
        <v>40452</v>
      </c>
      <c r="C127" s="1595" t="n">
        <f aca="false">IF($A127&gt;Endyr,0,VLOOKUP($A127,Tariff_Table,Tariff!$G$33))</f>
        <v>7434.78</v>
      </c>
      <c r="D127" s="1565" t="n">
        <f aca="false">VLOOKUP($A127,Curves_Table,Escalation!$AW$291)</f>
        <v>3.0057179991744</v>
      </c>
      <c r="E127" s="1563" t="n">
        <f aca="false">C127*D127</f>
        <v>22346.8520659018</v>
      </c>
      <c r="F127" s="1540" t="n">
        <f aca="false">VLOOKUP($A127,Plant_Table,'Plant Operations'!$C$270)</f>
        <v>480</v>
      </c>
      <c r="G127" s="1563" t="n">
        <f aca="false">E127*F127/1000</f>
        <v>10726.4889916329</v>
      </c>
      <c r="H127" s="1565" t="n">
        <f aca="false">IF(Assm!$L$74=0,VLOOKUP($A127,Curves_Table,Escalation!$D$291),VLOOKUP($A127,Curves_Table,Escalation!$E$291))</f>
        <v>2.64024047948862</v>
      </c>
      <c r="I127" s="394" t="n">
        <f aca="false">G127/H127</f>
        <v>4062.69393828492</v>
      </c>
      <c r="J127" s="1579" t="str">
        <f aca="false">IF(MONTH($A127)=12,SUM(I116:I127)," ")</f>
        <v> </v>
      </c>
      <c r="L127" s="1595" t="n">
        <f aca="false">IF($A127&gt;Endyr,0,VLOOKUP($A127,Tariff_Table,Tariff!$H$33))</f>
        <v>6151.18</v>
      </c>
      <c r="M127" s="1565" t="n">
        <f aca="false">D127</f>
        <v>3.0057179991744</v>
      </c>
      <c r="N127" s="1563" t="n">
        <f aca="false">L127*M127</f>
        <v>18488.7124421616</v>
      </c>
      <c r="O127" s="1540" t="n">
        <f aca="false">$F127</f>
        <v>480</v>
      </c>
      <c r="P127" s="1563" t="n">
        <f aca="false">N127*O127/1000</f>
        <v>8874.58197223756</v>
      </c>
      <c r="Q127" s="1565" t="n">
        <f aca="false">$H127</f>
        <v>2.64024047948862</v>
      </c>
      <c r="R127" s="394" t="n">
        <f aca="false">P127/Q127</f>
        <v>3361.27789918457</v>
      </c>
      <c r="S127" s="1579" t="str">
        <f aca="false">IF(MONTH($A127)=12,SUM(R116:R127)," ")</f>
        <v> </v>
      </c>
      <c r="U127" s="1595" t="n">
        <f aca="false">IF($A127&gt;Endyr,0,VLOOKUP($A127,Tariff_Table,Tariff!$I$33))</f>
        <v>2.32</v>
      </c>
      <c r="V127" s="1565" t="n">
        <f aca="false">D127</f>
        <v>3.0057179991744</v>
      </c>
      <c r="W127" s="1563" t="n">
        <f aca="false">U127*V127</f>
        <v>6.9732657580846</v>
      </c>
      <c r="X127" s="397" t="n">
        <f aca="false">VLOOKUP($A127,Plant_Table,'Plant Operations'!$M$270)</f>
        <v>298980.864</v>
      </c>
      <c r="Y127" s="630" t="n">
        <f aca="false">W127*X127/1000</f>
        <v>2084.87302125375</v>
      </c>
      <c r="Z127" s="1565" t="n">
        <f aca="false">$H127</f>
        <v>2.64024047948862</v>
      </c>
      <c r="AA127" s="1565" t="n">
        <f aca="false">H127</f>
        <v>2.64024047948862</v>
      </c>
      <c r="AB127" s="1609" t="n">
        <f aca="false">W127/AA127</f>
        <v>2.64114796067184</v>
      </c>
      <c r="AC127" s="1566" t="n">
        <f aca="false">Y127/Z127</f>
        <v>789.652699233505</v>
      </c>
      <c r="AD127" s="1567" t="str">
        <f aca="false">IF(MONTH($A127)=12,SUM(AC116:AC127)," ")</f>
        <v> </v>
      </c>
    </row>
    <row r="128" customFormat="false" ht="12.75" hidden="false" customHeight="false" outlineLevel="0" collapsed="false">
      <c r="A128" s="1538" t="n">
        <f aca="false">'Annex 12-Gas'!A128</f>
        <v>40483</v>
      </c>
      <c r="C128" s="1595" t="n">
        <f aca="false">IF($A128&gt;Endyr,0,VLOOKUP($A128,Tariff_Table,Tariff!$G$33))</f>
        <v>7434.78</v>
      </c>
      <c r="D128" s="1565" t="n">
        <f aca="false">VLOOKUP($A128,Curves_Table,Escalation!$AW$291)</f>
        <v>3.0057179991744</v>
      </c>
      <c r="E128" s="1563" t="n">
        <f aca="false">C128*D128</f>
        <v>22346.8520659018</v>
      </c>
      <c r="F128" s="1540" t="n">
        <f aca="false">VLOOKUP($A128,Plant_Table,'Plant Operations'!$C$270)</f>
        <v>480</v>
      </c>
      <c r="G128" s="1563" t="n">
        <f aca="false">E128*F128/1000</f>
        <v>10726.4889916329</v>
      </c>
      <c r="H128" s="1565" t="n">
        <f aca="false">IF(Assm!$L$74=0,VLOOKUP($A128,Curves_Table,Escalation!$D$291),VLOOKUP($A128,Curves_Table,Escalation!$E$291))</f>
        <v>2.64538266490724</v>
      </c>
      <c r="I128" s="394" t="n">
        <f aca="false">G128/H128</f>
        <v>4054.79673467544</v>
      </c>
      <c r="J128" s="1579" t="str">
        <f aca="false">IF(MONTH($A128)=12,SUM(I117:I128)," ")</f>
        <v> </v>
      </c>
      <c r="L128" s="1595" t="n">
        <f aca="false">IF($A128&gt;Endyr,0,VLOOKUP($A128,Tariff_Table,Tariff!$H$33))</f>
        <v>6151.18</v>
      </c>
      <c r="M128" s="1565" t="n">
        <f aca="false">D128</f>
        <v>3.0057179991744</v>
      </c>
      <c r="N128" s="1563" t="n">
        <f aca="false">L128*M128</f>
        <v>18488.7124421616</v>
      </c>
      <c r="O128" s="1540" t="n">
        <f aca="false">$F128</f>
        <v>480</v>
      </c>
      <c r="P128" s="1563" t="n">
        <f aca="false">N128*O128/1000</f>
        <v>8874.58197223756</v>
      </c>
      <c r="Q128" s="1565" t="n">
        <f aca="false">$H128</f>
        <v>2.64538266490724</v>
      </c>
      <c r="R128" s="394" t="n">
        <f aca="false">P128/Q128</f>
        <v>3354.74413209279</v>
      </c>
      <c r="S128" s="1579" t="str">
        <f aca="false">IF(MONTH($A128)=12,SUM(R117:R128)," ")</f>
        <v> </v>
      </c>
      <c r="U128" s="1595" t="n">
        <f aca="false">IF($A128&gt;Endyr,0,VLOOKUP($A128,Tariff_Table,Tariff!$I$33))</f>
        <v>2.32</v>
      </c>
      <c r="V128" s="1565" t="n">
        <f aca="false">D128</f>
        <v>3.0057179991744</v>
      </c>
      <c r="W128" s="1563" t="n">
        <f aca="false">U128*V128</f>
        <v>6.9732657580846</v>
      </c>
      <c r="X128" s="397" t="n">
        <f aca="false">VLOOKUP($A128,Plant_Table,'Plant Operations'!$M$270)</f>
        <v>289336.32</v>
      </c>
      <c r="Y128" s="630" t="n">
        <f aca="false">W128*X128/1000</f>
        <v>2017.61905282621</v>
      </c>
      <c r="Z128" s="1565" t="n">
        <f aca="false">$H128</f>
        <v>2.64538266490724</v>
      </c>
      <c r="AA128" s="1565" t="n">
        <f aca="false">H128</f>
        <v>2.64538266490724</v>
      </c>
      <c r="AB128" s="1609" t="n">
        <f aca="false">W128/AA128</f>
        <v>2.63601400681633</v>
      </c>
      <c r="AC128" s="1566" t="n">
        <f aca="false">Y128/Z128</f>
        <v>762.694592200693</v>
      </c>
      <c r="AD128" s="1567" t="str">
        <f aca="false">IF(MONTH($A128)=12,SUM(AC117:AC128)," ")</f>
        <v> </v>
      </c>
    </row>
    <row r="129" customFormat="false" ht="12.75" hidden="false" customHeight="false" outlineLevel="0" collapsed="false">
      <c r="A129" s="1538" t="n">
        <f aca="false">'Annex 12-Gas'!A129</f>
        <v>40513</v>
      </c>
      <c r="C129" s="1595" t="n">
        <f aca="false">IF($A129&gt;Endyr,0,VLOOKUP($A129,Tariff_Table,Tariff!$G$33))</f>
        <v>7434.78</v>
      </c>
      <c r="D129" s="1565" t="n">
        <f aca="false">VLOOKUP($A129,Curves_Table,Escalation!$AW$291)</f>
        <v>3.0057179991744</v>
      </c>
      <c r="E129" s="1563" t="n">
        <f aca="false">C129*D129</f>
        <v>22346.8520659018</v>
      </c>
      <c r="F129" s="1540" t="n">
        <f aca="false">VLOOKUP($A129,Plant_Table,'Plant Operations'!$C$270)</f>
        <v>480</v>
      </c>
      <c r="G129" s="1563" t="n">
        <f aca="false">E129*F129/1000</f>
        <v>10726.4889916329</v>
      </c>
      <c r="H129" s="1565" t="n">
        <f aca="false">IF(Assm!$L$74=0,VLOOKUP($A129,Curves_Table,Escalation!$D$291),VLOOKUP($A129,Curves_Table,Escalation!$E$291))</f>
        <v>2.65053486534952</v>
      </c>
      <c r="I129" s="394" t="n">
        <f aca="false">G129/H129</f>
        <v>4046.91488192078</v>
      </c>
      <c r="J129" s="1579" t="n">
        <f aca="false">IF(MONTH($A129)=12,SUM(I118:I129)," ")</f>
        <v>47972.4143920549</v>
      </c>
      <c r="L129" s="1595" t="n">
        <f aca="false">IF($A129&gt;Endyr,0,VLOOKUP($A129,Tariff_Table,Tariff!$H$33))</f>
        <v>6151.18</v>
      </c>
      <c r="M129" s="1565" t="n">
        <f aca="false">D129</f>
        <v>3.0057179991744</v>
      </c>
      <c r="N129" s="1563" t="n">
        <f aca="false">L129*M129</f>
        <v>18488.7124421616</v>
      </c>
      <c r="O129" s="1540" t="n">
        <f aca="false">$F129</f>
        <v>480</v>
      </c>
      <c r="P129" s="1563" t="n">
        <f aca="false">N129*O129/1000</f>
        <v>8874.58197223756</v>
      </c>
      <c r="Q129" s="1565" t="n">
        <f aca="false">$H129</f>
        <v>2.65053486534952</v>
      </c>
      <c r="R129" s="394" t="n">
        <f aca="false">P129/Q129</f>
        <v>3348.22306556125</v>
      </c>
      <c r="S129" s="1579" t="n">
        <f aca="false">IF(MONTH($A129)=12,SUM(R118:R129)," ")</f>
        <v>39673.9258357752</v>
      </c>
      <c r="U129" s="1595" t="n">
        <f aca="false">IF($A129&gt;Endyr,0,VLOOKUP($A129,Tariff_Table,Tariff!$I$33))</f>
        <v>2.32</v>
      </c>
      <c r="V129" s="1565" t="n">
        <f aca="false">D129</f>
        <v>3.0057179991744</v>
      </c>
      <c r="W129" s="1563" t="n">
        <f aca="false">U129*V129</f>
        <v>6.9732657580846</v>
      </c>
      <c r="X129" s="397" t="n">
        <f aca="false">VLOOKUP($A129,Plant_Table,'Plant Operations'!$M$270)</f>
        <v>298980.864</v>
      </c>
      <c r="Y129" s="630" t="n">
        <f aca="false">W129*X129/1000</f>
        <v>2084.87302125375</v>
      </c>
      <c r="Z129" s="1565" t="n">
        <f aca="false">$H129</f>
        <v>2.65053486534952</v>
      </c>
      <c r="AA129" s="1565" t="n">
        <f aca="false">H129</f>
        <v>2.65053486534952</v>
      </c>
      <c r="AB129" s="1609" t="n">
        <f aca="false">W129/AA129</f>
        <v>2.63089003251615</v>
      </c>
      <c r="AC129" s="1566" t="n">
        <f aca="false">Y129/Z129</f>
        <v>786.585775010668</v>
      </c>
      <c r="AD129" s="1567" t="n">
        <f aca="false">IF(MONTH($A129)=12,SUM(AC118:AC129)," ")</f>
        <v>9140.00108507268</v>
      </c>
    </row>
    <row r="130" customFormat="false" ht="12.75" hidden="false" customHeight="false" outlineLevel="0" collapsed="false">
      <c r="A130" s="1538" t="n">
        <f aca="false">'Annex 12-Gas'!A130</f>
        <v>40544</v>
      </c>
      <c r="C130" s="1595" t="n">
        <f aca="false">IF($A130&gt;Endyr,0,VLOOKUP($A130,Tariff_Table,Tariff!$G$33))</f>
        <v>7434.78</v>
      </c>
      <c r="D130" s="1565" t="n">
        <f aca="false">VLOOKUP($A130,Curves_Table,Escalation!$AW$291)</f>
        <v>3.0057179991744</v>
      </c>
      <c r="E130" s="1563" t="n">
        <f aca="false">C130*D130</f>
        <v>22346.8520659018</v>
      </c>
      <c r="F130" s="1540" t="n">
        <f aca="false">VLOOKUP($A130,Plant_Table,'Plant Operations'!$C$270)</f>
        <v>480</v>
      </c>
      <c r="G130" s="1563" t="n">
        <f aca="false">E130*F130/1000</f>
        <v>10726.4889916329</v>
      </c>
      <c r="H130" s="1565" t="n">
        <f aca="false">IF(Assm!$L$74=0,VLOOKUP($A130,Curves_Table,Escalation!$D$291),VLOOKUP($A130,Curves_Table,Escalation!$E$291))</f>
        <v>2.65513335215341</v>
      </c>
      <c r="I130" s="394" t="n">
        <f aca="false">G130/H130</f>
        <v>4039.90593652606</v>
      </c>
      <c r="J130" s="1579" t="str">
        <f aca="false">IF(MONTH($A130)=12,SUM(I119:I130)," ")</f>
        <v> </v>
      </c>
      <c r="L130" s="1595" t="n">
        <f aca="false">IF($A130&gt;Endyr,0,VLOOKUP($A130,Tariff_Table,Tariff!$H$33))</f>
        <v>6151.18</v>
      </c>
      <c r="M130" s="1565" t="n">
        <f aca="false">D130</f>
        <v>3.0057179991744</v>
      </c>
      <c r="N130" s="1563" t="n">
        <f aca="false">L130*M130</f>
        <v>18488.7124421616</v>
      </c>
      <c r="O130" s="1540" t="n">
        <f aca="false">$F130</f>
        <v>480</v>
      </c>
      <c r="P130" s="1563" t="n">
        <f aca="false">N130*O130/1000</f>
        <v>8874.58197223756</v>
      </c>
      <c r="Q130" s="1565" t="n">
        <f aca="false">$H130</f>
        <v>2.65513335215341</v>
      </c>
      <c r="R130" s="394" t="n">
        <f aca="false">P130/Q130</f>
        <v>3342.42420066772</v>
      </c>
      <c r="S130" s="1579" t="str">
        <f aca="false">IF(MONTH($A130)=12,SUM(R119:R130)," ")</f>
        <v> </v>
      </c>
      <c r="U130" s="1595" t="n">
        <f aca="false">IF($A130&gt;Endyr,0,VLOOKUP($A130,Tariff_Table,Tariff!$I$33))</f>
        <v>2.32</v>
      </c>
      <c r="V130" s="1565" t="n">
        <f aca="false">D130</f>
        <v>3.0057179991744</v>
      </c>
      <c r="W130" s="1563" t="n">
        <f aca="false">U130*V130</f>
        <v>6.9732657580846</v>
      </c>
      <c r="X130" s="397" t="n">
        <f aca="false">VLOOKUP($A130,Plant_Table,'Plant Operations'!$M$270)</f>
        <v>298980.864</v>
      </c>
      <c r="Y130" s="630" t="n">
        <f aca="false">W130*X130/1000</f>
        <v>2084.87302125375</v>
      </c>
      <c r="Z130" s="1565" t="n">
        <f aca="false">$H130</f>
        <v>2.65513335215341</v>
      </c>
      <c r="AA130" s="1565" t="n">
        <f aca="false">H130</f>
        <v>2.65513335215341</v>
      </c>
      <c r="AB130" s="1609" t="n">
        <f aca="false">W130/AA130</f>
        <v>2.62633353327773</v>
      </c>
      <c r="AC130" s="1566" t="n">
        <f aca="false">Y130/Z130</f>
        <v>785.223468931549</v>
      </c>
      <c r="AD130" s="1567" t="str">
        <f aca="false">IF(MONTH($A130)=12,SUM(AC119:AC130)," ")</f>
        <v> </v>
      </c>
    </row>
    <row r="131" customFormat="false" ht="12.75" hidden="false" customHeight="false" outlineLevel="0" collapsed="false">
      <c r="A131" s="1538" t="n">
        <f aca="false">'Annex 12-Gas'!A131</f>
        <v>40575</v>
      </c>
      <c r="C131" s="1595" t="n">
        <f aca="false">IF($A131&gt;Endyr,0,VLOOKUP($A131,Tariff_Table,Tariff!$G$33))</f>
        <v>7434.78</v>
      </c>
      <c r="D131" s="1565" t="n">
        <f aca="false">VLOOKUP($A131,Curves_Table,Escalation!$AW$291)</f>
        <v>3.0057179991744</v>
      </c>
      <c r="E131" s="1563" t="n">
        <f aca="false">C131*D131</f>
        <v>22346.8520659018</v>
      </c>
      <c r="F131" s="1540" t="n">
        <f aca="false">VLOOKUP($A131,Plant_Table,'Plant Operations'!$C$270)</f>
        <v>480</v>
      </c>
      <c r="G131" s="1563" t="n">
        <f aca="false">E131*F131/1000</f>
        <v>10726.4889916329</v>
      </c>
      <c r="H131" s="1565" t="n">
        <f aca="false">IF(Assm!$L$74=0,VLOOKUP($A131,Curves_Table,Escalation!$D$291),VLOOKUP($A131,Curves_Table,Escalation!$E$291))</f>
        <v>2.6597398170002</v>
      </c>
      <c r="I131" s="394" t="n">
        <f aca="false">G131/H131</f>
        <v>4032.90913008581</v>
      </c>
      <c r="J131" s="1579" t="str">
        <f aca="false">IF(MONTH($A131)=12,SUM(I120:I131)," ")</f>
        <v> </v>
      </c>
      <c r="L131" s="1595" t="n">
        <f aca="false">IF($A131&gt;Endyr,0,VLOOKUP($A131,Tariff_Table,Tariff!$H$33))</f>
        <v>6151.18</v>
      </c>
      <c r="M131" s="1565" t="n">
        <f aca="false">D131</f>
        <v>3.0057179991744</v>
      </c>
      <c r="N131" s="1563" t="n">
        <f aca="false">L131*M131</f>
        <v>18488.7124421616</v>
      </c>
      <c r="O131" s="1540" t="n">
        <f aca="false">$F131</f>
        <v>480</v>
      </c>
      <c r="P131" s="1563" t="n">
        <f aca="false">N131*O131/1000</f>
        <v>8874.58197223756</v>
      </c>
      <c r="Q131" s="1565" t="n">
        <f aca="false">$H131</f>
        <v>2.6597398170002</v>
      </c>
      <c r="R131" s="394" t="n">
        <f aca="false">P131/Q131</f>
        <v>3336.63537896229</v>
      </c>
      <c r="S131" s="1579" t="str">
        <f aca="false">IF(MONTH($A131)=12,SUM(R120:R131)," ")</f>
        <v> </v>
      </c>
      <c r="U131" s="1595" t="n">
        <f aca="false">IF($A131&gt;Endyr,0,VLOOKUP($A131,Tariff_Table,Tariff!$I$33))</f>
        <v>2.32</v>
      </c>
      <c r="V131" s="1565" t="n">
        <f aca="false">D131</f>
        <v>3.0057179991744</v>
      </c>
      <c r="W131" s="1563" t="n">
        <f aca="false">U131*V131</f>
        <v>6.9732657580846</v>
      </c>
      <c r="X131" s="397" t="n">
        <f aca="false">VLOOKUP($A131,Plant_Table,'Plant Operations'!$M$270)</f>
        <v>270047.232</v>
      </c>
      <c r="Y131" s="630" t="n">
        <f aca="false">W131*X131/1000</f>
        <v>1883.11111597113</v>
      </c>
      <c r="Z131" s="1565" t="n">
        <f aca="false">$H131</f>
        <v>2.6597398170002</v>
      </c>
      <c r="AA131" s="1565" t="n">
        <f aca="false">H131</f>
        <v>2.6597398170002</v>
      </c>
      <c r="AB131" s="1609" t="n">
        <f aca="false">W131/AA131</f>
        <v>2.62178492554562</v>
      </c>
      <c r="AC131" s="1566" t="n">
        <f aca="false">Y131/Z131</f>
        <v>708.005762042922</v>
      </c>
      <c r="AD131" s="1567" t="str">
        <f aca="false">IF(MONTH($A131)=12,SUM(AC120:AC131)," ")</f>
        <v> </v>
      </c>
    </row>
    <row r="132" customFormat="false" ht="12.75" hidden="false" customHeight="false" outlineLevel="0" collapsed="false">
      <c r="A132" s="1538" t="n">
        <f aca="false">'Annex 12-Gas'!A132</f>
        <v>40603</v>
      </c>
      <c r="C132" s="1595" t="n">
        <f aca="false">IF($A132&gt;Endyr,0,VLOOKUP($A132,Tariff_Table,Tariff!$G$33))</f>
        <v>7434.78</v>
      </c>
      <c r="D132" s="1565" t="n">
        <f aca="false">VLOOKUP($A132,Curves_Table,Escalation!$AW$291)</f>
        <v>3.0057179991744</v>
      </c>
      <c r="E132" s="1563" t="n">
        <f aca="false">C132*D132</f>
        <v>22346.8520659018</v>
      </c>
      <c r="F132" s="1540" t="n">
        <f aca="false">VLOOKUP($A132,Plant_Table,'Plant Operations'!$C$270)</f>
        <v>480</v>
      </c>
      <c r="G132" s="1563" t="n">
        <f aca="false">E132*F132/1000</f>
        <v>10726.4889916329</v>
      </c>
      <c r="H132" s="1565" t="n">
        <f aca="false">IF(Assm!$L$74=0,VLOOKUP($A132,Curves_Table,Escalation!$D$291),VLOOKUP($A132,Curves_Table,Escalation!$E$291))</f>
        <v>2.66435427373123</v>
      </c>
      <c r="I132" s="394" t="n">
        <f aca="false">G132/H132</f>
        <v>4025.92444157632</v>
      </c>
      <c r="J132" s="1579" t="str">
        <f aca="false">IF(MONTH($A132)=12,SUM(I121:I132)," ")</f>
        <v> </v>
      </c>
      <c r="L132" s="1595" t="n">
        <f aca="false">IF($A132&gt;Endyr,0,VLOOKUP($A132,Tariff_Table,Tariff!$H$33))</f>
        <v>6151.18</v>
      </c>
      <c r="M132" s="1565" t="n">
        <f aca="false">D132</f>
        <v>3.0057179991744</v>
      </c>
      <c r="N132" s="1563" t="n">
        <f aca="false">L132*M132</f>
        <v>18488.7124421616</v>
      </c>
      <c r="O132" s="1540" t="n">
        <f aca="false">$F132</f>
        <v>480</v>
      </c>
      <c r="P132" s="1563" t="n">
        <f aca="false">N132*O132/1000</f>
        <v>8874.58197223756</v>
      </c>
      <c r="Q132" s="1565" t="n">
        <f aca="false">$H132</f>
        <v>2.66435427373123</v>
      </c>
      <c r="R132" s="394" t="n">
        <f aca="false">P132/Q132</f>
        <v>3330.85658305093</v>
      </c>
      <c r="S132" s="1579" t="str">
        <f aca="false">IF(MONTH($A132)=12,SUM(R121:R132)," ")</f>
        <v> </v>
      </c>
      <c r="U132" s="1595" t="n">
        <f aca="false">IF($A132&gt;Endyr,0,VLOOKUP($A132,Tariff_Table,Tariff!$I$33))</f>
        <v>2.32</v>
      </c>
      <c r="V132" s="1565" t="n">
        <f aca="false">D132</f>
        <v>3.0057179991744</v>
      </c>
      <c r="W132" s="1563" t="n">
        <f aca="false">U132*V132</f>
        <v>6.9732657580846</v>
      </c>
      <c r="X132" s="397" t="n">
        <f aca="false">VLOOKUP($A132,Plant_Table,'Plant Operations'!$M$270)</f>
        <v>298980.864</v>
      </c>
      <c r="Y132" s="630" t="n">
        <f aca="false">W132*X132/1000</f>
        <v>2084.87302125375</v>
      </c>
      <c r="Z132" s="1565" t="n">
        <f aca="false">$H132</f>
        <v>2.66435427373123</v>
      </c>
      <c r="AA132" s="1565" t="n">
        <f aca="false">H132</f>
        <v>2.66435427373123</v>
      </c>
      <c r="AB132" s="1609" t="n">
        <f aca="false">W132/AA132</f>
        <v>2.61724419565235</v>
      </c>
      <c r="AC132" s="1566" t="n">
        <f aca="false">Y132/Z132</f>
        <v>782.505930915125</v>
      </c>
      <c r="AD132" s="1567" t="str">
        <f aca="false">IF(MONTH($A132)=12,SUM(AC121:AC132)," ")</f>
        <v> </v>
      </c>
    </row>
    <row r="133" customFormat="false" ht="12.75" hidden="false" customHeight="false" outlineLevel="0" collapsed="false">
      <c r="A133" s="1538" t="n">
        <f aca="false">'Annex 12-Gas'!A133</f>
        <v>40634</v>
      </c>
      <c r="C133" s="1595" t="n">
        <f aca="false">IF($A133&gt;Endyr,0,VLOOKUP($A133,Tariff_Table,Tariff!$G$33))</f>
        <v>7434.78</v>
      </c>
      <c r="D133" s="1565" t="n">
        <f aca="false">VLOOKUP($A133,Curves_Table,Escalation!$AW$291)</f>
        <v>3.0057179991744</v>
      </c>
      <c r="E133" s="1563" t="n">
        <f aca="false">C133*D133</f>
        <v>22346.8520659018</v>
      </c>
      <c r="F133" s="1540" t="n">
        <f aca="false">VLOOKUP($A133,Plant_Table,'Plant Operations'!$C$270)</f>
        <v>480</v>
      </c>
      <c r="G133" s="1563" t="n">
        <f aca="false">E133*F133/1000</f>
        <v>10726.4889916329</v>
      </c>
      <c r="H133" s="1565" t="n">
        <f aca="false">IF(Assm!$L$74=0,VLOOKUP($A133,Curves_Table,Escalation!$D$291),VLOOKUP($A133,Curves_Table,Escalation!$E$291))</f>
        <v>2.66897673621184</v>
      </c>
      <c r="I133" s="394" t="n">
        <f aca="false">G133/H133</f>
        <v>4018.95185001024</v>
      </c>
      <c r="J133" s="1579" t="str">
        <f aca="false">IF(MONTH($A133)=12,SUM(I122:I133)," ")</f>
        <v> </v>
      </c>
      <c r="L133" s="1595" t="n">
        <f aca="false">IF($A133&gt;Endyr,0,VLOOKUP($A133,Tariff_Table,Tariff!$H$33))</f>
        <v>6151.18</v>
      </c>
      <c r="M133" s="1565" t="n">
        <f aca="false">D133</f>
        <v>3.0057179991744</v>
      </c>
      <c r="N133" s="1563" t="n">
        <f aca="false">L133*M133</f>
        <v>18488.7124421616</v>
      </c>
      <c r="O133" s="1540" t="n">
        <f aca="false">$F133</f>
        <v>480</v>
      </c>
      <c r="P133" s="1563" t="n">
        <f aca="false">N133*O133/1000</f>
        <v>8874.58197223756</v>
      </c>
      <c r="Q133" s="1565" t="n">
        <f aca="false">$H133</f>
        <v>2.66897673621184</v>
      </c>
      <c r="R133" s="394" t="n">
        <f aca="false">P133/Q133</f>
        <v>3325.08779556974</v>
      </c>
      <c r="S133" s="1579" t="str">
        <f aca="false">IF(MONTH($A133)=12,SUM(R122:R133)," ")</f>
        <v> </v>
      </c>
      <c r="U133" s="1595" t="n">
        <f aca="false">IF($A133&gt;Endyr,0,VLOOKUP($A133,Tariff_Table,Tariff!$I$33))</f>
        <v>2.32</v>
      </c>
      <c r="V133" s="1565" t="n">
        <f aca="false">D133</f>
        <v>3.0057179991744</v>
      </c>
      <c r="W133" s="1563" t="n">
        <f aca="false">U133*V133</f>
        <v>6.9732657580846</v>
      </c>
      <c r="X133" s="397" t="n">
        <f aca="false">VLOOKUP($A133,Plant_Table,'Plant Operations'!$M$270)</f>
        <v>289336.32</v>
      </c>
      <c r="Y133" s="630" t="n">
        <f aca="false">W133*X133/1000</f>
        <v>2017.61905282621</v>
      </c>
      <c r="Z133" s="1565" t="n">
        <f aca="false">$H133</f>
        <v>2.66897673621184</v>
      </c>
      <c r="AA133" s="1565" t="n">
        <f aca="false">H133</f>
        <v>2.66897673621184</v>
      </c>
      <c r="AB133" s="1609" t="n">
        <f aca="false">W133/AA133</f>
        <v>2.6127113299541</v>
      </c>
      <c r="AC133" s="1566" t="n">
        <f aca="false">Y133/Z133</f>
        <v>755.952281431226</v>
      </c>
      <c r="AD133" s="1567" t="str">
        <f aca="false">IF(MONTH($A133)=12,SUM(AC122:AC133)," ")</f>
        <v> </v>
      </c>
    </row>
    <row r="134" customFormat="false" ht="12.75" hidden="false" customHeight="false" outlineLevel="0" collapsed="false">
      <c r="A134" s="1538" t="n">
        <f aca="false">'Annex 12-Gas'!A134</f>
        <v>40664</v>
      </c>
      <c r="C134" s="1595" t="n">
        <f aca="false">IF($A134&gt;Endyr,0,VLOOKUP($A134,Tariff_Table,Tariff!$G$33))</f>
        <v>7420.61</v>
      </c>
      <c r="D134" s="1565" t="n">
        <f aca="false">VLOOKUP($A134,Curves_Table,Escalation!$AW$291)</f>
        <v>3.0057179991744</v>
      </c>
      <c r="E134" s="1563" t="n">
        <f aca="false">C134*D134</f>
        <v>22304.2610418535</v>
      </c>
      <c r="F134" s="1540" t="n">
        <f aca="false">VLOOKUP($A134,Plant_Table,'Plant Operations'!$C$270)</f>
        <v>480</v>
      </c>
      <c r="G134" s="1563" t="n">
        <f aca="false">E134*F134/1000</f>
        <v>10706.0453000897</v>
      </c>
      <c r="H134" s="1565" t="n">
        <f aca="false">IF(Assm!$L$74=0,VLOOKUP($A134,Curves_Table,Escalation!$D$291),VLOOKUP($A134,Curves_Table,Escalation!$E$291))</f>
        <v>2.67360721833143</v>
      </c>
      <c r="I134" s="394" t="n">
        <f aca="false">G134/H134</f>
        <v>4004.34485166121</v>
      </c>
      <c r="J134" s="1579" t="str">
        <f aca="false">IF(MONTH($A134)=12,SUM(I123:I134)," ")</f>
        <v> </v>
      </c>
      <c r="L134" s="1595" t="n">
        <f aca="false">IF($A134&gt;Endyr,0,VLOOKUP($A134,Tariff_Table,Tariff!$H$33))</f>
        <v>6104.93</v>
      </c>
      <c r="M134" s="1565" t="n">
        <f aca="false">D134</f>
        <v>3.0057179991744</v>
      </c>
      <c r="N134" s="1563" t="n">
        <f aca="false">L134*M134</f>
        <v>18349.6979846998</v>
      </c>
      <c r="O134" s="1540" t="n">
        <f aca="false">$F134</f>
        <v>480</v>
      </c>
      <c r="P134" s="1563" t="n">
        <f aca="false">N134*O134/1000</f>
        <v>8807.85503265588</v>
      </c>
      <c r="Q134" s="1565" t="n">
        <f aca="false">$H134</f>
        <v>2.67360721833143</v>
      </c>
      <c r="R134" s="394" t="n">
        <f aca="false">P134/Q134</f>
        <v>3294.37135427573</v>
      </c>
      <c r="S134" s="1579" t="str">
        <f aca="false">IF(MONTH($A134)=12,SUM(R123:R134)," ")</f>
        <v> </v>
      </c>
      <c r="U134" s="1595" t="n">
        <f aca="false">IF($A134&gt;Endyr,0,VLOOKUP($A134,Tariff_Table,Tariff!$I$33))</f>
        <v>2.3</v>
      </c>
      <c r="V134" s="1565" t="n">
        <f aca="false">D134</f>
        <v>3.0057179991744</v>
      </c>
      <c r="W134" s="1563" t="n">
        <f aca="false">U134*V134</f>
        <v>6.91315139810111</v>
      </c>
      <c r="X134" s="397" t="n">
        <f aca="false">VLOOKUP($A134,Plant_Table,'Plant Operations'!$M$270)</f>
        <v>298980.864</v>
      </c>
      <c r="Y134" s="630" t="n">
        <f aca="false">W134*X134/1000</f>
        <v>2066.89997796708</v>
      </c>
      <c r="Z134" s="1565" t="n">
        <f aca="false">$H134</f>
        <v>2.67360721833143</v>
      </c>
      <c r="AA134" s="1565" t="n">
        <f aca="false">H134</f>
        <v>2.67360721833143</v>
      </c>
      <c r="AB134" s="1609" t="n">
        <f aca="false">W134/AA134</f>
        <v>2.58570195004767</v>
      </c>
      <c r="AC134" s="1566" t="n">
        <f aca="false">Y134/Z134</f>
        <v>773.075403071739</v>
      </c>
      <c r="AD134" s="1567" t="str">
        <f aca="false">IF(MONTH($A134)=12,SUM(AC123:AC134)," ")</f>
        <v> </v>
      </c>
    </row>
    <row r="135" customFormat="false" ht="12.75" hidden="false" customHeight="false" outlineLevel="0" collapsed="false">
      <c r="A135" s="1538" t="n">
        <f aca="false">'Annex 12-Gas'!A135</f>
        <v>40695</v>
      </c>
      <c r="C135" s="1595" t="n">
        <f aca="false">IF($A135&gt;Endyr,0,VLOOKUP($A135,Tariff_Table,Tariff!$G$33))</f>
        <v>7420.61</v>
      </c>
      <c r="D135" s="1565" t="n">
        <f aca="false">VLOOKUP($A135,Curves_Table,Escalation!$AW$291)</f>
        <v>3.0057179991744</v>
      </c>
      <c r="E135" s="1563" t="n">
        <f aca="false">C135*D135</f>
        <v>22304.2610418535</v>
      </c>
      <c r="F135" s="1540" t="n">
        <f aca="false">VLOOKUP($A135,Plant_Table,'Plant Operations'!$C$270)</f>
        <v>480</v>
      </c>
      <c r="G135" s="1563" t="n">
        <f aca="false">E135*F135/1000</f>
        <v>10706.0453000897</v>
      </c>
      <c r="H135" s="1565" t="n">
        <f aca="false">IF(Assm!$L$74=0,VLOOKUP($A135,Curves_Table,Escalation!$D$291),VLOOKUP($A135,Curves_Table,Escalation!$E$291))</f>
        <v>2.67824573400349</v>
      </c>
      <c r="I135" s="394" t="n">
        <f aca="false">G135/H135</f>
        <v>3997.40963428554</v>
      </c>
      <c r="J135" s="1579" t="str">
        <f aca="false">IF(MONTH($A135)=12,SUM(I124:I135)," ")</f>
        <v> </v>
      </c>
      <c r="L135" s="1595" t="n">
        <f aca="false">IF($A135&gt;Endyr,0,VLOOKUP($A135,Tariff_Table,Tariff!$H$33))</f>
        <v>6104.93</v>
      </c>
      <c r="M135" s="1565" t="n">
        <f aca="false">D135</f>
        <v>3.0057179991744</v>
      </c>
      <c r="N135" s="1563" t="n">
        <f aca="false">L135*M135</f>
        <v>18349.6979846998</v>
      </c>
      <c r="O135" s="1540" t="n">
        <f aca="false">$F135</f>
        <v>480</v>
      </c>
      <c r="P135" s="1563" t="n">
        <f aca="false">N135*O135/1000</f>
        <v>8807.85503265588</v>
      </c>
      <c r="Q135" s="1565" t="n">
        <f aca="false">$H135</f>
        <v>2.67824573400349</v>
      </c>
      <c r="R135" s="394" t="n">
        <f aca="false">P135/Q135</f>
        <v>3288.66575640531</v>
      </c>
      <c r="S135" s="1579" t="str">
        <f aca="false">IF(MONTH($A135)=12,SUM(R124:R135)," ")</f>
        <v> </v>
      </c>
      <c r="U135" s="1595" t="n">
        <f aca="false">IF($A135&gt;Endyr,0,VLOOKUP($A135,Tariff_Table,Tariff!$I$33))</f>
        <v>2.3</v>
      </c>
      <c r="V135" s="1565" t="n">
        <f aca="false">D135</f>
        <v>3.0057179991744</v>
      </c>
      <c r="W135" s="1563" t="n">
        <f aca="false">U135*V135</f>
        <v>6.91315139810111</v>
      </c>
      <c r="X135" s="397" t="n">
        <f aca="false">VLOOKUP($A135,Plant_Table,'Plant Operations'!$M$270)</f>
        <v>289336.32</v>
      </c>
      <c r="Y135" s="630" t="n">
        <f aca="false">W135*X135/1000</f>
        <v>2000.22578512943</v>
      </c>
      <c r="Z135" s="1565" t="n">
        <f aca="false">$H135</f>
        <v>2.67824573400349</v>
      </c>
      <c r="AA135" s="1565" t="n">
        <f aca="false">H135</f>
        <v>2.67824573400349</v>
      </c>
      <c r="AB135" s="1609" t="n">
        <f aca="false">W135/AA135</f>
        <v>2.58122371309343</v>
      </c>
      <c r="AC135" s="1566" t="n">
        <f aca="false">Y135/Z135</f>
        <v>746.841770243188</v>
      </c>
      <c r="AD135" s="1567" t="str">
        <f aca="false">IF(MONTH($A135)=12,SUM(AC124:AC135)," ")</f>
        <v> </v>
      </c>
    </row>
    <row r="136" customFormat="false" ht="12.75" hidden="false" customHeight="false" outlineLevel="0" collapsed="false">
      <c r="A136" s="1538" t="n">
        <f aca="false">'Annex 12-Gas'!A136</f>
        <v>40725</v>
      </c>
      <c r="C136" s="1595" t="n">
        <f aca="false">IF($A136&gt;Endyr,0,VLOOKUP($A136,Tariff_Table,Tariff!$G$33))</f>
        <v>7420.61</v>
      </c>
      <c r="D136" s="1565" t="n">
        <f aca="false">VLOOKUP($A136,Curves_Table,Escalation!$AW$291)</f>
        <v>3.0057179991744</v>
      </c>
      <c r="E136" s="1563" t="n">
        <f aca="false">C136*D136</f>
        <v>22304.2610418535</v>
      </c>
      <c r="F136" s="1540" t="n">
        <f aca="false">VLOOKUP($A136,Plant_Table,'Plant Operations'!$C$270)</f>
        <v>480</v>
      </c>
      <c r="G136" s="1563" t="n">
        <f aca="false">E136*F136/1000</f>
        <v>10706.0453000897</v>
      </c>
      <c r="H136" s="1565" t="n">
        <f aca="false">IF(Assm!$L$74=0,VLOOKUP($A136,Curves_Table,Escalation!$D$291),VLOOKUP($A136,Curves_Table,Escalation!$E$291))</f>
        <v>2.68289229716566</v>
      </c>
      <c r="I136" s="394" t="n">
        <f aca="false">G136/H136</f>
        <v>3990.48642817309</v>
      </c>
      <c r="J136" s="1579" t="str">
        <f aca="false">IF(MONTH($A136)=12,SUM(I125:I136)," ")</f>
        <v> </v>
      </c>
      <c r="L136" s="1595" t="n">
        <f aca="false">IF($A136&gt;Endyr,0,VLOOKUP($A136,Tariff_Table,Tariff!$H$33))</f>
        <v>6104.93</v>
      </c>
      <c r="M136" s="1565" t="n">
        <f aca="false">D136</f>
        <v>3.0057179991744</v>
      </c>
      <c r="N136" s="1563" t="n">
        <f aca="false">L136*M136</f>
        <v>18349.6979846998</v>
      </c>
      <c r="O136" s="1540" t="n">
        <f aca="false">$F136</f>
        <v>480</v>
      </c>
      <c r="P136" s="1563" t="n">
        <f aca="false">N136*O136/1000</f>
        <v>8807.85503265588</v>
      </c>
      <c r="Q136" s="1565" t="n">
        <f aca="false">$H136</f>
        <v>2.68289229716566</v>
      </c>
      <c r="R136" s="394" t="n">
        <f aca="false">P136/Q136</f>
        <v>3282.97004019168</v>
      </c>
      <c r="S136" s="1579" t="str">
        <f aca="false">IF(MONTH($A136)=12,SUM(R125:R136)," ")</f>
        <v> </v>
      </c>
      <c r="U136" s="1595" t="n">
        <f aca="false">IF($A136&gt;Endyr,0,VLOOKUP($A136,Tariff_Table,Tariff!$I$33))</f>
        <v>2.3</v>
      </c>
      <c r="V136" s="1565" t="n">
        <f aca="false">D136</f>
        <v>3.0057179991744</v>
      </c>
      <c r="W136" s="1563" t="n">
        <f aca="false">U136*V136</f>
        <v>6.91315139810111</v>
      </c>
      <c r="X136" s="397" t="n">
        <f aca="false">VLOOKUP($A136,Plant_Table,'Plant Operations'!$M$270)</f>
        <v>298980.864</v>
      </c>
      <c r="Y136" s="630" t="n">
        <f aca="false">W136*X136/1000</f>
        <v>2066.89997796708</v>
      </c>
      <c r="Z136" s="1565" t="n">
        <f aca="false">$H136</f>
        <v>2.68289229716566</v>
      </c>
      <c r="AA136" s="1565" t="n">
        <f aca="false">H136</f>
        <v>2.68289229716566</v>
      </c>
      <c r="AB136" s="1609" t="n">
        <f aca="false">W136/AA136</f>
        <v>2.57675323210123</v>
      </c>
      <c r="AC136" s="1566" t="n">
        <f aca="false">Y136/Z136</f>
        <v>770.39990764842</v>
      </c>
      <c r="AD136" s="1567" t="str">
        <f aca="false">IF(MONTH($A136)=12,SUM(AC125:AC136)," ")</f>
        <v> </v>
      </c>
    </row>
    <row r="137" customFormat="false" ht="12.75" hidden="false" customHeight="false" outlineLevel="0" collapsed="false">
      <c r="A137" s="1538" t="n">
        <f aca="false">'Annex 12-Gas'!A137</f>
        <v>40756</v>
      </c>
      <c r="C137" s="1595" t="n">
        <f aca="false">IF($A137&gt;Endyr,0,VLOOKUP($A137,Tariff_Table,Tariff!$G$33))</f>
        <v>7420.61</v>
      </c>
      <c r="D137" s="1565" t="n">
        <f aca="false">VLOOKUP($A137,Curves_Table,Escalation!$AW$291)</f>
        <v>3.0057179991744</v>
      </c>
      <c r="E137" s="1563" t="n">
        <f aca="false">C137*D137</f>
        <v>22304.2610418535</v>
      </c>
      <c r="F137" s="1540" t="n">
        <f aca="false">VLOOKUP($A137,Plant_Table,'Plant Operations'!$C$270)</f>
        <v>480</v>
      </c>
      <c r="G137" s="1563" t="n">
        <f aca="false">E137*F137/1000</f>
        <v>10706.0453000897</v>
      </c>
      <c r="H137" s="1565" t="n">
        <f aca="false">IF(Assm!$L$74=0,VLOOKUP($A137,Curves_Table,Escalation!$D$291),VLOOKUP($A137,Curves_Table,Escalation!$E$291))</f>
        <v>2.68754692177975</v>
      </c>
      <c r="I137" s="394" t="n">
        <f aca="false">G137/H137</f>
        <v>3983.57521252129</v>
      </c>
      <c r="J137" s="1579" t="str">
        <f aca="false">IF(MONTH($A137)=12,SUM(I126:I137)," ")</f>
        <v> </v>
      </c>
      <c r="L137" s="1595" t="n">
        <f aca="false">IF($A137&gt;Endyr,0,VLOOKUP($A137,Tariff_Table,Tariff!$H$33))</f>
        <v>6104.93</v>
      </c>
      <c r="M137" s="1565" t="n">
        <f aca="false">D137</f>
        <v>3.0057179991744</v>
      </c>
      <c r="N137" s="1563" t="n">
        <f aca="false">L137*M137</f>
        <v>18349.6979846998</v>
      </c>
      <c r="O137" s="1540" t="n">
        <f aca="false">$F137</f>
        <v>480</v>
      </c>
      <c r="P137" s="1563" t="n">
        <f aca="false">N137*O137/1000</f>
        <v>8807.85503265588</v>
      </c>
      <c r="Q137" s="1565" t="n">
        <f aca="false">$H137</f>
        <v>2.68754692177975</v>
      </c>
      <c r="R137" s="394" t="n">
        <f aca="false">P137/Q137</f>
        <v>3277.28418852057</v>
      </c>
      <c r="S137" s="1579" t="str">
        <f aca="false">IF(MONTH($A137)=12,SUM(R126:R137)," ")</f>
        <v> </v>
      </c>
      <c r="U137" s="1595" t="n">
        <f aca="false">IF($A137&gt;Endyr,0,VLOOKUP($A137,Tariff_Table,Tariff!$I$33))</f>
        <v>2.3</v>
      </c>
      <c r="V137" s="1565" t="n">
        <f aca="false">D137</f>
        <v>3.0057179991744</v>
      </c>
      <c r="W137" s="1563" t="n">
        <f aca="false">U137*V137</f>
        <v>6.91315139810111</v>
      </c>
      <c r="X137" s="397" t="n">
        <f aca="false">VLOOKUP($A137,Plant_Table,'Plant Operations'!$M$270)</f>
        <v>298980.864</v>
      </c>
      <c r="Y137" s="630" t="n">
        <f aca="false">W137*X137/1000</f>
        <v>2066.89997796708</v>
      </c>
      <c r="Z137" s="1565" t="n">
        <f aca="false">$H137</f>
        <v>2.68754692177975</v>
      </c>
      <c r="AA137" s="1565" t="n">
        <f aca="false">H137</f>
        <v>2.68754692177975</v>
      </c>
      <c r="AB137" s="1609" t="n">
        <f aca="false">W137/AA137</f>
        <v>2.57229049363837</v>
      </c>
      <c r="AC137" s="1566" t="n">
        <f aca="false">Y137/Z137</f>
        <v>769.065634246987</v>
      </c>
      <c r="AD137" s="1567" t="str">
        <f aca="false">IF(MONTH($A137)=12,SUM(AC126:AC137)," ")</f>
        <v> </v>
      </c>
    </row>
    <row r="138" customFormat="false" ht="12.75" hidden="false" customHeight="false" outlineLevel="0" collapsed="false">
      <c r="A138" s="1538" t="n">
        <f aca="false">'Annex 12-Gas'!A138</f>
        <v>40787</v>
      </c>
      <c r="C138" s="1595" t="n">
        <f aca="false">IF($A138&gt;Endyr,0,VLOOKUP($A138,Tariff_Table,Tariff!$G$33))</f>
        <v>7420.61</v>
      </c>
      <c r="D138" s="1565" t="n">
        <f aca="false">VLOOKUP($A138,Curves_Table,Escalation!$AW$291)</f>
        <v>3.0057179991744</v>
      </c>
      <c r="E138" s="1563" t="n">
        <f aca="false">C138*D138</f>
        <v>22304.2610418535</v>
      </c>
      <c r="F138" s="1540" t="n">
        <f aca="false">VLOOKUP($A138,Plant_Table,'Plant Operations'!$C$270)</f>
        <v>480</v>
      </c>
      <c r="G138" s="1563" t="n">
        <f aca="false">E138*F138/1000</f>
        <v>10706.0453000897</v>
      </c>
      <c r="H138" s="1565" t="n">
        <f aca="false">IF(Assm!$L$74=0,VLOOKUP($A138,Curves_Table,Escalation!$D$291),VLOOKUP($A138,Curves_Table,Escalation!$E$291))</f>
        <v>2.6922096218318</v>
      </c>
      <c r="I138" s="394" t="n">
        <f aca="false">G138/H138</f>
        <v>3976.67596656356</v>
      </c>
      <c r="J138" s="1579" t="str">
        <f aca="false">IF(MONTH($A138)=12,SUM(I127:I138)," ")</f>
        <v> </v>
      </c>
      <c r="L138" s="1595" t="n">
        <f aca="false">IF($A138&gt;Endyr,0,VLOOKUP($A138,Tariff_Table,Tariff!$H$33))</f>
        <v>6104.93</v>
      </c>
      <c r="M138" s="1565" t="n">
        <f aca="false">D138</f>
        <v>3.0057179991744</v>
      </c>
      <c r="N138" s="1563" t="n">
        <f aca="false">L138*M138</f>
        <v>18349.6979846998</v>
      </c>
      <c r="O138" s="1540" t="n">
        <f aca="false">$F138</f>
        <v>480</v>
      </c>
      <c r="P138" s="1563" t="n">
        <f aca="false">N138*O138/1000</f>
        <v>8807.85503265588</v>
      </c>
      <c r="Q138" s="1565" t="n">
        <f aca="false">$H138</f>
        <v>2.6922096218318</v>
      </c>
      <c r="R138" s="394" t="n">
        <f aca="false">P138/Q138</f>
        <v>3271.60818430734</v>
      </c>
      <c r="S138" s="1579" t="str">
        <f aca="false">IF(MONTH($A138)=12,SUM(R127:R138)," ")</f>
        <v> </v>
      </c>
      <c r="U138" s="1595" t="n">
        <f aca="false">IF($A138&gt;Endyr,0,VLOOKUP($A138,Tariff_Table,Tariff!$I$33))</f>
        <v>2.3</v>
      </c>
      <c r="V138" s="1565" t="n">
        <f aca="false">D138</f>
        <v>3.0057179991744</v>
      </c>
      <c r="W138" s="1563" t="n">
        <f aca="false">U138*V138</f>
        <v>6.91315139810111</v>
      </c>
      <c r="X138" s="397" t="n">
        <f aca="false">VLOOKUP($A138,Plant_Table,'Plant Operations'!$M$270)</f>
        <v>289336.32</v>
      </c>
      <c r="Y138" s="630" t="n">
        <f aca="false">W138*X138/1000</f>
        <v>2000.22578512943</v>
      </c>
      <c r="Z138" s="1565" t="n">
        <f aca="false">$H138</f>
        <v>2.6922096218318</v>
      </c>
      <c r="AA138" s="1565" t="n">
        <f aca="false">H138</f>
        <v>2.6922096218318</v>
      </c>
      <c r="AB138" s="1609" t="n">
        <f aca="false">W138/AA138</f>
        <v>2.56783548429537</v>
      </c>
      <c r="AC138" s="1566" t="n">
        <f aca="false">Y138/Z138</f>
        <v>742.968069391441</v>
      </c>
      <c r="AD138" s="1567" t="str">
        <f aca="false">IF(MONTH($A138)=12,SUM(AC127:AC138)," ")</f>
        <v> </v>
      </c>
    </row>
    <row r="139" customFormat="false" ht="12.75" hidden="false" customHeight="false" outlineLevel="0" collapsed="false">
      <c r="A139" s="1538" t="n">
        <f aca="false">'Annex 12-Gas'!A139</f>
        <v>40817</v>
      </c>
      <c r="C139" s="1595" t="n">
        <f aca="false">IF($A139&gt;Endyr,0,VLOOKUP($A139,Tariff_Table,Tariff!$G$33))</f>
        <v>7420.61</v>
      </c>
      <c r="D139" s="1565" t="n">
        <f aca="false">VLOOKUP($A139,Curves_Table,Escalation!$AW$291)</f>
        <v>3.0057179991744</v>
      </c>
      <c r="E139" s="1563" t="n">
        <f aca="false">C139*D139</f>
        <v>22304.2610418535</v>
      </c>
      <c r="F139" s="1540" t="n">
        <f aca="false">VLOOKUP($A139,Plant_Table,'Plant Operations'!$C$270)</f>
        <v>480</v>
      </c>
      <c r="G139" s="1563" t="n">
        <f aca="false">E139*F139/1000</f>
        <v>10706.0453000897</v>
      </c>
      <c r="H139" s="1565" t="n">
        <f aca="false">IF(Assm!$L$74=0,VLOOKUP($A139,Curves_Table,Escalation!$D$291),VLOOKUP($A139,Curves_Table,Escalation!$E$291))</f>
        <v>2.69688041133211</v>
      </c>
      <c r="I139" s="394" t="n">
        <f aca="false">G139/H139</f>
        <v>3969.78866956933</v>
      </c>
      <c r="J139" s="1579" t="str">
        <f aca="false">IF(MONTH($A139)=12,SUM(I128:I139)," ")</f>
        <v> </v>
      </c>
      <c r="L139" s="1595" t="n">
        <f aca="false">IF($A139&gt;Endyr,0,VLOOKUP($A139,Tariff_Table,Tariff!$H$33))</f>
        <v>6104.93</v>
      </c>
      <c r="M139" s="1565" t="n">
        <f aca="false">D139</f>
        <v>3.0057179991744</v>
      </c>
      <c r="N139" s="1563" t="n">
        <f aca="false">L139*M139</f>
        <v>18349.6979846998</v>
      </c>
      <c r="O139" s="1540" t="n">
        <f aca="false">$F139</f>
        <v>480</v>
      </c>
      <c r="P139" s="1563" t="n">
        <f aca="false">N139*O139/1000</f>
        <v>8807.85503265588</v>
      </c>
      <c r="Q139" s="1565" t="n">
        <f aca="false">$H139</f>
        <v>2.69688041133211</v>
      </c>
      <c r="R139" s="394" t="n">
        <f aca="false">P139/Q139</f>
        <v>3265.94201049697</v>
      </c>
      <c r="S139" s="1579" t="str">
        <f aca="false">IF(MONTH($A139)=12,SUM(R128:R139)," ")</f>
        <v> </v>
      </c>
      <c r="U139" s="1595" t="n">
        <f aca="false">IF($A139&gt;Endyr,0,VLOOKUP($A139,Tariff_Table,Tariff!$I$33))</f>
        <v>2.3</v>
      </c>
      <c r="V139" s="1565" t="n">
        <f aca="false">D139</f>
        <v>3.0057179991744</v>
      </c>
      <c r="W139" s="1563" t="n">
        <f aca="false">U139*V139</f>
        <v>6.91315139810111</v>
      </c>
      <c r="X139" s="397" t="n">
        <f aca="false">VLOOKUP($A139,Plant_Table,'Plant Operations'!$M$270)</f>
        <v>298980.864</v>
      </c>
      <c r="Y139" s="630" t="n">
        <f aca="false">W139*X139/1000</f>
        <v>2066.89997796708</v>
      </c>
      <c r="Z139" s="1565" t="n">
        <f aca="false">$H139</f>
        <v>2.69688041133211</v>
      </c>
      <c r="AA139" s="1565" t="n">
        <f aca="false">H139</f>
        <v>2.69688041133211</v>
      </c>
      <c r="AB139" s="1609" t="n">
        <f aca="false">W139/AA139</f>
        <v>2.56338819068599</v>
      </c>
      <c r="AC139" s="1566" t="n">
        <f aca="false">Y139/Z139</f>
        <v>766.404016018695</v>
      </c>
      <c r="AD139" s="1567" t="str">
        <f aca="false">IF(MONTH($A139)=12,SUM(AC128:AC139)," ")</f>
        <v> </v>
      </c>
    </row>
    <row r="140" customFormat="false" ht="12.75" hidden="false" customHeight="false" outlineLevel="0" collapsed="false">
      <c r="A140" s="1538" t="n">
        <f aca="false">'Annex 12-Gas'!A140</f>
        <v>40848</v>
      </c>
      <c r="C140" s="1595" t="n">
        <f aca="false">IF($A140&gt;Endyr,0,VLOOKUP($A140,Tariff_Table,Tariff!$G$33))</f>
        <v>7420.61</v>
      </c>
      <c r="D140" s="1565" t="n">
        <f aca="false">VLOOKUP($A140,Curves_Table,Escalation!$AW$291)</f>
        <v>3.0057179991744</v>
      </c>
      <c r="E140" s="1563" t="n">
        <f aca="false">C140*D140</f>
        <v>22304.2610418535</v>
      </c>
      <c r="F140" s="1540" t="n">
        <f aca="false">VLOOKUP($A140,Plant_Table,'Plant Operations'!$C$270)</f>
        <v>480</v>
      </c>
      <c r="G140" s="1563" t="n">
        <f aca="false">E140*F140/1000</f>
        <v>10706.0453000897</v>
      </c>
      <c r="H140" s="1565" t="n">
        <f aca="false">IF(Assm!$L$74=0,VLOOKUP($A140,Curves_Table,Escalation!$D$291),VLOOKUP($A140,Curves_Table,Escalation!$E$291))</f>
        <v>2.70155930431529</v>
      </c>
      <c r="I140" s="394" t="n">
        <f aca="false">G140/H140</f>
        <v>3962.91330084391</v>
      </c>
      <c r="J140" s="1579" t="str">
        <f aca="false">IF(MONTH($A140)=12,SUM(I129:I140)," ")</f>
        <v> </v>
      </c>
      <c r="L140" s="1595" t="n">
        <f aca="false">IF($A140&gt;Endyr,0,VLOOKUP($A140,Tariff_Table,Tariff!$H$33))</f>
        <v>6104.93</v>
      </c>
      <c r="M140" s="1565" t="n">
        <f aca="false">D140</f>
        <v>3.0057179991744</v>
      </c>
      <c r="N140" s="1563" t="n">
        <f aca="false">L140*M140</f>
        <v>18349.6979846998</v>
      </c>
      <c r="O140" s="1540" t="n">
        <f aca="false">$F140</f>
        <v>480</v>
      </c>
      <c r="P140" s="1563" t="n">
        <f aca="false">N140*O140/1000</f>
        <v>8807.85503265588</v>
      </c>
      <c r="Q140" s="1565" t="n">
        <f aca="false">$H140</f>
        <v>2.70155930431529</v>
      </c>
      <c r="R140" s="394" t="n">
        <f aca="false">P140/Q140</f>
        <v>3260.28565006395</v>
      </c>
      <c r="S140" s="1579" t="str">
        <f aca="false">IF(MONTH($A140)=12,SUM(R129:R140)," ")</f>
        <v> </v>
      </c>
      <c r="U140" s="1595" t="n">
        <f aca="false">IF($A140&gt;Endyr,0,VLOOKUP($A140,Tariff_Table,Tariff!$I$33))</f>
        <v>2.3</v>
      </c>
      <c r="V140" s="1565" t="n">
        <f aca="false">D140</f>
        <v>3.0057179991744</v>
      </c>
      <c r="W140" s="1563" t="n">
        <f aca="false">U140*V140</f>
        <v>6.91315139810111</v>
      </c>
      <c r="X140" s="397" t="n">
        <f aca="false">VLOOKUP($A140,Plant_Table,'Plant Operations'!$M$270)</f>
        <v>289336.32</v>
      </c>
      <c r="Y140" s="630" t="n">
        <f aca="false">W140*X140/1000</f>
        <v>2000.22578512943</v>
      </c>
      <c r="Z140" s="1565" t="n">
        <f aca="false">$H140</f>
        <v>2.70155930431529</v>
      </c>
      <c r="AA140" s="1565" t="n">
        <f aca="false">H140</f>
        <v>2.70155930431529</v>
      </c>
      <c r="AB140" s="1609" t="n">
        <f aca="false">W140/AA140</f>
        <v>2.55894859944718</v>
      </c>
      <c r="AC140" s="1566" t="n">
        <f aca="false">Y140/Z140</f>
        <v>740.396770833201</v>
      </c>
      <c r="AD140" s="1567" t="str">
        <f aca="false">IF(MONTH($A140)=12,SUM(AC129:AC140)," ")</f>
        <v> </v>
      </c>
    </row>
    <row r="141" customFormat="false" ht="12.75" hidden="false" customHeight="false" outlineLevel="0" collapsed="false">
      <c r="A141" s="1538" t="n">
        <f aca="false">'Annex 12-Gas'!A141</f>
        <v>40878</v>
      </c>
      <c r="C141" s="1595" t="n">
        <f aca="false">IF($A141&gt;Endyr,0,VLOOKUP($A141,Tariff_Table,Tariff!$G$33))</f>
        <v>7420.61</v>
      </c>
      <c r="D141" s="1565" t="n">
        <f aca="false">VLOOKUP($A141,Curves_Table,Escalation!$AW$291)</f>
        <v>3.0057179991744</v>
      </c>
      <c r="E141" s="1563" t="n">
        <f aca="false">C141*D141</f>
        <v>22304.2610418535</v>
      </c>
      <c r="F141" s="1540" t="n">
        <f aca="false">VLOOKUP($A141,Plant_Table,'Plant Operations'!$C$270)</f>
        <v>480</v>
      </c>
      <c r="G141" s="1563" t="n">
        <f aca="false">E141*F141/1000</f>
        <v>10706.0453000897</v>
      </c>
      <c r="H141" s="1565" t="n">
        <f aca="false">IF(Assm!$L$74=0,VLOOKUP($A141,Curves_Table,Escalation!$D$291),VLOOKUP($A141,Curves_Table,Escalation!$E$291))</f>
        <v>2.70624631484031</v>
      </c>
      <c r="I141" s="394" t="n">
        <f aca="false">G141/H141</f>
        <v>3956.04983972845</v>
      </c>
      <c r="J141" s="1579" t="n">
        <f aca="false">IF(MONTH($A141)=12,SUM(I130:I141)," ")</f>
        <v>47958.9352615448</v>
      </c>
      <c r="L141" s="1595" t="n">
        <f aca="false">IF($A141&gt;Endyr,0,VLOOKUP($A141,Tariff_Table,Tariff!$H$33))</f>
        <v>6104.93</v>
      </c>
      <c r="M141" s="1565" t="n">
        <f aca="false">D141</f>
        <v>3.0057179991744</v>
      </c>
      <c r="N141" s="1563" t="n">
        <f aca="false">L141*M141</f>
        <v>18349.6979846998</v>
      </c>
      <c r="O141" s="1540" t="n">
        <f aca="false">$F141</f>
        <v>480</v>
      </c>
      <c r="P141" s="1563" t="n">
        <f aca="false">N141*O141/1000</f>
        <v>8807.85503265588</v>
      </c>
      <c r="Q141" s="1565" t="n">
        <f aca="false">$H141</f>
        <v>2.70624631484031</v>
      </c>
      <c r="R141" s="394" t="n">
        <f aca="false">P141/Q141</f>
        <v>3254.63908601225</v>
      </c>
      <c r="S141" s="1579" t="n">
        <f aca="false">IF(MONTH($A141)=12,SUM(R130:R141)," ")</f>
        <v>39530.7702285245</v>
      </c>
      <c r="U141" s="1595" t="n">
        <f aca="false">IF($A141&gt;Endyr,0,VLOOKUP($A141,Tariff_Table,Tariff!$I$33))</f>
        <v>2.3</v>
      </c>
      <c r="V141" s="1565" t="n">
        <f aca="false">D141</f>
        <v>3.0057179991744</v>
      </c>
      <c r="W141" s="1563" t="n">
        <f aca="false">U141*V141</f>
        <v>6.91315139810111</v>
      </c>
      <c r="X141" s="397" t="n">
        <f aca="false">VLOOKUP($A141,Plant_Table,'Plant Operations'!$M$270)</f>
        <v>298980.864</v>
      </c>
      <c r="Y141" s="630" t="n">
        <f aca="false">W141*X141/1000</f>
        <v>2066.89997796708</v>
      </c>
      <c r="Z141" s="1565" t="n">
        <f aca="false">$H141</f>
        <v>2.70624631484031</v>
      </c>
      <c r="AA141" s="1565" t="n">
        <f aca="false">H141</f>
        <v>2.70624631484031</v>
      </c>
      <c r="AB141" s="1609" t="n">
        <f aca="false">W141/AA141</f>
        <v>2.55451669723901</v>
      </c>
      <c r="AC141" s="1566" t="n">
        <f aca="false">Y141/Z141</f>
        <v>763.751609242947</v>
      </c>
      <c r="AD141" s="1567" t="n">
        <f aca="false">IF(MONTH($A141)=12,SUM(AC130:AC141)," ")</f>
        <v>9104.59062401744</v>
      </c>
    </row>
    <row r="142" customFormat="false" ht="12.75" hidden="false" customHeight="false" outlineLevel="0" collapsed="false">
      <c r="A142" s="1538" t="n">
        <f aca="false">'Annex 12-Gas'!A142</f>
        <v>40909</v>
      </c>
      <c r="C142" s="1595" t="n">
        <f aca="false">IF($A142&gt;Endyr,0,VLOOKUP($A142,Tariff_Table,Tariff!$G$33))</f>
        <v>7420.61</v>
      </c>
      <c r="D142" s="1565" t="n">
        <f aca="false">VLOOKUP($A142,Curves_Table,Escalation!$AW$291)</f>
        <v>3.0057179991744</v>
      </c>
      <c r="E142" s="1563" t="n">
        <f aca="false">C142*D142</f>
        <v>22304.2610418535</v>
      </c>
      <c r="F142" s="1540" t="n">
        <f aca="false">VLOOKUP($A142,Plant_Table,'Plant Operations'!$C$270)</f>
        <v>480</v>
      </c>
      <c r="G142" s="1563" t="n">
        <f aca="false">E142*F142/1000</f>
        <v>10706.0453000897</v>
      </c>
      <c r="H142" s="1565" t="n">
        <f aca="false">IF(Assm!$L$74=0,VLOOKUP($A142,Curves_Table,Escalation!$D$291),VLOOKUP($A142,Curves_Table,Escalation!$E$291))</f>
        <v>2.71071337566439</v>
      </c>
      <c r="I142" s="394" t="n">
        <f aca="false">G142/H142</f>
        <v>3949.53055391394</v>
      </c>
      <c r="J142" s="1579" t="str">
        <f aca="false">IF(MONTH($A142)=12,SUM(I131:I142)," ")</f>
        <v> </v>
      </c>
      <c r="L142" s="1595" t="n">
        <f aca="false">IF($A142&gt;Endyr,0,VLOOKUP($A142,Tariff_Table,Tariff!$H$33))</f>
        <v>6104.93</v>
      </c>
      <c r="M142" s="1565" t="n">
        <f aca="false">D142</f>
        <v>3.0057179991744</v>
      </c>
      <c r="N142" s="1563" t="n">
        <f aca="false">L142*M142</f>
        <v>18349.6979846998</v>
      </c>
      <c r="O142" s="1540" t="n">
        <f aca="false">$F142</f>
        <v>480</v>
      </c>
      <c r="P142" s="1563" t="n">
        <f aca="false">N142*O142/1000</f>
        <v>8807.85503265588</v>
      </c>
      <c r="Q142" s="1565" t="n">
        <f aca="false">$H142</f>
        <v>2.71071337566439</v>
      </c>
      <c r="R142" s="394" t="n">
        <f aca="false">P142/Q142</f>
        <v>3249.27567470947</v>
      </c>
      <c r="S142" s="1579" t="str">
        <f aca="false">IF(MONTH($A142)=12,SUM(R131:R142)," ")</f>
        <v> </v>
      </c>
      <c r="U142" s="1595" t="n">
        <f aca="false">IF($A142&gt;Endyr,0,VLOOKUP($A142,Tariff_Table,Tariff!$I$33))</f>
        <v>2.3</v>
      </c>
      <c r="V142" s="1565" t="n">
        <f aca="false">D142</f>
        <v>3.0057179991744</v>
      </c>
      <c r="W142" s="1563" t="n">
        <f aca="false">U142*V142</f>
        <v>6.91315139810111</v>
      </c>
      <c r="X142" s="397" t="n">
        <f aca="false">VLOOKUP($A142,Plant_Table,'Plant Operations'!$M$270)</f>
        <v>298980.864</v>
      </c>
      <c r="Y142" s="630" t="n">
        <f aca="false">W142*X142/1000</f>
        <v>2066.89997796708</v>
      </c>
      <c r="Z142" s="1565" t="n">
        <f aca="false">$H142</f>
        <v>2.71071337566439</v>
      </c>
      <c r="AA142" s="1565" t="n">
        <f aca="false">H142</f>
        <v>2.71071337566439</v>
      </c>
      <c r="AB142" s="1609" t="n">
        <f aca="false">W142/AA142</f>
        <v>2.55030703731512</v>
      </c>
      <c r="AC142" s="1566" t="n">
        <f aca="false">Y142/Z142</f>
        <v>762.493001481755</v>
      </c>
      <c r="AD142" s="1567" t="str">
        <f aca="false">IF(MONTH($A142)=12,SUM(AC131:AC142)," ")</f>
        <v> </v>
      </c>
    </row>
    <row r="143" customFormat="false" ht="12.75" hidden="false" customHeight="false" outlineLevel="0" collapsed="false">
      <c r="A143" s="1538" t="n">
        <f aca="false">'Annex 12-Gas'!A143</f>
        <v>40940</v>
      </c>
      <c r="C143" s="1595" t="n">
        <f aca="false">IF($A143&gt;Endyr,0,VLOOKUP($A143,Tariff_Table,Tariff!$G$33))</f>
        <v>7420.61</v>
      </c>
      <c r="D143" s="1565" t="n">
        <f aca="false">VLOOKUP($A143,Curves_Table,Escalation!$AW$291)</f>
        <v>3.0057179991744</v>
      </c>
      <c r="E143" s="1563" t="n">
        <f aca="false">C143*D143</f>
        <v>22304.2610418535</v>
      </c>
      <c r="F143" s="1540" t="n">
        <f aca="false">VLOOKUP($A143,Plant_Table,'Plant Operations'!$C$270)</f>
        <v>480</v>
      </c>
      <c r="G143" s="1563" t="n">
        <f aca="false">E143*F143/1000</f>
        <v>10706.0453000897</v>
      </c>
      <c r="H143" s="1565" t="n">
        <f aca="false">IF(Assm!$L$74=0,VLOOKUP($A143,Curves_Table,Escalation!$D$291),VLOOKUP($A143,Curves_Table,Escalation!$E$291))</f>
        <v>2.71518781003473</v>
      </c>
      <c r="I143" s="394" t="n">
        <f aca="false">G143/H143</f>
        <v>3943.02201141391</v>
      </c>
      <c r="J143" s="1579" t="str">
        <f aca="false">IF(MONTH($A143)=12,SUM(I132:I143)," ")</f>
        <v> </v>
      </c>
      <c r="L143" s="1595" t="n">
        <f aca="false">IF($A143&gt;Endyr,0,VLOOKUP($A143,Tariff_Table,Tariff!$H$33))</f>
        <v>6104.93</v>
      </c>
      <c r="M143" s="1565" t="n">
        <f aca="false">D143</f>
        <v>3.0057179991744</v>
      </c>
      <c r="N143" s="1563" t="n">
        <f aca="false">L143*M143</f>
        <v>18349.6979846998</v>
      </c>
      <c r="O143" s="1540" t="n">
        <f aca="false">$F143</f>
        <v>480</v>
      </c>
      <c r="P143" s="1563" t="n">
        <f aca="false">N143*O143/1000</f>
        <v>8807.85503265588</v>
      </c>
      <c r="Q143" s="1565" t="n">
        <f aca="false">$H143</f>
        <v>2.71518781003473</v>
      </c>
      <c r="R143" s="394" t="n">
        <f aca="false">P143/Q143</f>
        <v>3243.92110192304</v>
      </c>
      <c r="S143" s="1579" t="str">
        <f aca="false">IF(MONTH($A143)=12,SUM(R132:R143)," ")</f>
        <v> </v>
      </c>
      <c r="U143" s="1595" t="n">
        <f aca="false">IF($A143&gt;Endyr,0,VLOOKUP($A143,Tariff_Table,Tariff!$I$33))</f>
        <v>2.3</v>
      </c>
      <c r="V143" s="1565" t="n">
        <f aca="false">D143</f>
        <v>3.0057179991744</v>
      </c>
      <c r="W143" s="1563" t="n">
        <f aca="false">U143*V143</f>
        <v>6.91315139810111</v>
      </c>
      <c r="X143" s="397" t="n">
        <f aca="false">VLOOKUP($A143,Plant_Table,'Plant Operations'!$M$270)</f>
        <v>279691.776</v>
      </c>
      <c r="Y143" s="630" t="n">
        <f aca="false">W143*X143/1000</f>
        <v>1933.55159229178</v>
      </c>
      <c r="Z143" s="1565" t="n">
        <f aca="false">$H143</f>
        <v>2.71518781003473</v>
      </c>
      <c r="AA143" s="1565" t="n">
        <f aca="false">H143</f>
        <v>2.71518781003473</v>
      </c>
      <c r="AB143" s="1609" t="n">
        <f aca="false">W143/AA143</f>
        <v>2.54610431460823</v>
      </c>
      <c r="AC143" s="1566" t="n">
        <f aca="false">Y143/Z143</f>
        <v>712.12443763404</v>
      </c>
      <c r="AD143" s="1567" t="str">
        <f aca="false">IF(MONTH($A143)=12,SUM(AC132:AC143)," ")</f>
        <v> </v>
      </c>
    </row>
    <row r="144" customFormat="false" ht="12.75" hidden="false" customHeight="false" outlineLevel="0" collapsed="false">
      <c r="A144" s="1538" t="n">
        <f aca="false">'Annex 12-Gas'!A144</f>
        <v>40969</v>
      </c>
      <c r="C144" s="1595" t="n">
        <f aca="false">IF($A144&gt;Endyr,0,VLOOKUP($A144,Tariff_Table,Tariff!$G$33))</f>
        <v>7420.61</v>
      </c>
      <c r="D144" s="1565" t="n">
        <f aca="false">VLOOKUP($A144,Curves_Table,Escalation!$AW$291)</f>
        <v>3.0057179991744</v>
      </c>
      <c r="E144" s="1563" t="n">
        <f aca="false">C144*D144</f>
        <v>22304.2610418535</v>
      </c>
      <c r="F144" s="1540" t="n">
        <f aca="false">VLOOKUP($A144,Plant_Table,'Plant Operations'!$C$270)</f>
        <v>480</v>
      </c>
      <c r="G144" s="1563" t="n">
        <f aca="false">E144*F144/1000</f>
        <v>10706.0453000897</v>
      </c>
      <c r="H144" s="1565" t="n">
        <f aca="false">IF(Assm!$L$74=0,VLOOKUP($A144,Curves_Table,Escalation!$D$291),VLOOKUP($A144,Curves_Table,Escalation!$E$291))</f>
        <v>2.71966963012247</v>
      </c>
      <c r="I144" s="394" t="n">
        <f aca="false">G144/H144</f>
        <v>3936.52419452416</v>
      </c>
      <c r="J144" s="1579" t="str">
        <f aca="false">IF(MONTH($A144)=12,SUM(I133:I144)," ")</f>
        <v> </v>
      </c>
      <c r="L144" s="1595" t="n">
        <f aca="false">IF($A144&gt;Endyr,0,VLOOKUP($A144,Tariff_Table,Tariff!$H$33))</f>
        <v>6104.93</v>
      </c>
      <c r="M144" s="1565" t="n">
        <f aca="false">D144</f>
        <v>3.0057179991744</v>
      </c>
      <c r="N144" s="1563" t="n">
        <f aca="false">L144*M144</f>
        <v>18349.6979846998</v>
      </c>
      <c r="O144" s="1540" t="n">
        <f aca="false">$F144</f>
        <v>480</v>
      </c>
      <c r="P144" s="1563" t="n">
        <f aca="false">N144*O144/1000</f>
        <v>8807.85503265588</v>
      </c>
      <c r="Q144" s="1565" t="n">
        <f aca="false">$H144</f>
        <v>2.71966963012247</v>
      </c>
      <c r="R144" s="394" t="n">
        <f aca="false">P144/Q144</f>
        <v>3238.57535308774</v>
      </c>
      <c r="S144" s="1579" t="str">
        <f aca="false">IF(MONTH($A144)=12,SUM(R133:R144)," ")</f>
        <v> </v>
      </c>
      <c r="U144" s="1595" t="n">
        <f aca="false">IF($A144&gt;Endyr,0,VLOOKUP($A144,Tariff_Table,Tariff!$I$33))</f>
        <v>2.3</v>
      </c>
      <c r="V144" s="1565" t="n">
        <f aca="false">D144</f>
        <v>3.0057179991744</v>
      </c>
      <c r="W144" s="1563" t="n">
        <f aca="false">U144*V144</f>
        <v>6.91315139810111</v>
      </c>
      <c r="X144" s="397" t="n">
        <f aca="false">VLOOKUP($A144,Plant_Table,'Plant Operations'!$M$270)</f>
        <v>298980.864</v>
      </c>
      <c r="Y144" s="630" t="n">
        <f aca="false">W144*X144/1000</f>
        <v>2066.89997796708</v>
      </c>
      <c r="Z144" s="1565" t="n">
        <f aca="false">$H144</f>
        <v>2.71966963012247</v>
      </c>
      <c r="AA144" s="1565" t="n">
        <f aca="false">H144</f>
        <v>2.71966963012247</v>
      </c>
      <c r="AB144" s="1609" t="n">
        <f aca="false">W144/AA144</f>
        <v>2.54190851768632</v>
      </c>
      <c r="AC144" s="1566" t="n">
        <f aca="false">Y144/Z144</f>
        <v>759.982004826815</v>
      </c>
      <c r="AD144" s="1567" t="str">
        <f aca="false">IF(MONTH($A144)=12,SUM(AC133:AC144)," ")</f>
        <v> </v>
      </c>
    </row>
    <row r="145" customFormat="false" ht="12.75" hidden="false" customHeight="false" outlineLevel="0" collapsed="false">
      <c r="A145" s="1538" t="n">
        <f aca="false">'Annex 12-Gas'!A145</f>
        <v>41000</v>
      </c>
      <c r="C145" s="1595" t="n">
        <f aca="false">IF($A145&gt;Endyr,0,VLOOKUP($A145,Tariff_Table,Tariff!$G$33))</f>
        <v>7420.61</v>
      </c>
      <c r="D145" s="1565" t="n">
        <f aca="false">VLOOKUP($A145,Curves_Table,Escalation!$AW$291)</f>
        <v>3.0057179991744</v>
      </c>
      <c r="E145" s="1563" t="n">
        <f aca="false">C145*D145</f>
        <v>22304.2610418535</v>
      </c>
      <c r="F145" s="1540" t="n">
        <f aca="false">VLOOKUP($A145,Plant_Table,'Plant Operations'!$C$270)</f>
        <v>480</v>
      </c>
      <c r="G145" s="1563" t="n">
        <f aca="false">E145*F145/1000</f>
        <v>10706.0453000897</v>
      </c>
      <c r="H145" s="1565" t="n">
        <f aca="false">IF(Assm!$L$74=0,VLOOKUP($A145,Curves_Table,Escalation!$D$291),VLOOKUP($A145,Curves_Table,Escalation!$E$291))</f>
        <v>2.72415884811883</v>
      </c>
      <c r="I145" s="394" t="n">
        <f aca="false">G145/H145</f>
        <v>3930.03708556964</v>
      </c>
      <c r="J145" s="1579" t="str">
        <f aca="false">IF(MONTH($A145)=12,SUM(I134:I145)," ")</f>
        <v> </v>
      </c>
      <c r="L145" s="1595" t="n">
        <f aca="false">IF($A145&gt;Endyr,0,VLOOKUP($A145,Tariff_Table,Tariff!$H$33))</f>
        <v>6104.93</v>
      </c>
      <c r="M145" s="1565" t="n">
        <f aca="false">D145</f>
        <v>3.0057179991744</v>
      </c>
      <c r="N145" s="1563" t="n">
        <f aca="false">L145*M145</f>
        <v>18349.6979846998</v>
      </c>
      <c r="O145" s="1540" t="n">
        <f aca="false">$F145</f>
        <v>480</v>
      </c>
      <c r="P145" s="1563" t="n">
        <f aca="false">N145*O145/1000</f>
        <v>8807.85503265588</v>
      </c>
      <c r="Q145" s="1565" t="n">
        <f aca="false">$H145</f>
        <v>2.72415884811883</v>
      </c>
      <c r="R145" s="394" t="n">
        <f aca="false">P145/Q145</f>
        <v>3233.23841366231</v>
      </c>
      <c r="S145" s="1579" t="str">
        <f aca="false">IF(MONTH($A145)=12,SUM(R134:R145)," ")</f>
        <v> </v>
      </c>
      <c r="U145" s="1595" t="n">
        <f aca="false">IF($A145&gt;Endyr,0,VLOOKUP($A145,Tariff_Table,Tariff!$I$33))</f>
        <v>2.3</v>
      </c>
      <c r="V145" s="1565" t="n">
        <f aca="false">D145</f>
        <v>3.0057179991744</v>
      </c>
      <c r="W145" s="1563" t="n">
        <f aca="false">U145*V145</f>
        <v>6.91315139810111</v>
      </c>
      <c r="X145" s="397" t="n">
        <f aca="false">VLOOKUP($A145,Plant_Table,'Plant Operations'!$M$270)</f>
        <v>289336.32</v>
      </c>
      <c r="Y145" s="630" t="n">
        <f aca="false">W145*X145/1000</f>
        <v>2000.22578512943</v>
      </c>
      <c r="Z145" s="1565" t="n">
        <f aca="false">$H145</f>
        <v>2.72415884811883</v>
      </c>
      <c r="AA145" s="1565" t="n">
        <f aca="false">H145</f>
        <v>2.72415884811883</v>
      </c>
      <c r="AB145" s="1609" t="n">
        <f aca="false">W145/AA145</f>
        <v>2.53771963513618</v>
      </c>
      <c r="AC145" s="1566" t="n">
        <f aca="false">Y145/Z145</f>
        <v>734.254460422045</v>
      </c>
      <c r="AD145" s="1567" t="str">
        <f aca="false">IF(MONTH($A145)=12,SUM(AC134:AC145)," ")</f>
        <v> </v>
      </c>
    </row>
    <row r="146" customFormat="false" ht="12.75" hidden="false" customHeight="false" outlineLevel="0" collapsed="false">
      <c r="A146" s="1538" t="n">
        <f aca="false">'Annex 12-Gas'!A146</f>
        <v>41030</v>
      </c>
      <c r="C146" s="1595" t="n">
        <f aca="false">IF($A146&gt;Endyr,0,VLOOKUP($A146,Tariff_Table,Tariff!$G$33))</f>
        <v>7429.43</v>
      </c>
      <c r="D146" s="1565" t="n">
        <f aca="false">VLOOKUP($A146,Curves_Table,Escalation!$AW$291)</f>
        <v>3.0057179991744</v>
      </c>
      <c r="E146" s="1563" t="n">
        <f aca="false">C146*D146</f>
        <v>22330.7714746062</v>
      </c>
      <c r="F146" s="1540" t="n">
        <f aca="false">VLOOKUP($A146,Plant_Table,'Plant Operations'!$C$270)</f>
        <v>480</v>
      </c>
      <c r="G146" s="1563" t="n">
        <f aca="false">E146*F146/1000</f>
        <v>10718.770307811</v>
      </c>
      <c r="H146" s="1565" t="n">
        <f aca="false">IF(Assm!$L$74=0,VLOOKUP($A146,Curves_Table,Escalation!$D$291),VLOOKUP($A146,Curves_Table,Escalation!$E$291))</f>
        <v>2.72865547623515</v>
      </c>
      <c r="I146" s="394" t="n">
        <f aca="false">G146/H146</f>
        <v>3928.22413865167</v>
      </c>
      <c r="J146" s="1579" t="str">
        <f aca="false">IF(MONTH($A146)=12,SUM(I135:I146)," ")</f>
        <v> </v>
      </c>
      <c r="L146" s="1595" t="n">
        <f aca="false">IF($A146&gt;Endyr,0,VLOOKUP($A146,Tariff_Table,Tariff!$H$33))</f>
        <v>6133.73</v>
      </c>
      <c r="M146" s="1565" t="n">
        <f aca="false">D146</f>
        <v>3.0057179991744</v>
      </c>
      <c r="N146" s="1563" t="n">
        <f aca="false">L146*M146</f>
        <v>18436.262663076</v>
      </c>
      <c r="O146" s="1540" t="n">
        <f aca="false">$F146</f>
        <v>480</v>
      </c>
      <c r="P146" s="1563" t="n">
        <f aca="false">N146*O146/1000</f>
        <v>8849.40607827647</v>
      </c>
      <c r="Q146" s="1565" t="n">
        <f aca="false">$H146</f>
        <v>2.72865547623515</v>
      </c>
      <c r="R146" s="394" t="n">
        <f aca="false">P146/Q146</f>
        <v>3243.13793197754</v>
      </c>
      <c r="S146" s="1579" t="str">
        <f aca="false">IF(MONTH($A146)=12,SUM(R135:R146)," ")</f>
        <v> </v>
      </c>
      <c r="U146" s="1595" t="n">
        <f aca="false">IF($A146&gt;Endyr,0,VLOOKUP($A146,Tariff_Table,Tariff!$I$33))</f>
        <v>2.31</v>
      </c>
      <c r="V146" s="1565" t="n">
        <f aca="false">D146</f>
        <v>3.0057179991744</v>
      </c>
      <c r="W146" s="1563" t="n">
        <f aca="false">U146*V146</f>
        <v>6.94320857809286</v>
      </c>
      <c r="X146" s="397" t="n">
        <f aca="false">VLOOKUP($A146,Plant_Table,'Plant Operations'!$M$270)</f>
        <v>298980.864</v>
      </c>
      <c r="Y146" s="630" t="n">
        <f aca="false">W146*X146/1000</f>
        <v>2075.88649961041</v>
      </c>
      <c r="Z146" s="1565" t="n">
        <f aca="false">$H146</f>
        <v>2.72865547623515</v>
      </c>
      <c r="AA146" s="1565" t="n">
        <f aca="false">H146</f>
        <v>2.72865547623515</v>
      </c>
      <c r="AB146" s="1609" t="n">
        <f aca="false">W146/AA146</f>
        <v>2.54455303667457</v>
      </c>
      <c r="AC146" s="1566" t="n">
        <f aca="false">Y146/Z146</f>
        <v>760.772665398787</v>
      </c>
      <c r="AD146" s="1567" t="str">
        <f aca="false">IF(MONTH($A146)=12,SUM(AC135:AC146)," ")</f>
        <v> </v>
      </c>
    </row>
    <row r="147" customFormat="false" ht="12.75" hidden="false" customHeight="false" outlineLevel="0" collapsed="false">
      <c r="A147" s="1538" t="n">
        <f aca="false">'Annex 12-Gas'!A147</f>
        <v>41061</v>
      </c>
      <c r="C147" s="1595" t="n">
        <f aca="false">IF($A147&gt;Endyr,0,VLOOKUP($A147,Tariff_Table,Tariff!$G$33))</f>
        <v>7429.43</v>
      </c>
      <c r="D147" s="1565" t="n">
        <f aca="false">VLOOKUP($A147,Curves_Table,Escalation!$AW$291)</f>
        <v>3.0057179991744</v>
      </c>
      <c r="E147" s="1563" t="n">
        <f aca="false">C147*D147</f>
        <v>22330.7714746062</v>
      </c>
      <c r="F147" s="1540" t="n">
        <f aca="false">VLOOKUP($A147,Plant_Table,'Plant Operations'!$C$270)</f>
        <v>480</v>
      </c>
      <c r="G147" s="1563" t="n">
        <f aca="false">E147*F147/1000</f>
        <v>10718.770307811</v>
      </c>
      <c r="H147" s="1565" t="n">
        <f aca="false">IF(Assm!$L$74=0,VLOOKUP($A147,Curves_Table,Escalation!$D$291),VLOOKUP($A147,Curves_Table,Escalation!$E$291))</f>
        <v>2.73315952670294</v>
      </c>
      <c r="I147" s="394" t="n">
        <f aca="false">G147/H147</f>
        <v>3921.7507075927</v>
      </c>
      <c r="J147" s="1579" t="str">
        <f aca="false">IF(MONTH($A147)=12,SUM(I136:I147)," ")</f>
        <v> </v>
      </c>
      <c r="L147" s="1595" t="n">
        <f aca="false">IF($A147&gt;Endyr,0,VLOOKUP($A147,Tariff_Table,Tariff!$H$33))</f>
        <v>6133.73</v>
      </c>
      <c r="M147" s="1565" t="n">
        <f aca="false">D147</f>
        <v>3.0057179991744</v>
      </c>
      <c r="N147" s="1563" t="n">
        <f aca="false">L147*M147</f>
        <v>18436.262663076</v>
      </c>
      <c r="O147" s="1540" t="n">
        <f aca="false">$F147</f>
        <v>480</v>
      </c>
      <c r="P147" s="1563" t="n">
        <f aca="false">N147*O147/1000</f>
        <v>8849.40607827647</v>
      </c>
      <c r="Q147" s="1565" t="n">
        <f aca="false">$H147</f>
        <v>2.73315952670294</v>
      </c>
      <c r="R147" s="394" t="n">
        <f aca="false">P147/Q147</f>
        <v>3237.79347375002</v>
      </c>
      <c r="S147" s="1579" t="str">
        <f aca="false">IF(MONTH($A147)=12,SUM(R136:R147)," ")</f>
        <v> </v>
      </c>
      <c r="U147" s="1595" t="n">
        <f aca="false">IF($A147&gt;Endyr,0,VLOOKUP($A147,Tariff_Table,Tariff!$I$33))</f>
        <v>2.31</v>
      </c>
      <c r="V147" s="1565" t="n">
        <f aca="false">D147</f>
        <v>3.0057179991744</v>
      </c>
      <c r="W147" s="1563" t="n">
        <f aca="false">U147*V147</f>
        <v>6.94320857809286</v>
      </c>
      <c r="X147" s="397" t="n">
        <f aca="false">VLOOKUP($A147,Plant_Table,'Plant Operations'!$M$270)</f>
        <v>289336.32</v>
      </c>
      <c r="Y147" s="630" t="n">
        <f aca="false">W147*X147/1000</f>
        <v>2008.92241897782</v>
      </c>
      <c r="Z147" s="1565" t="n">
        <f aca="false">$H147</f>
        <v>2.73315952670294</v>
      </c>
      <c r="AA147" s="1565" t="n">
        <f aca="false">H147</f>
        <v>2.73315952670294</v>
      </c>
      <c r="AB147" s="1609" t="n">
        <f aca="false">W147/AA147</f>
        <v>2.5403597961472</v>
      </c>
      <c r="AC147" s="1566" t="n">
        <f aca="false">Y147/Z147</f>
        <v>735.018354893181</v>
      </c>
      <c r="AD147" s="1567" t="str">
        <f aca="false">IF(MONTH($A147)=12,SUM(AC136:AC147)," ")</f>
        <v> </v>
      </c>
    </row>
    <row r="148" customFormat="false" ht="12.75" hidden="false" customHeight="false" outlineLevel="0" collapsed="false">
      <c r="A148" s="1538" t="n">
        <f aca="false">'Annex 12-Gas'!A148</f>
        <v>41091</v>
      </c>
      <c r="C148" s="1595" t="n">
        <f aca="false">IF($A148&gt;Endyr,0,VLOOKUP($A148,Tariff_Table,Tariff!$G$33))</f>
        <v>7429.43</v>
      </c>
      <c r="D148" s="1565" t="n">
        <f aca="false">VLOOKUP($A148,Curves_Table,Escalation!$AW$291)</f>
        <v>3.0057179991744</v>
      </c>
      <c r="E148" s="1563" t="n">
        <f aca="false">C148*D148</f>
        <v>22330.7714746062</v>
      </c>
      <c r="F148" s="1540" t="n">
        <f aca="false">VLOOKUP($A148,Plant_Table,'Plant Operations'!$C$270)</f>
        <v>480</v>
      </c>
      <c r="G148" s="1563" t="n">
        <f aca="false">E148*F148/1000</f>
        <v>10718.770307811</v>
      </c>
      <c r="H148" s="1565" t="n">
        <f aca="false">IF(Assm!$L$74=0,VLOOKUP($A148,Curves_Table,Escalation!$D$291),VLOOKUP($A148,Curves_Table,Escalation!$E$291))</f>
        <v>2.73767101177388</v>
      </c>
      <c r="I148" s="394" t="n">
        <f aca="false">G148/H148</f>
        <v>3915.28794428288</v>
      </c>
      <c r="J148" s="1579" t="str">
        <f aca="false">IF(MONTH($A148)=12,SUM(I137:I148)," ")</f>
        <v> </v>
      </c>
      <c r="L148" s="1595" t="n">
        <f aca="false">IF($A148&gt;Endyr,0,VLOOKUP($A148,Tariff_Table,Tariff!$H$33))</f>
        <v>6133.73</v>
      </c>
      <c r="M148" s="1565" t="n">
        <f aca="false">D148</f>
        <v>3.0057179991744</v>
      </c>
      <c r="N148" s="1563" t="n">
        <f aca="false">L148*M148</f>
        <v>18436.262663076</v>
      </c>
      <c r="O148" s="1540" t="n">
        <f aca="false">$F148</f>
        <v>480</v>
      </c>
      <c r="P148" s="1563" t="n">
        <f aca="false">N148*O148/1000</f>
        <v>8849.40607827647</v>
      </c>
      <c r="Q148" s="1565" t="n">
        <f aca="false">$H148</f>
        <v>2.73767101177388</v>
      </c>
      <c r="R148" s="394" t="n">
        <f aca="false">P148/Q148</f>
        <v>3232.45782280555</v>
      </c>
      <c r="S148" s="1579" t="str">
        <f aca="false">IF(MONTH($A148)=12,SUM(R137:R148)," ")</f>
        <v> </v>
      </c>
      <c r="U148" s="1595" t="n">
        <f aca="false">IF($A148&gt;Endyr,0,VLOOKUP($A148,Tariff_Table,Tariff!$I$33))</f>
        <v>2.31</v>
      </c>
      <c r="V148" s="1565" t="n">
        <f aca="false">D148</f>
        <v>3.0057179991744</v>
      </c>
      <c r="W148" s="1563" t="n">
        <f aca="false">U148*V148</f>
        <v>6.94320857809286</v>
      </c>
      <c r="X148" s="397" t="n">
        <f aca="false">VLOOKUP($A148,Plant_Table,'Plant Operations'!$M$270)</f>
        <v>298980.864</v>
      </c>
      <c r="Y148" s="630" t="n">
        <f aca="false">W148*X148/1000</f>
        <v>2075.88649961041</v>
      </c>
      <c r="Z148" s="1565" t="n">
        <f aca="false">$H148</f>
        <v>2.73767101177388</v>
      </c>
      <c r="AA148" s="1565" t="n">
        <f aca="false">H148</f>
        <v>2.73767101177388</v>
      </c>
      <c r="AB148" s="1609" t="n">
        <f aca="false">W148/AA148</f>
        <v>2.53617346577885</v>
      </c>
      <c r="AC148" s="1566" t="n">
        <f aca="false">Y148/Z148</f>
        <v>758.267334052435</v>
      </c>
      <c r="AD148" s="1567" t="str">
        <f aca="false">IF(MONTH($A148)=12,SUM(AC137:AC148)," ")</f>
        <v> </v>
      </c>
    </row>
    <row r="149" customFormat="false" ht="12.75" hidden="false" customHeight="false" outlineLevel="0" collapsed="false">
      <c r="A149" s="1538" t="n">
        <f aca="false">'Annex 12-Gas'!A149</f>
        <v>41122</v>
      </c>
      <c r="C149" s="1595" t="n">
        <f aca="false">IF($A149&gt;Endyr,0,VLOOKUP($A149,Tariff_Table,Tariff!$G$33))</f>
        <v>7429.43</v>
      </c>
      <c r="D149" s="1565" t="n">
        <f aca="false">VLOOKUP($A149,Curves_Table,Escalation!$AW$291)</f>
        <v>3.0057179991744</v>
      </c>
      <c r="E149" s="1563" t="n">
        <f aca="false">C149*D149</f>
        <v>22330.7714746062</v>
      </c>
      <c r="F149" s="1540" t="n">
        <f aca="false">VLOOKUP($A149,Plant_Table,'Plant Operations'!$C$270)</f>
        <v>480</v>
      </c>
      <c r="G149" s="1563" t="n">
        <f aca="false">E149*F149/1000</f>
        <v>10718.770307811</v>
      </c>
      <c r="H149" s="1565" t="n">
        <f aca="false">IF(Assm!$L$74=0,VLOOKUP($A149,Curves_Table,Escalation!$D$291),VLOOKUP($A149,Curves_Table,Escalation!$E$291))</f>
        <v>2.7421899437199</v>
      </c>
      <c r="I149" s="394" t="n">
        <f aca="false">G149/H149</f>
        <v>3908.83583114251</v>
      </c>
      <c r="J149" s="1579" t="str">
        <f aca="false">IF(MONTH($A149)=12,SUM(I138:I149)," ")</f>
        <v> </v>
      </c>
      <c r="L149" s="1595" t="n">
        <f aca="false">IF($A149&gt;Endyr,0,VLOOKUP($A149,Tariff_Table,Tariff!$H$33))</f>
        <v>6133.73</v>
      </c>
      <c r="M149" s="1565" t="n">
        <f aca="false">D149</f>
        <v>3.0057179991744</v>
      </c>
      <c r="N149" s="1563" t="n">
        <f aca="false">L149*M149</f>
        <v>18436.262663076</v>
      </c>
      <c r="O149" s="1540" t="n">
        <f aca="false">$F149</f>
        <v>480</v>
      </c>
      <c r="P149" s="1563" t="n">
        <f aca="false">N149*O149/1000</f>
        <v>8849.40607827647</v>
      </c>
      <c r="Q149" s="1565" t="n">
        <f aca="false">$H149</f>
        <v>2.7421899437199</v>
      </c>
      <c r="R149" s="394" t="n">
        <f aca="false">P149/Q149</f>
        <v>3227.13096463036</v>
      </c>
      <c r="S149" s="1579" t="str">
        <f aca="false">IF(MONTH($A149)=12,SUM(R138:R149)," ")</f>
        <v> </v>
      </c>
      <c r="U149" s="1595" t="n">
        <f aca="false">IF($A149&gt;Endyr,0,VLOOKUP($A149,Tariff_Table,Tariff!$I$33))</f>
        <v>2.31</v>
      </c>
      <c r="V149" s="1565" t="n">
        <f aca="false">D149</f>
        <v>3.0057179991744</v>
      </c>
      <c r="W149" s="1563" t="n">
        <f aca="false">U149*V149</f>
        <v>6.94320857809286</v>
      </c>
      <c r="X149" s="397" t="n">
        <f aca="false">VLOOKUP($A149,Plant_Table,'Plant Operations'!$M$270)</f>
        <v>298980.864</v>
      </c>
      <c r="Y149" s="630" t="n">
        <f aca="false">W149*X149/1000</f>
        <v>2075.88649961041</v>
      </c>
      <c r="Z149" s="1565" t="n">
        <f aca="false">$H149</f>
        <v>2.7421899437199</v>
      </c>
      <c r="AA149" s="1565" t="n">
        <f aca="false">H149</f>
        <v>2.7421899437199</v>
      </c>
      <c r="AB149" s="1609" t="n">
        <f aca="false">W149/AA149</f>
        <v>2.53199403418207</v>
      </c>
      <c r="AC149" s="1566" t="n">
        <f aca="false">Y149/Z149</f>
        <v>757.017763982602</v>
      </c>
      <c r="AD149" s="1567" t="str">
        <f aca="false">IF(MONTH($A149)=12,SUM(AC138:AC149)," ")</f>
        <v> </v>
      </c>
    </row>
    <row r="150" customFormat="false" ht="12.75" hidden="false" customHeight="false" outlineLevel="0" collapsed="false">
      <c r="A150" s="1538" t="n">
        <f aca="false">'Annex 12-Gas'!A150</f>
        <v>41153</v>
      </c>
      <c r="C150" s="1595" t="n">
        <f aca="false">IF($A150&gt;Endyr,0,VLOOKUP($A150,Tariff_Table,Tariff!$G$33))</f>
        <v>7429.43</v>
      </c>
      <c r="D150" s="1565" t="n">
        <f aca="false">VLOOKUP($A150,Curves_Table,Escalation!$AW$291)</f>
        <v>3.0057179991744</v>
      </c>
      <c r="E150" s="1563" t="n">
        <f aca="false">C150*D150</f>
        <v>22330.7714746062</v>
      </c>
      <c r="F150" s="1540" t="n">
        <f aca="false">VLOOKUP($A150,Plant_Table,'Plant Operations'!$C$270)</f>
        <v>480</v>
      </c>
      <c r="G150" s="1563" t="n">
        <f aca="false">E150*F150/1000</f>
        <v>10718.770307811</v>
      </c>
      <c r="H150" s="1565" t="n">
        <f aca="false">IF(Assm!$L$74=0,VLOOKUP($A150,Curves_Table,Escalation!$D$291),VLOOKUP($A150,Curves_Table,Escalation!$E$291))</f>
        <v>2.74671633483315</v>
      </c>
      <c r="I150" s="394" t="n">
        <f aca="false">G150/H150</f>
        <v>3902.39435062088</v>
      </c>
      <c r="J150" s="1579" t="str">
        <f aca="false">IF(MONTH($A150)=12,SUM(I139:I150)," ")</f>
        <v> </v>
      </c>
      <c r="L150" s="1595" t="n">
        <f aca="false">IF($A150&gt;Endyr,0,VLOOKUP($A150,Tariff_Table,Tariff!$H$33))</f>
        <v>6133.73</v>
      </c>
      <c r="M150" s="1565" t="n">
        <f aca="false">D150</f>
        <v>3.0057179991744</v>
      </c>
      <c r="N150" s="1563" t="n">
        <f aca="false">L150*M150</f>
        <v>18436.262663076</v>
      </c>
      <c r="O150" s="1540" t="n">
        <f aca="false">$F150</f>
        <v>480</v>
      </c>
      <c r="P150" s="1563" t="n">
        <f aca="false">N150*O150/1000</f>
        <v>8849.40607827647</v>
      </c>
      <c r="Q150" s="1565" t="n">
        <f aca="false">$H150</f>
        <v>2.74671633483315</v>
      </c>
      <c r="R150" s="394" t="n">
        <f aca="false">P150/Q150</f>
        <v>3221.81288473461</v>
      </c>
      <c r="S150" s="1579" t="str">
        <f aca="false">IF(MONTH($A150)=12,SUM(R139:R150)," ")</f>
        <v> </v>
      </c>
      <c r="U150" s="1595" t="n">
        <f aca="false">IF($A150&gt;Endyr,0,VLOOKUP($A150,Tariff_Table,Tariff!$I$33))</f>
        <v>2.31</v>
      </c>
      <c r="V150" s="1565" t="n">
        <f aca="false">D150</f>
        <v>3.0057179991744</v>
      </c>
      <c r="W150" s="1563" t="n">
        <f aca="false">U150*V150</f>
        <v>6.94320857809286</v>
      </c>
      <c r="X150" s="397" t="n">
        <f aca="false">VLOOKUP($A150,Plant_Table,'Plant Operations'!$M$270)</f>
        <v>289336.32</v>
      </c>
      <c r="Y150" s="630" t="n">
        <f aca="false">W150*X150/1000</f>
        <v>2008.92241897782</v>
      </c>
      <c r="Z150" s="1565" t="n">
        <f aca="false">$H150</f>
        <v>2.74671633483315</v>
      </c>
      <c r="AA150" s="1565" t="n">
        <f aca="false">H150</f>
        <v>2.74671633483315</v>
      </c>
      <c r="AB150" s="1609" t="n">
        <f aca="false">W150/AA150</f>
        <v>2.5278214899882</v>
      </c>
      <c r="AC150" s="1566" t="n">
        <f aca="false">Y150/Z150</f>
        <v>731.390567530101</v>
      </c>
      <c r="AD150" s="1567" t="str">
        <f aca="false">IF(MONTH($A150)=12,SUM(AC139:AC150)," ")</f>
        <v> </v>
      </c>
    </row>
    <row r="151" customFormat="false" ht="12.75" hidden="false" customHeight="false" outlineLevel="0" collapsed="false">
      <c r="A151" s="1538" t="n">
        <f aca="false">'Annex 12-Gas'!A151</f>
        <v>41183</v>
      </c>
      <c r="C151" s="1595" t="n">
        <f aca="false">IF($A151&gt;Endyr,0,VLOOKUP($A151,Tariff_Table,Tariff!$G$33))</f>
        <v>7429.43</v>
      </c>
      <c r="D151" s="1565" t="n">
        <f aca="false">VLOOKUP($A151,Curves_Table,Escalation!$AW$291)</f>
        <v>3.0057179991744</v>
      </c>
      <c r="E151" s="1563" t="n">
        <f aca="false">C151*D151</f>
        <v>22330.7714746062</v>
      </c>
      <c r="F151" s="1540" t="n">
        <f aca="false">VLOOKUP($A151,Plant_Table,'Plant Operations'!$C$270)</f>
        <v>480</v>
      </c>
      <c r="G151" s="1563" t="n">
        <f aca="false">E151*F151/1000</f>
        <v>10718.770307811</v>
      </c>
      <c r="H151" s="1565" t="n">
        <f aca="false">IF(Assm!$L$74=0,VLOOKUP($A151,Curves_Table,Escalation!$D$291),VLOOKUP($A151,Curves_Table,Escalation!$E$291))</f>
        <v>2.75125019742612</v>
      </c>
      <c r="I151" s="394" t="n">
        <f aca="false">G151/H151</f>
        <v>3895.9634851962</v>
      </c>
      <c r="J151" s="1579" t="str">
        <f aca="false">IF(MONTH($A151)=12,SUM(I140:I151)," ")</f>
        <v> </v>
      </c>
      <c r="L151" s="1595" t="n">
        <f aca="false">IF($A151&gt;Endyr,0,VLOOKUP($A151,Tariff_Table,Tariff!$H$33))</f>
        <v>6133.73</v>
      </c>
      <c r="M151" s="1565" t="n">
        <f aca="false">D151</f>
        <v>3.0057179991744</v>
      </c>
      <c r="N151" s="1563" t="n">
        <f aca="false">L151*M151</f>
        <v>18436.262663076</v>
      </c>
      <c r="O151" s="1540" t="n">
        <f aca="false">$F151</f>
        <v>480</v>
      </c>
      <c r="P151" s="1563" t="n">
        <f aca="false">N151*O151/1000</f>
        <v>8849.40607827647</v>
      </c>
      <c r="Q151" s="1565" t="n">
        <f aca="false">$H151</f>
        <v>2.75125019742612</v>
      </c>
      <c r="R151" s="394" t="n">
        <f aca="false">P151/Q151</f>
        <v>3216.50356865231</v>
      </c>
      <c r="S151" s="1579" t="str">
        <f aca="false">IF(MONTH($A151)=12,SUM(R140:R151)," ")</f>
        <v> </v>
      </c>
      <c r="U151" s="1595" t="n">
        <f aca="false">IF($A151&gt;Endyr,0,VLOOKUP($A151,Tariff_Table,Tariff!$I$33))</f>
        <v>2.31</v>
      </c>
      <c r="V151" s="1565" t="n">
        <f aca="false">D151</f>
        <v>3.0057179991744</v>
      </c>
      <c r="W151" s="1563" t="n">
        <f aca="false">U151*V151</f>
        <v>6.94320857809286</v>
      </c>
      <c r="X151" s="397" t="n">
        <f aca="false">VLOOKUP($A151,Plant_Table,'Plant Operations'!$M$270)</f>
        <v>298980.864</v>
      </c>
      <c r="Y151" s="630" t="n">
        <f aca="false">W151*X151/1000</f>
        <v>2075.88649961041</v>
      </c>
      <c r="Z151" s="1565" t="n">
        <f aca="false">$H151</f>
        <v>2.75125019742612</v>
      </c>
      <c r="AA151" s="1565" t="n">
        <f aca="false">H151</f>
        <v>2.75125019742612</v>
      </c>
      <c r="AB151" s="1609" t="n">
        <f aca="false">W151/AA151</f>
        <v>2.52365582184727</v>
      </c>
      <c r="AC151" s="1566" t="n">
        <f aca="false">Y151/Z151</f>
        <v>754.524798054526</v>
      </c>
      <c r="AD151" s="1567" t="str">
        <f aca="false">IF(MONTH($A151)=12,SUM(AC140:AC151)," ")</f>
        <v> </v>
      </c>
    </row>
    <row r="152" customFormat="false" ht="12.75" hidden="false" customHeight="false" outlineLevel="0" collapsed="false">
      <c r="A152" s="1538" t="n">
        <f aca="false">'Annex 12-Gas'!A152</f>
        <v>41214</v>
      </c>
      <c r="C152" s="1595" t="n">
        <f aca="false">IF($A152&gt;Endyr,0,VLOOKUP($A152,Tariff_Table,Tariff!$G$33))</f>
        <v>7429.43</v>
      </c>
      <c r="D152" s="1565" t="n">
        <f aca="false">VLOOKUP($A152,Curves_Table,Escalation!$AW$291)</f>
        <v>3.0057179991744</v>
      </c>
      <c r="E152" s="1563" t="n">
        <f aca="false">C152*D152</f>
        <v>22330.7714746062</v>
      </c>
      <c r="F152" s="1540" t="n">
        <f aca="false">VLOOKUP($A152,Plant_Table,'Plant Operations'!$C$270)</f>
        <v>480</v>
      </c>
      <c r="G152" s="1563" t="n">
        <f aca="false">E152*F152/1000</f>
        <v>10718.770307811</v>
      </c>
      <c r="H152" s="1565" t="n">
        <f aca="false">IF(Assm!$L$74=0,VLOOKUP($A152,Curves_Table,Escalation!$D$291),VLOOKUP($A152,Curves_Table,Escalation!$E$291))</f>
        <v>2.75579154383157</v>
      </c>
      <c r="I152" s="394" t="n">
        <f aca="false">G152/H152</f>
        <v>3889.54321737556</v>
      </c>
      <c r="J152" s="1579" t="str">
        <f aca="false">IF(MONTH($A152)=12,SUM(I141:I152)," ")</f>
        <v> </v>
      </c>
      <c r="L152" s="1595" t="n">
        <f aca="false">IF($A152&gt;Endyr,0,VLOOKUP($A152,Tariff_Table,Tariff!$H$33))</f>
        <v>6133.73</v>
      </c>
      <c r="M152" s="1565" t="n">
        <f aca="false">D152</f>
        <v>3.0057179991744</v>
      </c>
      <c r="N152" s="1563" t="n">
        <f aca="false">L152*M152</f>
        <v>18436.262663076</v>
      </c>
      <c r="O152" s="1540" t="n">
        <f aca="false">$F152</f>
        <v>480</v>
      </c>
      <c r="P152" s="1563" t="n">
        <f aca="false">N152*O152/1000</f>
        <v>8849.40607827647</v>
      </c>
      <c r="Q152" s="1565" t="n">
        <f aca="false">$H152</f>
        <v>2.75579154383157</v>
      </c>
      <c r="R152" s="394" t="n">
        <f aca="false">P152/Q152</f>
        <v>3211.20300194133</v>
      </c>
      <c r="S152" s="1579" t="str">
        <f aca="false">IF(MONTH($A152)=12,SUM(R141:R152)," ")</f>
        <v> </v>
      </c>
      <c r="U152" s="1595" t="n">
        <f aca="false">IF($A152&gt;Endyr,0,VLOOKUP($A152,Tariff_Table,Tariff!$I$33))</f>
        <v>2.31</v>
      </c>
      <c r="V152" s="1565" t="n">
        <f aca="false">D152</f>
        <v>3.0057179991744</v>
      </c>
      <c r="W152" s="1563" t="n">
        <f aca="false">U152*V152</f>
        <v>6.94320857809286</v>
      </c>
      <c r="X152" s="397" t="n">
        <f aca="false">VLOOKUP($A152,Plant_Table,'Plant Operations'!$M$270)</f>
        <v>289336.32</v>
      </c>
      <c r="Y152" s="630" t="n">
        <f aca="false">W152*X152/1000</f>
        <v>2008.92241897782</v>
      </c>
      <c r="Z152" s="1565" t="n">
        <f aca="false">$H152</f>
        <v>2.75579154383157</v>
      </c>
      <c r="AA152" s="1565" t="n">
        <f aca="false">H152</f>
        <v>2.75579154383157</v>
      </c>
      <c r="AB152" s="1609" t="n">
        <f aca="false">W152/AA152</f>
        <v>2.51949701842805</v>
      </c>
      <c r="AC152" s="1566" t="n">
        <f aca="false">Y152/Z152</f>
        <v>728.981995562943</v>
      </c>
      <c r="AD152" s="1567" t="str">
        <f aca="false">IF(MONTH($A152)=12,SUM(AC141:AC152)," ")</f>
        <v> </v>
      </c>
    </row>
    <row r="153" customFormat="false" ht="12.75" hidden="false" customHeight="false" outlineLevel="0" collapsed="false">
      <c r="A153" s="1538" t="n">
        <f aca="false">'Annex 12-Gas'!A153</f>
        <v>41244</v>
      </c>
      <c r="C153" s="1595" t="n">
        <f aca="false">IF($A153&gt;Endyr,0,VLOOKUP($A153,Tariff_Table,Tariff!$G$33))</f>
        <v>7429.43</v>
      </c>
      <c r="D153" s="1565" t="n">
        <f aca="false">VLOOKUP($A153,Curves_Table,Escalation!$AW$291)</f>
        <v>3.0057179991744</v>
      </c>
      <c r="E153" s="1563" t="n">
        <f aca="false">C153*D153</f>
        <v>22330.7714746062</v>
      </c>
      <c r="F153" s="1540" t="n">
        <f aca="false">VLOOKUP($A153,Plant_Table,'Plant Operations'!$C$270)</f>
        <v>480</v>
      </c>
      <c r="G153" s="1563" t="n">
        <f aca="false">E153*F153/1000</f>
        <v>10718.770307811</v>
      </c>
      <c r="H153" s="1565" t="n">
        <f aca="false">IF(Assm!$L$74=0,VLOOKUP($A153,Curves_Table,Escalation!$D$291),VLOOKUP($A153,Curves_Table,Escalation!$E$291))</f>
        <v>2.76034038640265</v>
      </c>
      <c r="I153" s="394" t="n">
        <f aca="false">G153/H153</f>
        <v>3883.13352969486</v>
      </c>
      <c r="J153" s="1579" t="n">
        <f aca="false">IF(MONTH($A153)=12,SUM(I142:I153)," ")</f>
        <v>47004.2470499789</v>
      </c>
      <c r="L153" s="1595" t="n">
        <f aca="false">IF($A153&gt;Endyr,0,VLOOKUP($A153,Tariff_Table,Tariff!$H$33))</f>
        <v>6133.73</v>
      </c>
      <c r="M153" s="1565" t="n">
        <f aca="false">D153</f>
        <v>3.0057179991744</v>
      </c>
      <c r="N153" s="1563" t="n">
        <f aca="false">L153*M153</f>
        <v>18436.262663076</v>
      </c>
      <c r="O153" s="1540" t="n">
        <f aca="false">$F153</f>
        <v>480</v>
      </c>
      <c r="P153" s="1563" t="n">
        <f aca="false">N153*O153/1000</f>
        <v>8849.40607827647</v>
      </c>
      <c r="Q153" s="1565" t="n">
        <f aca="false">$H153</f>
        <v>2.76034038640265</v>
      </c>
      <c r="R153" s="394" t="n">
        <f aca="false">P153/Q153</f>
        <v>3205.91117018335</v>
      </c>
      <c r="S153" s="1579" t="n">
        <f aca="false">IF(MONTH($A153)=12,SUM(R142:R153)," ")</f>
        <v>38760.9613620576</v>
      </c>
      <c r="U153" s="1595" t="n">
        <f aca="false">IF($A153&gt;Endyr,0,VLOOKUP($A153,Tariff_Table,Tariff!$I$33))</f>
        <v>2.31</v>
      </c>
      <c r="V153" s="1565" t="n">
        <f aca="false">D153</f>
        <v>3.0057179991744</v>
      </c>
      <c r="W153" s="1563" t="n">
        <f aca="false">U153*V153</f>
        <v>6.94320857809286</v>
      </c>
      <c r="X153" s="397" t="n">
        <f aca="false">VLOOKUP($A153,Plant_Table,'Plant Operations'!$M$270)</f>
        <v>298980.864</v>
      </c>
      <c r="Y153" s="630" t="n">
        <f aca="false">W153*X153/1000</f>
        <v>2075.88649961041</v>
      </c>
      <c r="Z153" s="1565" t="n">
        <f aca="false">$H153</f>
        <v>2.76034038640265</v>
      </c>
      <c r="AA153" s="1565" t="n">
        <f aca="false">H153</f>
        <v>2.76034038640265</v>
      </c>
      <c r="AB153" s="1609" t="n">
        <f aca="false">W153/AA153</f>
        <v>2.51534506841797</v>
      </c>
      <c r="AC153" s="1566" t="n">
        <f aca="false">Y153/Z153</f>
        <v>752.040041813744</v>
      </c>
      <c r="AD153" s="1567" t="n">
        <f aca="false">IF(MONTH($A153)=12,SUM(AC142:AC153)," ")</f>
        <v>8946.86742565297</v>
      </c>
    </row>
    <row r="154" customFormat="false" ht="12.75" hidden="false" customHeight="false" outlineLevel="0" collapsed="false">
      <c r="A154" s="1538" t="n">
        <f aca="false">'Annex 12-Gas'!A154</f>
        <v>41275</v>
      </c>
      <c r="C154" s="1595" t="n">
        <f aca="false">IF($A154&gt;Endyr,0,VLOOKUP($A154,Tariff_Table,Tariff!$G$33))</f>
        <v>7429.43</v>
      </c>
      <c r="D154" s="1565" t="n">
        <f aca="false">VLOOKUP($A154,Curves_Table,Escalation!$AW$291)</f>
        <v>3.0057179991744</v>
      </c>
      <c r="E154" s="1563" t="n">
        <f aca="false">C154*D154</f>
        <v>22330.7714746062</v>
      </c>
      <c r="F154" s="1540" t="n">
        <f aca="false">VLOOKUP($A154,Plant_Table,'Plant Operations'!$C$270)</f>
        <v>480</v>
      </c>
      <c r="G154" s="1563" t="n">
        <f aca="false">E154*F154/1000</f>
        <v>10718.770307811</v>
      </c>
      <c r="H154" s="1565" t="n">
        <f aca="false">IF(Assm!$L$74=0,VLOOKUP($A154,Curves_Table,Escalation!$D$291),VLOOKUP($A154,Curves_Table,Escalation!$E$291))</f>
        <v>2.76492823407979</v>
      </c>
      <c r="I154" s="394" t="n">
        <f aca="false">G154/H154</f>
        <v>3876.69024305739</v>
      </c>
      <c r="J154" s="1579" t="str">
        <f aca="false">IF(MONTH($A154)=12,SUM(I143:I154)," ")</f>
        <v> </v>
      </c>
      <c r="L154" s="1595" t="n">
        <f aca="false">IF($A154&gt;Endyr,0,VLOOKUP($A154,Tariff_Table,Tariff!$H$33))</f>
        <v>6133.73</v>
      </c>
      <c r="M154" s="1565" t="n">
        <f aca="false">D154</f>
        <v>3.0057179991744</v>
      </c>
      <c r="N154" s="1563" t="n">
        <f aca="false">L154*M154</f>
        <v>18436.262663076</v>
      </c>
      <c r="O154" s="1540" t="n">
        <f aca="false">$F154</f>
        <v>480</v>
      </c>
      <c r="P154" s="1563" t="n">
        <f aca="false">N154*O154/1000</f>
        <v>8849.40607827647</v>
      </c>
      <c r="Q154" s="1565" t="n">
        <f aca="false">$H154</f>
        <v>2.76492823407979</v>
      </c>
      <c r="R154" s="394" t="n">
        <f aca="false">P154/Q154</f>
        <v>3200.59159916015</v>
      </c>
      <c r="S154" s="1579" t="str">
        <f aca="false">IF(MONTH($A154)=12,SUM(R143:R154)," ")</f>
        <v> </v>
      </c>
      <c r="U154" s="1595" t="n">
        <f aca="false">IF($A154&gt;Endyr,0,VLOOKUP($A154,Tariff_Table,Tariff!$I$33))</f>
        <v>2.31</v>
      </c>
      <c r="V154" s="1565" t="n">
        <f aca="false">D154</f>
        <v>3.0057179991744</v>
      </c>
      <c r="W154" s="1563" t="n">
        <f aca="false">U154*V154</f>
        <v>6.94320857809286</v>
      </c>
      <c r="X154" s="397" t="n">
        <f aca="false">VLOOKUP($A154,Plant_Table,'Plant Operations'!$M$270)</f>
        <v>298980.864</v>
      </c>
      <c r="Y154" s="630" t="n">
        <f aca="false">W154*X154/1000</f>
        <v>2075.88649961041</v>
      </c>
      <c r="Z154" s="1565" t="n">
        <f aca="false">$H154</f>
        <v>2.76492823407979</v>
      </c>
      <c r="AA154" s="1565" t="n">
        <f aca="false">H154</f>
        <v>2.76492823407979</v>
      </c>
      <c r="AB154" s="1609" t="n">
        <f aca="false">W154/AA154</f>
        <v>2.51117135429147</v>
      </c>
      <c r="AC154" s="1566" t="n">
        <f aca="false">Y154/Z154</f>
        <v>750.792181158114</v>
      </c>
      <c r="AD154" s="1567" t="str">
        <f aca="false">IF(MONTH($A154)=12,SUM(AC143:AC154)," ")</f>
        <v> </v>
      </c>
    </row>
    <row r="155" customFormat="false" ht="12.75" hidden="false" customHeight="false" outlineLevel="0" collapsed="false">
      <c r="A155" s="1538" t="n">
        <f aca="false">'Annex 12-Gas'!A155</f>
        <v>41306</v>
      </c>
      <c r="C155" s="1595" t="n">
        <f aca="false">IF($A155&gt;Endyr,0,VLOOKUP($A155,Tariff_Table,Tariff!$G$33))</f>
        <v>7429.43</v>
      </c>
      <c r="D155" s="1565" t="n">
        <f aca="false">VLOOKUP($A155,Curves_Table,Escalation!$AW$291)</f>
        <v>3.0057179991744</v>
      </c>
      <c r="E155" s="1563" t="n">
        <f aca="false">C155*D155</f>
        <v>22330.7714746062</v>
      </c>
      <c r="F155" s="1540" t="n">
        <f aca="false">VLOOKUP($A155,Plant_Table,'Plant Operations'!$C$270)</f>
        <v>480</v>
      </c>
      <c r="G155" s="1563" t="n">
        <f aca="false">E155*F155/1000</f>
        <v>10718.770307811</v>
      </c>
      <c r="H155" s="1565" t="n">
        <f aca="false">IF(Assm!$L$74=0,VLOOKUP($A155,Curves_Table,Escalation!$D$291),VLOOKUP($A155,Curves_Table,Escalation!$E$291))</f>
        <v>2.76952370702894</v>
      </c>
      <c r="I155" s="394" t="n">
        <f aca="false">G155/H155</f>
        <v>3870.25764777069</v>
      </c>
      <c r="J155" s="1579" t="str">
        <f aca="false">IF(MONTH($A155)=12,SUM(I144:I155)," ")</f>
        <v> </v>
      </c>
      <c r="L155" s="1595" t="n">
        <f aca="false">IF($A155&gt;Endyr,0,VLOOKUP($A155,Tariff_Table,Tariff!$H$33))</f>
        <v>6133.73</v>
      </c>
      <c r="M155" s="1565" t="n">
        <f aca="false">D155</f>
        <v>3.0057179991744</v>
      </c>
      <c r="N155" s="1563" t="n">
        <f aca="false">L155*M155</f>
        <v>18436.262663076</v>
      </c>
      <c r="O155" s="1540" t="n">
        <f aca="false">$F155</f>
        <v>480</v>
      </c>
      <c r="P155" s="1563" t="n">
        <f aca="false">N155*O155/1000</f>
        <v>8849.40607827647</v>
      </c>
      <c r="Q155" s="1565" t="n">
        <f aca="false">$H155</f>
        <v>2.76952370702894</v>
      </c>
      <c r="R155" s="394" t="n">
        <f aca="false">P155/Q155</f>
        <v>3195.2808549055</v>
      </c>
      <c r="S155" s="1579" t="str">
        <f aca="false">IF(MONTH($A155)=12,SUM(R144:R155)," ")</f>
        <v> </v>
      </c>
      <c r="U155" s="1595" t="n">
        <f aca="false">IF($A155&gt;Endyr,0,VLOOKUP($A155,Tariff_Table,Tariff!$I$33))</f>
        <v>2.31</v>
      </c>
      <c r="V155" s="1565" t="n">
        <f aca="false">D155</f>
        <v>3.0057179991744</v>
      </c>
      <c r="W155" s="1563" t="n">
        <f aca="false">U155*V155</f>
        <v>6.94320857809286</v>
      </c>
      <c r="X155" s="397" t="n">
        <f aca="false">VLOOKUP($A155,Plant_Table,'Plant Operations'!$M$270)</f>
        <v>270047.232</v>
      </c>
      <c r="Y155" s="630" t="n">
        <f aca="false">W155*X155/1000</f>
        <v>1874.99425771263</v>
      </c>
      <c r="Z155" s="1565" t="n">
        <f aca="false">$H155</f>
        <v>2.76952370702894</v>
      </c>
      <c r="AA155" s="1565" t="n">
        <f aca="false">H155</f>
        <v>2.76952370702894</v>
      </c>
      <c r="AB155" s="1609" t="n">
        <f aca="false">W155/AA155</f>
        <v>2.50700456561223</v>
      </c>
      <c r="AC155" s="1566" t="n">
        <f aca="false">Y155/Z155</f>
        <v>677.009643554945</v>
      </c>
      <c r="AD155" s="1567" t="str">
        <f aca="false">IF(MONTH($A155)=12,SUM(AC144:AC155)," ")</f>
        <v> </v>
      </c>
    </row>
    <row r="156" customFormat="false" ht="12.75" hidden="false" customHeight="false" outlineLevel="0" collapsed="false">
      <c r="A156" s="1538" t="n">
        <f aca="false">'Annex 12-Gas'!A156</f>
        <v>41334</v>
      </c>
      <c r="C156" s="1595" t="n">
        <f aca="false">IF($A156&gt;Endyr,0,VLOOKUP($A156,Tariff_Table,Tariff!$G$33))</f>
        <v>7429.43</v>
      </c>
      <c r="D156" s="1565" t="n">
        <f aca="false">VLOOKUP($A156,Curves_Table,Escalation!$AW$291)</f>
        <v>3.0057179991744</v>
      </c>
      <c r="E156" s="1563" t="n">
        <f aca="false">C156*D156</f>
        <v>22330.7714746062</v>
      </c>
      <c r="F156" s="1540" t="n">
        <f aca="false">VLOOKUP($A156,Plant_Table,'Plant Operations'!$C$270)</f>
        <v>480</v>
      </c>
      <c r="G156" s="1563" t="n">
        <f aca="false">E156*F156/1000</f>
        <v>10718.770307811</v>
      </c>
      <c r="H156" s="1565" t="n">
        <f aca="false">IF(Assm!$L$74=0,VLOOKUP($A156,Curves_Table,Escalation!$D$291),VLOOKUP($A156,Curves_Table,Escalation!$E$291))</f>
        <v>2.77412681792376</v>
      </c>
      <c r="I156" s="394" t="n">
        <f aca="false">G156/H156</f>
        <v>3863.83572609461</v>
      </c>
      <c r="J156" s="1579" t="str">
        <f aca="false">IF(MONTH($A156)=12,SUM(I145:I156)," ")</f>
        <v> </v>
      </c>
      <c r="L156" s="1595" t="n">
        <f aca="false">IF($A156&gt;Endyr,0,VLOOKUP($A156,Tariff_Table,Tariff!$H$33))</f>
        <v>6133.73</v>
      </c>
      <c r="M156" s="1565" t="n">
        <f aca="false">D156</f>
        <v>3.0057179991744</v>
      </c>
      <c r="N156" s="1563" t="n">
        <f aca="false">L156*M156</f>
        <v>18436.262663076</v>
      </c>
      <c r="O156" s="1540" t="n">
        <f aca="false">$F156</f>
        <v>480</v>
      </c>
      <c r="P156" s="1563" t="n">
        <f aca="false">N156*O156/1000</f>
        <v>8849.40607827647</v>
      </c>
      <c r="Q156" s="1565" t="n">
        <f aca="false">$H156</f>
        <v>2.77412681792376</v>
      </c>
      <c r="R156" s="394" t="n">
        <f aca="false">P156/Q156</f>
        <v>3189.97892277312</v>
      </c>
      <c r="S156" s="1579" t="str">
        <f aca="false">IF(MONTH($A156)=12,SUM(R145:R156)," ")</f>
        <v> </v>
      </c>
      <c r="U156" s="1595" t="n">
        <f aca="false">IF($A156&gt;Endyr,0,VLOOKUP($A156,Tariff_Table,Tariff!$I$33))</f>
        <v>2.31</v>
      </c>
      <c r="V156" s="1565" t="n">
        <f aca="false">D156</f>
        <v>3.0057179991744</v>
      </c>
      <c r="W156" s="1563" t="n">
        <f aca="false">U156*V156</f>
        <v>6.94320857809286</v>
      </c>
      <c r="X156" s="397" t="n">
        <f aca="false">VLOOKUP($A156,Plant_Table,'Plant Operations'!$M$270)</f>
        <v>298980.864</v>
      </c>
      <c r="Y156" s="630" t="n">
        <f aca="false">W156*X156/1000</f>
        <v>2075.88649961041</v>
      </c>
      <c r="Z156" s="1565" t="n">
        <f aca="false">$H156</f>
        <v>2.77412681792376</v>
      </c>
      <c r="AA156" s="1565" t="n">
        <f aca="false">H156</f>
        <v>2.77412681792376</v>
      </c>
      <c r="AB156" s="1609" t="n">
        <f aca="false">W156/AA156</f>
        <v>2.50284469088885</v>
      </c>
      <c r="AC156" s="1566" t="n">
        <f aca="false">Y156/Z156</f>
        <v>748.30266813976</v>
      </c>
      <c r="AD156" s="1567" t="str">
        <f aca="false">IF(MONTH($A156)=12,SUM(AC145:AC156)," ")</f>
        <v> </v>
      </c>
    </row>
    <row r="157" customFormat="false" ht="12.75" hidden="false" customHeight="false" outlineLevel="0" collapsed="false">
      <c r="A157" s="1538" t="n">
        <f aca="false">'Annex 12-Gas'!A157</f>
        <v>41365</v>
      </c>
      <c r="C157" s="1595" t="n">
        <f aca="false">IF($A157&gt;Endyr,0,VLOOKUP($A157,Tariff_Table,Tariff!$G$33))</f>
        <v>7429.43</v>
      </c>
      <c r="D157" s="1565" t="n">
        <f aca="false">VLOOKUP($A157,Curves_Table,Escalation!$AW$291)</f>
        <v>3.0057179991744</v>
      </c>
      <c r="E157" s="1563" t="n">
        <f aca="false">C157*D157</f>
        <v>22330.7714746062</v>
      </c>
      <c r="F157" s="1540" t="n">
        <f aca="false">VLOOKUP($A157,Plant_Table,'Plant Operations'!$C$270)</f>
        <v>480</v>
      </c>
      <c r="G157" s="1563" t="n">
        <f aca="false">E157*F157/1000</f>
        <v>10718.770307811</v>
      </c>
      <c r="H157" s="1565" t="n">
        <f aca="false">IF(Assm!$L$74=0,VLOOKUP($A157,Curves_Table,Escalation!$D$291),VLOOKUP($A157,Curves_Table,Escalation!$E$291))</f>
        <v>2.77873757945897</v>
      </c>
      <c r="I157" s="394" t="n">
        <f aca="false">G157/H157</f>
        <v>3857.42446031842</v>
      </c>
      <c r="J157" s="1579" t="str">
        <f aca="false">IF(MONTH($A157)=12,SUM(I146:I157)," ")</f>
        <v> </v>
      </c>
      <c r="L157" s="1595" t="n">
        <f aca="false">IF($A157&gt;Endyr,0,VLOOKUP($A157,Tariff_Table,Tariff!$H$33))</f>
        <v>6133.73</v>
      </c>
      <c r="M157" s="1565" t="n">
        <f aca="false">D157</f>
        <v>3.0057179991744</v>
      </c>
      <c r="N157" s="1563" t="n">
        <f aca="false">L157*M157</f>
        <v>18436.262663076</v>
      </c>
      <c r="O157" s="1540" t="n">
        <f aca="false">$F157</f>
        <v>480</v>
      </c>
      <c r="P157" s="1563" t="n">
        <f aca="false">N157*O157/1000</f>
        <v>8849.40607827647</v>
      </c>
      <c r="Q157" s="1565" t="n">
        <f aca="false">$H157</f>
        <v>2.77873757945897</v>
      </c>
      <c r="R157" s="394" t="n">
        <f aca="false">P157/Q157</f>
        <v>3184.68578814106</v>
      </c>
      <c r="S157" s="1579" t="str">
        <f aca="false">IF(MONTH($A157)=12,SUM(R146:R157)," ")</f>
        <v> </v>
      </c>
      <c r="U157" s="1595" t="n">
        <f aca="false">IF($A157&gt;Endyr,0,VLOOKUP($A157,Tariff_Table,Tariff!$I$33))</f>
        <v>2.31</v>
      </c>
      <c r="V157" s="1565" t="n">
        <f aca="false">D157</f>
        <v>3.0057179991744</v>
      </c>
      <c r="W157" s="1563" t="n">
        <f aca="false">U157*V157</f>
        <v>6.94320857809286</v>
      </c>
      <c r="X157" s="397" t="n">
        <f aca="false">VLOOKUP($A157,Plant_Table,'Plant Operations'!$M$270)</f>
        <v>289336.32</v>
      </c>
      <c r="Y157" s="630" t="n">
        <f aca="false">W157*X157/1000</f>
        <v>2008.92241897782</v>
      </c>
      <c r="Z157" s="1565" t="n">
        <f aca="false">$H157</f>
        <v>2.77873757945897</v>
      </c>
      <c r="AA157" s="1565" t="n">
        <f aca="false">H157</f>
        <v>2.77873757945897</v>
      </c>
      <c r="AB157" s="1609" t="n">
        <f aca="false">W157/AA157</f>
        <v>2.49869171864899</v>
      </c>
      <c r="AC157" s="1566" t="n">
        <f aca="false">Y157/Z157</f>
        <v>722.962266688375</v>
      </c>
      <c r="AD157" s="1567" t="str">
        <f aca="false">IF(MONTH($A157)=12,SUM(AC146:AC157)," ")</f>
        <v> </v>
      </c>
    </row>
    <row r="158" customFormat="false" ht="12.75" hidden="false" customHeight="false" outlineLevel="0" collapsed="false">
      <c r="A158" s="1538" t="n">
        <f aca="false">'Annex 12-Gas'!A158</f>
        <v>41395</v>
      </c>
      <c r="C158" s="1595" t="n">
        <f aca="false">IF($A158&gt;Endyr,0,VLOOKUP($A158,Tariff_Table,Tariff!$G$33))</f>
        <v>7433.43</v>
      </c>
      <c r="D158" s="1565" t="n">
        <f aca="false">VLOOKUP($A158,Curves_Table,Escalation!$AW$291)</f>
        <v>3.22012463567054</v>
      </c>
      <c r="E158" s="1563" t="n">
        <f aca="false">C158*D158</f>
        <v>23936.5710705325</v>
      </c>
      <c r="F158" s="1540" t="n">
        <f aca="false">VLOOKUP($A158,Plant_Table,'Plant Operations'!$C$270)</f>
        <v>480</v>
      </c>
      <c r="G158" s="1563" t="n">
        <f aca="false">E158*F158/1000</f>
        <v>11489.5541138556</v>
      </c>
      <c r="H158" s="1565" t="n">
        <f aca="false">IF(Assm!$L$74=0,VLOOKUP($A158,Curves_Table,Escalation!$D$291),VLOOKUP($A158,Curves_Table,Escalation!$E$291))</f>
        <v>2.78335600435036</v>
      </c>
      <c r="I158" s="394" t="n">
        <f aca="false">G158/H158</f>
        <v>4127.94989067065</v>
      </c>
      <c r="J158" s="1579" t="str">
        <f aca="false">IF(MONTH($A158)=12,SUM(I147:I158)," ")</f>
        <v> </v>
      </c>
      <c r="L158" s="1595" t="n">
        <f aca="false">IF($A158&gt;Endyr,0,VLOOKUP($A158,Tariff_Table,Tariff!$H$33))</f>
        <v>6146.82</v>
      </c>
      <c r="M158" s="1565" t="n">
        <f aca="false">D158</f>
        <v>3.22012463567054</v>
      </c>
      <c r="N158" s="1563" t="n">
        <f aca="false">L158*M158</f>
        <v>19793.5265130324</v>
      </c>
      <c r="O158" s="1540" t="n">
        <f aca="false">$F158</f>
        <v>480</v>
      </c>
      <c r="P158" s="1563" t="n">
        <f aca="false">N158*O158/1000</f>
        <v>9500.89272625554</v>
      </c>
      <c r="Q158" s="1565" t="n">
        <f aca="false">$H158</f>
        <v>2.78335600435036</v>
      </c>
      <c r="R158" s="394" t="n">
        <f aca="false">P158/Q158</f>
        <v>3413.46658904061</v>
      </c>
      <c r="S158" s="1579" t="str">
        <f aca="false">IF(MONTH($A158)=12,SUM(R147:R158)," ")</f>
        <v> </v>
      </c>
      <c r="U158" s="1595" t="n">
        <f aca="false">IF($A158&gt;Endyr,0,VLOOKUP($A158,Tariff_Table,Tariff!$I$33))</f>
        <v>2.32</v>
      </c>
      <c r="V158" s="1565" t="n">
        <f aca="false">D158</f>
        <v>3.22012463567054</v>
      </c>
      <c r="W158" s="1563" t="n">
        <f aca="false">U158*V158</f>
        <v>7.47068915475565</v>
      </c>
      <c r="X158" s="397" t="n">
        <f aca="false">VLOOKUP($A158,Plant_Table,'Plant Operations'!$M$270)</f>
        <v>298980.864</v>
      </c>
      <c r="Y158" s="630" t="n">
        <f aca="false">W158*X158/1000</f>
        <v>2233.59309816427</v>
      </c>
      <c r="Z158" s="1565" t="n">
        <f aca="false">$H158</f>
        <v>2.78335600435036</v>
      </c>
      <c r="AA158" s="1565" t="n">
        <f aca="false">H158</f>
        <v>2.78335600435036</v>
      </c>
      <c r="AB158" s="1609" t="n">
        <f aca="false">W158/AA158</f>
        <v>2.68405807344767</v>
      </c>
      <c r="AC158" s="1566" t="n">
        <f aca="false">Y158/Z158</f>
        <v>802.482001825561</v>
      </c>
      <c r="AD158" s="1567" t="str">
        <f aca="false">IF(MONTH($A158)=12,SUM(AC147:AC158)," ")</f>
        <v> </v>
      </c>
    </row>
    <row r="159" customFormat="false" ht="12.75" hidden="false" customHeight="false" outlineLevel="0" collapsed="false">
      <c r="A159" s="1538" t="n">
        <f aca="false">'Annex 12-Gas'!A159</f>
        <v>41426</v>
      </c>
      <c r="C159" s="1595" t="n">
        <f aca="false">IF($A159&gt;Endyr,0,VLOOKUP($A159,Tariff_Table,Tariff!$G$33))</f>
        <v>7433.43</v>
      </c>
      <c r="D159" s="1565" t="n">
        <f aca="false">VLOOKUP($A159,Curves_Table,Escalation!$AW$291)</f>
        <v>3.22012463567054</v>
      </c>
      <c r="E159" s="1563" t="n">
        <f aca="false">C159*D159</f>
        <v>23936.5710705325</v>
      </c>
      <c r="F159" s="1540" t="n">
        <f aca="false">VLOOKUP($A159,Plant_Table,'Plant Operations'!$C$270)</f>
        <v>480</v>
      </c>
      <c r="G159" s="1563" t="n">
        <f aca="false">E159*F159/1000</f>
        <v>11489.5541138556</v>
      </c>
      <c r="H159" s="1565" t="n">
        <f aca="false">IF(Assm!$L$74=0,VLOOKUP($A159,Curves_Table,Escalation!$D$291),VLOOKUP($A159,Curves_Table,Escalation!$E$291))</f>
        <v>2.7879821053349</v>
      </c>
      <c r="I159" s="394" t="n">
        <f aca="false">G159/H159</f>
        <v>4121.10038004545</v>
      </c>
      <c r="J159" s="1579" t="str">
        <f aca="false">IF(MONTH($A159)=12,SUM(I148:I159)," ")</f>
        <v> </v>
      </c>
      <c r="L159" s="1595" t="n">
        <f aca="false">IF($A159&gt;Endyr,0,VLOOKUP($A159,Tariff_Table,Tariff!$H$33))</f>
        <v>6146.82</v>
      </c>
      <c r="M159" s="1565" t="n">
        <f aca="false">D159</f>
        <v>3.22012463567054</v>
      </c>
      <c r="N159" s="1563" t="n">
        <f aca="false">L159*M159</f>
        <v>19793.5265130324</v>
      </c>
      <c r="O159" s="1540" t="n">
        <f aca="false">$F159</f>
        <v>480</v>
      </c>
      <c r="P159" s="1563" t="n">
        <f aca="false">N159*O159/1000</f>
        <v>9500.89272625554</v>
      </c>
      <c r="Q159" s="1565" t="n">
        <f aca="false">$H159</f>
        <v>2.7879821053349</v>
      </c>
      <c r="R159" s="394" t="n">
        <f aca="false">P159/Q159</f>
        <v>3407.80262114138</v>
      </c>
      <c r="S159" s="1579" t="str">
        <f aca="false">IF(MONTH($A159)=12,SUM(R148:R159)," ")</f>
        <v> </v>
      </c>
      <c r="U159" s="1595" t="n">
        <f aca="false">IF($A159&gt;Endyr,0,VLOOKUP($A159,Tariff_Table,Tariff!$I$33))</f>
        <v>2.32</v>
      </c>
      <c r="V159" s="1565" t="n">
        <f aca="false">D159</f>
        <v>3.22012463567054</v>
      </c>
      <c r="W159" s="1563" t="n">
        <f aca="false">U159*V159</f>
        <v>7.47068915475565</v>
      </c>
      <c r="X159" s="397" t="n">
        <f aca="false">VLOOKUP($A159,Plant_Table,'Plant Operations'!$M$270)</f>
        <v>289336.32</v>
      </c>
      <c r="Y159" s="630" t="n">
        <f aca="false">W159*X159/1000</f>
        <v>2161.54170790091</v>
      </c>
      <c r="Z159" s="1565" t="n">
        <f aca="false">$H159</f>
        <v>2.7879821053349</v>
      </c>
      <c r="AA159" s="1565" t="n">
        <f aca="false">H159</f>
        <v>2.7879821053349</v>
      </c>
      <c r="AB159" s="1609" t="n">
        <f aca="false">W159/AA159</f>
        <v>2.67960441369413</v>
      </c>
      <c r="AC159" s="1566" t="n">
        <f aca="false">Y159/Z159</f>
        <v>775.306880114017</v>
      </c>
      <c r="AD159" s="1567" t="str">
        <f aca="false">IF(MONTH($A159)=12,SUM(AC148:AC159)," ")</f>
        <v> </v>
      </c>
    </row>
    <row r="160" customFormat="false" ht="12.75" hidden="false" customHeight="false" outlineLevel="0" collapsed="false">
      <c r="A160" s="1538" t="n">
        <f aca="false">'Annex 12-Gas'!A160</f>
        <v>41456</v>
      </c>
      <c r="C160" s="1595" t="n">
        <f aca="false">IF($A160&gt;Endyr,0,VLOOKUP($A160,Tariff_Table,Tariff!$G$33))</f>
        <v>7433.43</v>
      </c>
      <c r="D160" s="1565" t="n">
        <f aca="false">VLOOKUP($A160,Curves_Table,Escalation!$AW$291)</f>
        <v>3.22012463567054</v>
      </c>
      <c r="E160" s="1563" t="n">
        <f aca="false">C160*D160</f>
        <v>23936.5710705325</v>
      </c>
      <c r="F160" s="1540" t="n">
        <f aca="false">VLOOKUP($A160,Plant_Table,'Plant Operations'!$C$270)</f>
        <v>480</v>
      </c>
      <c r="G160" s="1563" t="n">
        <f aca="false">E160*F160/1000</f>
        <v>11489.5541138556</v>
      </c>
      <c r="H160" s="1565" t="n">
        <f aca="false">IF(Assm!$L$74=0,VLOOKUP($A160,Curves_Table,Escalation!$D$291),VLOOKUP($A160,Curves_Table,Escalation!$E$291))</f>
        <v>2.7926158951707</v>
      </c>
      <c r="I160" s="394" t="n">
        <f aca="false">G160/H160</f>
        <v>4114.26223481882</v>
      </c>
      <c r="J160" s="1579" t="str">
        <f aca="false">IF(MONTH($A160)=12,SUM(I149:I160)," ")</f>
        <v> </v>
      </c>
      <c r="L160" s="1595" t="n">
        <f aca="false">IF($A160&gt;Endyr,0,VLOOKUP($A160,Tariff_Table,Tariff!$H$33))</f>
        <v>6146.82</v>
      </c>
      <c r="M160" s="1565" t="n">
        <f aca="false">D160</f>
        <v>3.22012463567054</v>
      </c>
      <c r="N160" s="1563" t="n">
        <f aca="false">L160*M160</f>
        <v>19793.5265130324</v>
      </c>
      <c r="O160" s="1540" t="n">
        <f aca="false">$F160</f>
        <v>480</v>
      </c>
      <c r="P160" s="1563" t="n">
        <f aca="false">N160*O160/1000</f>
        <v>9500.89272625554</v>
      </c>
      <c r="Q160" s="1565" t="n">
        <f aca="false">$H160</f>
        <v>2.7926158951707</v>
      </c>
      <c r="R160" s="394" t="n">
        <f aca="false">P160/Q160</f>
        <v>3402.14805146871</v>
      </c>
      <c r="S160" s="1579" t="str">
        <f aca="false">IF(MONTH($A160)=12,SUM(R149:R160)," ")</f>
        <v> </v>
      </c>
      <c r="U160" s="1595" t="n">
        <f aca="false">IF($A160&gt;Endyr,0,VLOOKUP($A160,Tariff_Table,Tariff!$I$33))</f>
        <v>2.32</v>
      </c>
      <c r="V160" s="1565" t="n">
        <f aca="false">D160</f>
        <v>3.22012463567054</v>
      </c>
      <c r="W160" s="1563" t="n">
        <f aca="false">U160*V160</f>
        <v>7.47068915475565</v>
      </c>
      <c r="X160" s="397" t="n">
        <f aca="false">VLOOKUP($A160,Plant_Table,'Plant Operations'!$M$270)</f>
        <v>298980.864</v>
      </c>
      <c r="Y160" s="630" t="n">
        <f aca="false">W160*X160/1000</f>
        <v>2233.59309816427</v>
      </c>
      <c r="Z160" s="1565" t="n">
        <f aca="false">$H160</f>
        <v>2.7926158951707</v>
      </c>
      <c r="AA160" s="1565" t="n">
        <f aca="false">H160</f>
        <v>2.7926158951707</v>
      </c>
      <c r="AB160" s="1609" t="n">
        <f aca="false">W160/AA160</f>
        <v>2.67515814390185</v>
      </c>
      <c r="AC160" s="1566" t="n">
        <f aca="false">Y160/Z160</f>
        <v>799.821093200411</v>
      </c>
      <c r="AD160" s="1567" t="str">
        <f aca="false">IF(MONTH($A160)=12,SUM(AC149:AC160)," ")</f>
        <v> </v>
      </c>
    </row>
    <row r="161" customFormat="false" ht="12.75" hidden="false" customHeight="false" outlineLevel="0" collapsed="false">
      <c r="A161" s="1538" t="n">
        <f aca="false">'Annex 12-Gas'!A161</f>
        <v>41487</v>
      </c>
      <c r="C161" s="1595" t="n">
        <f aca="false">IF($A161&gt;Endyr,0,VLOOKUP($A161,Tariff_Table,Tariff!$G$33))</f>
        <v>7433.43</v>
      </c>
      <c r="D161" s="1565" t="n">
        <f aca="false">VLOOKUP($A161,Curves_Table,Escalation!$AW$291)</f>
        <v>3.22012463567054</v>
      </c>
      <c r="E161" s="1563" t="n">
        <f aca="false">C161*D161</f>
        <v>23936.5710705325</v>
      </c>
      <c r="F161" s="1540" t="n">
        <f aca="false">VLOOKUP($A161,Plant_Table,'Plant Operations'!$C$270)</f>
        <v>480</v>
      </c>
      <c r="G161" s="1563" t="n">
        <f aca="false">E161*F161/1000</f>
        <v>11489.5541138556</v>
      </c>
      <c r="H161" s="1565" t="n">
        <f aca="false">IF(Assm!$L$74=0,VLOOKUP($A161,Curves_Table,Escalation!$D$291),VLOOKUP($A161,Curves_Table,Escalation!$E$291))</f>
        <v>2.79725738663708</v>
      </c>
      <c r="I161" s="394" t="n">
        <f aca="false">G161/H161</f>
        <v>4107.43543613216</v>
      </c>
      <c r="J161" s="1579" t="str">
        <f aca="false">IF(MONTH($A161)=12,SUM(I150:I161)," ")</f>
        <v> </v>
      </c>
      <c r="L161" s="1595" t="n">
        <f aca="false">IF($A161&gt;Endyr,0,VLOOKUP($A161,Tariff_Table,Tariff!$H$33))</f>
        <v>6146.82</v>
      </c>
      <c r="M161" s="1565" t="n">
        <f aca="false">D161</f>
        <v>3.22012463567054</v>
      </c>
      <c r="N161" s="1563" t="n">
        <f aca="false">L161*M161</f>
        <v>19793.5265130324</v>
      </c>
      <c r="O161" s="1540" t="n">
        <f aca="false">$F161</f>
        <v>480</v>
      </c>
      <c r="P161" s="1563" t="n">
        <f aca="false">N161*O161/1000</f>
        <v>9500.89272625554</v>
      </c>
      <c r="Q161" s="1565" t="n">
        <f aca="false">$H161</f>
        <v>2.79725738663708</v>
      </c>
      <c r="R161" s="394" t="n">
        <f aca="false">P161/Q161</f>
        <v>3396.50286442811</v>
      </c>
      <c r="S161" s="1579" t="str">
        <f aca="false">IF(MONTH($A161)=12,SUM(R150:R161)," ")</f>
        <v> </v>
      </c>
      <c r="U161" s="1595" t="n">
        <f aca="false">IF($A161&gt;Endyr,0,VLOOKUP($A161,Tariff_Table,Tariff!$I$33))</f>
        <v>2.32</v>
      </c>
      <c r="V161" s="1565" t="n">
        <f aca="false">D161</f>
        <v>3.22012463567054</v>
      </c>
      <c r="W161" s="1563" t="n">
        <f aca="false">U161*V161</f>
        <v>7.47068915475565</v>
      </c>
      <c r="X161" s="397" t="n">
        <f aca="false">VLOOKUP($A161,Plant_Table,'Plant Operations'!$M$270)</f>
        <v>298980.864</v>
      </c>
      <c r="Y161" s="630" t="n">
        <f aca="false">W161*X161/1000</f>
        <v>2233.59309816427</v>
      </c>
      <c r="Z161" s="1565" t="n">
        <f aca="false">$H161</f>
        <v>2.79725738663708</v>
      </c>
      <c r="AA161" s="1565" t="n">
        <f aca="false">H161</f>
        <v>2.79725738663708</v>
      </c>
      <c r="AB161" s="1609" t="n">
        <f aca="false">W161/AA161</f>
        <v>2.67071925180867</v>
      </c>
      <c r="AC161" s="1566" t="n">
        <f aca="false">Y161/Z161</f>
        <v>798.493949407188</v>
      </c>
      <c r="AD161" s="1567" t="str">
        <f aca="false">IF(MONTH($A161)=12,SUM(AC150:AC161)," ")</f>
        <v> </v>
      </c>
    </row>
    <row r="162" customFormat="false" ht="12.75" hidden="false" customHeight="false" outlineLevel="0" collapsed="false">
      <c r="A162" s="1538" t="n">
        <f aca="false">'Annex 12-Gas'!A162</f>
        <v>41518</v>
      </c>
      <c r="C162" s="1595" t="n">
        <f aca="false">IF($A162&gt;Endyr,0,VLOOKUP($A162,Tariff_Table,Tariff!$G$33))</f>
        <v>7433.43</v>
      </c>
      <c r="D162" s="1565" t="n">
        <f aca="false">VLOOKUP($A162,Curves_Table,Escalation!$AW$291)</f>
        <v>3.22012463567054</v>
      </c>
      <c r="E162" s="1563" t="n">
        <f aca="false">C162*D162</f>
        <v>23936.5710705325</v>
      </c>
      <c r="F162" s="1540" t="n">
        <f aca="false">VLOOKUP($A162,Plant_Table,'Plant Operations'!$C$270)</f>
        <v>480</v>
      </c>
      <c r="G162" s="1563" t="n">
        <f aca="false">E162*F162/1000</f>
        <v>11489.5541138556</v>
      </c>
      <c r="H162" s="1565" t="n">
        <f aca="false">IF(Assm!$L$74=0,VLOOKUP($A162,Curves_Table,Escalation!$D$291),VLOOKUP($A162,Curves_Table,Escalation!$E$291))</f>
        <v>2.8019065925346</v>
      </c>
      <c r="I162" s="394" t="n">
        <f aca="false">G162/H162</f>
        <v>4100.61996515813</v>
      </c>
      <c r="J162" s="1579" t="str">
        <f aca="false">IF(MONTH($A162)=12,SUM(I151:I162)," ")</f>
        <v> </v>
      </c>
      <c r="L162" s="1595" t="n">
        <f aca="false">IF($A162&gt;Endyr,0,VLOOKUP($A162,Tariff_Table,Tariff!$H$33))</f>
        <v>6146.82</v>
      </c>
      <c r="M162" s="1565" t="n">
        <f aca="false">D162</f>
        <v>3.22012463567054</v>
      </c>
      <c r="N162" s="1563" t="n">
        <f aca="false">L162*M162</f>
        <v>19793.5265130324</v>
      </c>
      <c r="O162" s="1540" t="n">
        <f aca="false">$F162</f>
        <v>480</v>
      </c>
      <c r="P162" s="1563" t="n">
        <f aca="false">N162*O162/1000</f>
        <v>9500.89272625554</v>
      </c>
      <c r="Q162" s="1565" t="n">
        <f aca="false">$H162</f>
        <v>2.8019065925346</v>
      </c>
      <c r="R162" s="394" t="n">
        <f aca="false">P162/Q162</f>
        <v>3390.86704445098</v>
      </c>
      <c r="S162" s="1579" t="str">
        <f aca="false">IF(MONTH($A162)=12,SUM(R151:R162)," ")</f>
        <v> </v>
      </c>
      <c r="U162" s="1595" t="n">
        <f aca="false">IF($A162&gt;Endyr,0,VLOOKUP($A162,Tariff_Table,Tariff!$I$33))</f>
        <v>2.32</v>
      </c>
      <c r="V162" s="1565" t="n">
        <f aca="false">D162</f>
        <v>3.22012463567054</v>
      </c>
      <c r="W162" s="1563" t="n">
        <f aca="false">U162*V162</f>
        <v>7.47068915475565</v>
      </c>
      <c r="X162" s="397" t="n">
        <f aca="false">VLOOKUP($A162,Plant_Table,'Plant Operations'!$M$270)</f>
        <v>289336.32</v>
      </c>
      <c r="Y162" s="630" t="n">
        <f aca="false">W162*X162/1000</f>
        <v>2161.54170790091</v>
      </c>
      <c r="Z162" s="1565" t="n">
        <f aca="false">$H162</f>
        <v>2.8019065925346</v>
      </c>
      <c r="AA162" s="1565" t="n">
        <f aca="false">H162</f>
        <v>2.8019065925346</v>
      </c>
      <c r="AB162" s="1609" t="n">
        <f aca="false">W162/AA162</f>
        <v>2.66628772517276</v>
      </c>
      <c r="AC162" s="1566" t="n">
        <f aca="false">Y162/Z162</f>
        <v>771.453878462658</v>
      </c>
      <c r="AD162" s="1567" t="str">
        <f aca="false">IF(MONTH($A162)=12,SUM(AC151:AC162)," ")</f>
        <v> </v>
      </c>
    </row>
    <row r="163" customFormat="false" ht="12.75" hidden="false" customHeight="false" outlineLevel="0" collapsed="false">
      <c r="A163" s="1538" t="n">
        <f aca="false">'Annex 12-Gas'!A163</f>
        <v>41548</v>
      </c>
      <c r="C163" s="1595" t="n">
        <f aca="false">IF($A163&gt;Endyr,0,VLOOKUP($A163,Tariff_Table,Tariff!$G$33))</f>
        <v>7433.43</v>
      </c>
      <c r="D163" s="1565" t="n">
        <f aca="false">VLOOKUP($A163,Curves_Table,Escalation!$AW$291)</f>
        <v>3.22012463567054</v>
      </c>
      <c r="E163" s="1563" t="n">
        <f aca="false">C163*D163</f>
        <v>23936.5710705325</v>
      </c>
      <c r="F163" s="1540" t="n">
        <f aca="false">VLOOKUP($A163,Plant_Table,'Plant Operations'!$C$270)</f>
        <v>480</v>
      </c>
      <c r="G163" s="1563" t="n">
        <f aca="false">E163*F163/1000</f>
        <v>11489.5541138556</v>
      </c>
      <c r="H163" s="1565" t="n">
        <f aca="false">IF(Assm!$L$74=0,VLOOKUP($A163,Curves_Table,Escalation!$D$291),VLOOKUP($A163,Curves_Table,Escalation!$E$291))</f>
        <v>2.80656352568511</v>
      </c>
      <c r="I163" s="394" t="n">
        <f aca="false">G163/H163</f>
        <v>4093.81580310065</v>
      </c>
      <c r="J163" s="1579" t="str">
        <f aca="false">IF(MONTH($A163)=12,SUM(I152:I163)," ")</f>
        <v> </v>
      </c>
      <c r="L163" s="1595" t="n">
        <f aca="false">IF($A163&gt;Endyr,0,VLOOKUP($A163,Tariff_Table,Tariff!$H$33))</f>
        <v>6146.82</v>
      </c>
      <c r="M163" s="1565" t="n">
        <f aca="false">D163</f>
        <v>3.22012463567054</v>
      </c>
      <c r="N163" s="1563" t="n">
        <f aca="false">L163*M163</f>
        <v>19793.5265130324</v>
      </c>
      <c r="O163" s="1540" t="n">
        <f aca="false">$F163</f>
        <v>480</v>
      </c>
      <c r="P163" s="1563" t="n">
        <f aca="false">N163*O163/1000</f>
        <v>9500.89272625554</v>
      </c>
      <c r="Q163" s="1565" t="n">
        <f aca="false">$H163</f>
        <v>2.80656352568511</v>
      </c>
      <c r="R163" s="394" t="n">
        <f aca="false">P163/Q163</f>
        <v>3385.24057599455</v>
      </c>
      <c r="S163" s="1579" t="str">
        <f aca="false">IF(MONTH($A163)=12,SUM(R152:R163)," ")</f>
        <v> </v>
      </c>
      <c r="U163" s="1595" t="n">
        <f aca="false">IF($A163&gt;Endyr,0,VLOOKUP($A163,Tariff_Table,Tariff!$I$33))</f>
        <v>2.32</v>
      </c>
      <c r="V163" s="1565" t="n">
        <f aca="false">D163</f>
        <v>3.22012463567054</v>
      </c>
      <c r="W163" s="1563" t="n">
        <f aca="false">U163*V163</f>
        <v>7.47068915475565</v>
      </c>
      <c r="X163" s="397" t="n">
        <f aca="false">VLOOKUP($A163,Plant_Table,'Plant Operations'!$M$270)</f>
        <v>298980.864</v>
      </c>
      <c r="Y163" s="630" t="n">
        <f aca="false">W163*X163/1000</f>
        <v>2233.59309816427</v>
      </c>
      <c r="Z163" s="1565" t="n">
        <f aca="false">$H163</f>
        <v>2.80656352568511</v>
      </c>
      <c r="AA163" s="1565" t="n">
        <f aca="false">H163</f>
        <v>2.80656352568511</v>
      </c>
      <c r="AB163" s="1609" t="n">
        <f aca="false">W163/AA163</f>
        <v>2.66186355177262</v>
      </c>
      <c r="AC163" s="1566" t="n">
        <f aca="false">Y163/Z163</f>
        <v>795.846264559087</v>
      </c>
      <c r="AD163" s="1567" t="str">
        <f aca="false">IF(MONTH($A163)=12,SUM(AC152:AC163)," ")</f>
        <v> </v>
      </c>
    </row>
    <row r="164" customFormat="false" ht="12.75" hidden="false" customHeight="false" outlineLevel="0" collapsed="false">
      <c r="A164" s="1538" t="n">
        <f aca="false">'Annex 12-Gas'!A164</f>
        <v>41579</v>
      </c>
      <c r="C164" s="1595" t="n">
        <f aca="false">IF($A164&gt;Endyr,0,VLOOKUP($A164,Tariff_Table,Tariff!$G$33))</f>
        <v>7433.43</v>
      </c>
      <c r="D164" s="1565" t="n">
        <f aca="false">VLOOKUP($A164,Curves_Table,Escalation!$AW$291)</f>
        <v>3.22012463567054</v>
      </c>
      <c r="E164" s="1563" t="n">
        <f aca="false">C164*D164</f>
        <v>23936.5710705325</v>
      </c>
      <c r="F164" s="1540" t="n">
        <f aca="false">VLOOKUP($A164,Plant_Table,'Plant Operations'!$C$270)</f>
        <v>480</v>
      </c>
      <c r="G164" s="1563" t="n">
        <f aca="false">E164*F164/1000</f>
        <v>11489.5541138556</v>
      </c>
      <c r="H164" s="1565" t="n">
        <f aca="false">IF(Assm!$L$74=0,VLOOKUP($A164,Curves_Table,Escalation!$D$291),VLOOKUP($A164,Curves_Table,Escalation!$E$291))</f>
        <v>2.81122819893174</v>
      </c>
      <c r="I164" s="394" t="n">
        <f aca="false">G164/H164</f>
        <v>4087.02293119484</v>
      </c>
      <c r="J164" s="1579" t="str">
        <f aca="false">IF(MONTH($A164)=12,SUM(I153:I164)," ")</f>
        <v> </v>
      </c>
      <c r="L164" s="1595" t="n">
        <f aca="false">IF($A164&gt;Endyr,0,VLOOKUP($A164,Tariff_Table,Tariff!$H$33))</f>
        <v>6146.82</v>
      </c>
      <c r="M164" s="1565" t="n">
        <f aca="false">D164</f>
        <v>3.22012463567054</v>
      </c>
      <c r="N164" s="1563" t="n">
        <f aca="false">L164*M164</f>
        <v>19793.5265130324</v>
      </c>
      <c r="O164" s="1540" t="n">
        <f aca="false">$F164</f>
        <v>480</v>
      </c>
      <c r="P164" s="1563" t="n">
        <f aca="false">N164*O164/1000</f>
        <v>9500.89272625554</v>
      </c>
      <c r="Q164" s="1565" t="n">
        <f aca="false">$H164</f>
        <v>2.81122819893174</v>
      </c>
      <c r="R164" s="394" t="n">
        <f aca="false">P164/Q164</f>
        <v>3379.62344354181</v>
      </c>
      <c r="S164" s="1579" t="str">
        <f aca="false">IF(MONTH($A164)=12,SUM(R153:R164)," ")</f>
        <v> </v>
      </c>
      <c r="U164" s="1595" t="n">
        <f aca="false">IF($A164&gt;Endyr,0,VLOOKUP($A164,Tariff_Table,Tariff!$I$33))</f>
        <v>2.32</v>
      </c>
      <c r="V164" s="1565" t="n">
        <f aca="false">D164</f>
        <v>3.22012463567054</v>
      </c>
      <c r="W164" s="1563" t="n">
        <f aca="false">U164*V164</f>
        <v>7.47068915475565</v>
      </c>
      <c r="X164" s="397" t="n">
        <f aca="false">VLOOKUP($A164,Plant_Table,'Plant Operations'!$M$270)</f>
        <v>289336.32</v>
      </c>
      <c r="Y164" s="630" t="n">
        <f aca="false">W164*X164/1000</f>
        <v>2161.54170790091</v>
      </c>
      <c r="Z164" s="1565" t="n">
        <f aca="false">$H164</f>
        <v>2.81122819893174</v>
      </c>
      <c r="AA164" s="1565" t="n">
        <f aca="false">H164</f>
        <v>2.81122819893174</v>
      </c>
      <c r="AB164" s="1609" t="n">
        <f aca="false">W164/AA164</f>
        <v>2.65744671940702</v>
      </c>
      <c r="AC164" s="1566" t="n">
        <f aca="false">Y164/Z164</f>
        <v>768.895854389299</v>
      </c>
      <c r="AD164" s="1567" t="str">
        <f aca="false">IF(MONTH($A164)=12,SUM(AC153:AC164)," ")</f>
        <v> </v>
      </c>
    </row>
    <row r="165" customFormat="false" ht="12.75" hidden="false" customHeight="false" outlineLevel="0" collapsed="false">
      <c r="A165" s="1538" t="n">
        <f aca="false">'Annex 12-Gas'!A165</f>
        <v>41609</v>
      </c>
      <c r="C165" s="1595" t="n">
        <f aca="false">IF($A165&gt;Endyr,0,VLOOKUP($A165,Tariff_Table,Tariff!$G$33))</f>
        <v>7433.43</v>
      </c>
      <c r="D165" s="1565" t="n">
        <f aca="false">VLOOKUP($A165,Curves_Table,Escalation!$AW$291)</f>
        <v>3.22012463567054</v>
      </c>
      <c r="E165" s="1563" t="n">
        <f aca="false">C165*D165</f>
        <v>23936.5710705325</v>
      </c>
      <c r="F165" s="1540" t="n">
        <f aca="false">VLOOKUP($A165,Plant_Table,'Plant Operations'!$C$270)</f>
        <v>480</v>
      </c>
      <c r="G165" s="1563" t="n">
        <f aca="false">E165*F165/1000</f>
        <v>11489.5541138556</v>
      </c>
      <c r="H165" s="1565" t="n">
        <f aca="false">IF(Assm!$L$74=0,VLOOKUP($A165,Curves_Table,Escalation!$D$291),VLOOKUP($A165,Curves_Table,Escalation!$E$291))</f>
        <v>2.81590062513899</v>
      </c>
      <c r="I165" s="394" t="n">
        <f aca="false">G165/H165</f>
        <v>4080.24133070693</v>
      </c>
      <c r="J165" s="1579" t="n">
        <f aca="false">IF(MONTH($A165)=12,SUM(I154:I165)," ")</f>
        <v>48300.6560490687</v>
      </c>
      <c r="L165" s="1595" t="n">
        <f aca="false">IF($A165&gt;Endyr,0,VLOOKUP($A165,Tariff_Table,Tariff!$H$33))</f>
        <v>6146.82</v>
      </c>
      <c r="M165" s="1565" t="n">
        <f aca="false">D165</f>
        <v>3.22012463567054</v>
      </c>
      <c r="N165" s="1563" t="n">
        <f aca="false">L165*M165</f>
        <v>19793.5265130324</v>
      </c>
      <c r="O165" s="1540" t="n">
        <f aca="false">$F165</f>
        <v>480</v>
      </c>
      <c r="P165" s="1563" t="n">
        <f aca="false">N165*O165/1000</f>
        <v>9500.89272625554</v>
      </c>
      <c r="Q165" s="1565" t="n">
        <f aca="false">$H165</f>
        <v>2.81590062513899</v>
      </c>
      <c r="R165" s="394" t="n">
        <f aca="false">P165/Q165</f>
        <v>3374.01563160155</v>
      </c>
      <c r="S165" s="1579" t="n">
        <f aca="false">IF(MONTH($A165)=12,SUM(R154:R165)," ")</f>
        <v>39920.2039866475</v>
      </c>
      <c r="U165" s="1595" t="n">
        <f aca="false">IF($A165&gt;Endyr,0,VLOOKUP($A165,Tariff_Table,Tariff!$I$33))</f>
        <v>2.32</v>
      </c>
      <c r="V165" s="1565" t="n">
        <f aca="false">D165</f>
        <v>3.22012463567054</v>
      </c>
      <c r="W165" s="1563" t="n">
        <f aca="false">U165*V165</f>
        <v>7.47068915475565</v>
      </c>
      <c r="X165" s="397" t="n">
        <f aca="false">VLOOKUP($A165,Plant_Table,'Plant Operations'!$M$270)</f>
        <v>298980.864</v>
      </c>
      <c r="Y165" s="630" t="n">
        <f aca="false">W165*X165/1000</f>
        <v>2233.59309816427</v>
      </c>
      <c r="Z165" s="1565" t="n">
        <f aca="false">$H165</f>
        <v>2.81590062513899</v>
      </c>
      <c r="AA165" s="1565" t="n">
        <f aca="false">H165</f>
        <v>2.81590062513899</v>
      </c>
      <c r="AB165" s="1609" t="n">
        <f aca="false">W165/AA165</f>
        <v>2.65303721589497</v>
      </c>
      <c r="AC165" s="1566" t="n">
        <f aca="false">Y165/Z165</f>
        <v>793.207359032432</v>
      </c>
      <c r="AD165" s="1567" t="n">
        <f aca="false">IF(MONTH($A165)=12,SUM(AC154:AC165)," ")</f>
        <v>9204.57404053185</v>
      </c>
    </row>
    <row r="166" customFormat="false" ht="12.75" hidden="false" customHeight="false" outlineLevel="0" collapsed="false">
      <c r="A166" s="1538" t="n">
        <f aca="false">'Annex 12-Gas'!A166</f>
        <v>41640</v>
      </c>
      <c r="C166" s="1595" t="n">
        <f aca="false">IF($A166&gt;Endyr,0,VLOOKUP($A166,Tariff_Table,Tariff!$G$33))</f>
        <v>7433.43</v>
      </c>
      <c r="D166" s="1565" t="n">
        <f aca="false">VLOOKUP($A166,Curves_Table,Escalation!$AW$291)</f>
        <v>3.22012463567054</v>
      </c>
      <c r="E166" s="1563" t="n">
        <f aca="false">C166*D166</f>
        <v>23936.5710705325</v>
      </c>
      <c r="F166" s="1540" t="n">
        <f aca="false">VLOOKUP($A166,Plant_Table,'Plant Operations'!$C$270)</f>
        <v>480</v>
      </c>
      <c r="G166" s="1563" t="n">
        <f aca="false">E166*F166/1000</f>
        <v>11489.5541138556</v>
      </c>
      <c r="H166" s="1565" t="n">
        <f aca="false">IF(Assm!$L$74=0,VLOOKUP($A166,Curves_Table,Escalation!$D$291),VLOOKUP($A166,Curves_Table,Escalation!$E$291))</f>
        <v>2.82055022749078</v>
      </c>
      <c r="I166" s="394" t="n">
        <f aca="false">G166/H166</f>
        <v>4073.51516093259</v>
      </c>
      <c r="J166" s="1579" t="str">
        <f aca="false">IF(MONTH($A166)=12,SUM(I155:I166)," ")</f>
        <v> </v>
      </c>
      <c r="L166" s="1595" t="n">
        <f aca="false">IF($A166&gt;Endyr,0,VLOOKUP($A166,Tariff_Table,Tariff!$H$33))</f>
        <v>6146.82</v>
      </c>
      <c r="M166" s="1565" t="n">
        <f aca="false">D166</f>
        <v>3.22012463567054</v>
      </c>
      <c r="N166" s="1563" t="n">
        <f aca="false">L166*M166</f>
        <v>19793.5265130324</v>
      </c>
      <c r="O166" s="1540" t="n">
        <f aca="false">$F166</f>
        <v>480</v>
      </c>
      <c r="P166" s="1563" t="n">
        <f aca="false">N166*O166/1000</f>
        <v>9500.89272625554</v>
      </c>
      <c r="Q166" s="1565" t="n">
        <f aca="false">$H166</f>
        <v>2.82055022749078</v>
      </c>
      <c r="R166" s="394" t="n">
        <f aca="false">P166/Q166</f>
        <v>3368.45365618882</v>
      </c>
      <c r="S166" s="1579" t="str">
        <f aca="false">IF(MONTH($A166)=12,SUM(R155:R166)," ")</f>
        <v> </v>
      </c>
      <c r="U166" s="1595" t="n">
        <f aca="false">IF($A166&gt;Endyr,0,VLOOKUP($A166,Tariff_Table,Tariff!$I$33))</f>
        <v>2.32</v>
      </c>
      <c r="V166" s="1565" t="n">
        <f aca="false">D166</f>
        <v>3.22012463567054</v>
      </c>
      <c r="W166" s="1563" t="n">
        <f aca="false">U166*V166</f>
        <v>7.47068915475565</v>
      </c>
      <c r="X166" s="397" t="n">
        <f aca="false">VLOOKUP($A166,Plant_Table,'Plant Operations'!$M$270)</f>
        <v>298980.864</v>
      </c>
      <c r="Y166" s="630" t="n">
        <f aca="false">W166*X166/1000</f>
        <v>2233.59309816427</v>
      </c>
      <c r="Z166" s="1565" t="n">
        <f aca="false">$H166</f>
        <v>2.82055022749078</v>
      </c>
      <c r="AA166" s="1565" t="n">
        <f aca="false">H166</f>
        <v>2.82055022749078</v>
      </c>
      <c r="AB166" s="1609" t="n">
        <f aca="false">W166/AA166</f>
        <v>2.64866375430645</v>
      </c>
      <c r="AC166" s="1566" t="n">
        <f aca="false">Y166/Z166</f>
        <v>791.899777708026</v>
      </c>
      <c r="AD166" s="1567" t="str">
        <f aca="false">IF(MONTH($A166)=12,SUM(AC155:AC166)," ")</f>
        <v> </v>
      </c>
    </row>
    <row r="167" customFormat="false" ht="12.75" hidden="false" customHeight="false" outlineLevel="0" collapsed="false">
      <c r="A167" s="1538" t="n">
        <f aca="false">'Annex 12-Gas'!A167</f>
        <v>41671</v>
      </c>
      <c r="C167" s="1595" t="n">
        <f aca="false">IF($A167&gt;Endyr,0,VLOOKUP($A167,Tariff_Table,Tariff!$G$33))</f>
        <v>7433.43</v>
      </c>
      <c r="D167" s="1565" t="n">
        <f aca="false">VLOOKUP($A167,Curves_Table,Escalation!$AW$291)</f>
        <v>3.22012463567054</v>
      </c>
      <c r="E167" s="1563" t="n">
        <f aca="false">C167*D167</f>
        <v>23936.5710705325</v>
      </c>
      <c r="F167" s="1540" t="n">
        <f aca="false">VLOOKUP($A167,Plant_Table,'Plant Operations'!$C$270)</f>
        <v>480</v>
      </c>
      <c r="G167" s="1563" t="n">
        <f aca="false">E167*F167/1000</f>
        <v>11489.5541138556</v>
      </c>
      <c r="H167" s="1565" t="n">
        <f aca="false">IF(Assm!$L$74=0,VLOOKUP($A167,Curves_Table,Escalation!$D$291),VLOOKUP($A167,Curves_Table,Escalation!$E$291))</f>
        <v>2.82520750724491</v>
      </c>
      <c r="I167" s="394" t="n">
        <f aca="false">G167/H167</f>
        <v>4066.800079071</v>
      </c>
      <c r="J167" s="1579" t="str">
        <f aca="false">IF(MONTH($A167)=12,SUM(I156:I167)," ")</f>
        <v> </v>
      </c>
      <c r="L167" s="1595" t="n">
        <f aca="false">IF($A167&gt;Endyr,0,VLOOKUP($A167,Tariff_Table,Tariff!$H$33))</f>
        <v>6146.82</v>
      </c>
      <c r="M167" s="1565" t="n">
        <f aca="false">D167</f>
        <v>3.22012463567054</v>
      </c>
      <c r="N167" s="1563" t="n">
        <f aca="false">L167*M167</f>
        <v>19793.5265130324</v>
      </c>
      <c r="O167" s="1540" t="n">
        <f aca="false">$F167</f>
        <v>480</v>
      </c>
      <c r="P167" s="1563" t="n">
        <f aca="false">N167*O167/1000</f>
        <v>9500.89272625554</v>
      </c>
      <c r="Q167" s="1565" t="n">
        <f aca="false">$H167</f>
        <v>2.82520750724491</v>
      </c>
      <c r="R167" s="394" t="n">
        <f aca="false">P167/Q167</f>
        <v>3362.90084954526</v>
      </c>
      <c r="S167" s="1579" t="str">
        <f aca="false">IF(MONTH($A167)=12,SUM(R156:R167)," ")</f>
        <v> </v>
      </c>
      <c r="U167" s="1595" t="n">
        <f aca="false">IF($A167&gt;Endyr,0,VLOOKUP($A167,Tariff_Table,Tariff!$I$33))</f>
        <v>2.32</v>
      </c>
      <c r="V167" s="1565" t="n">
        <f aca="false">D167</f>
        <v>3.22012463567054</v>
      </c>
      <c r="W167" s="1563" t="n">
        <f aca="false">U167*V167</f>
        <v>7.47068915475565</v>
      </c>
      <c r="X167" s="397" t="n">
        <f aca="false">VLOOKUP($A167,Plant_Table,'Plant Operations'!$M$270)</f>
        <v>270047.232</v>
      </c>
      <c r="Y167" s="630" t="n">
        <f aca="false">W167*X167/1000</f>
        <v>2017.43892737418</v>
      </c>
      <c r="Z167" s="1565" t="n">
        <f aca="false">$H167</f>
        <v>2.82520750724491</v>
      </c>
      <c r="AA167" s="1565" t="n">
        <f aca="false">H167</f>
        <v>2.82520750724491</v>
      </c>
      <c r="AB167" s="1609" t="n">
        <f aca="false">W167/AA167</f>
        <v>2.64429750225354</v>
      </c>
      <c r="AC167" s="1566" t="n">
        <f aca="false">Y167/Z167</f>
        <v>714.085221068081</v>
      </c>
      <c r="AD167" s="1567" t="str">
        <f aca="false">IF(MONTH($A167)=12,SUM(AC156:AC167)," ")</f>
        <v> </v>
      </c>
    </row>
    <row r="168" customFormat="false" ht="12.75" hidden="false" customHeight="false" outlineLevel="0" collapsed="false">
      <c r="A168" s="1538" t="n">
        <f aca="false">'Annex 12-Gas'!A168</f>
        <v>41699</v>
      </c>
      <c r="C168" s="1595" t="n">
        <f aca="false">IF($A168&gt;Endyr,0,VLOOKUP($A168,Tariff_Table,Tariff!$G$33))</f>
        <v>7433.43</v>
      </c>
      <c r="D168" s="1565" t="n">
        <f aca="false">VLOOKUP($A168,Curves_Table,Escalation!$AW$291)</f>
        <v>3.22012463567054</v>
      </c>
      <c r="E168" s="1563" t="n">
        <f aca="false">C168*D168</f>
        <v>23936.5710705325</v>
      </c>
      <c r="F168" s="1540" t="n">
        <f aca="false">VLOOKUP($A168,Plant_Table,'Plant Operations'!$C$270)</f>
        <v>480</v>
      </c>
      <c r="G168" s="1563" t="n">
        <f aca="false">E168*F168/1000</f>
        <v>11489.5541138556</v>
      </c>
      <c r="H168" s="1565" t="n">
        <f aca="false">IF(Assm!$L$74=0,VLOOKUP($A168,Curves_Table,Escalation!$D$291),VLOOKUP($A168,Curves_Table,Escalation!$E$291))</f>
        <v>2.82987247707826</v>
      </c>
      <c r="I168" s="394" t="n">
        <f aca="false">G168/H168</f>
        <v>4060.09606684402</v>
      </c>
      <c r="J168" s="1579" t="str">
        <f aca="false">IF(MONTH($A168)=12,SUM(I157:I168)," ")</f>
        <v> </v>
      </c>
      <c r="L168" s="1595" t="n">
        <f aca="false">IF($A168&gt;Endyr,0,VLOOKUP($A168,Tariff_Table,Tariff!$H$33))</f>
        <v>6146.82</v>
      </c>
      <c r="M168" s="1565" t="n">
        <f aca="false">D168</f>
        <v>3.22012463567054</v>
      </c>
      <c r="N168" s="1563" t="n">
        <f aca="false">L168*M168</f>
        <v>19793.5265130324</v>
      </c>
      <c r="O168" s="1540" t="n">
        <f aca="false">$F168</f>
        <v>480</v>
      </c>
      <c r="P168" s="1563" t="n">
        <f aca="false">N168*O168/1000</f>
        <v>9500.89272625554</v>
      </c>
      <c r="Q168" s="1565" t="n">
        <f aca="false">$H168</f>
        <v>2.82987247707826</v>
      </c>
      <c r="R168" s="394" t="n">
        <f aca="false">P168/Q168</f>
        <v>3357.35719655639</v>
      </c>
      <c r="S168" s="1579" t="str">
        <f aca="false">IF(MONTH($A168)=12,SUM(R157:R168)," ")</f>
        <v> </v>
      </c>
      <c r="U168" s="1595" t="n">
        <f aca="false">IF($A168&gt;Endyr,0,VLOOKUP($A168,Tariff_Table,Tariff!$I$33))</f>
        <v>2.32</v>
      </c>
      <c r="V168" s="1565" t="n">
        <f aca="false">D168</f>
        <v>3.22012463567054</v>
      </c>
      <c r="W168" s="1563" t="n">
        <f aca="false">U168*V168</f>
        <v>7.47068915475565</v>
      </c>
      <c r="X168" s="397" t="n">
        <f aca="false">VLOOKUP($A168,Plant_Table,'Plant Operations'!$M$270)</f>
        <v>298980.864</v>
      </c>
      <c r="Y168" s="630" t="n">
        <f aca="false">W168*X168/1000</f>
        <v>2233.59309816427</v>
      </c>
      <c r="Z168" s="1565" t="n">
        <f aca="false">$H168</f>
        <v>2.82987247707826</v>
      </c>
      <c r="AA168" s="1565" t="n">
        <f aca="false">H168</f>
        <v>2.82987247707826</v>
      </c>
      <c r="AB168" s="1609" t="n">
        <f aca="false">W168/AA168</f>
        <v>2.6399384478515</v>
      </c>
      <c r="AC168" s="1566" t="n">
        <f aca="false">Y168/Z168</f>
        <v>789.29107804546</v>
      </c>
      <c r="AD168" s="1567" t="str">
        <f aca="false">IF(MONTH($A168)=12,SUM(AC157:AC168)," ")</f>
        <v> </v>
      </c>
    </row>
    <row r="169" customFormat="false" ht="12.75" hidden="false" customHeight="false" outlineLevel="0" collapsed="false">
      <c r="A169" s="1538" t="n">
        <f aca="false">'Annex 12-Gas'!A169</f>
        <v>41730</v>
      </c>
      <c r="C169" s="1595" t="n">
        <f aca="false">IF($A169&gt;Endyr,0,VLOOKUP($A169,Tariff_Table,Tariff!$G$33))</f>
        <v>7433.43</v>
      </c>
      <c r="D169" s="1565" t="n">
        <f aca="false">VLOOKUP($A169,Curves_Table,Escalation!$AW$291)</f>
        <v>3.22012463567054</v>
      </c>
      <c r="E169" s="1563" t="n">
        <f aca="false">C169*D169</f>
        <v>23936.5710705325</v>
      </c>
      <c r="F169" s="1540" t="n">
        <f aca="false">VLOOKUP($A169,Plant_Table,'Plant Operations'!$C$270)</f>
        <v>480</v>
      </c>
      <c r="G169" s="1563" t="n">
        <f aca="false">E169*F169/1000</f>
        <v>11489.5541138556</v>
      </c>
      <c r="H169" s="1565" t="n">
        <f aca="false">IF(Assm!$L$74=0,VLOOKUP($A169,Curves_Table,Escalation!$D$291),VLOOKUP($A169,Curves_Table,Escalation!$E$291))</f>
        <v>2.83454514968866</v>
      </c>
      <c r="I169" s="394" t="n">
        <f aca="false">G169/H169</f>
        <v>4053.40310600365</v>
      </c>
      <c r="J169" s="1579" t="str">
        <f aca="false">IF(MONTH($A169)=12,SUM(I158:I169)," ")</f>
        <v> </v>
      </c>
      <c r="L169" s="1595" t="n">
        <f aca="false">IF($A169&gt;Endyr,0,VLOOKUP($A169,Tariff_Table,Tariff!$H$33))</f>
        <v>6146.82</v>
      </c>
      <c r="M169" s="1565" t="n">
        <f aca="false">D169</f>
        <v>3.22012463567054</v>
      </c>
      <c r="N169" s="1563" t="n">
        <f aca="false">L169*M169</f>
        <v>19793.5265130324</v>
      </c>
      <c r="O169" s="1540" t="n">
        <f aca="false">$F169</f>
        <v>480</v>
      </c>
      <c r="P169" s="1563" t="n">
        <f aca="false">N169*O169/1000</f>
        <v>9500.89272625554</v>
      </c>
      <c r="Q169" s="1565" t="n">
        <f aca="false">$H169</f>
        <v>2.83454514968866</v>
      </c>
      <c r="R169" s="394" t="n">
        <f aca="false">P169/Q169</f>
        <v>3351.82268213265</v>
      </c>
      <c r="S169" s="1579" t="str">
        <f aca="false">IF(MONTH($A169)=12,SUM(R158:R169)," ")</f>
        <v> </v>
      </c>
      <c r="U169" s="1595" t="n">
        <f aca="false">IF($A169&gt;Endyr,0,VLOOKUP($A169,Tariff_Table,Tariff!$I$33))</f>
        <v>2.32</v>
      </c>
      <c r="V169" s="1565" t="n">
        <f aca="false">D169</f>
        <v>3.22012463567054</v>
      </c>
      <c r="W169" s="1563" t="n">
        <f aca="false">U169*V169</f>
        <v>7.47068915475565</v>
      </c>
      <c r="X169" s="397" t="n">
        <f aca="false">VLOOKUP($A169,Plant_Table,'Plant Operations'!$M$270)</f>
        <v>289336.32</v>
      </c>
      <c r="Y169" s="630" t="n">
        <f aca="false">W169*X169/1000</f>
        <v>2161.54170790091</v>
      </c>
      <c r="Z169" s="1565" t="n">
        <f aca="false">$H169</f>
        <v>2.83454514968866</v>
      </c>
      <c r="AA169" s="1565" t="n">
        <f aca="false">H169</f>
        <v>2.83454514968866</v>
      </c>
      <c r="AB169" s="1609" t="n">
        <f aca="false">W169/AA169</f>
        <v>2.6355865792352</v>
      </c>
      <c r="AC169" s="1566" t="n">
        <f aca="false">Y169/Z169</f>
        <v>762.570921877301</v>
      </c>
      <c r="AD169" s="1567" t="str">
        <f aca="false">IF(MONTH($A169)=12,SUM(AC158:AC169)," ")</f>
        <v> </v>
      </c>
    </row>
    <row r="170" customFormat="false" ht="12.75" hidden="false" customHeight="false" outlineLevel="0" collapsed="false">
      <c r="A170" s="1538" t="n">
        <f aca="false">'Annex 12-Gas'!A170</f>
        <v>41760</v>
      </c>
      <c r="C170" s="1595" t="n">
        <f aca="false">IF($A170&gt;Endyr,0,VLOOKUP($A170,Tariff_Table,Tariff!$G$33))</f>
        <v>7424.62</v>
      </c>
      <c r="D170" s="1565" t="n">
        <f aca="false">VLOOKUP($A170,Curves_Table,Escalation!$AW$291)</f>
        <v>3.44553336016748</v>
      </c>
      <c r="E170" s="1563" t="n">
        <f aca="false">C170*D170</f>
        <v>25581.7758965666</v>
      </c>
      <c r="F170" s="1540" t="n">
        <f aca="false">VLOOKUP($A170,Plant_Table,'Plant Operations'!$C$270)</f>
        <v>480</v>
      </c>
      <c r="G170" s="1563" t="n">
        <f aca="false">E170*F170/1000</f>
        <v>12279.252430352</v>
      </c>
      <c r="H170" s="1565" t="n">
        <f aca="false">IF(Assm!$L$74=0,VLOOKUP($A170,Curves_Table,Escalation!$D$291),VLOOKUP($A170,Curves_Table,Escalation!$E$291))</f>
        <v>2.8392255377949</v>
      </c>
      <c r="I170" s="394" t="n">
        <f aca="false">G170/H170</f>
        <v>4324.85981366903</v>
      </c>
      <c r="J170" s="1579" t="str">
        <f aca="false">IF(MONTH($A170)=12,SUM(I159:I170)," ")</f>
        <v> </v>
      </c>
      <c r="L170" s="1595" t="n">
        <f aca="false">IF($A170&gt;Endyr,0,VLOOKUP($A170,Tariff_Table,Tariff!$H$33))</f>
        <v>6118.02</v>
      </c>
      <c r="M170" s="1565" t="n">
        <f aca="false">D170</f>
        <v>3.44553336016748</v>
      </c>
      <c r="N170" s="1563" t="n">
        <f aca="false">L170*M170</f>
        <v>21079.8420081718</v>
      </c>
      <c r="O170" s="1540" t="n">
        <f aca="false">$F170</f>
        <v>480</v>
      </c>
      <c r="P170" s="1563" t="n">
        <f aca="false">N170*O170/1000</f>
        <v>10118.3241639225</v>
      </c>
      <c r="Q170" s="1565" t="n">
        <f aca="false">$H170</f>
        <v>2.8392255377949</v>
      </c>
      <c r="R170" s="394" t="n">
        <f aca="false">P170/Q170</f>
        <v>3563.76202919791</v>
      </c>
      <c r="S170" s="1579" t="str">
        <f aca="false">IF(MONTH($A170)=12,SUM(R159:R170)," ")</f>
        <v> </v>
      </c>
      <c r="U170" s="1595" t="n">
        <f aca="false">IF($A170&gt;Endyr,0,VLOOKUP($A170,Tariff_Table,Tariff!$I$33))</f>
        <v>2.31</v>
      </c>
      <c r="V170" s="1565" t="n">
        <f aca="false">D170</f>
        <v>3.44553336016748</v>
      </c>
      <c r="W170" s="1563" t="n">
        <f aca="false">U170*V170</f>
        <v>7.95918206198687</v>
      </c>
      <c r="X170" s="397" t="n">
        <f aca="false">VLOOKUP($A170,Plant_Table,'Plant Operations'!$M$270)</f>
        <v>298980.864</v>
      </c>
      <c r="Y170" s="630" t="n">
        <f aca="false">W170*X170/1000</f>
        <v>2379.64312962614</v>
      </c>
      <c r="Z170" s="1565" t="n">
        <f aca="false">$H170</f>
        <v>2.8392255377949</v>
      </c>
      <c r="AA170" s="1565" t="n">
        <f aca="false">H170</f>
        <v>2.8392255377949</v>
      </c>
      <c r="AB170" s="1609" t="n">
        <f aca="false">W170/AA170</f>
        <v>2.80329334744165</v>
      </c>
      <c r="AC170" s="1566" t="n">
        <f aca="false">Y170/Z170</f>
        <v>838.131067063556</v>
      </c>
      <c r="AD170" s="1567" t="str">
        <f aca="false">IF(MONTH($A170)=12,SUM(AC159:AC170)," ")</f>
        <v> </v>
      </c>
    </row>
    <row r="171" customFormat="false" ht="12.75" hidden="false" customHeight="false" outlineLevel="0" collapsed="false">
      <c r="A171" s="1538" t="n">
        <f aca="false">'Annex 12-Gas'!A171</f>
        <v>41791</v>
      </c>
      <c r="C171" s="1595" t="n">
        <f aca="false">IF($A171&gt;Endyr,0,VLOOKUP($A171,Tariff_Table,Tariff!$G$33))</f>
        <v>7424.62</v>
      </c>
      <c r="D171" s="1565" t="n">
        <f aca="false">VLOOKUP($A171,Curves_Table,Escalation!$AW$291)</f>
        <v>3.44553336016748</v>
      </c>
      <c r="E171" s="1563" t="n">
        <f aca="false">C171*D171</f>
        <v>25581.7758965666</v>
      </c>
      <c r="F171" s="1540" t="n">
        <f aca="false">VLOOKUP($A171,Plant_Table,'Plant Operations'!$C$270)</f>
        <v>480</v>
      </c>
      <c r="G171" s="1563" t="n">
        <f aca="false">E171*F171/1000</f>
        <v>12279.252430352</v>
      </c>
      <c r="H171" s="1565" t="n">
        <f aca="false">IF(Assm!$L$74=0,VLOOKUP($A171,Curves_Table,Escalation!$D$291),VLOOKUP($A171,Curves_Table,Escalation!$E$291))</f>
        <v>2.84391365413677</v>
      </c>
      <c r="I171" s="394" t="n">
        <f aca="false">G171/H171</f>
        <v>4317.73039680391</v>
      </c>
      <c r="J171" s="1579" t="str">
        <f aca="false">IF(MONTH($A171)=12,SUM(I160:I171)," ")</f>
        <v> </v>
      </c>
      <c r="L171" s="1595" t="n">
        <f aca="false">IF($A171&gt;Endyr,0,VLOOKUP($A171,Tariff_Table,Tariff!$H$33))</f>
        <v>6118.02</v>
      </c>
      <c r="M171" s="1565" t="n">
        <f aca="false">D171</f>
        <v>3.44553336016748</v>
      </c>
      <c r="N171" s="1563" t="n">
        <f aca="false">L171*M171</f>
        <v>21079.8420081718</v>
      </c>
      <c r="O171" s="1540" t="n">
        <f aca="false">$F171</f>
        <v>480</v>
      </c>
      <c r="P171" s="1563" t="n">
        <f aca="false">N171*O171/1000</f>
        <v>10118.3241639225</v>
      </c>
      <c r="Q171" s="1565" t="n">
        <f aca="false">$H171</f>
        <v>2.84391365413677</v>
      </c>
      <c r="R171" s="394" t="n">
        <f aca="false">P171/Q171</f>
        <v>3557.88726187391</v>
      </c>
      <c r="S171" s="1579" t="str">
        <f aca="false">IF(MONTH($A171)=12,SUM(R160:R171)," ")</f>
        <v> </v>
      </c>
      <c r="U171" s="1595" t="n">
        <f aca="false">IF($A171&gt;Endyr,0,VLOOKUP($A171,Tariff_Table,Tariff!$I$33))</f>
        <v>2.31</v>
      </c>
      <c r="V171" s="1565" t="n">
        <f aca="false">D171</f>
        <v>3.44553336016748</v>
      </c>
      <c r="W171" s="1563" t="n">
        <f aca="false">U171*V171</f>
        <v>7.95918206198687</v>
      </c>
      <c r="X171" s="397" t="n">
        <f aca="false">VLOOKUP($A171,Plant_Table,'Plant Operations'!$M$270)</f>
        <v>289336.32</v>
      </c>
      <c r="Y171" s="630" t="n">
        <f aca="false">W171*X171/1000</f>
        <v>2302.88044802529</v>
      </c>
      <c r="Z171" s="1565" t="n">
        <f aca="false">$H171</f>
        <v>2.84391365413677</v>
      </c>
      <c r="AA171" s="1565" t="n">
        <f aca="false">H171</f>
        <v>2.84391365413677</v>
      </c>
      <c r="AB171" s="1609" t="n">
        <f aca="false">W171/AA171</f>
        <v>2.79867219259959</v>
      </c>
      <c r="AC171" s="1566" t="n">
        <f aca="false">Y171/Z171</f>
        <v>809.757513093098</v>
      </c>
      <c r="AD171" s="1567" t="str">
        <f aca="false">IF(MONTH($A171)=12,SUM(AC160:AC171)," ")</f>
        <v> </v>
      </c>
    </row>
    <row r="172" customFormat="false" ht="12.75" hidden="false" customHeight="false" outlineLevel="0" collapsed="false">
      <c r="A172" s="1538" t="n">
        <f aca="false">'Annex 12-Gas'!A172</f>
        <v>41821</v>
      </c>
      <c r="C172" s="1595" t="n">
        <f aca="false">IF($A172&gt;Endyr,0,VLOOKUP($A172,Tariff_Table,Tariff!$G$33))</f>
        <v>7424.62</v>
      </c>
      <c r="D172" s="1565" t="n">
        <f aca="false">VLOOKUP($A172,Curves_Table,Escalation!$AW$291)</f>
        <v>3.44553336016748</v>
      </c>
      <c r="E172" s="1563" t="n">
        <f aca="false">C172*D172</f>
        <v>25581.7758965666</v>
      </c>
      <c r="F172" s="1540" t="n">
        <f aca="false">VLOOKUP($A172,Plant_Table,'Plant Operations'!$C$270)</f>
        <v>480</v>
      </c>
      <c r="G172" s="1563" t="n">
        <f aca="false">E172*F172/1000</f>
        <v>12279.252430352</v>
      </c>
      <c r="H172" s="1565" t="n">
        <f aca="false">IF(Assm!$L$74=0,VLOOKUP($A172,Curves_Table,Escalation!$D$291),VLOOKUP($A172,Curves_Table,Escalation!$E$291))</f>
        <v>2.8486095114751</v>
      </c>
      <c r="I172" s="394" t="n">
        <f aca="false">G172/H172</f>
        <v>4310.61273259367</v>
      </c>
      <c r="J172" s="1579" t="str">
        <f aca="false">IF(MONTH($A172)=12,SUM(I161:I172)," ")</f>
        <v> </v>
      </c>
      <c r="L172" s="1595" t="n">
        <f aca="false">IF($A172&gt;Endyr,0,VLOOKUP($A172,Tariff_Table,Tariff!$H$33))</f>
        <v>6118.02</v>
      </c>
      <c r="M172" s="1565" t="n">
        <f aca="false">D172</f>
        <v>3.44553336016748</v>
      </c>
      <c r="N172" s="1563" t="n">
        <f aca="false">L172*M172</f>
        <v>21079.8420081718</v>
      </c>
      <c r="O172" s="1540" t="n">
        <f aca="false">$F172</f>
        <v>480</v>
      </c>
      <c r="P172" s="1563" t="n">
        <f aca="false">N172*O172/1000</f>
        <v>10118.3241639225</v>
      </c>
      <c r="Q172" s="1565" t="n">
        <f aca="false">$H172</f>
        <v>2.8486095114751</v>
      </c>
      <c r="R172" s="394" t="n">
        <f aca="false">P172/Q172</f>
        <v>3552.02217894825</v>
      </c>
      <c r="S172" s="1579" t="str">
        <f aca="false">IF(MONTH($A172)=12,SUM(R161:R172)," ")</f>
        <v> </v>
      </c>
      <c r="U172" s="1595" t="n">
        <f aca="false">IF($A172&gt;Endyr,0,VLOOKUP($A172,Tariff_Table,Tariff!$I$33))</f>
        <v>2.31</v>
      </c>
      <c r="V172" s="1565" t="n">
        <f aca="false">D172</f>
        <v>3.44553336016748</v>
      </c>
      <c r="W172" s="1563" t="n">
        <f aca="false">U172*V172</f>
        <v>7.95918206198687</v>
      </c>
      <c r="X172" s="397" t="n">
        <f aca="false">VLOOKUP($A172,Plant_Table,'Plant Operations'!$M$270)</f>
        <v>298980.864</v>
      </c>
      <c r="Y172" s="630" t="n">
        <f aca="false">W172*X172/1000</f>
        <v>2379.64312962614</v>
      </c>
      <c r="Z172" s="1565" t="n">
        <f aca="false">$H172</f>
        <v>2.8486095114751</v>
      </c>
      <c r="AA172" s="1565" t="n">
        <f aca="false">H172</f>
        <v>2.8486095114751</v>
      </c>
      <c r="AB172" s="1609" t="n">
        <f aca="false">W172/AA172</f>
        <v>2.79405865560891</v>
      </c>
      <c r="AC172" s="1566" t="n">
        <f aca="false">Y172/Z172</f>
        <v>835.370070920631</v>
      </c>
      <c r="AD172" s="1567" t="str">
        <f aca="false">IF(MONTH($A172)=12,SUM(AC161:AC172)," ")</f>
        <v> </v>
      </c>
    </row>
    <row r="173" customFormat="false" ht="12.75" hidden="false" customHeight="false" outlineLevel="0" collapsed="false">
      <c r="A173" s="1538" t="n">
        <f aca="false">'Annex 12-Gas'!A173</f>
        <v>41852</v>
      </c>
      <c r="C173" s="1595" t="n">
        <f aca="false">IF($A173&gt;Endyr,0,VLOOKUP($A173,Tariff_Table,Tariff!$G$33))</f>
        <v>7424.62</v>
      </c>
      <c r="D173" s="1565" t="n">
        <f aca="false">VLOOKUP($A173,Curves_Table,Escalation!$AW$291)</f>
        <v>3.44553336016748</v>
      </c>
      <c r="E173" s="1563" t="n">
        <f aca="false">C173*D173</f>
        <v>25581.7758965666</v>
      </c>
      <c r="F173" s="1540" t="n">
        <f aca="false">VLOOKUP($A173,Plant_Table,'Plant Operations'!$C$270)</f>
        <v>480</v>
      </c>
      <c r="G173" s="1563" t="n">
        <f aca="false">E173*F173/1000</f>
        <v>12279.252430352</v>
      </c>
      <c r="H173" s="1565" t="n">
        <f aca="false">IF(Assm!$L$74=0,VLOOKUP($A173,Curves_Table,Escalation!$D$291),VLOOKUP($A173,Curves_Table,Escalation!$E$291))</f>
        <v>2.85331312259178</v>
      </c>
      <c r="I173" s="394" t="n">
        <f aca="false">G173/H173</f>
        <v>4303.50680166439</v>
      </c>
      <c r="J173" s="1579" t="str">
        <f aca="false">IF(MONTH($A173)=12,SUM(I162:I173)," ")</f>
        <v> </v>
      </c>
      <c r="L173" s="1595" t="n">
        <f aca="false">IF($A173&gt;Endyr,0,VLOOKUP($A173,Tariff_Table,Tariff!$H$33))</f>
        <v>6118.02</v>
      </c>
      <c r="M173" s="1565" t="n">
        <f aca="false">D173</f>
        <v>3.44553336016748</v>
      </c>
      <c r="N173" s="1563" t="n">
        <f aca="false">L173*M173</f>
        <v>21079.8420081718</v>
      </c>
      <c r="O173" s="1540" t="n">
        <f aca="false">$F173</f>
        <v>480</v>
      </c>
      <c r="P173" s="1563" t="n">
        <f aca="false">N173*O173/1000</f>
        <v>10118.3241639225</v>
      </c>
      <c r="Q173" s="1565" t="n">
        <f aca="false">$H173</f>
        <v>2.85331312259178</v>
      </c>
      <c r="R173" s="394" t="n">
        <f aca="false">P173/Q173</f>
        <v>3546.16676445646</v>
      </c>
      <c r="S173" s="1579" t="str">
        <f aca="false">IF(MONTH($A173)=12,SUM(R162:R173)," ")</f>
        <v> </v>
      </c>
      <c r="U173" s="1595" t="n">
        <f aca="false">IF($A173&gt;Endyr,0,VLOOKUP($A173,Tariff_Table,Tariff!$I$33))</f>
        <v>2.31</v>
      </c>
      <c r="V173" s="1565" t="n">
        <f aca="false">D173</f>
        <v>3.44553336016748</v>
      </c>
      <c r="W173" s="1563" t="n">
        <f aca="false">U173*V173</f>
        <v>7.95918206198687</v>
      </c>
      <c r="X173" s="397" t="n">
        <f aca="false">VLOOKUP($A173,Plant_Table,'Plant Operations'!$M$270)</f>
        <v>298980.864</v>
      </c>
      <c r="Y173" s="630" t="n">
        <f aca="false">W173*X173/1000</f>
        <v>2379.64312962614</v>
      </c>
      <c r="Z173" s="1565" t="n">
        <f aca="false">$H173</f>
        <v>2.85331312259178</v>
      </c>
      <c r="AA173" s="1565" t="n">
        <f aca="false">H173</f>
        <v>2.85331312259178</v>
      </c>
      <c r="AB173" s="1609" t="n">
        <f aca="false">W173/AA173</f>
        <v>2.78945272391178</v>
      </c>
      <c r="AC173" s="1566" t="n">
        <f aca="false">Y173/Z173</f>
        <v>833.992985482296</v>
      </c>
      <c r="AD173" s="1567" t="str">
        <f aca="false">IF(MONTH($A173)=12,SUM(AC162:AC173)," ")</f>
        <v> </v>
      </c>
    </row>
    <row r="174" customFormat="false" ht="12.75" hidden="false" customHeight="false" outlineLevel="0" collapsed="false">
      <c r="A174" s="1538" t="n">
        <f aca="false">'Annex 12-Gas'!A174</f>
        <v>41883</v>
      </c>
      <c r="C174" s="1595" t="n">
        <f aca="false">IF($A174&gt;Endyr,0,VLOOKUP($A174,Tariff_Table,Tariff!$G$33))</f>
        <v>7424.62</v>
      </c>
      <c r="D174" s="1565" t="n">
        <f aca="false">VLOOKUP($A174,Curves_Table,Escalation!$AW$291)</f>
        <v>3.44553336016748</v>
      </c>
      <c r="E174" s="1563" t="n">
        <f aca="false">C174*D174</f>
        <v>25581.7758965666</v>
      </c>
      <c r="F174" s="1540" t="n">
        <f aca="false">VLOOKUP($A174,Plant_Table,'Plant Operations'!$C$270)</f>
        <v>480</v>
      </c>
      <c r="G174" s="1563" t="n">
        <f aca="false">E174*F174/1000</f>
        <v>12279.252430352</v>
      </c>
      <c r="H174" s="1565" t="n">
        <f aca="false">IF(Assm!$L$74=0,VLOOKUP($A174,Curves_Table,Escalation!$D$291),VLOOKUP($A174,Curves_Table,Escalation!$E$291))</f>
        <v>2.85802450028983</v>
      </c>
      <c r="I174" s="394" t="n">
        <f aca="false">G174/H174</f>
        <v>4296.41258467405</v>
      </c>
      <c r="J174" s="1579" t="str">
        <f aca="false">IF(MONTH($A174)=12,SUM(I163:I174)," ")</f>
        <v> </v>
      </c>
      <c r="L174" s="1595" t="n">
        <f aca="false">IF($A174&gt;Endyr,0,VLOOKUP($A174,Tariff_Table,Tariff!$H$33))</f>
        <v>6118.02</v>
      </c>
      <c r="M174" s="1565" t="n">
        <f aca="false">D174</f>
        <v>3.44553336016748</v>
      </c>
      <c r="N174" s="1563" t="n">
        <f aca="false">L174*M174</f>
        <v>21079.8420081718</v>
      </c>
      <c r="O174" s="1540" t="n">
        <f aca="false">$F174</f>
        <v>480</v>
      </c>
      <c r="P174" s="1563" t="n">
        <f aca="false">N174*O174/1000</f>
        <v>10118.3241639225</v>
      </c>
      <c r="Q174" s="1565" t="n">
        <f aca="false">$H174</f>
        <v>2.85802450028983</v>
      </c>
      <c r="R174" s="394" t="n">
        <f aca="false">P174/Q174</f>
        <v>3540.3210024604</v>
      </c>
      <c r="S174" s="1579" t="str">
        <f aca="false">IF(MONTH($A174)=12,SUM(R163:R174)," ")</f>
        <v> </v>
      </c>
      <c r="U174" s="1595" t="n">
        <f aca="false">IF($A174&gt;Endyr,0,VLOOKUP($A174,Tariff_Table,Tariff!$I$33))</f>
        <v>2.31</v>
      </c>
      <c r="V174" s="1565" t="n">
        <f aca="false">D174</f>
        <v>3.44553336016748</v>
      </c>
      <c r="W174" s="1563" t="n">
        <f aca="false">U174*V174</f>
        <v>7.95918206198687</v>
      </c>
      <c r="X174" s="397" t="n">
        <f aca="false">VLOOKUP($A174,Plant_Table,'Plant Operations'!$M$270)</f>
        <v>289336.32</v>
      </c>
      <c r="Y174" s="630" t="n">
        <f aca="false">W174*X174/1000</f>
        <v>2302.88044802529</v>
      </c>
      <c r="Z174" s="1565" t="n">
        <f aca="false">$H174</f>
        <v>2.85802450028983</v>
      </c>
      <c r="AA174" s="1565" t="n">
        <f aca="false">H174</f>
        <v>2.85802450028983</v>
      </c>
      <c r="AB174" s="1609" t="n">
        <f aca="false">W174/AA174</f>
        <v>2.78485438497106</v>
      </c>
      <c r="AC174" s="1566" t="n">
        <f aca="false">Y174/Z174</f>
        <v>805.75951948339</v>
      </c>
      <c r="AD174" s="1567" t="str">
        <f aca="false">IF(MONTH($A174)=12,SUM(AC163:AC174)," ")</f>
        <v> </v>
      </c>
    </row>
    <row r="175" customFormat="false" ht="12.75" hidden="false" customHeight="false" outlineLevel="0" collapsed="false">
      <c r="A175" s="1538" t="n">
        <f aca="false">'Annex 12-Gas'!A175</f>
        <v>41913</v>
      </c>
      <c r="C175" s="1595" t="n">
        <f aca="false">IF($A175&gt;Endyr,0,VLOOKUP($A175,Tariff_Table,Tariff!$G$33))</f>
        <v>7424.62</v>
      </c>
      <c r="D175" s="1565" t="n">
        <f aca="false">VLOOKUP($A175,Curves_Table,Escalation!$AW$291)</f>
        <v>3.44553336016748</v>
      </c>
      <c r="E175" s="1563" t="n">
        <f aca="false">C175*D175</f>
        <v>25581.7758965666</v>
      </c>
      <c r="F175" s="1540" t="n">
        <f aca="false">VLOOKUP($A175,Plant_Table,'Plant Operations'!$C$270)</f>
        <v>480</v>
      </c>
      <c r="G175" s="1563" t="n">
        <f aca="false">E175*F175/1000</f>
        <v>12279.252430352</v>
      </c>
      <c r="H175" s="1565" t="n">
        <f aca="false">IF(Assm!$L$74=0,VLOOKUP($A175,Curves_Table,Escalation!$D$291),VLOOKUP($A175,Curves_Table,Escalation!$E$291))</f>
        <v>2.86274365739339</v>
      </c>
      <c r="I175" s="394" t="n">
        <f aca="false">G175/H175</f>
        <v>4289.33006231253</v>
      </c>
      <c r="J175" s="1579" t="str">
        <f aca="false">IF(MONTH($A175)=12,SUM(I164:I175)," ")</f>
        <v> </v>
      </c>
      <c r="L175" s="1595" t="n">
        <f aca="false">IF($A175&gt;Endyr,0,VLOOKUP($A175,Tariff_Table,Tariff!$H$33))</f>
        <v>6118.02</v>
      </c>
      <c r="M175" s="1565" t="n">
        <f aca="false">D175</f>
        <v>3.44553336016748</v>
      </c>
      <c r="N175" s="1563" t="n">
        <f aca="false">L175*M175</f>
        <v>21079.8420081718</v>
      </c>
      <c r="O175" s="1540" t="n">
        <f aca="false">$F175</f>
        <v>480</v>
      </c>
      <c r="P175" s="1563" t="n">
        <f aca="false">N175*O175/1000</f>
        <v>10118.3241639225</v>
      </c>
      <c r="Q175" s="1565" t="n">
        <f aca="false">$H175</f>
        <v>2.86274365739339</v>
      </c>
      <c r="R175" s="394" t="n">
        <f aca="false">P175/Q175</f>
        <v>3534.48487704816</v>
      </c>
      <c r="S175" s="1579" t="str">
        <f aca="false">IF(MONTH($A175)=12,SUM(R164:R175)," ")</f>
        <v> </v>
      </c>
      <c r="U175" s="1595" t="n">
        <f aca="false">IF($A175&gt;Endyr,0,VLOOKUP($A175,Tariff_Table,Tariff!$I$33))</f>
        <v>2.31</v>
      </c>
      <c r="V175" s="1565" t="n">
        <f aca="false">D175</f>
        <v>3.44553336016748</v>
      </c>
      <c r="W175" s="1563" t="n">
        <f aca="false">U175*V175</f>
        <v>7.95918206198687</v>
      </c>
      <c r="X175" s="397" t="n">
        <f aca="false">VLOOKUP($A175,Plant_Table,'Plant Operations'!$M$270)</f>
        <v>298980.864</v>
      </c>
      <c r="Y175" s="630" t="n">
        <f aca="false">W175*X175/1000</f>
        <v>2379.64312962614</v>
      </c>
      <c r="Z175" s="1565" t="n">
        <f aca="false">$H175</f>
        <v>2.86274365739339</v>
      </c>
      <c r="AA175" s="1565" t="n">
        <f aca="false">H175</f>
        <v>2.86274365739339</v>
      </c>
      <c r="AB175" s="1609" t="n">
        <f aca="false">W175/AA175</f>
        <v>2.78026362627031</v>
      </c>
      <c r="AC175" s="1566" t="n">
        <f aca="false">Y175/Z175</f>
        <v>831.24562113007</v>
      </c>
      <c r="AD175" s="1567" t="str">
        <f aca="false">IF(MONTH($A175)=12,SUM(AC164:AC175)," ")</f>
        <v> </v>
      </c>
    </row>
    <row r="176" customFormat="false" ht="12.75" hidden="false" customHeight="false" outlineLevel="0" collapsed="false">
      <c r="A176" s="1538" t="n">
        <f aca="false">'Annex 12-Gas'!A176</f>
        <v>41944</v>
      </c>
      <c r="C176" s="1595" t="n">
        <f aca="false">IF($A176&gt;Endyr,0,VLOOKUP($A176,Tariff_Table,Tariff!$G$33))</f>
        <v>7424.62</v>
      </c>
      <c r="D176" s="1565" t="n">
        <f aca="false">VLOOKUP($A176,Curves_Table,Escalation!$AW$291)</f>
        <v>3.44553336016748</v>
      </c>
      <c r="E176" s="1563" t="n">
        <f aca="false">C176*D176</f>
        <v>25581.7758965666</v>
      </c>
      <c r="F176" s="1540" t="n">
        <f aca="false">VLOOKUP($A176,Plant_Table,'Plant Operations'!$C$270)</f>
        <v>480</v>
      </c>
      <c r="G176" s="1563" t="n">
        <f aca="false">E176*F176/1000</f>
        <v>12279.252430352</v>
      </c>
      <c r="H176" s="1565" t="n">
        <f aca="false">IF(Assm!$L$74=0,VLOOKUP($A176,Curves_Table,Escalation!$D$291),VLOOKUP($A176,Curves_Table,Escalation!$E$291))</f>
        <v>2.86747060674777</v>
      </c>
      <c r="I176" s="394" t="n">
        <f aca="false">G176/H176</f>
        <v>4282.25921530157</v>
      </c>
      <c r="J176" s="1579" t="str">
        <f aca="false">IF(MONTH($A176)=12,SUM(I165:I176)," ")</f>
        <v> </v>
      </c>
      <c r="L176" s="1595" t="n">
        <f aca="false">IF($A176&gt;Endyr,0,VLOOKUP($A176,Tariff_Table,Tariff!$H$33))</f>
        <v>6118.02</v>
      </c>
      <c r="M176" s="1565" t="n">
        <f aca="false">D176</f>
        <v>3.44553336016748</v>
      </c>
      <c r="N176" s="1563" t="n">
        <f aca="false">L176*M176</f>
        <v>21079.8420081718</v>
      </c>
      <c r="O176" s="1540" t="n">
        <f aca="false">$F176</f>
        <v>480</v>
      </c>
      <c r="P176" s="1563" t="n">
        <f aca="false">N176*O176/1000</f>
        <v>10118.3241639225</v>
      </c>
      <c r="Q176" s="1565" t="n">
        <f aca="false">$H176</f>
        <v>2.86747060674777</v>
      </c>
      <c r="R176" s="394" t="n">
        <f aca="false">P176/Q176</f>
        <v>3528.65837233411</v>
      </c>
      <c r="S176" s="1579" t="str">
        <f aca="false">IF(MONTH($A176)=12,SUM(R165:R176)," ")</f>
        <v> </v>
      </c>
      <c r="U176" s="1595" t="n">
        <f aca="false">IF($A176&gt;Endyr,0,VLOOKUP($A176,Tariff_Table,Tariff!$I$33))</f>
        <v>2.31</v>
      </c>
      <c r="V176" s="1565" t="n">
        <f aca="false">D176</f>
        <v>3.44553336016748</v>
      </c>
      <c r="W176" s="1563" t="n">
        <f aca="false">U176*V176</f>
        <v>7.95918206198687</v>
      </c>
      <c r="X176" s="397" t="n">
        <f aca="false">VLOOKUP($A176,Plant_Table,'Plant Operations'!$M$270)</f>
        <v>289336.32</v>
      </c>
      <c r="Y176" s="630" t="n">
        <f aca="false">W176*X176/1000</f>
        <v>2302.88044802529</v>
      </c>
      <c r="Z176" s="1565" t="n">
        <f aca="false">$H176</f>
        <v>2.86747060674777</v>
      </c>
      <c r="AA176" s="1565" t="n">
        <f aca="false">H176</f>
        <v>2.86747060674777</v>
      </c>
      <c r="AB176" s="1609" t="n">
        <f aca="false">W176/AA176</f>
        <v>2.7756804353137</v>
      </c>
      <c r="AC176" s="1566" t="n">
        <f aca="false">Y176/Z176</f>
        <v>803.105162649663</v>
      </c>
      <c r="AD176" s="1567" t="str">
        <f aca="false">IF(MONTH($A176)=12,SUM(AC165:AC176)," ")</f>
        <v> </v>
      </c>
    </row>
    <row r="177" customFormat="false" ht="12.75" hidden="false" customHeight="false" outlineLevel="0" collapsed="false">
      <c r="A177" s="1538" t="n">
        <f aca="false">'Annex 12-Gas'!A177</f>
        <v>41974</v>
      </c>
      <c r="C177" s="1595" t="n">
        <f aca="false">IF($A177&gt;Endyr,0,VLOOKUP($A177,Tariff_Table,Tariff!$G$33))</f>
        <v>7424.62</v>
      </c>
      <c r="D177" s="1565" t="n">
        <f aca="false">VLOOKUP($A177,Curves_Table,Escalation!$AW$291)</f>
        <v>3.44553336016748</v>
      </c>
      <c r="E177" s="1563" t="n">
        <f aca="false">C177*D177</f>
        <v>25581.7758965666</v>
      </c>
      <c r="F177" s="1540" t="n">
        <f aca="false">VLOOKUP($A177,Plant_Table,'Plant Operations'!$C$270)</f>
        <v>480</v>
      </c>
      <c r="G177" s="1563" t="n">
        <f aca="false">E177*F177/1000</f>
        <v>12279.252430352</v>
      </c>
      <c r="H177" s="1565" t="n">
        <f aca="false">IF(Assm!$L$74=0,VLOOKUP($A177,Curves_Table,Escalation!$D$291),VLOOKUP($A177,Curves_Table,Escalation!$E$291))</f>
        <v>2.8722053612195</v>
      </c>
      <c r="I177" s="394" t="n">
        <f aca="false">G177/H177</f>
        <v>4275.20002439464</v>
      </c>
      <c r="J177" s="1579" t="n">
        <f aca="false">IF(MONTH($A177)=12,SUM(I166:I177)," ")</f>
        <v>50653.726044265</v>
      </c>
      <c r="L177" s="1595" t="n">
        <f aca="false">IF($A177&gt;Endyr,0,VLOOKUP($A177,Tariff_Table,Tariff!$H$33))</f>
        <v>6118.02</v>
      </c>
      <c r="M177" s="1565" t="n">
        <f aca="false">D177</f>
        <v>3.44553336016748</v>
      </c>
      <c r="N177" s="1563" t="n">
        <f aca="false">L177*M177</f>
        <v>21079.8420081718</v>
      </c>
      <c r="O177" s="1540" t="n">
        <f aca="false">$F177</f>
        <v>480</v>
      </c>
      <c r="P177" s="1563" t="n">
        <f aca="false">N177*O177/1000</f>
        <v>10118.3241639225</v>
      </c>
      <c r="Q177" s="1565" t="n">
        <f aca="false">$H177</f>
        <v>2.8722053612195</v>
      </c>
      <c r="R177" s="394" t="n">
        <f aca="false">P177/Q177</f>
        <v>3522.84147245878</v>
      </c>
      <c r="S177" s="1579" t="n">
        <f aca="false">IF(MONTH($A177)=12,SUM(R166:R177)," ")</f>
        <v>41786.6783432011</v>
      </c>
      <c r="U177" s="1595" t="n">
        <f aca="false">IF($A177&gt;Endyr,0,VLOOKUP($A177,Tariff_Table,Tariff!$I$33))</f>
        <v>2.31</v>
      </c>
      <c r="V177" s="1565" t="n">
        <f aca="false">D177</f>
        <v>3.44553336016748</v>
      </c>
      <c r="W177" s="1563" t="n">
        <f aca="false">U177*V177</f>
        <v>7.95918206198687</v>
      </c>
      <c r="X177" s="397" t="n">
        <f aca="false">VLOOKUP($A177,Plant_Table,'Plant Operations'!$M$270)</f>
        <v>298980.864</v>
      </c>
      <c r="Y177" s="630" t="n">
        <f aca="false">W177*X177/1000</f>
        <v>2379.64312962614</v>
      </c>
      <c r="Z177" s="1565" t="n">
        <f aca="false">$H177</f>
        <v>2.8722053612195</v>
      </c>
      <c r="AA177" s="1565" t="n">
        <f aca="false">H177</f>
        <v>2.8722053612195</v>
      </c>
      <c r="AB177" s="1609" t="n">
        <f aca="false">W177/AA177</f>
        <v>2.771104799626</v>
      </c>
      <c r="AC177" s="1566" t="n">
        <f aca="false">Y177/Z177</f>
        <v>828.507307226728</v>
      </c>
      <c r="AD177" s="1567" t="n">
        <f aca="false">IF(MONTH($A177)=12,SUM(AC166:AC177)," ")</f>
        <v>9643.7162457483</v>
      </c>
    </row>
    <row r="178" customFormat="false" ht="12.75" hidden="false" customHeight="false" outlineLevel="0" collapsed="false">
      <c r="A178" s="1538" t="n">
        <f aca="false">'Annex 12-Gas'!A178</f>
        <v>42005</v>
      </c>
      <c r="C178" s="1595" t="n">
        <f aca="false">IF($A178&gt;Endyr,0,VLOOKUP($A178,Tariff_Table,Tariff!$G$33))</f>
        <v>7424.62</v>
      </c>
      <c r="D178" s="1565" t="n">
        <f aca="false">VLOOKUP($A178,Curves_Table,Escalation!$AW$291)</f>
        <v>3.44553336016748</v>
      </c>
      <c r="E178" s="1563" t="n">
        <f aca="false">C178*D178</f>
        <v>25581.7758965666</v>
      </c>
      <c r="F178" s="1540" t="n">
        <f aca="false">VLOOKUP($A178,Plant_Table,'Plant Operations'!$C$270)</f>
        <v>480</v>
      </c>
      <c r="G178" s="1563" t="n">
        <f aca="false">E178*F178/1000</f>
        <v>12279.252430352</v>
      </c>
      <c r="H178" s="1565" t="n">
        <f aca="false">IF(Assm!$L$74=0,VLOOKUP($A178,Curves_Table,Escalation!$D$291),VLOOKUP($A178,Curves_Table,Escalation!$E$291))</f>
        <v>2.87694237018618</v>
      </c>
      <c r="I178" s="394" t="n">
        <f aca="false">G178/H178</f>
        <v>4268.16072424744</v>
      </c>
      <c r="J178" s="1579" t="str">
        <f aca="false">IF(MONTH($A178)=12,SUM(I167:I178)," ")</f>
        <v> </v>
      </c>
      <c r="L178" s="1595" t="n">
        <f aca="false">IF($A178&gt;Endyr,0,VLOOKUP($A178,Tariff_Table,Tariff!$H$33))</f>
        <v>6118.02</v>
      </c>
      <c r="M178" s="1565" t="n">
        <f aca="false">D178</f>
        <v>3.44553336016748</v>
      </c>
      <c r="N178" s="1563" t="n">
        <f aca="false">L178*M178</f>
        <v>21079.8420081718</v>
      </c>
      <c r="O178" s="1540" t="n">
        <f aca="false">$F178</f>
        <v>480</v>
      </c>
      <c r="P178" s="1563" t="n">
        <f aca="false">N178*O178/1000</f>
        <v>10118.3241639225</v>
      </c>
      <c r="Q178" s="1565" t="n">
        <f aca="false">$H178</f>
        <v>2.87694237018618</v>
      </c>
      <c r="R178" s="394" t="n">
        <f aca="false">P178/Q178</f>
        <v>3517.04096292609</v>
      </c>
      <c r="S178" s="1579" t="str">
        <f aca="false">IF(MONTH($A178)=12,SUM(R167:R178)," ")</f>
        <v> </v>
      </c>
      <c r="U178" s="1595" t="n">
        <f aca="false">IF($A178&gt;Endyr,0,VLOOKUP($A178,Tariff_Table,Tariff!$I$33))</f>
        <v>2.31</v>
      </c>
      <c r="V178" s="1565" t="n">
        <f aca="false">D178</f>
        <v>3.44553336016748</v>
      </c>
      <c r="W178" s="1563" t="n">
        <f aca="false">U178*V178</f>
        <v>7.95918206198687</v>
      </c>
      <c r="X178" s="397" t="n">
        <f aca="false">VLOOKUP($A178,Plant_Table,'Plant Operations'!$M$270)</f>
        <v>298980.864</v>
      </c>
      <c r="Y178" s="630" t="n">
        <f aca="false">W178*X178/1000</f>
        <v>2379.64312962614</v>
      </c>
      <c r="Z178" s="1565" t="n">
        <f aca="false">$H178</f>
        <v>2.87694237018618</v>
      </c>
      <c r="AA178" s="1565" t="n">
        <f aca="false">H178</f>
        <v>2.87694237018618</v>
      </c>
      <c r="AB178" s="1609" t="n">
        <f aca="false">W178/AA178</f>
        <v>2.76654205675722</v>
      </c>
      <c r="AC178" s="1566" t="n">
        <f aca="false">Y178/Z178</f>
        <v>827.14313442161</v>
      </c>
      <c r="AD178" s="1567" t="str">
        <f aca="false">IF(MONTH($A178)=12,SUM(AC167:AC178)," ")</f>
        <v> </v>
      </c>
    </row>
    <row r="179" customFormat="false" ht="12.75" hidden="false" customHeight="false" outlineLevel="0" collapsed="false">
      <c r="A179" s="1538" t="n">
        <f aca="false">'Annex 12-Gas'!A179</f>
        <v>42036</v>
      </c>
      <c r="C179" s="1595" t="n">
        <f aca="false">IF($A179&gt;Endyr,0,VLOOKUP($A179,Tariff_Table,Tariff!$G$33))</f>
        <v>7424.62</v>
      </c>
      <c r="D179" s="1565" t="n">
        <f aca="false">VLOOKUP($A179,Curves_Table,Escalation!$AW$291)</f>
        <v>3.44553336016748</v>
      </c>
      <c r="E179" s="1563" t="n">
        <f aca="false">C179*D179</f>
        <v>25581.7758965666</v>
      </c>
      <c r="F179" s="1540" t="n">
        <f aca="false">VLOOKUP($A179,Plant_Table,'Plant Operations'!$C$270)</f>
        <v>480</v>
      </c>
      <c r="G179" s="1563" t="n">
        <f aca="false">E179*F179/1000</f>
        <v>12279.252430352</v>
      </c>
      <c r="H179" s="1565" t="n">
        <f aca="false">IF(Assm!$L$74=0,VLOOKUP($A179,Curves_Table,Escalation!$D$291),VLOOKUP($A179,Curves_Table,Escalation!$E$291))</f>
        <v>2.88168719170494</v>
      </c>
      <c r="I179" s="394" t="n">
        <f aca="false">G179/H179</f>
        <v>4261.13301460975</v>
      </c>
      <c r="J179" s="1579" t="str">
        <f aca="false">IF(MONTH($A179)=12,SUM(I168:I179)," ")</f>
        <v> </v>
      </c>
      <c r="L179" s="1595" t="n">
        <f aca="false">IF($A179&gt;Endyr,0,VLOOKUP($A179,Tariff_Table,Tariff!$H$33))</f>
        <v>6118.02</v>
      </c>
      <c r="M179" s="1565" t="n">
        <f aca="false">D179</f>
        <v>3.44553336016748</v>
      </c>
      <c r="N179" s="1563" t="n">
        <f aca="false">L179*M179</f>
        <v>21079.8420081718</v>
      </c>
      <c r="O179" s="1540" t="n">
        <f aca="false">$F179</f>
        <v>480</v>
      </c>
      <c r="P179" s="1563" t="n">
        <f aca="false">N179*O179/1000</f>
        <v>10118.3241639225</v>
      </c>
      <c r="Q179" s="1565" t="n">
        <f aca="false">$H179</f>
        <v>2.88168719170494</v>
      </c>
      <c r="R179" s="394" t="n">
        <f aca="false">P179/Q179</f>
        <v>3511.25000418106</v>
      </c>
      <c r="S179" s="1579" t="str">
        <f aca="false">IF(MONTH($A179)=12,SUM(R168:R179)," ")</f>
        <v> </v>
      </c>
      <c r="U179" s="1595" t="n">
        <f aca="false">IF($A179&gt;Endyr,0,VLOOKUP($A179,Tariff_Table,Tariff!$I$33))</f>
        <v>2.31</v>
      </c>
      <c r="V179" s="1565" t="n">
        <f aca="false">D179</f>
        <v>3.44553336016748</v>
      </c>
      <c r="W179" s="1563" t="n">
        <f aca="false">U179*V179</f>
        <v>7.95918206198687</v>
      </c>
      <c r="X179" s="397" t="n">
        <f aca="false">VLOOKUP($A179,Plant_Table,'Plant Operations'!$M$270)</f>
        <v>270047.232</v>
      </c>
      <c r="Y179" s="630" t="n">
        <f aca="false">W179*X179/1000</f>
        <v>2149.35508482361</v>
      </c>
      <c r="Z179" s="1565" t="n">
        <f aca="false">$H179</f>
        <v>2.88168719170494</v>
      </c>
      <c r="AA179" s="1565" t="n">
        <f aca="false">H179</f>
        <v>2.88168719170494</v>
      </c>
      <c r="AB179" s="1609" t="n">
        <f aca="false">W179/AA179</f>
        <v>2.76198682664021</v>
      </c>
      <c r="AC179" s="1566" t="n">
        <f aca="false">Y179/Z179</f>
        <v>745.866897354652</v>
      </c>
      <c r="AD179" s="1567" t="str">
        <f aca="false">IF(MONTH($A179)=12,SUM(AC168:AC179)," ")</f>
        <v> </v>
      </c>
    </row>
    <row r="180" customFormat="false" ht="12.75" hidden="false" customHeight="false" outlineLevel="0" collapsed="false">
      <c r="A180" s="1538" t="n">
        <f aca="false">'Annex 12-Gas'!A180</f>
        <v>42064</v>
      </c>
      <c r="C180" s="1595" t="n">
        <f aca="false">IF($A180&gt;Endyr,0,VLOOKUP($A180,Tariff_Table,Tariff!$G$33))</f>
        <v>7424.62</v>
      </c>
      <c r="D180" s="1565" t="n">
        <f aca="false">VLOOKUP($A180,Curves_Table,Escalation!$AW$291)</f>
        <v>3.44553336016748</v>
      </c>
      <c r="E180" s="1563" t="n">
        <f aca="false">C180*D180</f>
        <v>25581.7758965666</v>
      </c>
      <c r="F180" s="1540" t="n">
        <f aca="false">VLOOKUP($A180,Plant_Table,'Plant Operations'!$C$270)</f>
        <v>480</v>
      </c>
      <c r="G180" s="1563" t="n">
        <f aca="false">E180*F180/1000</f>
        <v>12279.252430352</v>
      </c>
      <c r="H180" s="1565" t="n">
        <f aca="false">IF(Assm!$L$74=0,VLOOKUP($A180,Curves_Table,Escalation!$D$291),VLOOKUP($A180,Curves_Table,Escalation!$E$291))</f>
        <v>2.8864398386607</v>
      </c>
      <c r="I180" s="394" t="n">
        <f aca="false">G180/H180</f>
        <v>4254.11687639731</v>
      </c>
      <c r="J180" s="1579" t="str">
        <f aca="false">IF(MONTH($A180)=12,SUM(I169:I180)," ")</f>
        <v> </v>
      </c>
      <c r="L180" s="1595" t="n">
        <f aca="false">IF($A180&gt;Endyr,0,VLOOKUP($A180,Tariff_Table,Tariff!$H$33))</f>
        <v>6118.02</v>
      </c>
      <c r="M180" s="1565" t="n">
        <f aca="false">D180</f>
        <v>3.44553336016748</v>
      </c>
      <c r="N180" s="1563" t="n">
        <f aca="false">L180*M180</f>
        <v>21079.8420081718</v>
      </c>
      <c r="O180" s="1540" t="n">
        <f aca="false">$F180</f>
        <v>480</v>
      </c>
      <c r="P180" s="1563" t="n">
        <f aca="false">N180*O180/1000</f>
        <v>10118.3241639225</v>
      </c>
      <c r="Q180" s="1565" t="n">
        <f aca="false">$H180</f>
        <v>2.8864398386607</v>
      </c>
      <c r="R180" s="394" t="n">
        <f aca="false">P180/Q180</f>
        <v>3505.46858049789</v>
      </c>
      <c r="S180" s="1579" t="str">
        <f aca="false">IF(MONTH($A180)=12,SUM(R169:R180)," ")</f>
        <v> </v>
      </c>
      <c r="U180" s="1595" t="n">
        <f aca="false">IF($A180&gt;Endyr,0,VLOOKUP($A180,Tariff_Table,Tariff!$I$33))</f>
        <v>2.31</v>
      </c>
      <c r="V180" s="1565" t="n">
        <f aca="false">D180</f>
        <v>3.44553336016748</v>
      </c>
      <c r="W180" s="1563" t="n">
        <f aca="false">U180*V180</f>
        <v>7.95918206198687</v>
      </c>
      <c r="X180" s="397" t="n">
        <f aca="false">VLOOKUP($A180,Plant_Table,'Plant Operations'!$M$270)</f>
        <v>298980.864</v>
      </c>
      <c r="Y180" s="630" t="n">
        <f aca="false">W180*X180/1000</f>
        <v>2379.64312962614</v>
      </c>
      <c r="Z180" s="1565" t="n">
        <f aca="false">$H180</f>
        <v>2.8864398386607</v>
      </c>
      <c r="AA180" s="1565" t="n">
        <f aca="false">H180</f>
        <v>2.8864398386607</v>
      </c>
      <c r="AB180" s="1609" t="n">
        <f aca="false">W180/AA180</f>
        <v>2.7574390969049</v>
      </c>
      <c r="AC180" s="1566" t="n">
        <f aca="false">Y180/Z180</f>
        <v>824.421523620006</v>
      </c>
      <c r="AD180" s="1567" t="str">
        <f aca="false">IF(MONTH($A180)=12,SUM(AC169:AC180)," ")</f>
        <v> </v>
      </c>
    </row>
    <row r="181" customFormat="false" ht="12.75" hidden="false" customHeight="false" outlineLevel="0" collapsed="false">
      <c r="A181" s="1538" t="n">
        <f aca="false">'Annex 12-Gas'!A181</f>
        <v>42095</v>
      </c>
      <c r="C181" s="1595" t="n">
        <f aca="false">IF($A181&gt;Endyr,0,VLOOKUP($A181,Tariff_Table,Tariff!$G$33))</f>
        <v>7424.62</v>
      </c>
      <c r="D181" s="1565" t="n">
        <f aca="false">VLOOKUP($A181,Curves_Table,Escalation!$AW$291)</f>
        <v>3.44553336016748</v>
      </c>
      <c r="E181" s="1563" t="n">
        <f aca="false">C181*D181</f>
        <v>25581.7758965666</v>
      </c>
      <c r="F181" s="1540" t="n">
        <f aca="false">VLOOKUP($A181,Plant_Table,'Plant Operations'!$C$270)</f>
        <v>480</v>
      </c>
      <c r="G181" s="1563" t="n">
        <f aca="false">E181*F181/1000</f>
        <v>12279.252430352</v>
      </c>
      <c r="H181" s="1565" t="n">
        <f aca="false">IF(Assm!$L$74=0,VLOOKUP($A181,Curves_Table,Escalation!$D$291),VLOOKUP($A181,Curves_Table,Escalation!$E$291))</f>
        <v>2.89120032395961</v>
      </c>
      <c r="I181" s="394" t="n">
        <f aca="false">G181/H181</f>
        <v>4247.11229055727</v>
      </c>
      <c r="J181" s="1579" t="str">
        <f aca="false">IF(MONTH($A181)=12,SUM(I170:I181)," ")</f>
        <v> </v>
      </c>
      <c r="L181" s="1595" t="n">
        <f aca="false">IF($A181&gt;Endyr,0,VLOOKUP($A181,Tariff_Table,Tariff!$H$33))</f>
        <v>6118.02</v>
      </c>
      <c r="M181" s="1565" t="n">
        <f aca="false">D181</f>
        <v>3.44553336016748</v>
      </c>
      <c r="N181" s="1563" t="n">
        <f aca="false">L181*M181</f>
        <v>21079.8420081718</v>
      </c>
      <c r="O181" s="1540" t="n">
        <f aca="false">$F181</f>
        <v>480</v>
      </c>
      <c r="P181" s="1563" t="n">
        <f aca="false">N181*O181/1000</f>
        <v>10118.3241639225</v>
      </c>
      <c r="Q181" s="1565" t="n">
        <f aca="false">$H181</f>
        <v>2.89120032395961</v>
      </c>
      <c r="R181" s="394" t="n">
        <f aca="false">P181/Q181</f>
        <v>3499.69667617671</v>
      </c>
      <c r="S181" s="1579" t="str">
        <f aca="false">IF(MONTH($A181)=12,SUM(R170:R181)," ")</f>
        <v> </v>
      </c>
      <c r="U181" s="1595" t="n">
        <f aca="false">IF($A181&gt;Endyr,0,VLOOKUP($A181,Tariff_Table,Tariff!$I$33))</f>
        <v>2.31</v>
      </c>
      <c r="V181" s="1565" t="n">
        <f aca="false">D181</f>
        <v>3.44553336016748</v>
      </c>
      <c r="W181" s="1563" t="n">
        <f aca="false">U181*V181</f>
        <v>7.95918206198687</v>
      </c>
      <c r="X181" s="397" t="n">
        <f aca="false">VLOOKUP($A181,Plant_Table,'Plant Operations'!$M$270)</f>
        <v>289336.32</v>
      </c>
      <c r="Y181" s="630" t="n">
        <f aca="false">W181*X181/1000</f>
        <v>2302.88044802529</v>
      </c>
      <c r="Z181" s="1565" t="n">
        <f aca="false">$H181</f>
        <v>2.89120032395961</v>
      </c>
      <c r="AA181" s="1565" t="n">
        <f aca="false">H181</f>
        <v>2.89120032395961</v>
      </c>
      <c r="AB181" s="1609" t="n">
        <f aca="false">W181/AA181</f>
        <v>2.75289885520159</v>
      </c>
      <c r="AC181" s="1566" t="n">
        <f aca="false">Y181/Z181</f>
        <v>796.513624096241</v>
      </c>
      <c r="AD181" s="1567" t="str">
        <f aca="false">IF(MONTH($A181)=12,SUM(AC170:AC181)," ")</f>
        <v> </v>
      </c>
    </row>
    <row r="182" customFormat="false" ht="12.75" hidden="false" customHeight="false" outlineLevel="0" collapsed="false">
      <c r="A182" s="1538" t="n">
        <f aca="false">'Annex 12-Gas'!A182</f>
        <v>42125</v>
      </c>
      <c r="C182" s="1595" t="n">
        <f aca="false">IF($A182&gt;Endyr,0,VLOOKUP($A182,Tariff_Table,Tariff!$G$33))</f>
        <v>7431.57</v>
      </c>
      <c r="D182" s="1565" t="n">
        <f aca="false">VLOOKUP($A182,Curves_Table,Escalation!$AW$291)</f>
        <v>3.68557182628163</v>
      </c>
      <c r="E182" s="1563" t="n">
        <f aca="false">C182*D182</f>
        <v>27389.5850170398</v>
      </c>
      <c r="F182" s="1540" t="n">
        <f aca="false">VLOOKUP($A182,Plant_Table,'Plant Operations'!$C$270)</f>
        <v>480</v>
      </c>
      <c r="G182" s="1563" t="n">
        <f aca="false">E182*F182/1000</f>
        <v>13147.0008081791</v>
      </c>
      <c r="H182" s="1565" t="n">
        <f aca="false">IF(Assm!$L$74=0,VLOOKUP($A182,Curves_Table,Escalation!$D$291),VLOOKUP($A182,Curves_Table,Escalation!$E$291))</f>
        <v>2.89596866052913</v>
      </c>
      <c r="I182" s="394" t="n">
        <f aca="false">G182/H182</f>
        <v>4539.75935146238</v>
      </c>
      <c r="J182" s="1579" t="str">
        <f aca="false">IF(MONTH($A182)=12,SUM(I171:I182)," ")</f>
        <v> </v>
      </c>
      <c r="L182" s="1595" t="n">
        <f aca="false">IF($A182&gt;Endyr,0,VLOOKUP($A182,Tariff_Table,Tariff!$H$33))</f>
        <v>6140.72</v>
      </c>
      <c r="M182" s="1565" t="n">
        <f aca="false">D182</f>
        <v>3.68557182628163</v>
      </c>
      <c r="N182" s="1563" t="n">
        <f aca="false">L182*M182</f>
        <v>22632.0646250841</v>
      </c>
      <c r="O182" s="1540" t="n">
        <f aca="false">$F182</f>
        <v>480</v>
      </c>
      <c r="P182" s="1563" t="n">
        <f aca="false">N182*O182/1000</f>
        <v>10863.3910200404</v>
      </c>
      <c r="Q182" s="1565" t="n">
        <f aca="false">$H182</f>
        <v>2.89596866052913</v>
      </c>
      <c r="R182" s="394" t="n">
        <f aca="false">P182/Q182</f>
        <v>3751.21152659694</v>
      </c>
      <c r="S182" s="1579" t="str">
        <f aca="false">IF(MONTH($A182)=12,SUM(R171:R182)," ")</f>
        <v> </v>
      </c>
      <c r="U182" s="1595" t="n">
        <f aca="false">IF($A182&gt;Endyr,0,VLOOKUP($A182,Tariff_Table,Tariff!$I$33))</f>
        <v>2.31</v>
      </c>
      <c r="V182" s="1565" t="n">
        <f aca="false">D182</f>
        <v>3.68557182628163</v>
      </c>
      <c r="W182" s="1563" t="n">
        <f aca="false">U182*V182</f>
        <v>8.51367091871057</v>
      </c>
      <c r="X182" s="397" t="n">
        <f aca="false">VLOOKUP($A182,Plant_Table,'Plant Operations'!$M$270)</f>
        <v>298980.864</v>
      </c>
      <c r="Y182" s="630" t="n">
        <f aca="false">W182*X182/1000</f>
        <v>2545.42468708776</v>
      </c>
      <c r="Z182" s="1565" t="n">
        <f aca="false">$H182</f>
        <v>2.89596866052913</v>
      </c>
      <c r="AA182" s="1565" t="n">
        <f aca="false">H182</f>
        <v>2.89596866052913</v>
      </c>
      <c r="AB182" s="1609" t="n">
        <f aca="false">W182/AA182</f>
        <v>2.9398353078707</v>
      </c>
      <c r="AC182" s="1566" t="n">
        <f aca="false">Y182/Z182</f>
        <v>878.954500364889</v>
      </c>
      <c r="AD182" s="1567" t="str">
        <f aca="false">IF(MONTH($A182)=12,SUM(AC171:AC182)," ")</f>
        <v> </v>
      </c>
    </row>
    <row r="183" customFormat="false" ht="12.75" hidden="false" customHeight="false" outlineLevel="0" collapsed="false">
      <c r="A183" s="1538" t="n">
        <f aca="false">'Annex 12-Gas'!A183</f>
        <v>42156</v>
      </c>
      <c r="C183" s="1595" t="n">
        <f aca="false">IF($A183&gt;Endyr,0,VLOOKUP($A183,Tariff_Table,Tariff!$G$33))</f>
        <v>7431.57</v>
      </c>
      <c r="D183" s="1565" t="n">
        <f aca="false">VLOOKUP($A183,Curves_Table,Escalation!$AW$291)</f>
        <v>3.68557182628163</v>
      </c>
      <c r="E183" s="1563" t="n">
        <f aca="false">C183*D183</f>
        <v>27389.5850170398</v>
      </c>
      <c r="F183" s="1540" t="n">
        <f aca="false">VLOOKUP($A183,Plant_Table,'Plant Operations'!$C$270)</f>
        <v>480</v>
      </c>
      <c r="G183" s="1563" t="n">
        <f aca="false">E183*F183/1000</f>
        <v>13147.0008081791</v>
      </c>
      <c r="H183" s="1565" t="n">
        <f aca="false">IF(Assm!$L$74=0,VLOOKUP($A183,Curves_Table,Escalation!$D$291),VLOOKUP($A183,Curves_Table,Escalation!$E$291))</f>
        <v>2.90074486131804</v>
      </c>
      <c r="I183" s="394" t="n">
        <f aca="false">G183/H183</f>
        <v>4532.28444303969</v>
      </c>
      <c r="J183" s="1579" t="str">
        <f aca="false">IF(MONTH($A183)=12,SUM(I172:I183)," ")</f>
        <v> </v>
      </c>
      <c r="L183" s="1595" t="n">
        <f aca="false">IF($A183&gt;Endyr,0,VLOOKUP($A183,Tariff_Table,Tariff!$H$33))</f>
        <v>6140.72</v>
      </c>
      <c r="M183" s="1565" t="n">
        <f aca="false">D183</f>
        <v>3.68557182628163</v>
      </c>
      <c r="N183" s="1563" t="n">
        <f aca="false">L183*M183</f>
        <v>22632.0646250841</v>
      </c>
      <c r="O183" s="1540" t="n">
        <f aca="false">$F183</f>
        <v>480</v>
      </c>
      <c r="P183" s="1563" t="n">
        <f aca="false">N183*O183/1000</f>
        <v>10863.3910200404</v>
      </c>
      <c r="Q183" s="1565" t="n">
        <f aca="false">$H183</f>
        <v>2.90074486131804</v>
      </c>
      <c r="R183" s="394" t="n">
        <f aca="false">P183/Q183</f>
        <v>3745.03499597833</v>
      </c>
      <c r="S183" s="1579" t="str">
        <f aca="false">IF(MONTH($A183)=12,SUM(R172:R183)," ")</f>
        <v> </v>
      </c>
      <c r="U183" s="1595" t="n">
        <f aca="false">IF($A183&gt;Endyr,0,VLOOKUP($A183,Tariff_Table,Tariff!$I$33))</f>
        <v>2.31</v>
      </c>
      <c r="V183" s="1565" t="n">
        <f aca="false">D183</f>
        <v>3.68557182628163</v>
      </c>
      <c r="W183" s="1563" t="n">
        <f aca="false">U183*V183</f>
        <v>8.51367091871057</v>
      </c>
      <c r="X183" s="397" t="n">
        <f aca="false">VLOOKUP($A183,Plant_Table,'Plant Operations'!$M$270)</f>
        <v>289336.32</v>
      </c>
      <c r="Y183" s="630" t="n">
        <f aca="false">W183*X183/1000</f>
        <v>2463.31421331074</v>
      </c>
      <c r="Z183" s="1565" t="n">
        <f aca="false">$H183</f>
        <v>2.90074486131804</v>
      </c>
      <c r="AA183" s="1565" t="n">
        <f aca="false">H183</f>
        <v>2.90074486131804</v>
      </c>
      <c r="AB183" s="1609" t="n">
        <f aca="false">W183/AA183</f>
        <v>2.93499474298547</v>
      </c>
      <c r="AC183" s="1566" t="n">
        <f aca="false">Y183/Z183</f>
        <v>849.200578154762</v>
      </c>
      <c r="AD183" s="1567" t="str">
        <f aca="false">IF(MONTH($A183)=12,SUM(AC172:AC183)," ")</f>
        <v> </v>
      </c>
    </row>
    <row r="184" customFormat="false" ht="12.75" hidden="false" customHeight="false" outlineLevel="0" collapsed="false">
      <c r="A184" s="1538" t="n">
        <f aca="false">'Annex 12-Gas'!A184</f>
        <v>42186</v>
      </c>
      <c r="C184" s="1595" t="n">
        <f aca="false">IF($A184&gt;Endyr,0,VLOOKUP($A184,Tariff_Table,Tariff!$G$33))</f>
        <v>7431.57</v>
      </c>
      <c r="D184" s="1565" t="n">
        <f aca="false">VLOOKUP($A184,Curves_Table,Escalation!$AW$291)</f>
        <v>3.68557182628163</v>
      </c>
      <c r="E184" s="1563" t="n">
        <f aca="false">C184*D184</f>
        <v>27389.5850170398</v>
      </c>
      <c r="F184" s="1540" t="n">
        <f aca="false">VLOOKUP($A184,Plant_Table,'Plant Operations'!$C$270)</f>
        <v>480</v>
      </c>
      <c r="G184" s="1563" t="n">
        <f aca="false">E184*F184/1000</f>
        <v>13147.0008081791</v>
      </c>
      <c r="H184" s="1565" t="n">
        <f aca="false">IF(Assm!$L$74=0,VLOOKUP($A184,Curves_Table,Escalation!$D$291),VLOOKUP($A184,Curves_Table,Escalation!$E$291))</f>
        <v>2.90552893929647</v>
      </c>
      <c r="I184" s="394" t="n">
        <f aca="false">G184/H184</f>
        <v>4524.82184237423</v>
      </c>
      <c r="J184" s="1579" t="str">
        <f aca="false">IF(MONTH($A184)=12,SUM(I173:I184)," ")</f>
        <v> </v>
      </c>
      <c r="L184" s="1595" t="n">
        <f aca="false">IF($A184&gt;Endyr,0,VLOOKUP($A184,Tariff_Table,Tariff!$H$33))</f>
        <v>6140.72</v>
      </c>
      <c r="M184" s="1565" t="n">
        <f aca="false">D184</f>
        <v>3.68557182628163</v>
      </c>
      <c r="N184" s="1563" t="n">
        <f aca="false">L184*M184</f>
        <v>22632.0646250841</v>
      </c>
      <c r="O184" s="1540" t="n">
        <f aca="false">$F184</f>
        <v>480</v>
      </c>
      <c r="P184" s="1563" t="n">
        <f aca="false">N184*O184/1000</f>
        <v>10863.3910200404</v>
      </c>
      <c r="Q184" s="1565" t="n">
        <f aca="false">$H184</f>
        <v>2.90552893929647</v>
      </c>
      <c r="R184" s="394" t="n">
        <f aca="false">P184/Q184</f>
        <v>3738.86863528222</v>
      </c>
      <c r="S184" s="1579" t="str">
        <f aca="false">IF(MONTH($A184)=12,SUM(R173:R184)," ")</f>
        <v> </v>
      </c>
      <c r="U184" s="1595" t="n">
        <f aca="false">IF($A184&gt;Endyr,0,VLOOKUP($A184,Tariff_Table,Tariff!$I$33))</f>
        <v>2.31</v>
      </c>
      <c r="V184" s="1565" t="n">
        <f aca="false">D184</f>
        <v>3.68557182628163</v>
      </c>
      <c r="W184" s="1563" t="n">
        <f aca="false">U184*V184</f>
        <v>8.51367091871057</v>
      </c>
      <c r="X184" s="397" t="n">
        <f aca="false">VLOOKUP($A184,Plant_Table,'Plant Operations'!$M$270)</f>
        <v>298980.864</v>
      </c>
      <c r="Y184" s="630" t="n">
        <f aca="false">W184*X184/1000</f>
        <v>2545.42468708776</v>
      </c>
      <c r="Z184" s="1565" t="n">
        <f aca="false">$H184</f>
        <v>2.90552893929647</v>
      </c>
      <c r="AA184" s="1565" t="n">
        <f aca="false">H184</f>
        <v>2.90552893929647</v>
      </c>
      <c r="AB184" s="1609" t="n">
        <f aca="false">W184/AA184</f>
        <v>2.93016214829787</v>
      </c>
      <c r="AC184" s="1566" t="n">
        <f aca="false">Y184/Z184</f>
        <v>876.062410758192</v>
      </c>
      <c r="AD184" s="1567" t="str">
        <f aca="false">IF(MONTH($A184)=12,SUM(AC173:AC184)," ")</f>
        <v> </v>
      </c>
    </row>
    <row r="185" customFormat="false" ht="12.75" hidden="false" customHeight="false" outlineLevel="0" collapsed="false">
      <c r="A185" s="1538" t="n">
        <f aca="false">'Annex 12-Gas'!A185</f>
        <v>42217</v>
      </c>
      <c r="C185" s="1595" t="n">
        <f aca="false">IF($A185&gt;Endyr,0,VLOOKUP($A185,Tariff_Table,Tariff!$G$33))</f>
        <v>7431.57</v>
      </c>
      <c r="D185" s="1565" t="n">
        <f aca="false">VLOOKUP($A185,Curves_Table,Escalation!$AW$291)</f>
        <v>3.68557182628163</v>
      </c>
      <c r="E185" s="1563" t="n">
        <f aca="false">C185*D185</f>
        <v>27389.5850170398</v>
      </c>
      <c r="F185" s="1540" t="n">
        <f aca="false">VLOOKUP($A185,Plant_Table,'Plant Operations'!$C$270)</f>
        <v>480</v>
      </c>
      <c r="G185" s="1563" t="n">
        <f aca="false">E185*F185/1000</f>
        <v>13147.0008081791</v>
      </c>
      <c r="H185" s="1565" t="n">
        <f aca="false">IF(Assm!$L$74=0,VLOOKUP($A185,Curves_Table,Escalation!$D$291),VLOOKUP($A185,Curves_Table,Escalation!$E$291))</f>
        <v>2.91032090745594</v>
      </c>
      <c r="I185" s="394" t="n">
        <f aca="false">G185/H185</f>
        <v>4517.37152920073</v>
      </c>
      <c r="J185" s="1579" t="str">
        <f aca="false">IF(MONTH($A185)=12,SUM(I174:I185)," ")</f>
        <v> </v>
      </c>
      <c r="L185" s="1595" t="n">
        <f aca="false">IF($A185&gt;Endyr,0,VLOOKUP($A185,Tariff_Table,Tariff!$H$33))</f>
        <v>6140.72</v>
      </c>
      <c r="M185" s="1565" t="n">
        <f aca="false">D185</f>
        <v>3.68557182628163</v>
      </c>
      <c r="N185" s="1563" t="n">
        <f aca="false">L185*M185</f>
        <v>22632.0646250841</v>
      </c>
      <c r="O185" s="1540" t="n">
        <f aca="false">$F185</f>
        <v>480</v>
      </c>
      <c r="P185" s="1563" t="n">
        <f aca="false">N185*O185/1000</f>
        <v>10863.3910200404</v>
      </c>
      <c r="Q185" s="1565" t="n">
        <f aca="false">$H185</f>
        <v>2.91032090745594</v>
      </c>
      <c r="R185" s="394" t="n">
        <f aca="false">P185/Q185</f>
        <v>3732.71242776338</v>
      </c>
      <c r="S185" s="1579" t="str">
        <f aca="false">IF(MONTH($A185)=12,SUM(R174:R185)," ")</f>
        <v> </v>
      </c>
      <c r="U185" s="1595" t="n">
        <f aca="false">IF($A185&gt;Endyr,0,VLOOKUP($A185,Tariff_Table,Tariff!$I$33))</f>
        <v>2.31</v>
      </c>
      <c r="V185" s="1565" t="n">
        <f aca="false">D185</f>
        <v>3.68557182628163</v>
      </c>
      <c r="W185" s="1563" t="n">
        <f aca="false">U185*V185</f>
        <v>8.51367091871057</v>
      </c>
      <c r="X185" s="397" t="n">
        <f aca="false">VLOOKUP($A185,Plant_Table,'Plant Operations'!$M$270)</f>
        <v>298980.864</v>
      </c>
      <c r="Y185" s="630" t="n">
        <f aca="false">W185*X185/1000</f>
        <v>2545.42468708776</v>
      </c>
      <c r="Z185" s="1565" t="n">
        <f aca="false">$H185</f>
        <v>2.91032090745594</v>
      </c>
      <c r="AA185" s="1565" t="n">
        <f aca="false">H185</f>
        <v>2.91032090745594</v>
      </c>
      <c r="AB185" s="1609" t="n">
        <f aca="false">W185/AA185</f>
        <v>2.92533751068462</v>
      </c>
      <c r="AC185" s="1566" t="n">
        <f aca="false">Y185/Z185</f>
        <v>874.619936436098</v>
      </c>
      <c r="AD185" s="1567" t="str">
        <f aca="false">IF(MONTH($A185)=12,SUM(AC174:AC185)," ")</f>
        <v> </v>
      </c>
    </row>
    <row r="186" customFormat="false" ht="12.75" hidden="false" customHeight="false" outlineLevel="0" collapsed="false">
      <c r="A186" s="1538" t="n">
        <f aca="false">'Annex 12-Gas'!A186</f>
        <v>42248</v>
      </c>
      <c r="C186" s="1595" t="n">
        <f aca="false">IF($A186&gt;Endyr,0,VLOOKUP($A186,Tariff_Table,Tariff!$G$33))</f>
        <v>7431.57</v>
      </c>
      <c r="D186" s="1565" t="n">
        <f aca="false">VLOOKUP($A186,Curves_Table,Escalation!$AW$291)</f>
        <v>3.68557182628163</v>
      </c>
      <c r="E186" s="1563" t="n">
        <f aca="false">C186*D186</f>
        <v>27389.5850170398</v>
      </c>
      <c r="F186" s="1540" t="n">
        <f aca="false">VLOOKUP($A186,Plant_Table,'Plant Operations'!$C$270)</f>
        <v>480</v>
      </c>
      <c r="G186" s="1563" t="n">
        <f aca="false">E186*F186/1000</f>
        <v>13147.0008081791</v>
      </c>
      <c r="H186" s="1565" t="n">
        <f aca="false">IF(Assm!$L$74=0,VLOOKUP($A186,Curves_Table,Escalation!$D$291),VLOOKUP($A186,Curves_Table,Escalation!$E$291))</f>
        <v>2.91512077880939</v>
      </c>
      <c r="I186" s="394" t="n">
        <f aca="false">G186/H186</f>
        <v>4509.93348328732</v>
      </c>
      <c r="J186" s="1579" t="str">
        <f aca="false">IF(MONTH($A186)=12,SUM(I175:I186)," ")</f>
        <v> </v>
      </c>
      <c r="L186" s="1595" t="n">
        <f aca="false">IF($A186&gt;Endyr,0,VLOOKUP($A186,Tariff_Table,Tariff!$H$33))</f>
        <v>6140.72</v>
      </c>
      <c r="M186" s="1565" t="n">
        <f aca="false">D186</f>
        <v>3.68557182628163</v>
      </c>
      <c r="N186" s="1563" t="n">
        <f aca="false">L186*M186</f>
        <v>22632.0646250841</v>
      </c>
      <c r="O186" s="1540" t="n">
        <f aca="false">$F186</f>
        <v>480</v>
      </c>
      <c r="P186" s="1563" t="n">
        <f aca="false">N186*O186/1000</f>
        <v>10863.3910200404</v>
      </c>
      <c r="Q186" s="1565" t="n">
        <f aca="false">$H186</f>
        <v>2.91512077880939</v>
      </c>
      <c r="R186" s="394" t="n">
        <f aca="false">P186/Q186</f>
        <v>3726.56635670418</v>
      </c>
      <c r="S186" s="1579" t="str">
        <f aca="false">IF(MONTH($A186)=12,SUM(R175:R186)," ")</f>
        <v> </v>
      </c>
      <c r="U186" s="1595" t="n">
        <f aca="false">IF($A186&gt;Endyr,0,VLOOKUP($A186,Tariff_Table,Tariff!$I$33))</f>
        <v>2.31</v>
      </c>
      <c r="V186" s="1565" t="n">
        <f aca="false">D186</f>
        <v>3.68557182628163</v>
      </c>
      <c r="W186" s="1563" t="n">
        <f aca="false">U186*V186</f>
        <v>8.51367091871057</v>
      </c>
      <c r="X186" s="397" t="n">
        <f aca="false">VLOOKUP($A186,Plant_Table,'Plant Operations'!$M$270)</f>
        <v>289336.32</v>
      </c>
      <c r="Y186" s="630" t="n">
        <f aca="false">W186*X186/1000</f>
        <v>2463.31421331074</v>
      </c>
      <c r="Z186" s="1565" t="n">
        <f aca="false">$H186</f>
        <v>2.91512077880939</v>
      </c>
      <c r="AA186" s="1565" t="n">
        <f aca="false">H186</f>
        <v>2.91512077880939</v>
      </c>
      <c r="AB186" s="1609" t="n">
        <f aca="false">W186/AA186</f>
        <v>2.92052081704407</v>
      </c>
      <c r="AC186" s="1566" t="n">
        <f aca="false">Y186/Z186</f>
        <v>845.012745686926</v>
      </c>
      <c r="AD186" s="1567" t="str">
        <f aca="false">IF(MONTH($A186)=12,SUM(AC175:AC186)," ")</f>
        <v> </v>
      </c>
    </row>
    <row r="187" customFormat="false" ht="12.75" hidden="false" customHeight="false" outlineLevel="0" collapsed="false">
      <c r="A187" s="1538" t="n">
        <f aca="false">'Annex 12-Gas'!A187</f>
        <v>42278</v>
      </c>
      <c r="C187" s="1595" t="n">
        <f aca="false">IF($A187&gt;Endyr,0,VLOOKUP($A187,Tariff_Table,Tariff!$G$33))</f>
        <v>7431.57</v>
      </c>
      <c r="D187" s="1565" t="n">
        <f aca="false">VLOOKUP($A187,Curves_Table,Escalation!$AW$291)</f>
        <v>3.68557182628163</v>
      </c>
      <c r="E187" s="1563" t="n">
        <f aca="false">C187*D187</f>
        <v>27389.5850170398</v>
      </c>
      <c r="F187" s="1540" t="n">
        <f aca="false">VLOOKUP($A187,Plant_Table,'Plant Operations'!$C$270)</f>
        <v>480</v>
      </c>
      <c r="G187" s="1563" t="n">
        <f aca="false">E187*F187/1000</f>
        <v>13147.0008081791</v>
      </c>
      <c r="H187" s="1565" t="n">
        <f aca="false">IF(Assm!$L$74=0,VLOOKUP($A187,Curves_Table,Escalation!$D$291),VLOOKUP($A187,Curves_Table,Escalation!$E$291))</f>
        <v>2.91992856639125</v>
      </c>
      <c r="I187" s="394" t="n">
        <f aca="false">G187/H187</f>
        <v>4502.50768443542</v>
      </c>
      <c r="J187" s="1579" t="str">
        <f aca="false">IF(MONTH($A187)=12,SUM(I176:I187)," ")</f>
        <v> </v>
      </c>
      <c r="L187" s="1595" t="n">
        <f aca="false">IF($A187&gt;Endyr,0,VLOOKUP($A187,Tariff_Table,Tariff!$H$33))</f>
        <v>6140.72</v>
      </c>
      <c r="M187" s="1565" t="n">
        <f aca="false">D187</f>
        <v>3.68557182628163</v>
      </c>
      <c r="N187" s="1563" t="n">
        <f aca="false">L187*M187</f>
        <v>22632.0646250841</v>
      </c>
      <c r="O187" s="1540" t="n">
        <f aca="false">$F187</f>
        <v>480</v>
      </c>
      <c r="P187" s="1563" t="n">
        <f aca="false">N187*O187/1000</f>
        <v>10863.3910200404</v>
      </c>
      <c r="Q187" s="1565" t="n">
        <f aca="false">$H187</f>
        <v>2.91992856639125</v>
      </c>
      <c r="R187" s="394" t="n">
        <f aca="false">P187/Q187</f>
        <v>3720.43040541451</v>
      </c>
      <c r="S187" s="1579" t="str">
        <f aca="false">IF(MONTH($A187)=12,SUM(R176:R187)," ")</f>
        <v> </v>
      </c>
      <c r="U187" s="1595" t="n">
        <f aca="false">IF($A187&gt;Endyr,0,VLOOKUP($A187,Tariff_Table,Tariff!$I$33))</f>
        <v>2.31</v>
      </c>
      <c r="V187" s="1565" t="n">
        <f aca="false">D187</f>
        <v>3.68557182628163</v>
      </c>
      <c r="W187" s="1563" t="n">
        <f aca="false">U187*V187</f>
        <v>8.51367091871057</v>
      </c>
      <c r="X187" s="397" t="n">
        <f aca="false">VLOOKUP($A187,Plant_Table,'Plant Operations'!$M$270)</f>
        <v>298980.864</v>
      </c>
      <c r="Y187" s="630" t="n">
        <f aca="false">W187*X187/1000</f>
        <v>2545.42468708776</v>
      </c>
      <c r="Z187" s="1565" t="n">
        <f aca="false">$H187</f>
        <v>2.91992856639125</v>
      </c>
      <c r="AA187" s="1565" t="n">
        <f aca="false">H187</f>
        <v>2.91992856639125</v>
      </c>
      <c r="AB187" s="1609" t="n">
        <f aca="false">W187/AA187</f>
        <v>2.91571205429613</v>
      </c>
      <c r="AC187" s="1566" t="n">
        <f aca="false">Y187/Z187</f>
        <v>871.742109168672</v>
      </c>
      <c r="AD187" s="1567" t="str">
        <f aca="false">IF(MONTH($A187)=12,SUM(AC176:AC187)," ")</f>
        <v> </v>
      </c>
    </row>
    <row r="188" customFormat="false" ht="12.75" hidden="false" customHeight="false" outlineLevel="0" collapsed="false">
      <c r="A188" s="1538" t="n">
        <f aca="false">'Annex 12-Gas'!A188</f>
        <v>42309</v>
      </c>
      <c r="C188" s="1595" t="n">
        <f aca="false">IF($A188&gt;Endyr,0,VLOOKUP($A188,Tariff_Table,Tariff!$G$33))</f>
        <v>7431.57</v>
      </c>
      <c r="D188" s="1565" t="n">
        <f aca="false">VLOOKUP($A188,Curves_Table,Escalation!$AW$291)</f>
        <v>3.68557182628163</v>
      </c>
      <c r="E188" s="1563" t="n">
        <f aca="false">C188*D188</f>
        <v>27389.5850170398</v>
      </c>
      <c r="F188" s="1540" t="n">
        <f aca="false">VLOOKUP($A188,Plant_Table,'Plant Operations'!$C$270)</f>
        <v>480</v>
      </c>
      <c r="G188" s="1563" t="n">
        <f aca="false">E188*F188/1000</f>
        <v>13147.0008081791</v>
      </c>
      <c r="H188" s="1565" t="n">
        <f aca="false">IF(Assm!$L$74=0,VLOOKUP($A188,Curves_Table,Escalation!$D$291),VLOOKUP($A188,Curves_Table,Escalation!$E$291))</f>
        <v>2.9247442832574</v>
      </c>
      <c r="I188" s="394" t="n">
        <f aca="false">G188/H188</f>
        <v>4495.09411247973</v>
      </c>
      <c r="J188" s="1579" t="str">
        <f aca="false">IF(MONTH($A188)=12,SUM(I177:I188)," ")</f>
        <v> </v>
      </c>
      <c r="L188" s="1595" t="n">
        <f aca="false">IF($A188&gt;Endyr,0,VLOOKUP($A188,Tariff_Table,Tariff!$H$33))</f>
        <v>6140.72</v>
      </c>
      <c r="M188" s="1565" t="n">
        <f aca="false">D188</f>
        <v>3.68557182628163</v>
      </c>
      <c r="N188" s="1563" t="n">
        <f aca="false">L188*M188</f>
        <v>22632.0646250841</v>
      </c>
      <c r="O188" s="1540" t="n">
        <f aca="false">$F188</f>
        <v>480</v>
      </c>
      <c r="P188" s="1563" t="n">
        <f aca="false">N188*O188/1000</f>
        <v>10863.3910200404</v>
      </c>
      <c r="Q188" s="1565" t="n">
        <f aca="false">$H188</f>
        <v>2.9247442832574</v>
      </c>
      <c r="R188" s="394" t="n">
        <f aca="false">P188/Q188</f>
        <v>3714.30455723172</v>
      </c>
      <c r="S188" s="1579" t="str">
        <f aca="false">IF(MONTH($A188)=12,SUM(R177:R188)," ")</f>
        <v> </v>
      </c>
      <c r="U188" s="1595" t="n">
        <f aca="false">IF($A188&gt;Endyr,0,VLOOKUP($A188,Tariff_Table,Tariff!$I$33))</f>
        <v>2.31</v>
      </c>
      <c r="V188" s="1565" t="n">
        <f aca="false">D188</f>
        <v>3.68557182628163</v>
      </c>
      <c r="W188" s="1563" t="n">
        <f aca="false">U188*V188</f>
        <v>8.51367091871057</v>
      </c>
      <c r="X188" s="397" t="n">
        <f aca="false">VLOOKUP($A188,Plant_Table,'Plant Operations'!$M$270)</f>
        <v>289336.32</v>
      </c>
      <c r="Y188" s="630" t="n">
        <f aca="false">W188*X188/1000</f>
        <v>2463.31421331074</v>
      </c>
      <c r="Z188" s="1565" t="n">
        <f aca="false">$H188</f>
        <v>2.9247442832574</v>
      </c>
      <c r="AA188" s="1565" t="n">
        <f aca="false">H188</f>
        <v>2.9247442832574</v>
      </c>
      <c r="AB188" s="1609" t="n">
        <f aca="false">W188/AA188</f>
        <v>2.91091120938223</v>
      </c>
      <c r="AC188" s="1566" t="n">
        <f aca="false">Y188/Z188</f>
        <v>842.232337169405</v>
      </c>
      <c r="AD188" s="1567" t="str">
        <f aca="false">IF(MONTH($A188)=12,SUM(AC177:AC188)," ")</f>
        <v> </v>
      </c>
    </row>
    <row r="189" customFormat="false" ht="12.75" hidden="false" customHeight="false" outlineLevel="0" collapsed="false">
      <c r="A189" s="1538" t="n">
        <f aca="false">'Annex 12-Gas'!A189</f>
        <v>42339</v>
      </c>
      <c r="C189" s="1595" t="n">
        <f aca="false">IF($A189&gt;Endyr,0,VLOOKUP($A189,Tariff_Table,Tariff!$G$33))</f>
        <v>7431.57</v>
      </c>
      <c r="D189" s="1565" t="n">
        <f aca="false">VLOOKUP($A189,Curves_Table,Escalation!$AW$291)</f>
        <v>3.68557182628163</v>
      </c>
      <c r="E189" s="1563" t="n">
        <f aca="false">C189*D189</f>
        <v>27389.5850170398</v>
      </c>
      <c r="F189" s="1540" t="n">
        <f aca="false">VLOOKUP($A189,Plant_Table,'Plant Operations'!$C$270)</f>
        <v>480</v>
      </c>
      <c r="G189" s="1563" t="n">
        <f aca="false">E189*F189/1000</f>
        <v>13147.0008081791</v>
      </c>
      <c r="H189" s="1565" t="n">
        <f aca="false">IF(Assm!$L$74=0,VLOOKUP($A189,Curves_Table,Escalation!$D$291),VLOOKUP($A189,Curves_Table,Escalation!$E$291))</f>
        <v>2.9295679424853</v>
      </c>
      <c r="I189" s="394" t="n">
        <f aca="false">G189/H189</f>
        <v>4487.69274728814</v>
      </c>
      <c r="J189" s="1579" t="n">
        <f aca="false">IF(MONTH($A189)=12,SUM(I178:I189)," ")</f>
        <v>53139.9880993794</v>
      </c>
      <c r="L189" s="1595" t="n">
        <f aca="false">IF($A189&gt;Endyr,0,VLOOKUP($A189,Tariff_Table,Tariff!$H$33))</f>
        <v>6140.72</v>
      </c>
      <c r="M189" s="1565" t="n">
        <f aca="false">D189</f>
        <v>3.68557182628163</v>
      </c>
      <c r="N189" s="1563" t="n">
        <f aca="false">L189*M189</f>
        <v>22632.0646250841</v>
      </c>
      <c r="O189" s="1540" t="n">
        <f aca="false">$F189</f>
        <v>480</v>
      </c>
      <c r="P189" s="1563" t="n">
        <f aca="false">N189*O189/1000</f>
        <v>10863.3910200404</v>
      </c>
      <c r="Q189" s="1565" t="n">
        <f aca="false">$H189</f>
        <v>2.9295679424853</v>
      </c>
      <c r="R189" s="394" t="n">
        <f aca="false">P189/Q189</f>
        <v>3708.18879552063</v>
      </c>
      <c r="S189" s="1579" t="n">
        <f aca="false">IF(MONTH($A189)=12,SUM(R178:R189)," ")</f>
        <v>43870.7739242737</v>
      </c>
      <c r="U189" s="1595" t="n">
        <f aca="false">IF($A189&gt;Endyr,0,VLOOKUP($A189,Tariff_Table,Tariff!$I$33))</f>
        <v>2.31</v>
      </c>
      <c r="V189" s="1565" t="n">
        <f aca="false">D189</f>
        <v>3.68557182628163</v>
      </c>
      <c r="W189" s="1563" t="n">
        <f aca="false">U189*V189</f>
        <v>8.51367091871057</v>
      </c>
      <c r="X189" s="397" t="n">
        <f aca="false">VLOOKUP($A189,Plant_Table,'Plant Operations'!$M$270)</f>
        <v>298980.864</v>
      </c>
      <c r="Y189" s="630" t="n">
        <f aca="false">W189*X189/1000</f>
        <v>2545.42468708776</v>
      </c>
      <c r="Z189" s="1565" t="n">
        <f aca="false">$H189</f>
        <v>2.9295679424853</v>
      </c>
      <c r="AA189" s="1565" t="n">
        <f aca="false">H189</f>
        <v>2.9295679424853</v>
      </c>
      <c r="AB189" s="1609" t="n">
        <f aca="false">W189/AA189</f>
        <v>2.90611826926533</v>
      </c>
      <c r="AC189" s="1566" t="n">
        <f aca="false">Y189/Z189</f>
        <v>868.873751031134</v>
      </c>
      <c r="AD189" s="1567" t="n">
        <f aca="false">IF(MONTH($A189)=12,SUM(AC178:AC189)," ")</f>
        <v>10100.6435482626</v>
      </c>
    </row>
    <row r="190" customFormat="false" ht="12.75" hidden="false" customHeight="false" outlineLevel="0" collapsed="false">
      <c r="A190" s="1538" t="n">
        <f aca="false">'Annex 12-Gas'!A190</f>
        <v>42370</v>
      </c>
      <c r="C190" s="1595" t="n">
        <f aca="false">IF($A190&gt;Endyr,0,VLOOKUP($A190,Tariff_Table,Tariff!$G$33))</f>
        <v>7431.57</v>
      </c>
      <c r="D190" s="1565" t="n">
        <f aca="false">VLOOKUP($A190,Curves_Table,Escalation!$AW$291)</f>
        <v>3.68557182628163</v>
      </c>
      <c r="E190" s="1563" t="n">
        <f aca="false">C190*D190</f>
        <v>27389.5850170398</v>
      </c>
      <c r="F190" s="1540" t="n">
        <f aca="false">VLOOKUP($A190,Plant_Table,'Plant Operations'!$C$270)</f>
        <v>480</v>
      </c>
      <c r="G190" s="1563" t="n">
        <f aca="false">E190*F190/1000</f>
        <v>13147.0008081791</v>
      </c>
      <c r="H190" s="1565" t="n">
        <f aca="false">IF(Assm!$L$74=0,VLOOKUP($A190,Curves_Table,Escalation!$D$291),VLOOKUP($A190,Curves_Table,Escalation!$E$291))</f>
        <v>2.9344084151188</v>
      </c>
      <c r="I190" s="394" t="n">
        <f aca="false">G190/H190</f>
        <v>4480.29004430415</v>
      </c>
      <c r="J190" s="1579" t="str">
        <f aca="false">IF(MONTH($A190)=12,SUM(I179:I190)," ")</f>
        <v> </v>
      </c>
      <c r="L190" s="1595" t="n">
        <f aca="false">IF($A190&gt;Endyr,0,VLOOKUP($A190,Tariff_Table,Tariff!$H$33))</f>
        <v>6140.72</v>
      </c>
      <c r="M190" s="1565" t="n">
        <f aca="false">D190</f>
        <v>3.68557182628163</v>
      </c>
      <c r="N190" s="1563" t="n">
        <f aca="false">L190*M190</f>
        <v>22632.0646250841</v>
      </c>
      <c r="O190" s="1540" t="n">
        <f aca="false">$F190</f>
        <v>480</v>
      </c>
      <c r="P190" s="1563" t="n">
        <f aca="false">N190*O190/1000</f>
        <v>10863.3910200404</v>
      </c>
      <c r="Q190" s="1565" t="n">
        <f aca="false">$H190</f>
        <v>2.9344084151188</v>
      </c>
      <c r="R190" s="394" t="n">
        <f aca="false">P190/Q190</f>
        <v>3702.07192838921</v>
      </c>
      <c r="S190" s="1579" t="str">
        <f aca="false">IF(MONTH($A190)=12,SUM(R179:R190)," ")</f>
        <v> </v>
      </c>
      <c r="U190" s="1595" t="n">
        <f aca="false">IF($A190&gt;Endyr,0,VLOOKUP($A190,Tariff_Table,Tariff!$I$33))</f>
        <v>2.31</v>
      </c>
      <c r="V190" s="1565" t="n">
        <f aca="false">D190</f>
        <v>3.68557182628163</v>
      </c>
      <c r="W190" s="1563" t="n">
        <f aca="false">U190*V190</f>
        <v>8.51367091871057</v>
      </c>
      <c r="X190" s="397" t="n">
        <f aca="false">VLOOKUP($A190,Plant_Table,'Plant Operations'!$M$270)</f>
        <v>298980.864</v>
      </c>
      <c r="Y190" s="630" t="n">
        <f aca="false">W190*X190/1000</f>
        <v>2545.42468708776</v>
      </c>
      <c r="Z190" s="1565" t="n">
        <f aca="false">$H190</f>
        <v>2.9344084151188</v>
      </c>
      <c r="AA190" s="1565" t="n">
        <f aca="false">H190</f>
        <v>2.9344084151188</v>
      </c>
      <c r="AB190" s="1609" t="n">
        <f aca="false">W190/AA190</f>
        <v>2.90132446282733</v>
      </c>
      <c r="AC190" s="1566" t="n">
        <f aca="false">Y190/Z190</f>
        <v>867.440494640452</v>
      </c>
      <c r="AD190" s="1567" t="str">
        <f aca="false">IF(MONTH($A190)=12,SUM(AC179:AC190)," ")</f>
        <v> </v>
      </c>
    </row>
    <row r="191" customFormat="false" ht="12.75" hidden="false" customHeight="false" outlineLevel="0" collapsed="false">
      <c r="A191" s="1538" t="n">
        <f aca="false">'Annex 12-Gas'!A191</f>
        <v>42401</v>
      </c>
      <c r="C191" s="1595" t="n">
        <f aca="false">IF($A191&gt;Endyr,0,VLOOKUP($A191,Tariff_Table,Tariff!$G$33))</f>
        <v>7431.57</v>
      </c>
      <c r="D191" s="1565" t="n">
        <f aca="false">VLOOKUP($A191,Curves_Table,Escalation!$AW$291)</f>
        <v>3.68557182628163</v>
      </c>
      <c r="E191" s="1563" t="n">
        <f aca="false">C191*D191</f>
        <v>27389.5850170398</v>
      </c>
      <c r="F191" s="1540" t="n">
        <f aca="false">VLOOKUP($A191,Plant_Table,'Plant Operations'!$C$270)</f>
        <v>480</v>
      </c>
      <c r="G191" s="1563" t="n">
        <f aca="false">E191*F191/1000</f>
        <v>13147.0008081791</v>
      </c>
      <c r="H191" s="1565" t="n">
        <f aca="false">IF(Assm!$L$74=0,VLOOKUP($A191,Curves_Table,Escalation!$D$291),VLOOKUP($A191,Curves_Table,Escalation!$E$291))</f>
        <v>2.93925688557853</v>
      </c>
      <c r="I191" s="394" t="n">
        <f aca="false">G191/H191</f>
        <v>4472.89955249739</v>
      </c>
      <c r="J191" s="1579" t="str">
        <f aca="false">IF(MONTH($A191)=12,SUM(I180:I191)," ")</f>
        <v> </v>
      </c>
      <c r="L191" s="1595" t="n">
        <f aca="false">IF($A191&gt;Endyr,0,VLOOKUP($A191,Tariff_Table,Tariff!$H$33))</f>
        <v>6140.72</v>
      </c>
      <c r="M191" s="1565" t="n">
        <f aca="false">D191</f>
        <v>3.68557182628163</v>
      </c>
      <c r="N191" s="1563" t="n">
        <f aca="false">L191*M191</f>
        <v>22632.0646250841</v>
      </c>
      <c r="O191" s="1540" t="n">
        <f aca="false">$F191</f>
        <v>480</v>
      </c>
      <c r="P191" s="1563" t="n">
        <f aca="false">N191*O191/1000</f>
        <v>10863.3910200404</v>
      </c>
      <c r="Q191" s="1565" t="n">
        <f aca="false">$H191</f>
        <v>2.93925688557853</v>
      </c>
      <c r="R191" s="394" t="n">
        <f aca="false">P191/Q191</f>
        <v>3695.96515137606</v>
      </c>
      <c r="S191" s="1579" t="str">
        <f aca="false">IF(MONTH($A191)=12,SUM(R180:R191)," ")</f>
        <v> </v>
      </c>
      <c r="U191" s="1595" t="n">
        <f aca="false">IF($A191&gt;Endyr,0,VLOOKUP($A191,Tariff_Table,Tariff!$I$33))</f>
        <v>2.31</v>
      </c>
      <c r="V191" s="1565" t="n">
        <f aca="false">D191</f>
        <v>3.68557182628163</v>
      </c>
      <c r="W191" s="1563" t="n">
        <f aca="false">U191*V191</f>
        <v>8.51367091871057</v>
      </c>
      <c r="X191" s="397" t="n">
        <f aca="false">VLOOKUP($A191,Plant_Table,'Plant Operations'!$M$270)</f>
        <v>279691.776</v>
      </c>
      <c r="Y191" s="630" t="n">
        <f aca="false">W191*X191/1000</f>
        <v>2381.20373953371</v>
      </c>
      <c r="Z191" s="1565" t="n">
        <f aca="false">$H191</f>
        <v>2.93925688557853</v>
      </c>
      <c r="AA191" s="1565" t="n">
        <f aca="false">H191</f>
        <v>2.93925688557853</v>
      </c>
      <c r="AB191" s="1609" t="n">
        <f aca="false">W191/AA191</f>
        <v>2.89653856404416</v>
      </c>
      <c r="AC191" s="1566" t="n">
        <f aca="false">Y191/Z191</f>
        <v>810.138015230002</v>
      </c>
      <c r="AD191" s="1567" t="str">
        <f aca="false">IF(MONTH($A191)=12,SUM(AC180:AC191)," ")</f>
        <v> </v>
      </c>
    </row>
    <row r="192" customFormat="false" ht="12.75" hidden="false" customHeight="false" outlineLevel="0" collapsed="false">
      <c r="A192" s="1538" t="n">
        <f aca="false">'Annex 12-Gas'!A192</f>
        <v>42430</v>
      </c>
      <c r="C192" s="1595" t="n">
        <f aca="false">IF($A192&gt;Endyr,0,VLOOKUP($A192,Tariff_Table,Tariff!$G$33))</f>
        <v>7431.57</v>
      </c>
      <c r="D192" s="1565" t="n">
        <f aca="false">VLOOKUP($A192,Curves_Table,Escalation!$AW$291)</f>
        <v>3.68557182628163</v>
      </c>
      <c r="E192" s="1563" t="n">
        <f aca="false">C192*D192</f>
        <v>27389.5850170398</v>
      </c>
      <c r="F192" s="1540" t="n">
        <f aca="false">VLOOKUP($A192,Plant_Table,'Plant Operations'!$C$270)</f>
        <v>480</v>
      </c>
      <c r="G192" s="1563" t="n">
        <f aca="false">E192*F192/1000</f>
        <v>13147.0008081791</v>
      </c>
      <c r="H192" s="1565" t="n">
        <f aca="false">IF(Assm!$L$74=0,VLOOKUP($A192,Curves_Table,Escalation!$D$291),VLOOKUP($A192,Curves_Table,Escalation!$E$291))</f>
        <v>2.94411336707915</v>
      </c>
      <c r="I192" s="394" t="n">
        <f aca="false">G192/H192</f>
        <v>4465.52125172483</v>
      </c>
      <c r="J192" s="1579" t="str">
        <f aca="false">IF(MONTH($A192)=12,SUM(I181:I192)," ")</f>
        <v> </v>
      </c>
      <c r="L192" s="1595" t="n">
        <f aca="false">IF($A192&gt;Endyr,0,VLOOKUP($A192,Tariff_Table,Tariff!$H$33))</f>
        <v>6140.72</v>
      </c>
      <c r="M192" s="1565" t="n">
        <f aca="false">D192</f>
        <v>3.68557182628163</v>
      </c>
      <c r="N192" s="1563" t="n">
        <f aca="false">L192*M192</f>
        <v>22632.0646250841</v>
      </c>
      <c r="O192" s="1540" t="n">
        <f aca="false">$F192</f>
        <v>480</v>
      </c>
      <c r="P192" s="1563" t="n">
        <f aca="false">N192*O192/1000</f>
        <v>10863.3910200404</v>
      </c>
      <c r="Q192" s="1565" t="n">
        <f aca="false">$H192</f>
        <v>2.94411336707915</v>
      </c>
      <c r="R192" s="394" t="n">
        <f aca="false">P192/Q192</f>
        <v>3689.86844783696</v>
      </c>
      <c r="S192" s="1579" t="str">
        <f aca="false">IF(MONTH($A192)=12,SUM(R181:R192)," ")</f>
        <v> </v>
      </c>
      <c r="U192" s="1595" t="n">
        <f aca="false">IF($A192&gt;Endyr,0,VLOOKUP($A192,Tariff_Table,Tariff!$I$33))</f>
        <v>2.31</v>
      </c>
      <c r="V192" s="1565" t="n">
        <f aca="false">D192</f>
        <v>3.68557182628163</v>
      </c>
      <c r="W192" s="1563" t="n">
        <f aca="false">U192*V192</f>
        <v>8.51367091871057</v>
      </c>
      <c r="X192" s="397" t="n">
        <f aca="false">VLOOKUP($A192,Plant_Table,'Plant Operations'!$M$270)</f>
        <v>298980.864</v>
      </c>
      <c r="Y192" s="630" t="n">
        <f aca="false">W192*X192/1000</f>
        <v>2545.42468708776</v>
      </c>
      <c r="Z192" s="1565" t="n">
        <f aca="false">$H192</f>
        <v>2.94411336707915</v>
      </c>
      <c r="AA192" s="1565" t="n">
        <f aca="false">H192</f>
        <v>2.94411336707915</v>
      </c>
      <c r="AB192" s="1609" t="n">
        <f aca="false">W192/AA192</f>
        <v>2.8917605598717</v>
      </c>
      <c r="AC192" s="1566" t="n">
        <f aca="false">Y192/Z192</f>
        <v>864.581070671565</v>
      </c>
      <c r="AD192" s="1567" t="str">
        <f aca="false">IF(MONTH($A192)=12,SUM(AC181:AC192)," ")</f>
        <v> </v>
      </c>
    </row>
    <row r="193" customFormat="false" ht="12.75" hidden="false" customHeight="false" outlineLevel="0" collapsed="false">
      <c r="A193" s="1538" t="n">
        <f aca="false">'Annex 12-Gas'!A193</f>
        <v>42461</v>
      </c>
      <c r="C193" s="1595" t="n">
        <f aca="false">IF($A193&gt;Endyr,0,VLOOKUP($A193,Tariff_Table,Tariff!$G$33))</f>
        <v>7431.57</v>
      </c>
      <c r="D193" s="1565" t="n">
        <f aca="false">VLOOKUP($A193,Curves_Table,Escalation!$AW$291)</f>
        <v>3.68557182628163</v>
      </c>
      <c r="E193" s="1563" t="n">
        <f aca="false">C193*D193</f>
        <v>27389.5850170398</v>
      </c>
      <c r="F193" s="1540" t="n">
        <f aca="false">VLOOKUP($A193,Plant_Table,'Plant Operations'!$C$270)</f>
        <v>480</v>
      </c>
      <c r="G193" s="1563" t="n">
        <f aca="false">E193*F193/1000</f>
        <v>13147.0008081791</v>
      </c>
      <c r="H193" s="1565" t="n">
        <f aca="false">IF(Assm!$L$74=0,VLOOKUP($A193,Curves_Table,Escalation!$D$291),VLOOKUP($A193,Curves_Table,Escalation!$E$291))</f>
        <v>2.94897787285716</v>
      </c>
      <c r="I193" s="394" t="n">
        <f aca="false">G193/H193</f>
        <v>4458.15512187666</v>
      </c>
      <c r="J193" s="1579" t="str">
        <f aca="false">IF(MONTH($A193)=12,SUM(I182:I193)," ")</f>
        <v> </v>
      </c>
      <c r="L193" s="1595" t="n">
        <f aca="false">IF($A193&gt;Endyr,0,VLOOKUP($A193,Tariff_Table,Tariff!$H$33))</f>
        <v>6140.72</v>
      </c>
      <c r="M193" s="1565" t="n">
        <f aca="false">D193</f>
        <v>3.68557182628163</v>
      </c>
      <c r="N193" s="1563" t="n">
        <f aca="false">L193*M193</f>
        <v>22632.0646250841</v>
      </c>
      <c r="O193" s="1540" t="n">
        <f aca="false">$F193</f>
        <v>480</v>
      </c>
      <c r="P193" s="1563" t="n">
        <f aca="false">N193*O193/1000</f>
        <v>10863.3910200404</v>
      </c>
      <c r="Q193" s="1565" t="n">
        <f aca="false">$H193</f>
        <v>2.94897787285716</v>
      </c>
      <c r="R193" s="394" t="n">
        <f aca="false">P193/Q193</f>
        <v>3683.78180115513</v>
      </c>
      <c r="S193" s="1579" t="str">
        <f aca="false">IF(MONTH($A193)=12,SUM(R182:R193)," ")</f>
        <v> </v>
      </c>
      <c r="U193" s="1595" t="n">
        <f aca="false">IF($A193&gt;Endyr,0,VLOOKUP($A193,Tariff_Table,Tariff!$I$33))</f>
        <v>2.31</v>
      </c>
      <c r="V193" s="1565" t="n">
        <f aca="false">D193</f>
        <v>3.68557182628163</v>
      </c>
      <c r="W193" s="1563" t="n">
        <f aca="false">U193*V193</f>
        <v>8.51367091871057</v>
      </c>
      <c r="X193" s="397" t="n">
        <f aca="false">VLOOKUP($A193,Plant_Table,'Plant Operations'!$M$270)</f>
        <v>289336.32</v>
      </c>
      <c r="Y193" s="630" t="n">
        <f aca="false">W193*X193/1000</f>
        <v>2463.31421331074</v>
      </c>
      <c r="Z193" s="1565" t="n">
        <f aca="false">$H193</f>
        <v>2.94897787285716</v>
      </c>
      <c r="AA193" s="1565" t="n">
        <f aca="false">H193</f>
        <v>2.94897787285716</v>
      </c>
      <c r="AB193" s="1609" t="n">
        <f aca="false">W193/AA193</f>
        <v>2.88699043728733</v>
      </c>
      <c r="AC193" s="1566" t="n">
        <f aca="false">Y193/Z193</f>
        <v>835.311188999908</v>
      </c>
      <c r="AD193" s="1567" t="str">
        <f aca="false">IF(MONTH($A193)=12,SUM(AC182:AC193)," ")</f>
        <v> </v>
      </c>
    </row>
    <row r="194" customFormat="false" ht="12.75" hidden="false" customHeight="false" outlineLevel="0" collapsed="false">
      <c r="A194" s="1538" t="n">
        <f aca="false">'Annex 12-Gas'!A194</f>
        <v>42491</v>
      </c>
      <c r="C194" s="1595" t="n">
        <f aca="false">IF($A194&gt;Endyr,0,VLOOKUP($A194,Tariff_Table,Tariff!$G$33))</f>
        <v>7434.78</v>
      </c>
      <c r="D194" s="1565" t="n">
        <f aca="false">VLOOKUP($A194,Curves_Table,Escalation!$AW$291)</f>
        <v>3.93987628229506</v>
      </c>
      <c r="E194" s="1563" t="n">
        <f aca="false">C194*D194</f>
        <v>29292.1133860817</v>
      </c>
      <c r="F194" s="1540" t="n">
        <f aca="false">VLOOKUP($A194,Plant_Table,'Plant Operations'!$C$270)</f>
        <v>480</v>
      </c>
      <c r="G194" s="1563" t="n">
        <f aca="false">E194*F194/1000</f>
        <v>14060.2144253192</v>
      </c>
      <c r="H194" s="1565" t="n">
        <f aca="false">IF(Assm!$L$74=0,VLOOKUP($A194,Curves_Table,Escalation!$D$291),VLOOKUP($A194,Curves_Table,Escalation!$E$291))</f>
        <v>2.95385041617093</v>
      </c>
      <c r="I194" s="394" t="n">
        <f aca="false">G194/H194</f>
        <v>4759.96155673497</v>
      </c>
      <c r="J194" s="1579" t="str">
        <f aca="false">IF(MONTH($A194)=12,SUM(I183:I194)," ")</f>
        <v> </v>
      </c>
      <c r="L194" s="1595" t="n">
        <f aca="false">IF($A194&gt;Endyr,0,VLOOKUP($A194,Tariff_Table,Tariff!$H$33))</f>
        <v>6151.18</v>
      </c>
      <c r="M194" s="1565" t="n">
        <f aca="false">D194</f>
        <v>3.93987628229506</v>
      </c>
      <c r="N194" s="1563" t="n">
        <f aca="false">L194*M194</f>
        <v>24234.8881901277</v>
      </c>
      <c r="O194" s="1540" t="n">
        <f aca="false">$F194</f>
        <v>480</v>
      </c>
      <c r="P194" s="1563" t="n">
        <f aca="false">N194*O194/1000</f>
        <v>11632.7463312613</v>
      </c>
      <c r="Q194" s="1565" t="n">
        <f aca="false">$H194</f>
        <v>2.95385041617093</v>
      </c>
      <c r="R194" s="394" t="n">
        <f aca="false">P194/Q194</f>
        <v>3938.1636482259</v>
      </c>
      <c r="S194" s="1579" t="str">
        <f aca="false">IF(MONTH($A194)=12,SUM(R183:R194)," ")</f>
        <v> </v>
      </c>
      <c r="U194" s="1595" t="n">
        <f aca="false">IF($A194&gt;Endyr,0,VLOOKUP($A194,Tariff_Table,Tariff!$I$33))</f>
        <v>2.32</v>
      </c>
      <c r="V194" s="1565" t="n">
        <f aca="false">D194</f>
        <v>3.93987628229506</v>
      </c>
      <c r="W194" s="1563" t="n">
        <f aca="false">U194*V194</f>
        <v>9.14051297492454</v>
      </c>
      <c r="X194" s="397" t="n">
        <f aca="false">VLOOKUP($A194,Plant_Table,'Plant Operations'!$M$270)</f>
        <v>298980.864</v>
      </c>
      <c r="Y194" s="630" t="n">
        <f aca="false">W194*X194/1000</f>
        <v>2732.83846664615</v>
      </c>
      <c r="Z194" s="1565" t="n">
        <f aca="false">$H194</f>
        <v>2.95385041617093</v>
      </c>
      <c r="AA194" s="1565" t="n">
        <f aca="false">H194</f>
        <v>2.95385041617093</v>
      </c>
      <c r="AB194" s="1609" t="n">
        <f aca="false">W194/AA194</f>
        <v>3.09444003152109</v>
      </c>
      <c r="AC194" s="1566" t="n">
        <f aca="false">Y194/Z194</f>
        <v>925.178354220361</v>
      </c>
      <c r="AD194" s="1567" t="str">
        <f aca="false">IF(MONTH($A194)=12,SUM(AC183:AC194)," ")</f>
        <v> </v>
      </c>
    </row>
    <row r="195" customFormat="false" ht="12.75" hidden="false" customHeight="false" outlineLevel="0" collapsed="false">
      <c r="A195" s="1538" t="n">
        <f aca="false">'Annex 12-Gas'!A195</f>
        <v>42522</v>
      </c>
      <c r="C195" s="1595" t="n">
        <f aca="false">IF($A195&gt;Endyr,0,VLOOKUP($A195,Tariff_Table,Tariff!$G$33))</f>
        <v>7434.78</v>
      </c>
      <c r="D195" s="1565" t="n">
        <f aca="false">VLOOKUP($A195,Curves_Table,Escalation!$AW$291)</f>
        <v>3.93987628229506</v>
      </c>
      <c r="E195" s="1563" t="n">
        <f aca="false">C195*D195</f>
        <v>29292.1133860817</v>
      </c>
      <c r="F195" s="1540" t="n">
        <f aca="false">VLOOKUP($A195,Plant_Table,'Plant Operations'!$C$270)</f>
        <v>480</v>
      </c>
      <c r="G195" s="1563" t="n">
        <f aca="false">E195*F195/1000</f>
        <v>14060.2144253192</v>
      </c>
      <c r="H195" s="1565" t="n">
        <f aca="false">IF(Assm!$L$74=0,VLOOKUP($A195,Curves_Table,Escalation!$D$291),VLOOKUP($A195,Curves_Table,Escalation!$E$291))</f>
        <v>2.95873101030073</v>
      </c>
      <c r="I195" s="394" t="n">
        <f aca="false">G195/H195</f>
        <v>4752.10973095189</v>
      </c>
      <c r="J195" s="1579" t="str">
        <f aca="false">IF(MONTH($A195)=12,SUM(I184:I195)," ")</f>
        <v> </v>
      </c>
      <c r="L195" s="1595" t="n">
        <f aca="false">IF($A195&gt;Endyr,0,VLOOKUP($A195,Tariff_Table,Tariff!$H$33))</f>
        <v>6151.18</v>
      </c>
      <c r="M195" s="1565" t="n">
        <f aca="false">D195</f>
        <v>3.93987628229506</v>
      </c>
      <c r="N195" s="1563" t="n">
        <f aca="false">L195*M195</f>
        <v>24234.8881901277</v>
      </c>
      <c r="O195" s="1540" t="n">
        <f aca="false">$F195</f>
        <v>480</v>
      </c>
      <c r="P195" s="1563" t="n">
        <f aca="false">N195*O195/1000</f>
        <v>11632.7463312613</v>
      </c>
      <c r="Q195" s="1565" t="n">
        <f aca="false">$H195</f>
        <v>2.95873101030073</v>
      </c>
      <c r="R195" s="394" t="n">
        <f aca="false">P195/Q195</f>
        <v>3931.66742456893</v>
      </c>
      <c r="S195" s="1579" t="str">
        <f aca="false">IF(MONTH($A195)=12,SUM(R184:R195)," ")</f>
        <v> </v>
      </c>
      <c r="U195" s="1595" t="n">
        <f aca="false">IF($A195&gt;Endyr,0,VLOOKUP($A195,Tariff_Table,Tariff!$I$33))</f>
        <v>2.32</v>
      </c>
      <c r="V195" s="1565" t="n">
        <f aca="false">D195</f>
        <v>3.93987628229506</v>
      </c>
      <c r="W195" s="1563" t="n">
        <f aca="false">U195*V195</f>
        <v>9.14051297492454</v>
      </c>
      <c r="X195" s="397" t="n">
        <f aca="false">VLOOKUP($A195,Plant_Table,'Plant Operations'!$M$270)</f>
        <v>289336.32</v>
      </c>
      <c r="Y195" s="630" t="n">
        <f aca="false">W195*X195/1000</f>
        <v>2644.68238707692</v>
      </c>
      <c r="Z195" s="1565" t="n">
        <f aca="false">$H195</f>
        <v>2.95873101030073</v>
      </c>
      <c r="AA195" s="1565" t="n">
        <f aca="false">H195</f>
        <v>2.95873101030073</v>
      </c>
      <c r="AB195" s="1609" t="n">
        <f aca="false">W195/AA195</f>
        <v>3.08933557768588</v>
      </c>
      <c r="AC195" s="1566" t="n">
        <f aca="false">Y195/Z195</f>
        <v>893.856987292708</v>
      </c>
      <c r="AD195" s="1567" t="str">
        <f aca="false">IF(MONTH($A195)=12,SUM(AC184:AC195)," ")</f>
        <v> </v>
      </c>
    </row>
    <row r="196" customFormat="false" ht="12.75" hidden="false" customHeight="false" outlineLevel="0" collapsed="false">
      <c r="A196" s="1538" t="n">
        <f aca="false">'Annex 12-Gas'!A196</f>
        <v>42552</v>
      </c>
      <c r="C196" s="1595" t="n">
        <f aca="false">IF($A196&gt;Endyr,0,VLOOKUP($A196,Tariff_Table,Tariff!$G$33))</f>
        <v>7434.78</v>
      </c>
      <c r="D196" s="1565" t="n">
        <f aca="false">VLOOKUP($A196,Curves_Table,Escalation!$AW$291)</f>
        <v>3.93987628229506</v>
      </c>
      <c r="E196" s="1563" t="n">
        <f aca="false">C196*D196</f>
        <v>29292.1133860817</v>
      </c>
      <c r="F196" s="1540" t="n">
        <f aca="false">VLOOKUP($A196,Plant_Table,'Plant Operations'!$C$270)</f>
        <v>480</v>
      </c>
      <c r="G196" s="1563" t="n">
        <f aca="false">E196*F196/1000</f>
        <v>14060.2144253192</v>
      </c>
      <c r="H196" s="1565" t="n">
        <f aca="false">IF(Assm!$L$74=0,VLOOKUP($A196,Curves_Table,Escalation!$D$291),VLOOKUP($A196,Curves_Table,Escalation!$E$291))</f>
        <v>2.96361966854878</v>
      </c>
      <c r="I196" s="394" t="n">
        <f aca="false">G196/H196</f>
        <v>4744.27085719949</v>
      </c>
      <c r="J196" s="1579" t="str">
        <f aca="false">IF(MONTH($A196)=12,SUM(I185:I196)," ")</f>
        <v> </v>
      </c>
      <c r="L196" s="1595" t="n">
        <f aca="false">IF($A196&gt;Endyr,0,VLOOKUP($A196,Tariff_Table,Tariff!$H$33))</f>
        <v>6151.18</v>
      </c>
      <c r="M196" s="1565" t="n">
        <f aca="false">D196</f>
        <v>3.93987628229506</v>
      </c>
      <c r="N196" s="1563" t="n">
        <f aca="false">L196*M196</f>
        <v>24234.8881901277</v>
      </c>
      <c r="O196" s="1540" t="n">
        <f aca="false">$F196</f>
        <v>480</v>
      </c>
      <c r="P196" s="1563" t="n">
        <f aca="false">N196*O196/1000</f>
        <v>11632.7463312613</v>
      </c>
      <c r="Q196" s="1565" t="n">
        <f aca="false">$H196</f>
        <v>2.96361966854878</v>
      </c>
      <c r="R196" s="394" t="n">
        <f aca="false">P196/Q196</f>
        <v>3925.18191680027</v>
      </c>
      <c r="S196" s="1579" t="str">
        <f aca="false">IF(MONTH($A196)=12,SUM(R185:R196)," ")</f>
        <v> </v>
      </c>
      <c r="U196" s="1595" t="n">
        <f aca="false">IF($A196&gt;Endyr,0,VLOOKUP($A196,Tariff_Table,Tariff!$I$33))</f>
        <v>2.32</v>
      </c>
      <c r="V196" s="1565" t="n">
        <f aca="false">D196</f>
        <v>3.93987628229506</v>
      </c>
      <c r="W196" s="1563" t="n">
        <f aca="false">U196*V196</f>
        <v>9.14051297492454</v>
      </c>
      <c r="X196" s="397" t="n">
        <f aca="false">VLOOKUP($A196,Plant_Table,'Plant Operations'!$M$270)</f>
        <v>298980.864</v>
      </c>
      <c r="Y196" s="630" t="n">
        <f aca="false">W196*X196/1000</f>
        <v>2732.83846664615</v>
      </c>
      <c r="Z196" s="1565" t="n">
        <f aca="false">$H196</f>
        <v>2.96361966854878</v>
      </c>
      <c r="AA196" s="1565" t="n">
        <f aca="false">H196</f>
        <v>2.96361966854878</v>
      </c>
      <c r="AB196" s="1609" t="n">
        <f aca="false">W196/AA196</f>
        <v>3.08423954393596</v>
      </c>
      <c r="AC196" s="1566" t="n">
        <f aca="false">Y196/Z196</f>
        <v>922.128603628939</v>
      </c>
      <c r="AD196" s="1567" t="str">
        <f aca="false">IF(MONTH($A196)=12,SUM(AC185:AC196)," ")</f>
        <v> </v>
      </c>
    </row>
    <row r="197" customFormat="false" ht="12.75" hidden="false" customHeight="false" outlineLevel="0" collapsed="false">
      <c r="A197" s="1538" t="n">
        <f aca="false">'Annex 12-Gas'!A197</f>
        <v>42583</v>
      </c>
      <c r="C197" s="1595" t="n">
        <f aca="false">IF($A197&gt;Endyr,0,VLOOKUP($A197,Tariff_Table,Tariff!$G$33))</f>
        <v>7434.78</v>
      </c>
      <c r="D197" s="1565" t="n">
        <f aca="false">VLOOKUP($A197,Curves_Table,Escalation!$AW$291)</f>
        <v>3.93987628229506</v>
      </c>
      <c r="E197" s="1563" t="n">
        <f aca="false">C197*D197</f>
        <v>29292.1133860817</v>
      </c>
      <c r="F197" s="1540" t="n">
        <f aca="false">VLOOKUP($A197,Plant_Table,'Plant Operations'!$C$270)</f>
        <v>480</v>
      </c>
      <c r="G197" s="1563" t="n">
        <f aca="false">E197*F197/1000</f>
        <v>14060.2144253192</v>
      </c>
      <c r="H197" s="1565" t="n">
        <f aca="false">IF(Assm!$L$74=0,VLOOKUP($A197,Curves_Table,Escalation!$D$291),VLOOKUP($A197,Curves_Table,Escalation!$E$291))</f>
        <v>2.96851640423929</v>
      </c>
      <c r="I197" s="394" t="n">
        <f aca="false">G197/H197</f>
        <v>4736.44491411266</v>
      </c>
      <c r="J197" s="1579" t="str">
        <f aca="false">IF(MONTH($A197)=12,SUM(I186:I197)," ")</f>
        <v> </v>
      </c>
      <c r="L197" s="1595" t="n">
        <f aca="false">IF($A197&gt;Endyr,0,VLOOKUP($A197,Tariff_Table,Tariff!$H$33))</f>
        <v>6151.18</v>
      </c>
      <c r="M197" s="1565" t="n">
        <f aca="false">D197</f>
        <v>3.93987628229506</v>
      </c>
      <c r="N197" s="1563" t="n">
        <f aca="false">L197*M197</f>
        <v>24234.8881901277</v>
      </c>
      <c r="O197" s="1540" t="n">
        <f aca="false">$F197</f>
        <v>480</v>
      </c>
      <c r="P197" s="1563" t="n">
        <f aca="false">N197*O197/1000</f>
        <v>11632.7463312613</v>
      </c>
      <c r="Q197" s="1565" t="n">
        <f aca="false">$H197</f>
        <v>2.96851640423929</v>
      </c>
      <c r="R197" s="394" t="n">
        <f aca="false">P197/Q197</f>
        <v>3918.70710724346</v>
      </c>
      <c r="S197" s="1579" t="str">
        <f aca="false">IF(MONTH($A197)=12,SUM(R186:R197)," ")</f>
        <v> </v>
      </c>
      <c r="U197" s="1595" t="n">
        <f aca="false">IF($A197&gt;Endyr,0,VLOOKUP($A197,Tariff_Table,Tariff!$I$33))</f>
        <v>2.32</v>
      </c>
      <c r="V197" s="1565" t="n">
        <f aca="false">D197</f>
        <v>3.93987628229506</v>
      </c>
      <c r="W197" s="1563" t="n">
        <f aca="false">U197*V197</f>
        <v>9.14051297492454</v>
      </c>
      <c r="X197" s="397" t="n">
        <f aca="false">VLOOKUP($A197,Plant_Table,'Plant Operations'!$M$270)</f>
        <v>298980.864</v>
      </c>
      <c r="Y197" s="630" t="n">
        <f aca="false">W197*X197/1000</f>
        <v>2732.83846664615</v>
      </c>
      <c r="Z197" s="1565" t="n">
        <f aca="false">$H197</f>
        <v>2.96851640423929</v>
      </c>
      <c r="AA197" s="1565" t="n">
        <f aca="false">H197</f>
        <v>2.96851640423929</v>
      </c>
      <c r="AB197" s="1609" t="n">
        <f aca="false">W197/AA197</f>
        <v>3.07915191638191</v>
      </c>
      <c r="AC197" s="1566" t="n">
        <f aca="false">Y197/Z197</f>
        <v>920.607500347118</v>
      </c>
      <c r="AD197" s="1567" t="str">
        <f aca="false">IF(MONTH($A197)=12,SUM(AC186:AC197)," ")</f>
        <v> </v>
      </c>
    </row>
    <row r="198" customFormat="false" ht="12.75" hidden="false" customHeight="false" outlineLevel="0" collapsed="false">
      <c r="A198" s="1538" t="n">
        <f aca="false">'Annex 12-Gas'!A198</f>
        <v>42614</v>
      </c>
      <c r="C198" s="1595" t="n">
        <f aca="false">IF($A198&gt;Endyr,0,VLOOKUP($A198,Tariff_Table,Tariff!$G$33))</f>
        <v>7434.78</v>
      </c>
      <c r="D198" s="1565" t="n">
        <f aca="false">VLOOKUP($A198,Curves_Table,Escalation!$AW$291)</f>
        <v>3.93987628229506</v>
      </c>
      <c r="E198" s="1563" t="n">
        <f aca="false">C198*D198</f>
        <v>29292.1133860817</v>
      </c>
      <c r="F198" s="1540" t="n">
        <f aca="false">VLOOKUP($A198,Plant_Table,'Plant Operations'!$C$270)</f>
        <v>480</v>
      </c>
      <c r="G198" s="1563" t="n">
        <f aca="false">E198*F198/1000</f>
        <v>14060.2144253192</v>
      </c>
      <c r="H198" s="1565" t="n">
        <f aca="false">IF(Assm!$L$74=0,VLOOKUP($A198,Curves_Table,Escalation!$D$291),VLOOKUP($A198,Curves_Table,Escalation!$E$291))</f>
        <v>2.97342123071846</v>
      </c>
      <c r="I198" s="394" t="n">
        <f aca="false">G198/H198</f>
        <v>4728.63188036155</v>
      </c>
      <c r="J198" s="1579" t="str">
        <f aca="false">IF(MONTH($A198)=12,SUM(I187:I198)," ")</f>
        <v> </v>
      </c>
      <c r="L198" s="1595" t="n">
        <f aca="false">IF($A198&gt;Endyr,0,VLOOKUP($A198,Tariff_Table,Tariff!$H$33))</f>
        <v>6151.18</v>
      </c>
      <c r="M198" s="1565" t="n">
        <f aca="false">D198</f>
        <v>3.93987628229506</v>
      </c>
      <c r="N198" s="1563" t="n">
        <f aca="false">L198*M198</f>
        <v>24234.8881901277</v>
      </c>
      <c r="O198" s="1540" t="n">
        <f aca="false">$F198</f>
        <v>480</v>
      </c>
      <c r="P198" s="1563" t="n">
        <f aca="false">N198*O198/1000</f>
        <v>11632.7463312613</v>
      </c>
      <c r="Q198" s="1565" t="n">
        <f aca="false">$H198</f>
        <v>2.97342123071846</v>
      </c>
      <c r="R198" s="394" t="n">
        <f aca="false">P198/Q198</f>
        <v>3912.24297825119</v>
      </c>
      <c r="S198" s="1579" t="str">
        <f aca="false">IF(MONTH($A198)=12,SUM(R187:R198)," ")</f>
        <v> </v>
      </c>
      <c r="U198" s="1595" t="n">
        <f aca="false">IF($A198&gt;Endyr,0,VLOOKUP($A198,Tariff_Table,Tariff!$I$33))</f>
        <v>2.32</v>
      </c>
      <c r="V198" s="1565" t="n">
        <f aca="false">D198</f>
        <v>3.93987628229506</v>
      </c>
      <c r="W198" s="1563" t="n">
        <f aca="false">U198*V198</f>
        <v>9.14051297492454</v>
      </c>
      <c r="X198" s="397" t="n">
        <f aca="false">VLOOKUP($A198,Plant_Table,'Plant Operations'!$M$270)</f>
        <v>289336.32</v>
      </c>
      <c r="Y198" s="630" t="n">
        <f aca="false">W198*X198/1000</f>
        <v>2644.68238707692</v>
      </c>
      <c r="Z198" s="1565" t="n">
        <f aca="false">$H198</f>
        <v>2.97342123071846</v>
      </c>
      <c r="AA198" s="1565" t="n">
        <f aca="false">H198</f>
        <v>2.97342123071846</v>
      </c>
      <c r="AB198" s="1609" t="n">
        <f aca="false">W198/AA198</f>
        <v>3.07407268115723</v>
      </c>
      <c r="AC198" s="1566" t="n">
        <f aca="false">Y198/Z198</f>
        <v>889.440876978567</v>
      </c>
      <c r="AD198" s="1567" t="str">
        <f aca="false">IF(MONTH($A198)=12,SUM(AC187:AC198)," ")</f>
        <v> </v>
      </c>
    </row>
    <row r="199" customFormat="false" ht="12.75" hidden="false" customHeight="false" outlineLevel="0" collapsed="false">
      <c r="A199" s="1538" t="n">
        <f aca="false">'Annex 12-Gas'!A199</f>
        <v>42644</v>
      </c>
      <c r="C199" s="1595" t="n">
        <f aca="false">IF($A199&gt;Endyr,0,VLOOKUP($A199,Tariff_Table,Tariff!$G$33))</f>
        <v>7434.78</v>
      </c>
      <c r="D199" s="1565" t="n">
        <f aca="false">VLOOKUP($A199,Curves_Table,Escalation!$AW$291)</f>
        <v>3.93987628229506</v>
      </c>
      <c r="E199" s="1563" t="n">
        <f aca="false">C199*D199</f>
        <v>29292.1133860817</v>
      </c>
      <c r="F199" s="1540" t="n">
        <f aca="false">VLOOKUP($A199,Plant_Table,'Plant Operations'!$C$270)</f>
        <v>480</v>
      </c>
      <c r="G199" s="1563" t="n">
        <f aca="false">E199*F199/1000</f>
        <v>14060.2144253192</v>
      </c>
      <c r="H199" s="1565" t="n">
        <f aca="false">IF(Assm!$L$74=0,VLOOKUP($A199,Curves_Table,Escalation!$D$291),VLOOKUP($A199,Curves_Table,Escalation!$E$291))</f>
        <v>2.97833416135456</v>
      </c>
      <c r="I199" s="394" t="n">
        <f aca="false">G199/H199</f>
        <v>4720.83173465147</v>
      </c>
      <c r="J199" s="1579" t="str">
        <f aca="false">IF(MONTH($A199)=12,SUM(I188:I199)," ")</f>
        <v> </v>
      </c>
      <c r="L199" s="1595" t="n">
        <f aca="false">IF($A199&gt;Endyr,0,VLOOKUP($A199,Tariff_Table,Tariff!$H$33))</f>
        <v>6151.18</v>
      </c>
      <c r="M199" s="1565" t="n">
        <f aca="false">D199</f>
        <v>3.93987628229506</v>
      </c>
      <c r="N199" s="1563" t="n">
        <f aca="false">L199*M199</f>
        <v>24234.8881901277</v>
      </c>
      <c r="O199" s="1540" t="n">
        <f aca="false">$F199</f>
        <v>480</v>
      </c>
      <c r="P199" s="1563" t="n">
        <f aca="false">N199*O199/1000</f>
        <v>11632.7463312613</v>
      </c>
      <c r="Q199" s="1565" t="n">
        <f aca="false">$H199</f>
        <v>2.97833416135456</v>
      </c>
      <c r="R199" s="394" t="n">
        <f aca="false">P199/Q199</f>
        <v>3905.78951220526</v>
      </c>
      <c r="S199" s="1579" t="str">
        <f aca="false">IF(MONTH($A199)=12,SUM(R188:R199)," ")</f>
        <v> </v>
      </c>
      <c r="U199" s="1595" t="n">
        <f aca="false">IF($A199&gt;Endyr,0,VLOOKUP($A199,Tariff_Table,Tariff!$I$33))</f>
        <v>2.32</v>
      </c>
      <c r="V199" s="1565" t="n">
        <f aca="false">D199</f>
        <v>3.93987628229506</v>
      </c>
      <c r="W199" s="1563" t="n">
        <f aca="false">U199*V199</f>
        <v>9.14051297492454</v>
      </c>
      <c r="X199" s="397" t="n">
        <f aca="false">VLOOKUP($A199,Plant_Table,'Plant Operations'!$M$270)</f>
        <v>298980.864</v>
      </c>
      <c r="Y199" s="630" t="n">
        <f aca="false">W199*X199/1000</f>
        <v>2732.83846664615</v>
      </c>
      <c r="Z199" s="1565" t="n">
        <f aca="false">$H199</f>
        <v>2.97833416135456</v>
      </c>
      <c r="AA199" s="1565" t="n">
        <f aca="false">H199</f>
        <v>2.97833416135456</v>
      </c>
      <c r="AB199" s="1609" t="n">
        <f aca="false">W199/AA199</f>
        <v>3.06900182441831</v>
      </c>
      <c r="AC199" s="1566" t="n">
        <f aca="false">Y199/Z199</f>
        <v>917.572817082163</v>
      </c>
      <c r="AD199" s="1567" t="str">
        <f aca="false">IF(MONTH($A199)=12,SUM(AC188:AC199)," ")</f>
        <v> </v>
      </c>
    </row>
    <row r="200" customFormat="false" ht="12.75" hidden="false" customHeight="false" outlineLevel="0" collapsed="false">
      <c r="A200" s="1538" t="n">
        <f aca="false">'Annex 12-Gas'!A200</f>
        <v>42675</v>
      </c>
      <c r="C200" s="1595" t="n">
        <f aca="false">IF($A200&gt;Endyr,0,VLOOKUP($A200,Tariff_Table,Tariff!$G$33))</f>
        <v>7434.78</v>
      </c>
      <c r="D200" s="1565" t="n">
        <f aca="false">VLOOKUP($A200,Curves_Table,Escalation!$AW$291)</f>
        <v>3.93987628229506</v>
      </c>
      <c r="E200" s="1563" t="n">
        <f aca="false">C200*D200</f>
        <v>29292.1133860817</v>
      </c>
      <c r="F200" s="1540" t="n">
        <f aca="false">VLOOKUP($A200,Plant_Table,'Plant Operations'!$C$270)</f>
        <v>480</v>
      </c>
      <c r="G200" s="1563" t="n">
        <f aca="false">E200*F200/1000</f>
        <v>14060.2144253192</v>
      </c>
      <c r="H200" s="1565" t="n">
        <f aca="false">IF(Assm!$L$74=0,VLOOKUP($A200,Curves_Table,Escalation!$D$291),VLOOKUP($A200,Curves_Table,Escalation!$E$291))</f>
        <v>2.98325520953795</v>
      </c>
      <c r="I200" s="394" t="n">
        <f aca="false">G200/H200</f>
        <v>4713.04445572287</v>
      </c>
      <c r="J200" s="1579" t="str">
        <f aca="false">IF(MONTH($A200)=12,SUM(I189:I200)," ")</f>
        <v> </v>
      </c>
      <c r="L200" s="1595" t="n">
        <f aca="false">IF($A200&gt;Endyr,0,VLOOKUP($A200,Tariff_Table,Tariff!$H$33))</f>
        <v>6151.18</v>
      </c>
      <c r="M200" s="1565" t="n">
        <f aca="false">D200</f>
        <v>3.93987628229506</v>
      </c>
      <c r="N200" s="1563" t="n">
        <f aca="false">L200*M200</f>
        <v>24234.8881901277</v>
      </c>
      <c r="O200" s="1540" t="n">
        <f aca="false">$F200</f>
        <v>480</v>
      </c>
      <c r="P200" s="1563" t="n">
        <f aca="false">N200*O200/1000</f>
        <v>11632.7463312613</v>
      </c>
      <c r="Q200" s="1565" t="n">
        <f aca="false">$H200</f>
        <v>2.98325520953795</v>
      </c>
      <c r="R200" s="394" t="n">
        <f aca="false">P200/Q200</f>
        <v>3899.34669151655</v>
      </c>
      <c r="S200" s="1579" t="str">
        <f aca="false">IF(MONTH($A200)=12,SUM(R189:R200)," ")</f>
        <v> </v>
      </c>
      <c r="U200" s="1595" t="n">
        <f aca="false">IF($A200&gt;Endyr,0,VLOOKUP($A200,Tariff_Table,Tariff!$I$33))</f>
        <v>2.32</v>
      </c>
      <c r="V200" s="1565" t="n">
        <f aca="false">D200</f>
        <v>3.93987628229506</v>
      </c>
      <c r="W200" s="1563" t="n">
        <f aca="false">U200*V200</f>
        <v>9.14051297492454</v>
      </c>
      <c r="X200" s="397" t="n">
        <f aca="false">VLOOKUP($A200,Plant_Table,'Plant Operations'!$M$270)</f>
        <v>289336.32</v>
      </c>
      <c r="Y200" s="630" t="n">
        <f aca="false">W200*X200/1000</f>
        <v>2644.68238707692</v>
      </c>
      <c r="Z200" s="1565" t="n">
        <f aca="false">$H200</f>
        <v>2.98325520953795</v>
      </c>
      <c r="AA200" s="1565" t="n">
        <f aca="false">H200</f>
        <v>2.98325520953795</v>
      </c>
      <c r="AB200" s="1609" t="n">
        <f aca="false">W200/AA200</f>
        <v>3.06393933234436</v>
      </c>
      <c r="AC200" s="1566" t="n">
        <f aca="false">Y200/Z200</f>
        <v>886.508931123774</v>
      </c>
      <c r="AD200" s="1567" t="str">
        <f aca="false">IF(MONTH($A200)=12,SUM(AC189:AC200)," ")</f>
        <v> </v>
      </c>
    </row>
    <row r="201" customFormat="false" ht="12.75" hidden="false" customHeight="false" outlineLevel="0" collapsed="false">
      <c r="A201" s="1538" t="n">
        <f aca="false">'Annex 12-Gas'!A201</f>
        <v>42705</v>
      </c>
      <c r="C201" s="1595" t="n">
        <f aca="false">IF($A201&gt;Endyr,0,VLOOKUP($A201,Tariff_Table,Tariff!$G$33))</f>
        <v>7434.78</v>
      </c>
      <c r="D201" s="1565" t="n">
        <f aca="false">VLOOKUP($A201,Curves_Table,Escalation!$AW$291)</f>
        <v>3.93987628229506</v>
      </c>
      <c r="E201" s="1563" t="n">
        <f aca="false">C201*D201</f>
        <v>29292.1133860817</v>
      </c>
      <c r="F201" s="1540" t="n">
        <f aca="false">VLOOKUP($A201,Plant_Table,'Plant Operations'!$C$270)</f>
        <v>480</v>
      </c>
      <c r="G201" s="1563" t="n">
        <f aca="false">E201*F201/1000</f>
        <v>14060.2144253192</v>
      </c>
      <c r="H201" s="1565" t="n">
        <f aca="false">IF(Assm!$L$74=0,VLOOKUP($A201,Curves_Table,Escalation!$D$291),VLOOKUP($A201,Curves_Table,Escalation!$E$291))</f>
        <v>2.9881843886811</v>
      </c>
      <c r="I201" s="394" t="n">
        <f aca="false">G201/H201</f>
        <v>4705.27002235126</v>
      </c>
      <c r="J201" s="1579" t="n">
        <f aca="false">IF(MONTH($A201)=12,SUM(I190:I201)," ")</f>
        <v>55737.4311224892</v>
      </c>
      <c r="L201" s="1595" t="n">
        <f aca="false">IF($A201&gt;Endyr,0,VLOOKUP($A201,Tariff_Table,Tariff!$H$33))</f>
        <v>6151.18</v>
      </c>
      <c r="M201" s="1565" t="n">
        <f aca="false">D201</f>
        <v>3.93987628229506</v>
      </c>
      <c r="N201" s="1563" t="n">
        <f aca="false">L201*M201</f>
        <v>24234.8881901277</v>
      </c>
      <c r="O201" s="1540" t="n">
        <f aca="false">$F201</f>
        <v>480</v>
      </c>
      <c r="P201" s="1563" t="n">
        <f aca="false">N201*O201/1000</f>
        <v>11632.7463312613</v>
      </c>
      <c r="Q201" s="1565" t="n">
        <f aca="false">$H201</f>
        <v>2.9881843886811</v>
      </c>
      <c r="R201" s="394" t="n">
        <f aca="false">P201/Q201</f>
        <v>3892.91449862493</v>
      </c>
      <c r="S201" s="1579" t="n">
        <f aca="false">IF(MONTH($A201)=12,SUM(R190:R201)," ")</f>
        <v>46095.7011061939</v>
      </c>
      <c r="U201" s="1595" t="n">
        <f aca="false">IF($A201&gt;Endyr,0,VLOOKUP($A201,Tariff_Table,Tariff!$I$33))</f>
        <v>2.32</v>
      </c>
      <c r="V201" s="1565" t="n">
        <f aca="false">D201</f>
        <v>3.93987628229506</v>
      </c>
      <c r="W201" s="1563" t="n">
        <f aca="false">U201*V201</f>
        <v>9.14051297492454</v>
      </c>
      <c r="X201" s="397" t="n">
        <f aca="false">VLOOKUP($A201,Plant_Table,'Plant Operations'!$M$270)</f>
        <v>298980.864</v>
      </c>
      <c r="Y201" s="630" t="n">
        <f aca="false">W201*X201/1000</f>
        <v>2732.83846664615</v>
      </c>
      <c r="Z201" s="1565" t="n">
        <f aca="false">$H201</f>
        <v>2.9881843886811</v>
      </c>
      <c r="AA201" s="1565" t="n">
        <f aca="false">H201</f>
        <v>2.9881843886811</v>
      </c>
      <c r="AB201" s="1609" t="n">
        <f aca="false">W201/AA201</f>
        <v>3.05888519113739</v>
      </c>
      <c r="AC201" s="1566" t="n">
        <f aca="false">Y201/Z201</f>
        <v>914.548137323062</v>
      </c>
      <c r="AD201" s="1567" t="n">
        <f aca="false">IF(MONTH($A201)=12,SUM(AC190:AC201)," ")</f>
        <v>10647.3129775386</v>
      </c>
    </row>
    <row r="202" customFormat="false" ht="12.75" hidden="false" customHeight="false" outlineLevel="0" collapsed="false">
      <c r="A202" s="1538" t="n">
        <f aca="false">'Annex 12-Gas'!A202</f>
        <v>42736</v>
      </c>
      <c r="C202" s="1595" t="n">
        <f aca="false">IF($A202&gt;Endyr,0,VLOOKUP($A202,Tariff_Table,Tariff!$G$33))</f>
        <v>7434.78</v>
      </c>
      <c r="D202" s="1565" t="n">
        <f aca="false">VLOOKUP($A202,Curves_Table,Escalation!$AW$291)</f>
        <v>3.93987628229506</v>
      </c>
      <c r="E202" s="1563" t="n">
        <f aca="false">C202*D202</f>
        <v>29292.1133860817</v>
      </c>
      <c r="F202" s="1540" t="n">
        <f aca="false">VLOOKUP($A202,Plant_Table,'Plant Operations'!$C$270)</f>
        <v>480</v>
      </c>
      <c r="G202" s="1563" t="n">
        <f aca="false">E202*F202/1000</f>
        <v>14060.2144253192</v>
      </c>
      <c r="H202" s="1565" t="n">
        <f aca="false">IF(Assm!$L$74=0,VLOOKUP($A202,Curves_Table,Escalation!$D$291),VLOOKUP($A202,Curves_Table,Escalation!$E$291))</f>
        <v>2.99310910169973</v>
      </c>
      <c r="I202" s="394" t="n">
        <f aca="false">G202/H202</f>
        <v>4697.52820481374</v>
      </c>
      <c r="J202" s="1579" t="str">
        <f aca="false">IF(MONTH($A202)=12,SUM(I191:I202)," ")</f>
        <v> </v>
      </c>
      <c r="L202" s="1595" t="n">
        <f aca="false">IF($A202&gt;Endyr,0,VLOOKUP($A202,Tariff_Table,Tariff!$H$33))</f>
        <v>6151.18</v>
      </c>
      <c r="M202" s="1565" t="n">
        <f aca="false">D202</f>
        <v>3.93987628229506</v>
      </c>
      <c r="N202" s="1563" t="n">
        <f aca="false">L202*M202</f>
        <v>24234.8881901277</v>
      </c>
      <c r="O202" s="1540" t="n">
        <f aca="false">$F202</f>
        <v>480</v>
      </c>
      <c r="P202" s="1563" t="n">
        <f aca="false">N202*O202/1000</f>
        <v>11632.7463312613</v>
      </c>
      <c r="Q202" s="1565" t="n">
        <f aca="false">$H202</f>
        <v>2.99310910169973</v>
      </c>
      <c r="R202" s="394" t="n">
        <f aca="false">P202/Q202</f>
        <v>3886.50929050842</v>
      </c>
      <c r="S202" s="1579" t="str">
        <f aca="false">IF(MONTH($A202)=12,SUM(R191:R202)," ")</f>
        <v> </v>
      </c>
      <c r="U202" s="1595" t="n">
        <f aca="false">IF($A202&gt;Endyr,0,VLOOKUP($A202,Tariff_Table,Tariff!$I$33))</f>
        <v>2.32</v>
      </c>
      <c r="V202" s="1565" t="n">
        <f aca="false">D202</f>
        <v>3.93987628229506</v>
      </c>
      <c r="W202" s="1563" t="n">
        <f aca="false">U202*V202</f>
        <v>9.14051297492454</v>
      </c>
      <c r="X202" s="397" t="n">
        <f aca="false">VLOOKUP($A202,Plant_Table,'Plant Operations'!$M$270)</f>
        <v>298980.864</v>
      </c>
      <c r="Y202" s="630" t="n">
        <f aca="false">W202*X202/1000</f>
        <v>2732.83846664615</v>
      </c>
      <c r="Z202" s="1565" t="n">
        <f aca="false">$H202</f>
        <v>2.99310910169973</v>
      </c>
      <c r="AA202" s="1565" t="n">
        <f aca="false">H202</f>
        <v>2.99310910169973</v>
      </c>
      <c r="AB202" s="1609" t="n">
        <f aca="false">W202/AA202</f>
        <v>3.05385225340894</v>
      </c>
      <c r="AC202" s="1566" t="n">
        <f aca="false">Y202/Z202</f>
        <v>913.043385252553</v>
      </c>
      <c r="AD202" s="1567" t="str">
        <f aca="false">IF(MONTH($A202)=12,SUM(AC191:AC202)," ")</f>
        <v> </v>
      </c>
    </row>
    <row r="203" customFormat="false" ht="12.75" hidden="false" customHeight="false" outlineLevel="0" collapsed="false">
      <c r="A203" s="1538" t="n">
        <f aca="false">'Annex 12-Gas'!A203</f>
        <v>42767</v>
      </c>
      <c r="C203" s="1595" t="n">
        <f aca="false">IF($A203&gt;Endyr,0,VLOOKUP($A203,Tariff_Table,Tariff!$G$33))</f>
        <v>7434.78</v>
      </c>
      <c r="D203" s="1565" t="n">
        <f aca="false">VLOOKUP($A203,Curves_Table,Escalation!$AW$291)</f>
        <v>3.93987628229506</v>
      </c>
      <c r="E203" s="1563" t="n">
        <f aca="false">C203*D203</f>
        <v>29292.1133860817</v>
      </c>
      <c r="F203" s="1540" t="n">
        <f aca="false">VLOOKUP($A203,Plant_Table,'Plant Operations'!$C$270)</f>
        <v>480</v>
      </c>
      <c r="G203" s="1563" t="n">
        <f aca="false">E203*F203/1000</f>
        <v>14060.2144253192</v>
      </c>
      <c r="H203" s="1565" t="n">
        <f aca="false">IF(Assm!$L$74=0,VLOOKUP($A203,Curves_Table,Escalation!$D$291),VLOOKUP($A203,Curves_Table,Escalation!$E$291))</f>
        <v>2.99804193095055</v>
      </c>
      <c r="I203" s="394" t="n">
        <f aca="false">G203/H203</f>
        <v>4689.79912527818</v>
      </c>
      <c r="J203" s="1579" t="str">
        <f aca="false">IF(MONTH($A203)=12,SUM(I192:I203)," ")</f>
        <v> </v>
      </c>
      <c r="L203" s="1595" t="n">
        <f aca="false">IF($A203&gt;Endyr,0,VLOOKUP($A203,Tariff_Table,Tariff!$H$33))</f>
        <v>6151.18</v>
      </c>
      <c r="M203" s="1565" t="n">
        <f aca="false">D203</f>
        <v>3.93987628229506</v>
      </c>
      <c r="N203" s="1563" t="n">
        <f aca="false">L203*M203</f>
        <v>24234.8881901277</v>
      </c>
      <c r="O203" s="1540" t="n">
        <f aca="false">$F203</f>
        <v>480</v>
      </c>
      <c r="P203" s="1563" t="n">
        <f aca="false">N203*O203/1000</f>
        <v>11632.7463312613</v>
      </c>
      <c r="Q203" s="1565" t="n">
        <f aca="false">$H203</f>
        <v>2.99804193095055</v>
      </c>
      <c r="R203" s="394" t="n">
        <f aca="false">P203/Q203</f>
        <v>3880.11462120314</v>
      </c>
      <c r="S203" s="1579" t="str">
        <f aca="false">IF(MONTH($A203)=12,SUM(R192:R203)," ")</f>
        <v> </v>
      </c>
      <c r="U203" s="1595" t="n">
        <f aca="false">IF($A203&gt;Endyr,0,VLOOKUP($A203,Tariff_Table,Tariff!$I$33))</f>
        <v>2.32</v>
      </c>
      <c r="V203" s="1565" t="n">
        <f aca="false">D203</f>
        <v>3.93987628229506</v>
      </c>
      <c r="W203" s="1563" t="n">
        <f aca="false">U203*V203</f>
        <v>9.14051297492454</v>
      </c>
      <c r="X203" s="397" t="n">
        <f aca="false">VLOOKUP($A203,Plant_Table,'Plant Operations'!$M$270)</f>
        <v>270047.232</v>
      </c>
      <c r="Y203" s="630" t="n">
        <f aca="false">W203*X203/1000</f>
        <v>2468.37022793846</v>
      </c>
      <c r="Z203" s="1565" t="n">
        <f aca="false">$H203</f>
        <v>2.99804193095055</v>
      </c>
      <c r="AA203" s="1565" t="n">
        <f aca="false">H203</f>
        <v>2.99804193095055</v>
      </c>
      <c r="AB203" s="1609" t="n">
        <f aca="false">W203/AA203</f>
        <v>3.0488275966262</v>
      </c>
      <c r="AC203" s="1566" t="n">
        <f aca="false">Y203/Z203</f>
        <v>823.327453314118</v>
      </c>
      <c r="AD203" s="1567" t="str">
        <f aca="false">IF(MONTH($A203)=12,SUM(AC192:AC203)," ")</f>
        <v> </v>
      </c>
    </row>
    <row r="204" customFormat="false" ht="12.75" hidden="false" customHeight="false" outlineLevel="0" collapsed="false">
      <c r="A204" s="1538" t="n">
        <f aca="false">'Annex 12-Gas'!A204</f>
        <v>42795</v>
      </c>
      <c r="C204" s="1595" t="n">
        <f aca="false">IF($A204&gt;Endyr,0,VLOOKUP($A204,Tariff_Table,Tariff!$G$33))</f>
        <v>7434.78</v>
      </c>
      <c r="D204" s="1565" t="n">
        <f aca="false">VLOOKUP($A204,Curves_Table,Escalation!$AW$291)</f>
        <v>3.93987628229506</v>
      </c>
      <c r="E204" s="1563" t="n">
        <f aca="false">C204*D204</f>
        <v>29292.1133860817</v>
      </c>
      <c r="F204" s="1540" t="n">
        <f aca="false">VLOOKUP($A204,Plant_Table,'Plant Operations'!$C$270)</f>
        <v>480</v>
      </c>
      <c r="G204" s="1563" t="n">
        <f aca="false">E204*F204/1000</f>
        <v>14060.2144253192</v>
      </c>
      <c r="H204" s="1565" t="n">
        <f aca="false">IF(Assm!$L$74=0,VLOOKUP($A204,Curves_Table,Escalation!$D$291),VLOOKUP($A204,Curves_Table,Escalation!$E$291))</f>
        <v>3.00298288980961</v>
      </c>
      <c r="I204" s="394" t="n">
        <f aca="false">G204/H204</f>
        <v>4682.08276278611</v>
      </c>
      <c r="J204" s="1579" t="str">
        <f aca="false">IF(MONTH($A204)=12,SUM(I193:I204)," ")</f>
        <v> </v>
      </c>
      <c r="L204" s="1595" t="n">
        <f aca="false">IF($A204&gt;Endyr,0,VLOOKUP($A204,Tariff_Table,Tariff!$H$33))</f>
        <v>6151.18</v>
      </c>
      <c r="M204" s="1565" t="n">
        <f aca="false">D204</f>
        <v>3.93987628229506</v>
      </c>
      <c r="N204" s="1563" t="n">
        <f aca="false">L204*M204</f>
        <v>24234.8881901277</v>
      </c>
      <c r="O204" s="1540" t="n">
        <f aca="false">$F204</f>
        <v>480</v>
      </c>
      <c r="P204" s="1563" t="n">
        <f aca="false">N204*O204/1000</f>
        <v>11632.7463312613</v>
      </c>
      <c r="Q204" s="1565" t="n">
        <f aca="false">$H204</f>
        <v>3.00298288980961</v>
      </c>
      <c r="R204" s="394" t="n">
        <f aca="false">P204/Q204</f>
        <v>3873.73047336904</v>
      </c>
      <c r="S204" s="1579" t="str">
        <f aca="false">IF(MONTH($A204)=12,SUM(R193:R204)," ")</f>
        <v> </v>
      </c>
      <c r="U204" s="1595" t="n">
        <f aca="false">IF($A204&gt;Endyr,0,VLOOKUP($A204,Tariff_Table,Tariff!$I$33))</f>
        <v>2.32</v>
      </c>
      <c r="V204" s="1565" t="n">
        <f aca="false">D204</f>
        <v>3.93987628229506</v>
      </c>
      <c r="W204" s="1563" t="n">
        <f aca="false">U204*V204</f>
        <v>9.14051297492454</v>
      </c>
      <c r="X204" s="397" t="n">
        <f aca="false">VLOOKUP($A204,Plant_Table,'Plant Operations'!$M$270)</f>
        <v>298980.864</v>
      </c>
      <c r="Y204" s="630" t="n">
        <f aca="false">W204*X204/1000</f>
        <v>2732.83846664615</v>
      </c>
      <c r="Z204" s="1565" t="n">
        <f aca="false">$H204</f>
        <v>3.00298288980961</v>
      </c>
      <c r="AA204" s="1565" t="n">
        <f aca="false">H204</f>
        <v>3.00298288980961</v>
      </c>
      <c r="AB204" s="1609" t="n">
        <f aca="false">W204/AA204</f>
        <v>3.0438112071641</v>
      </c>
      <c r="AC204" s="1566" t="n">
        <f aca="false">Y204/Z204</f>
        <v>910.041304570807</v>
      </c>
      <c r="AD204" s="1567" t="str">
        <f aca="false">IF(MONTH($A204)=12,SUM(AC193:AC204)," ")</f>
        <v> </v>
      </c>
    </row>
    <row r="205" customFormat="false" ht="12.75" hidden="false" customHeight="false" outlineLevel="0" collapsed="false">
      <c r="A205" s="1538" t="n">
        <f aca="false">'Annex 12-Gas'!A205</f>
        <v>42826</v>
      </c>
      <c r="C205" s="1595" t="n">
        <f aca="false">IF($A205&gt;Endyr,0,VLOOKUP($A205,Tariff_Table,Tariff!$G$33))</f>
        <v>7434.78</v>
      </c>
      <c r="D205" s="1565" t="n">
        <f aca="false">VLOOKUP($A205,Curves_Table,Escalation!$AW$291)</f>
        <v>3.93987628229506</v>
      </c>
      <c r="E205" s="1563" t="n">
        <f aca="false">C205*D205</f>
        <v>29292.1133860817</v>
      </c>
      <c r="F205" s="1540" t="n">
        <f aca="false">VLOOKUP($A205,Plant_Table,'Plant Operations'!$C$270)</f>
        <v>480</v>
      </c>
      <c r="G205" s="1563" t="n">
        <f aca="false">E205*F205/1000</f>
        <v>14060.2144253192</v>
      </c>
      <c r="H205" s="1565" t="n">
        <f aca="false">IF(Assm!$L$74=0,VLOOKUP($A205,Curves_Table,Escalation!$D$291),VLOOKUP($A205,Curves_Table,Escalation!$E$291))</f>
        <v>3.00793199167501</v>
      </c>
      <c r="I205" s="394" t="n">
        <f aca="false">G205/H205</f>
        <v>4674.37909641354</v>
      </c>
      <c r="J205" s="1579" t="str">
        <f aca="false">IF(MONTH($A205)=12,SUM(I194:I205)," ")</f>
        <v> </v>
      </c>
      <c r="L205" s="1595" t="n">
        <f aca="false">IF($A205&gt;Endyr,0,VLOOKUP($A205,Tariff_Table,Tariff!$H$33))</f>
        <v>6151.18</v>
      </c>
      <c r="M205" s="1565" t="n">
        <f aca="false">D205</f>
        <v>3.93987628229506</v>
      </c>
      <c r="N205" s="1563" t="n">
        <f aca="false">L205*M205</f>
        <v>24234.8881901277</v>
      </c>
      <c r="O205" s="1540" t="n">
        <f aca="false">$F205</f>
        <v>480</v>
      </c>
      <c r="P205" s="1563" t="n">
        <f aca="false">N205*O205/1000</f>
        <v>11632.7463312613</v>
      </c>
      <c r="Q205" s="1565" t="n">
        <f aca="false">$H205</f>
        <v>3.00793199167501</v>
      </c>
      <c r="R205" s="394" t="n">
        <f aca="false">P205/Q205</f>
        <v>3867.35682969463</v>
      </c>
      <c r="S205" s="1579" t="str">
        <f aca="false">IF(MONTH($A205)=12,SUM(R194:R205)," ")</f>
        <v> </v>
      </c>
      <c r="U205" s="1595" t="n">
        <f aca="false">IF($A205&gt;Endyr,0,VLOOKUP($A205,Tariff_Table,Tariff!$I$33))</f>
        <v>2.32</v>
      </c>
      <c r="V205" s="1565" t="n">
        <f aca="false">D205</f>
        <v>3.93987628229506</v>
      </c>
      <c r="W205" s="1563" t="n">
        <f aca="false">U205*V205</f>
        <v>9.14051297492454</v>
      </c>
      <c r="X205" s="397" t="n">
        <f aca="false">VLOOKUP($A205,Plant_Table,'Plant Operations'!$M$270)</f>
        <v>289336.32</v>
      </c>
      <c r="Y205" s="630" t="n">
        <f aca="false">W205*X205/1000</f>
        <v>2644.68238707692</v>
      </c>
      <c r="Z205" s="1565" t="n">
        <f aca="false">$H205</f>
        <v>3.00793199167501</v>
      </c>
      <c r="AA205" s="1565" t="n">
        <f aca="false">H205</f>
        <v>3.00793199167501</v>
      </c>
      <c r="AB205" s="1609" t="n">
        <f aca="false">W205/AA205</f>
        <v>3.03880307142002</v>
      </c>
      <c r="AC205" s="1566" t="n">
        <f aca="false">Y205/Z205</f>
        <v>879.236097889365</v>
      </c>
      <c r="AD205" s="1567" t="str">
        <f aca="false">IF(MONTH($A205)=12,SUM(AC194:AC205)," ")</f>
        <v> </v>
      </c>
    </row>
    <row r="206" customFormat="false" ht="12.75" hidden="false" customHeight="false" outlineLevel="0" collapsed="false">
      <c r="A206" s="1538" t="n">
        <f aca="false">'Annex 12-Gas'!A206</f>
        <v>42856</v>
      </c>
      <c r="C206" s="1595" t="n">
        <f aca="false">IF($A206&gt;Endyr,0,VLOOKUP($A206,Tariff_Table,Tariff!$G$33))</f>
        <v>7420.61</v>
      </c>
      <c r="D206" s="1565" t="n">
        <f aca="false">VLOOKUP($A206,Curves_Table,Escalation!$AW$291)</f>
        <v>4.21041404395839</v>
      </c>
      <c r="E206" s="1563" t="n">
        <f aca="false">C206*D206</f>
        <v>31243.840558738</v>
      </c>
      <c r="F206" s="1540" t="n">
        <f aca="false">VLOOKUP($A206,Plant_Table,'Plant Operations'!$C$270)</f>
        <v>480</v>
      </c>
      <c r="G206" s="1563" t="n">
        <f aca="false">E206*F206/1000</f>
        <v>14997.0434681943</v>
      </c>
      <c r="H206" s="1565" t="n">
        <f aca="false">IF(Assm!$L$74=0,VLOOKUP($A206,Curves_Table,Escalation!$D$291),VLOOKUP($A206,Curves_Table,Escalation!$E$291))</f>
        <v>3.01288924996692</v>
      </c>
      <c r="I206" s="394" t="n">
        <f aca="false">G206/H206</f>
        <v>4977.62852330496</v>
      </c>
      <c r="J206" s="1579" t="str">
        <f aca="false">IF(MONTH($A206)=12,SUM(I195:I206)," ")</f>
        <v> </v>
      </c>
      <c r="L206" s="1595" t="n">
        <f aca="false">IF($A206&gt;Endyr,0,VLOOKUP($A206,Tariff_Table,Tariff!$H$33))</f>
        <v>6104.93</v>
      </c>
      <c r="M206" s="1565" t="n">
        <f aca="false">D206</f>
        <v>4.21041404395839</v>
      </c>
      <c r="N206" s="1563" t="n">
        <f aca="false">L206*M206</f>
        <v>25704.2830093829</v>
      </c>
      <c r="O206" s="1540" t="n">
        <f aca="false">$F206</f>
        <v>480</v>
      </c>
      <c r="P206" s="1563" t="n">
        <f aca="false">N206*O206/1000</f>
        <v>12338.0558445038</v>
      </c>
      <c r="Q206" s="1565" t="n">
        <f aca="false">$H206</f>
        <v>3.01288924996692</v>
      </c>
      <c r="R206" s="394" t="n">
        <f aca="false">P206/Q206</f>
        <v>4095.09106404732</v>
      </c>
      <c r="S206" s="1579" t="str">
        <f aca="false">IF(MONTH($A206)=12,SUM(R195:R206)," ")</f>
        <v> </v>
      </c>
      <c r="U206" s="1595" t="n">
        <f aca="false">IF($A206&gt;Endyr,0,VLOOKUP($A206,Tariff_Table,Tariff!$I$33))</f>
        <v>2.3</v>
      </c>
      <c r="V206" s="1565" t="n">
        <f aca="false">D206</f>
        <v>4.21041404395839</v>
      </c>
      <c r="W206" s="1563" t="n">
        <f aca="false">U206*V206</f>
        <v>9.68395230110429</v>
      </c>
      <c r="X206" s="397" t="n">
        <f aca="false">VLOOKUP($A206,Plant_Table,'Plant Operations'!$M$270)</f>
        <v>298980.864</v>
      </c>
      <c r="Y206" s="630" t="n">
        <f aca="false">W206*X206/1000</f>
        <v>2895.31642591895</v>
      </c>
      <c r="Z206" s="1565" t="n">
        <f aca="false">$H206</f>
        <v>3.01288924996692</v>
      </c>
      <c r="AA206" s="1565" t="n">
        <f aca="false">H206</f>
        <v>3.01288924996692</v>
      </c>
      <c r="AB206" s="1609" t="n">
        <f aca="false">W206/AA206</f>
        <v>3.21417466679553</v>
      </c>
      <c r="AC206" s="1566" t="n">
        <f aca="false">Y206/Z206</f>
        <v>960.976718925441</v>
      </c>
      <c r="AD206" s="1567" t="str">
        <f aca="false">IF(MONTH($A206)=12,SUM(AC195:AC206)," ")</f>
        <v> </v>
      </c>
    </row>
    <row r="207" customFormat="false" ht="12.75" hidden="false" customHeight="false" outlineLevel="0" collapsed="false">
      <c r="A207" s="1538" t="n">
        <f aca="false">'Annex 12-Gas'!A207</f>
        <v>42887</v>
      </c>
      <c r="C207" s="1595" t="n">
        <f aca="false">IF($A207&gt;Endyr,0,VLOOKUP($A207,Tariff_Table,Tariff!$G$33))</f>
        <v>7420.61</v>
      </c>
      <c r="D207" s="1565" t="n">
        <f aca="false">VLOOKUP($A207,Curves_Table,Escalation!$AW$291)</f>
        <v>4.21041404395839</v>
      </c>
      <c r="E207" s="1563" t="n">
        <f aca="false">C207*D207</f>
        <v>31243.840558738</v>
      </c>
      <c r="F207" s="1540" t="n">
        <f aca="false">VLOOKUP($A207,Plant_Table,'Plant Operations'!$C$270)</f>
        <v>480</v>
      </c>
      <c r="G207" s="1563" t="n">
        <f aca="false">E207*F207/1000</f>
        <v>14997.0434681943</v>
      </c>
      <c r="H207" s="1565" t="n">
        <f aca="false">IF(Assm!$L$74=0,VLOOKUP($A207,Curves_Table,Escalation!$D$291),VLOOKUP($A207,Curves_Table,Escalation!$E$291))</f>
        <v>3.01785467812765</v>
      </c>
      <c r="I207" s="394" t="n">
        <f aca="false">G207/H207</f>
        <v>4969.43858062071</v>
      </c>
      <c r="J207" s="1579" t="str">
        <f aca="false">IF(MONTH($A207)=12,SUM(I196:I207)," ")</f>
        <v> </v>
      </c>
      <c r="L207" s="1595" t="n">
        <f aca="false">IF($A207&gt;Endyr,0,VLOOKUP($A207,Tariff_Table,Tariff!$H$33))</f>
        <v>6104.93</v>
      </c>
      <c r="M207" s="1565" t="n">
        <f aca="false">D207</f>
        <v>4.21041404395839</v>
      </c>
      <c r="N207" s="1563" t="n">
        <f aca="false">L207*M207</f>
        <v>25704.2830093829</v>
      </c>
      <c r="O207" s="1540" t="n">
        <f aca="false">$F207</f>
        <v>480</v>
      </c>
      <c r="P207" s="1563" t="n">
        <f aca="false">N207*O207/1000</f>
        <v>12338.0558445038</v>
      </c>
      <c r="Q207" s="1565" t="n">
        <f aca="false">$H207</f>
        <v>3.01785467812765</v>
      </c>
      <c r="R207" s="394" t="n">
        <f aca="false">P207/Q207</f>
        <v>4088.35320465417</v>
      </c>
      <c r="S207" s="1579" t="str">
        <f aca="false">IF(MONTH($A207)=12,SUM(R196:R207)," ")</f>
        <v> </v>
      </c>
      <c r="U207" s="1595" t="n">
        <f aca="false">IF($A207&gt;Endyr,0,VLOOKUP($A207,Tariff_Table,Tariff!$I$33))</f>
        <v>2.3</v>
      </c>
      <c r="V207" s="1565" t="n">
        <f aca="false">D207</f>
        <v>4.21041404395839</v>
      </c>
      <c r="W207" s="1563" t="n">
        <f aca="false">U207*V207</f>
        <v>9.68395230110429</v>
      </c>
      <c r="X207" s="397" t="n">
        <f aca="false">VLOOKUP($A207,Plant_Table,'Plant Operations'!$M$270)</f>
        <v>289336.32</v>
      </c>
      <c r="Y207" s="630" t="n">
        <f aca="false">W207*X207/1000</f>
        <v>2801.91912185705</v>
      </c>
      <c r="Z207" s="1565" t="n">
        <f aca="false">$H207</f>
        <v>3.01785467812765</v>
      </c>
      <c r="AA207" s="1565" t="n">
        <f aca="false">H207</f>
        <v>3.01785467812765</v>
      </c>
      <c r="AB207" s="1609" t="n">
        <f aca="false">W207/AA207</f>
        <v>3.2088862234786</v>
      </c>
      <c r="AC207" s="1566" t="n">
        <f aca="false">Y207/Z207</f>
        <v>928.447331199997</v>
      </c>
      <c r="AD207" s="1567" t="str">
        <f aca="false">IF(MONTH($A207)=12,SUM(AC196:AC207)," ")</f>
        <v> </v>
      </c>
    </row>
    <row r="208" customFormat="false" ht="12.75" hidden="false" customHeight="false" outlineLevel="0" collapsed="false">
      <c r="A208" s="1538" t="n">
        <f aca="false">'Annex 12-Gas'!A208</f>
        <v>42917</v>
      </c>
      <c r="C208" s="1595" t="n">
        <f aca="false">IF($A208&gt;Endyr,0,VLOOKUP($A208,Tariff_Table,Tariff!$G$33))</f>
        <v>7420.61</v>
      </c>
      <c r="D208" s="1565" t="n">
        <f aca="false">VLOOKUP($A208,Curves_Table,Escalation!$AW$291)</f>
        <v>4.21041404395839</v>
      </c>
      <c r="E208" s="1563" t="n">
        <f aca="false">C208*D208</f>
        <v>31243.840558738</v>
      </c>
      <c r="F208" s="1540" t="n">
        <f aca="false">VLOOKUP($A208,Plant_Table,'Plant Operations'!$C$270)</f>
        <v>480</v>
      </c>
      <c r="G208" s="1563" t="n">
        <f aca="false">E208*F208/1000</f>
        <v>14997.0434681943</v>
      </c>
      <c r="H208" s="1565" t="n">
        <f aca="false">IF(Assm!$L$74=0,VLOOKUP($A208,Curves_Table,Escalation!$D$291),VLOOKUP($A208,Curves_Table,Escalation!$E$291))</f>
        <v>3.02282828962165</v>
      </c>
      <c r="I208" s="394" t="n">
        <f aca="false">G208/H208</f>
        <v>4961.26211326127</v>
      </c>
      <c r="J208" s="1579" t="str">
        <f aca="false">IF(MONTH($A208)=12,SUM(I197:I208)," ")</f>
        <v> </v>
      </c>
      <c r="L208" s="1595" t="n">
        <f aca="false">IF($A208&gt;Endyr,0,VLOOKUP($A208,Tariff_Table,Tariff!$H$33))</f>
        <v>6104.93</v>
      </c>
      <c r="M208" s="1565" t="n">
        <f aca="false">D208</f>
        <v>4.21041404395839</v>
      </c>
      <c r="N208" s="1563" t="n">
        <f aca="false">L208*M208</f>
        <v>25704.2830093829</v>
      </c>
      <c r="O208" s="1540" t="n">
        <f aca="false">$F208</f>
        <v>480</v>
      </c>
      <c r="P208" s="1563" t="n">
        <f aca="false">N208*O208/1000</f>
        <v>12338.0558445038</v>
      </c>
      <c r="Q208" s="1565" t="n">
        <f aca="false">$H208</f>
        <v>3.02282828962165</v>
      </c>
      <c r="R208" s="394" t="n">
        <f aca="false">P208/Q208</f>
        <v>4081.62643140013</v>
      </c>
      <c r="S208" s="1579" t="str">
        <f aca="false">IF(MONTH($A208)=12,SUM(R197:R208)," ")</f>
        <v> </v>
      </c>
      <c r="U208" s="1595" t="n">
        <f aca="false">IF($A208&gt;Endyr,0,VLOOKUP($A208,Tariff_Table,Tariff!$I$33))</f>
        <v>2.3</v>
      </c>
      <c r="V208" s="1565" t="n">
        <f aca="false">D208</f>
        <v>4.21041404395839</v>
      </c>
      <c r="W208" s="1563" t="n">
        <f aca="false">U208*V208</f>
        <v>9.68395230110429</v>
      </c>
      <c r="X208" s="397" t="n">
        <f aca="false">VLOOKUP($A208,Plant_Table,'Plant Operations'!$M$270)</f>
        <v>298980.864</v>
      </c>
      <c r="Y208" s="630" t="n">
        <f aca="false">W208*X208/1000</f>
        <v>2895.31642591895</v>
      </c>
      <c r="Z208" s="1565" t="n">
        <f aca="false">$H208</f>
        <v>3.02282828962165</v>
      </c>
      <c r="AA208" s="1565" t="n">
        <f aca="false">H208</f>
        <v>3.02282828962165</v>
      </c>
      <c r="AB208" s="1609" t="n">
        <f aca="false">W208/AA208</f>
        <v>3.20360648150358</v>
      </c>
      <c r="AC208" s="1566" t="n">
        <f aca="false">Y208/Z208</f>
        <v>957.81703375594</v>
      </c>
      <c r="AD208" s="1567" t="str">
        <f aca="false">IF(MONTH($A208)=12,SUM(AC197:AC208)," ")</f>
        <v> </v>
      </c>
    </row>
    <row r="209" customFormat="false" ht="12.75" hidden="false" customHeight="false" outlineLevel="0" collapsed="false">
      <c r="A209" s="1538" t="n">
        <f aca="false">'Annex 12-Gas'!A209</f>
        <v>42948</v>
      </c>
      <c r="C209" s="1595" t="n">
        <f aca="false">IF($A209&gt;Endyr,0,VLOOKUP($A209,Tariff_Table,Tariff!$G$33))</f>
        <v>7420.61</v>
      </c>
      <c r="D209" s="1565" t="n">
        <f aca="false">VLOOKUP($A209,Curves_Table,Escalation!$AW$291)</f>
        <v>4.21041404395839</v>
      </c>
      <c r="E209" s="1563" t="n">
        <f aca="false">C209*D209</f>
        <v>31243.840558738</v>
      </c>
      <c r="F209" s="1540" t="n">
        <f aca="false">VLOOKUP($A209,Plant_Table,'Plant Operations'!$C$270)</f>
        <v>480</v>
      </c>
      <c r="G209" s="1563" t="n">
        <f aca="false">E209*F209/1000</f>
        <v>14997.0434681943</v>
      </c>
      <c r="H209" s="1565" t="n">
        <f aca="false">IF(Assm!$L$74=0,VLOOKUP($A209,Curves_Table,Escalation!$D$291),VLOOKUP($A209,Curves_Table,Escalation!$E$291))</f>
        <v>3.02781009793555</v>
      </c>
      <c r="I209" s="394" t="n">
        <f aca="false">G209/H209</f>
        <v>4953.09909905502</v>
      </c>
      <c r="J209" s="1579" t="str">
        <f aca="false">IF(MONTH($A209)=12,SUM(I198:I209)," ")</f>
        <v> </v>
      </c>
      <c r="L209" s="1595" t="n">
        <f aca="false">IF($A209&gt;Endyr,0,VLOOKUP($A209,Tariff_Table,Tariff!$H$33))</f>
        <v>6104.93</v>
      </c>
      <c r="M209" s="1565" t="n">
        <f aca="false">D209</f>
        <v>4.21041404395839</v>
      </c>
      <c r="N209" s="1563" t="n">
        <f aca="false">L209*M209</f>
        <v>25704.2830093829</v>
      </c>
      <c r="O209" s="1540" t="n">
        <f aca="false">$F209</f>
        <v>480</v>
      </c>
      <c r="P209" s="1563" t="n">
        <f aca="false">N209*O209/1000</f>
        <v>12338.0558445038</v>
      </c>
      <c r="Q209" s="1565" t="n">
        <f aca="false">$H209</f>
        <v>3.02781009793555</v>
      </c>
      <c r="R209" s="394" t="n">
        <f aca="false">P209/Q209</f>
        <v>4074.91072604462</v>
      </c>
      <c r="S209" s="1579" t="str">
        <f aca="false">IF(MONTH($A209)=12,SUM(R198:R209)," ")</f>
        <v> </v>
      </c>
      <c r="U209" s="1595" t="n">
        <f aca="false">IF($A209&gt;Endyr,0,VLOOKUP($A209,Tariff_Table,Tariff!$I$33))</f>
        <v>2.3</v>
      </c>
      <c r="V209" s="1565" t="n">
        <f aca="false">D209</f>
        <v>4.21041404395839</v>
      </c>
      <c r="W209" s="1563" t="n">
        <f aca="false">U209*V209</f>
        <v>9.68395230110429</v>
      </c>
      <c r="X209" s="397" t="n">
        <f aca="false">VLOOKUP($A209,Plant_Table,'Plant Operations'!$M$270)</f>
        <v>298980.864</v>
      </c>
      <c r="Y209" s="630" t="n">
        <f aca="false">W209*X209/1000</f>
        <v>2895.31642591895</v>
      </c>
      <c r="Z209" s="1565" t="n">
        <f aca="false">$H209</f>
        <v>3.02781009793555</v>
      </c>
      <c r="AA209" s="1565" t="n">
        <f aca="false">H209</f>
        <v>3.02781009793555</v>
      </c>
      <c r="AB209" s="1609" t="n">
        <f aca="false">W209/AA209</f>
        <v>3.1983354265537</v>
      </c>
      <c r="AC209" s="1566" t="n">
        <f aca="false">Y209/Z209</f>
        <v>956.241089192834</v>
      </c>
      <c r="AD209" s="1567" t="str">
        <f aca="false">IF(MONTH($A209)=12,SUM(AC198:AC209)," ")</f>
        <v> </v>
      </c>
    </row>
    <row r="210" customFormat="false" ht="12.75" hidden="false" customHeight="false" outlineLevel="0" collapsed="false">
      <c r="A210" s="1538" t="n">
        <f aca="false">'Annex 12-Gas'!A210</f>
        <v>42979</v>
      </c>
      <c r="C210" s="1595" t="n">
        <f aca="false">IF($A210&gt;Endyr,0,VLOOKUP($A210,Tariff_Table,Tariff!$G$33))</f>
        <v>7420.61</v>
      </c>
      <c r="D210" s="1565" t="n">
        <f aca="false">VLOOKUP($A210,Curves_Table,Escalation!$AW$291)</f>
        <v>4.21041404395839</v>
      </c>
      <c r="E210" s="1563" t="n">
        <f aca="false">C210*D210</f>
        <v>31243.840558738</v>
      </c>
      <c r="F210" s="1540" t="n">
        <f aca="false">VLOOKUP($A210,Plant_Table,'Plant Operations'!$C$270)</f>
        <v>480</v>
      </c>
      <c r="G210" s="1563" t="n">
        <f aca="false">E210*F210/1000</f>
        <v>14997.0434681943</v>
      </c>
      <c r="H210" s="1565" t="n">
        <f aca="false">IF(Assm!$L$74=0,VLOOKUP($A210,Curves_Table,Escalation!$D$291),VLOOKUP($A210,Curves_Table,Escalation!$E$291))</f>
        <v>3.03280011657821</v>
      </c>
      <c r="I210" s="394" t="n">
        <f aca="false">G210/H210</f>
        <v>4944.94951586681</v>
      </c>
      <c r="J210" s="1579" t="str">
        <f aca="false">IF(MONTH($A210)=12,SUM(I199:I210)," ")</f>
        <v> </v>
      </c>
      <c r="L210" s="1595" t="n">
        <f aca="false">IF($A210&gt;Endyr,0,VLOOKUP($A210,Tariff_Table,Tariff!$H$33))</f>
        <v>6104.93</v>
      </c>
      <c r="M210" s="1565" t="n">
        <f aca="false">D210</f>
        <v>4.21041404395839</v>
      </c>
      <c r="N210" s="1563" t="n">
        <f aca="false">L210*M210</f>
        <v>25704.2830093829</v>
      </c>
      <c r="O210" s="1540" t="n">
        <f aca="false">$F210</f>
        <v>480</v>
      </c>
      <c r="P210" s="1563" t="n">
        <f aca="false">N210*O210/1000</f>
        <v>12338.0558445038</v>
      </c>
      <c r="Q210" s="1565" t="n">
        <f aca="false">$H210</f>
        <v>3.03280011657821</v>
      </c>
      <c r="R210" s="394" t="n">
        <f aca="false">P210/Q210</f>
        <v>4068.20607037707</v>
      </c>
      <c r="S210" s="1579" t="str">
        <f aca="false">IF(MONTH($A210)=12,SUM(R199:R210)," ")</f>
        <v> </v>
      </c>
      <c r="U210" s="1595" t="n">
        <f aca="false">IF($A210&gt;Endyr,0,VLOOKUP($A210,Tariff_Table,Tariff!$I$33))</f>
        <v>2.3</v>
      </c>
      <c r="V210" s="1565" t="n">
        <f aca="false">D210</f>
        <v>4.21041404395839</v>
      </c>
      <c r="W210" s="1563" t="n">
        <f aca="false">U210*V210</f>
        <v>9.68395230110429</v>
      </c>
      <c r="X210" s="397" t="n">
        <f aca="false">VLOOKUP($A210,Plant_Table,'Plant Operations'!$M$270)</f>
        <v>289336.32</v>
      </c>
      <c r="Y210" s="630" t="n">
        <f aca="false">W210*X210/1000</f>
        <v>2801.91912185705</v>
      </c>
      <c r="Z210" s="1565" t="n">
        <f aca="false">$H210</f>
        <v>3.03280011657821</v>
      </c>
      <c r="AA210" s="1565" t="n">
        <f aca="false">H210</f>
        <v>3.03280011657821</v>
      </c>
      <c r="AB210" s="1609" t="n">
        <f aca="false">W210/AA210</f>
        <v>3.19307304433577</v>
      </c>
      <c r="AC210" s="1566" t="n">
        <f aca="false">Y210/Z210</f>
        <v>923.872004139309</v>
      </c>
      <c r="AD210" s="1567" t="str">
        <f aca="false">IF(MONTH($A210)=12,SUM(AC199:AC210)," ")</f>
        <v> </v>
      </c>
    </row>
    <row r="211" customFormat="false" ht="12.75" hidden="false" customHeight="false" outlineLevel="0" collapsed="false">
      <c r="A211" s="1538" t="n">
        <f aca="false">'Annex 12-Gas'!A211</f>
        <v>43009</v>
      </c>
      <c r="C211" s="1595" t="n">
        <f aca="false">IF($A211&gt;Endyr,0,VLOOKUP($A211,Tariff_Table,Tariff!$G$33))</f>
        <v>7420.61</v>
      </c>
      <c r="D211" s="1565" t="n">
        <f aca="false">VLOOKUP($A211,Curves_Table,Escalation!$AW$291)</f>
        <v>4.21041404395839</v>
      </c>
      <c r="E211" s="1563" t="n">
        <f aca="false">C211*D211</f>
        <v>31243.840558738</v>
      </c>
      <c r="F211" s="1540" t="n">
        <f aca="false">VLOOKUP($A211,Plant_Table,'Plant Operations'!$C$270)</f>
        <v>480</v>
      </c>
      <c r="G211" s="1563" t="n">
        <f aca="false">E211*F211/1000</f>
        <v>14997.0434681943</v>
      </c>
      <c r="H211" s="1565" t="n">
        <f aca="false">IF(Assm!$L$74=0,VLOOKUP($A211,Curves_Table,Escalation!$D$291),VLOOKUP($A211,Curves_Table,Escalation!$E$291))</f>
        <v>3.03779835908079</v>
      </c>
      <c r="I211" s="394" t="n">
        <f aca="false">G211/H211</f>
        <v>4936.81334159791</v>
      </c>
      <c r="J211" s="1579" t="str">
        <f aca="false">IF(MONTH($A211)=12,SUM(I200:I211)," ")</f>
        <v> </v>
      </c>
      <c r="L211" s="1595" t="n">
        <f aca="false">IF($A211&gt;Endyr,0,VLOOKUP($A211,Tariff_Table,Tariff!$H$33))</f>
        <v>6104.93</v>
      </c>
      <c r="M211" s="1565" t="n">
        <f aca="false">D211</f>
        <v>4.21041404395839</v>
      </c>
      <c r="N211" s="1563" t="n">
        <f aca="false">L211*M211</f>
        <v>25704.2830093829</v>
      </c>
      <c r="O211" s="1540" t="n">
        <f aca="false">$F211</f>
        <v>480</v>
      </c>
      <c r="P211" s="1563" t="n">
        <f aca="false">N211*O211/1000</f>
        <v>12338.0558445038</v>
      </c>
      <c r="Q211" s="1565" t="n">
        <f aca="false">$H211</f>
        <v>3.03779835908079</v>
      </c>
      <c r="R211" s="394" t="n">
        <f aca="false">P211/Q211</f>
        <v>4061.51244621686</v>
      </c>
      <c r="S211" s="1579" t="str">
        <f aca="false">IF(MONTH($A211)=12,SUM(R200:R211)," ")</f>
        <v> </v>
      </c>
      <c r="U211" s="1595" t="n">
        <f aca="false">IF($A211&gt;Endyr,0,VLOOKUP($A211,Tariff_Table,Tariff!$I$33))</f>
        <v>2.3</v>
      </c>
      <c r="V211" s="1565" t="n">
        <f aca="false">D211</f>
        <v>4.21041404395839</v>
      </c>
      <c r="W211" s="1563" t="n">
        <f aca="false">U211*V211</f>
        <v>9.68395230110429</v>
      </c>
      <c r="X211" s="397" t="n">
        <f aca="false">VLOOKUP($A211,Plant_Table,'Plant Operations'!$M$270)</f>
        <v>298980.864</v>
      </c>
      <c r="Y211" s="630" t="n">
        <f aca="false">W211*X211/1000</f>
        <v>2895.31642591895</v>
      </c>
      <c r="Z211" s="1565" t="n">
        <f aca="false">$H211</f>
        <v>3.03779835908079</v>
      </c>
      <c r="AA211" s="1565" t="n">
        <f aca="false">H211</f>
        <v>3.03779835908079</v>
      </c>
      <c r="AB211" s="1609" t="n">
        <f aca="false">W211/AA211</f>
        <v>3.18781932058011</v>
      </c>
      <c r="AC211" s="1566" t="n">
        <f aca="false">Y211/Z211</f>
        <v>953.096974742935</v>
      </c>
      <c r="AD211" s="1567" t="str">
        <f aca="false">IF(MONTH($A211)=12,SUM(AC200:AC211)," ")</f>
        <v> </v>
      </c>
    </row>
    <row r="212" customFormat="false" ht="12.75" hidden="false" customHeight="false" outlineLevel="0" collapsed="false">
      <c r="A212" s="1538" t="n">
        <f aca="false">'Annex 12-Gas'!A212</f>
        <v>43040</v>
      </c>
      <c r="C212" s="1595" t="n">
        <f aca="false">IF($A212&gt;Endyr,0,VLOOKUP($A212,Tariff_Table,Tariff!$G$33))</f>
        <v>7420.61</v>
      </c>
      <c r="D212" s="1565" t="n">
        <f aca="false">VLOOKUP($A212,Curves_Table,Escalation!$AW$291)</f>
        <v>4.21041404395839</v>
      </c>
      <c r="E212" s="1563" t="n">
        <f aca="false">C212*D212</f>
        <v>31243.840558738</v>
      </c>
      <c r="F212" s="1540" t="n">
        <f aca="false">VLOOKUP($A212,Plant_Table,'Plant Operations'!$C$270)</f>
        <v>480</v>
      </c>
      <c r="G212" s="1563" t="n">
        <f aca="false">E212*F212/1000</f>
        <v>14997.0434681943</v>
      </c>
      <c r="H212" s="1565" t="n">
        <f aca="false">IF(Assm!$L$74=0,VLOOKUP($A212,Curves_Table,Escalation!$D$291),VLOOKUP($A212,Curves_Table,Escalation!$E$291))</f>
        <v>3.04280483899669</v>
      </c>
      <c r="I212" s="394" t="n">
        <f aca="false">G212/H212</f>
        <v>4928.69055418594</v>
      </c>
      <c r="J212" s="1579" t="str">
        <f aca="false">IF(MONTH($A212)=12,SUM(I201:I212)," ")</f>
        <v> </v>
      </c>
      <c r="L212" s="1595" t="n">
        <f aca="false">IF($A212&gt;Endyr,0,VLOOKUP($A212,Tariff_Table,Tariff!$H$33))</f>
        <v>6104.93</v>
      </c>
      <c r="M212" s="1565" t="n">
        <f aca="false">D212</f>
        <v>4.21041404395839</v>
      </c>
      <c r="N212" s="1563" t="n">
        <f aca="false">L212*M212</f>
        <v>25704.2830093829</v>
      </c>
      <c r="O212" s="1540" t="n">
        <f aca="false">$F212</f>
        <v>480</v>
      </c>
      <c r="P212" s="1563" t="n">
        <f aca="false">N212*O212/1000</f>
        <v>12338.0558445038</v>
      </c>
      <c r="Q212" s="1565" t="n">
        <f aca="false">$H212</f>
        <v>3.04280483899669</v>
      </c>
      <c r="R212" s="394" t="n">
        <f aca="false">P212/Q212</f>
        <v>4054.82983541331</v>
      </c>
      <c r="S212" s="1579" t="str">
        <f aca="false">IF(MONTH($A212)=12,SUM(R201:R212)," ")</f>
        <v> </v>
      </c>
      <c r="U212" s="1595" t="n">
        <f aca="false">IF($A212&gt;Endyr,0,VLOOKUP($A212,Tariff_Table,Tariff!$I$33))</f>
        <v>2.3</v>
      </c>
      <c r="V212" s="1565" t="n">
        <f aca="false">D212</f>
        <v>4.21041404395839</v>
      </c>
      <c r="W212" s="1563" t="n">
        <f aca="false">U212*V212</f>
        <v>9.68395230110429</v>
      </c>
      <c r="X212" s="397" t="n">
        <f aca="false">VLOOKUP($A212,Plant_Table,'Plant Operations'!$M$270)</f>
        <v>289336.32</v>
      </c>
      <c r="Y212" s="630" t="n">
        <f aca="false">W212*X212/1000</f>
        <v>2801.91912185705</v>
      </c>
      <c r="Z212" s="1565" t="n">
        <f aca="false">$H212</f>
        <v>3.04280483899669</v>
      </c>
      <c r="AA212" s="1565" t="n">
        <f aca="false">H212</f>
        <v>3.04280483899669</v>
      </c>
      <c r="AB212" s="1609" t="n">
        <f aca="false">W212/AA212</f>
        <v>3.18257424104051</v>
      </c>
      <c r="AC212" s="1566" t="n">
        <f aca="false">Y212/Z212</f>
        <v>920.834319029455</v>
      </c>
      <c r="AD212" s="1567" t="str">
        <f aca="false">IF(MONTH($A212)=12,SUM(AC201:AC212)," ")</f>
        <v> </v>
      </c>
    </row>
    <row r="213" customFormat="false" ht="12.75" hidden="false" customHeight="false" outlineLevel="0" collapsed="false">
      <c r="A213" s="1538" t="n">
        <f aca="false">'Annex 12-Gas'!A213</f>
        <v>43070</v>
      </c>
      <c r="C213" s="1595" t="n">
        <f aca="false">IF($A213&gt;Endyr,0,VLOOKUP($A213,Tariff_Table,Tariff!$G$33))</f>
        <v>7420.61</v>
      </c>
      <c r="D213" s="1565" t="n">
        <f aca="false">VLOOKUP($A213,Curves_Table,Escalation!$AW$291)</f>
        <v>4.21041404395839</v>
      </c>
      <c r="E213" s="1563" t="n">
        <f aca="false">C213*D213</f>
        <v>31243.840558738</v>
      </c>
      <c r="F213" s="1540" t="n">
        <f aca="false">VLOOKUP($A213,Plant_Table,'Plant Operations'!$C$270)</f>
        <v>480</v>
      </c>
      <c r="G213" s="1563" t="n">
        <f aca="false">E213*F213/1000</f>
        <v>14997.0434681943</v>
      </c>
      <c r="H213" s="1565" t="n">
        <f aca="false">IF(Assm!$L$74=0,VLOOKUP($A213,Curves_Table,Escalation!$D$291),VLOOKUP($A213,Curves_Table,Escalation!$E$291))</f>
        <v>3.04781956990169</v>
      </c>
      <c r="I213" s="394" t="n">
        <f aca="false">G213/H213</f>
        <v>4920.58113160484</v>
      </c>
      <c r="J213" s="1579" t="n">
        <f aca="false">IF(MONTH($A213)=12,SUM(I202:I213)," ")</f>
        <v>58336.2520487891</v>
      </c>
      <c r="L213" s="1595" t="n">
        <f aca="false">IF($A213&gt;Endyr,0,VLOOKUP($A213,Tariff_Table,Tariff!$H$33))</f>
        <v>6104.93</v>
      </c>
      <c r="M213" s="1565" t="n">
        <f aca="false">D213</f>
        <v>4.21041404395839</v>
      </c>
      <c r="N213" s="1563" t="n">
        <f aca="false">L213*M213</f>
        <v>25704.2830093829</v>
      </c>
      <c r="O213" s="1540" t="n">
        <f aca="false">$F213</f>
        <v>480</v>
      </c>
      <c r="P213" s="1563" t="n">
        <f aca="false">N213*O213/1000</f>
        <v>12338.0558445038</v>
      </c>
      <c r="Q213" s="1565" t="n">
        <f aca="false">$H213</f>
        <v>3.04781956990169</v>
      </c>
      <c r="R213" s="394" t="n">
        <f aca="false">P213/Q213</f>
        <v>4048.15821984559</v>
      </c>
      <c r="S213" s="1579" t="n">
        <f aca="false">IF(MONTH($A213)=12,SUM(R202:R213)," ")</f>
        <v>48080.3992127743</v>
      </c>
      <c r="U213" s="1595" t="n">
        <f aca="false">IF($A213&gt;Endyr,0,VLOOKUP($A213,Tariff_Table,Tariff!$I$33))</f>
        <v>2.3</v>
      </c>
      <c r="V213" s="1565" t="n">
        <f aca="false">D213</f>
        <v>4.21041404395839</v>
      </c>
      <c r="W213" s="1563" t="n">
        <f aca="false">U213*V213</f>
        <v>9.68395230110429</v>
      </c>
      <c r="X213" s="397" t="n">
        <f aca="false">VLOOKUP($A213,Plant_Table,'Plant Operations'!$M$270)</f>
        <v>298980.864</v>
      </c>
      <c r="Y213" s="630" t="n">
        <f aca="false">W213*X213/1000</f>
        <v>2895.31642591895</v>
      </c>
      <c r="Z213" s="1565" t="n">
        <f aca="false">$H213</f>
        <v>3.04781956990169</v>
      </c>
      <c r="AA213" s="1565" t="n">
        <f aca="false">H213</f>
        <v>3.04781956990169</v>
      </c>
      <c r="AB213" s="1609" t="n">
        <f aca="false">W213/AA213</f>
        <v>3.17733779149421</v>
      </c>
      <c r="AC213" s="1566" t="n">
        <f aca="false">Y213/Z213</f>
        <v>949.963198120792</v>
      </c>
      <c r="AD213" s="1567" t="n">
        <f aca="false">IF(MONTH($A213)=12,SUM(AC202:AC213)," ")</f>
        <v>11076.8969101335</v>
      </c>
    </row>
    <row r="214" customFormat="false" ht="12.75" hidden="false" customHeight="false" outlineLevel="0" collapsed="false">
      <c r="A214" s="1538" t="n">
        <f aca="false">'Annex 12-Gas'!A214</f>
        <v>43101</v>
      </c>
      <c r="C214" s="1595" t="n">
        <f aca="false">IF($A214&gt;Endyr,0,VLOOKUP($A214,Tariff_Table,Tariff!$G$33))</f>
        <v>7420.61</v>
      </c>
      <c r="D214" s="1565" t="n">
        <f aca="false">VLOOKUP($A214,Curves_Table,Escalation!$AW$291)</f>
        <v>4.21041404395839</v>
      </c>
      <c r="E214" s="1563" t="n">
        <f aca="false">C214*D214</f>
        <v>31243.840558738</v>
      </c>
      <c r="F214" s="1540" t="n">
        <f aca="false">VLOOKUP($A214,Plant_Table,'Plant Operations'!$C$270)</f>
        <v>480</v>
      </c>
      <c r="G214" s="1563" t="n">
        <f aca="false">E214*F214/1000</f>
        <v>14997.0434681943</v>
      </c>
      <c r="H214" s="1565" t="n">
        <f aca="false">IF(Assm!$L$74=0,VLOOKUP($A214,Curves_Table,Escalation!$D$291),VLOOKUP($A214,Curves_Table,Escalation!$E$291))</f>
        <v>3.05285098115965</v>
      </c>
      <c r="I214" s="394" t="n">
        <f aca="false">G214/H214</f>
        <v>4912.47150966325</v>
      </c>
      <c r="J214" s="1579" t="str">
        <f aca="false">IF(MONTH($A214)=12,SUM(I203:I214)," ")</f>
        <v> </v>
      </c>
      <c r="L214" s="1595" t="n">
        <f aca="false">IF($A214&gt;Endyr,0,VLOOKUP($A214,Tariff_Table,Tariff!$H$33))</f>
        <v>6104.93</v>
      </c>
      <c r="M214" s="1565" t="n">
        <f aca="false">D214</f>
        <v>4.21041404395839</v>
      </c>
      <c r="N214" s="1563" t="n">
        <f aca="false">L214*M214</f>
        <v>25704.2830093829</v>
      </c>
      <c r="O214" s="1540" t="n">
        <f aca="false">$F214</f>
        <v>480</v>
      </c>
      <c r="P214" s="1563" t="n">
        <f aca="false">N214*O214/1000</f>
        <v>12338.0558445038</v>
      </c>
      <c r="Q214" s="1565" t="n">
        <f aca="false">$H214</f>
        <v>3.05285098115965</v>
      </c>
      <c r="R214" s="394" t="n">
        <f aca="false">P214/Q214</f>
        <v>4041.48644026414</v>
      </c>
      <c r="S214" s="1579" t="str">
        <f aca="false">IF(MONTH($A214)=12,SUM(R203:R214)," ")</f>
        <v> </v>
      </c>
      <c r="U214" s="1595" t="n">
        <f aca="false">IF($A214&gt;Endyr,0,VLOOKUP($A214,Tariff_Table,Tariff!$I$33))</f>
        <v>2.3</v>
      </c>
      <c r="V214" s="1565" t="n">
        <f aca="false">D214</f>
        <v>4.21041404395839</v>
      </c>
      <c r="W214" s="1563" t="n">
        <f aca="false">U214*V214</f>
        <v>9.68395230110429</v>
      </c>
      <c r="X214" s="397" t="n">
        <f aca="false">VLOOKUP($A214,Plant_Table,'Plant Operations'!$M$270)</f>
        <v>298980.864</v>
      </c>
      <c r="Y214" s="630" t="n">
        <f aca="false">W214*X214/1000</f>
        <v>2895.31642591895</v>
      </c>
      <c r="Z214" s="1565" t="n">
        <f aca="false">$H214</f>
        <v>3.05285098115965</v>
      </c>
      <c r="AA214" s="1565" t="n">
        <f aca="false">H214</f>
        <v>3.05285098115965</v>
      </c>
      <c r="AB214" s="1609" t="n">
        <f aca="false">W214/AA214</f>
        <v>3.17210121321604</v>
      </c>
      <c r="AC214" s="1566" t="n">
        <f aca="false">Y214/Z214</f>
        <v>948.397561422779</v>
      </c>
      <c r="AD214" s="1567" t="str">
        <f aca="false">IF(MONTH($A214)=12,SUM(AC203:AC214)," ")</f>
        <v> </v>
      </c>
    </row>
    <row r="215" customFormat="false" ht="12.75" hidden="false" customHeight="false" outlineLevel="0" collapsed="false">
      <c r="A215" s="1538" t="n">
        <f aca="false">'Annex 12-Gas'!A215</f>
        <v>43132</v>
      </c>
      <c r="C215" s="1595" t="n">
        <f aca="false">IF($A215&gt;Endyr,0,VLOOKUP($A215,Tariff_Table,Tariff!$G$33))</f>
        <v>7420.61</v>
      </c>
      <c r="D215" s="1565" t="n">
        <f aca="false">VLOOKUP($A215,Curves_Table,Escalation!$AW$291)</f>
        <v>4.21041404395839</v>
      </c>
      <c r="E215" s="1563" t="n">
        <f aca="false">C215*D215</f>
        <v>31243.840558738</v>
      </c>
      <c r="F215" s="1540" t="n">
        <f aca="false">VLOOKUP($A215,Plant_Table,'Plant Operations'!$C$270)</f>
        <v>480</v>
      </c>
      <c r="G215" s="1563" t="n">
        <f aca="false">E215*F215/1000</f>
        <v>14997.0434681943</v>
      </c>
      <c r="H215" s="1565" t="n">
        <f aca="false">IF(Assm!$L$74=0,VLOOKUP($A215,Curves_Table,Escalation!$D$291),VLOOKUP($A215,Curves_Table,Escalation!$E$291))</f>
        <v>3.05789069838804</v>
      </c>
      <c r="I215" s="394" t="n">
        <f aca="false">G215/H215</f>
        <v>4904.37525320964</v>
      </c>
      <c r="J215" s="1579" t="str">
        <f aca="false">IF(MONTH($A215)=12,SUM(I204:I215)," ")</f>
        <v> </v>
      </c>
      <c r="L215" s="1595" t="n">
        <f aca="false">IF($A215&gt;Endyr,0,VLOOKUP($A215,Tariff_Table,Tariff!$H$33))</f>
        <v>6104.93</v>
      </c>
      <c r="M215" s="1565" t="n">
        <f aca="false">D215</f>
        <v>4.21041404395839</v>
      </c>
      <c r="N215" s="1563" t="n">
        <f aca="false">L215*M215</f>
        <v>25704.2830093829</v>
      </c>
      <c r="O215" s="1540" t="n">
        <f aca="false">$F215</f>
        <v>480</v>
      </c>
      <c r="P215" s="1563" t="n">
        <f aca="false">N215*O215/1000</f>
        <v>12338.0558445038</v>
      </c>
      <c r="Q215" s="1565" t="n">
        <f aca="false">$H215</f>
        <v>3.05789069838804</v>
      </c>
      <c r="R215" s="394" t="n">
        <f aca="false">P215/Q215</f>
        <v>4034.82565645913</v>
      </c>
      <c r="S215" s="1579" t="str">
        <f aca="false">IF(MONTH($A215)=12,SUM(R204:R215)," ")</f>
        <v> </v>
      </c>
      <c r="U215" s="1595" t="n">
        <f aca="false">IF($A215&gt;Endyr,0,VLOOKUP($A215,Tariff_Table,Tariff!$I$33))</f>
        <v>2.3</v>
      </c>
      <c r="V215" s="1565" t="n">
        <f aca="false">D215</f>
        <v>4.21041404395839</v>
      </c>
      <c r="W215" s="1563" t="n">
        <f aca="false">U215*V215</f>
        <v>9.68395230110429</v>
      </c>
      <c r="X215" s="397" t="n">
        <f aca="false">VLOOKUP($A215,Plant_Table,'Plant Operations'!$M$270)</f>
        <v>270047.232</v>
      </c>
      <c r="Y215" s="630" t="n">
        <f aca="false">W215*X215/1000</f>
        <v>2615.12451373324</v>
      </c>
      <c r="Z215" s="1565" t="n">
        <f aca="false">$H215</f>
        <v>3.05789069838804</v>
      </c>
      <c r="AA215" s="1565" t="n">
        <f aca="false">H215</f>
        <v>3.05789069838804</v>
      </c>
      <c r="AB215" s="1609" t="n">
        <f aca="false">W215/AA215</f>
        <v>3.16687326535548</v>
      </c>
      <c r="AC215" s="1566" t="n">
        <f aca="false">Y215/Z215</f>
        <v>855.20535940405</v>
      </c>
      <c r="AD215" s="1567" t="str">
        <f aca="false">IF(MONTH($A215)=12,SUM(AC204:AC215)," ")</f>
        <v> </v>
      </c>
    </row>
    <row r="216" customFormat="false" ht="12.75" hidden="false" customHeight="false" outlineLevel="0" collapsed="false">
      <c r="A216" s="1538" t="n">
        <f aca="false">'Annex 12-Gas'!A216</f>
        <v>43160</v>
      </c>
      <c r="C216" s="1595" t="n">
        <f aca="false">IF($A216&gt;Endyr,0,VLOOKUP($A216,Tariff_Table,Tariff!$G$33))</f>
        <v>7420.61</v>
      </c>
      <c r="D216" s="1565" t="n">
        <f aca="false">VLOOKUP($A216,Curves_Table,Escalation!$AW$291)</f>
        <v>4.21041404395839</v>
      </c>
      <c r="E216" s="1563" t="n">
        <f aca="false">C216*D216</f>
        <v>31243.840558738</v>
      </c>
      <c r="F216" s="1540" t="n">
        <f aca="false">VLOOKUP($A216,Plant_Table,'Plant Operations'!$C$270)</f>
        <v>480</v>
      </c>
      <c r="G216" s="1563" t="n">
        <f aca="false">E216*F216/1000</f>
        <v>14997.0434681943</v>
      </c>
      <c r="H216" s="1565" t="n">
        <f aca="false">IF(Assm!$L$74=0,VLOOKUP($A216,Curves_Table,Escalation!$D$291),VLOOKUP($A216,Curves_Table,Escalation!$E$291))</f>
        <v>3.06293873529856</v>
      </c>
      <c r="I216" s="394" t="n">
        <f aca="false">G216/H216</f>
        <v>4896.29234021634</v>
      </c>
      <c r="J216" s="1579" t="str">
        <f aca="false">IF(MONTH($A216)=12,SUM(I205:I216)," ")</f>
        <v> </v>
      </c>
      <c r="L216" s="1595" t="n">
        <f aca="false">IF($A216&gt;Endyr,0,VLOOKUP($A216,Tariff_Table,Tariff!$H$33))</f>
        <v>6104.93</v>
      </c>
      <c r="M216" s="1565" t="n">
        <f aca="false">D216</f>
        <v>4.21041404395839</v>
      </c>
      <c r="N216" s="1563" t="n">
        <f aca="false">L216*M216</f>
        <v>25704.2830093829</v>
      </c>
      <c r="O216" s="1540" t="n">
        <f aca="false">$F216</f>
        <v>480</v>
      </c>
      <c r="P216" s="1563" t="n">
        <f aca="false">N216*O216/1000</f>
        <v>12338.0558445038</v>
      </c>
      <c r="Q216" s="1565" t="n">
        <f aca="false">$H216</f>
        <v>3.06293873529856</v>
      </c>
      <c r="R216" s="394" t="n">
        <f aca="false">P216/Q216</f>
        <v>4028.17585030839</v>
      </c>
      <c r="S216" s="1579" t="str">
        <f aca="false">IF(MONTH($A216)=12,SUM(R205:R216)," ")</f>
        <v> </v>
      </c>
      <c r="U216" s="1595" t="n">
        <f aca="false">IF($A216&gt;Endyr,0,VLOOKUP($A216,Tariff_Table,Tariff!$I$33))</f>
        <v>2.3</v>
      </c>
      <c r="V216" s="1565" t="n">
        <f aca="false">D216</f>
        <v>4.21041404395839</v>
      </c>
      <c r="W216" s="1563" t="n">
        <f aca="false">U216*V216</f>
        <v>9.68395230110429</v>
      </c>
      <c r="X216" s="397" t="n">
        <f aca="false">VLOOKUP($A216,Plant_Table,'Plant Operations'!$M$270)</f>
        <v>298980.864</v>
      </c>
      <c r="Y216" s="630" t="n">
        <f aca="false">W216*X216/1000</f>
        <v>2895.31642591895</v>
      </c>
      <c r="Z216" s="1565" t="n">
        <f aca="false">$H216</f>
        <v>3.06293873529856</v>
      </c>
      <c r="AA216" s="1565" t="n">
        <f aca="false">H216</f>
        <v>3.06293873529856</v>
      </c>
      <c r="AB216" s="1609" t="n">
        <f aca="false">W216/AA216</f>
        <v>3.16165393368874</v>
      </c>
      <c r="AC216" s="1566" t="n">
        <f aca="false">Y216/Z216</f>
        <v>945.274024763257</v>
      </c>
      <c r="AD216" s="1567" t="str">
        <f aca="false">IF(MONTH($A216)=12,SUM(AC205:AC216)," ")</f>
        <v> </v>
      </c>
    </row>
    <row r="217" customFormat="false" ht="12.75" hidden="false" customHeight="false" outlineLevel="0" collapsed="false">
      <c r="A217" s="1538" t="n">
        <f aca="false">'Annex 12-Gas'!A217</f>
        <v>43191</v>
      </c>
      <c r="C217" s="1595" t="n">
        <f aca="false">IF($A217&gt;Endyr,0,VLOOKUP($A217,Tariff_Table,Tariff!$G$33))</f>
        <v>7420.61</v>
      </c>
      <c r="D217" s="1565" t="n">
        <f aca="false">VLOOKUP($A217,Curves_Table,Escalation!$AW$291)</f>
        <v>4.21041404395839</v>
      </c>
      <c r="E217" s="1563" t="n">
        <f aca="false">C217*D217</f>
        <v>31243.840558738</v>
      </c>
      <c r="F217" s="1540" t="n">
        <f aca="false">VLOOKUP($A217,Plant_Table,'Plant Operations'!$C$270)</f>
        <v>480</v>
      </c>
      <c r="G217" s="1563" t="n">
        <f aca="false">E217*F217/1000</f>
        <v>14997.0434681943</v>
      </c>
      <c r="H217" s="1565" t="n">
        <f aca="false">IF(Assm!$L$74=0,VLOOKUP($A217,Curves_Table,Escalation!$D$291),VLOOKUP($A217,Curves_Table,Escalation!$E$291))</f>
        <v>3.06799510562553</v>
      </c>
      <c r="I217" s="394" t="n">
        <f aca="false">G217/H217</f>
        <v>4888.22274869195</v>
      </c>
      <c r="J217" s="1579" t="str">
        <f aca="false">IF(MONTH($A217)=12,SUM(I206:I217)," ")</f>
        <v> </v>
      </c>
      <c r="L217" s="1595" t="n">
        <f aca="false">IF($A217&gt;Endyr,0,VLOOKUP($A217,Tariff_Table,Tariff!$H$33))</f>
        <v>6104.93</v>
      </c>
      <c r="M217" s="1565" t="n">
        <f aca="false">D217</f>
        <v>4.21041404395839</v>
      </c>
      <c r="N217" s="1563" t="n">
        <f aca="false">L217*M217</f>
        <v>25704.2830093829</v>
      </c>
      <c r="O217" s="1540" t="n">
        <f aca="false">$F217</f>
        <v>480</v>
      </c>
      <c r="P217" s="1563" t="n">
        <f aca="false">N217*O217/1000</f>
        <v>12338.0558445038</v>
      </c>
      <c r="Q217" s="1565" t="n">
        <f aca="false">$H217</f>
        <v>3.06799510562553</v>
      </c>
      <c r="R217" s="394" t="n">
        <f aca="false">P217/Q217</f>
        <v>4021.53700371963</v>
      </c>
      <c r="S217" s="1579" t="str">
        <f aca="false">IF(MONTH($A217)=12,SUM(R206:R217)," ")</f>
        <v> </v>
      </c>
      <c r="U217" s="1595" t="n">
        <f aca="false">IF($A217&gt;Endyr,0,VLOOKUP($A217,Tariff_Table,Tariff!$I$33))</f>
        <v>2.3</v>
      </c>
      <c r="V217" s="1565" t="n">
        <f aca="false">D217</f>
        <v>4.21041404395839</v>
      </c>
      <c r="W217" s="1563" t="n">
        <f aca="false">U217*V217</f>
        <v>9.68395230110429</v>
      </c>
      <c r="X217" s="397" t="n">
        <f aca="false">VLOOKUP($A217,Plant_Table,'Plant Operations'!$M$270)</f>
        <v>289336.32</v>
      </c>
      <c r="Y217" s="630" t="n">
        <f aca="false">W217*X217/1000</f>
        <v>2801.91912185705</v>
      </c>
      <c r="Z217" s="1565" t="n">
        <f aca="false">$H217</f>
        <v>3.06799510562553</v>
      </c>
      <c r="AA217" s="1565" t="n">
        <f aca="false">H217</f>
        <v>3.06799510562553</v>
      </c>
      <c r="AB217" s="1609" t="n">
        <f aca="false">W217/AA217</f>
        <v>3.15644320401543</v>
      </c>
      <c r="AC217" s="1566" t="n">
        <f aca="false">Y217/Z217</f>
        <v>913.273660938833</v>
      </c>
      <c r="AD217" s="1567" t="str">
        <f aca="false">IF(MONTH($A217)=12,SUM(AC206:AC217)," ")</f>
        <v> </v>
      </c>
    </row>
    <row r="218" customFormat="false" ht="12.75" hidden="false" customHeight="false" outlineLevel="0" collapsed="false">
      <c r="A218" s="1538" t="n">
        <f aca="false">'Annex 12-Gas'!A218</f>
        <v>43221</v>
      </c>
      <c r="C218" s="1595" t="n">
        <f aca="false">IF($A218&gt;Endyr,0,VLOOKUP($A218,Tariff_Table,Tariff!$G$33))</f>
        <v>7429.43</v>
      </c>
      <c r="D218" s="1565" t="n">
        <f aca="false">VLOOKUP($A218,Curves_Table,Escalation!$AW$291)</f>
        <v>4.49672219894756</v>
      </c>
      <c r="E218" s="1563" t="n">
        <f aca="false">C218*D218</f>
        <v>33408.082806527</v>
      </c>
      <c r="F218" s="1540" t="n">
        <f aca="false">VLOOKUP($A218,Plant_Table,'Plant Operations'!$C$270)</f>
        <v>480</v>
      </c>
      <c r="G218" s="1563" t="n">
        <f aca="false">E218*F218/1000</f>
        <v>16035.8797471329</v>
      </c>
      <c r="H218" s="1565" t="n">
        <f aca="false">IF(Assm!$L$74=0,VLOOKUP($A218,Curves_Table,Escalation!$D$291),VLOOKUP($A218,Curves_Table,Escalation!$E$291))</f>
        <v>3.07305982312594</v>
      </c>
      <c r="I218" s="394" t="n">
        <f aca="false">G218/H218</f>
        <v>5218.21268380682</v>
      </c>
      <c r="J218" s="1579" t="str">
        <f aca="false">IF(MONTH($A218)=12,SUM(I207:I218)," ")</f>
        <v> </v>
      </c>
      <c r="L218" s="1595" t="n">
        <f aca="false">IF($A218&gt;Endyr,0,VLOOKUP($A218,Tariff_Table,Tariff!$H$33))</f>
        <v>6133.73</v>
      </c>
      <c r="M218" s="1565" t="n">
        <f aca="false">D218</f>
        <v>4.49672219894756</v>
      </c>
      <c r="N218" s="1563" t="n">
        <f aca="false">L218*M218</f>
        <v>27581.6798533506</v>
      </c>
      <c r="O218" s="1540" t="n">
        <f aca="false">$F218</f>
        <v>480</v>
      </c>
      <c r="P218" s="1563" t="n">
        <f aca="false">N218*O218/1000</f>
        <v>13239.2063296083</v>
      </c>
      <c r="Q218" s="1565" t="n">
        <f aca="false">$H218</f>
        <v>3.07305982312594</v>
      </c>
      <c r="R218" s="394" t="n">
        <f aca="false">P218/Q218</f>
        <v>4308.15118859003</v>
      </c>
      <c r="S218" s="1579" t="str">
        <f aca="false">IF(MONTH($A218)=12,SUM(R207:R218)," ")</f>
        <v> </v>
      </c>
      <c r="U218" s="1595" t="n">
        <f aca="false">IF($A218&gt;Endyr,0,VLOOKUP($A218,Tariff_Table,Tariff!$I$33))</f>
        <v>2.31</v>
      </c>
      <c r="V218" s="1565" t="n">
        <f aca="false">D218</f>
        <v>4.49672219894756</v>
      </c>
      <c r="W218" s="1563" t="n">
        <f aca="false">U218*V218</f>
        <v>10.3874282795689</v>
      </c>
      <c r="X218" s="397" t="n">
        <f aca="false">VLOOKUP($A218,Plant_Table,'Plant Operations'!$M$270)</f>
        <v>298980.864</v>
      </c>
      <c r="Y218" s="630" t="n">
        <f aca="false">W218*X218/1000</f>
        <v>3105.64228176353</v>
      </c>
      <c r="Z218" s="1565" t="n">
        <f aca="false">$H218</f>
        <v>3.07305982312594</v>
      </c>
      <c r="AA218" s="1565" t="n">
        <f aca="false">H218</f>
        <v>3.07305982312594</v>
      </c>
      <c r="AB218" s="1609" t="n">
        <f aca="false">W218/AA218</f>
        <v>3.38015817375227</v>
      </c>
      <c r="AC218" s="1566" t="n">
        <f aca="false">Y218/Z218</f>
        <v>1010.60261124512</v>
      </c>
      <c r="AD218" s="1567" t="str">
        <f aca="false">IF(MONTH($A218)=12,SUM(AC207:AC218)," ")</f>
        <v> </v>
      </c>
    </row>
    <row r="219" customFormat="false" ht="12.75" hidden="false" customHeight="false" outlineLevel="0" collapsed="false">
      <c r="A219" s="1538" t="n">
        <f aca="false">'Annex 12-Gas'!A219</f>
        <v>43252</v>
      </c>
      <c r="C219" s="1595" t="n">
        <f aca="false">IF($A219&gt;Endyr,0,VLOOKUP($A219,Tariff_Table,Tariff!$G$33))</f>
        <v>7429.43</v>
      </c>
      <c r="D219" s="1565" t="n">
        <f aca="false">VLOOKUP($A219,Curves_Table,Escalation!$AW$291)</f>
        <v>4.49672219894756</v>
      </c>
      <c r="E219" s="1563" t="n">
        <f aca="false">C219*D219</f>
        <v>33408.082806527</v>
      </c>
      <c r="F219" s="1540" t="n">
        <f aca="false">VLOOKUP($A219,Plant_Table,'Plant Operations'!$C$270)</f>
        <v>480</v>
      </c>
      <c r="G219" s="1563" t="n">
        <f aca="false">E219*F219/1000</f>
        <v>16035.8797471329</v>
      </c>
      <c r="H219" s="1565" t="n">
        <f aca="false">IF(Assm!$L$74=0,VLOOKUP($A219,Curves_Table,Escalation!$D$291),VLOOKUP($A219,Curves_Table,Escalation!$E$291))</f>
        <v>3.07813290157952</v>
      </c>
      <c r="I219" s="394" t="n">
        <f aca="false">G219/H219</f>
        <v>5209.61253456739</v>
      </c>
      <c r="J219" s="1579" t="str">
        <f aca="false">IF(MONTH($A219)=12,SUM(I208:I219)," ")</f>
        <v> </v>
      </c>
      <c r="L219" s="1595" t="n">
        <f aca="false">IF($A219&gt;Endyr,0,VLOOKUP($A219,Tariff_Table,Tariff!$H$33))</f>
        <v>6133.73</v>
      </c>
      <c r="M219" s="1565" t="n">
        <f aca="false">D219</f>
        <v>4.49672219894756</v>
      </c>
      <c r="N219" s="1563" t="n">
        <f aca="false">L219*M219</f>
        <v>27581.6798533506</v>
      </c>
      <c r="O219" s="1540" t="n">
        <f aca="false">$F219</f>
        <v>480</v>
      </c>
      <c r="P219" s="1563" t="n">
        <f aca="false">N219*O219/1000</f>
        <v>13239.2063296083</v>
      </c>
      <c r="Q219" s="1565" t="n">
        <f aca="false">$H219</f>
        <v>3.07813290157952</v>
      </c>
      <c r="R219" s="394" t="n">
        <f aca="false">P219/Q219</f>
        <v>4301.0509139533</v>
      </c>
      <c r="S219" s="1579" t="str">
        <f aca="false">IF(MONTH($A219)=12,SUM(R208:R219)," ")</f>
        <v> </v>
      </c>
      <c r="U219" s="1595" t="n">
        <f aca="false">IF($A219&gt;Endyr,0,VLOOKUP($A219,Tariff_Table,Tariff!$I$33))</f>
        <v>2.31</v>
      </c>
      <c r="V219" s="1565" t="n">
        <f aca="false">D219</f>
        <v>4.49672219894756</v>
      </c>
      <c r="W219" s="1563" t="n">
        <f aca="false">U219*V219</f>
        <v>10.3874282795689</v>
      </c>
      <c r="X219" s="397" t="n">
        <f aca="false">VLOOKUP($A219,Plant_Table,'Plant Operations'!$M$270)</f>
        <v>289336.32</v>
      </c>
      <c r="Y219" s="630" t="n">
        <f aca="false">W219*X219/1000</f>
        <v>3005.46027267439</v>
      </c>
      <c r="Z219" s="1565" t="n">
        <f aca="false">$H219</f>
        <v>3.07813290157952</v>
      </c>
      <c r="AA219" s="1565" t="n">
        <f aca="false">H219</f>
        <v>3.07813290157952</v>
      </c>
      <c r="AB219" s="1609" t="n">
        <f aca="false">W219/AA219</f>
        <v>3.37458732670011</v>
      </c>
      <c r="AC219" s="1566" t="n">
        <f aca="false">Y219/Z219</f>
        <v>976.390678626047</v>
      </c>
      <c r="AD219" s="1567" t="str">
        <f aca="false">IF(MONTH($A219)=12,SUM(AC208:AC219)," ")</f>
        <v> </v>
      </c>
    </row>
    <row r="220" customFormat="false" ht="12.75" hidden="false" customHeight="false" outlineLevel="0" collapsed="false">
      <c r="A220" s="1538" t="n">
        <f aca="false">'Annex 12-Gas'!A220</f>
        <v>43282</v>
      </c>
      <c r="C220" s="1595" t="n">
        <f aca="false">IF($A220&gt;Endyr,0,VLOOKUP($A220,Tariff_Table,Tariff!$G$33))</f>
        <v>7429.43</v>
      </c>
      <c r="D220" s="1565" t="n">
        <f aca="false">VLOOKUP($A220,Curves_Table,Escalation!$AW$291)</f>
        <v>4.49672219894756</v>
      </c>
      <c r="E220" s="1563" t="n">
        <f aca="false">C220*D220</f>
        <v>33408.082806527</v>
      </c>
      <c r="F220" s="1540" t="n">
        <f aca="false">VLOOKUP($A220,Plant_Table,'Plant Operations'!$C$270)</f>
        <v>480</v>
      </c>
      <c r="G220" s="1563" t="n">
        <f aca="false">E220*F220/1000</f>
        <v>16035.8797471329</v>
      </c>
      <c r="H220" s="1565" t="n">
        <f aca="false">IF(Assm!$L$74=0,VLOOKUP($A220,Curves_Table,Escalation!$D$291),VLOOKUP($A220,Curves_Table,Escalation!$E$291))</f>
        <v>3.0832143547887</v>
      </c>
      <c r="I220" s="394" t="n">
        <f aca="false">G220/H220</f>
        <v>5201.02655925521</v>
      </c>
      <c r="J220" s="1579" t="str">
        <f aca="false">IF(MONTH($A220)=12,SUM(I209:I220)," ")</f>
        <v> </v>
      </c>
      <c r="L220" s="1595" t="n">
        <f aca="false">IF($A220&gt;Endyr,0,VLOOKUP($A220,Tariff_Table,Tariff!$H$33))</f>
        <v>6133.73</v>
      </c>
      <c r="M220" s="1565" t="n">
        <f aca="false">D220</f>
        <v>4.49672219894756</v>
      </c>
      <c r="N220" s="1563" t="n">
        <f aca="false">L220*M220</f>
        <v>27581.6798533506</v>
      </c>
      <c r="O220" s="1540" t="n">
        <f aca="false">$F220</f>
        <v>480</v>
      </c>
      <c r="P220" s="1563" t="n">
        <f aca="false">N220*O220/1000</f>
        <v>13239.2063296083</v>
      </c>
      <c r="Q220" s="1565" t="n">
        <f aca="false">$H220</f>
        <v>3.0832143547887</v>
      </c>
      <c r="R220" s="394" t="n">
        <f aca="false">P220/Q220</f>
        <v>4293.96234129677</v>
      </c>
      <c r="S220" s="1579" t="str">
        <f aca="false">IF(MONTH($A220)=12,SUM(R209:R220)," ")</f>
        <v> </v>
      </c>
      <c r="U220" s="1595" t="n">
        <f aca="false">IF($A220&gt;Endyr,0,VLOOKUP($A220,Tariff_Table,Tariff!$I$33))</f>
        <v>2.31</v>
      </c>
      <c r="V220" s="1565" t="n">
        <f aca="false">D220</f>
        <v>4.49672219894756</v>
      </c>
      <c r="W220" s="1563" t="n">
        <f aca="false">U220*V220</f>
        <v>10.3874282795689</v>
      </c>
      <c r="X220" s="397" t="n">
        <f aca="false">VLOOKUP($A220,Plant_Table,'Plant Operations'!$M$270)</f>
        <v>298980.864</v>
      </c>
      <c r="Y220" s="630" t="n">
        <f aca="false">W220*X220/1000</f>
        <v>3105.64228176353</v>
      </c>
      <c r="Z220" s="1565" t="n">
        <f aca="false">$H220</f>
        <v>3.0832143547887</v>
      </c>
      <c r="AA220" s="1565" t="n">
        <f aca="false">H220</f>
        <v>3.0832143547887</v>
      </c>
      <c r="AB220" s="1609" t="n">
        <f aca="false">W220/AA220</f>
        <v>3.36902566097476</v>
      </c>
      <c r="AC220" s="1566" t="n">
        <f aca="false">Y220/Z220</f>
        <v>1007.2742029564</v>
      </c>
      <c r="AD220" s="1567" t="str">
        <f aca="false">IF(MONTH($A220)=12,SUM(AC209:AC220)," ")</f>
        <v> </v>
      </c>
    </row>
    <row r="221" customFormat="false" ht="12.75" hidden="false" customHeight="false" outlineLevel="0" collapsed="false">
      <c r="A221" s="1538" t="n">
        <f aca="false">'Annex 12-Gas'!A221</f>
        <v>43313</v>
      </c>
      <c r="C221" s="1595" t="n">
        <f aca="false">IF($A221&gt;Endyr,0,VLOOKUP($A221,Tariff_Table,Tariff!$G$33))</f>
        <v>7429.43</v>
      </c>
      <c r="D221" s="1565" t="n">
        <f aca="false">VLOOKUP($A221,Curves_Table,Escalation!$AW$291)</f>
        <v>4.49672219894756</v>
      </c>
      <c r="E221" s="1563" t="n">
        <f aca="false">C221*D221</f>
        <v>33408.082806527</v>
      </c>
      <c r="F221" s="1540" t="n">
        <f aca="false">VLOOKUP($A221,Plant_Table,'Plant Operations'!$C$270)</f>
        <v>480</v>
      </c>
      <c r="G221" s="1563" t="n">
        <f aca="false">E221*F221/1000</f>
        <v>16035.8797471329</v>
      </c>
      <c r="H221" s="1565" t="n">
        <f aca="false">IF(Assm!$L$74=0,VLOOKUP($A221,Curves_Table,Escalation!$D$291),VLOOKUP($A221,Curves_Table,Escalation!$E$291))</f>
        <v>3.08830419657873</v>
      </c>
      <c r="I221" s="394" t="n">
        <f aca="false">G221/H221</f>
        <v>5192.45473451019</v>
      </c>
      <c r="J221" s="1579" t="str">
        <f aca="false">IF(MONTH($A221)=12,SUM(I210:I221)," ")</f>
        <v> </v>
      </c>
      <c r="L221" s="1595" t="n">
        <f aca="false">IF($A221&gt;Endyr,0,VLOOKUP($A221,Tariff_Table,Tariff!$H$33))</f>
        <v>6133.73</v>
      </c>
      <c r="M221" s="1565" t="n">
        <f aca="false">D221</f>
        <v>4.49672219894756</v>
      </c>
      <c r="N221" s="1563" t="n">
        <f aca="false">L221*M221</f>
        <v>27581.6798533506</v>
      </c>
      <c r="O221" s="1540" t="n">
        <f aca="false">$F221</f>
        <v>480</v>
      </c>
      <c r="P221" s="1563" t="n">
        <f aca="false">N221*O221/1000</f>
        <v>13239.2063296083</v>
      </c>
      <c r="Q221" s="1565" t="n">
        <f aca="false">$H221</f>
        <v>3.08830419657873</v>
      </c>
      <c r="R221" s="394" t="n">
        <f aca="false">P221/Q221</f>
        <v>4286.88545133438</v>
      </c>
      <c r="S221" s="1579" t="str">
        <f aca="false">IF(MONTH($A221)=12,SUM(R210:R221)," ")</f>
        <v> </v>
      </c>
      <c r="U221" s="1595" t="n">
        <f aca="false">IF($A221&gt;Endyr,0,VLOOKUP($A221,Tariff_Table,Tariff!$I$33))</f>
        <v>2.31</v>
      </c>
      <c r="V221" s="1565" t="n">
        <f aca="false">D221</f>
        <v>4.49672219894756</v>
      </c>
      <c r="W221" s="1563" t="n">
        <f aca="false">U221*V221</f>
        <v>10.3874282795689</v>
      </c>
      <c r="X221" s="397" t="n">
        <f aca="false">VLOOKUP($A221,Plant_Table,'Plant Operations'!$M$270)</f>
        <v>298980.864</v>
      </c>
      <c r="Y221" s="630" t="n">
        <f aca="false">W221*X221/1000</f>
        <v>3105.64228176353</v>
      </c>
      <c r="Z221" s="1565" t="n">
        <f aca="false">$H221</f>
        <v>3.08830419657873</v>
      </c>
      <c r="AA221" s="1565" t="n">
        <f aca="false">H221</f>
        <v>3.08830419657873</v>
      </c>
      <c r="AB221" s="1609" t="n">
        <f aca="false">W221/AA221</f>
        <v>3.36347316144446</v>
      </c>
      <c r="AC221" s="1566" t="n">
        <f aca="false">Y221/Z221</f>
        <v>1005.61411184948</v>
      </c>
      <c r="AD221" s="1567" t="str">
        <f aca="false">IF(MONTH($A221)=12,SUM(AC210:AC221)," ")</f>
        <v> </v>
      </c>
    </row>
    <row r="222" customFormat="false" ht="12.75" hidden="false" customHeight="false" outlineLevel="0" collapsed="false">
      <c r="A222" s="1538" t="n">
        <f aca="false">'Annex 12-Gas'!A222</f>
        <v>43344</v>
      </c>
      <c r="C222" s="1595" t="n">
        <f aca="false">IF($A222&gt;Endyr,0,VLOOKUP($A222,Tariff_Table,Tariff!$G$33))</f>
        <v>7429.43</v>
      </c>
      <c r="D222" s="1565" t="n">
        <f aca="false">VLOOKUP($A222,Curves_Table,Escalation!$AW$291)</f>
        <v>4.49672219894756</v>
      </c>
      <c r="E222" s="1563" t="n">
        <f aca="false">C222*D222</f>
        <v>33408.082806527</v>
      </c>
      <c r="F222" s="1540" t="n">
        <f aca="false">VLOOKUP($A222,Plant_Table,'Plant Operations'!$C$270)</f>
        <v>480</v>
      </c>
      <c r="G222" s="1563" t="n">
        <f aca="false">E222*F222/1000</f>
        <v>16035.8797471329</v>
      </c>
      <c r="H222" s="1565" t="n">
        <f aca="false">IF(Assm!$L$74=0,VLOOKUP($A222,Curves_Table,Escalation!$D$291),VLOOKUP($A222,Curves_Table,Escalation!$E$291))</f>
        <v>3.09340244079768</v>
      </c>
      <c r="I222" s="394" t="n">
        <f aca="false">G222/H222</f>
        <v>5183.89703701075</v>
      </c>
      <c r="J222" s="1579" t="str">
        <f aca="false">IF(MONTH($A222)=12,SUM(I211:I222)," ")</f>
        <v> </v>
      </c>
      <c r="L222" s="1595" t="n">
        <f aca="false">IF($A222&gt;Endyr,0,VLOOKUP($A222,Tariff_Table,Tariff!$H$33))</f>
        <v>6133.73</v>
      </c>
      <c r="M222" s="1565" t="n">
        <f aca="false">D222</f>
        <v>4.49672219894756</v>
      </c>
      <c r="N222" s="1563" t="n">
        <f aca="false">L222*M222</f>
        <v>27581.6798533506</v>
      </c>
      <c r="O222" s="1540" t="n">
        <f aca="false">$F222</f>
        <v>480</v>
      </c>
      <c r="P222" s="1563" t="n">
        <f aca="false">N222*O222/1000</f>
        <v>13239.2063296083</v>
      </c>
      <c r="Q222" s="1565" t="n">
        <f aca="false">$H222</f>
        <v>3.09340244079768</v>
      </c>
      <c r="R222" s="394" t="n">
        <f aca="false">P222/Q222</f>
        <v>4279.82022481186</v>
      </c>
      <c r="S222" s="1579" t="str">
        <f aca="false">IF(MONTH($A222)=12,SUM(R211:R222)," ")</f>
        <v> </v>
      </c>
      <c r="U222" s="1595" t="n">
        <f aca="false">IF($A222&gt;Endyr,0,VLOOKUP($A222,Tariff_Table,Tariff!$I$33))</f>
        <v>2.31</v>
      </c>
      <c r="V222" s="1565" t="n">
        <f aca="false">D222</f>
        <v>4.49672219894756</v>
      </c>
      <c r="W222" s="1563" t="n">
        <f aca="false">U222*V222</f>
        <v>10.3874282795689</v>
      </c>
      <c r="X222" s="397" t="n">
        <f aca="false">VLOOKUP($A222,Plant_Table,'Plant Operations'!$M$270)</f>
        <v>289336.32</v>
      </c>
      <c r="Y222" s="630" t="n">
        <f aca="false">W222*X222/1000</f>
        <v>3005.46027267439</v>
      </c>
      <c r="Z222" s="1565" t="n">
        <f aca="false">$H222</f>
        <v>3.09340244079768</v>
      </c>
      <c r="AA222" s="1565" t="n">
        <f aca="false">H222</f>
        <v>3.09340244079768</v>
      </c>
      <c r="AB222" s="1609" t="n">
        <f aca="false">W222/AA222</f>
        <v>3.35792981300238</v>
      </c>
      <c r="AC222" s="1566" t="n">
        <f aca="false">Y222/Z222</f>
        <v>971.571054912396</v>
      </c>
      <c r="AD222" s="1567" t="str">
        <f aca="false">IF(MONTH($A222)=12,SUM(AC211:AC222)," ")</f>
        <v> </v>
      </c>
    </row>
    <row r="223" customFormat="false" ht="12.75" hidden="false" customHeight="false" outlineLevel="0" collapsed="false">
      <c r="A223" s="1538" t="n">
        <f aca="false">'Annex 12-Gas'!A223</f>
        <v>43374</v>
      </c>
      <c r="C223" s="1595" t="n">
        <f aca="false">IF($A223&gt;Endyr,0,VLOOKUP($A223,Tariff_Table,Tariff!$G$33))</f>
        <v>7429.43</v>
      </c>
      <c r="D223" s="1565" t="n">
        <f aca="false">VLOOKUP($A223,Curves_Table,Escalation!$AW$291)</f>
        <v>4.49672219894756</v>
      </c>
      <c r="E223" s="1563" t="n">
        <f aca="false">C223*D223</f>
        <v>33408.082806527</v>
      </c>
      <c r="F223" s="1540" t="n">
        <f aca="false">VLOOKUP($A223,Plant_Table,'Plant Operations'!$C$270)</f>
        <v>480</v>
      </c>
      <c r="G223" s="1563" t="n">
        <f aca="false">E223*F223/1000</f>
        <v>16035.8797471329</v>
      </c>
      <c r="H223" s="1565" t="n">
        <f aca="false">IF(Assm!$L$74=0,VLOOKUP($A223,Curves_Table,Escalation!$D$291),VLOOKUP($A223,Curves_Table,Escalation!$E$291))</f>
        <v>3.09850910131647</v>
      </c>
      <c r="I223" s="394" t="n">
        <f aca="false">G223/H223</f>
        <v>5175.35344347374</v>
      </c>
      <c r="J223" s="1579" t="str">
        <f aca="false">IF(MONTH($A223)=12,SUM(I212:I223)," ")</f>
        <v> </v>
      </c>
      <c r="L223" s="1595" t="n">
        <f aca="false">IF($A223&gt;Endyr,0,VLOOKUP($A223,Tariff_Table,Tariff!$H$33))</f>
        <v>6133.73</v>
      </c>
      <c r="M223" s="1565" t="n">
        <f aca="false">D223</f>
        <v>4.49672219894756</v>
      </c>
      <c r="N223" s="1563" t="n">
        <f aca="false">L223*M223</f>
        <v>27581.6798533506</v>
      </c>
      <c r="O223" s="1540" t="n">
        <f aca="false">$F223</f>
        <v>480</v>
      </c>
      <c r="P223" s="1563" t="n">
        <f aca="false">N223*O223/1000</f>
        <v>13239.2063296083</v>
      </c>
      <c r="Q223" s="1565" t="n">
        <f aca="false">$H223</f>
        <v>3.09850910131647</v>
      </c>
      <c r="R223" s="394" t="n">
        <f aca="false">P223/Q223</f>
        <v>4272.76664250665</v>
      </c>
      <c r="S223" s="1579" t="str">
        <f aca="false">IF(MONTH($A223)=12,SUM(R212:R223)," ")</f>
        <v> </v>
      </c>
      <c r="U223" s="1595" t="n">
        <f aca="false">IF($A223&gt;Endyr,0,VLOOKUP($A223,Tariff_Table,Tariff!$I$33))</f>
        <v>2.31</v>
      </c>
      <c r="V223" s="1565" t="n">
        <f aca="false">D223</f>
        <v>4.49672219894756</v>
      </c>
      <c r="W223" s="1563" t="n">
        <f aca="false">U223*V223</f>
        <v>10.3874282795689</v>
      </c>
      <c r="X223" s="397" t="n">
        <f aca="false">VLOOKUP($A223,Plant_Table,'Plant Operations'!$M$270)</f>
        <v>298980.864</v>
      </c>
      <c r="Y223" s="630" t="n">
        <f aca="false">W223*X223/1000</f>
        <v>3105.64228176353</v>
      </c>
      <c r="Z223" s="1565" t="n">
        <f aca="false">$H223</f>
        <v>3.09850910131647</v>
      </c>
      <c r="AA223" s="1565" t="n">
        <f aca="false">H223</f>
        <v>3.09850910131647</v>
      </c>
      <c r="AB223" s="1609" t="n">
        <f aca="false">W223/AA223</f>
        <v>3.35239560056658</v>
      </c>
      <c r="AC223" s="1566" t="n">
        <f aca="false">Y223/Z223</f>
        <v>1002.3021331272</v>
      </c>
      <c r="AD223" s="1567" t="str">
        <f aca="false">IF(MONTH($A223)=12,SUM(AC212:AC223)," ")</f>
        <v> </v>
      </c>
    </row>
    <row r="224" customFormat="false" ht="12.75" hidden="false" customHeight="false" outlineLevel="0" collapsed="false">
      <c r="A224" s="1538" t="n">
        <f aca="false">'Annex 12-Gas'!A224</f>
        <v>43405</v>
      </c>
      <c r="C224" s="1595" t="n">
        <f aca="false">IF($A224&gt;Endyr,0,VLOOKUP($A224,Tariff_Table,Tariff!$G$33))</f>
        <v>7429.43</v>
      </c>
      <c r="D224" s="1565" t="n">
        <f aca="false">VLOOKUP($A224,Curves_Table,Escalation!$AW$291)</f>
        <v>4.49672219894756</v>
      </c>
      <c r="E224" s="1563" t="n">
        <f aca="false">C224*D224</f>
        <v>33408.082806527</v>
      </c>
      <c r="F224" s="1540" t="n">
        <f aca="false">VLOOKUP($A224,Plant_Table,'Plant Operations'!$C$270)</f>
        <v>480</v>
      </c>
      <c r="G224" s="1563" t="n">
        <f aca="false">E224*F224/1000</f>
        <v>16035.8797471329</v>
      </c>
      <c r="H224" s="1565" t="n">
        <f aca="false">IF(Assm!$L$74=0,VLOOKUP($A224,Curves_Table,Escalation!$D$291),VLOOKUP($A224,Curves_Table,Escalation!$E$291))</f>
        <v>3.10362419202893</v>
      </c>
      <c r="I224" s="394" t="n">
        <f aca="false">G224/H224</f>
        <v>5166.82393065439</v>
      </c>
      <c r="J224" s="1579" t="str">
        <f aca="false">IF(MONTH($A224)=12,SUM(I213:I224)," ")</f>
        <v> </v>
      </c>
      <c r="L224" s="1595" t="n">
        <f aca="false">IF($A224&gt;Endyr,0,VLOOKUP($A224,Tariff_Table,Tariff!$H$33))</f>
        <v>6133.73</v>
      </c>
      <c r="M224" s="1565" t="n">
        <f aca="false">D224</f>
        <v>4.49672219894756</v>
      </c>
      <c r="N224" s="1563" t="n">
        <f aca="false">L224*M224</f>
        <v>27581.6798533506</v>
      </c>
      <c r="O224" s="1540" t="n">
        <f aca="false">$F224</f>
        <v>480</v>
      </c>
      <c r="P224" s="1563" t="n">
        <f aca="false">N224*O224/1000</f>
        <v>13239.2063296083</v>
      </c>
      <c r="Q224" s="1565" t="n">
        <f aca="false">$H224</f>
        <v>3.10362419202893</v>
      </c>
      <c r="R224" s="394" t="n">
        <f aca="false">P224/Q224</f>
        <v>4265.7246852279</v>
      </c>
      <c r="S224" s="1579" t="str">
        <f aca="false">IF(MONTH($A224)=12,SUM(R213:R224)," ")</f>
        <v> </v>
      </c>
      <c r="U224" s="1595" t="n">
        <f aca="false">IF($A224&gt;Endyr,0,VLOOKUP($A224,Tariff_Table,Tariff!$I$33))</f>
        <v>2.31</v>
      </c>
      <c r="V224" s="1565" t="n">
        <f aca="false">D224</f>
        <v>4.49672219894756</v>
      </c>
      <c r="W224" s="1563" t="n">
        <f aca="false">U224*V224</f>
        <v>10.3874282795689</v>
      </c>
      <c r="X224" s="397" t="n">
        <f aca="false">VLOOKUP($A224,Plant_Table,'Plant Operations'!$M$270)</f>
        <v>289336.32</v>
      </c>
      <c r="Y224" s="630" t="n">
        <f aca="false">W224*X224/1000</f>
        <v>3005.46027267439</v>
      </c>
      <c r="Z224" s="1565" t="n">
        <f aca="false">$H224</f>
        <v>3.10362419202893</v>
      </c>
      <c r="AA224" s="1565" t="n">
        <f aca="false">H224</f>
        <v>3.10362419202893</v>
      </c>
      <c r="AB224" s="1609" t="n">
        <f aca="false">W224/AA224</f>
        <v>3.34687050908</v>
      </c>
      <c r="AC224" s="1566" t="n">
        <f aca="false">Y224/Z224</f>
        <v>968.371196613734</v>
      </c>
      <c r="AD224" s="1567" t="str">
        <f aca="false">IF(MONTH($A224)=12,SUM(AC213:AC224)," ")</f>
        <v> </v>
      </c>
    </row>
    <row r="225" customFormat="false" ht="12.75" hidden="false" customHeight="false" outlineLevel="0" collapsed="false">
      <c r="A225" s="1538" t="n">
        <f aca="false">'Annex 12-Gas'!A225</f>
        <v>43435</v>
      </c>
      <c r="C225" s="1595" t="n">
        <f aca="false">IF($A225&gt;Endyr,0,VLOOKUP($A225,Tariff_Table,Tariff!$G$33))</f>
        <v>7429.43</v>
      </c>
      <c r="D225" s="1565" t="n">
        <f aca="false">VLOOKUP($A225,Curves_Table,Escalation!$AW$291)</f>
        <v>4.49672219894756</v>
      </c>
      <c r="E225" s="1563" t="n">
        <f aca="false">C225*D225</f>
        <v>33408.082806527</v>
      </c>
      <c r="F225" s="1540" t="n">
        <f aca="false">VLOOKUP($A225,Plant_Table,'Plant Operations'!$C$270)</f>
        <v>480</v>
      </c>
      <c r="G225" s="1563" t="n">
        <f aca="false">E225*F225/1000</f>
        <v>16035.8797471329</v>
      </c>
      <c r="H225" s="1565" t="n">
        <f aca="false">IF(Assm!$L$74=0,VLOOKUP($A225,Curves_Table,Escalation!$D$291),VLOOKUP($A225,Curves_Table,Escalation!$E$291))</f>
        <v>3.10874772685181</v>
      </c>
      <c r="I225" s="394" t="n">
        <f aca="false">G225/H225</f>
        <v>5158.30847534622</v>
      </c>
      <c r="J225" s="1579" t="n">
        <f aca="false">IF(MONTH($A225)=12,SUM(I214:I225)," ")</f>
        <v>61107.0512504059</v>
      </c>
      <c r="L225" s="1595" t="n">
        <f aca="false">IF($A225&gt;Endyr,0,VLOOKUP($A225,Tariff_Table,Tariff!$H$33))</f>
        <v>6133.73</v>
      </c>
      <c r="M225" s="1565" t="n">
        <f aca="false">D225</f>
        <v>4.49672219894756</v>
      </c>
      <c r="N225" s="1563" t="n">
        <f aca="false">L225*M225</f>
        <v>27581.6798533506</v>
      </c>
      <c r="O225" s="1540" t="n">
        <f aca="false">$F225</f>
        <v>480</v>
      </c>
      <c r="P225" s="1563" t="n">
        <f aca="false">N225*O225/1000</f>
        <v>13239.2063296083</v>
      </c>
      <c r="Q225" s="1565" t="n">
        <f aca="false">$H225</f>
        <v>3.10874772685181</v>
      </c>
      <c r="R225" s="394" t="n">
        <f aca="false">P225/Q225</f>
        <v>4258.69433381637</v>
      </c>
      <c r="S225" s="1579" t="n">
        <f aca="false">IF(MONTH($A225)=12,SUM(R214:R225)," ")</f>
        <v>50393.0807322885</v>
      </c>
      <c r="U225" s="1595" t="n">
        <f aca="false">IF($A225&gt;Endyr,0,VLOOKUP($A225,Tariff_Table,Tariff!$I$33))</f>
        <v>2.31</v>
      </c>
      <c r="V225" s="1565" t="n">
        <f aca="false">D225</f>
        <v>4.49672219894756</v>
      </c>
      <c r="W225" s="1563" t="n">
        <f aca="false">U225*V225</f>
        <v>10.3874282795689</v>
      </c>
      <c r="X225" s="397" t="n">
        <f aca="false">VLOOKUP($A225,Plant_Table,'Plant Operations'!$M$270)</f>
        <v>298980.864</v>
      </c>
      <c r="Y225" s="630" t="n">
        <f aca="false">W225*X225/1000</f>
        <v>3105.64228176353</v>
      </c>
      <c r="Z225" s="1565" t="n">
        <f aca="false">$H225</f>
        <v>3.10874772685181</v>
      </c>
      <c r="AA225" s="1565" t="n">
        <f aca="false">H225</f>
        <v>3.10874772685181</v>
      </c>
      <c r="AB225" s="1609" t="n">
        <f aca="false">W225/AA225</f>
        <v>3.34135452351037</v>
      </c>
      <c r="AC225" s="1566" t="n">
        <f aca="false">Y225/Z225</f>
        <v>999.001062369439</v>
      </c>
      <c r="AD225" s="1567" t="n">
        <f aca="false">IF(MONTH($A225)=12,SUM(AC214:AC225)," ")</f>
        <v>11603.2776582287</v>
      </c>
    </row>
    <row r="226" customFormat="false" ht="12.75" hidden="false" customHeight="false" outlineLevel="0" collapsed="false">
      <c r="A226" s="1538" t="n">
        <f aca="false">'Annex 12-Gas'!A226</f>
        <v>43466</v>
      </c>
      <c r="C226" s="1595" t="n">
        <f aca="false">IF($A226&gt;Endyr,0,VLOOKUP($A226,Tariff_Table,Tariff!$G$33))</f>
        <v>7429.43</v>
      </c>
      <c r="D226" s="1565" t="n">
        <f aca="false">VLOOKUP($A226,Curves_Table,Escalation!$AW$291)</f>
        <v>4.49672219894756</v>
      </c>
      <c r="E226" s="1563" t="n">
        <f aca="false">C226*D226</f>
        <v>33408.082806527</v>
      </c>
      <c r="F226" s="1540" t="n">
        <f aca="false">VLOOKUP($A226,Plant_Table,'Plant Operations'!$C$270)</f>
        <v>480</v>
      </c>
      <c r="G226" s="1563" t="n">
        <f aca="false">E226*F226/1000</f>
        <v>16035.8797471329</v>
      </c>
      <c r="H226" s="1565" t="n">
        <f aca="false">IF(Assm!$L$74=0,VLOOKUP($A226,Curves_Table,Escalation!$D$291),VLOOKUP($A226,Curves_Table,Escalation!$E$291))</f>
        <v>3.11389218833154</v>
      </c>
      <c r="I226" s="394" t="n">
        <f aca="false">G226/H226</f>
        <v>5149.78643359042</v>
      </c>
      <c r="J226" s="1579" t="str">
        <f aca="false">IF(MONTH($A226)=12,SUM(I215:I226)," ")</f>
        <v> </v>
      </c>
      <c r="L226" s="1595" t="n">
        <f aca="false">IF($A226&gt;Endyr,0,VLOOKUP($A226,Tariff_Table,Tariff!$H$33))</f>
        <v>6133.73</v>
      </c>
      <c r="M226" s="1565" t="n">
        <f aca="false">D226</f>
        <v>4.49672219894756</v>
      </c>
      <c r="N226" s="1563" t="n">
        <f aca="false">L226*M226</f>
        <v>27581.6798533506</v>
      </c>
      <c r="O226" s="1540" t="n">
        <f aca="false">$F226</f>
        <v>480</v>
      </c>
      <c r="P226" s="1563" t="n">
        <f aca="false">N226*O226/1000</f>
        <v>13239.2063296083</v>
      </c>
      <c r="Q226" s="1565" t="n">
        <f aca="false">$H226</f>
        <v>3.11389218833154</v>
      </c>
      <c r="R226" s="394" t="n">
        <f aca="false">P226/Q226</f>
        <v>4251.65854464024</v>
      </c>
      <c r="S226" s="1579" t="str">
        <f aca="false">IF(MONTH($A226)=12,SUM(R215:R226)," ")</f>
        <v> </v>
      </c>
      <c r="U226" s="1595" t="n">
        <f aca="false">IF($A226&gt;Endyr,0,VLOOKUP($A226,Tariff_Table,Tariff!$I$33))</f>
        <v>2.31</v>
      </c>
      <c r="V226" s="1565" t="n">
        <f aca="false">D226</f>
        <v>4.49672219894756</v>
      </c>
      <c r="W226" s="1563" t="n">
        <f aca="false">U226*V226</f>
        <v>10.3874282795689</v>
      </c>
      <c r="X226" s="397" t="n">
        <f aca="false">VLOOKUP($A226,Plant_Table,'Plant Operations'!$M$270)</f>
        <v>298980.864</v>
      </c>
      <c r="Y226" s="630" t="n">
        <f aca="false">W226*X226/1000</f>
        <v>3105.64228176353</v>
      </c>
      <c r="Z226" s="1565" t="n">
        <f aca="false">$H226</f>
        <v>3.11389218833154</v>
      </c>
      <c r="AA226" s="1565" t="n">
        <f aca="false">H226</f>
        <v>3.11389218833154</v>
      </c>
      <c r="AB226" s="1609" t="n">
        <f aca="false">W226/AA226</f>
        <v>3.33583427149242</v>
      </c>
      <c r="AC226" s="1566" t="n">
        <f aca="false">Y226/Z226</f>
        <v>997.350612651613</v>
      </c>
      <c r="AD226" s="1567" t="str">
        <f aca="false">IF(MONTH($A226)=12,SUM(AC215:AC226)," ")</f>
        <v> </v>
      </c>
    </row>
    <row r="227" customFormat="false" ht="12.75" hidden="false" customHeight="false" outlineLevel="0" collapsed="false">
      <c r="A227" s="1538" t="n">
        <f aca="false">'Annex 12-Gas'!A227</f>
        <v>43497</v>
      </c>
      <c r="C227" s="1595" t="n">
        <f aca="false">IF($A227&gt;Endyr,0,VLOOKUP($A227,Tariff_Table,Tariff!$G$33))</f>
        <v>7429.43</v>
      </c>
      <c r="D227" s="1565" t="n">
        <f aca="false">VLOOKUP($A227,Curves_Table,Escalation!$AW$291)</f>
        <v>4.49672219894756</v>
      </c>
      <c r="E227" s="1563" t="n">
        <f aca="false">C227*D227</f>
        <v>33408.082806527</v>
      </c>
      <c r="F227" s="1540" t="n">
        <f aca="false">VLOOKUP($A227,Plant_Table,'Plant Operations'!$C$270)</f>
        <v>480</v>
      </c>
      <c r="G227" s="1563" t="n">
        <f aca="false">E227*F227/1000</f>
        <v>16035.8797471329</v>
      </c>
      <c r="H227" s="1565" t="n">
        <f aca="false">IF(Assm!$L$74=0,VLOOKUP($A227,Curves_Table,Escalation!$D$291),VLOOKUP($A227,Curves_Table,Escalation!$E$291))</f>
        <v>3.11904516304111</v>
      </c>
      <c r="I227" s="394" t="n">
        <f aca="false">G227/H227</f>
        <v>5141.27847110035</v>
      </c>
      <c r="J227" s="1579" t="str">
        <f aca="false">IF(MONTH($A227)=12,SUM(I216:I227)," ")</f>
        <v> </v>
      </c>
      <c r="L227" s="1595" t="n">
        <f aca="false">IF($A227&gt;Endyr,0,VLOOKUP($A227,Tariff_Table,Tariff!$H$33))</f>
        <v>6133.73</v>
      </c>
      <c r="M227" s="1565" t="n">
        <f aca="false">D227</f>
        <v>4.49672219894756</v>
      </c>
      <c r="N227" s="1563" t="n">
        <f aca="false">L227*M227</f>
        <v>27581.6798533506</v>
      </c>
      <c r="O227" s="1540" t="n">
        <f aca="false">$F227</f>
        <v>480</v>
      </c>
      <c r="P227" s="1563" t="n">
        <f aca="false">N227*O227/1000</f>
        <v>13239.2063296083</v>
      </c>
      <c r="Q227" s="1565" t="n">
        <f aca="false">$H227</f>
        <v>3.11904516304111</v>
      </c>
      <c r="R227" s="394" t="n">
        <f aca="false">P227/Q227</f>
        <v>4244.63437929186</v>
      </c>
      <c r="S227" s="1579" t="str">
        <f aca="false">IF(MONTH($A227)=12,SUM(R216:R227)," ")</f>
        <v> </v>
      </c>
      <c r="U227" s="1595" t="n">
        <f aca="false">IF($A227&gt;Endyr,0,VLOOKUP($A227,Tariff_Table,Tariff!$I$33))</f>
        <v>2.31</v>
      </c>
      <c r="V227" s="1565" t="n">
        <f aca="false">D227</f>
        <v>4.49672219894756</v>
      </c>
      <c r="W227" s="1563" t="n">
        <f aca="false">U227*V227</f>
        <v>10.3874282795689</v>
      </c>
      <c r="X227" s="397" t="n">
        <f aca="false">VLOOKUP($A227,Plant_Table,'Plant Operations'!$M$270)</f>
        <v>270047.232</v>
      </c>
      <c r="Y227" s="630" t="n">
        <f aca="false">W227*X227/1000</f>
        <v>2805.09625449609</v>
      </c>
      <c r="Z227" s="1565" t="n">
        <f aca="false">$H227</f>
        <v>3.11904516304111</v>
      </c>
      <c r="AA227" s="1565" t="n">
        <f aca="false">H227</f>
        <v>3.11904516304111</v>
      </c>
      <c r="AB227" s="1609" t="n">
        <f aca="false">W227/AA227</f>
        <v>3.33032313948317</v>
      </c>
      <c r="AC227" s="1566" t="n">
        <f aca="false">Y227/Z227</f>
        <v>899.344545482979</v>
      </c>
      <c r="AD227" s="1567" t="str">
        <f aca="false">IF(MONTH($A227)=12,SUM(AC216:AC227)," ")</f>
        <v> </v>
      </c>
    </row>
    <row r="228" customFormat="false" ht="12.75" hidden="false" customHeight="false" outlineLevel="0" collapsed="false">
      <c r="A228" s="1538" t="n">
        <f aca="false">'Annex 12-Gas'!A228</f>
        <v>43525</v>
      </c>
      <c r="C228" s="1595" t="n">
        <f aca="false">IF($A228&gt;Endyr,0,VLOOKUP($A228,Tariff_Table,Tariff!$G$33))</f>
        <v>7429.43</v>
      </c>
      <c r="D228" s="1565" t="n">
        <f aca="false">VLOOKUP($A228,Curves_Table,Escalation!$AW$291)</f>
        <v>4.49672219894756</v>
      </c>
      <c r="E228" s="1563" t="n">
        <f aca="false">C228*D228</f>
        <v>33408.082806527</v>
      </c>
      <c r="F228" s="1540" t="n">
        <f aca="false">VLOOKUP($A228,Plant_Table,'Plant Operations'!$C$270)</f>
        <v>480</v>
      </c>
      <c r="G228" s="1563" t="n">
        <f aca="false">E228*F228/1000</f>
        <v>16035.8797471329</v>
      </c>
      <c r="H228" s="1565" t="n">
        <f aca="false">IF(Assm!$L$74=0,VLOOKUP($A228,Curves_Table,Escalation!$D$291),VLOOKUP($A228,Curves_Table,Escalation!$E$291))</f>
        <v>3.12420666506851</v>
      </c>
      <c r="I228" s="394" t="n">
        <f aca="false">G228/H228</f>
        <v>5132.78456461563</v>
      </c>
      <c r="J228" s="1579" t="str">
        <f aca="false">IF(MONTH($A228)=12,SUM(I217:I228)," ")</f>
        <v> </v>
      </c>
      <c r="L228" s="1595" t="n">
        <f aca="false">IF($A228&gt;Endyr,0,VLOOKUP($A228,Tariff_Table,Tariff!$H$33))</f>
        <v>6133.73</v>
      </c>
      <c r="M228" s="1565" t="n">
        <f aca="false">D228</f>
        <v>4.49672219894756</v>
      </c>
      <c r="N228" s="1563" t="n">
        <f aca="false">L228*M228</f>
        <v>27581.6798533506</v>
      </c>
      <c r="O228" s="1540" t="n">
        <f aca="false">$F228</f>
        <v>480</v>
      </c>
      <c r="P228" s="1563" t="n">
        <f aca="false">N228*O228/1000</f>
        <v>13239.2063296083</v>
      </c>
      <c r="Q228" s="1565" t="n">
        <f aca="false">$H228</f>
        <v>3.12420666506851</v>
      </c>
      <c r="R228" s="394" t="n">
        <f aca="false">P228/Q228</f>
        <v>4237.62181856749</v>
      </c>
      <c r="S228" s="1579" t="str">
        <f aca="false">IF(MONTH($A228)=12,SUM(R217:R228)," ")</f>
        <v> </v>
      </c>
      <c r="U228" s="1595" t="n">
        <f aca="false">IF($A228&gt;Endyr,0,VLOOKUP($A228,Tariff_Table,Tariff!$I$33))</f>
        <v>2.31</v>
      </c>
      <c r="V228" s="1565" t="n">
        <f aca="false">D228</f>
        <v>4.49672219894756</v>
      </c>
      <c r="W228" s="1563" t="n">
        <f aca="false">U228*V228</f>
        <v>10.3874282795689</v>
      </c>
      <c r="X228" s="397" t="n">
        <f aca="false">VLOOKUP($A228,Plant_Table,'Plant Operations'!$M$270)</f>
        <v>298980.864</v>
      </c>
      <c r="Y228" s="630" t="n">
        <f aca="false">W228*X228/1000</f>
        <v>3105.64228176353</v>
      </c>
      <c r="Z228" s="1565" t="n">
        <f aca="false">$H228</f>
        <v>3.12420666506851</v>
      </c>
      <c r="AA228" s="1565" t="n">
        <f aca="false">H228</f>
        <v>3.12420666506851</v>
      </c>
      <c r="AB228" s="1609" t="n">
        <f aca="false">W228/AA228</f>
        <v>3.32482111241545</v>
      </c>
      <c r="AC228" s="1566" t="n">
        <f aca="false">Y228/Z228</f>
        <v>994.057888835413</v>
      </c>
      <c r="AD228" s="1567" t="str">
        <f aca="false">IF(MONTH($A228)=12,SUM(AC217:AC228)," ")</f>
        <v> </v>
      </c>
    </row>
    <row r="229" customFormat="false" ht="12.75" hidden="false" customHeight="false" outlineLevel="0" collapsed="false">
      <c r="A229" s="1538" t="n">
        <f aca="false">'Annex 12-Gas'!A229</f>
        <v>43556</v>
      </c>
      <c r="C229" s="1595" t="n">
        <f aca="false">IF($A229&gt;Endyr,0,VLOOKUP($A229,Tariff_Table,Tariff!$G$33))</f>
        <v>7429.43</v>
      </c>
      <c r="D229" s="1565" t="n">
        <f aca="false">VLOOKUP($A229,Curves_Table,Escalation!$AW$291)</f>
        <v>4.49672219894756</v>
      </c>
      <c r="E229" s="1563" t="n">
        <f aca="false">C229*D229</f>
        <v>33408.082806527</v>
      </c>
      <c r="F229" s="1540" t="n">
        <f aca="false">VLOOKUP($A229,Plant_Table,'Plant Operations'!$C$270)</f>
        <v>480</v>
      </c>
      <c r="G229" s="1563" t="n">
        <f aca="false">E229*F229/1000</f>
        <v>16035.8797471329</v>
      </c>
      <c r="H229" s="1565" t="n">
        <f aca="false">IF(Assm!$L$74=0,VLOOKUP($A229,Curves_Table,Escalation!$D$291),VLOOKUP($A229,Curves_Table,Escalation!$E$291))</f>
        <v>3.12937670852503</v>
      </c>
      <c r="I229" s="394" t="n">
        <f aca="false">G229/H229</f>
        <v>5124.30469091436</v>
      </c>
      <c r="J229" s="1579" t="str">
        <f aca="false">IF(MONTH($A229)=12,SUM(I218:I229)," ")</f>
        <v> </v>
      </c>
      <c r="L229" s="1595" t="n">
        <f aca="false">IF($A229&gt;Endyr,0,VLOOKUP($A229,Tariff_Table,Tariff!$H$33))</f>
        <v>6133.73</v>
      </c>
      <c r="M229" s="1565" t="n">
        <f aca="false">D229</f>
        <v>4.49672219894756</v>
      </c>
      <c r="N229" s="1563" t="n">
        <f aca="false">L229*M229</f>
        <v>27581.6798533506</v>
      </c>
      <c r="O229" s="1540" t="n">
        <f aca="false">$F229</f>
        <v>480</v>
      </c>
      <c r="P229" s="1563" t="n">
        <f aca="false">N229*O229/1000</f>
        <v>13239.2063296083</v>
      </c>
      <c r="Q229" s="1565" t="n">
        <f aca="false">$H229</f>
        <v>3.12937670852503</v>
      </c>
      <c r="R229" s="394" t="n">
        <f aca="false">P229/Q229</f>
        <v>4230.62084329513</v>
      </c>
      <c r="S229" s="1579" t="str">
        <f aca="false">IF(MONTH($A229)=12,SUM(R218:R229)," ")</f>
        <v> </v>
      </c>
      <c r="U229" s="1595" t="n">
        <f aca="false">IF($A229&gt;Endyr,0,VLOOKUP($A229,Tariff_Table,Tariff!$I$33))</f>
        <v>2.31</v>
      </c>
      <c r="V229" s="1565" t="n">
        <f aca="false">D229</f>
        <v>4.49672219894756</v>
      </c>
      <c r="W229" s="1563" t="n">
        <f aca="false">U229*V229</f>
        <v>10.3874282795689</v>
      </c>
      <c r="X229" s="397" t="n">
        <f aca="false">VLOOKUP($A229,Plant_Table,'Plant Operations'!$M$270)</f>
        <v>289336.32</v>
      </c>
      <c r="Y229" s="630" t="n">
        <f aca="false">W229*X229/1000</f>
        <v>3005.46027267439</v>
      </c>
      <c r="Z229" s="1565" t="n">
        <f aca="false">$H229</f>
        <v>3.12937670852503</v>
      </c>
      <c r="AA229" s="1565" t="n">
        <f aca="false">H229</f>
        <v>3.12937670852503</v>
      </c>
      <c r="AB229" s="1609" t="n">
        <f aca="false">W229/AA229</f>
        <v>3.319328175247</v>
      </c>
      <c r="AC229" s="1566" t="n">
        <f aca="false">Y229/Z229</f>
        <v>960.402199098283</v>
      </c>
      <c r="AD229" s="1567" t="str">
        <f aca="false">IF(MONTH($A229)=12,SUM(AC218:AC229)," ")</f>
        <v> </v>
      </c>
    </row>
    <row r="230" customFormat="false" ht="12.75" hidden="false" customHeight="false" outlineLevel="0" collapsed="false">
      <c r="A230" s="1538" t="n">
        <f aca="false">'Annex 12-Gas'!A230</f>
        <v>43586</v>
      </c>
      <c r="C230" s="1595" t="n">
        <f aca="false">IF($A230&gt;Endyr,0,VLOOKUP($A230,Tariff_Table,Tariff!$G$33))</f>
        <v>0</v>
      </c>
      <c r="D230" s="1565" t="n">
        <f aca="false">VLOOKUP($A230,Curves_Table,Escalation!$AW$291)</f>
        <v>4.49672219894756</v>
      </c>
      <c r="E230" s="1563" t="n">
        <f aca="false">C230*D230</f>
        <v>0</v>
      </c>
      <c r="F230" s="1540" t="n">
        <f aca="false">VLOOKUP($A230,Plant_Table,'Plant Operations'!$C$270)</f>
        <v>0</v>
      </c>
      <c r="G230" s="1563" t="n">
        <f aca="false">E230*F230/1000</f>
        <v>0</v>
      </c>
      <c r="H230" s="1565" t="n">
        <f aca="false">IF(Assm!$L$74=0,VLOOKUP($A230,Curves_Table,Escalation!$D$291),VLOOKUP($A230,Curves_Table,Escalation!$E$291))</f>
        <v>3.13455530754531</v>
      </c>
      <c r="I230" s="394" t="n">
        <f aca="false">G230/H230</f>
        <v>0</v>
      </c>
      <c r="J230" s="1579" t="str">
        <f aca="false">IF(MONTH($A230)=12,SUM(I219:I230)," ")</f>
        <v> </v>
      </c>
      <c r="L230" s="1595" t="n">
        <f aca="false">IF($A230&gt;Endyr,0,VLOOKUP($A230,Tariff_Table,Tariff!$H$33))</f>
        <v>0</v>
      </c>
      <c r="M230" s="1565" t="n">
        <f aca="false">D230</f>
        <v>4.49672219894756</v>
      </c>
      <c r="N230" s="1563" t="n">
        <f aca="false">L230*M230</f>
        <v>0</v>
      </c>
      <c r="O230" s="1540" t="n">
        <f aca="false">$F230</f>
        <v>0</v>
      </c>
      <c r="P230" s="1563" t="n">
        <f aca="false">N230*O230/1000</f>
        <v>0</v>
      </c>
      <c r="Q230" s="1565" t="n">
        <f aca="false">$H230</f>
        <v>3.13455530754531</v>
      </c>
      <c r="R230" s="394" t="n">
        <f aca="false">P230/Q230</f>
        <v>0</v>
      </c>
      <c r="S230" s="1579" t="str">
        <f aca="false">IF(MONTH($A230)=12,SUM(R219:R230)," ")</f>
        <v> </v>
      </c>
      <c r="U230" s="1595" t="n">
        <f aca="false">IF($A230&gt;Endyr,0,VLOOKUP($A230,Tariff_Table,Tariff!$I$33))</f>
        <v>0</v>
      </c>
      <c r="V230" s="1565" t="n">
        <f aca="false">D230</f>
        <v>4.49672219894756</v>
      </c>
      <c r="W230" s="1563" t="n">
        <f aca="false">U230*V230</f>
        <v>0</v>
      </c>
      <c r="X230" s="397" t="n">
        <f aca="false">VLOOKUP($A230,Plant_Table,'Plant Operations'!$M$270)</f>
        <v>0</v>
      </c>
      <c r="Y230" s="630" t="n">
        <f aca="false">W230*X230/1000</f>
        <v>0</v>
      </c>
      <c r="Z230" s="1565" t="n">
        <f aca="false">$H230</f>
        <v>3.13455530754531</v>
      </c>
      <c r="AA230" s="1565" t="n">
        <f aca="false">H230</f>
        <v>3.13455530754531</v>
      </c>
      <c r="AB230" s="1609" t="n">
        <f aca="false">W230/AA230</f>
        <v>0</v>
      </c>
      <c r="AC230" s="1566" t="n">
        <f aca="false">Y230/Z230</f>
        <v>0</v>
      </c>
      <c r="AD230" s="1567" t="str">
        <f aca="false">IF(MONTH($A230)=12,SUM(AC219:AC230)," ")</f>
        <v> </v>
      </c>
    </row>
    <row r="231" customFormat="false" ht="12.75" hidden="false" customHeight="false" outlineLevel="0" collapsed="false">
      <c r="A231" s="1538" t="n">
        <f aca="false">'Annex 12-Gas'!A231</f>
        <v>43617</v>
      </c>
      <c r="C231" s="1595" t="n">
        <f aca="false">IF($A231&gt;Endyr,0,VLOOKUP($A231,Tariff_Table,Tariff!$G$33))</f>
        <v>0</v>
      </c>
      <c r="D231" s="1565" t="n">
        <f aca="false">VLOOKUP($A231,Curves_Table,Escalation!$AW$291)</f>
        <v>4.49672219894756</v>
      </c>
      <c r="E231" s="1563" t="n">
        <f aca="false">C231*D231</f>
        <v>0</v>
      </c>
      <c r="F231" s="1540" t="n">
        <f aca="false">VLOOKUP($A231,Plant_Table,'Plant Operations'!$C$270)</f>
        <v>0</v>
      </c>
      <c r="G231" s="1563" t="n">
        <f aca="false">E231*F231/1000</f>
        <v>0</v>
      </c>
      <c r="H231" s="1565" t="n">
        <f aca="false">IF(Assm!$L$74=0,VLOOKUP($A231,Curves_Table,Escalation!$D$291),VLOOKUP($A231,Curves_Table,Escalation!$E$291))</f>
        <v>3.13455530754531</v>
      </c>
      <c r="I231" s="394" t="n">
        <f aca="false">G231/H231</f>
        <v>0</v>
      </c>
      <c r="J231" s="1579" t="str">
        <f aca="false">IF(MONTH($A231)=12,SUM(I220:I231)," ")</f>
        <v> </v>
      </c>
      <c r="L231" s="1595" t="n">
        <f aca="false">IF($A231&gt;Endyr,0,VLOOKUP($A231,Tariff_Table,Tariff!$H$33))</f>
        <v>0</v>
      </c>
      <c r="M231" s="1565" t="n">
        <f aca="false">D231</f>
        <v>4.49672219894756</v>
      </c>
      <c r="N231" s="1563" t="n">
        <f aca="false">L231*M231</f>
        <v>0</v>
      </c>
      <c r="O231" s="1540" t="n">
        <f aca="false">$F231</f>
        <v>0</v>
      </c>
      <c r="P231" s="1563" t="n">
        <f aca="false">N231*O231/1000</f>
        <v>0</v>
      </c>
      <c r="Q231" s="1565" t="n">
        <f aca="false">$H231</f>
        <v>3.13455530754531</v>
      </c>
      <c r="R231" s="394" t="n">
        <f aca="false">P231/Q231</f>
        <v>0</v>
      </c>
      <c r="S231" s="1579" t="str">
        <f aca="false">IF(MONTH($A231)=12,SUM(R220:R231)," ")</f>
        <v> </v>
      </c>
      <c r="U231" s="1595" t="n">
        <f aca="false">IF($A231&gt;Endyr,0,VLOOKUP($A231,Tariff_Table,Tariff!$I$33))</f>
        <v>0</v>
      </c>
      <c r="V231" s="1565" t="n">
        <f aca="false">D231</f>
        <v>4.49672219894756</v>
      </c>
      <c r="W231" s="1563" t="n">
        <f aca="false">U231*V231</f>
        <v>0</v>
      </c>
      <c r="X231" s="397" t="n">
        <f aca="false">VLOOKUP($A231,Plant_Table,'Plant Operations'!$M$270)</f>
        <v>0</v>
      </c>
      <c r="Y231" s="630" t="n">
        <f aca="false">W231*X231/1000</f>
        <v>0</v>
      </c>
      <c r="Z231" s="1565" t="n">
        <f aca="false">$H231</f>
        <v>3.13455530754531</v>
      </c>
      <c r="AA231" s="1565" t="n">
        <f aca="false">H231</f>
        <v>3.13455530754531</v>
      </c>
      <c r="AB231" s="1609" t="n">
        <f aca="false">W231/AA231</f>
        <v>0</v>
      </c>
      <c r="AC231" s="1566" t="n">
        <f aca="false">Y231/Z231</f>
        <v>0</v>
      </c>
      <c r="AD231" s="1567" t="str">
        <f aca="false">IF(MONTH($A231)=12,SUM(AC220:AC231)," ")</f>
        <v> </v>
      </c>
    </row>
    <row r="232" customFormat="false" ht="12.75" hidden="false" customHeight="false" outlineLevel="0" collapsed="false">
      <c r="A232" s="1538" t="n">
        <f aca="false">'Annex 12-Gas'!A232</f>
        <v>43647</v>
      </c>
      <c r="C232" s="1595" t="n">
        <f aca="false">IF($A232&gt;Endyr,0,VLOOKUP($A232,Tariff_Table,Tariff!$G$33))</f>
        <v>0</v>
      </c>
      <c r="D232" s="1565" t="n">
        <f aca="false">VLOOKUP($A232,Curves_Table,Escalation!$AW$291)</f>
        <v>4.49672219894756</v>
      </c>
      <c r="E232" s="1563" t="n">
        <f aca="false">C232*D232</f>
        <v>0</v>
      </c>
      <c r="F232" s="1540" t="n">
        <f aca="false">VLOOKUP($A232,Plant_Table,'Plant Operations'!$C$270)</f>
        <v>0</v>
      </c>
      <c r="G232" s="1563" t="n">
        <f aca="false">E232*F232/1000</f>
        <v>0</v>
      </c>
      <c r="H232" s="1565" t="n">
        <f aca="false">IF(Assm!$L$74=0,VLOOKUP($A232,Curves_Table,Escalation!$D$291),VLOOKUP($A232,Curves_Table,Escalation!$E$291))</f>
        <v>3.13455530754531</v>
      </c>
      <c r="I232" s="394" t="n">
        <f aca="false">G232/H232</f>
        <v>0</v>
      </c>
      <c r="J232" s="1579" t="str">
        <f aca="false">IF(MONTH($A232)=12,SUM(I221:I232)," ")</f>
        <v> </v>
      </c>
      <c r="L232" s="1595" t="n">
        <f aca="false">IF($A232&gt;Endyr,0,VLOOKUP($A232,Tariff_Table,Tariff!$H$33))</f>
        <v>0</v>
      </c>
      <c r="M232" s="1565" t="n">
        <f aca="false">D232</f>
        <v>4.49672219894756</v>
      </c>
      <c r="N232" s="1563" t="n">
        <f aca="false">L232*M232</f>
        <v>0</v>
      </c>
      <c r="O232" s="1540" t="n">
        <f aca="false">$F232</f>
        <v>0</v>
      </c>
      <c r="P232" s="1563" t="n">
        <f aca="false">N232*O232/1000</f>
        <v>0</v>
      </c>
      <c r="Q232" s="1565" t="n">
        <f aca="false">$H232</f>
        <v>3.13455530754531</v>
      </c>
      <c r="R232" s="394" t="n">
        <f aca="false">P232/Q232</f>
        <v>0</v>
      </c>
      <c r="S232" s="1579" t="str">
        <f aca="false">IF(MONTH($A232)=12,SUM(R221:R232)," ")</f>
        <v> </v>
      </c>
      <c r="U232" s="1595" t="n">
        <f aca="false">IF($A232&gt;Endyr,0,VLOOKUP($A232,Tariff_Table,Tariff!$I$33))</f>
        <v>0</v>
      </c>
      <c r="V232" s="1565" t="n">
        <f aca="false">D232</f>
        <v>4.49672219894756</v>
      </c>
      <c r="W232" s="1563" t="n">
        <f aca="false">U232*V232</f>
        <v>0</v>
      </c>
      <c r="X232" s="397" t="n">
        <f aca="false">VLOOKUP($A232,Plant_Table,'Plant Operations'!$M$270)</f>
        <v>0</v>
      </c>
      <c r="Y232" s="630" t="n">
        <f aca="false">W232*X232/1000</f>
        <v>0</v>
      </c>
      <c r="Z232" s="1565" t="n">
        <f aca="false">$H232</f>
        <v>3.13455530754531</v>
      </c>
      <c r="AA232" s="1565" t="n">
        <f aca="false">H232</f>
        <v>3.13455530754531</v>
      </c>
      <c r="AB232" s="1609" t="n">
        <f aca="false">W232/AA232</f>
        <v>0</v>
      </c>
      <c r="AC232" s="1566" t="n">
        <f aca="false">Y232/Z232</f>
        <v>0</v>
      </c>
      <c r="AD232" s="1567" t="str">
        <f aca="false">IF(MONTH($A232)=12,SUM(AC221:AC232)," ")</f>
        <v> </v>
      </c>
    </row>
    <row r="233" customFormat="false" ht="12.75" hidden="false" customHeight="false" outlineLevel="0" collapsed="false">
      <c r="A233" s="1538" t="n">
        <f aca="false">'Annex 12-Gas'!A233</f>
        <v>43678</v>
      </c>
      <c r="C233" s="1595" t="n">
        <f aca="false">IF($A233&gt;Endyr,0,VLOOKUP($A233,Tariff_Table,Tariff!$G$33))</f>
        <v>0</v>
      </c>
      <c r="D233" s="1565" t="n">
        <f aca="false">VLOOKUP($A233,Curves_Table,Escalation!$AW$291)</f>
        <v>4.49672219894756</v>
      </c>
      <c r="E233" s="1563" t="n">
        <f aca="false">C233*D233</f>
        <v>0</v>
      </c>
      <c r="F233" s="1540" t="n">
        <f aca="false">VLOOKUP($A233,Plant_Table,'Plant Operations'!$C$270)</f>
        <v>0</v>
      </c>
      <c r="G233" s="1563" t="n">
        <f aca="false">E233*F233/1000</f>
        <v>0</v>
      </c>
      <c r="H233" s="1565" t="n">
        <f aca="false">IF(Assm!$L$74=0,VLOOKUP($A233,Curves_Table,Escalation!$D$291),VLOOKUP($A233,Curves_Table,Escalation!$E$291))</f>
        <v>3.13455530754531</v>
      </c>
      <c r="I233" s="394" t="n">
        <f aca="false">G233/H233</f>
        <v>0</v>
      </c>
      <c r="J233" s="1579" t="str">
        <f aca="false">IF(MONTH($A233)=12,SUM(I222:I233)," ")</f>
        <v> </v>
      </c>
      <c r="L233" s="1595" t="n">
        <f aca="false">IF($A233&gt;Endyr,0,VLOOKUP($A233,Tariff_Table,Tariff!$H$33))</f>
        <v>0</v>
      </c>
      <c r="M233" s="1565" t="n">
        <f aca="false">D233</f>
        <v>4.49672219894756</v>
      </c>
      <c r="N233" s="1563" t="n">
        <f aca="false">L233*M233</f>
        <v>0</v>
      </c>
      <c r="O233" s="1540" t="n">
        <f aca="false">$F233</f>
        <v>0</v>
      </c>
      <c r="P233" s="1563" t="n">
        <f aca="false">N233*O233/1000</f>
        <v>0</v>
      </c>
      <c r="Q233" s="1565" t="n">
        <f aca="false">$H233</f>
        <v>3.13455530754531</v>
      </c>
      <c r="R233" s="394" t="n">
        <f aca="false">P233/Q233</f>
        <v>0</v>
      </c>
      <c r="S233" s="1579" t="str">
        <f aca="false">IF(MONTH($A233)=12,SUM(R222:R233)," ")</f>
        <v> </v>
      </c>
      <c r="U233" s="1595" t="n">
        <f aca="false">IF($A233&gt;Endyr,0,VLOOKUP($A233,Tariff_Table,Tariff!$I$33))</f>
        <v>0</v>
      </c>
      <c r="V233" s="1565" t="n">
        <f aca="false">D233</f>
        <v>4.49672219894756</v>
      </c>
      <c r="W233" s="1563" t="n">
        <f aca="false">U233*V233</f>
        <v>0</v>
      </c>
      <c r="X233" s="397" t="n">
        <f aca="false">VLOOKUP($A233,Plant_Table,'Plant Operations'!$M$270)</f>
        <v>0</v>
      </c>
      <c r="Y233" s="630" t="n">
        <f aca="false">W233*X233/1000</f>
        <v>0</v>
      </c>
      <c r="Z233" s="1565" t="n">
        <f aca="false">$H233</f>
        <v>3.13455530754531</v>
      </c>
      <c r="AA233" s="1565" t="n">
        <f aca="false">H233</f>
        <v>3.13455530754531</v>
      </c>
      <c r="AB233" s="1609" t="n">
        <f aca="false">W233/AA233</f>
        <v>0</v>
      </c>
      <c r="AC233" s="1566" t="n">
        <f aca="false">Y233/Z233</f>
        <v>0</v>
      </c>
      <c r="AD233" s="1567" t="str">
        <f aca="false">IF(MONTH($A233)=12,SUM(AC222:AC233)," ")</f>
        <v> </v>
      </c>
    </row>
    <row r="234" customFormat="false" ht="12.75" hidden="false" customHeight="false" outlineLevel="0" collapsed="false">
      <c r="A234" s="1538" t="n">
        <f aca="false">'Annex 12-Gas'!A234</f>
        <v>43709</v>
      </c>
      <c r="C234" s="1595" t="n">
        <f aca="false">IF($A234&gt;Endyr,0,VLOOKUP($A234,Tariff_Table,Tariff!$G$33))</f>
        <v>0</v>
      </c>
      <c r="D234" s="1565" t="n">
        <f aca="false">VLOOKUP($A234,Curves_Table,Escalation!$AW$291)</f>
        <v>4.49672219894756</v>
      </c>
      <c r="E234" s="1563" t="n">
        <f aca="false">C234*D234</f>
        <v>0</v>
      </c>
      <c r="F234" s="1540" t="n">
        <f aca="false">VLOOKUP($A234,Plant_Table,'Plant Operations'!$C$270)</f>
        <v>0</v>
      </c>
      <c r="G234" s="1563" t="n">
        <f aca="false">E234*F234/1000</f>
        <v>0</v>
      </c>
      <c r="H234" s="1565" t="n">
        <f aca="false">IF(Assm!$L$74=0,VLOOKUP($A234,Curves_Table,Escalation!$D$291),VLOOKUP($A234,Curves_Table,Escalation!$E$291))</f>
        <v>3.13455530754531</v>
      </c>
      <c r="I234" s="394" t="n">
        <f aca="false">G234/H234</f>
        <v>0</v>
      </c>
      <c r="J234" s="1579" t="str">
        <f aca="false">IF(MONTH($A234)=12,SUM(I223:I234)," ")</f>
        <v> </v>
      </c>
      <c r="L234" s="1595" t="n">
        <f aca="false">IF($A234&gt;Endyr,0,VLOOKUP($A234,Tariff_Table,Tariff!$H$33))</f>
        <v>0</v>
      </c>
      <c r="M234" s="1565" t="n">
        <f aca="false">D234</f>
        <v>4.49672219894756</v>
      </c>
      <c r="N234" s="1563" t="n">
        <f aca="false">L234*M234</f>
        <v>0</v>
      </c>
      <c r="O234" s="1540" t="n">
        <f aca="false">$F234</f>
        <v>0</v>
      </c>
      <c r="P234" s="1563" t="n">
        <f aca="false">N234*O234/1000</f>
        <v>0</v>
      </c>
      <c r="Q234" s="1565" t="n">
        <f aca="false">$H234</f>
        <v>3.13455530754531</v>
      </c>
      <c r="R234" s="394" t="n">
        <f aca="false">P234/Q234</f>
        <v>0</v>
      </c>
      <c r="S234" s="1579" t="str">
        <f aca="false">IF(MONTH($A234)=12,SUM(R223:R234)," ")</f>
        <v> </v>
      </c>
      <c r="U234" s="1595" t="n">
        <f aca="false">IF($A234&gt;Endyr,0,VLOOKUP($A234,Tariff_Table,Tariff!$I$33))</f>
        <v>0</v>
      </c>
      <c r="V234" s="1565" t="n">
        <f aca="false">D234</f>
        <v>4.49672219894756</v>
      </c>
      <c r="W234" s="1563" t="n">
        <f aca="false">U234*V234</f>
        <v>0</v>
      </c>
      <c r="X234" s="397" t="n">
        <f aca="false">VLOOKUP($A234,Plant_Table,'Plant Operations'!$M$270)</f>
        <v>0</v>
      </c>
      <c r="Y234" s="630" t="n">
        <f aca="false">W234*X234/1000</f>
        <v>0</v>
      </c>
      <c r="Z234" s="1565" t="n">
        <f aca="false">$H234</f>
        <v>3.13455530754531</v>
      </c>
      <c r="AA234" s="1565" t="n">
        <f aca="false">H234</f>
        <v>3.13455530754531</v>
      </c>
      <c r="AB234" s="1609" t="n">
        <f aca="false">W234/AA234</f>
        <v>0</v>
      </c>
      <c r="AC234" s="1566" t="n">
        <f aca="false">Y234/Z234</f>
        <v>0</v>
      </c>
      <c r="AD234" s="1567" t="str">
        <f aca="false">IF(MONTH($A234)=12,SUM(AC223:AC234)," ")</f>
        <v> </v>
      </c>
    </row>
    <row r="235" customFormat="false" ht="12.75" hidden="false" customHeight="false" outlineLevel="0" collapsed="false">
      <c r="A235" s="1538" t="n">
        <f aca="false">'Annex 12-Gas'!A235</f>
        <v>43739</v>
      </c>
      <c r="C235" s="1595" t="n">
        <f aca="false">IF($A235&gt;Endyr,0,VLOOKUP($A235,Tariff_Table,Tariff!$G$33))</f>
        <v>0</v>
      </c>
      <c r="D235" s="1565" t="n">
        <f aca="false">VLOOKUP($A235,Curves_Table,Escalation!$AW$291)</f>
        <v>4.49672219894756</v>
      </c>
      <c r="E235" s="1563" t="n">
        <f aca="false">C235*D235</f>
        <v>0</v>
      </c>
      <c r="F235" s="1540" t="n">
        <f aca="false">VLOOKUP($A235,Plant_Table,'Plant Operations'!$C$270)</f>
        <v>0</v>
      </c>
      <c r="G235" s="1563" t="n">
        <f aca="false">E235*F235/1000</f>
        <v>0</v>
      </c>
      <c r="H235" s="1565" t="n">
        <f aca="false">IF(Assm!$L$74=0,VLOOKUP($A235,Curves_Table,Escalation!$D$291),VLOOKUP($A235,Curves_Table,Escalation!$E$291))</f>
        <v>3.13455530754531</v>
      </c>
      <c r="I235" s="394" t="n">
        <f aca="false">G235/H235</f>
        <v>0</v>
      </c>
      <c r="J235" s="1579" t="str">
        <f aca="false">IF(MONTH($A235)=12,SUM(I224:I235)," ")</f>
        <v> </v>
      </c>
      <c r="L235" s="1595" t="n">
        <f aca="false">IF($A235&gt;Endyr,0,VLOOKUP($A235,Tariff_Table,Tariff!$H$33))</f>
        <v>0</v>
      </c>
      <c r="M235" s="1565" t="n">
        <f aca="false">D235</f>
        <v>4.49672219894756</v>
      </c>
      <c r="N235" s="1563" t="n">
        <f aca="false">L235*M235</f>
        <v>0</v>
      </c>
      <c r="O235" s="1540" t="n">
        <f aca="false">$F235</f>
        <v>0</v>
      </c>
      <c r="P235" s="1563" t="n">
        <f aca="false">N235*O235/1000</f>
        <v>0</v>
      </c>
      <c r="Q235" s="1565" t="n">
        <f aca="false">$H235</f>
        <v>3.13455530754531</v>
      </c>
      <c r="R235" s="394" t="n">
        <f aca="false">P235/Q235</f>
        <v>0</v>
      </c>
      <c r="S235" s="1579" t="str">
        <f aca="false">IF(MONTH($A235)=12,SUM(R224:R235)," ")</f>
        <v> </v>
      </c>
      <c r="U235" s="1595" t="n">
        <f aca="false">IF($A235&gt;Endyr,0,VLOOKUP($A235,Tariff_Table,Tariff!$I$33))</f>
        <v>0</v>
      </c>
      <c r="V235" s="1565" t="n">
        <f aca="false">D235</f>
        <v>4.49672219894756</v>
      </c>
      <c r="W235" s="1563" t="n">
        <f aca="false">U235*V235</f>
        <v>0</v>
      </c>
      <c r="X235" s="397" t="n">
        <f aca="false">VLOOKUP($A235,Plant_Table,'Plant Operations'!$M$270)</f>
        <v>0</v>
      </c>
      <c r="Y235" s="630" t="n">
        <f aca="false">W235*X235/1000</f>
        <v>0</v>
      </c>
      <c r="Z235" s="1565" t="n">
        <f aca="false">$H235</f>
        <v>3.13455530754531</v>
      </c>
      <c r="AA235" s="1565" t="n">
        <f aca="false">H235</f>
        <v>3.13455530754531</v>
      </c>
      <c r="AB235" s="1609" t="n">
        <f aca="false">W235/AA235</f>
        <v>0</v>
      </c>
      <c r="AC235" s="1566" t="n">
        <f aca="false">Y235/Z235</f>
        <v>0</v>
      </c>
      <c r="AD235" s="1567" t="str">
        <f aca="false">IF(MONTH($A235)=12,SUM(AC224:AC235)," ")</f>
        <v> </v>
      </c>
    </row>
    <row r="236" customFormat="false" ht="12.75" hidden="false" customHeight="false" outlineLevel="0" collapsed="false">
      <c r="A236" s="1538" t="n">
        <f aca="false">'Annex 12-Gas'!A236</f>
        <v>43770</v>
      </c>
      <c r="C236" s="1595" t="n">
        <f aca="false">IF($A236&gt;Endyr,0,VLOOKUP($A236,Tariff_Table,Tariff!$G$33))</f>
        <v>0</v>
      </c>
      <c r="D236" s="1565" t="n">
        <f aca="false">VLOOKUP($A236,Curves_Table,Escalation!$AW$291)</f>
        <v>4.49672219894756</v>
      </c>
      <c r="E236" s="1563" t="n">
        <f aca="false">C236*D236</f>
        <v>0</v>
      </c>
      <c r="F236" s="1540" t="n">
        <f aca="false">VLOOKUP($A236,Plant_Table,'Plant Operations'!$C$270)</f>
        <v>0</v>
      </c>
      <c r="G236" s="1563" t="n">
        <f aca="false">E236*F236/1000</f>
        <v>0</v>
      </c>
      <c r="H236" s="1565" t="n">
        <f aca="false">IF(Assm!$L$74=0,VLOOKUP($A236,Curves_Table,Escalation!$D$291),VLOOKUP($A236,Curves_Table,Escalation!$E$291))</f>
        <v>3.13455530754531</v>
      </c>
      <c r="I236" s="394" t="n">
        <f aca="false">G236/H236</f>
        <v>0</v>
      </c>
      <c r="J236" s="1579" t="str">
        <f aca="false">IF(MONTH($A236)=12,SUM(I225:I236)," ")</f>
        <v> </v>
      </c>
      <c r="L236" s="1595" t="n">
        <f aca="false">IF($A236&gt;Endyr,0,VLOOKUP($A236,Tariff_Table,Tariff!$H$33))</f>
        <v>0</v>
      </c>
      <c r="M236" s="1565" t="n">
        <f aca="false">D236</f>
        <v>4.49672219894756</v>
      </c>
      <c r="N236" s="1563" t="n">
        <f aca="false">L236*M236</f>
        <v>0</v>
      </c>
      <c r="O236" s="1540" t="n">
        <f aca="false">$F236</f>
        <v>0</v>
      </c>
      <c r="P236" s="1563" t="n">
        <f aca="false">N236*O236/1000</f>
        <v>0</v>
      </c>
      <c r="Q236" s="1565" t="n">
        <f aca="false">$H236</f>
        <v>3.13455530754531</v>
      </c>
      <c r="R236" s="394" t="n">
        <f aca="false">P236/Q236</f>
        <v>0</v>
      </c>
      <c r="S236" s="1579" t="str">
        <f aca="false">IF(MONTH($A236)=12,SUM(R225:R236)," ")</f>
        <v> </v>
      </c>
      <c r="U236" s="1595" t="n">
        <f aca="false">IF($A236&gt;Endyr,0,VLOOKUP($A236,Tariff_Table,Tariff!$I$33))</f>
        <v>0</v>
      </c>
      <c r="V236" s="1565" t="n">
        <f aca="false">D236</f>
        <v>4.49672219894756</v>
      </c>
      <c r="W236" s="1563" t="n">
        <f aca="false">U236*V236</f>
        <v>0</v>
      </c>
      <c r="X236" s="397" t="n">
        <f aca="false">VLOOKUP($A236,Plant_Table,'Plant Operations'!$M$270)</f>
        <v>0</v>
      </c>
      <c r="Y236" s="630" t="n">
        <f aca="false">W236*X236/1000</f>
        <v>0</v>
      </c>
      <c r="Z236" s="1565" t="n">
        <f aca="false">$H236</f>
        <v>3.13455530754531</v>
      </c>
      <c r="AA236" s="1565" t="n">
        <f aca="false">H236</f>
        <v>3.13455530754531</v>
      </c>
      <c r="AB236" s="1609" t="n">
        <f aca="false">W236/AA236</f>
        <v>0</v>
      </c>
      <c r="AC236" s="1566" t="n">
        <f aca="false">Y236/Z236</f>
        <v>0</v>
      </c>
      <c r="AD236" s="1567" t="str">
        <f aca="false">IF(MONTH($A236)=12,SUM(AC225:AC236)," ")</f>
        <v> </v>
      </c>
    </row>
    <row r="237" customFormat="false" ht="12.75" hidden="false" customHeight="false" outlineLevel="0" collapsed="false">
      <c r="A237" s="1538" t="n">
        <f aca="false">'Annex 12-Gas'!A237</f>
        <v>43800</v>
      </c>
      <c r="C237" s="1595" t="n">
        <f aca="false">IF($A237&gt;Endyr,0,VLOOKUP($A237,Tariff_Table,Tariff!$G$33))</f>
        <v>0</v>
      </c>
      <c r="D237" s="1565" t="n">
        <f aca="false">VLOOKUP($A237,Curves_Table,Escalation!$AW$291)</f>
        <v>4.49672219894756</v>
      </c>
      <c r="E237" s="1563" t="n">
        <f aca="false">C237*D237</f>
        <v>0</v>
      </c>
      <c r="F237" s="1540" t="n">
        <f aca="false">VLOOKUP($A237,Plant_Table,'Plant Operations'!$C$270)</f>
        <v>0</v>
      </c>
      <c r="G237" s="1563" t="n">
        <f aca="false">E237*F237/1000</f>
        <v>0</v>
      </c>
      <c r="H237" s="1565" t="n">
        <f aca="false">IF(Assm!$L$74=0,VLOOKUP($A237,Curves_Table,Escalation!$D$291),VLOOKUP($A237,Curves_Table,Escalation!$E$291))</f>
        <v>3.13455530754531</v>
      </c>
      <c r="I237" s="394" t="n">
        <f aca="false">G237/H237</f>
        <v>0</v>
      </c>
      <c r="J237" s="1579" t="n">
        <f aca="false">IF(MONTH($A237)=12,SUM(I226:I237)," ")</f>
        <v>20548.1541602208</v>
      </c>
      <c r="L237" s="1595" t="n">
        <f aca="false">IF($A237&gt;Endyr,0,VLOOKUP($A237,Tariff_Table,Tariff!$H$33))</f>
        <v>0</v>
      </c>
      <c r="M237" s="1565" t="n">
        <f aca="false">D237</f>
        <v>4.49672219894756</v>
      </c>
      <c r="N237" s="1563" t="n">
        <f aca="false">L237*M237</f>
        <v>0</v>
      </c>
      <c r="O237" s="1540" t="n">
        <f aca="false">$F237</f>
        <v>0</v>
      </c>
      <c r="P237" s="1563" t="n">
        <f aca="false">N237*O237/1000</f>
        <v>0</v>
      </c>
      <c r="Q237" s="1565" t="n">
        <f aca="false">$H237</f>
        <v>3.13455530754531</v>
      </c>
      <c r="R237" s="394" t="n">
        <f aca="false">P237/Q237</f>
        <v>0</v>
      </c>
      <c r="S237" s="1579" t="n">
        <f aca="false">IF(MONTH($A237)=12,SUM(R226:R237)," ")</f>
        <v>16964.5355857947</v>
      </c>
      <c r="U237" s="1595" t="n">
        <f aca="false">IF($A237&gt;Endyr,0,VLOOKUP($A237,Tariff_Table,Tariff!$I$33))</f>
        <v>0</v>
      </c>
      <c r="V237" s="1565" t="n">
        <f aca="false">D237</f>
        <v>4.49672219894756</v>
      </c>
      <c r="W237" s="1563" t="n">
        <f aca="false">U237*V237</f>
        <v>0</v>
      </c>
      <c r="X237" s="397" t="n">
        <f aca="false">VLOOKUP($A237,Plant_Table,'Plant Operations'!$M$270)</f>
        <v>0</v>
      </c>
      <c r="Y237" s="630" t="n">
        <f aca="false">W237*X237/1000</f>
        <v>0</v>
      </c>
      <c r="Z237" s="1565" t="n">
        <f aca="false">$H237</f>
        <v>3.13455530754531</v>
      </c>
      <c r="AA237" s="1565" t="n">
        <f aca="false">H237</f>
        <v>3.13455530754531</v>
      </c>
      <c r="AB237" s="1609" t="n">
        <f aca="false">W237/AA237</f>
        <v>0</v>
      </c>
      <c r="AC237" s="1566" t="n">
        <f aca="false">Y237/Z237</f>
        <v>0</v>
      </c>
      <c r="AD237" s="1567" t="n">
        <f aca="false">IF(MONTH($A237)=12,SUM(AC226:AC237)," ")</f>
        <v>3851.15524606829</v>
      </c>
    </row>
    <row r="238" customFormat="false" ht="12.75" hidden="false" customHeight="false" outlineLevel="0" collapsed="false">
      <c r="A238" s="1538" t="n">
        <f aca="false">'Annex 12-Gas'!A238</f>
        <v>43831</v>
      </c>
      <c r="C238" s="1595" t="n">
        <f aca="false">IF($A238&gt;Endyr,0,VLOOKUP($A238,Tariff_Table,Tariff!$G$33))</f>
        <v>0</v>
      </c>
      <c r="D238" s="1565" t="n">
        <f aca="false">VLOOKUP($A238,Curves_Table,Escalation!$AW$291)</f>
        <v>4.49672219894756</v>
      </c>
      <c r="E238" s="1563" t="n">
        <f aca="false">C238*D238</f>
        <v>0</v>
      </c>
      <c r="F238" s="1540" t="n">
        <f aca="false">VLOOKUP($A238,Plant_Table,'Plant Operations'!$C$270)</f>
        <v>0</v>
      </c>
      <c r="G238" s="1563" t="n">
        <f aca="false">E238*F238/1000</f>
        <v>0</v>
      </c>
      <c r="H238" s="1565" t="n">
        <f aca="false">IF(Assm!$L$74=0,VLOOKUP($A238,Curves_Table,Escalation!$D$291),VLOOKUP($A238,Curves_Table,Escalation!$E$291))</f>
        <v>3.13455530754531</v>
      </c>
      <c r="I238" s="394" t="n">
        <f aca="false">G238/H238</f>
        <v>0</v>
      </c>
      <c r="J238" s="1579" t="str">
        <f aca="false">IF(MONTH($A238)=12,SUM(I227:I238)," ")</f>
        <v> </v>
      </c>
      <c r="L238" s="1595" t="n">
        <f aca="false">IF($A238&gt;Endyr,0,VLOOKUP($A238,Tariff_Table,Tariff!$H$33))</f>
        <v>0</v>
      </c>
      <c r="M238" s="1565" t="n">
        <f aca="false">D238</f>
        <v>4.49672219894756</v>
      </c>
      <c r="N238" s="1563" t="n">
        <f aca="false">L238*M238</f>
        <v>0</v>
      </c>
      <c r="O238" s="1540" t="n">
        <f aca="false">$F238</f>
        <v>0</v>
      </c>
      <c r="P238" s="1563" t="n">
        <f aca="false">N238*O238/1000</f>
        <v>0</v>
      </c>
      <c r="Q238" s="1565" t="n">
        <f aca="false">$H238</f>
        <v>3.13455530754531</v>
      </c>
      <c r="R238" s="394" t="n">
        <f aca="false">P238/Q238</f>
        <v>0</v>
      </c>
      <c r="S238" s="1579" t="str">
        <f aca="false">IF(MONTH($A238)=12,SUM(R227:R238)," ")</f>
        <v> </v>
      </c>
      <c r="U238" s="1595" t="n">
        <f aca="false">IF($A238&gt;Endyr,0,VLOOKUP($A238,Tariff_Table,Tariff!$I$33))</f>
        <v>0</v>
      </c>
      <c r="V238" s="1565" t="n">
        <f aca="false">D238</f>
        <v>4.49672219894756</v>
      </c>
      <c r="W238" s="1563" t="n">
        <f aca="false">U238*V238</f>
        <v>0</v>
      </c>
      <c r="X238" s="397" t="n">
        <f aca="false">VLOOKUP($A238,Plant_Table,'Plant Operations'!$M$270)</f>
        <v>0</v>
      </c>
      <c r="Y238" s="630" t="n">
        <f aca="false">W238*X238/1000</f>
        <v>0</v>
      </c>
      <c r="Z238" s="1565" t="n">
        <f aca="false">$H238</f>
        <v>3.13455530754531</v>
      </c>
      <c r="AA238" s="1565" t="n">
        <f aca="false">H238</f>
        <v>3.13455530754531</v>
      </c>
      <c r="AB238" s="1609" t="n">
        <f aca="false">W238/AA238</f>
        <v>0</v>
      </c>
      <c r="AC238" s="1566" t="n">
        <f aca="false">Y238/Z238</f>
        <v>0</v>
      </c>
      <c r="AD238" s="1567" t="str">
        <f aca="false">IF(MONTH($A238)=12,SUM(AC227:AC238)," ")</f>
        <v> </v>
      </c>
    </row>
    <row r="239" customFormat="false" ht="12.75" hidden="false" customHeight="false" outlineLevel="0" collapsed="false">
      <c r="A239" s="1538" t="n">
        <f aca="false">'Annex 12-Gas'!A239</f>
        <v>43862</v>
      </c>
      <c r="C239" s="1595" t="n">
        <f aca="false">IF($A239&gt;Endyr,0,VLOOKUP($A239,Tariff_Table,Tariff!$G$33))</f>
        <v>0</v>
      </c>
      <c r="D239" s="1565" t="n">
        <f aca="false">VLOOKUP($A239,Curves_Table,Escalation!$AW$291)</f>
        <v>4.49672219894756</v>
      </c>
      <c r="E239" s="1563" t="n">
        <f aca="false">C239*D239</f>
        <v>0</v>
      </c>
      <c r="F239" s="1540" t="n">
        <f aca="false">VLOOKUP($A239,Plant_Table,'Plant Operations'!$C$270)</f>
        <v>0</v>
      </c>
      <c r="G239" s="1563" t="n">
        <f aca="false">E239*F239/1000</f>
        <v>0</v>
      </c>
      <c r="H239" s="1565" t="n">
        <f aca="false">IF(Assm!$L$74=0,VLOOKUP($A239,Curves_Table,Escalation!$D$291),VLOOKUP($A239,Curves_Table,Escalation!$E$291))</f>
        <v>3.13455530754531</v>
      </c>
      <c r="I239" s="394" t="n">
        <f aca="false">G239/H239</f>
        <v>0</v>
      </c>
      <c r="J239" s="1579" t="str">
        <f aca="false">IF(MONTH($A239)=12,SUM(I228:I239)," ")</f>
        <v> </v>
      </c>
      <c r="L239" s="1595" t="n">
        <f aca="false">IF($A239&gt;Endyr,0,VLOOKUP($A239,Tariff_Table,Tariff!$H$33))</f>
        <v>0</v>
      </c>
      <c r="M239" s="1565" t="n">
        <f aca="false">D239</f>
        <v>4.49672219894756</v>
      </c>
      <c r="N239" s="1563" t="n">
        <f aca="false">L239*M239</f>
        <v>0</v>
      </c>
      <c r="O239" s="1540" t="n">
        <f aca="false">$F239</f>
        <v>0</v>
      </c>
      <c r="P239" s="1563" t="n">
        <f aca="false">N239*O239/1000</f>
        <v>0</v>
      </c>
      <c r="Q239" s="1565" t="n">
        <f aca="false">$H239</f>
        <v>3.13455530754531</v>
      </c>
      <c r="R239" s="394" t="n">
        <f aca="false">P239/Q239</f>
        <v>0</v>
      </c>
      <c r="S239" s="1579" t="str">
        <f aca="false">IF(MONTH($A239)=12,SUM(R228:R239)," ")</f>
        <v> </v>
      </c>
      <c r="U239" s="1595" t="n">
        <f aca="false">IF($A239&gt;Endyr,0,VLOOKUP($A239,Tariff_Table,Tariff!$I$33))</f>
        <v>0</v>
      </c>
      <c r="V239" s="1565" t="n">
        <f aca="false">D239</f>
        <v>4.49672219894756</v>
      </c>
      <c r="W239" s="1563" t="n">
        <f aca="false">U239*V239</f>
        <v>0</v>
      </c>
      <c r="X239" s="397" t="n">
        <f aca="false">VLOOKUP($A239,Plant_Table,'Plant Operations'!$M$270)</f>
        <v>0</v>
      </c>
      <c r="Y239" s="630" t="n">
        <f aca="false">W239*X239/1000</f>
        <v>0</v>
      </c>
      <c r="Z239" s="1565" t="n">
        <f aca="false">$H239</f>
        <v>3.13455530754531</v>
      </c>
      <c r="AA239" s="1565" t="n">
        <f aca="false">H239</f>
        <v>3.13455530754531</v>
      </c>
      <c r="AB239" s="1609" t="n">
        <f aca="false">W239/AA239</f>
        <v>0</v>
      </c>
      <c r="AC239" s="1566" t="n">
        <f aca="false">Y239/Z239</f>
        <v>0</v>
      </c>
      <c r="AD239" s="1567" t="str">
        <f aca="false">IF(MONTH($A239)=12,SUM(AC228:AC239)," ")</f>
        <v> </v>
      </c>
    </row>
    <row r="240" customFormat="false" ht="12.75" hidden="false" customHeight="false" outlineLevel="0" collapsed="false">
      <c r="A240" s="1538" t="n">
        <f aca="false">'Annex 12-Gas'!A240</f>
        <v>43891</v>
      </c>
      <c r="C240" s="1595" t="n">
        <f aca="false">IF($A240&gt;Endyr,0,VLOOKUP($A240,Tariff_Table,Tariff!$G$33))</f>
        <v>0</v>
      </c>
      <c r="D240" s="1565" t="n">
        <f aca="false">VLOOKUP($A240,Curves_Table,Escalation!$AW$291)</f>
        <v>4.49672219894756</v>
      </c>
      <c r="E240" s="1563" t="n">
        <f aca="false">C240*D240</f>
        <v>0</v>
      </c>
      <c r="F240" s="1540" t="n">
        <f aca="false">VLOOKUP($A240,Plant_Table,'Plant Operations'!$C$270)</f>
        <v>0</v>
      </c>
      <c r="G240" s="1563" t="n">
        <f aca="false">E240*F240/1000</f>
        <v>0</v>
      </c>
      <c r="H240" s="1565" t="n">
        <f aca="false">IF(Assm!$L$74=0,VLOOKUP($A240,Curves_Table,Escalation!$D$291),VLOOKUP($A240,Curves_Table,Escalation!$E$291))</f>
        <v>3.13455530754531</v>
      </c>
      <c r="I240" s="394" t="n">
        <f aca="false">G240/H240</f>
        <v>0</v>
      </c>
      <c r="J240" s="1579" t="str">
        <f aca="false">IF(MONTH($A240)=12,SUM(I229:I240)," ")</f>
        <v> </v>
      </c>
      <c r="L240" s="1595" t="n">
        <f aca="false">IF($A240&gt;Endyr,0,VLOOKUP($A240,Tariff_Table,Tariff!$H$33))</f>
        <v>0</v>
      </c>
      <c r="M240" s="1565" t="n">
        <f aca="false">D240</f>
        <v>4.49672219894756</v>
      </c>
      <c r="N240" s="1563" t="n">
        <f aca="false">L240*M240</f>
        <v>0</v>
      </c>
      <c r="O240" s="1540" t="n">
        <f aca="false">$F240</f>
        <v>0</v>
      </c>
      <c r="P240" s="1563" t="n">
        <f aca="false">N240*O240/1000</f>
        <v>0</v>
      </c>
      <c r="Q240" s="1565" t="n">
        <f aca="false">$H240</f>
        <v>3.13455530754531</v>
      </c>
      <c r="R240" s="394" t="n">
        <f aca="false">P240/Q240</f>
        <v>0</v>
      </c>
      <c r="S240" s="1579" t="str">
        <f aca="false">IF(MONTH($A240)=12,SUM(R229:R240)," ")</f>
        <v> </v>
      </c>
      <c r="U240" s="1595" t="n">
        <f aca="false">IF($A240&gt;Endyr,0,VLOOKUP($A240,Tariff_Table,Tariff!$I$33))</f>
        <v>0</v>
      </c>
      <c r="V240" s="1565" t="n">
        <f aca="false">D240</f>
        <v>4.49672219894756</v>
      </c>
      <c r="W240" s="1563" t="n">
        <f aca="false">U240*V240</f>
        <v>0</v>
      </c>
      <c r="X240" s="397" t="n">
        <f aca="false">VLOOKUP($A240,Plant_Table,'Plant Operations'!$M$270)</f>
        <v>0</v>
      </c>
      <c r="Y240" s="630" t="n">
        <f aca="false">W240*X240/1000</f>
        <v>0</v>
      </c>
      <c r="Z240" s="1565" t="n">
        <f aca="false">$H240</f>
        <v>3.13455530754531</v>
      </c>
      <c r="AA240" s="1565" t="n">
        <f aca="false">H240</f>
        <v>3.13455530754531</v>
      </c>
      <c r="AB240" s="1609" t="n">
        <f aca="false">W240/AA240</f>
        <v>0</v>
      </c>
      <c r="AC240" s="1566" t="n">
        <f aca="false">Y240/Z240</f>
        <v>0</v>
      </c>
      <c r="AD240" s="1567" t="str">
        <f aca="false">IF(MONTH($A240)=12,SUM(AC229:AC240)," ")</f>
        <v> </v>
      </c>
    </row>
    <row r="241" customFormat="false" ht="12.75" hidden="false" customHeight="false" outlineLevel="0" collapsed="false">
      <c r="A241" s="1538" t="n">
        <f aca="false">'Annex 12-Gas'!A241</f>
        <v>43922</v>
      </c>
      <c r="C241" s="1595" t="n">
        <f aca="false">IF($A241&gt;Endyr,0,VLOOKUP($A241,Tariff_Table,Tariff!$G$33))</f>
        <v>0</v>
      </c>
      <c r="D241" s="1565" t="n">
        <f aca="false">VLOOKUP($A241,Curves_Table,Escalation!$AW$291)</f>
        <v>4.49672219894756</v>
      </c>
      <c r="E241" s="1563" t="n">
        <f aca="false">C241*D241</f>
        <v>0</v>
      </c>
      <c r="F241" s="1540" t="n">
        <f aca="false">VLOOKUP($A241,Plant_Table,'Plant Operations'!$C$270)</f>
        <v>0</v>
      </c>
      <c r="G241" s="1563" t="n">
        <f aca="false">E241*F241/1000</f>
        <v>0</v>
      </c>
      <c r="H241" s="1565" t="n">
        <f aca="false">IF(Assm!$L$74=0,VLOOKUP($A241,Curves_Table,Escalation!$D$291),VLOOKUP($A241,Curves_Table,Escalation!$E$291))</f>
        <v>3.13455530754531</v>
      </c>
      <c r="I241" s="394" t="n">
        <f aca="false">G241/H241</f>
        <v>0</v>
      </c>
      <c r="J241" s="1579" t="str">
        <f aca="false">IF(MONTH($A241)=12,SUM(I230:I241)," ")</f>
        <v> </v>
      </c>
      <c r="L241" s="1595" t="n">
        <f aca="false">IF($A241&gt;Endyr,0,VLOOKUP($A241,Tariff_Table,Tariff!$H$33))</f>
        <v>0</v>
      </c>
      <c r="M241" s="1565" t="n">
        <f aca="false">D241</f>
        <v>4.49672219894756</v>
      </c>
      <c r="N241" s="1563" t="n">
        <f aca="false">L241*M241</f>
        <v>0</v>
      </c>
      <c r="O241" s="1540" t="n">
        <f aca="false">$F241</f>
        <v>0</v>
      </c>
      <c r="P241" s="1563" t="n">
        <f aca="false">N241*O241/1000</f>
        <v>0</v>
      </c>
      <c r="Q241" s="1565" t="n">
        <f aca="false">$H241</f>
        <v>3.13455530754531</v>
      </c>
      <c r="R241" s="394" t="n">
        <f aca="false">P241/Q241</f>
        <v>0</v>
      </c>
      <c r="S241" s="1579" t="str">
        <f aca="false">IF(MONTH($A241)=12,SUM(R230:R241)," ")</f>
        <v> </v>
      </c>
      <c r="U241" s="1595" t="n">
        <f aca="false">IF($A241&gt;Endyr,0,VLOOKUP($A241,Tariff_Table,Tariff!$I$33))</f>
        <v>0</v>
      </c>
      <c r="V241" s="1565" t="n">
        <f aca="false">D241</f>
        <v>4.49672219894756</v>
      </c>
      <c r="W241" s="1563" t="n">
        <f aca="false">U241*V241</f>
        <v>0</v>
      </c>
      <c r="X241" s="397" t="n">
        <f aca="false">VLOOKUP($A241,Plant_Table,'Plant Operations'!$M$270)</f>
        <v>0</v>
      </c>
      <c r="Y241" s="630" t="n">
        <f aca="false">W241*X241/1000</f>
        <v>0</v>
      </c>
      <c r="Z241" s="1565" t="n">
        <f aca="false">$H241</f>
        <v>3.13455530754531</v>
      </c>
      <c r="AA241" s="1565" t="n">
        <f aca="false">H241</f>
        <v>3.13455530754531</v>
      </c>
      <c r="AB241" s="1609" t="n">
        <f aca="false">W241/AA241</f>
        <v>0</v>
      </c>
      <c r="AC241" s="1566" t="n">
        <f aca="false">Y241/Z241</f>
        <v>0</v>
      </c>
      <c r="AD241" s="1567" t="str">
        <f aca="false">IF(MONTH($A241)=12,SUM(AC230:AC241)," ")</f>
        <v> </v>
      </c>
    </row>
    <row r="242" customFormat="false" ht="12.75" hidden="false" customHeight="false" outlineLevel="0" collapsed="false">
      <c r="A242" s="1538" t="n">
        <f aca="false">'Annex 12-Gas'!A242</f>
        <v>43952</v>
      </c>
      <c r="C242" s="1595" t="n">
        <f aca="false">IF($A242&gt;Endyr,0,VLOOKUP($A242,Tariff_Table,Tariff!$G$33))</f>
        <v>0</v>
      </c>
      <c r="D242" s="1565" t="n">
        <f aca="false">VLOOKUP($A242,Curves_Table,Escalation!$AW$291)</f>
        <v>4.49672219894756</v>
      </c>
      <c r="E242" s="1563" t="n">
        <f aca="false">C242*D242</f>
        <v>0</v>
      </c>
      <c r="F242" s="1540" t="n">
        <f aca="false">VLOOKUP($A242,Plant_Table,'Plant Operations'!$C$270)</f>
        <v>0</v>
      </c>
      <c r="G242" s="1563" t="n">
        <f aca="false">E242*F242/1000</f>
        <v>0</v>
      </c>
      <c r="H242" s="1565" t="n">
        <f aca="false">IF(Assm!$L$74=0,VLOOKUP($A242,Curves_Table,Escalation!$D$291),VLOOKUP($A242,Curves_Table,Escalation!$E$291))</f>
        <v>3.13455530754531</v>
      </c>
      <c r="I242" s="394" t="n">
        <f aca="false">G242/H242</f>
        <v>0</v>
      </c>
      <c r="J242" s="1579" t="str">
        <f aca="false">IF(MONTH($A242)=12,SUM(I231:I242)," ")</f>
        <v> </v>
      </c>
      <c r="L242" s="1595" t="n">
        <f aca="false">IF($A242&gt;Endyr,0,VLOOKUP($A242,Tariff_Table,Tariff!$H$33))</f>
        <v>0</v>
      </c>
      <c r="M242" s="1565" t="n">
        <f aca="false">D242</f>
        <v>4.49672219894756</v>
      </c>
      <c r="N242" s="1563" t="n">
        <f aca="false">L242*M242</f>
        <v>0</v>
      </c>
      <c r="O242" s="1540" t="n">
        <f aca="false">$F242</f>
        <v>0</v>
      </c>
      <c r="P242" s="1563" t="n">
        <f aca="false">N242*O242/1000</f>
        <v>0</v>
      </c>
      <c r="Q242" s="1565" t="n">
        <f aca="false">$H242</f>
        <v>3.13455530754531</v>
      </c>
      <c r="R242" s="394" t="n">
        <f aca="false">P242/Q242</f>
        <v>0</v>
      </c>
      <c r="S242" s="1579" t="str">
        <f aca="false">IF(MONTH($A242)=12,SUM(R231:R242)," ")</f>
        <v> </v>
      </c>
      <c r="U242" s="1595" t="n">
        <f aca="false">IF($A242&gt;Endyr,0,VLOOKUP($A242,Tariff_Table,Tariff!$I$33))</f>
        <v>0</v>
      </c>
      <c r="V242" s="1565" t="n">
        <f aca="false">D242</f>
        <v>4.49672219894756</v>
      </c>
      <c r="W242" s="1563" t="n">
        <f aca="false">U242*V242</f>
        <v>0</v>
      </c>
      <c r="X242" s="397" t="n">
        <f aca="false">VLOOKUP($A242,Plant_Table,'Plant Operations'!$M$270)</f>
        <v>0</v>
      </c>
      <c r="Y242" s="630" t="n">
        <f aca="false">W242*X242/1000</f>
        <v>0</v>
      </c>
      <c r="Z242" s="1565" t="n">
        <f aca="false">$H242</f>
        <v>3.13455530754531</v>
      </c>
      <c r="AA242" s="1565" t="n">
        <f aca="false">H242</f>
        <v>3.13455530754531</v>
      </c>
      <c r="AB242" s="1609" t="n">
        <f aca="false">W242/AA242</f>
        <v>0</v>
      </c>
      <c r="AC242" s="1566" t="n">
        <f aca="false">Y242/Z242</f>
        <v>0</v>
      </c>
      <c r="AD242" s="1567" t="str">
        <f aca="false">IF(MONTH($A242)=12,SUM(AC231:AC242)," ")</f>
        <v> </v>
      </c>
    </row>
    <row r="243" customFormat="false" ht="12.75" hidden="false" customHeight="false" outlineLevel="0" collapsed="false">
      <c r="A243" s="1538" t="n">
        <f aca="false">'Annex 12-Gas'!A243</f>
        <v>43983</v>
      </c>
      <c r="C243" s="1595" t="n">
        <f aca="false">IF($A243&gt;Endyr,0,VLOOKUP($A243,Tariff_Table,Tariff!$G$33))</f>
        <v>0</v>
      </c>
      <c r="D243" s="1565" t="n">
        <f aca="false">VLOOKUP($A243,Curves_Table,Escalation!$AW$291)</f>
        <v>4.49672219894756</v>
      </c>
      <c r="E243" s="1563" t="n">
        <f aca="false">C243*D243</f>
        <v>0</v>
      </c>
      <c r="F243" s="1540" t="n">
        <f aca="false">VLOOKUP($A243,Plant_Table,'Plant Operations'!$C$270)</f>
        <v>0</v>
      </c>
      <c r="G243" s="1563" t="n">
        <f aca="false">E243*F243/1000</f>
        <v>0</v>
      </c>
      <c r="H243" s="1565" t="n">
        <f aca="false">IF(Assm!$L$74=0,VLOOKUP($A243,Curves_Table,Escalation!$D$291),VLOOKUP($A243,Curves_Table,Escalation!$E$291))</f>
        <v>3.13455530754531</v>
      </c>
      <c r="I243" s="394" t="n">
        <f aca="false">G243/H243</f>
        <v>0</v>
      </c>
      <c r="J243" s="1579" t="str">
        <f aca="false">IF(MONTH($A243)=12,SUM(I232:I243)," ")</f>
        <v> </v>
      </c>
      <c r="L243" s="1595" t="n">
        <f aca="false">IF($A243&gt;Endyr,0,VLOOKUP($A243,Tariff_Table,Tariff!$H$33))</f>
        <v>0</v>
      </c>
      <c r="M243" s="1565" t="n">
        <f aca="false">D243</f>
        <v>4.49672219894756</v>
      </c>
      <c r="N243" s="1563" t="n">
        <f aca="false">L243*M243</f>
        <v>0</v>
      </c>
      <c r="O243" s="1540" t="n">
        <f aca="false">$F243</f>
        <v>0</v>
      </c>
      <c r="P243" s="1563" t="n">
        <f aca="false">N243*O243/1000</f>
        <v>0</v>
      </c>
      <c r="Q243" s="1565" t="n">
        <f aca="false">$H243</f>
        <v>3.13455530754531</v>
      </c>
      <c r="R243" s="394" t="n">
        <f aca="false">P243/Q243</f>
        <v>0</v>
      </c>
      <c r="S243" s="1579" t="str">
        <f aca="false">IF(MONTH($A243)=12,SUM(R232:R243)," ")</f>
        <v> </v>
      </c>
      <c r="U243" s="1595" t="n">
        <f aca="false">IF($A243&gt;Endyr,0,VLOOKUP($A243,Tariff_Table,Tariff!$I$33))</f>
        <v>0</v>
      </c>
      <c r="V243" s="1565" t="n">
        <f aca="false">D243</f>
        <v>4.49672219894756</v>
      </c>
      <c r="W243" s="1563" t="n">
        <f aca="false">U243*V243</f>
        <v>0</v>
      </c>
      <c r="X243" s="397" t="n">
        <f aca="false">VLOOKUP($A243,Plant_Table,'Plant Operations'!$M$270)</f>
        <v>0</v>
      </c>
      <c r="Y243" s="630" t="n">
        <f aca="false">W243*X243/1000</f>
        <v>0</v>
      </c>
      <c r="Z243" s="1565" t="n">
        <f aca="false">$H243</f>
        <v>3.13455530754531</v>
      </c>
      <c r="AA243" s="1565" t="n">
        <f aca="false">H243</f>
        <v>3.13455530754531</v>
      </c>
      <c r="AB243" s="1609" t="n">
        <f aca="false">W243/AA243</f>
        <v>0</v>
      </c>
      <c r="AC243" s="1566" t="n">
        <f aca="false">Y243/Z243</f>
        <v>0</v>
      </c>
      <c r="AD243" s="1567" t="str">
        <f aca="false">IF(MONTH($A243)=12,SUM(AC232:AC243)," ")</f>
        <v> </v>
      </c>
    </row>
    <row r="244" customFormat="false" ht="12.75" hidden="false" customHeight="false" outlineLevel="0" collapsed="false">
      <c r="A244" s="1538" t="n">
        <f aca="false">'Annex 12-Gas'!A244</f>
        <v>44013</v>
      </c>
      <c r="C244" s="1595" t="n">
        <f aca="false">IF($A244&gt;Endyr,0,VLOOKUP($A244,Tariff_Table,Tariff!$G$33))</f>
        <v>0</v>
      </c>
      <c r="D244" s="1565" t="n">
        <f aca="false">VLOOKUP($A244,Curves_Table,Escalation!$AW$291)</f>
        <v>4.49672219894756</v>
      </c>
      <c r="E244" s="1563" t="n">
        <f aca="false">C244*D244</f>
        <v>0</v>
      </c>
      <c r="F244" s="1540" t="n">
        <f aca="false">VLOOKUP($A244,Plant_Table,'Plant Operations'!$C$270)</f>
        <v>0</v>
      </c>
      <c r="G244" s="1563" t="n">
        <f aca="false">E244*F244/1000</f>
        <v>0</v>
      </c>
      <c r="H244" s="1565" t="n">
        <f aca="false">IF(Assm!$L$74=0,VLOOKUP($A244,Curves_Table,Escalation!$D$291),VLOOKUP($A244,Curves_Table,Escalation!$E$291))</f>
        <v>3.13455530754531</v>
      </c>
      <c r="I244" s="394" t="n">
        <f aca="false">G244/H244</f>
        <v>0</v>
      </c>
      <c r="J244" s="1579" t="str">
        <f aca="false">IF(MONTH($A244)=12,SUM(I233:I244)," ")</f>
        <v> </v>
      </c>
      <c r="L244" s="1595" t="n">
        <f aca="false">IF($A244&gt;Endyr,0,VLOOKUP($A244,Tariff_Table,Tariff!$H$33))</f>
        <v>0</v>
      </c>
      <c r="M244" s="1565" t="n">
        <f aca="false">D244</f>
        <v>4.49672219894756</v>
      </c>
      <c r="N244" s="1563" t="n">
        <f aca="false">L244*M244</f>
        <v>0</v>
      </c>
      <c r="O244" s="1540" t="n">
        <f aca="false">$F244</f>
        <v>0</v>
      </c>
      <c r="P244" s="1563" t="n">
        <f aca="false">N244*O244/1000</f>
        <v>0</v>
      </c>
      <c r="Q244" s="1565" t="n">
        <f aca="false">$H244</f>
        <v>3.13455530754531</v>
      </c>
      <c r="R244" s="394" t="n">
        <f aca="false">P244/Q244</f>
        <v>0</v>
      </c>
      <c r="S244" s="1579" t="str">
        <f aca="false">IF(MONTH($A244)=12,SUM(R233:R244)," ")</f>
        <v> </v>
      </c>
      <c r="U244" s="1595" t="n">
        <f aca="false">IF($A244&gt;Endyr,0,VLOOKUP($A244,Tariff_Table,Tariff!$I$33))</f>
        <v>0</v>
      </c>
      <c r="V244" s="1565" t="n">
        <f aca="false">D244</f>
        <v>4.49672219894756</v>
      </c>
      <c r="W244" s="1563" t="n">
        <f aca="false">U244*V244</f>
        <v>0</v>
      </c>
      <c r="X244" s="397" t="n">
        <f aca="false">VLOOKUP($A244,Plant_Table,'Plant Operations'!$M$270)</f>
        <v>0</v>
      </c>
      <c r="Y244" s="630" t="n">
        <f aca="false">W244*X244/1000</f>
        <v>0</v>
      </c>
      <c r="Z244" s="1565" t="n">
        <f aca="false">$H244</f>
        <v>3.13455530754531</v>
      </c>
      <c r="AA244" s="1565" t="n">
        <f aca="false">H244</f>
        <v>3.13455530754531</v>
      </c>
      <c r="AB244" s="1609" t="n">
        <f aca="false">W244/AA244</f>
        <v>0</v>
      </c>
      <c r="AC244" s="1566" t="n">
        <f aca="false">Y244/Z244</f>
        <v>0</v>
      </c>
      <c r="AD244" s="1567" t="str">
        <f aca="false">IF(MONTH($A244)=12,SUM(AC233:AC244)," ")</f>
        <v> </v>
      </c>
    </row>
    <row r="245" customFormat="false" ht="12.75" hidden="false" customHeight="false" outlineLevel="0" collapsed="false">
      <c r="A245" s="1538" t="n">
        <f aca="false">'Annex 12-Gas'!A245</f>
        <v>44044</v>
      </c>
      <c r="C245" s="1595" t="n">
        <f aca="false">IF($A245&gt;Endyr,0,VLOOKUP($A245,Tariff_Table,Tariff!$G$33))</f>
        <v>0</v>
      </c>
      <c r="D245" s="1565" t="n">
        <f aca="false">VLOOKUP($A245,Curves_Table,Escalation!$AW$291)</f>
        <v>4.49672219894756</v>
      </c>
      <c r="E245" s="1563" t="n">
        <f aca="false">C245*D245</f>
        <v>0</v>
      </c>
      <c r="F245" s="1540" t="n">
        <f aca="false">VLOOKUP($A245,Plant_Table,'Plant Operations'!$C$270)</f>
        <v>0</v>
      </c>
      <c r="G245" s="1563" t="n">
        <f aca="false">E245*F245/1000</f>
        <v>0</v>
      </c>
      <c r="H245" s="1565" t="n">
        <f aca="false">IF(Assm!$L$74=0,VLOOKUP($A245,Curves_Table,Escalation!$D$291),VLOOKUP($A245,Curves_Table,Escalation!$E$291))</f>
        <v>3.13455530754531</v>
      </c>
      <c r="I245" s="394" t="n">
        <f aca="false">G245/H245</f>
        <v>0</v>
      </c>
      <c r="J245" s="1579" t="str">
        <f aca="false">IF(MONTH($A245)=12,SUM(I234:I245)," ")</f>
        <v> </v>
      </c>
      <c r="L245" s="1595" t="n">
        <f aca="false">IF($A245&gt;Endyr,0,VLOOKUP($A245,Tariff_Table,Tariff!$H$33))</f>
        <v>0</v>
      </c>
      <c r="M245" s="1565" t="n">
        <f aca="false">D245</f>
        <v>4.49672219894756</v>
      </c>
      <c r="N245" s="1563" t="n">
        <f aca="false">L245*M245</f>
        <v>0</v>
      </c>
      <c r="O245" s="1540" t="n">
        <f aca="false">$F245</f>
        <v>0</v>
      </c>
      <c r="P245" s="1563" t="n">
        <f aca="false">N245*O245/1000</f>
        <v>0</v>
      </c>
      <c r="Q245" s="1565" t="n">
        <f aca="false">$H245</f>
        <v>3.13455530754531</v>
      </c>
      <c r="R245" s="394" t="n">
        <f aca="false">P245/Q245</f>
        <v>0</v>
      </c>
      <c r="S245" s="1579" t="str">
        <f aca="false">IF(MONTH($A245)=12,SUM(R234:R245)," ")</f>
        <v> </v>
      </c>
      <c r="U245" s="1595" t="n">
        <f aca="false">IF($A245&gt;Endyr,0,VLOOKUP($A245,Tariff_Table,Tariff!$I$33))</f>
        <v>0</v>
      </c>
      <c r="V245" s="1565" t="n">
        <f aca="false">D245</f>
        <v>4.49672219894756</v>
      </c>
      <c r="W245" s="1563" t="n">
        <f aca="false">U245*V245</f>
        <v>0</v>
      </c>
      <c r="X245" s="397" t="n">
        <f aca="false">VLOOKUP($A245,Plant_Table,'Plant Operations'!$M$270)</f>
        <v>0</v>
      </c>
      <c r="Y245" s="630" t="n">
        <f aca="false">W245*X245/1000</f>
        <v>0</v>
      </c>
      <c r="Z245" s="1565" t="n">
        <f aca="false">$H245</f>
        <v>3.13455530754531</v>
      </c>
      <c r="AA245" s="1565" t="n">
        <f aca="false">H245</f>
        <v>3.13455530754531</v>
      </c>
      <c r="AB245" s="1609" t="n">
        <f aca="false">W245/AA245</f>
        <v>0</v>
      </c>
      <c r="AC245" s="1566" t="n">
        <f aca="false">Y245/Z245</f>
        <v>0</v>
      </c>
      <c r="AD245" s="1567" t="str">
        <f aca="false">IF(MONTH($A245)=12,SUM(AC234:AC245)," ")</f>
        <v> </v>
      </c>
    </row>
    <row r="246" customFormat="false" ht="12.75" hidden="false" customHeight="false" outlineLevel="0" collapsed="false">
      <c r="A246" s="1538" t="n">
        <f aca="false">'Annex 12-Gas'!A246</f>
        <v>44075</v>
      </c>
      <c r="C246" s="1595" t="n">
        <f aca="false">IF($A246&gt;Endyr,0,VLOOKUP($A246,Tariff_Table,Tariff!$G$33))</f>
        <v>0</v>
      </c>
      <c r="D246" s="1565" t="n">
        <f aca="false">VLOOKUP($A246,Curves_Table,Escalation!$AW$291)</f>
        <v>4.49672219894756</v>
      </c>
      <c r="E246" s="1563" t="n">
        <f aca="false">C246*D246</f>
        <v>0</v>
      </c>
      <c r="F246" s="1540" t="n">
        <f aca="false">VLOOKUP($A246,Plant_Table,'Plant Operations'!$C$270)</f>
        <v>0</v>
      </c>
      <c r="G246" s="1563" t="n">
        <f aca="false">E246*F246/1000</f>
        <v>0</v>
      </c>
      <c r="H246" s="1565" t="n">
        <f aca="false">IF(Assm!$L$74=0,VLOOKUP($A246,Curves_Table,Escalation!$D$291),VLOOKUP($A246,Curves_Table,Escalation!$E$291))</f>
        <v>3.13455530754531</v>
      </c>
      <c r="I246" s="394" t="n">
        <f aca="false">G246/H246</f>
        <v>0</v>
      </c>
      <c r="J246" s="1579" t="str">
        <f aca="false">IF(MONTH($A246)=12,SUM(I235:I246)," ")</f>
        <v> </v>
      </c>
      <c r="L246" s="1595" t="n">
        <f aca="false">IF($A246&gt;Endyr,0,VLOOKUP($A246,Tariff_Table,Tariff!$H$33))</f>
        <v>0</v>
      </c>
      <c r="M246" s="1565" t="n">
        <f aca="false">D246</f>
        <v>4.49672219894756</v>
      </c>
      <c r="N246" s="1563" t="n">
        <f aca="false">L246*M246</f>
        <v>0</v>
      </c>
      <c r="O246" s="1540" t="n">
        <f aca="false">$F246</f>
        <v>0</v>
      </c>
      <c r="P246" s="1563" t="n">
        <f aca="false">N246*O246/1000</f>
        <v>0</v>
      </c>
      <c r="Q246" s="1565" t="n">
        <f aca="false">$H246</f>
        <v>3.13455530754531</v>
      </c>
      <c r="R246" s="394" t="n">
        <f aca="false">P246/Q246</f>
        <v>0</v>
      </c>
      <c r="S246" s="1579" t="str">
        <f aca="false">IF(MONTH($A246)=12,SUM(R235:R246)," ")</f>
        <v> </v>
      </c>
      <c r="U246" s="1595" t="n">
        <f aca="false">IF($A246&gt;Endyr,0,VLOOKUP($A246,Tariff_Table,Tariff!$I$33))</f>
        <v>0</v>
      </c>
      <c r="V246" s="1565" t="n">
        <f aca="false">D246</f>
        <v>4.49672219894756</v>
      </c>
      <c r="W246" s="1563" t="n">
        <f aca="false">U246*V246</f>
        <v>0</v>
      </c>
      <c r="X246" s="397" t="n">
        <f aca="false">VLOOKUP($A246,Plant_Table,'Plant Operations'!$M$270)</f>
        <v>0</v>
      </c>
      <c r="Y246" s="630" t="n">
        <f aca="false">W246*X246/1000</f>
        <v>0</v>
      </c>
      <c r="Z246" s="1565" t="n">
        <f aca="false">$H246</f>
        <v>3.13455530754531</v>
      </c>
      <c r="AA246" s="1565" t="n">
        <f aca="false">H246</f>
        <v>3.13455530754531</v>
      </c>
      <c r="AB246" s="1609" t="n">
        <f aca="false">W246/AA246</f>
        <v>0</v>
      </c>
      <c r="AC246" s="1566" t="n">
        <f aca="false">Y246/Z246</f>
        <v>0</v>
      </c>
      <c r="AD246" s="1567" t="str">
        <f aca="false">IF(MONTH($A246)=12,SUM(AC235:AC246)," ")</f>
        <v> </v>
      </c>
    </row>
    <row r="247" customFormat="false" ht="12.75" hidden="false" customHeight="false" outlineLevel="0" collapsed="false">
      <c r="A247" s="1538" t="n">
        <f aca="false">'Annex 12-Gas'!A247</f>
        <v>44105</v>
      </c>
      <c r="C247" s="1595" t="n">
        <f aca="false">IF($A247&gt;Endyr,0,VLOOKUP($A247,Tariff_Table,Tariff!$G$33))</f>
        <v>0</v>
      </c>
      <c r="D247" s="1565" t="n">
        <f aca="false">VLOOKUP($A247,Curves_Table,Escalation!$AW$291)</f>
        <v>4.49672219894756</v>
      </c>
      <c r="E247" s="1563" t="n">
        <f aca="false">C247*D247</f>
        <v>0</v>
      </c>
      <c r="F247" s="1540" t="n">
        <f aca="false">VLOOKUP($A247,Plant_Table,'Plant Operations'!$C$270)</f>
        <v>0</v>
      </c>
      <c r="G247" s="1563" t="n">
        <f aca="false">E247*F247/1000</f>
        <v>0</v>
      </c>
      <c r="H247" s="1565" t="n">
        <f aca="false">IF(Assm!$L$74=0,VLOOKUP($A247,Curves_Table,Escalation!$D$291),VLOOKUP($A247,Curves_Table,Escalation!$E$291))</f>
        <v>3.13455530754531</v>
      </c>
      <c r="I247" s="394" t="n">
        <f aca="false">G247/H247</f>
        <v>0</v>
      </c>
      <c r="J247" s="1579" t="str">
        <f aca="false">IF(MONTH($A247)=12,SUM(I236:I247)," ")</f>
        <v> </v>
      </c>
      <c r="L247" s="1595" t="n">
        <f aca="false">IF($A247&gt;Endyr,0,VLOOKUP($A247,Tariff_Table,Tariff!$H$33))</f>
        <v>0</v>
      </c>
      <c r="M247" s="1565" t="n">
        <f aca="false">D247</f>
        <v>4.49672219894756</v>
      </c>
      <c r="N247" s="1563" t="n">
        <f aca="false">L247*M247</f>
        <v>0</v>
      </c>
      <c r="O247" s="1540" t="n">
        <f aca="false">$F247</f>
        <v>0</v>
      </c>
      <c r="P247" s="1563" t="n">
        <f aca="false">N247*O247/1000</f>
        <v>0</v>
      </c>
      <c r="Q247" s="1565" t="n">
        <f aca="false">$H247</f>
        <v>3.13455530754531</v>
      </c>
      <c r="R247" s="394" t="n">
        <f aca="false">P247/Q247</f>
        <v>0</v>
      </c>
      <c r="S247" s="1579" t="str">
        <f aca="false">IF(MONTH($A247)=12,SUM(R236:R247)," ")</f>
        <v> </v>
      </c>
      <c r="U247" s="1595" t="n">
        <f aca="false">IF($A247&gt;Endyr,0,VLOOKUP($A247,Tariff_Table,Tariff!$I$33))</f>
        <v>0</v>
      </c>
      <c r="V247" s="1565" t="n">
        <f aca="false">D247</f>
        <v>4.49672219894756</v>
      </c>
      <c r="W247" s="1563" t="n">
        <f aca="false">U247*V247</f>
        <v>0</v>
      </c>
      <c r="X247" s="397" t="n">
        <f aca="false">VLOOKUP($A247,Plant_Table,'Plant Operations'!$M$270)</f>
        <v>0</v>
      </c>
      <c r="Y247" s="630" t="n">
        <f aca="false">W247*X247/1000</f>
        <v>0</v>
      </c>
      <c r="Z247" s="1565" t="n">
        <f aca="false">$H247</f>
        <v>3.13455530754531</v>
      </c>
      <c r="AA247" s="1565" t="n">
        <f aca="false">H247</f>
        <v>3.13455530754531</v>
      </c>
      <c r="AB247" s="1609" t="n">
        <f aca="false">W247/AA247</f>
        <v>0</v>
      </c>
      <c r="AC247" s="1566" t="n">
        <f aca="false">Y247/Z247</f>
        <v>0</v>
      </c>
      <c r="AD247" s="1567" t="str">
        <f aca="false">IF(MONTH($A247)=12,SUM(AC236:AC247)," ")</f>
        <v> </v>
      </c>
    </row>
    <row r="248" customFormat="false" ht="12.75" hidden="false" customHeight="false" outlineLevel="0" collapsed="false">
      <c r="A248" s="1538" t="n">
        <f aca="false">'Annex 12-Gas'!A248</f>
        <v>44136</v>
      </c>
      <c r="C248" s="1595" t="n">
        <f aca="false">IF($A248&gt;Endyr,0,VLOOKUP($A248,Tariff_Table,Tariff!$G$33))</f>
        <v>0</v>
      </c>
      <c r="D248" s="1565" t="n">
        <f aca="false">VLOOKUP($A248,Curves_Table,Escalation!$AW$291)</f>
        <v>4.49672219894756</v>
      </c>
      <c r="E248" s="1563" t="n">
        <f aca="false">C248*D248</f>
        <v>0</v>
      </c>
      <c r="F248" s="1540" t="n">
        <f aca="false">VLOOKUP($A248,Plant_Table,'Plant Operations'!$C$270)</f>
        <v>0</v>
      </c>
      <c r="G248" s="1563" t="n">
        <f aca="false">E248*F248/1000</f>
        <v>0</v>
      </c>
      <c r="H248" s="1565" t="n">
        <f aca="false">IF(Assm!$L$74=0,VLOOKUP($A248,Curves_Table,Escalation!$D$291),VLOOKUP($A248,Curves_Table,Escalation!$E$291))</f>
        <v>3.13455530754531</v>
      </c>
      <c r="I248" s="394" t="n">
        <f aca="false">G248/H248</f>
        <v>0</v>
      </c>
      <c r="J248" s="1579" t="str">
        <f aca="false">IF(MONTH($A248)=12,SUM(I237:I248)," ")</f>
        <v> </v>
      </c>
      <c r="L248" s="1595" t="n">
        <f aca="false">IF($A248&gt;Endyr,0,VLOOKUP($A248,Tariff_Table,Tariff!$H$33))</f>
        <v>0</v>
      </c>
      <c r="M248" s="1565" t="n">
        <f aca="false">D248</f>
        <v>4.49672219894756</v>
      </c>
      <c r="N248" s="1563" t="n">
        <f aca="false">L248*M248</f>
        <v>0</v>
      </c>
      <c r="O248" s="1540" t="n">
        <f aca="false">$F248</f>
        <v>0</v>
      </c>
      <c r="P248" s="1563" t="n">
        <f aca="false">N248*O248/1000</f>
        <v>0</v>
      </c>
      <c r="Q248" s="1565" t="n">
        <f aca="false">$H248</f>
        <v>3.13455530754531</v>
      </c>
      <c r="R248" s="394" t="n">
        <f aca="false">P248/Q248</f>
        <v>0</v>
      </c>
      <c r="S248" s="1579" t="str">
        <f aca="false">IF(MONTH($A248)=12,SUM(R237:R248)," ")</f>
        <v> </v>
      </c>
      <c r="U248" s="1595" t="n">
        <f aca="false">IF($A248&gt;Endyr,0,VLOOKUP($A248,Tariff_Table,Tariff!$I$33))</f>
        <v>0</v>
      </c>
      <c r="V248" s="1565" t="n">
        <f aca="false">D248</f>
        <v>4.49672219894756</v>
      </c>
      <c r="W248" s="1563" t="n">
        <f aca="false">U248*V248</f>
        <v>0</v>
      </c>
      <c r="X248" s="397" t="n">
        <f aca="false">VLOOKUP($A248,Plant_Table,'Plant Operations'!$M$270)</f>
        <v>0</v>
      </c>
      <c r="Y248" s="630" t="n">
        <f aca="false">W248*X248/1000</f>
        <v>0</v>
      </c>
      <c r="Z248" s="1565" t="n">
        <f aca="false">$H248</f>
        <v>3.13455530754531</v>
      </c>
      <c r="AA248" s="1565" t="n">
        <f aca="false">H248</f>
        <v>3.13455530754531</v>
      </c>
      <c r="AB248" s="1609" t="n">
        <f aca="false">W248/AA248</f>
        <v>0</v>
      </c>
      <c r="AC248" s="1566" t="n">
        <f aca="false">Y248/Z248</f>
        <v>0</v>
      </c>
      <c r="AD248" s="1567" t="str">
        <f aca="false">IF(MONTH($A248)=12,SUM(AC237:AC248)," ")</f>
        <v> </v>
      </c>
    </row>
    <row r="249" customFormat="false" ht="12.75" hidden="false" customHeight="false" outlineLevel="0" collapsed="false">
      <c r="A249" s="1538" t="n">
        <f aca="false">'Annex 12-Gas'!A249</f>
        <v>44166</v>
      </c>
      <c r="C249" s="1595" t="n">
        <f aca="false">IF($A249&gt;Endyr,0,VLOOKUP($A249,Tariff_Table,Tariff!$G$33))</f>
        <v>0</v>
      </c>
      <c r="D249" s="1565" t="n">
        <f aca="false">VLOOKUP($A249,Curves_Table,Escalation!$AW$291)</f>
        <v>4.49672219894756</v>
      </c>
      <c r="E249" s="1563" t="n">
        <f aca="false">C249*D249</f>
        <v>0</v>
      </c>
      <c r="F249" s="1540" t="n">
        <f aca="false">VLOOKUP($A249,Plant_Table,'Plant Operations'!$C$270)</f>
        <v>0</v>
      </c>
      <c r="G249" s="1563" t="n">
        <f aca="false">E249*F249/1000</f>
        <v>0</v>
      </c>
      <c r="H249" s="1565" t="n">
        <f aca="false">IF(Assm!$L$74=0,VLOOKUP($A249,Curves_Table,Escalation!$D$291),VLOOKUP($A249,Curves_Table,Escalation!$E$291))</f>
        <v>3.13455530754531</v>
      </c>
      <c r="I249" s="394" t="n">
        <f aca="false">G249/H249</f>
        <v>0</v>
      </c>
      <c r="J249" s="1579" t="n">
        <f aca="false">IF(MONTH($A249)=12,SUM(I238:I249)," ")</f>
        <v>0</v>
      </c>
      <c r="L249" s="1595" t="n">
        <f aca="false">IF($A249&gt;Endyr,0,VLOOKUP($A249,Tariff_Table,Tariff!$H$33))</f>
        <v>0</v>
      </c>
      <c r="M249" s="1565" t="n">
        <f aca="false">D249</f>
        <v>4.49672219894756</v>
      </c>
      <c r="N249" s="1563" t="n">
        <f aca="false">L249*M249</f>
        <v>0</v>
      </c>
      <c r="O249" s="1540" t="n">
        <f aca="false">$F249</f>
        <v>0</v>
      </c>
      <c r="P249" s="1563" t="n">
        <f aca="false">N249*O249/1000</f>
        <v>0</v>
      </c>
      <c r="Q249" s="1565" t="n">
        <f aca="false">$H249</f>
        <v>3.13455530754531</v>
      </c>
      <c r="R249" s="394" t="n">
        <f aca="false">P249/Q249</f>
        <v>0</v>
      </c>
      <c r="S249" s="1579" t="n">
        <f aca="false">IF(MONTH($A249)=12,SUM(R238:R249)," ")</f>
        <v>0</v>
      </c>
      <c r="U249" s="1595" t="n">
        <f aca="false">IF($A249&gt;Endyr,0,VLOOKUP($A249,Tariff_Table,Tariff!$I$33))</f>
        <v>0</v>
      </c>
      <c r="V249" s="1565" t="n">
        <f aca="false">D249</f>
        <v>4.49672219894756</v>
      </c>
      <c r="W249" s="1563" t="n">
        <f aca="false">U249*V249</f>
        <v>0</v>
      </c>
      <c r="X249" s="397" t="n">
        <f aca="false">VLOOKUP($A249,Plant_Table,'Plant Operations'!$M$270)</f>
        <v>0</v>
      </c>
      <c r="Y249" s="630" t="n">
        <f aca="false">W249*X249/1000</f>
        <v>0</v>
      </c>
      <c r="Z249" s="1565" t="n">
        <f aca="false">$H249</f>
        <v>3.13455530754531</v>
      </c>
      <c r="AA249" s="1565" t="n">
        <f aca="false">H249</f>
        <v>3.13455530754531</v>
      </c>
      <c r="AB249" s="1609" t="n">
        <f aca="false">W249/AA249</f>
        <v>0</v>
      </c>
      <c r="AC249" s="1566" t="n">
        <f aca="false">Y249/Z249</f>
        <v>0</v>
      </c>
      <c r="AD249" s="1567" t="n">
        <f aca="false">IF(MONTH($A249)=12,SUM(AC238:AC249)," ")</f>
        <v>0</v>
      </c>
    </row>
    <row r="250" customFormat="false" ht="12.75" hidden="false" customHeight="false" outlineLevel="0" collapsed="false">
      <c r="A250" s="1538" t="n">
        <f aca="false">'Annex 12-Gas'!A250</f>
        <v>44197</v>
      </c>
      <c r="C250" s="1595" t="n">
        <f aca="false">IF($A250&gt;Endyr,0,VLOOKUP($A250,Tariff_Table,Tariff!$G$33))</f>
        <v>0</v>
      </c>
      <c r="D250" s="1565" t="n">
        <f aca="false">VLOOKUP($A250,Curves_Table,Escalation!$AW$291)</f>
        <v>4.49672219894756</v>
      </c>
      <c r="E250" s="1563" t="n">
        <f aca="false">C250*D250</f>
        <v>0</v>
      </c>
      <c r="F250" s="1540" t="n">
        <f aca="false">VLOOKUP($A250,Plant_Table,'Plant Operations'!$C$270)</f>
        <v>0</v>
      </c>
      <c r="G250" s="1563" t="n">
        <f aca="false">E250*F250/1000</f>
        <v>0</v>
      </c>
      <c r="H250" s="1565" t="n">
        <f aca="false">IF(Assm!$L$74=0,VLOOKUP($A250,Curves_Table,Escalation!$D$291),VLOOKUP($A250,Curves_Table,Escalation!$E$291))</f>
        <v>3.13455530754531</v>
      </c>
      <c r="I250" s="394" t="n">
        <f aca="false">G250/H250</f>
        <v>0</v>
      </c>
      <c r="J250" s="1579" t="str">
        <f aca="false">IF(MONTH($A250)=12,SUM(I239:I250)," ")</f>
        <v> </v>
      </c>
      <c r="L250" s="1595" t="n">
        <f aca="false">IF($A250&gt;Endyr,0,VLOOKUP($A250,Tariff_Table,Tariff!$H$33))</f>
        <v>0</v>
      </c>
      <c r="M250" s="1565" t="n">
        <f aca="false">D250</f>
        <v>4.49672219894756</v>
      </c>
      <c r="N250" s="1563" t="n">
        <f aca="false">L250*M250</f>
        <v>0</v>
      </c>
      <c r="O250" s="1540" t="n">
        <f aca="false">$F250</f>
        <v>0</v>
      </c>
      <c r="P250" s="1563" t="n">
        <f aca="false">N250*O250/1000</f>
        <v>0</v>
      </c>
      <c r="Q250" s="1565" t="n">
        <f aca="false">$H250</f>
        <v>3.13455530754531</v>
      </c>
      <c r="R250" s="394" t="n">
        <f aca="false">P250/Q250</f>
        <v>0</v>
      </c>
      <c r="S250" s="1579" t="str">
        <f aca="false">IF(MONTH($A250)=12,SUM(R239:R250)," ")</f>
        <v> </v>
      </c>
      <c r="U250" s="1595" t="n">
        <f aca="false">IF($A250&gt;Endyr,0,VLOOKUP($A250,Tariff_Table,Tariff!$I$33))</f>
        <v>0</v>
      </c>
      <c r="V250" s="1565" t="n">
        <f aca="false">D250</f>
        <v>4.49672219894756</v>
      </c>
      <c r="W250" s="1563" t="n">
        <f aca="false">U250*V250</f>
        <v>0</v>
      </c>
      <c r="X250" s="397" t="n">
        <f aca="false">VLOOKUP($A250,Plant_Table,'Plant Operations'!$M$270)</f>
        <v>0</v>
      </c>
      <c r="Y250" s="630" t="n">
        <f aca="false">W250*X250/1000</f>
        <v>0</v>
      </c>
      <c r="Z250" s="1565" t="n">
        <f aca="false">$H250</f>
        <v>3.13455530754531</v>
      </c>
      <c r="AA250" s="1565" t="n">
        <f aca="false">H250</f>
        <v>3.13455530754531</v>
      </c>
      <c r="AB250" s="1609" t="n">
        <f aca="false">W250/AA250</f>
        <v>0</v>
      </c>
      <c r="AC250" s="1566" t="n">
        <f aca="false">Y250/Z250</f>
        <v>0</v>
      </c>
      <c r="AD250" s="1567" t="str">
        <f aca="false">IF(MONTH($A250)=12,SUM(AC239:AC250)," ")</f>
        <v> </v>
      </c>
    </row>
    <row r="251" customFormat="false" ht="12.75" hidden="false" customHeight="false" outlineLevel="0" collapsed="false">
      <c r="A251" s="1538" t="n">
        <f aca="false">'Annex 12-Gas'!A251</f>
        <v>44228</v>
      </c>
      <c r="C251" s="1595" t="n">
        <f aca="false">IF($A251&gt;Endyr,0,VLOOKUP($A251,Tariff_Table,Tariff!$G$33))</f>
        <v>0</v>
      </c>
      <c r="D251" s="1565" t="n">
        <f aca="false">VLOOKUP($A251,Curves_Table,Escalation!$AW$291)</f>
        <v>4.49672219894756</v>
      </c>
      <c r="E251" s="1563" t="n">
        <f aca="false">C251*D251</f>
        <v>0</v>
      </c>
      <c r="F251" s="1540" t="n">
        <f aca="false">VLOOKUP($A251,Plant_Table,'Plant Operations'!$C$270)</f>
        <v>0</v>
      </c>
      <c r="G251" s="1563" t="n">
        <f aca="false">E251*F251/1000</f>
        <v>0</v>
      </c>
      <c r="H251" s="1565" t="n">
        <f aca="false">IF(Assm!$L$74=0,VLOOKUP($A251,Curves_Table,Escalation!$D$291),VLOOKUP($A251,Curves_Table,Escalation!$E$291))</f>
        <v>3.13455530754531</v>
      </c>
      <c r="I251" s="394" t="n">
        <f aca="false">G251/H251</f>
        <v>0</v>
      </c>
      <c r="J251" s="1579" t="str">
        <f aca="false">IF(MONTH($A251)=12,SUM(I240:I251)," ")</f>
        <v> </v>
      </c>
      <c r="L251" s="1595" t="n">
        <f aca="false">IF($A251&gt;Endyr,0,VLOOKUP($A251,Tariff_Table,Tariff!$H$33))</f>
        <v>0</v>
      </c>
      <c r="M251" s="1565" t="n">
        <f aca="false">D251</f>
        <v>4.49672219894756</v>
      </c>
      <c r="N251" s="1563" t="n">
        <f aca="false">L251*M251</f>
        <v>0</v>
      </c>
      <c r="O251" s="1540" t="n">
        <f aca="false">$F251</f>
        <v>0</v>
      </c>
      <c r="P251" s="1563" t="n">
        <f aca="false">N251*O251/1000</f>
        <v>0</v>
      </c>
      <c r="Q251" s="1565" t="n">
        <f aca="false">$H251</f>
        <v>3.13455530754531</v>
      </c>
      <c r="R251" s="394" t="n">
        <f aca="false">P251/Q251</f>
        <v>0</v>
      </c>
      <c r="S251" s="1579" t="str">
        <f aca="false">IF(MONTH($A251)=12,SUM(R240:R251)," ")</f>
        <v> </v>
      </c>
      <c r="U251" s="1595" t="n">
        <f aca="false">IF($A251&gt;Endyr,0,VLOOKUP($A251,Tariff_Table,Tariff!$I$33))</f>
        <v>0</v>
      </c>
      <c r="V251" s="1565" t="n">
        <f aca="false">D251</f>
        <v>4.49672219894756</v>
      </c>
      <c r="W251" s="1563" t="n">
        <f aca="false">U251*V251</f>
        <v>0</v>
      </c>
      <c r="X251" s="397" t="n">
        <f aca="false">VLOOKUP($A251,Plant_Table,'Plant Operations'!$M$270)</f>
        <v>0</v>
      </c>
      <c r="Y251" s="630" t="n">
        <f aca="false">W251*X251/1000</f>
        <v>0</v>
      </c>
      <c r="Z251" s="1565" t="n">
        <f aca="false">$H251</f>
        <v>3.13455530754531</v>
      </c>
      <c r="AA251" s="1565" t="n">
        <f aca="false">H251</f>
        <v>3.13455530754531</v>
      </c>
      <c r="AB251" s="1609" t="n">
        <f aca="false">W251/AA251</f>
        <v>0</v>
      </c>
      <c r="AC251" s="1566" t="n">
        <f aca="false">Y251/Z251</f>
        <v>0</v>
      </c>
      <c r="AD251" s="1567" t="str">
        <f aca="false">IF(MONTH($A251)=12,SUM(AC240:AC251)," ")</f>
        <v> </v>
      </c>
    </row>
    <row r="252" customFormat="false" ht="12.75" hidden="false" customHeight="false" outlineLevel="0" collapsed="false">
      <c r="A252" s="1538" t="n">
        <f aca="false">'Annex 12-Gas'!A252</f>
        <v>44256</v>
      </c>
      <c r="C252" s="1595" t="n">
        <f aca="false">IF($A252&gt;Endyr,0,VLOOKUP($A252,Tariff_Table,Tariff!$G$33))</f>
        <v>0</v>
      </c>
      <c r="D252" s="1565" t="n">
        <f aca="false">VLOOKUP($A252,Curves_Table,Escalation!$AW$291)</f>
        <v>4.49672219894756</v>
      </c>
      <c r="E252" s="1563" t="n">
        <f aca="false">C252*D252</f>
        <v>0</v>
      </c>
      <c r="F252" s="1540" t="n">
        <f aca="false">VLOOKUP($A252,Plant_Table,'Plant Operations'!$C$270)</f>
        <v>0</v>
      </c>
      <c r="G252" s="1563" t="n">
        <f aca="false">E252*F252/1000</f>
        <v>0</v>
      </c>
      <c r="H252" s="1565" t="n">
        <f aca="false">IF(Assm!$L$74=0,VLOOKUP($A252,Curves_Table,Escalation!$D$291),VLOOKUP($A252,Curves_Table,Escalation!$E$291))</f>
        <v>3.13455530754531</v>
      </c>
      <c r="I252" s="394" t="n">
        <f aca="false">G252/H252</f>
        <v>0</v>
      </c>
      <c r="J252" s="1579" t="str">
        <f aca="false">IF(MONTH($A252)=12,SUM(I241:I252)," ")</f>
        <v> </v>
      </c>
      <c r="L252" s="1595" t="n">
        <f aca="false">IF($A252&gt;Endyr,0,VLOOKUP($A252,Tariff_Table,Tariff!$H$33))</f>
        <v>0</v>
      </c>
      <c r="M252" s="1565" t="n">
        <f aca="false">D252</f>
        <v>4.49672219894756</v>
      </c>
      <c r="N252" s="1563" t="n">
        <f aca="false">L252*M252</f>
        <v>0</v>
      </c>
      <c r="O252" s="1540" t="n">
        <f aca="false">$F252</f>
        <v>0</v>
      </c>
      <c r="P252" s="1563" t="n">
        <f aca="false">N252*O252/1000</f>
        <v>0</v>
      </c>
      <c r="Q252" s="1565" t="n">
        <f aca="false">$H252</f>
        <v>3.13455530754531</v>
      </c>
      <c r="R252" s="394" t="n">
        <f aca="false">P252/Q252</f>
        <v>0</v>
      </c>
      <c r="S252" s="1579" t="str">
        <f aca="false">IF(MONTH($A252)=12,SUM(R241:R252)," ")</f>
        <v> </v>
      </c>
      <c r="U252" s="1595" t="n">
        <f aca="false">IF($A252&gt;Endyr,0,VLOOKUP($A252,Tariff_Table,Tariff!$I$33))</f>
        <v>0</v>
      </c>
      <c r="V252" s="1565" t="n">
        <f aca="false">D252</f>
        <v>4.49672219894756</v>
      </c>
      <c r="W252" s="1563" t="n">
        <f aca="false">U252*V252</f>
        <v>0</v>
      </c>
      <c r="X252" s="397" t="n">
        <f aca="false">VLOOKUP($A252,Plant_Table,'Plant Operations'!$M$270)</f>
        <v>0</v>
      </c>
      <c r="Y252" s="630" t="n">
        <f aca="false">W252*X252/1000</f>
        <v>0</v>
      </c>
      <c r="Z252" s="1565" t="n">
        <f aca="false">$H252</f>
        <v>3.13455530754531</v>
      </c>
      <c r="AA252" s="1565" t="n">
        <f aca="false">H252</f>
        <v>3.13455530754531</v>
      </c>
      <c r="AB252" s="1609" t="n">
        <f aca="false">W252/AA252</f>
        <v>0</v>
      </c>
      <c r="AC252" s="1566" t="n">
        <f aca="false">Y252/Z252</f>
        <v>0</v>
      </c>
      <c r="AD252" s="1567" t="str">
        <f aca="false">IF(MONTH($A252)=12,SUM(AC241:AC252)," ")</f>
        <v> </v>
      </c>
    </row>
    <row r="253" customFormat="false" ht="12.75" hidden="false" customHeight="false" outlineLevel="0" collapsed="false">
      <c r="A253" s="1538" t="n">
        <f aca="false">'Annex 12-Gas'!A253</f>
        <v>44287</v>
      </c>
      <c r="C253" s="1595" t="n">
        <f aca="false">IF($A253&gt;Endyr,0,VLOOKUP($A253,Tariff_Table,Tariff!$G$33))</f>
        <v>0</v>
      </c>
      <c r="D253" s="1565" t="n">
        <f aca="false">VLOOKUP($A253,Curves_Table,Escalation!$AW$291)</f>
        <v>4.49672219894756</v>
      </c>
      <c r="E253" s="1563" t="n">
        <f aca="false">C253*D253</f>
        <v>0</v>
      </c>
      <c r="F253" s="1540" t="n">
        <f aca="false">VLOOKUP($A253,Plant_Table,'Plant Operations'!$C$270)</f>
        <v>0</v>
      </c>
      <c r="G253" s="1563" t="n">
        <f aca="false">E253*F253/1000</f>
        <v>0</v>
      </c>
      <c r="H253" s="1565" t="n">
        <f aca="false">IF(Assm!$L$74=0,VLOOKUP($A253,Curves_Table,Escalation!$D$291),VLOOKUP($A253,Curves_Table,Escalation!$E$291))</f>
        <v>3.13455530754531</v>
      </c>
      <c r="I253" s="394" t="n">
        <f aca="false">G253/H253</f>
        <v>0</v>
      </c>
      <c r="J253" s="1579" t="str">
        <f aca="false">IF(MONTH($A253)=12,SUM(I242:I253)," ")</f>
        <v> </v>
      </c>
      <c r="L253" s="1595" t="n">
        <f aca="false">IF($A253&gt;Endyr,0,VLOOKUP($A253,Tariff_Table,Tariff!$H$33))</f>
        <v>0</v>
      </c>
      <c r="M253" s="1565" t="n">
        <f aca="false">D253</f>
        <v>4.49672219894756</v>
      </c>
      <c r="N253" s="1563" t="n">
        <f aca="false">L253*M253</f>
        <v>0</v>
      </c>
      <c r="O253" s="1540" t="n">
        <f aca="false">$F253</f>
        <v>0</v>
      </c>
      <c r="P253" s="1563" t="n">
        <f aca="false">N253*O253/1000</f>
        <v>0</v>
      </c>
      <c r="Q253" s="1565" t="n">
        <f aca="false">$H253</f>
        <v>3.13455530754531</v>
      </c>
      <c r="R253" s="394" t="n">
        <f aca="false">P253/Q253</f>
        <v>0</v>
      </c>
      <c r="S253" s="1579" t="str">
        <f aca="false">IF(MONTH($A253)=12,SUM(R242:R253)," ")</f>
        <v> </v>
      </c>
      <c r="U253" s="1595" t="n">
        <f aca="false">IF($A253&gt;Endyr,0,VLOOKUP($A253,Tariff_Table,Tariff!$I$33))</f>
        <v>0</v>
      </c>
      <c r="V253" s="1565" t="n">
        <f aca="false">D253</f>
        <v>4.49672219894756</v>
      </c>
      <c r="W253" s="1563" t="n">
        <f aca="false">U253*V253</f>
        <v>0</v>
      </c>
      <c r="X253" s="397" t="n">
        <f aca="false">VLOOKUP($A253,Plant_Table,'Plant Operations'!$M$270)</f>
        <v>0</v>
      </c>
      <c r="Y253" s="630" t="n">
        <f aca="false">W253*X253/1000</f>
        <v>0</v>
      </c>
      <c r="Z253" s="1565" t="n">
        <f aca="false">$H253</f>
        <v>3.13455530754531</v>
      </c>
      <c r="AA253" s="1565" t="n">
        <f aca="false">H253</f>
        <v>3.13455530754531</v>
      </c>
      <c r="AB253" s="1609" t="n">
        <f aca="false">W253/AA253</f>
        <v>0</v>
      </c>
      <c r="AC253" s="1566" t="n">
        <f aca="false">Y253/Z253</f>
        <v>0</v>
      </c>
      <c r="AD253" s="1567" t="str">
        <f aca="false">IF(MONTH($A253)=12,SUM(AC242:AC253)," ")</f>
        <v> </v>
      </c>
    </row>
    <row r="254" customFormat="false" ht="12.75" hidden="false" customHeight="false" outlineLevel="0" collapsed="false">
      <c r="A254" s="1538" t="n">
        <f aca="false">'Annex 12-Gas'!A254</f>
        <v>44317</v>
      </c>
      <c r="C254" s="1595" t="n">
        <f aca="false">IF($A254&gt;Endyr,0,VLOOKUP($A254,Tariff_Table,Tariff!$G$33))</f>
        <v>0</v>
      </c>
      <c r="D254" s="1565" t="n">
        <f aca="false">VLOOKUP($A254,Curves_Table,Escalation!$AW$291)</f>
        <v>4.49672219894756</v>
      </c>
      <c r="E254" s="1563" t="n">
        <f aca="false">C254*D254</f>
        <v>0</v>
      </c>
      <c r="F254" s="1540" t="n">
        <f aca="false">VLOOKUP($A254,Plant_Table,'Plant Operations'!$C$270)</f>
        <v>0</v>
      </c>
      <c r="G254" s="1563" t="n">
        <f aca="false">E254*F254/1000</f>
        <v>0</v>
      </c>
      <c r="H254" s="1565" t="n">
        <f aca="false">IF(Assm!$L$74=0,VLOOKUP($A254,Curves_Table,Escalation!$D$291),VLOOKUP($A254,Curves_Table,Escalation!$E$291))</f>
        <v>3.13455530754531</v>
      </c>
      <c r="I254" s="394" t="n">
        <f aca="false">G254/H254</f>
        <v>0</v>
      </c>
      <c r="J254" s="1579" t="str">
        <f aca="false">IF(MONTH($A254)=12,SUM(I243:I254)," ")</f>
        <v> </v>
      </c>
      <c r="L254" s="1595" t="n">
        <f aca="false">IF($A254&gt;Endyr,0,VLOOKUP($A254,Tariff_Table,Tariff!$H$33))</f>
        <v>0</v>
      </c>
      <c r="M254" s="1565" t="n">
        <f aca="false">D254</f>
        <v>4.49672219894756</v>
      </c>
      <c r="N254" s="1563" t="n">
        <f aca="false">L254*M254</f>
        <v>0</v>
      </c>
      <c r="O254" s="1540" t="n">
        <f aca="false">$F254</f>
        <v>0</v>
      </c>
      <c r="P254" s="1563" t="n">
        <f aca="false">N254*O254/1000</f>
        <v>0</v>
      </c>
      <c r="Q254" s="1565" t="n">
        <f aca="false">$H254</f>
        <v>3.13455530754531</v>
      </c>
      <c r="R254" s="394" t="n">
        <f aca="false">P254/Q254</f>
        <v>0</v>
      </c>
      <c r="S254" s="1579" t="str">
        <f aca="false">IF(MONTH($A254)=12,SUM(R243:R254)," ")</f>
        <v> </v>
      </c>
      <c r="U254" s="1595" t="n">
        <f aca="false">IF($A254&gt;Endyr,0,VLOOKUP($A254,Tariff_Table,Tariff!$I$33))</f>
        <v>0</v>
      </c>
      <c r="V254" s="1565" t="n">
        <f aca="false">D254</f>
        <v>4.49672219894756</v>
      </c>
      <c r="W254" s="1563" t="n">
        <f aca="false">U254*V254</f>
        <v>0</v>
      </c>
      <c r="X254" s="397" t="n">
        <f aca="false">VLOOKUP($A254,Plant_Table,'Plant Operations'!$M$270)</f>
        <v>0</v>
      </c>
      <c r="Y254" s="630" t="n">
        <f aca="false">W254*X254/1000</f>
        <v>0</v>
      </c>
      <c r="Z254" s="1565" t="n">
        <f aca="false">$H254</f>
        <v>3.13455530754531</v>
      </c>
      <c r="AA254" s="1565" t="n">
        <f aca="false">H254</f>
        <v>3.13455530754531</v>
      </c>
      <c r="AB254" s="1609" t="n">
        <f aca="false">W254/AA254</f>
        <v>0</v>
      </c>
      <c r="AC254" s="1566" t="n">
        <f aca="false">Y254/Z254</f>
        <v>0</v>
      </c>
      <c r="AD254" s="1567" t="str">
        <f aca="false">IF(MONTH($A254)=12,SUM(AC243:AC254)," ")</f>
        <v> </v>
      </c>
    </row>
    <row r="255" customFormat="false" ht="12.75" hidden="false" customHeight="false" outlineLevel="0" collapsed="false">
      <c r="A255" s="1538" t="n">
        <f aca="false">'Annex 12-Gas'!A255</f>
        <v>44348</v>
      </c>
      <c r="C255" s="1595" t="n">
        <f aca="false">IF($A255&gt;Endyr,0,VLOOKUP($A255,Tariff_Table,Tariff!$G$33))</f>
        <v>0</v>
      </c>
      <c r="D255" s="1565" t="n">
        <f aca="false">VLOOKUP($A255,Curves_Table,Escalation!$AW$291)</f>
        <v>4.49672219894756</v>
      </c>
      <c r="E255" s="1563" t="n">
        <f aca="false">C255*D255</f>
        <v>0</v>
      </c>
      <c r="F255" s="1540" t="n">
        <f aca="false">VLOOKUP($A255,Plant_Table,'Plant Operations'!$C$270)</f>
        <v>0</v>
      </c>
      <c r="G255" s="1563" t="n">
        <f aca="false">E255*F255/1000</f>
        <v>0</v>
      </c>
      <c r="H255" s="1565" t="n">
        <f aca="false">IF(Assm!$L$74=0,VLOOKUP($A255,Curves_Table,Escalation!$D$291),VLOOKUP($A255,Curves_Table,Escalation!$E$291))</f>
        <v>3.13455530754531</v>
      </c>
      <c r="I255" s="394" t="n">
        <f aca="false">G255/H255</f>
        <v>0</v>
      </c>
      <c r="J255" s="1579" t="str">
        <f aca="false">IF(MONTH($A255)=12,SUM(I244:I255)," ")</f>
        <v> </v>
      </c>
      <c r="L255" s="1595" t="n">
        <f aca="false">IF($A255&gt;Endyr,0,VLOOKUP($A255,Tariff_Table,Tariff!$H$33))</f>
        <v>0</v>
      </c>
      <c r="M255" s="1565" t="n">
        <f aca="false">D255</f>
        <v>4.49672219894756</v>
      </c>
      <c r="N255" s="1563" t="n">
        <f aca="false">L255*M255</f>
        <v>0</v>
      </c>
      <c r="O255" s="1540" t="n">
        <f aca="false">$F255</f>
        <v>0</v>
      </c>
      <c r="P255" s="1563" t="n">
        <f aca="false">N255*O255/1000</f>
        <v>0</v>
      </c>
      <c r="Q255" s="1565" t="n">
        <f aca="false">$H255</f>
        <v>3.13455530754531</v>
      </c>
      <c r="R255" s="394" t="n">
        <f aca="false">P255/Q255</f>
        <v>0</v>
      </c>
      <c r="S255" s="1579" t="str">
        <f aca="false">IF(MONTH($A255)=12,SUM(R244:R255)," ")</f>
        <v> </v>
      </c>
      <c r="U255" s="1595" t="n">
        <f aca="false">IF($A255&gt;Endyr,0,VLOOKUP($A255,Tariff_Table,Tariff!$I$33))</f>
        <v>0</v>
      </c>
      <c r="V255" s="1565" t="n">
        <f aca="false">D255</f>
        <v>4.49672219894756</v>
      </c>
      <c r="W255" s="1563" t="n">
        <f aca="false">U255*V255</f>
        <v>0</v>
      </c>
      <c r="X255" s="397" t="n">
        <f aca="false">VLOOKUP($A255,Plant_Table,'Plant Operations'!$M$270)</f>
        <v>0</v>
      </c>
      <c r="Y255" s="630" t="n">
        <f aca="false">W255*X255/1000</f>
        <v>0</v>
      </c>
      <c r="Z255" s="1565" t="n">
        <f aca="false">$H255</f>
        <v>3.13455530754531</v>
      </c>
      <c r="AA255" s="1565" t="n">
        <f aca="false">H255</f>
        <v>3.13455530754531</v>
      </c>
      <c r="AB255" s="1609" t="n">
        <f aca="false">W255/AA255</f>
        <v>0</v>
      </c>
      <c r="AC255" s="1566" t="n">
        <f aca="false">Y255/Z255</f>
        <v>0</v>
      </c>
      <c r="AD255" s="1567" t="str">
        <f aca="false">IF(MONTH($A255)=12,SUM(AC244:AC255)," ")</f>
        <v> </v>
      </c>
    </row>
    <row r="256" customFormat="false" ht="12.75" hidden="false" customHeight="false" outlineLevel="0" collapsed="false">
      <c r="A256" s="1538" t="n">
        <f aca="false">'Annex 12-Gas'!A256</f>
        <v>44378</v>
      </c>
      <c r="C256" s="1595" t="n">
        <f aca="false">IF($A256&gt;Endyr,0,VLOOKUP($A256,Tariff_Table,Tariff!$G$33))</f>
        <v>0</v>
      </c>
      <c r="D256" s="1565" t="n">
        <f aca="false">VLOOKUP($A256,Curves_Table,Escalation!$AW$291)</f>
        <v>4.49672219894756</v>
      </c>
      <c r="E256" s="1563" t="n">
        <f aca="false">C256*D256</f>
        <v>0</v>
      </c>
      <c r="F256" s="1540" t="n">
        <f aca="false">VLOOKUP($A256,Plant_Table,'Plant Operations'!$C$270)</f>
        <v>0</v>
      </c>
      <c r="G256" s="1563" t="n">
        <f aca="false">E256*F256/1000</f>
        <v>0</v>
      </c>
      <c r="H256" s="1565" t="n">
        <f aca="false">IF(Assm!$L$74=0,VLOOKUP($A256,Curves_Table,Escalation!$D$291),VLOOKUP($A256,Curves_Table,Escalation!$E$291))</f>
        <v>3.13455530754531</v>
      </c>
      <c r="I256" s="394" t="n">
        <f aca="false">G256/H256</f>
        <v>0</v>
      </c>
      <c r="J256" s="1579" t="str">
        <f aca="false">IF(MONTH($A256)=12,SUM(I245:I256)," ")</f>
        <v> </v>
      </c>
      <c r="L256" s="1595" t="n">
        <f aca="false">IF($A256&gt;Endyr,0,VLOOKUP($A256,Tariff_Table,Tariff!$H$33))</f>
        <v>0</v>
      </c>
      <c r="M256" s="1565" t="n">
        <f aca="false">D256</f>
        <v>4.49672219894756</v>
      </c>
      <c r="N256" s="1563" t="n">
        <f aca="false">L256*M256</f>
        <v>0</v>
      </c>
      <c r="O256" s="1540" t="n">
        <f aca="false">$F256</f>
        <v>0</v>
      </c>
      <c r="P256" s="1563" t="n">
        <f aca="false">N256*O256/1000</f>
        <v>0</v>
      </c>
      <c r="Q256" s="1565" t="n">
        <f aca="false">$H256</f>
        <v>3.13455530754531</v>
      </c>
      <c r="R256" s="394" t="n">
        <f aca="false">P256/Q256</f>
        <v>0</v>
      </c>
      <c r="S256" s="1579" t="str">
        <f aca="false">IF(MONTH($A256)=12,SUM(R245:R256)," ")</f>
        <v> </v>
      </c>
      <c r="U256" s="1595" t="n">
        <f aca="false">IF($A256&gt;Endyr,0,VLOOKUP($A256,Tariff_Table,Tariff!$I$33))</f>
        <v>0</v>
      </c>
      <c r="V256" s="1565" t="n">
        <f aca="false">D256</f>
        <v>4.49672219894756</v>
      </c>
      <c r="W256" s="1563" t="n">
        <f aca="false">U256*V256</f>
        <v>0</v>
      </c>
      <c r="X256" s="397" t="n">
        <f aca="false">VLOOKUP($A256,Plant_Table,'Plant Operations'!$M$270)</f>
        <v>0</v>
      </c>
      <c r="Y256" s="630" t="n">
        <f aca="false">W256*X256/1000</f>
        <v>0</v>
      </c>
      <c r="Z256" s="1565" t="n">
        <f aca="false">$H256</f>
        <v>3.13455530754531</v>
      </c>
      <c r="AA256" s="1565" t="n">
        <f aca="false">H256</f>
        <v>3.13455530754531</v>
      </c>
      <c r="AB256" s="1609" t="n">
        <f aca="false">W256/AA256</f>
        <v>0</v>
      </c>
      <c r="AC256" s="1566" t="n">
        <f aca="false">Y256/Z256</f>
        <v>0</v>
      </c>
      <c r="AD256" s="1567" t="str">
        <f aca="false">IF(MONTH($A256)=12,SUM(AC245:AC256)," ")</f>
        <v> </v>
      </c>
    </row>
    <row r="257" customFormat="false" ht="12.75" hidden="false" customHeight="false" outlineLevel="0" collapsed="false">
      <c r="A257" s="1538" t="n">
        <f aca="false">'Annex 12-Gas'!A257</f>
        <v>44409</v>
      </c>
      <c r="C257" s="1595" t="n">
        <f aca="false">IF($A257&gt;Endyr,0,VLOOKUP($A257,Tariff_Table,Tariff!$G$33))</f>
        <v>0</v>
      </c>
      <c r="D257" s="1565" t="n">
        <f aca="false">VLOOKUP($A257,Curves_Table,Escalation!$AW$291)</f>
        <v>4.49672219894756</v>
      </c>
      <c r="E257" s="1563" t="n">
        <f aca="false">C257*D257</f>
        <v>0</v>
      </c>
      <c r="F257" s="1540" t="n">
        <f aca="false">VLOOKUP($A257,Plant_Table,'Plant Operations'!$C$270)</f>
        <v>0</v>
      </c>
      <c r="G257" s="1563" t="n">
        <f aca="false">E257*F257/1000</f>
        <v>0</v>
      </c>
      <c r="H257" s="1565" t="n">
        <f aca="false">IF(Assm!$L$74=0,VLOOKUP($A257,Curves_Table,Escalation!$D$291),VLOOKUP($A257,Curves_Table,Escalation!$E$291))</f>
        <v>3.13455530754531</v>
      </c>
      <c r="I257" s="394" t="n">
        <f aca="false">G257/H257</f>
        <v>0</v>
      </c>
      <c r="J257" s="1579" t="str">
        <f aca="false">IF(MONTH($A257)=12,SUM(I246:I257)," ")</f>
        <v> </v>
      </c>
      <c r="L257" s="1595" t="n">
        <f aca="false">IF($A257&gt;Endyr,0,VLOOKUP($A257,Tariff_Table,Tariff!$H$33))</f>
        <v>0</v>
      </c>
      <c r="M257" s="1565" t="n">
        <f aca="false">D257</f>
        <v>4.49672219894756</v>
      </c>
      <c r="N257" s="1563" t="n">
        <f aca="false">L257*M257</f>
        <v>0</v>
      </c>
      <c r="O257" s="1540" t="n">
        <f aca="false">$F257</f>
        <v>0</v>
      </c>
      <c r="P257" s="1563" t="n">
        <f aca="false">N257*O257/1000</f>
        <v>0</v>
      </c>
      <c r="Q257" s="1565" t="n">
        <f aca="false">$H257</f>
        <v>3.13455530754531</v>
      </c>
      <c r="R257" s="394" t="n">
        <f aca="false">P257/Q257</f>
        <v>0</v>
      </c>
      <c r="S257" s="1579" t="str">
        <f aca="false">IF(MONTH($A257)=12,SUM(R246:R257)," ")</f>
        <v> </v>
      </c>
      <c r="U257" s="1595" t="n">
        <f aca="false">IF($A257&gt;Endyr,0,VLOOKUP($A257,Tariff_Table,Tariff!$I$33))</f>
        <v>0</v>
      </c>
      <c r="V257" s="1565" t="n">
        <f aca="false">D257</f>
        <v>4.49672219894756</v>
      </c>
      <c r="W257" s="1563" t="n">
        <f aca="false">U257*V257</f>
        <v>0</v>
      </c>
      <c r="X257" s="397" t="n">
        <f aca="false">VLOOKUP($A257,Plant_Table,'Plant Operations'!$M$270)</f>
        <v>0</v>
      </c>
      <c r="Y257" s="630" t="n">
        <f aca="false">W257*X257/1000</f>
        <v>0</v>
      </c>
      <c r="Z257" s="1565" t="n">
        <f aca="false">$H257</f>
        <v>3.13455530754531</v>
      </c>
      <c r="AA257" s="1565" t="n">
        <f aca="false">H257</f>
        <v>3.13455530754531</v>
      </c>
      <c r="AB257" s="1609" t="n">
        <f aca="false">W257/AA257</f>
        <v>0</v>
      </c>
      <c r="AC257" s="1566" t="n">
        <f aca="false">Y257/Z257</f>
        <v>0</v>
      </c>
      <c r="AD257" s="1567" t="str">
        <f aca="false">IF(MONTH($A257)=12,SUM(AC246:AC257)," ")</f>
        <v> </v>
      </c>
    </row>
    <row r="258" customFormat="false" ht="12.75" hidden="false" customHeight="false" outlineLevel="0" collapsed="false">
      <c r="A258" s="1538" t="n">
        <f aca="false">'Annex 12-Gas'!A258</f>
        <v>44440</v>
      </c>
      <c r="C258" s="1595" t="n">
        <f aca="false">IF($A258&gt;Endyr,0,VLOOKUP($A258,Tariff_Table,Tariff!$G$33))</f>
        <v>0</v>
      </c>
      <c r="D258" s="1565" t="n">
        <f aca="false">VLOOKUP($A258,Curves_Table,Escalation!$AW$291)</f>
        <v>4.49672219894756</v>
      </c>
      <c r="E258" s="1563" t="n">
        <f aca="false">C258*D258</f>
        <v>0</v>
      </c>
      <c r="F258" s="1540" t="n">
        <f aca="false">VLOOKUP($A258,Plant_Table,'Plant Operations'!$C$270)</f>
        <v>0</v>
      </c>
      <c r="G258" s="1563" t="n">
        <f aca="false">E258*F258/1000</f>
        <v>0</v>
      </c>
      <c r="H258" s="1565" t="n">
        <f aca="false">IF(Assm!$L$74=0,VLOOKUP($A258,Curves_Table,Escalation!$D$291),VLOOKUP($A258,Curves_Table,Escalation!$E$291))</f>
        <v>3.13455530754531</v>
      </c>
      <c r="I258" s="394" t="n">
        <f aca="false">G258/H258</f>
        <v>0</v>
      </c>
      <c r="J258" s="1579" t="str">
        <f aca="false">IF(MONTH($A258)=12,SUM(I247:I258)," ")</f>
        <v> </v>
      </c>
      <c r="L258" s="1595" t="n">
        <f aca="false">IF($A258&gt;Endyr,0,VLOOKUP($A258,Tariff_Table,Tariff!$H$33))</f>
        <v>0</v>
      </c>
      <c r="M258" s="1565" t="n">
        <f aca="false">D258</f>
        <v>4.49672219894756</v>
      </c>
      <c r="N258" s="1563" t="n">
        <f aca="false">L258*M258</f>
        <v>0</v>
      </c>
      <c r="O258" s="1540" t="n">
        <f aca="false">$F258</f>
        <v>0</v>
      </c>
      <c r="P258" s="1563" t="n">
        <f aca="false">N258*O258/1000</f>
        <v>0</v>
      </c>
      <c r="Q258" s="1565" t="n">
        <f aca="false">$H258</f>
        <v>3.13455530754531</v>
      </c>
      <c r="R258" s="394" t="n">
        <f aca="false">P258/Q258</f>
        <v>0</v>
      </c>
      <c r="S258" s="1579" t="str">
        <f aca="false">IF(MONTH($A258)=12,SUM(R247:R258)," ")</f>
        <v> </v>
      </c>
      <c r="U258" s="1595" t="n">
        <f aca="false">IF($A258&gt;Endyr,0,VLOOKUP($A258,Tariff_Table,Tariff!$I$33))</f>
        <v>0</v>
      </c>
      <c r="V258" s="1565" t="n">
        <f aca="false">D258</f>
        <v>4.49672219894756</v>
      </c>
      <c r="W258" s="1563" t="n">
        <f aca="false">U258*V258</f>
        <v>0</v>
      </c>
      <c r="X258" s="397" t="n">
        <f aca="false">VLOOKUP($A258,Plant_Table,'Plant Operations'!$M$270)</f>
        <v>0</v>
      </c>
      <c r="Y258" s="630" t="n">
        <f aca="false">W258*X258/1000</f>
        <v>0</v>
      </c>
      <c r="Z258" s="1565" t="n">
        <f aca="false">$H258</f>
        <v>3.13455530754531</v>
      </c>
      <c r="AA258" s="1565" t="n">
        <f aca="false">H258</f>
        <v>3.13455530754531</v>
      </c>
      <c r="AB258" s="1609" t="n">
        <f aca="false">W258/AA258</f>
        <v>0</v>
      </c>
      <c r="AC258" s="1566" t="n">
        <f aca="false">Y258/Z258</f>
        <v>0</v>
      </c>
      <c r="AD258" s="1567" t="str">
        <f aca="false">IF(MONTH($A258)=12,SUM(AC247:AC258)," ")</f>
        <v> </v>
      </c>
    </row>
    <row r="259" customFormat="false" ht="12.75" hidden="false" customHeight="false" outlineLevel="0" collapsed="false">
      <c r="A259" s="1538" t="n">
        <f aca="false">'Annex 12-Gas'!A259</f>
        <v>44470</v>
      </c>
      <c r="C259" s="1595" t="n">
        <f aca="false">IF($A259&gt;Endyr,0,VLOOKUP($A259,Tariff_Table,Tariff!$G$33))</f>
        <v>0</v>
      </c>
      <c r="D259" s="1565" t="n">
        <f aca="false">VLOOKUP($A259,Curves_Table,Escalation!$AW$291)</f>
        <v>4.49672219894756</v>
      </c>
      <c r="E259" s="1563" t="n">
        <f aca="false">C259*D259</f>
        <v>0</v>
      </c>
      <c r="F259" s="1540" t="n">
        <f aca="false">VLOOKUP($A259,Plant_Table,'Plant Operations'!$C$270)</f>
        <v>0</v>
      </c>
      <c r="G259" s="1563" t="n">
        <f aca="false">E259*F259/1000</f>
        <v>0</v>
      </c>
      <c r="H259" s="1565" t="n">
        <f aca="false">IF(Assm!$L$74=0,VLOOKUP($A259,Curves_Table,Escalation!$D$291),VLOOKUP($A259,Curves_Table,Escalation!$E$291))</f>
        <v>3.13455530754531</v>
      </c>
      <c r="I259" s="394" t="n">
        <f aca="false">G259/H259</f>
        <v>0</v>
      </c>
      <c r="J259" s="1579" t="str">
        <f aca="false">IF(MONTH($A259)=12,SUM(I248:I259)," ")</f>
        <v> </v>
      </c>
      <c r="L259" s="1595" t="n">
        <f aca="false">IF($A259&gt;Endyr,0,VLOOKUP($A259,Tariff_Table,Tariff!$H$33))</f>
        <v>0</v>
      </c>
      <c r="M259" s="1565" t="n">
        <f aca="false">D259</f>
        <v>4.49672219894756</v>
      </c>
      <c r="N259" s="1563" t="n">
        <f aca="false">L259*M259</f>
        <v>0</v>
      </c>
      <c r="O259" s="1540" t="n">
        <f aca="false">$F259</f>
        <v>0</v>
      </c>
      <c r="P259" s="1563" t="n">
        <f aca="false">N259*O259/1000</f>
        <v>0</v>
      </c>
      <c r="Q259" s="1565" t="n">
        <f aca="false">$H259</f>
        <v>3.13455530754531</v>
      </c>
      <c r="R259" s="394" t="n">
        <f aca="false">P259/Q259</f>
        <v>0</v>
      </c>
      <c r="S259" s="1579" t="str">
        <f aca="false">IF(MONTH($A259)=12,SUM(R248:R259)," ")</f>
        <v> </v>
      </c>
      <c r="U259" s="1595" t="n">
        <f aca="false">IF($A259&gt;Endyr,0,VLOOKUP($A259,Tariff_Table,Tariff!$I$33))</f>
        <v>0</v>
      </c>
      <c r="V259" s="1565" t="n">
        <f aca="false">D259</f>
        <v>4.49672219894756</v>
      </c>
      <c r="W259" s="1563" t="n">
        <f aca="false">U259*V259</f>
        <v>0</v>
      </c>
      <c r="X259" s="397" t="n">
        <f aca="false">VLOOKUP($A259,Plant_Table,'Plant Operations'!$M$270)</f>
        <v>0</v>
      </c>
      <c r="Y259" s="630" t="n">
        <f aca="false">W259*X259/1000</f>
        <v>0</v>
      </c>
      <c r="Z259" s="1565" t="n">
        <f aca="false">$H259</f>
        <v>3.13455530754531</v>
      </c>
      <c r="AA259" s="1565" t="n">
        <f aca="false">H259</f>
        <v>3.13455530754531</v>
      </c>
      <c r="AB259" s="1609" t="n">
        <f aca="false">W259/AA259</f>
        <v>0</v>
      </c>
      <c r="AC259" s="1566" t="n">
        <f aca="false">Y259/Z259</f>
        <v>0</v>
      </c>
      <c r="AD259" s="1567" t="str">
        <f aca="false">IF(MONTH($A259)=12,SUM(AC248:AC259)," ")</f>
        <v> </v>
      </c>
    </row>
    <row r="260" customFormat="false" ht="12.75" hidden="false" customHeight="false" outlineLevel="0" collapsed="false">
      <c r="A260" s="1538" t="n">
        <f aca="false">'Annex 12-Gas'!A260</f>
        <v>44501</v>
      </c>
      <c r="C260" s="1595" t="n">
        <f aca="false">IF($A260&gt;Endyr,0,VLOOKUP($A260,Tariff_Table,Tariff!$G$33))</f>
        <v>0</v>
      </c>
      <c r="D260" s="1565" t="n">
        <f aca="false">VLOOKUP($A260,Curves_Table,Escalation!$AW$291)</f>
        <v>4.49672219894756</v>
      </c>
      <c r="E260" s="1563" t="n">
        <f aca="false">C260*D260</f>
        <v>0</v>
      </c>
      <c r="F260" s="1540" t="n">
        <f aca="false">VLOOKUP($A260,Plant_Table,'Plant Operations'!$C$270)</f>
        <v>0</v>
      </c>
      <c r="G260" s="1563" t="n">
        <f aca="false">E260*F260/1000</f>
        <v>0</v>
      </c>
      <c r="H260" s="1565" t="n">
        <f aca="false">IF(Assm!$L$74=0,VLOOKUP($A260,Curves_Table,Escalation!$D$291),VLOOKUP($A260,Curves_Table,Escalation!$E$291))</f>
        <v>3.13455530754531</v>
      </c>
      <c r="I260" s="394" t="n">
        <f aca="false">G260/H260</f>
        <v>0</v>
      </c>
      <c r="J260" s="1579" t="str">
        <f aca="false">IF(MONTH($A260)=12,SUM(I249:I260)," ")</f>
        <v> </v>
      </c>
      <c r="L260" s="1595" t="n">
        <f aca="false">IF($A260&gt;Endyr,0,VLOOKUP($A260,Tariff_Table,Tariff!$H$33))</f>
        <v>0</v>
      </c>
      <c r="M260" s="1565" t="n">
        <f aca="false">D260</f>
        <v>4.49672219894756</v>
      </c>
      <c r="N260" s="1563" t="n">
        <f aca="false">L260*M260</f>
        <v>0</v>
      </c>
      <c r="O260" s="1540" t="n">
        <f aca="false">$F260</f>
        <v>0</v>
      </c>
      <c r="P260" s="1563" t="n">
        <f aca="false">N260*O260/1000</f>
        <v>0</v>
      </c>
      <c r="Q260" s="1565" t="n">
        <f aca="false">$H260</f>
        <v>3.13455530754531</v>
      </c>
      <c r="R260" s="394" t="n">
        <f aca="false">P260/Q260</f>
        <v>0</v>
      </c>
      <c r="S260" s="1579" t="str">
        <f aca="false">IF(MONTH($A260)=12,SUM(R249:R260)," ")</f>
        <v> </v>
      </c>
      <c r="U260" s="1595" t="n">
        <f aca="false">IF($A260&gt;Endyr,0,VLOOKUP($A260,Tariff_Table,Tariff!$I$33))</f>
        <v>0</v>
      </c>
      <c r="V260" s="1565" t="n">
        <f aca="false">D260</f>
        <v>4.49672219894756</v>
      </c>
      <c r="W260" s="1563" t="n">
        <f aca="false">U260*V260</f>
        <v>0</v>
      </c>
      <c r="X260" s="397" t="n">
        <f aca="false">VLOOKUP($A260,Plant_Table,'Plant Operations'!$M$270)</f>
        <v>0</v>
      </c>
      <c r="Y260" s="630" t="n">
        <f aca="false">W260*X260/1000</f>
        <v>0</v>
      </c>
      <c r="Z260" s="1565" t="n">
        <f aca="false">$H260</f>
        <v>3.13455530754531</v>
      </c>
      <c r="AA260" s="1565" t="n">
        <f aca="false">H260</f>
        <v>3.13455530754531</v>
      </c>
      <c r="AB260" s="1609" t="n">
        <f aca="false">W260/AA260</f>
        <v>0</v>
      </c>
      <c r="AC260" s="1566" t="n">
        <f aca="false">Y260/Z260</f>
        <v>0</v>
      </c>
      <c r="AD260" s="1567" t="str">
        <f aca="false">IF(MONTH($A260)=12,SUM(AC249:AC260)," ")</f>
        <v> </v>
      </c>
    </row>
    <row r="261" customFormat="false" ht="12.75" hidden="false" customHeight="false" outlineLevel="0" collapsed="false">
      <c r="A261" s="1538" t="n">
        <f aca="false">'Annex 12-Gas'!A261</f>
        <v>44531</v>
      </c>
      <c r="C261" s="1595" t="n">
        <f aca="false">IF($A261&gt;Endyr,0,VLOOKUP($A261,Tariff_Table,Tariff!$G$33))</f>
        <v>0</v>
      </c>
      <c r="D261" s="1565" t="n">
        <f aca="false">VLOOKUP($A261,Curves_Table,Escalation!$AW$291)</f>
        <v>4.49672219894756</v>
      </c>
      <c r="E261" s="1563" t="n">
        <f aca="false">C261*D261</f>
        <v>0</v>
      </c>
      <c r="F261" s="1540" t="n">
        <f aca="false">VLOOKUP($A261,Plant_Table,'Plant Operations'!$C$270)</f>
        <v>0</v>
      </c>
      <c r="G261" s="1563" t="n">
        <f aca="false">E261*F261/1000</f>
        <v>0</v>
      </c>
      <c r="H261" s="1565" t="n">
        <f aca="false">IF(Assm!$L$74=0,VLOOKUP($A261,Curves_Table,Escalation!$D$291),VLOOKUP($A261,Curves_Table,Escalation!$E$291))</f>
        <v>3.13455530754531</v>
      </c>
      <c r="I261" s="394" t="n">
        <f aca="false">G261/H261</f>
        <v>0</v>
      </c>
      <c r="J261" s="1579" t="n">
        <f aca="false">IF(MONTH($A261)=12,SUM(I250:I261)," ")</f>
        <v>0</v>
      </c>
      <c r="L261" s="1595" t="n">
        <f aca="false">IF($A261&gt;Endyr,0,VLOOKUP($A261,Tariff_Table,Tariff!$H$33))</f>
        <v>0</v>
      </c>
      <c r="M261" s="1565" t="n">
        <f aca="false">D261</f>
        <v>4.49672219894756</v>
      </c>
      <c r="N261" s="1563" t="n">
        <f aca="false">L261*M261</f>
        <v>0</v>
      </c>
      <c r="O261" s="1540" t="n">
        <f aca="false">$F261</f>
        <v>0</v>
      </c>
      <c r="P261" s="1563" t="n">
        <f aca="false">N261*O261/1000</f>
        <v>0</v>
      </c>
      <c r="Q261" s="1565" t="n">
        <f aca="false">$H261</f>
        <v>3.13455530754531</v>
      </c>
      <c r="R261" s="394" t="n">
        <f aca="false">P261/Q261</f>
        <v>0</v>
      </c>
      <c r="S261" s="1579" t="n">
        <f aca="false">IF(MONTH($A261)=12,SUM(R250:R261)," ")</f>
        <v>0</v>
      </c>
      <c r="U261" s="1595" t="n">
        <f aca="false">IF($A261&gt;Endyr,0,VLOOKUP($A261,Tariff_Table,Tariff!$I$33))</f>
        <v>0</v>
      </c>
      <c r="V261" s="1565" t="n">
        <f aca="false">D261</f>
        <v>4.49672219894756</v>
      </c>
      <c r="W261" s="1563" t="n">
        <f aca="false">U261*V261</f>
        <v>0</v>
      </c>
      <c r="X261" s="397" t="n">
        <f aca="false">VLOOKUP($A261,Plant_Table,'Plant Operations'!$M$270)</f>
        <v>0</v>
      </c>
      <c r="Y261" s="630" t="n">
        <f aca="false">W261*X261/1000</f>
        <v>0</v>
      </c>
      <c r="Z261" s="1565" t="n">
        <f aca="false">$H261</f>
        <v>3.13455530754531</v>
      </c>
      <c r="AA261" s="1565" t="n">
        <f aca="false">H261</f>
        <v>3.13455530754531</v>
      </c>
      <c r="AB261" s="1609" t="n">
        <f aca="false">W261/AA261</f>
        <v>0</v>
      </c>
      <c r="AC261" s="1566" t="n">
        <f aca="false">Y261/Z261</f>
        <v>0</v>
      </c>
      <c r="AD261" s="1567" t="n">
        <f aca="false">IF(MONTH($A261)=12,SUM(AC250:AC261)," ")</f>
        <v>0</v>
      </c>
    </row>
    <row r="262" customFormat="false" ht="12.75" hidden="false" customHeight="false" outlineLevel="0" collapsed="false">
      <c r="A262" s="1538" t="n">
        <f aca="false">'Annex 12-Gas'!A262</f>
        <v>44562</v>
      </c>
      <c r="C262" s="1595" t="n">
        <f aca="false">IF($A262&gt;Endyr,0,VLOOKUP($A262,Tariff_Table,Tariff!$G$33))</f>
        <v>0</v>
      </c>
      <c r="D262" s="1565" t="n">
        <f aca="false">VLOOKUP($A262,Curves_Table,Escalation!$AW$291)</f>
        <v>4.49672219894756</v>
      </c>
      <c r="E262" s="1563" t="n">
        <f aca="false">C262*D262</f>
        <v>0</v>
      </c>
      <c r="F262" s="1540" t="n">
        <f aca="false">VLOOKUP($A262,Plant_Table,'Plant Operations'!$C$270)</f>
        <v>0</v>
      </c>
      <c r="G262" s="1563" t="n">
        <f aca="false">E262*F262/1000</f>
        <v>0</v>
      </c>
      <c r="H262" s="1565" t="n">
        <f aca="false">IF(Assm!$L$74=0,VLOOKUP($A262,Curves_Table,Escalation!$D$291),VLOOKUP($A262,Curves_Table,Escalation!$E$291))</f>
        <v>3.13455530754531</v>
      </c>
      <c r="I262" s="394" t="n">
        <f aca="false">G262/H262</f>
        <v>0</v>
      </c>
      <c r="J262" s="1579" t="str">
        <f aca="false">IF(MONTH($A262)=12,SUM(I251:I262)," ")</f>
        <v> </v>
      </c>
      <c r="L262" s="1595" t="n">
        <f aca="false">IF($A262&gt;Endyr,0,VLOOKUP($A262,Tariff_Table,Tariff!$H$33))</f>
        <v>0</v>
      </c>
      <c r="M262" s="1565" t="n">
        <f aca="false">D262</f>
        <v>4.49672219894756</v>
      </c>
      <c r="N262" s="1563" t="n">
        <f aca="false">L262*M262</f>
        <v>0</v>
      </c>
      <c r="O262" s="1540" t="n">
        <f aca="false">$F262</f>
        <v>0</v>
      </c>
      <c r="P262" s="1563" t="n">
        <f aca="false">N262*O262/1000</f>
        <v>0</v>
      </c>
      <c r="Q262" s="1565" t="n">
        <f aca="false">$H262</f>
        <v>3.13455530754531</v>
      </c>
      <c r="R262" s="394" t="n">
        <f aca="false">P262/Q262</f>
        <v>0</v>
      </c>
      <c r="S262" s="1579" t="str">
        <f aca="false">IF(MONTH($A262)=12,SUM(R251:R262)," ")</f>
        <v> </v>
      </c>
      <c r="U262" s="1595" t="n">
        <f aca="false">IF($A262&gt;Endyr,0,VLOOKUP($A262,Tariff_Table,Tariff!$I$33))</f>
        <v>0</v>
      </c>
      <c r="V262" s="1565" t="n">
        <f aca="false">D262</f>
        <v>4.49672219894756</v>
      </c>
      <c r="W262" s="1563" t="n">
        <f aca="false">U262*V262</f>
        <v>0</v>
      </c>
      <c r="X262" s="397" t="n">
        <f aca="false">VLOOKUP($A262,Plant_Table,'Plant Operations'!$M$270)</f>
        <v>0</v>
      </c>
      <c r="Y262" s="630" t="n">
        <f aca="false">W262*X262/1000</f>
        <v>0</v>
      </c>
      <c r="Z262" s="1565" t="n">
        <f aca="false">$H262</f>
        <v>3.13455530754531</v>
      </c>
      <c r="AA262" s="1565" t="n">
        <f aca="false">H262</f>
        <v>3.13455530754531</v>
      </c>
      <c r="AB262" s="1609" t="n">
        <f aca="false">W262/AA262</f>
        <v>0</v>
      </c>
      <c r="AC262" s="1566" t="n">
        <f aca="false">Y262/Z262</f>
        <v>0</v>
      </c>
      <c r="AD262" s="1567" t="str">
        <f aca="false">IF(MONTH($A262)=12,SUM(AC251:AC262)," ")</f>
        <v> </v>
      </c>
    </row>
    <row r="263" customFormat="false" ht="12.75" hidden="false" customHeight="false" outlineLevel="0" collapsed="false">
      <c r="A263" s="1538" t="n">
        <f aca="false">'Annex 12-Gas'!A263</f>
        <v>44593</v>
      </c>
      <c r="C263" s="1595" t="n">
        <f aca="false">IF($A263&gt;Endyr,0,VLOOKUP($A263,Tariff_Table,Tariff!$G$33))</f>
        <v>0</v>
      </c>
      <c r="D263" s="1565" t="n">
        <f aca="false">VLOOKUP($A263,Curves_Table,Escalation!$AW$291)</f>
        <v>4.49672219894756</v>
      </c>
      <c r="E263" s="1563" t="n">
        <f aca="false">C263*D263</f>
        <v>0</v>
      </c>
      <c r="F263" s="1540" t="n">
        <f aca="false">VLOOKUP($A263,Plant_Table,'Plant Operations'!$C$270)</f>
        <v>0</v>
      </c>
      <c r="G263" s="1563" t="n">
        <f aca="false">E263*F263/1000</f>
        <v>0</v>
      </c>
      <c r="H263" s="1565" t="n">
        <f aca="false">IF(Assm!$L$74=0,VLOOKUP($A263,Curves_Table,Escalation!$D$291),VLOOKUP($A263,Curves_Table,Escalation!$E$291))</f>
        <v>3.13455530754531</v>
      </c>
      <c r="I263" s="394" t="n">
        <f aca="false">G263/H263</f>
        <v>0</v>
      </c>
      <c r="J263" s="1579" t="str">
        <f aca="false">IF(MONTH($A263)=12,SUM(I252:I263)," ")</f>
        <v> </v>
      </c>
      <c r="L263" s="1595" t="n">
        <f aca="false">IF($A263&gt;Endyr,0,VLOOKUP($A263,Tariff_Table,Tariff!$H$33))</f>
        <v>0</v>
      </c>
      <c r="M263" s="1565" t="n">
        <f aca="false">D263</f>
        <v>4.49672219894756</v>
      </c>
      <c r="N263" s="1563" t="n">
        <f aca="false">L263*M263</f>
        <v>0</v>
      </c>
      <c r="O263" s="1540" t="n">
        <f aca="false">$F263</f>
        <v>0</v>
      </c>
      <c r="P263" s="1563" t="n">
        <f aca="false">N263*O263/1000</f>
        <v>0</v>
      </c>
      <c r="Q263" s="1565" t="n">
        <f aca="false">$H263</f>
        <v>3.13455530754531</v>
      </c>
      <c r="R263" s="394" t="n">
        <f aca="false">P263/Q263</f>
        <v>0</v>
      </c>
      <c r="S263" s="1579" t="str">
        <f aca="false">IF(MONTH($A263)=12,SUM(R252:R263)," ")</f>
        <v> </v>
      </c>
      <c r="U263" s="1595" t="n">
        <f aca="false">IF($A263&gt;Endyr,0,VLOOKUP($A263,Tariff_Table,Tariff!$I$33))</f>
        <v>0</v>
      </c>
      <c r="V263" s="1565" t="n">
        <f aca="false">D263</f>
        <v>4.49672219894756</v>
      </c>
      <c r="W263" s="1563" t="n">
        <f aca="false">U263*V263</f>
        <v>0</v>
      </c>
      <c r="X263" s="397" t="n">
        <f aca="false">VLOOKUP($A263,Plant_Table,'Plant Operations'!$M$270)</f>
        <v>0</v>
      </c>
      <c r="Y263" s="630" t="n">
        <f aca="false">W263*X263/1000</f>
        <v>0</v>
      </c>
      <c r="Z263" s="1565" t="n">
        <f aca="false">$H263</f>
        <v>3.13455530754531</v>
      </c>
      <c r="AA263" s="1565" t="n">
        <f aca="false">H263</f>
        <v>3.13455530754531</v>
      </c>
      <c r="AB263" s="1609" t="n">
        <f aca="false">W263/AA263</f>
        <v>0</v>
      </c>
      <c r="AC263" s="1566" t="n">
        <f aca="false">Y263/Z263</f>
        <v>0</v>
      </c>
      <c r="AD263" s="1567" t="str">
        <f aca="false">IF(MONTH($A263)=12,SUM(AC252:AC263)," ")</f>
        <v> </v>
      </c>
    </row>
    <row r="264" customFormat="false" ht="12.75" hidden="false" customHeight="false" outlineLevel="0" collapsed="false">
      <c r="A264" s="1538" t="n">
        <f aca="false">'Annex 12-Gas'!A264</f>
        <v>44621</v>
      </c>
      <c r="C264" s="1595" t="n">
        <f aca="false">IF($A264&gt;Endyr,0,VLOOKUP($A264,Tariff_Table,Tariff!$G$33))</f>
        <v>0</v>
      </c>
      <c r="D264" s="1565" t="n">
        <f aca="false">VLOOKUP($A264,Curves_Table,Escalation!$AW$291)</f>
        <v>4.49672219894756</v>
      </c>
      <c r="E264" s="1563" t="n">
        <f aca="false">C264*D264</f>
        <v>0</v>
      </c>
      <c r="F264" s="1540" t="n">
        <f aca="false">VLOOKUP($A264,Plant_Table,'Plant Operations'!$C$270)</f>
        <v>0</v>
      </c>
      <c r="G264" s="1563" t="n">
        <f aca="false">E264*F264/1000</f>
        <v>0</v>
      </c>
      <c r="H264" s="1565" t="n">
        <f aca="false">IF(Assm!$L$74=0,VLOOKUP($A264,Curves_Table,Escalation!$D$291),VLOOKUP($A264,Curves_Table,Escalation!$E$291))</f>
        <v>3.13455530754531</v>
      </c>
      <c r="I264" s="394" t="n">
        <f aca="false">G264/H264</f>
        <v>0</v>
      </c>
      <c r="J264" s="1579" t="str">
        <f aca="false">IF(MONTH($A264)=12,SUM(I253:I264)," ")</f>
        <v> </v>
      </c>
      <c r="L264" s="1595" t="n">
        <f aca="false">IF($A264&gt;Endyr,0,VLOOKUP($A264,Tariff_Table,Tariff!$H$33))</f>
        <v>0</v>
      </c>
      <c r="M264" s="1565" t="n">
        <f aca="false">D264</f>
        <v>4.49672219894756</v>
      </c>
      <c r="N264" s="1563" t="n">
        <f aca="false">L264*M264</f>
        <v>0</v>
      </c>
      <c r="O264" s="1540" t="n">
        <f aca="false">$F264</f>
        <v>0</v>
      </c>
      <c r="P264" s="1563" t="n">
        <f aca="false">N264*O264/1000</f>
        <v>0</v>
      </c>
      <c r="Q264" s="1565" t="n">
        <f aca="false">$H264</f>
        <v>3.13455530754531</v>
      </c>
      <c r="R264" s="394" t="n">
        <f aca="false">P264/Q264</f>
        <v>0</v>
      </c>
      <c r="S264" s="1579" t="str">
        <f aca="false">IF(MONTH($A264)=12,SUM(R253:R264)," ")</f>
        <v> </v>
      </c>
      <c r="U264" s="1595" t="n">
        <f aca="false">IF($A264&gt;Endyr,0,VLOOKUP($A264,Tariff_Table,Tariff!$I$33))</f>
        <v>0</v>
      </c>
      <c r="V264" s="1565" t="n">
        <f aca="false">D264</f>
        <v>4.49672219894756</v>
      </c>
      <c r="W264" s="1563" t="n">
        <f aca="false">U264*V264</f>
        <v>0</v>
      </c>
      <c r="X264" s="397" t="n">
        <f aca="false">VLOOKUP($A264,Plant_Table,'Plant Operations'!$M$270)</f>
        <v>0</v>
      </c>
      <c r="Y264" s="630" t="n">
        <f aca="false">W264*X264/1000</f>
        <v>0</v>
      </c>
      <c r="Z264" s="1565" t="n">
        <f aca="false">$H264</f>
        <v>3.13455530754531</v>
      </c>
      <c r="AA264" s="1565" t="n">
        <f aca="false">H264</f>
        <v>3.13455530754531</v>
      </c>
      <c r="AB264" s="1609" t="n">
        <f aca="false">W264/AA264</f>
        <v>0</v>
      </c>
      <c r="AC264" s="1566" t="n">
        <f aca="false">Y264/Z264</f>
        <v>0</v>
      </c>
      <c r="AD264" s="1567" t="str">
        <f aca="false">IF(MONTH($A264)=12,SUM(AC253:AC264)," ")</f>
        <v> </v>
      </c>
    </row>
    <row r="265" customFormat="false" ht="12.75" hidden="false" customHeight="false" outlineLevel="0" collapsed="false">
      <c r="A265" s="1538" t="n">
        <f aca="false">'Annex 12-Gas'!A265</f>
        <v>44652</v>
      </c>
      <c r="C265" s="1595" t="n">
        <f aca="false">IF($A265&gt;Endyr,0,VLOOKUP($A265,Tariff_Table,Tariff!$G$33))</f>
        <v>0</v>
      </c>
      <c r="D265" s="1565" t="n">
        <f aca="false">VLOOKUP($A265,Curves_Table,Escalation!$AW$291)</f>
        <v>4.49672219894756</v>
      </c>
      <c r="E265" s="1563" t="n">
        <f aca="false">C265*D265</f>
        <v>0</v>
      </c>
      <c r="F265" s="1540" t="n">
        <f aca="false">VLOOKUP($A265,Plant_Table,'Plant Operations'!$C$270)</f>
        <v>0</v>
      </c>
      <c r="G265" s="1563" t="n">
        <f aca="false">E265*F265/1000</f>
        <v>0</v>
      </c>
      <c r="H265" s="1565" t="n">
        <f aca="false">IF(Assm!$L$74=0,VLOOKUP($A265,Curves_Table,Escalation!$D$291),VLOOKUP($A265,Curves_Table,Escalation!$E$291))</f>
        <v>3.13455530754531</v>
      </c>
      <c r="I265" s="394" t="n">
        <f aca="false">G265/H265</f>
        <v>0</v>
      </c>
      <c r="J265" s="1579" t="str">
        <f aca="false">IF(MONTH($A265)=12,SUM(I254:I265)," ")</f>
        <v> </v>
      </c>
      <c r="L265" s="1595" t="n">
        <f aca="false">IF($A265&gt;Endyr,0,VLOOKUP($A265,Tariff_Table,Tariff!$H$33))</f>
        <v>0</v>
      </c>
      <c r="M265" s="1565" t="n">
        <f aca="false">D265</f>
        <v>4.49672219894756</v>
      </c>
      <c r="N265" s="1563" t="n">
        <f aca="false">L265*M265</f>
        <v>0</v>
      </c>
      <c r="O265" s="1540" t="n">
        <f aca="false">$F265</f>
        <v>0</v>
      </c>
      <c r="P265" s="1563" t="n">
        <f aca="false">N265*O265/1000</f>
        <v>0</v>
      </c>
      <c r="Q265" s="1565" t="n">
        <f aca="false">$H265</f>
        <v>3.13455530754531</v>
      </c>
      <c r="R265" s="394" t="n">
        <f aca="false">P265/Q265</f>
        <v>0</v>
      </c>
      <c r="S265" s="1579" t="str">
        <f aca="false">IF(MONTH($A265)=12,SUM(R254:R265)," ")</f>
        <v> </v>
      </c>
      <c r="U265" s="1595" t="n">
        <f aca="false">IF($A265&gt;Endyr,0,VLOOKUP($A265,Tariff_Table,Tariff!$I$33))</f>
        <v>0</v>
      </c>
      <c r="V265" s="1565" t="n">
        <f aca="false">D265</f>
        <v>4.49672219894756</v>
      </c>
      <c r="W265" s="1563" t="n">
        <f aca="false">U265*V265</f>
        <v>0</v>
      </c>
      <c r="X265" s="397" t="n">
        <f aca="false">VLOOKUP($A265,Plant_Table,'Plant Operations'!$M$270)</f>
        <v>0</v>
      </c>
      <c r="Y265" s="630" t="n">
        <f aca="false">W265*X265/1000</f>
        <v>0</v>
      </c>
      <c r="Z265" s="1565" t="n">
        <f aca="false">$H265</f>
        <v>3.13455530754531</v>
      </c>
      <c r="AA265" s="1565" t="n">
        <f aca="false">H265</f>
        <v>3.13455530754531</v>
      </c>
      <c r="AB265" s="1609" t="n">
        <f aca="false">W265/AA265</f>
        <v>0</v>
      </c>
      <c r="AC265" s="1566" t="n">
        <f aca="false">Y265/Z265</f>
        <v>0</v>
      </c>
      <c r="AD265" s="1567" t="str">
        <f aca="false">IF(MONTH($A265)=12,SUM(AC254:AC265)," ")</f>
        <v> </v>
      </c>
    </row>
    <row r="266" customFormat="false" ht="12.75" hidden="false" customHeight="false" outlineLevel="0" collapsed="false">
      <c r="A266" s="1538" t="n">
        <f aca="false">'Annex 12-Gas'!A266</f>
        <v>44682</v>
      </c>
      <c r="C266" s="1595" t="n">
        <f aca="false">IF($A266&gt;Endyr,0,VLOOKUP($A266,Tariff_Table,Tariff!$G$33))</f>
        <v>0</v>
      </c>
      <c r="D266" s="1565" t="n">
        <f aca="false">VLOOKUP($A266,Curves_Table,Escalation!$AW$291)</f>
        <v>4.49672219894756</v>
      </c>
      <c r="E266" s="1563" t="n">
        <f aca="false">C266*D266</f>
        <v>0</v>
      </c>
      <c r="F266" s="1540" t="n">
        <f aca="false">VLOOKUP($A266,Plant_Table,'Plant Operations'!$C$270)</f>
        <v>0</v>
      </c>
      <c r="G266" s="1563" t="n">
        <f aca="false">E266*F266/1000</f>
        <v>0</v>
      </c>
      <c r="H266" s="1565" t="n">
        <f aca="false">IF(Assm!$L$74=0,VLOOKUP($A266,Curves_Table,Escalation!$D$291),VLOOKUP($A266,Curves_Table,Escalation!$E$291))</f>
        <v>3.13455530754531</v>
      </c>
      <c r="I266" s="394" t="n">
        <f aca="false">G266/H266</f>
        <v>0</v>
      </c>
      <c r="J266" s="1579" t="str">
        <f aca="false">IF(MONTH($A266)=12,SUM(I255:I266)," ")</f>
        <v> </v>
      </c>
      <c r="L266" s="1595" t="n">
        <f aca="false">IF($A266&gt;Endyr,0,VLOOKUP($A266,Tariff_Table,Tariff!$H$33))</f>
        <v>0</v>
      </c>
      <c r="M266" s="1565" t="n">
        <f aca="false">D266</f>
        <v>4.49672219894756</v>
      </c>
      <c r="N266" s="1563" t="n">
        <f aca="false">L266*M266</f>
        <v>0</v>
      </c>
      <c r="O266" s="1540" t="n">
        <f aca="false">$F266</f>
        <v>0</v>
      </c>
      <c r="P266" s="1563" t="n">
        <f aca="false">N266*O266/1000</f>
        <v>0</v>
      </c>
      <c r="Q266" s="1565" t="n">
        <f aca="false">$H266</f>
        <v>3.13455530754531</v>
      </c>
      <c r="R266" s="394" t="n">
        <f aca="false">P266/Q266</f>
        <v>0</v>
      </c>
      <c r="S266" s="1579" t="str">
        <f aca="false">IF(MONTH($A266)=12,SUM(R255:R266)," ")</f>
        <v> </v>
      </c>
      <c r="U266" s="1595" t="n">
        <f aca="false">IF($A266&gt;Endyr,0,VLOOKUP($A266,Tariff_Table,Tariff!$I$33))</f>
        <v>0</v>
      </c>
      <c r="V266" s="1565" t="n">
        <f aca="false">D266</f>
        <v>4.49672219894756</v>
      </c>
      <c r="W266" s="1563" t="n">
        <f aca="false">U266*V266</f>
        <v>0</v>
      </c>
      <c r="X266" s="397" t="n">
        <f aca="false">VLOOKUP($A266,Plant_Table,'Plant Operations'!$M$270)</f>
        <v>0</v>
      </c>
      <c r="Y266" s="630" t="n">
        <f aca="false">W266*X266/1000</f>
        <v>0</v>
      </c>
      <c r="Z266" s="1565" t="n">
        <f aca="false">$H266</f>
        <v>3.13455530754531</v>
      </c>
      <c r="AA266" s="1565" t="n">
        <f aca="false">H266</f>
        <v>3.13455530754531</v>
      </c>
      <c r="AB266" s="1609" t="n">
        <f aca="false">W266/AA266</f>
        <v>0</v>
      </c>
      <c r="AC266" s="1566" t="n">
        <f aca="false">Y266/Z266</f>
        <v>0</v>
      </c>
      <c r="AD266" s="1567" t="str">
        <f aca="false">IF(MONTH($A266)=12,SUM(AC255:AC266)," ")</f>
        <v> </v>
      </c>
    </row>
    <row r="267" customFormat="false" ht="13.5" hidden="false" customHeight="false" outlineLevel="0" collapsed="false">
      <c r="A267" s="1538"/>
      <c r="C267" s="744"/>
      <c r="D267" s="388"/>
      <c r="E267" s="388"/>
      <c r="G267" s="388"/>
      <c r="H267" s="388"/>
      <c r="I267" s="388"/>
      <c r="J267" s="1537"/>
      <c r="L267" s="744"/>
      <c r="M267" s="388"/>
      <c r="N267" s="388"/>
      <c r="P267" s="388"/>
      <c r="Q267" s="388"/>
      <c r="R267" s="388"/>
      <c r="S267" s="1537"/>
      <c r="U267" s="744"/>
      <c r="W267" s="388"/>
      <c r="X267" s="388"/>
      <c r="Y267" s="388"/>
      <c r="Z267" s="388"/>
      <c r="AA267" s="388"/>
      <c r="AB267" s="388"/>
      <c r="AC267" s="388"/>
      <c r="AD267" s="1537"/>
    </row>
    <row r="268" customFormat="false" ht="13.5" hidden="false" customHeight="false" outlineLevel="0" collapsed="false">
      <c r="A268" s="1549"/>
      <c r="C268" s="1550"/>
      <c r="D268" s="1551"/>
      <c r="E268" s="1551"/>
      <c r="F268" s="1551"/>
      <c r="G268" s="1551"/>
      <c r="H268" s="1551"/>
      <c r="I268" s="1589" t="s">
        <v>1860</v>
      </c>
      <c r="J268" s="1590" t="n">
        <f aca="false">SUM(J12:J266)</f>
        <v>871998.070056881</v>
      </c>
      <c r="L268" s="1550"/>
      <c r="M268" s="1551"/>
      <c r="N268" s="1551"/>
      <c r="O268" s="1551"/>
      <c r="P268" s="1551"/>
      <c r="Q268" s="1551"/>
      <c r="R268" s="1589" t="s">
        <v>1861</v>
      </c>
      <c r="S268" s="1590" t="n">
        <f aca="false">SUM(S12:S266)</f>
        <v>718643.213421764</v>
      </c>
      <c r="U268" s="1550"/>
      <c r="V268" s="1551"/>
      <c r="W268" s="1551"/>
      <c r="X268" s="1551"/>
      <c r="Y268" s="1551"/>
      <c r="Z268" s="1551"/>
      <c r="AA268" s="1551"/>
      <c r="AB268" s="1551"/>
      <c r="AC268" s="1589" t="s">
        <v>1862</v>
      </c>
      <c r="AD268" s="1590" t="n">
        <f aca="false">SUM(AD12:AD266)</f>
        <v>165672.987945015</v>
      </c>
    </row>
    <row r="270" customFormat="false" ht="12.75" hidden="false" customHeight="false" outlineLevel="0" collapsed="false">
      <c r="A270" s="1556" t="n">
        <v>1</v>
      </c>
      <c r="B270" s="1556" t="n">
        <f aca="false">A270+1</f>
        <v>2</v>
      </c>
      <c r="C270" s="1556" t="n">
        <f aca="false">B270+1</f>
        <v>3</v>
      </c>
      <c r="D270" s="1556" t="n">
        <f aca="false">C270+1</f>
        <v>4</v>
      </c>
      <c r="E270" s="1556" t="n">
        <f aca="false">D270+1</f>
        <v>5</v>
      </c>
      <c r="F270" s="1556" t="n">
        <f aca="false">E270+1</f>
        <v>6</v>
      </c>
      <c r="G270" s="1556" t="n">
        <f aca="false">F270+1</f>
        <v>7</v>
      </c>
      <c r="H270" s="1556" t="n">
        <f aca="false">G270+1</f>
        <v>8</v>
      </c>
      <c r="I270" s="1556" t="n">
        <f aca="false">H270+1</f>
        <v>9</v>
      </c>
      <c r="J270" s="1556" t="n">
        <f aca="false">I270+1</f>
        <v>10</v>
      </c>
      <c r="K270" s="1556" t="n">
        <f aca="false">J270+1</f>
        <v>11</v>
      </c>
      <c r="L270" s="1556" t="n">
        <f aca="false">K270+1</f>
        <v>12</v>
      </c>
      <c r="M270" s="1556" t="n">
        <f aca="false">L270+1</f>
        <v>13</v>
      </c>
      <c r="N270" s="1556" t="n">
        <f aca="false">M270+1</f>
        <v>14</v>
      </c>
      <c r="O270" s="1556" t="n">
        <f aca="false">N270+1</f>
        <v>15</v>
      </c>
      <c r="P270" s="1556" t="n">
        <f aca="false">O270+1</f>
        <v>16</v>
      </c>
      <c r="Q270" s="1556" t="n">
        <f aca="false">P270+1</f>
        <v>17</v>
      </c>
      <c r="R270" s="1556" t="n">
        <f aca="false">Q270+1</f>
        <v>18</v>
      </c>
      <c r="S270" s="1556" t="n">
        <f aca="false">R270+1</f>
        <v>19</v>
      </c>
      <c r="T270" s="1556" t="n">
        <f aca="false">S270+1</f>
        <v>20</v>
      </c>
      <c r="U270" s="1556" t="n">
        <f aca="false">T270+1</f>
        <v>21</v>
      </c>
      <c r="V270" s="1556" t="n">
        <f aca="false">U270+1</f>
        <v>22</v>
      </c>
      <c r="W270" s="1556" t="n">
        <f aca="false">V270+1</f>
        <v>23</v>
      </c>
      <c r="X270" s="1556" t="n">
        <f aca="false">W270+1</f>
        <v>24</v>
      </c>
      <c r="Y270" s="1556" t="n">
        <f aca="false">X270+1</f>
        <v>25</v>
      </c>
      <c r="Z270" s="1556" t="n">
        <f aca="false">Y270+1</f>
        <v>26</v>
      </c>
      <c r="AA270" s="1556" t="n">
        <f aca="false">Z270+1</f>
        <v>27</v>
      </c>
      <c r="AB270" s="1556" t="n">
        <f aca="false">AA270+1</f>
        <v>28</v>
      </c>
      <c r="AC270" s="1556" t="n">
        <f aca="false">AB270+1</f>
        <v>29</v>
      </c>
      <c r="AD270" s="1556" t="n">
        <f aca="false">AC270+1</f>
        <v>30</v>
      </c>
    </row>
  </sheetData>
  <mergeCells count="3">
    <mergeCell ref="C6:J6"/>
    <mergeCell ref="L6:S6"/>
    <mergeCell ref="U6:AD6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310"/>
  <sheetViews>
    <sheetView showFormulas="false" showGridLines="false" showRowColHeaders="true" showZeros="true" rightToLeft="false" tabSelected="false" showOutlineSymbols="true" defaultGridColor="true" view="normal" topLeftCell="B1" colorId="64" zoomScale="90" zoomScaleNormal="90" zoomScalePageLayoutView="100" workbookViewId="0">
      <selection pane="topLeft" activeCell="H21" activeCellId="0" sqref="H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.7"/>
    <col collapsed="false" customWidth="true" hidden="false" outlineLevel="0" max="6" min="3" style="0" width="10.71"/>
    <col collapsed="false" customWidth="true" hidden="false" outlineLevel="0" max="7" min="7" style="388" width="10.71"/>
    <col collapsed="false" customWidth="true" hidden="false" outlineLevel="0" max="8" min="8" style="0" width="11.7"/>
    <col collapsed="false" customWidth="true" hidden="false" outlineLevel="0" max="10" min="9" style="0" width="10.71"/>
    <col collapsed="false" customWidth="true" hidden="false" outlineLevel="0" max="11" min="11" style="0" width="2.7"/>
    <col collapsed="false" customWidth="true" hidden="false" outlineLevel="0" max="12" min="12" style="0" width="10.71"/>
    <col collapsed="false" customWidth="true" hidden="false" outlineLevel="0" max="15" min="13" style="0" width="11.7"/>
    <col collapsed="false" customWidth="true" hidden="false" outlineLevel="0" max="16" min="16" style="388" width="10.71"/>
    <col collapsed="false" customWidth="true" hidden="false" outlineLevel="0" max="18" min="17" style="0" width="10.71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1522"/>
      <c r="F1" s="388"/>
      <c r="H1" s="388"/>
      <c r="I1" s="388"/>
      <c r="J1" s="388"/>
      <c r="K1" s="1522"/>
      <c r="L1" s="388"/>
      <c r="M1" s="388"/>
      <c r="N1" s="388"/>
      <c r="O1" s="388"/>
      <c r="Q1" s="388"/>
      <c r="R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1522"/>
      <c r="F2" s="388"/>
      <c r="H2" s="388"/>
      <c r="I2" s="388"/>
      <c r="J2" s="388"/>
      <c r="K2" s="1522"/>
      <c r="L2" s="388"/>
      <c r="M2" s="388"/>
      <c r="N2" s="388"/>
      <c r="O2" s="388"/>
      <c r="Q2" s="388"/>
      <c r="R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19"/>
      <c r="F3" s="388"/>
      <c r="H3" s="388"/>
      <c r="I3" s="388"/>
      <c r="J3" s="388"/>
      <c r="K3" s="19"/>
      <c r="L3" s="388"/>
      <c r="M3" s="388"/>
      <c r="N3" s="388"/>
      <c r="O3" s="388"/>
      <c r="Q3" s="388"/>
      <c r="R3" s="388"/>
    </row>
    <row r="4" customFormat="false" ht="15" hidden="false" customHeight="false" outlineLevel="0" collapsed="false">
      <c r="A4" s="21" t="s">
        <v>1873</v>
      </c>
      <c r="B4" s="632"/>
      <c r="C4" s="632"/>
      <c r="D4" s="632"/>
      <c r="E4" s="21"/>
      <c r="F4" s="632"/>
      <c r="H4" s="388"/>
      <c r="I4" s="388"/>
      <c r="J4" s="388"/>
      <c r="K4" s="1572"/>
      <c r="L4" s="388"/>
      <c r="M4" s="388"/>
      <c r="N4" s="388"/>
      <c r="O4" s="388"/>
      <c r="Q4" s="388"/>
      <c r="R4" s="388"/>
    </row>
    <row r="5" customFormat="false" ht="12.75" hidden="false" customHeight="false" outlineLevel="0" collapsed="false">
      <c r="A5" s="1523"/>
      <c r="B5" s="1523"/>
      <c r="C5" s="1523"/>
      <c r="D5" s="388"/>
      <c r="E5" s="388"/>
      <c r="F5" s="388"/>
      <c r="H5" s="388"/>
      <c r="I5" s="388"/>
      <c r="J5" s="388"/>
      <c r="K5" s="1523"/>
      <c r="L5" s="1523"/>
      <c r="M5" s="1523"/>
      <c r="N5" s="1523"/>
      <c r="O5" s="1523"/>
      <c r="Q5" s="388"/>
      <c r="R5" s="388"/>
    </row>
    <row r="6" customFormat="false" ht="12.75" hidden="false" customHeight="false" outlineLevel="0" collapsed="false">
      <c r="C6" s="1524" t="s">
        <v>1874</v>
      </c>
      <c r="D6" s="1524"/>
      <c r="E6" s="1524"/>
      <c r="F6" s="1524"/>
      <c r="G6" s="1524"/>
      <c r="H6" s="1524"/>
      <c r="I6" s="1524"/>
      <c r="J6" s="1524"/>
      <c r="L6" s="1524" t="s">
        <v>1875</v>
      </c>
      <c r="M6" s="1524"/>
      <c r="N6" s="1524"/>
      <c r="O6" s="1524"/>
      <c r="P6" s="1524"/>
      <c r="Q6" s="1524"/>
      <c r="R6" s="1524"/>
    </row>
    <row r="7" customFormat="false" ht="13.5" hidden="false" customHeight="false" outlineLevel="0" collapsed="false">
      <c r="C7" s="388"/>
      <c r="G7" s="0"/>
      <c r="P7" s="0"/>
    </row>
    <row r="8" customFormat="false" ht="12.75" hidden="false" customHeight="false" outlineLevel="0" collapsed="false">
      <c r="A8" s="1525"/>
      <c r="C8" s="1526" t="s">
        <v>1850</v>
      </c>
      <c r="D8" s="1527"/>
      <c r="E8" s="1527" t="s">
        <v>1828</v>
      </c>
      <c r="F8" s="1527"/>
      <c r="G8" s="1527" t="s">
        <v>66</v>
      </c>
      <c r="H8" s="1527" t="s">
        <v>1796</v>
      </c>
      <c r="I8" s="1527" t="s">
        <v>1796</v>
      </c>
      <c r="J8" s="1530" t="s">
        <v>1797</v>
      </c>
      <c r="L8" s="1526" t="s">
        <v>1876</v>
      </c>
      <c r="M8" s="1527" t="s">
        <v>1796</v>
      </c>
      <c r="N8" s="1527" t="s">
        <v>1876</v>
      </c>
      <c r="O8" s="1527" t="s">
        <v>1877</v>
      </c>
      <c r="P8" s="1527"/>
      <c r="Q8" s="1527"/>
      <c r="R8" s="1530" t="s">
        <v>1797</v>
      </c>
    </row>
    <row r="9" customFormat="false" ht="12.75" hidden="false" customHeight="false" outlineLevel="0" collapsed="false">
      <c r="A9" s="614"/>
      <c r="C9" s="264" t="s">
        <v>1855</v>
      </c>
      <c r="D9" s="229" t="str">
        <f aca="false">Escalation!AK14</f>
        <v>CPI Less</v>
      </c>
      <c r="E9" s="427" t="s">
        <v>1855</v>
      </c>
      <c r="F9" s="79" t="s">
        <v>720</v>
      </c>
      <c r="G9" s="79" t="s">
        <v>713</v>
      </c>
      <c r="H9" s="427" t="s">
        <v>1801</v>
      </c>
      <c r="I9" s="427" t="s">
        <v>389</v>
      </c>
      <c r="J9" s="1533" t="s">
        <v>389</v>
      </c>
      <c r="L9" s="264" t="s">
        <v>53</v>
      </c>
      <c r="M9" s="427" t="s">
        <v>1801</v>
      </c>
      <c r="N9" s="79" t="s">
        <v>53</v>
      </c>
      <c r="O9" s="79" t="s">
        <v>53</v>
      </c>
      <c r="P9" s="229" t="str">
        <f aca="false">Escalation!AO14</f>
        <v>US</v>
      </c>
      <c r="Q9" s="427" t="s">
        <v>1828</v>
      </c>
      <c r="R9" s="1533" t="s">
        <v>389</v>
      </c>
    </row>
    <row r="10" customFormat="false" ht="12.75" hidden="false" customHeight="false" outlineLevel="0" collapsed="false">
      <c r="A10" s="1534" t="s">
        <v>1802</v>
      </c>
      <c r="C10" s="472" t="s">
        <v>223</v>
      </c>
      <c r="D10" s="303" t="n">
        <f aca="false">Escalation!AL14</f>
        <v>0.0025</v>
      </c>
      <c r="E10" s="303" t="s">
        <v>223</v>
      </c>
      <c r="F10" s="303" t="s">
        <v>223</v>
      </c>
      <c r="G10" s="303" t="s">
        <v>223</v>
      </c>
      <c r="H10" s="303" t="s">
        <v>1808</v>
      </c>
      <c r="I10" s="303" t="s">
        <v>1841</v>
      </c>
      <c r="J10" s="475" t="s">
        <v>1841</v>
      </c>
      <c r="L10" s="472" t="s">
        <v>223</v>
      </c>
      <c r="M10" s="303" t="s">
        <v>1808</v>
      </c>
      <c r="N10" s="303" t="s">
        <v>1878</v>
      </c>
      <c r="O10" s="303" t="s">
        <v>1878</v>
      </c>
      <c r="P10" s="303" t="str">
        <f aca="false">Escalation!AP14</f>
        <v>CPI</v>
      </c>
      <c r="Q10" s="303" t="s">
        <v>1878</v>
      </c>
      <c r="R10" s="475" t="s">
        <v>1841</v>
      </c>
    </row>
    <row r="11" customFormat="false" ht="12.75" hidden="false" customHeight="false" outlineLevel="0" collapsed="false">
      <c r="A11" s="614"/>
      <c r="C11" s="744"/>
      <c r="D11" s="388"/>
      <c r="E11" s="388"/>
      <c r="F11" s="388"/>
      <c r="H11" s="388"/>
      <c r="I11" s="388"/>
      <c r="J11" s="1537"/>
      <c r="L11" s="744"/>
      <c r="M11" s="388"/>
      <c r="N11" s="388"/>
      <c r="O11" s="388"/>
      <c r="Q11" s="388"/>
      <c r="R11" s="1537"/>
    </row>
    <row r="12" customFormat="false" ht="12.75" hidden="false" customHeight="false" outlineLevel="0" collapsed="false">
      <c r="A12" s="1538" t="n">
        <f aca="false">'Annex 12-Gas'!A12</f>
        <v>36951</v>
      </c>
      <c r="C12" s="488" t="n">
        <f aca="false">IF($A12&gt;Endyr,0,VLOOKUP($A12,Tariff_Table,Tariff!$L$33))</f>
        <v>1.21</v>
      </c>
      <c r="D12" s="427" t="n">
        <f aca="false">VLOOKUP($A12,Curves_Table,Escalation!$AL$291)</f>
        <v>1.06277620992613</v>
      </c>
      <c r="E12" s="1609" t="n">
        <f aca="false">C12*D12</f>
        <v>1.28595921401062</v>
      </c>
      <c r="F12" s="1314" t="n">
        <f aca="false">IF($A12&gt;Endyr,0,VLOOKUP($A12,Tariff_Table,Tariff!$M$33))</f>
        <v>0.25</v>
      </c>
      <c r="G12" s="1609" t="n">
        <f aca="false">SUM(E12,F12)</f>
        <v>1.53595921401062</v>
      </c>
      <c r="H12" s="397" t="n">
        <f aca="false">VLOOKUP($A12,Plant_Table,'Plant Operations'!$T$270)</f>
        <v>127260</v>
      </c>
      <c r="I12" s="1566" t="n">
        <f aca="false">G12*H12/1000</f>
        <v>195.466169574991</v>
      </c>
      <c r="J12" s="1567" t="str">
        <f aca="false">IF(MONTH($A12)=12,SUM(I1:I12)," ")</f>
        <v> </v>
      </c>
      <c r="L12" s="1610" t="n">
        <f aca="false">IF($A12&lt;Startops2,0,VLOOKUP($A12,Tariff_Table,Tariff!$N$33))</f>
        <v>1.25</v>
      </c>
      <c r="M12" s="397" t="n">
        <f aca="false">H12</f>
        <v>127260</v>
      </c>
      <c r="N12" s="1611" t="n">
        <f aca="false">L12*M12/1000</f>
        <v>159.075</v>
      </c>
      <c r="O12" s="1611" t="n">
        <f aca="false">IF($A12&gt;Endyr,0,VLOOKUP($A12,Tariff_Table,Tariff!$O$33))</f>
        <v>0</v>
      </c>
      <c r="P12" s="427" t="n">
        <f aca="false">VLOOKUP($A12,Curves_Table,Escalation!$AP$291)</f>
        <v>1.06207999503397</v>
      </c>
      <c r="Q12" s="1604" t="n">
        <f aca="false">SUM(N12,O12)*P12</f>
        <v>168.950375210028</v>
      </c>
      <c r="R12" s="1579" t="str">
        <f aca="false">IF(MONTH($A12)=12,SUM(Q1:Q12)," ")</f>
        <v> </v>
      </c>
    </row>
    <row r="13" customFormat="false" ht="12.75" hidden="false" customHeight="false" outlineLevel="0" collapsed="false">
      <c r="A13" s="1538" t="n">
        <f aca="false">'Annex 12-Gas'!A13</f>
        <v>36982</v>
      </c>
      <c r="C13" s="488" t="n">
        <f aca="false">IF($A13&gt;Endyr,0,VLOOKUP($A13,Tariff_Table,Tariff!$L$33))</f>
        <v>1.21</v>
      </c>
      <c r="D13" s="427" t="n">
        <f aca="false">VLOOKUP($A13,Curves_Table,Escalation!$AL$291)</f>
        <v>1.06277620992613</v>
      </c>
      <c r="E13" s="1609" t="n">
        <f aca="false">C13*D13</f>
        <v>1.28595921401062</v>
      </c>
      <c r="F13" s="1314" t="n">
        <f aca="false">IF($A13&gt;Endyr,0,VLOOKUP($A13,Tariff_Table,Tariff!$M$33))</f>
        <v>0.25</v>
      </c>
      <c r="G13" s="1609" t="n">
        <f aca="false">SUM(E13,F13)</f>
        <v>1.53595921401062</v>
      </c>
      <c r="H13" s="397" t="n">
        <f aca="false">VLOOKUP($A13,Plant_Table,'Plant Operations'!$T$270)</f>
        <v>709020</v>
      </c>
      <c r="I13" s="1566" t="n">
        <f aca="false">G13*H13/1000</f>
        <v>1089.02580191781</v>
      </c>
      <c r="J13" s="1567" t="str">
        <f aca="false">IF(MONTH($A13)=12,SUM(I2:I13)," ")</f>
        <v> </v>
      </c>
      <c r="L13" s="1610" t="n">
        <f aca="false">IF($A13&lt;Startops2,0,VLOOKUP($A13,Tariff_Table,Tariff!$N$33))</f>
        <v>1.25</v>
      </c>
      <c r="M13" s="397" t="n">
        <f aca="false">H13</f>
        <v>709020</v>
      </c>
      <c r="N13" s="1611" t="n">
        <f aca="false">L13*M13/1000</f>
        <v>886.275</v>
      </c>
      <c r="O13" s="1611" t="n">
        <f aca="false">IF($A13&gt;Endyr,0,VLOOKUP($A13,Tariff_Table,Tariff!$O$33))</f>
        <v>0</v>
      </c>
      <c r="P13" s="427" t="n">
        <f aca="false">VLOOKUP($A13,Curves_Table,Escalation!$AP$291)</f>
        <v>1.06207999503397</v>
      </c>
      <c r="Q13" s="1604" t="n">
        <f aca="false">SUM(N13,O13)*P13</f>
        <v>941.29494759873</v>
      </c>
      <c r="R13" s="1579" t="str">
        <f aca="false">IF(MONTH($A13)=12,SUM(Q2:Q13)," ")</f>
        <v> </v>
      </c>
    </row>
    <row r="14" customFormat="false" ht="12.75" hidden="false" customHeight="false" outlineLevel="0" collapsed="false">
      <c r="A14" s="1538" t="n">
        <f aca="false">'Annex 12-Gas'!A14</f>
        <v>37012</v>
      </c>
      <c r="C14" s="488" t="n">
        <f aca="false">IF($A14&gt;Endyr,0,VLOOKUP($A14,Tariff_Table,Tariff!$L$33))</f>
        <v>1.21</v>
      </c>
      <c r="D14" s="427" t="n">
        <f aca="false">VLOOKUP($A14,Curves_Table,Escalation!$AL$291)</f>
        <v>1.09524290101378</v>
      </c>
      <c r="E14" s="1609" t="n">
        <f aca="false">C14*D14</f>
        <v>1.32524391022667</v>
      </c>
      <c r="F14" s="1314" t="n">
        <f aca="false">IF($A14&gt;Endyr,0,VLOOKUP($A14,Tariff_Table,Tariff!$M$33))</f>
        <v>0.25</v>
      </c>
      <c r="G14" s="1609" t="n">
        <f aca="false">SUM(E14,F14)</f>
        <v>1.57524391022667</v>
      </c>
      <c r="H14" s="397" t="n">
        <f aca="false">VLOOKUP($A14,Plant_Table,'Plant Operations'!$T$270)</f>
        <v>1483488</v>
      </c>
      <c r="I14" s="1566" t="n">
        <f aca="false">G14*H14/1000</f>
        <v>2336.85543789435</v>
      </c>
      <c r="J14" s="1567" t="str">
        <f aca="false">IF(MONTH($A14)=12,SUM(I3:I14)," ")</f>
        <v> </v>
      </c>
      <c r="L14" s="1610" t="n">
        <f aca="false">IF($A14&lt;Startops2,0,VLOOKUP($A14,Tariff_Table,Tariff!$N$33))</f>
        <v>1.25</v>
      </c>
      <c r="M14" s="397" t="n">
        <f aca="false">H14</f>
        <v>1483488</v>
      </c>
      <c r="N14" s="1611" t="n">
        <f aca="false">L14*M14/1000</f>
        <v>1854.36</v>
      </c>
      <c r="O14" s="1611" t="n">
        <f aca="false">IF($A14&gt;Endyr,0,VLOOKUP($A14,Tariff_Table,Tariff!$O$33))</f>
        <v>0</v>
      </c>
      <c r="P14" s="427" t="n">
        <f aca="false">VLOOKUP($A14,Curves_Table,Escalation!$AP$291)</f>
        <v>1.09718061747934</v>
      </c>
      <c r="Q14" s="1604" t="n">
        <f aca="false">SUM(N14,O14)*P14</f>
        <v>2034.56784982899</v>
      </c>
      <c r="R14" s="1579" t="str">
        <f aca="false">IF(MONTH($A14)=12,SUM(Q3:Q14)," ")</f>
        <v> </v>
      </c>
    </row>
    <row r="15" customFormat="false" ht="12.75" hidden="false" customHeight="false" outlineLevel="0" collapsed="false">
      <c r="A15" s="1538" t="n">
        <f aca="false">'Annex 12-Gas'!A15</f>
        <v>37043</v>
      </c>
      <c r="C15" s="488" t="n">
        <f aca="false">IF($A15&gt;Endyr,0,VLOOKUP($A15,Tariff_Table,Tariff!$L$33))</f>
        <v>1.21</v>
      </c>
      <c r="D15" s="427" t="n">
        <f aca="false">VLOOKUP($A15,Curves_Table,Escalation!$AL$291)</f>
        <v>1.09524290101378</v>
      </c>
      <c r="E15" s="1609" t="n">
        <f aca="false">C15*D15</f>
        <v>1.32524391022667</v>
      </c>
      <c r="F15" s="1314" t="n">
        <f aca="false">IF($A15&gt;Endyr,0,VLOOKUP($A15,Tariff_Table,Tariff!$M$33))</f>
        <v>0.25</v>
      </c>
      <c r="G15" s="1609" t="n">
        <f aca="false">SUM(E15,F15)</f>
        <v>1.57524391022667</v>
      </c>
      <c r="H15" s="397" t="n">
        <f aca="false">VLOOKUP($A15,Plant_Table,'Plant Operations'!$T$270)</f>
        <v>2344492.8</v>
      </c>
      <c r="I15" s="1566" t="n">
        <f aca="false">G15*H15/1000</f>
        <v>3693.14800577028</v>
      </c>
      <c r="J15" s="1567" t="str">
        <f aca="false">IF(MONTH($A15)=12,SUM(I4:I15)," ")</f>
        <v> </v>
      </c>
      <c r="L15" s="1610" t="n">
        <f aca="false">IF($A15&lt;Startops2,0,VLOOKUP($A15,Tariff_Table,Tariff!$N$33))</f>
        <v>1.25</v>
      </c>
      <c r="M15" s="397" t="n">
        <f aca="false">H15</f>
        <v>2344492.8</v>
      </c>
      <c r="N15" s="1611" t="n">
        <f aca="false">L15*M15/1000</f>
        <v>2930.616</v>
      </c>
      <c r="O15" s="1611" t="n">
        <f aca="false">IF($A15&gt;Endyr,0,VLOOKUP($A15,Tariff_Table,Tariff!$O$33))</f>
        <v>0</v>
      </c>
      <c r="P15" s="427" t="n">
        <f aca="false">VLOOKUP($A15,Curves_Table,Escalation!$AP$291)</f>
        <v>1.09718061747934</v>
      </c>
      <c r="Q15" s="1604" t="n">
        <f aca="false">SUM(N15,O15)*P15</f>
        <v>3215.41507247484</v>
      </c>
      <c r="R15" s="1579" t="str">
        <f aca="false">IF(MONTH($A15)=12,SUM(Q4:Q15)," ")</f>
        <v> </v>
      </c>
    </row>
    <row r="16" customFormat="false" ht="12.75" hidden="false" customHeight="false" outlineLevel="0" collapsed="false">
      <c r="A16" s="1538" t="n">
        <f aca="false">'Annex 12-Gas'!A16</f>
        <v>37073</v>
      </c>
      <c r="C16" s="488" t="n">
        <f aca="false">IF($A16&gt;Endyr,0,VLOOKUP($A16,Tariff_Table,Tariff!$L$33))</f>
        <v>1.21</v>
      </c>
      <c r="D16" s="427" t="n">
        <f aca="false">VLOOKUP($A16,Curves_Table,Escalation!$AL$291)</f>
        <v>1.09524290101378</v>
      </c>
      <c r="E16" s="1609" t="n">
        <f aca="false">C16*D16</f>
        <v>1.32524391022667</v>
      </c>
      <c r="F16" s="1314" t="n">
        <f aca="false">IF($A16&gt;Endyr,0,VLOOKUP($A16,Tariff_Table,Tariff!$M$33))</f>
        <v>0.25</v>
      </c>
      <c r="G16" s="1609" t="n">
        <f aca="false">SUM(E16,F16)</f>
        <v>1.57524391022667</v>
      </c>
      <c r="H16" s="397" t="n">
        <f aca="false">VLOOKUP($A16,Plant_Table,'Plant Operations'!$T$270)</f>
        <v>2367541</v>
      </c>
      <c r="I16" s="1566" t="n">
        <f aca="false">G16*H16/1000</f>
        <v>3729.45454246196</v>
      </c>
      <c r="J16" s="1567" t="str">
        <f aca="false">IF(MONTH($A16)=12,SUM(I5:I16)," ")</f>
        <v> </v>
      </c>
      <c r="L16" s="1610" t="n">
        <f aca="false">IF($A16&lt;Startops2,0,VLOOKUP($A16,Tariff_Table,Tariff!$N$33))</f>
        <v>1.25</v>
      </c>
      <c r="M16" s="397" t="n">
        <f aca="false">H16</f>
        <v>2367541</v>
      </c>
      <c r="N16" s="1611" t="n">
        <f aca="false">L16*M16/1000</f>
        <v>2959.42625</v>
      </c>
      <c r="O16" s="1611" t="n">
        <f aca="false">IF($A16&gt;Endyr,0,VLOOKUP($A16,Tariff_Table,Tariff!$O$33))</f>
        <v>0</v>
      </c>
      <c r="P16" s="427" t="n">
        <f aca="false">VLOOKUP($A16,Curves_Table,Escalation!$AP$291)</f>
        <v>1.09718061747934</v>
      </c>
      <c r="Q16" s="1604" t="n">
        <f aca="false">SUM(N16,O16)*P16</f>
        <v>3247.02512035957</v>
      </c>
      <c r="R16" s="1579" t="str">
        <f aca="false">IF(MONTH($A16)=12,SUM(Q5:Q16)," ")</f>
        <v> </v>
      </c>
    </row>
    <row r="17" customFormat="false" ht="12.75" hidden="false" customHeight="false" outlineLevel="0" collapsed="false">
      <c r="A17" s="1538" t="n">
        <f aca="false">'Annex 12-Gas'!A17</f>
        <v>37104</v>
      </c>
      <c r="C17" s="488" t="n">
        <f aca="false">IF($A17&gt;Endyr,0,VLOOKUP($A17,Tariff_Table,Tariff!$L$33))</f>
        <v>1.21</v>
      </c>
      <c r="D17" s="427" t="n">
        <f aca="false">VLOOKUP($A17,Curves_Table,Escalation!$AL$291)</f>
        <v>1.09524290101378</v>
      </c>
      <c r="E17" s="1609" t="n">
        <f aca="false">C17*D17</f>
        <v>1.32524391022667</v>
      </c>
      <c r="F17" s="1314" t="n">
        <f aca="false">IF($A17&gt;Endyr,0,VLOOKUP($A17,Tariff_Table,Tariff!$M$33))</f>
        <v>0.25</v>
      </c>
      <c r="G17" s="1609" t="n">
        <f aca="false">SUM(E17,F17)</f>
        <v>1.57524391022667</v>
      </c>
      <c r="H17" s="397" t="n">
        <f aca="false">VLOOKUP($A17,Plant_Table,'Plant Operations'!$T$270)</f>
        <v>2092866.048</v>
      </c>
      <c r="I17" s="1566" t="n">
        <f aca="false">G17*H17/1000</f>
        <v>3296.77449703216</v>
      </c>
      <c r="J17" s="1567" t="str">
        <f aca="false">IF(MONTH($A17)=12,SUM(I6:I17)," ")</f>
        <v> </v>
      </c>
      <c r="L17" s="1610" t="n">
        <f aca="false">IF($A17&lt;Startops2,0,VLOOKUP($A17,Tariff_Table,Tariff!$N$33))</f>
        <v>0</v>
      </c>
      <c r="M17" s="397" t="n">
        <f aca="false">H17</f>
        <v>2092866.048</v>
      </c>
      <c r="N17" s="1611" t="n">
        <f aca="false">L17*M17/1000</f>
        <v>0</v>
      </c>
      <c r="O17" s="1611" t="n">
        <f aca="false">IF($A17&gt;Endyr,0,VLOOKUP($A17,Tariff_Table,Tariff!$O$33))</f>
        <v>3258.80137</v>
      </c>
      <c r="P17" s="427" t="n">
        <f aca="false">VLOOKUP($A17,Curves_Table,Escalation!$AP$291)</f>
        <v>1.09718061747934</v>
      </c>
      <c r="Q17" s="1604" t="n">
        <f aca="false">SUM(N17,O17)*P17</f>
        <v>3575.49369937912</v>
      </c>
      <c r="R17" s="1579" t="str">
        <f aca="false">IF(MONTH($A17)=12,SUM(Q6:Q17)," ")</f>
        <v> </v>
      </c>
    </row>
    <row r="18" customFormat="false" ht="12.75" hidden="false" customHeight="false" outlineLevel="0" collapsed="false">
      <c r="A18" s="1538" t="n">
        <f aca="false">'Annex 12-Gas'!A18</f>
        <v>37135</v>
      </c>
      <c r="C18" s="488" t="n">
        <f aca="false">IF($A18&gt;Endyr,0,VLOOKUP($A18,Tariff_Table,Tariff!$L$33))</f>
        <v>1.21</v>
      </c>
      <c r="D18" s="427" t="n">
        <f aca="false">VLOOKUP($A18,Curves_Table,Escalation!$AL$291)</f>
        <v>1.09524290101378</v>
      </c>
      <c r="E18" s="1609" t="n">
        <f aca="false">C18*D18</f>
        <v>1.32524391022667</v>
      </c>
      <c r="F18" s="1314" t="n">
        <f aca="false">IF($A18&gt;Endyr,0,VLOOKUP($A18,Tariff_Table,Tariff!$M$33))</f>
        <v>0.25</v>
      </c>
      <c r="G18" s="1609" t="n">
        <f aca="false">SUM(E18,F18)</f>
        <v>1.57524391022667</v>
      </c>
      <c r="H18" s="397" t="n">
        <f aca="false">VLOOKUP($A18,Plant_Table,'Plant Operations'!$T$270)</f>
        <v>2025354.24</v>
      </c>
      <c r="I18" s="1566" t="n">
        <f aca="false">G18*H18/1000</f>
        <v>3190.42693261177</v>
      </c>
      <c r="J18" s="1567" t="str">
        <f aca="false">IF(MONTH($A18)=12,SUM(I7:I18)," ")</f>
        <v> </v>
      </c>
      <c r="L18" s="1610" t="n">
        <f aca="false">IF($A18&lt;Startops2,0,VLOOKUP($A18,Tariff_Table,Tariff!$N$33))</f>
        <v>0</v>
      </c>
      <c r="M18" s="397" t="n">
        <f aca="false">H18</f>
        <v>2025354.24</v>
      </c>
      <c r="N18" s="1611" t="n">
        <f aca="false">L18*M18/1000</f>
        <v>0</v>
      </c>
      <c r="O18" s="1611" t="n">
        <f aca="false">IF($A18&gt;Endyr,0,VLOOKUP($A18,Tariff_Table,Tariff!$O$33))</f>
        <v>3258.80137</v>
      </c>
      <c r="P18" s="427" t="n">
        <f aca="false">VLOOKUP($A18,Curves_Table,Escalation!$AP$291)</f>
        <v>1.09718061747934</v>
      </c>
      <c r="Q18" s="1604" t="n">
        <f aca="false">SUM(N18,O18)*P18</f>
        <v>3575.49369937912</v>
      </c>
      <c r="R18" s="1579" t="str">
        <f aca="false">IF(MONTH($A18)=12,SUM(Q7:Q18)," ")</f>
        <v> </v>
      </c>
    </row>
    <row r="19" customFormat="false" ht="12.75" hidden="false" customHeight="false" outlineLevel="0" collapsed="false">
      <c r="A19" s="1538" t="n">
        <f aca="false">'Annex 12-Gas'!A19</f>
        <v>37165</v>
      </c>
      <c r="C19" s="488" t="n">
        <f aca="false">IF($A19&gt;Endyr,0,VLOOKUP($A19,Tariff_Table,Tariff!$L$33))</f>
        <v>1.21</v>
      </c>
      <c r="D19" s="427" t="n">
        <f aca="false">VLOOKUP($A19,Curves_Table,Escalation!$AL$291)</f>
        <v>1.09524290101378</v>
      </c>
      <c r="E19" s="1609" t="n">
        <f aca="false">C19*D19</f>
        <v>1.32524391022667</v>
      </c>
      <c r="F19" s="1314" t="n">
        <f aca="false">IF($A19&gt;Endyr,0,VLOOKUP($A19,Tariff_Table,Tariff!$M$33))</f>
        <v>0.25</v>
      </c>
      <c r="G19" s="1609" t="n">
        <f aca="false">SUM(E19,F19)</f>
        <v>1.57524391022667</v>
      </c>
      <c r="H19" s="397" t="n">
        <f aca="false">VLOOKUP($A19,Plant_Table,'Plant Operations'!$T$270)</f>
        <v>2092866.048</v>
      </c>
      <c r="I19" s="1566" t="n">
        <f aca="false">G19*H19/1000</f>
        <v>3296.77449703216</v>
      </c>
      <c r="J19" s="1567" t="str">
        <f aca="false">IF(MONTH($A19)=12,SUM(I8:I19)," ")</f>
        <v> </v>
      </c>
      <c r="L19" s="1610" t="n">
        <f aca="false">IF($A19&lt;Startops2,0,VLOOKUP($A19,Tariff_Table,Tariff!$N$33))</f>
        <v>0</v>
      </c>
      <c r="M19" s="397" t="n">
        <f aca="false">H19</f>
        <v>2092866.048</v>
      </c>
      <c r="N19" s="1611" t="n">
        <f aca="false">L19*M19/1000</f>
        <v>0</v>
      </c>
      <c r="O19" s="1611" t="n">
        <f aca="false">IF($A19&gt;Endyr,0,VLOOKUP($A19,Tariff_Table,Tariff!$O$33))</f>
        <v>3258.80137</v>
      </c>
      <c r="P19" s="427" t="n">
        <f aca="false">VLOOKUP($A19,Curves_Table,Escalation!$AP$291)</f>
        <v>1.09718061747934</v>
      </c>
      <c r="Q19" s="1604" t="n">
        <f aca="false">SUM(N19,O19)*P19</f>
        <v>3575.49369937912</v>
      </c>
      <c r="R19" s="1579" t="str">
        <f aca="false">IF(MONTH($A19)=12,SUM(Q8:Q19)," ")</f>
        <v> </v>
      </c>
    </row>
    <row r="20" customFormat="false" ht="12.75" hidden="false" customHeight="false" outlineLevel="0" collapsed="false">
      <c r="A20" s="1538" t="n">
        <f aca="false">'Annex 12-Gas'!A20</f>
        <v>37196</v>
      </c>
      <c r="C20" s="488" t="n">
        <f aca="false">IF($A20&gt;Endyr,0,VLOOKUP($A20,Tariff_Table,Tariff!$L$33))</f>
        <v>1.21</v>
      </c>
      <c r="D20" s="427" t="n">
        <f aca="false">VLOOKUP($A20,Curves_Table,Escalation!$AL$291)</f>
        <v>1.09524290101378</v>
      </c>
      <c r="E20" s="1609" t="n">
        <f aca="false">C20*D20</f>
        <v>1.32524391022667</v>
      </c>
      <c r="F20" s="1314" t="n">
        <f aca="false">IF($A20&gt;Endyr,0,VLOOKUP($A20,Tariff_Table,Tariff!$M$33))</f>
        <v>0.25</v>
      </c>
      <c r="G20" s="1609" t="n">
        <f aca="false">SUM(E20,F20)</f>
        <v>1.57524391022667</v>
      </c>
      <c r="H20" s="397" t="n">
        <f aca="false">VLOOKUP($A20,Plant_Table,'Plant Operations'!$T$270)</f>
        <v>2025354.24</v>
      </c>
      <c r="I20" s="1566" t="n">
        <f aca="false">G20*H20/1000</f>
        <v>3190.42693261177</v>
      </c>
      <c r="J20" s="1567" t="str">
        <f aca="false">IF(MONTH($A20)=12,SUM(I9:I20)," ")</f>
        <v> </v>
      </c>
      <c r="L20" s="1610" t="n">
        <f aca="false">IF($A20&lt;Startops2,0,VLOOKUP($A20,Tariff_Table,Tariff!$N$33))</f>
        <v>0</v>
      </c>
      <c r="M20" s="397" t="n">
        <f aca="false">H20</f>
        <v>2025354.24</v>
      </c>
      <c r="N20" s="1611" t="n">
        <f aca="false">L20*M20/1000</f>
        <v>0</v>
      </c>
      <c r="O20" s="1611" t="n">
        <f aca="false">IF($A20&gt;Endyr,0,VLOOKUP($A20,Tariff_Table,Tariff!$O$33))</f>
        <v>3258.80137</v>
      </c>
      <c r="P20" s="427" t="n">
        <f aca="false">VLOOKUP($A20,Curves_Table,Escalation!$AP$291)</f>
        <v>1.09718061747934</v>
      </c>
      <c r="Q20" s="1604" t="n">
        <f aca="false">SUM(N20,O20)*P20</f>
        <v>3575.49369937912</v>
      </c>
      <c r="R20" s="1579" t="str">
        <f aca="false">IF(MONTH($A20)=12,SUM(Q9:Q20)," ")</f>
        <v> </v>
      </c>
    </row>
    <row r="21" customFormat="false" ht="12.75" hidden="false" customHeight="false" outlineLevel="0" collapsed="false">
      <c r="A21" s="1538" t="n">
        <f aca="false">'Annex 12-Gas'!A21</f>
        <v>37226</v>
      </c>
      <c r="C21" s="488" t="n">
        <f aca="false">IF($A21&gt;Endyr,0,VLOOKUP($A21,Tariff_Table,Tariff!$L$33))</f>
        <v>1.21</v>
      </c>
      <c r="D21" s="427" t="n">
        <f aca="false">VLOOKUP($A21,Curves_Table,Escalation!$AL$291)</f>
        <v>1.09524290101378</v>
      </c>
      <c r="E21" s="1609" t="n">
        <f aca="false">C21*D21</f>
        <v>1.32524391022667</v>
      </c>
      <c r="F21" s="1314" t="n">
        <f aca="false">IF($A21&gt;Endyr,0,VLOOKUP($A21,Tariff_Table,Tariff!$M$33))</f>
        <v>0.25</v>
      </c>
      <c r="G21" s="1609" t="n">
        <f aca="false">SUM(E21,F21)</f>
        <v>1.57524391022667</v>
      </c>
      <c r="H21" s="397" t="n">
        <f aca="false">VLOOKUP($A21,Plant_Table,'Plant Operations'!$T$270)</f>
        <v>2092866.048</v>
      </c>
      <c r="I21" s="1566" t="n">
        <f aca="false">G21*H21/1000</f>
        <v>3296.77449703216</v>
      </c>
      <c r="J21" s="1567" t="n">
        <f aca="false">IF(MONTH($A21)=12,SUM(I10:I21)," ")</f>
        <v>27315.1273139394</v>
      </c>
      <c r="L21" s="1610" t="n">
        <f aca="false">IF($A21&lt;Startops2,0,VLOOKUP($A21,Tariff_Table,Tariff!$N$33))</f>
        <v>0</v>
      </c>
      <c r="M21" s="397" t="n">
        <f aca="false">H21</f>
        <v>2092866.048</v>
      </c>
      <c r="N21" s="1611" t="n">
        <f aca="false">L21*M21/1000</f>
        <v>0</v>
      </c>
      <c r="O21" s="1611" t="n">
        <f aca="false">IF($A21&gt;Endyr,0,VLOOKUP($A21,Tariff_Table,Tariff!$O$33))</f>
        <v>3258.80137</v>
      </c>
      <c r="P21" s="427" t="n">
        <f aca="false">VLOOKUP($A21,Curves_Table,Escalation!$AP$291)</f>
        <v>1.09718061747934</v>
      </c>
      <c r="Q21" s="1604" t="n">
        <f aca="false">SUM(N21,O21)*P21</f>
        <v>3575.49369937912</v>
      </c>
      <c r="R21" s="1579" t="n">
        <f aca="false">IF(MONTH($A21)=12,SUM(Q10:Q21)," ")</f>
        <v>27484.7218623678</v>
      </c>
    </row>
    <row r="22" customFormat="false" ht="12.75" hidden="false" customHeight="false" outlineLevel="0" collapsed="false">
      <c r="A22" s="1538" t="n">
        <f aca="false">'Annex 12-Gas'!A22</f>
        <v>37257</v>
      </c>
      <c r="C22" s="488" t="n">
        <f aca="false">IF($A22&gt;Endyr,0,VLOOKUP($A22,Tariff_Table,Tariff!$L$33))</f>
        <v>1.21</v>
      </c>
      <c r="D22" s="427" t="n">
        <f aca="false">VLOOKUP($A22,Curves_Table,Escalation!$AL$291)</f>
        <v>1.09524290101378</v>
      </c>
      <c r="E22" s="1609" t="n">
        <f aca="false">C22*D22</f>
        <v>1.32524391022667</v>
      </c>
      <c r="F22" s="1314" t="n">
        <f aca="false">IF($A22&gt;Endyr,0,VLOOKUP($A22,Tariff_Table,Tariff!$M$33))</f>
        <v>0.25</v>
      </c>
      <c r="G22" s="1609" t="n">
        <f aca="false">SUM(E22,F22)</f>
        <v>1.57524391022667</v>
      </c>
      <c r="H22" s="397" t="n">
        <f aca="false">VLOOKUP($A22,Plant_Table,'Plant Operations'!$T$270)</f>
        <v>2092866.048</v>
      </c>
      <c r="I22" s="1566" t="n">
        <f aca="false">G22*H22/1000</f>
        <v>3296.77449703216</v>
      </c>
      <c r="J22" s="1567" t="str">
        <f aca="false">IF(MONTH($A22)=12,SUM(I11:I22)," ")</f>
        <v> </v>
      </c>
      <c r="L22" s="1610" t="n">
        <f aca="false">IF($A22&lt;Startops2,0,VLOOKUP($A22,Tariff_Table,Tariff!$N$33))</f>
        <v>0</v>
      </c>
      <c r="M22" s="397" t="n">
        <f aca="false">H22</f>
        <v>2092866.048</v>
      </c>
      <c r="N22" s="1611" t="n">
        <f aca="false">L22*M22/1000</f>
        <v>0</v>
      </c>
      <c r="O22" s="1611" t="n">
        <f aca="false">IF($A22&gt;Endyr,0,VLOOKUP($A22,Tariff_Table,Tariff!$O$33))</f>
        <v>3258.80137</v>
      </c>
      <c r="P22" s="427" t="n">
        <f aca="false">VLOOKUP($A22,Curves_Table,Escalation!$AP$291)</f>
        <v>1.09718061747934</v>
      </c>
      <c r="Q22" s="1604" t="n">
        <f aca="false">SUM(N22,O22)*P22</f>
        <v>3575.49369937912</v>
      </c>
      <c r="R22" s="1579" t="str">
        <f aca="false">IF(MONTH($A22)=12,SUM(Q11:Q22)," ")</f>
        <v> </v>
      </c>
    </row>
    <row r="23" customFormat="false" ht="12.75" hidden="false" customHeight="false" outlineLevel="0" collapsed="false">
      <c r="A23" s="1538" t="n">
        <f aca="false">'Annex 12-Gas'!A23</f>
        <v>37288</v>
      </c>
      <c r="C23" s="488" t="n">
        <f aca="false">IF($A23&gt;Endyr,0,VLOOKUP($A23,Tariff_Table,Tariff!$L$33))</f>
        <v>1.21</v>
      </c>
      <c r="D23" s="427" t="n">
        <f aca="false">VLOOKUP($A23,Curves_Table,Escalation!$AL$291)</f>
        <v>1.09524290101378</v>
      </c>
      <c r="E23" s="1609" t="n">
        <f aca="false">C23*D23</f>
        <v>1.32524391022667</v>
      </c>
      <c r="F23" s="1314" t="n">
        <f aca="false">IF($A23&gt;Endyr,0,VLOOKUP($A23,Tariff_Table,Tariff!$M$33))</f>
        <v>0.25</v>
      </c>
      <c r="G23" s="1609" t="n">
        <f aca="false">SUM(E23,F23)</f>
        <v>1.57524391022667</v>
      </c>
      <c r="H23" s="397" t="n">
        <f aca="false">VLOOKUP($A23,Plant_Table,'Plant Operations'!$T$270)</f>
        <v>1890330.624</v>
      </c>
      <c r="I23" s="1566" t="n">
        <f aca="false">G23*H23/1000</f>
        <v>2977.73180377099</v>
      </c>
      <c r="J23" s="1567" t="str">
        <f aca="false">IF(MONTH($A23)=12,SUM(I12:I23)," ")</f>
        <v> </v>
      </c>
      <c r="L23" s="1610" t="n">
        <f aca="false">IF($A23&lt;Startops2,0,VLOOKUP($A23,Tariff_Table,Tariff!$N$33))</f>
        <v>0</v>
      </c>
      <c r="M23" s="397" t="n">
        <f aca="false">H23</f>
        <v>1890330.624</v>
      </c>
      <c r="N23" s="1611" t="n">
        <f aca="false">L23*M23/1000</f>
        <v>0</v>
      </c>
      <c r="O23" s="1611" t="n">
        <f aca="false">IF($A23&gt;Endyr,0,VLOOKUP($A23,Tariff_Table,Tariff!$O$33))</f>
        <v>3258.80137</v>
      </c>
      <c r="P23" s="427" t="n">
        <f aca="false">VLOOKUP($A23,Curves_Table,Escalation!$AP$291)</f>
        <v>1.09718061747934</v>
      </c>
      <c r="Q23" s="1604" t="n">
        <f aca="false">SUM(N23,O23)*P23</f>
        <v>3575.49369937912</v>
      </c>
      <c r="R23" s="1579" t="str">
        <f aca="false">IF(MONTH($A23)=12,SUM(Q12:Q23)," ")</f>
        <v> </v>
      </c>
    </row>
    <row r="24" customFormat="false" ht="12.75" hidden="false" customHeight="false" outlineLevel="0" collapsed="false">
      <c r="A24" s="1538" t="n">
        <f aca="false">'Annex 12-Gas'!A24</f>
        <v>37316</v>
      </c>
      <c r="C24" s="488" t="n">
        <f aca="false">IF($A24&gt;Endyr,0,VLOOKUP($A24,Tariff_Table,Tariff!$L$33))</f>
        <v>1.21</v>
      </c>
      <c r="D24" s="427" t="n">
        <f aca="false">VLOOKUP($A24,Curves_Table,Escalation!$AL$291)</f>
        <v>1.09524290101378</v>
      </c>
      <c r="E24" s="1609" t="n">
        <f aca="false">C24*D24</f>
        <v>1.32524391022667</v>
      </c>
      <c r="F24" s="1314" t="n">
        <f aca="false">IF($A24&gt;Endyr,0,VLOOKUP($A24,Tariff_Table,Tariff!$M$33))</f>
        <v>0.25</v>
      </c>
      <c r="G24" s="1609" t="n">
        <f aca="false">SUM(E24,F24)</f>
        <v>1.57524391022667</v>
      </c>
      <c r="H24" s="397" t="n">
        <f aca="false">VLOOKUP($A24,Plant_Table,'Plant Operations'!$T$270)</f>
        <v>2092866.048</v>
      </c>
      <c r="I24" s="1566" t="n">
        <f aca="false">G24*H24/1000</f>
        <v>3296.77449703216</v>
      </c>
      <c r="J24" s="1567" t="str">
        <f aca="false">IF(MONTH($A24)=12,SUM(I13:I24)," ")</f>
        <v> </v>
      </c>
      <c r="L24" s="1610" t="n">
        <f aca="false">IF($A24&lt;Startops2,0,VLOOKUP($A24,Tariff_Table,Tariff!$N$33))</f>
        <v>0</v>
      </c>
      <c r="M24" s="397" t="n">
        <f aca="false">H24</f>
        <v>2092866.048</v>
      </c>
      <c r="N24" s="1611" t="n">
        <f aca="false">L24*M24/1000</f>
        <v>0</v>
      </c>
      <c r="O24" s="1611" t="n">
        <f aca="false">IF($A24&gt;Endyr,0,VLOOKUP($A24,Tariff_Table,Tariff!$O$33))</f>
        <v>3258.80137</v>
      </c>
      <c r="P24" s="427" t="n">
        <f aca="false">VLOOKUP($A24,Curves_Table,Escalation!$AP$291)</f>
        <v>1.09718061747934</v>
      </c>
      <c r="Q24" s="1604" t="n">
        <f aca="false">SUM(N24,O24)*P24</f>
        <v>3575.49369937912</v>
      </c>
      <c r="R24" s="1579" t="str">
        <f aca="false">IF(MONTH($A24)=12,SUM(Q13:Q24)," ")</f>
        <v> </v>
      </c>
    </row>
    <row r="25" customFormat="false" ht="12.75" hidden="false" customHeight="false" outlineLevel="0" collapsed="false">
      <c r="A25" s="1538" t="n">
        <f aca="false">'Annex 12-Gas'!A25</f>
        <v>37347</v>
      </c>
      <c r="C25" s="488" t="n">
        <f aca="false">IF($A25&gt;Endyr,0,VLOOKUP($A25,Tariff_Table,Tariff!$L$33))</f>
        <v>1.21</v>
      </c>
      <c r="D25" s="427" t="n">
        <f aca="false">VLOOKUP($A25,Curves_Table,Escalation!$AL$291)</f>
        <v>1.09524290101378</v>
      </c>
      <c r="E25" s="1609" t="n">
        <f aca="false">C25*D25</f>
        <v>1.32524391022667</v>
      </c>
      <c r="F25" s="1314" t="n">
        <f aca="false">IF($A25&gt;Endyr,0,VLOOKUP($A25,Tariff_Table,Tariff!$M$33))</f>
        <v>0.25</v>
      </c>
      <c r="G25" s="1609" t="n">
        <f aca="false">SUM(E25,F25)</f>
        <v>1.57524391022667</v>
      </c>
      <c r="H25" s="397" t="n">
        <f aca="false">VLOOKUP($A25,Plant_Table,'Plant Operations'!$T$270)</f>
        <v>2025354.24</v>
      </c>
      <c r="I25" s="1566" t="n">
        <f aca="false">G25*H25/1000</f>
        <v>3190.42693261177</v>
      </c>
      <c r="J25" s="1567" t="str">
        <f aca="false">IF(MONTH($A25)=12,SUM(I14:I25)," ")</f>
        <v> </v>
      </c>
      <c r="L25" s="1610" t="n">
        <f aca="false">IF($A25&lt;Startops2,0,VLOOKUP($A25,Tariff_Table,Tariff!$N$33))</f>
        <v>0</v>
      </c>
      <c r="M25" s="397" t="n">
        <f aca="false">H25</f>
        <v>2025354.24</v>
      </c>
      <c r="N25" s="1611" t="n">
        <f aca="false">L25*M25/1000</f>
        <v>0</v>
      </c>
      <c r="O25" s="1611" t="n">
        <f aca="false">IF($A25&gt;Endyr,0,VLOOKUP($A25,Tariff_Table,Tariff!$O$33))</f>
        <v>3258.80137</v>
      </c>
      <c r="P25" s="427" t="n">
        <f aca="false">VLOOKUP($A25,Curves_Table,Escalation!$AP$291)</f>
        <v>1.09718061747934</v>
      </c>
      <c r="Q25" s="1604" t="n">
        <f aca="false">SUM(N25,O25)*P25</f>
        <v>3575.49369937912</v>
      </c>
      <c r="R25" s="1579" t="str">
        <f aca="false">IF(MONTH($A25)=12,SUM(Q14:Q25)," ")</f>
        <v> </v>
      </c>
    </row>
    <row r="26" customFormat="false" ht="12.75" hidden="false" customHeight="false" outlineLevel="0" collapsed="false">
      <c r="A26" s="1538" t="n">
        <f aca="false">'Annex 12-Gas'!A26</f>
        <v>37377</v>
      </c>
      <c r="C26" s="488" t="n">
        <f aca="false">IF($A26&gt;Endyr,0,VLOOKUP($A26,Tariff_Table,Tariff!$L$33))</f>
        <v>1.21</v>
      </c>
      <c r="D26" s="427" t="n">
        <f aca="false">VLOOKUP($A26,Curves_Table,Escalation!$AL$291)</f>
        <v>1.12745301232594</v>
      </c>
      <c r="E26" s="1609" t="n">
        <f aca="false">C26*D26</f>
        <v>1.36421814491438</v>
      </c>
      <c r="F26" s="1314" t="n">
        <f aca="false">IF($A26&gt;Endyr,0,VLOOKUP($A26,Tariff_Table,Tariff!$M$33))</f>
        <v>0.25</v>
      </c>
      <c r="G26" s="1609" t="n">
        <f aca="false">SUM(E26,F26)</f>
        <v>1.61421814491438</v>
      </c>
      <c r="H26" s="397" t="n">
        <f aca="false">VLOOKUP($A26,Plant_Table,'Plant Operations'!$T$270)</f>
        <v>2092866.048</v>
      </c>
      <c r="I26" s="1566" t="n">
        <f aca="false">G26*H26/1000</f>
        <v>3378.34234955686</v>
      </c>
      <c r="J26" s="1567" t="str">
        <f aca="false">IF(MONTH($A26)=12,SUM(I15:I26)," ")</f>
        <v> </v>
      </c>
      <c r="L26" s="1610" t="n">
        <f aca="false">IF($A26&lt;Startops2,0,VLOOKUP($A26,Tariff_Table,Tariff!$N$33))</f>
        <v>0</v>
      </c>
      <c r="M26" s="397" t="n">
        <f aca="false">H26</f>
        <v>2092866.048</v>
      </c>
      <c r="N26" s="1611" t="n">
        <f aca="false">L26*M26/1000</f>
        <v>0</v>
      </c>
      <c r="O26" s="1611" t="n">
        <f aca="false">IF($A26&gt;Endyr,0,VLOOKUP($A26,Tariff_Table,Tariff!$O$33))</f>
        <v>3255.63789</v>
      </c>
      <c r="P26" s="427" t="n">
        <f aca="false">VLOOKUP($A26,Curves_Table,Escalation!$AP$291)</f>
        <v>1.13219066683837</v>
      </c>
      <c r="Q26" s="1604" t="n">
        <f aca="false">SUM(N26,O26)*P26</f>
        <v>3686.00283366335</v>
      </c>
      <c r="R26" s="1579" t="str">
        <f aca="false">IF(MONTH($A26)=12,SUM(Q15:Q26)," ")</f>
        <v> </v>
      </c>
    </row>
    <row r="27" customFormat="false" ht="12.75" hidden="false" customHeight="false" outlineLevel="0" collapsed="false">
      <c r="A27" s="1538" t="n">
        <f aca="false">'Annex 12-Gas'!A27</f>
        <v>37408</v>
      </c>
      <c r="C27" s="488" t="n">
        <f aca="false">IF($A27&gt;Endyr,0,VLOOKUP($A27,Tariff_Table,Tariff!$L$33))</f>
        <v>1.21</v>
      </c>
      <c r="D27" s="427" t="n">
        <f aca="false">VLOOKUP($A27,Curves_Table,Escalation!$AL$291)</f>
        <v>1.12745301232594</v>
      </c>
      <c r="E27" s="1609" t="n">
        <f aca="false">C27*D27</f>
        <v>1.36421814491438</v>
      </c>
      <c r="F27" s="1314" t="n">
        <f aca="false">IF($A27&gt;Endyr,0,VLOOKUP($A27,Tariff_Table,Tariff!$M$33))</f>
        <v>0.25</v>
      </c>
      <c r="G27" s="1609" t="n">
        <f aca="false">SUM(E27,F27)</f>
        <v>1.61421814491438</v>
      </c>
      <c r="H27" s="397" t="n">
        <f aca="false">VLOOKUP($A27,Plant_Table,'Plant Operations'!$T$270)</f>
        <v>2025354.24</v>
      </c>
      <c r="I27" s="1566" t="n">
        <f aca="false">G27*H27/1000</f>
        <v>3269.36356408728</v>
      </c>
      <c r="J27" s="1567" t="str">
        <f aca="false">IF(MONTH($A27)=12,SUM(I16:I27)," ")</f>
        <v> </v>
      </c>
      <c r="L27" s="1610" t="n">
        <f aca="false">IF($A27&lt;Startops2,0,VLOOKUP($A27,Tariff_Table,Tariff!$N$33))</f>
        <v>0</v>
      </c>
      <c r="M27" s="397" t="n">
        <f aca="false">H27</f>
        <v>2025354.24</v>
      </c>
      <c r="N27" s="1611" t="n">
        <f aca="false">L27*M27/1000</f>
        <v>0</v>
      </c>
      <c r="O27" s="1611" t="n">
        <f aca="false">IF($A27&gt;Endyr,0,VLOOKUP($A27,Tariff_Table,Tariff!$O$33))</f>
        <v>3255.63789</v>
      </c>
      <c r="P27" s="427" t="n">
        <f aca="false">VLOOKUP($A27,Curves_Table,Escalation!$AP$291)</f>
        <v>1.13219066683837</v>
      </c>
      <c r="Q27" s="1604" t="n">
        <f aca="false">SUM(N27,O27)*P27</f>
        <v>3686.00283366335</v>
      </c>
      <c r="R27" s="1579" t="str">
        <f aca="false">IF(MONTH($A27)=12,SUM(Q16:Q27)," ")</f>
        <v> </v>
      </c>
    </row>
    <row r="28" customFormat="false" ht="12.75" hidden="false" customHeight="false" outlineLevel="0" collapsed="false">
      <c r="A28" s="1538" t="n">
        <f aca="false">'Annex 12-Gas'!A28</f>
        <v>37438</v>
      </c>
      <c r="C28" s="488" t="n">
        <f aca="false">IF($A28&gt;Endyr,0,VLOOKUP($A28,Tariff_Table,Tariff!$L$33))</f>
        <v>1.21</v>
      </c>
      <c r="D28" s="427" t="n">
        <f aca="false">VLOOKUP($A28,Curves_Table,Escalation!$AL$291)</f>
        <v>1.12745301232594</v>
      </c>
      <c r="E28" s="1609" t="n">
        <f aca="false">C28*D28</f>
        <v>1.36421814491438</v>
      </c>
      <c r="F28" s="1314" t="n">
        <f aca="false">IF($A28&gt;Endyr,0,VLOOKUP($A28,Tariff_Table,Tariff!$M$33))</f>
        <v>0.25</v>
      </c>
      <c r="G28" s="1609" t="n">
        <f aca="false">SUM(E28,F28)</f>
        <v>1.61421814491438</v>
      </c>
      <c r="H28" s="397" t="n">
        <f aca="false">VLOOKUP($A28,Plant_Table,'Plant Operations'!$T$270)</f>
        <v>2092866.048</v>
      </c>
      <c r="I28" s="1566" t="n">
        <f aca="false">G28*H28/1000</f>
        <v>3378.34234955686</v>
      </c>
      <c r="J28" s="1567" t="str">
        <f aca="false">IF(MONTH($A28)=12,SUM(I17:I28)," ")</f>
        <v> </v>
      </c>
      <c r="L28" s="1610" t="n">
        <f aca="false">IF($A28&lt;Startops2,0,VLOOKUP($A28,Tariff_Table,Tariff!$N$33))</f>
        <v>0</v>
      </c>
      <c r="M28" s="397" t="n">
        <f aca="false">H28</f>
        <v>2092866.048</v>
      </c>
      <c r="N28" s="1611" t="n">
        <f aca="false">L28*M28/1000</f>
        <v>0</v>
      </c>
      <c r="O28" s="1611" t="n">
        <f aca="false">IF($A28&gt;Endyr,0,VLOOKUP($A28,Tariff_Table,Tariff!$O$33))</f>
        <v>3255.63789</v>
      </c>
      <c r="P28" s="427" t="n">
        <f aca="false">VLOOKUP($A28,Curves_Table,Escalation!$AP$291)</f>
        <v>1.13219066683837</v>
      </c>
      <c r="Q28" s="1604" t="n">
        <f aca="false">SUM(N28,O28)*P28</f>
        <v>3686.00283366335</v>
      </c>
      <c r="R28" s="1579" t="str">
        <f aca="false">IF(MONTH($A28)=12,SUM(Q17:Q28)," ")</f>
        <v> </v>
      </c>
    </row>
    <row r="29" customFormat="false" ht="12.75" hidden="false" customHeight="false" outlineLevel="0" collapsed="false">
      <c r="A29" s="1538" t="n">
        <f aca="false">'Annex 12-Gas'!A29</f>
        <v>37469</v>
      </c>
      <c r="C29" s="488" t="n">
        <f aca="false">IF($A29&gt;Endyr,0,VLOOKUP($A29,Tariff_Table,Tariff!$L$33))</f>
        <v>1.21</v>
      </c>
      <c r="D29" s="427" t="n">
        <f aca="false">VLOOKUP($A29,Curves_Table,Escalation!$AL$291)</f>
        <v>1.12745301232594</v>
      </c>
      <c r="E29" s="1609" t="n">
        <f aca="false">C29*D29</f>
        <v>1.36421814491438</v>
      </c>
      <c r="F29" s="1314" t="n">
        <f aca="false">IF($A29&gt;Endyr,0,VLOOKUP($A29,Tariff_Table,Tariff!$M$33))</f>
        <v>0.25</v>
      </c>
      <c r="G29" s="1609" t="n">
        <f aca="false">SUM(E29,F29)</f>
        <v>1.61421814491438</v>
      </c>
      <c r="H29" s="397" t="n">
        <f aca="false">VLOOKUP($A29,Plant_Table,'Plant Operations'!$T$270)</f>
        <v>2092866.048</v>
      </c>
      <c r="I29" s="1566" t="n">
        <f aca="false">G29*H29/1000</f>
        <v>3378.34234955686</v>
      </c>
      <c r="J29" s="1567" t="str">
        <f aca="false">IF(MONTH($A29)=12,SUM(I18:I29)," ")</f>
        <v> </v>
      </c>
      <c r="L29" s="1610" t="n">
        <f aca="false">IF($A29&lt;Startops2,0,VLOOKUP($A29,Tariff_Table,Tariff!$N$33))</f>
        <v>0</v>
      </c>
      <c r="M29" s="397" t="n">
        <f aca="false">H29</f>
        <v>2092866.048</v>
      </c>
      <c r="N29" s="1611" t="n">
        <f aca="false">L29*M29/1000</f>
        <v>0</v>
      </c>
      <c r="O29" s="1611" t="n">
        <f aca="false">IF($A29&gt;Endyr,0,VLOOKUP($A29,Tariff_Table,Tariff!$O$33))</f>
        <v>3255.63789</v>
      </c>
      <c r="P29" s="427" t="n">
        <f aca="false">VLOOKUP($A29,Curves_Table,Escalation!$AP$291)</f>
        <v>1.13219066683837</v>
      </c>
      <c r="Q29" s="1604" t="n">
        <f aca="false">SUM(N29,O29)*P29</f>
        <v>3686.00283366335</v>
      </c>
      <c r="R29" s="1579" t="str">
        <f aca="false">IF(MONTH($A29)=12,SUM(Q18:Q29)," ")</f>
        <v> </v>
      </c>
    </row>
    <row r="30" customFormat="false" ht="12.75" hidden="false" customHeight="false" outlineLevel="0" collapsed="false">
      <c r="A30" s="1538" t="n">
        <f aca="false">'Annex 12-Gas'!A30</f>
        <v>37500</v>
      </c>
      <c r="C30" s="488" t="n">
        <f aca="false">IF($A30&gt;Endyr,0,VLOOKUP($A30,Tariff_Table,Tariff!$L$33))</f>
        <v>1.21</v>
      </c>
      <c r="D30" s="427" t="n">
        <f aca="false">VLOOKUP($A30,Curves_Table,Escalation!$AL$291)</f>
        <v>1.12745301232594</v>
      </c>
      <c r="E30" s="1609" t="n">
        <f aca="false">C30*D30</f>
        <v>1.36421814491438</v>
      </c>
      <c r="F30" s="1314" t="n">
        <f aca="false">IF($A30&gt;Endyr,0,VLOOKUP($A30,Tariff_Table,Tariff!$M$33))</f>
        <v>0.25</v>
      </c>
      <c r="G30" s="1609" t="n">
        <f aca="false">SUM(E30,F30)</f>
        <v>1.61421814491438</v>
      </c>
      <c r="H30" s="397" t="n">
        <f aca="false">VLOOKUP($A30,Plant_Table,'Plant Operations'!$T$270)</f>
        <v>2025354.24</v>
      </c>
      <c r="I30" s="1566" t="n">
        <f aca="false">G30*H30/1000</f>
        <v>3269.36356408728</v>
      </c>
      <c r="J30" s="1567" t="str">
        <f aca="false">IF(MONTH($A30)=12,SUM(I19:I30)," ")</f>
        <v> </v>
      </c>
      <c r="L30" s="1610" t="n">
        <f aca="false">IF($A30&lt;Startops2,0,VLOOKUP($A30,Tariff_Table,Tariff!$N$33))</f>
        <v>0</v>
      </c>
      <c r="M30" s="397" t="n">
        <f aca="false">H30</f>
        <v>2025354.24</v>
      </c>
      <c r="N30" s="1611" t="n">
        <f aca="false">L30*M30/1000</f>
        <v>0</v>
      </c>
      <c r="O30" s="1611" t="n">
        <f aca="false">IF($A30&gt;Endyr,0,VLOOKUP($A30,Tariff_Table,Tariff!$O$33))</f>
        <v>3255.63789</v>
      </c>
      <c r="P30" s="427" t="n">
        <f aca="false">VLOOKUP($A30,Curves_Table,Escalation!$AP$291)</f>
        <v>1.13219066683837</v>
      </c>
      <c r="Q30" s="1604" t="n">
        <f aca="false">SUM(N30,O30)*P30</f>
        <v>3686.00283366335</v>
      </c>
      <c r="R30" s="1579" t="str">
        <f aca="false">IF(MONTH($A30)=12,SUM(Q19:Q30)," ")</f>
        <v> </v>
      </c>
    </row>
    <row r="31" customFormat="false" ht="12.75" hidden="false" customHeight="false" outlineLevel="0" collapsed="false">
      <c r="A31" s="1538" t="n">
        <f aca="false">'Annex 12-Gas'!A31</f>
        <v>37530</v>
      </c>
      <c r="C31" s="488" t="n">
        <f aca="false">IF($A31&gt;Endyr,0,VLOOKUP($A31,Tariff_Table,Tariff!$L$33))</f>
        <v>1.21</v>
      </c>
      <c r="D31" s="427" t="n">
        <f aca="false">VLOOKUP($A31,Curves_Table,Escalation!$AL$291)</f>
        <v>1.12745301232594</v>
      </c>
      <c r="E31" s="1609" t="n">
        <f aca="false">C31*D31</f>
        <v>1.36421814491438</v>
      </c>
      <c r="F31" s="1314" t="n">
        <f aca="false">IF($A31&gt;Endyr,0,VLOOKUP($A31,Tariff_Table,Tariff!$M$33))</f>
        <v>0.25</v>
      </c>
      <c r="G31" s="1609" t="n">
        <f aca="false">SUM(E31,F31)</f>
        <v>1.61421814491438</v>
      </c>
      <c r="H31" s="397" t="n">
        <f aca="false">VLOOKUP($A31,Plant_Table,'Plant Operations'!$T$270)</f>
        <v>2092866.048</v>
      </c>
      <c r="I31" s="1566" t="n">
        <f aca="false">G31*H31/1000</f>
        <v>3378.34234955686</v>
      </c>
      <c r="J31" s="1567" t="str">
        <f aca="false">IF(MONTH($A31)=12,SUM(I20:I31)," ")</f>
        <v> </v>
      </c>
      <c r="L31" s="1610" t="n">
        <f aca="false">IF($A31&lt;Startops2,0,VLOOKUP($A31,Tariff_Table,Tariff!$N$33))</f>
        <v>0</v>
      </c>
      <c r="M31" s="397" t="n">
        <f aca="false">H31</f>
        <v>2092866.048</v>
      </c>
      <c r="N31" s="1611" t="n">
        <f aca="false">L31*M31/1000</f>
        <v>0</v>
      </c>
      <c r="O31" s="1611" t="n">
        <f aca="false">IF($A31&gt;Endyr,0,VLOOKUP($A31,Tariff_Table,Tariff!$O$33))</f>
        <v>3255.63789</v>
      </c>
      <c r="P31" s="427" t="n">
        <f aca="false">VLOOKUP($A31,Curves_Table,Escalation!$AP$291)</f>
        <v>1.13219066683837</v>
      </c>
      <c r="Q31" s="1604" t="n">
        <f aca="false">SUM(N31,O31)*P31</f>
        <v>3686.00283366335</v>
      </c>
      <c r="R31" s="1579" t="str">
        <f aca="false">IF(MONTH($A31)=12,SUM(Q20:Q31)," ")</f>
        <v> </v>
      </c>
    </row>
    <row r="32" customFormat="false" ht="12.75" hidden="false" customHeight="false" outlineLevel="0" collapsed="false">
      <c r="A32" s="1538" t="n">
        <f aca="false">'Annex 12-Gas'!A32</f>
        <v>37561</v>
      </c>
      <c r="C32" s="488" t="n">
        <f aca="false">IF($A32&gt;Endyr,0,VLOOKUP($A32,Tariff_Table,Tariff!$L$33))</f>
        <v>1.21</v>
      </c>
      <c r="D32" s="427" t="n">
        <f aca="false">VLOOKUP($A32,Curves_Table,Escalation!$AL$291)</f>
        <v>1.12745301232594</v>
      </c>
      <c r="E32" s="1609" t="n">
        <f aca="false">C32*D32</f>
        <v>1.36421814491438</v>
      </c>
      <c r="F32" s="1314" t="n">
        <f aca="false">IF($A32&gt;Endyr,0,VLOOKUP($A32,Tariff_Table,Tariff!$M$33))</f>
        <v>0.25</v>
      </c>
      <c r="G32" s="1609" t="n">
        <f aca="false">SUM(E32,F32)</f>
        <v>1.61421814491438</v>
      </c>
      <c r="H32" s="397" t="n">
        <f aca="false">VLOOKUP($A32,Plant_Table,'Plant Operations'!$T$270)</f>
        <v>2025354.24</v>
      </c>
      <c r="I32" s="1566" t="n">
        <f aca="false">G32*H32/1000</f>
        <v>3269.36356408728</v>
      </c>
      <c r="J32" s="1567" t="str">
        <f aca="false">IF(MONTH($A32)=12,SUM(I21:I32)," ")</f>
        <v> </v>
      </c>
      <c r="L32" s="1610" t="n">
        <f aca="false">IF($A32&lt;Startops2,0,VLOOKUP($A32,Tariff_Table,Tariff!$N$33))</f>
        <v>0</v>
      </c>
      <c r="M32" s="397" t="n">
        <f aca="false">H32</f>
        <v>2025354.24</v>
      </c>
      <c r="N32" s="1611" t="n">
        <f aca="false">L32*M32/1000</f>
        <v>0</v>
      </c>
      <c r="O32" s="1611" t="n">
        <f aca="false">IF($A32&gt;Endyr,0,VLOOKUP($A32,Tariff_Table,Tariff!$O$33))</f>
        <v>3255.63789</v>
      </c>
      <c r="P32" s="427" t="n">
        <f aca="false">VLOOKUP($A32,Curves_Table,Escalation!$AP$291)</f>
        <v>1.13219066683837</v>
      </c>
      <c r="Q32" s="1604" t="n">
        <f aca="false">SUM(N32,O32)*P32</f>
        <v>3686.00283366335</v>
      </c>
      <c r="R32" s="1579" t="str">
        <f aca="false">IF(MONTH($A32)=12,SUM(Q21:Q32)," ")</f>
        <v> </v>
      </c>
    </row>
    <row r="33" customFormat="false" ht="12.75" hidden="false" customHeight="false" outlineLevel="0" collapsed="false">
      <c r="A33" s="1538" t="n">
        <f aca="false">'Annex 12-Gas'!A33</f>
        <v>37591</v>
      </c>
      <c r="C33" s="488" t="n">
        <f aca="false">IF($A33&gt;Endyr,0,VLOOKUP($A33,Tariff_Table,Tariff!$L$33))</f>
        <v>1.21</v>
      </c>
      <c r="D33" s="427" t="n">
        <f aca="false">VLOOKUP($A33,Curves_Table,Escalation!$AL$291)</f>
        <v>1.12745301232594</v>
      </c>
      <c r="E33" s="1609" t="n">
        <f aca="false">C33*D33</f>
        <v>1.36421814491438</v>
      </c>
      <c r="F33" s="1314" t="n">
        <f aca="false">IF($A33&gt;Endyr,0,VLOOKUP($A33,Tariff_Table,Tariff!$M$33))</f>
        <v>0.25</v>
      </c>
      <c r="G33" s="1609" t="n">
        <f aca="false">SUM(E33,F33)</f>
        <v>1.61421814491438</v>
      </c>
      <c r="H33" s="397" t="n">
        <f aca="false">VLOOKUP($A33,Plant_Table,'Plant Operations'!$T$270)</f>
        <v>2092866.048</v>
      </c>
      <c r="I33" s="1566" t="n">
        <f aca="false">G33*H33/1000</f>
        <v>3378.34234955686</v>
      </c>
      <c r="J33" s="1567" t="n">
        <f aca="false">IF(MONTH($A33)=12,SUM(I22:I33)," ")</f>
        <v>39461.5101704932</v>
      </c>
      <c r="L33" s="1610" t="n">
        <f aca="false">IF($A33&lt;Startops2,0,VLOOKUP($A33,Tariff_Table,Tariff!$N$33))</f>
        <v>0</v>
      </c>
      <c r="M33" s="397" t="n">
        <f aca="false">H33</f>
        <v>2092866.048</v>
      </c>
      <c r="N33" s="1611" t="n">
        <f aca="false">L33*M33/1000</f>
        <v>0</v>
      </c>
      <c r="O33" s="1611" t="n">
        <f aca="false">IF($A33&gt;Endyr,0,VLOOKUP($A33,Tariff_Table,Tariff!$O$33))</f>
        <v>3255.63789</v>
      </c>
      <c r="P33" s="427" t="n">
        <f aca="false">VLOOKUP($A33,Curves_Table,Escalation!$AP$291)</f>
        <v>1.13219066683837</v>
      </c>
      <c r="Q33" s="1604" t="n">
        <f aca="false">SUM(N33,O33)*P33</f>
        <v>3686.00283366335</v>
      </c>
      <c r="R33" s="1579" t="n">
        <f aca="false">IF(MONTH($A33)=12,SUM(Q22:Q33)," ")</f>
        <v>43789.9974668233</v>
      </c>
    </row>
    <row r="34" customFormat="false" ht="12.75" hidden="false" customHeight="false" outlineLevel="0" collapsed="false">
      <c r="A34" s="1538" t="n">
        <f aca="false">'Annex 12-Gas'!A34</f>
        <v>37622</v>
      </c>
      <c r="C34" s="488" t="n">
        <f aca="false">IF($A34&gt;Endyr,0,VLOOKUP($A34,Tariff_Table,Tariff!$L$33))</f>
        <v>1.21</v>
      </c>
      <c r="D34" s="427" t="n">
        <f aca="false">VLOOKUP($A34,Curves_Table,Escalation!$AL$291)</f>
        <v>1.12745301232594</v>
      </c>
      <c r="E34" s="1609" t="n">
        <f aca="false">C34*D34</f>
        <v>1.36421814491438</v>
      </c>
      <c r="F34" s="1314" t="n">
        <f aca="false">IF($A34&gt;Endyr,0,VLOOKUP($A34,Tariff_Table,Tariff!$M$33))</f>
        <v>0.25</v>
      </c>
      <c r="G34" s="1609" t="n">
        <f aca="false">SUM(E34,F34)</f>
        <v>1.61421814491438</v>
      </c>
      <c r="H34" s="397" t="n">
        <f aca="false">VLOOKUP($A34,Plant_Table,'Plant Operations'!$T$270)</f>
        <v>2092866.048</v>
      </c>
      <c r="I34" s="1566" t="n">
        <f aca="false">G34*H34/1000</f>
        <v>3378.34234955686</v>
      </c>
      <c r="J34" s="1567" t="str">
        <f aca="false">IF(MONTH($A34)=12,SUM(I23:I34)," ")</f>
        <v> </v>
      </c>
      <c r="L34" s="1610" t="n">
        <f aca="false">IF($A34&lt;Startops2,0,VLOOKUP($A34,Tariff_Table,Tariff!$N$33))</f>
        <v>0</v>
      </c>
      <c r="M34" s="397" t="n">
        <f aca="false">H34</f>
        <v>2092866.048</v>
      </c>
      <c r="N34" s="1611" t="n">
        <f aca="false">L34*M34/1000</f>
        <v>0</v>
      </c>
      <c r="O34" s="1611" t="n">
        <f aca="false">IF($A34&gt;Endyr,0,VLOOKUP($A34,Tariff_Table,Tariff!$O$33))</f>
        <v>3255.63789</v>
      </c>
      <c r="P34" s="427" t="n">
        <f aca="false">VLOOKUP($A34,Curves_Table,Escalation!$AP$291)</f>
        <v>1.13219066683837</v>
      </c>
      <c r="Q34" s="1604" t="n">
        <f aca="false">SUM(N34,O34)*P34</f>
        <v>3686.00283366335</v>
      </c>
      <c r="R34" s="1579" t="str">
        <f aca="false">IF(MONTH($A34)=12,SUM(Q23:Q34)," ")</f>
        <v> </v>
      </c>
    </row>
    <row r="35" customFormat="false" ht="12.75" hidden="false" customHeight="false" outlineLevel="0" collapsed="false">
      <c r="A35" s="1538" t="n">
        <f aca="false">'Annex 12-Gas'!A35</f>
        <v>37653</v>
      </c>
      <c r="C35" s="488" t="n">
        <f aca="false">IF($A35&gt;Endyr,0,VLOOKUP($A35,Tariff_Table,Tariff!$L$33))</f>
        <v>1.21</v>
      </c>
      <c r="D35" s="427" t="n">
        <f aca="false">VLOOKUP($A35,Curves_Table,Escalation!$AL$291)</f>
        <v>1.12745301232594</v>
      </c>
      <c r="E35" s="1609" t="n">
        <f aca="false">C35*D35</f>
        <v>1.36421814491438</v>
      </c>
      <c r="F35" s="1314" t="n">
        <f aca="false">IF($A35&gt;Endyr,0,VLOOKUP($A35,Tariff_Table,Tariff!$M$33))</f>
        <v>0.25</v>
      </c>
      <c r="G35" s="1609" t="n">
        <f aca="false">SUM(E35,F35)</f>
        <v>1.61421814491438</v>
      </c>
      <c r="H35" s="397" t="n">
        <f aca="false">VLOOKUP($A35,Plant_Table,'Plant Operations'!$T$270)</f>
        <v>1890330.624</v>
      </c>
      <c r="I35" s="1566" t="n">
        <f aca="false">G35*H35/1000</f>
        <v>3051.40599314813</v>
      </c>
      <c r="J35" s="1567" t="str">
        <f aca="false">IF(MONTH($A35)=12,SUM(I24:I35)," ")</f>
        <v> </v>
      </c>
      <c r="L35" s="1610" t="n">
        <f aca="false">IF($A35&lt;Startops2,0,VLOOKUP($A35,Tariff_Table,Tariff!$N$33))</f>
        <v>0</v>
      </c>
      <c r="M35" s="397" t="n">
        <f aca="false">H35</f>
        <v>1890330.624</v>
      </c>
      <c r="N35" s="1611" t="n">
        <f aca="false">L35*M35/1000</f>
        <v>0</v>
      </c>
      <c r="O35" s="1611" t="n">
        <f aca="false">IF($A35&gt;Endyr,0,VLOOKUP($A35,Tariff_Table,Tariff!$O$33))</f>
        <v>3255.63789</v>
      </c>
      <c r="P35" s="427" t="n">
        <f aca="false">VLOOKUP($A35,Curves_Table,Escalation!$AP$291)</f>
        <v>1.13219066683837</v>
      </c>
      <c r="Q35" s="1604" t="n">
        <f aca="false">SUM(N35,O35)*P35</f>
        <v>3686.00283366335</v>
      </c>
      <c r="R35" s="1579" t="str">
        <f aca="false">IF(MONTH($A35)=12,SUM(Q24:Q35)," ")</f>
        <v> </v>
      </c>
    </row>
    <row r="36" customFormat="false" ht="12.75" hidden="false" customHeight="false" outlineLevel="0" collapsed="false">
      <c r="A36" s="1538" t="n">
        <f aca="false">'Annex 12-Gas'!A36</f>
        <v>37681</v>
      </c>
      <c r="C36" s="488" t="n">
        <f aca="false">IF($A36&gt;Endyr,0,VLOOKUP($A36,Tariff_Table,Tariff!$L$33))</f>
        <v>1.21</v>
      </c>
      <c r="D36" s="427" t="n">
        <f aca="false">VLOOKUP($A36,Curves_Table,Escalation!$AL$291)</f>
        <v>1.12745301232594</v>
      </c>
      <c r="E36" s="1609" t="n">
        <f aca="false">C36*D36</f>
        <v>1.36421814491438</v>
      </c>
      <c r="F36" s="1314" t="n">
        <f aca="false">IF($A36&gt;Endyr,0,VLOOKUP($A36,Tariff_Table,Tariff!$M$33))</f>
        <v>0.25</v>
      </c>
      <c r="G36" s="1609" t="n">
        <f aca="false">SUM(E36,F36)</f>
        <v>1.61421814491438</v>
      </c>
      <c r="H36" s="397" t="n">
        <f aca="false">VLOOKUP($A36,Plant_Table,'Plant Operations'!$T$270)</f>
        <v>2092866.048</v>
      </c>
      <c r="I36" s="1566" t="n">
        <f aca="false">G36*H36/1000</f>
        <v>3378.34234955686</v>
      </c>
      <c r="J36" s="1567" t="str">
        <f aca="false">IF(MONTH($A36)=12,SUM(I25:I36)," ")</f>
        <v> </v>
      </c>
      <c r="L36" s="1610" t="n">
        <f aca="false">IF($A36&lt;Startops2,0,VLOOKUP($A36,Tariff_Table,Tariff!$N$33))</f>
        <v>0</v>
      </c>
      <c r="M36" s="397" t="n">
        <f aca="false">H36</f>
        <v>2092866.048</v>
      </c>
      <c r="N36" s="1611" t="n">
        <f aca="false">L36*M36/1000</f>
        <v>0</v>
      </c>
      <c r="O36" s="1611" t="n">
        <f aca="false">IF($A36&gt;Endyr,0,VLOOKUP($A36,Tariff_Table,Tariff!$O$33))</f>
        <v>3255.63789</v>
      </c>
      <c r="P36" s="427" t="n">
        <f aca="false">VLOOKUP($A36,Curves_Table,Escalation!$AP$291)</f>
        <v>1.13219066683837</v>
      </c>
      <c r="Q36" s="1604" t="n">
        <f aca="false">SUM(N36,O36)*P36</f>
        <v>3686.00283366335</v>
      </c>
      <c r="R36" s="1579" t="str">
        <f aca="false">IF(MONTH($A36)=12,SUM(Q25:Q36)," ")</f>
        <v> </v>
      </c>
    </row>
    <row r="37" customFormat="false" ht="12.75" hidden="false" customHeight="false" outlineLevel="0" collapsed="false">
      <c r="A37" s="1538" t="n">
        <f aca="false">'Annex 12-Gas'!A37</f>
        <v>37712</v>
      </c>
      <c r="C37" s="488" t="n">
        <f aca="false">IF($A37&gt;Endyr,0,VLOOKUP($A37,Tariff_Table,Tariff!$L$33))</f>
        <v>1.21</v>
      </c>
      <c r="D37" s="427" t="n">
        <f aca="false">VLOOKUP($A37,Curves_Table,Escalation!$AL$291)</f>
        <v>1.12745301232594</v>
      </c>
      <c r="E37" s="1609" t="n">
        <f aca="false">C37*D37</f>
        <v>1.36421814491438</v>
      </c>
      <c r="F37" s="1314" t="n">
        <f aca="false">IF($A37&gt;Endyr,0,VLOOKUP($A37,Tariff_Table,Tariff!$M$33))</f>
        <v>0.25</v>
      </c>
      <c r="G37" s="1609" t="n">
        <f aca="false">SUM(E37,F37)</f>
        <v>1.61421814491438</v>
      </c>
      <c r="H37" s="397" t="n">
        <f aca="false">VLOOKUP($A37,Plant_Table,'Plant Operations'!$T$270)</f>
        <v>2025354.24</v>
      </c>
      <c r="I37" s="1566" t="n">
        <f aca="false">G37*H37/1000</f>
        <v>3269.36356408728</v>
      </c>
      <c r="J37" s="1567" t="str">
        <f aca="false">IF(MONTH($A37)=12,SUM(I26:I37)," ")</f>
        <v> </v>
      </c>
      <c r="L37" s="1610" t="n">
        <f aca="false">IF($A37&lt;Startops2,0,VLOOKUP($A37,Tariff_Table,Tariff!$N$33))</f>
        <v>0</v>
      </c>
      <c r="M37" s="397" t="n">
        <f aca="false">H37</f>
        <v>2025354.24</v>
      </c>
      <c r="N37" s="1611" t="n">
        <f aca="false">L37*M37/1000</f>
        <v>0</v>
      </c>
      <c r="O37" s="1611" t="n">
        <f aca="false">IF($A37&gt;Endyr,0,VLOOKUP($A37,Tariff_Table,Tariff!$O$33))</f>
        <v>3255.63789</v>
      </c>
      <c r="P37" s="427" t="n">
        <f aca="false">VLOOKUP($A37,Curves_Table,Escalation!$AP$291)</f>
        <v>1.13219066683837</v>
      </c>
      <c r="Q37" s="1604" t="n">
        <f aca="false">SUM(N37,O37)*P37</f>
        <v>3686.00283366335</v>
      </c>
      <c r="R37" s="1579" t="str">
        <f aca="false">IF(MONTH($A37)=12,SUM(Q26:Q37)," ")</f>
        <v> </v>
      </c>
    </row>
    <row r="38" customFormat="false" ht="12.75" hidden="false" customHeight="false" outlineLevel="0" collapsed="false">
      <c r="A38" s="1538" t="n">
        <f aca="false">'Annex 12-Gas'!A38</f>
        <v>37742</v>
      </c>
      <c r="C38" s="488" t="n">
        <f aca="false">IF($A38&gt;Endyr,0,VLOOKUP($A38,Tariff_Table,Tariff!$L$33))</f>
        <v>1.21</v>
      </c>
      <c r="D38" s="427" t="n">
        <f aca="false">VLOOKUP($A38,Curves_Table,Escalation!$AL$291)</f>
        <v>1.15858808250587</v>
      </c>
      <c r="E38" s="1609" t="n">
        <f aca="false">C38*D38</f>
        <v>1.4018915798321</v>
      </c>
      <c r="F38" s="1314" t="n">
        <f aca="false">IF($A38&gt;Endyr,0,VLOOKUP($A38,Tariff_Table,Tariff!$M$33))</f>
        <v>0.25</v>
      </c>
      <c r="G38" s="1609" t="n">
        <f aca="false">SUM(E38,F38)</f>
        <v>1.6518915798321</v>
      </c>
      <c r="H38" s="397" t="n">
        <f aca="false">VLOOKUP($A38,Plant_Table,'Plant Operations'!$T$270)</f>
        <v>2092866.048</v>
      </c>
      <c r="I38" s="1566" t="n">
        <f aca="false">G38*H38/1000</f>
        <v>3457.18780240769</v>
      </c>
      <c r="J38" s="1567" t="str">
        <f aca="false">IF(MONTH($A38)=12,SUM(I27:I38)," ")</f>
        <v> </v>
      </c>
      <c r="L38" s="1610" t="n">
        <f aca="false">IF($A38&lt;Startops2,0,VLOOKUP($A38,Tariff_Table,Tariff!$N$33))</f>
        <v>0</v>
      </c>
      <c r="M38" s="397" t="n">
        <f aca="false">H38</f>
        <v>2092866.048</v>
      </c>
      <c r="N38" s="1611" t="n">
        <f aca="false">L38*M38/1000</f>
        <v>0</v>
      </c>
      <c r="O38" s="1611" t="n">
        <f aca="false">IF($A38&gt;Endyr,0,VLOOKUP($A38,Tariff_Table,Tariff!$O$33))</f>
        <v>3259.15651</v>
      </c>
      <c r="P38" s="427" t="n">
        <f aca="false">VLOOKUP($A38,Curves_Table,Escalation!$AP$291)</f>
        <v>1.16628704592773</v>
      </c>
      <c r="Q38" s="1604" t="n">
        <f aca="false">SUM(N38,O38)*P38</f>
        <v>3801.11201826404</v>
      </c>
      <c r="R38" s="1579" t="str">
        <f aca="false">IF(MONTH($A38)=12,SUM(Q27:Q38)," ")</f>
        <v> </v>
      </c>
    </row>
    <row r="39" customFormat="false" ht="12.75" hidden="false" customHeight="false" outlineLevel="0" collapsed="false">
      <c r="A39" s="1538" t="n">
        <f aca="false">'Annex 12-Gas'!A39</f>
        <v>37773</v>
      </c>
      <c r="C39" s="488" t="n">
        <f aca="false">IF($A39&gt;Endyr,0,VLOOKUP($A39,Tariff_Table,Tariff!$L$33))</f>
        <v>1.21</v>
      </c>
      <c r="D39" s="427" t="n">
        <f aca="false">VLOOKUP($A39,Curves_Table,Escalation!$AL$291)</f>
        <v>1.15858808250587</v>
      </c>
      <c r="E39" s="1609" t="n">
        <f aca="false">C39*D39</f>
        <v>1.4018915798321</v>
      </c>
      <c r="F39" s="1314" t="n">
        <f aca="false">IF($A39&gt;Endyr,0,VLOOKUP($A39,Tariff_Table,Tariff!$M$33))</f>
        <v>0.25</v>
      </c>
      <c r="G39" s="1609" t="n">
        <f aca="false">SUM(E39,F39)</f>
        <v>1.6518915798321</v>
      </c>
      <c r="H39" s="397" t="n">
        <f aca="false">VLOOKUP($A39,Plant_Table,'Plant Operations'!$T$270)</f>
        <v>2025354.24</v>
      </c>
      <c r="I39" s="1566" t="n">
        <f aca="false">G39*H39/1000</f>
        <v>3345.66561523325</v>
      </c>
      <c r="J39" s="1567" t="str">
        <f aca="false">IF(MONTH($A39)=12,SUM(I28:I39)," ")</f>
        <v> </v>
      </c>
      <c r="L39" s="1610" t="n">
        <f aca="false">IF($A39&lt;Startops2,0,VLOOKUP($A39,Tariff_Table,Tariff!$N$33))</f>
        <v>0</v>
      </c>
      <c r="M39" s="397" t="n">
        <f aca="false">H39</f>
        <v>2025354.24</v>
      </c>
      <c r="N39" s="1611" t="n">
        <f aca="false">L39*M39/1000</f>
        <v>0</v>
      </c>
      <c r="O39" s="1611" t="n">
        <f aca="false">IF($A39&gt;Endyr,0,VLOOKUP($A39,Tariff_Table,Tariff!$O$33))</f>
        <v>3259.15651</v>
      </c>
      <c r="P39" s="427" t="n">
        <f aca="false">VLOOKUP($A39,Curves_Table,Escalation!$AP$291)</f>
        <v>1.16628704592773</v>
      </c>
      <c r="Q39" s="1604" t="n">
        <f aca="false">SUM(N39,O39)*P39</f>
        <v>3801.11201826404</v>
      </c>
      <c r="R39" s="1579" t="str">
        <f aca="false">IF(MONTH($A39)=12,SUM(Q28:Q39)," ")</f>
        <v> </v>
      </c>
    </row>
    <row r="40" customFormat="false" ht="12.75" hidden="false" customHeight="false" outlineLevel="0" collapsed="false">
      <c r="A40" s="1538" t="n">
        <f aca="false">'Annex 12-Gas'!A40</f>
        <v>37803</v>
      </c>
      <c r="C40" s="488" t="n">
        <f aca="false">IF($A40&gt;Endyr,0,VLOOKUP($A40,Tariff_Table,Tariff!$L$33))</f>
        <v>1.21</v>
      </c>
      <c r="D40" s="427" t="n">
        <f aca="false">VLOOKUP($A40,Curves_Table,Escalation!$AL$291)</f>
        <v>1.15858808250587</v>
      </c>
      <c r="E40" s="1609" t="n">
        <f aca="false">C40*D40</f>
        <v>1.4018915798321</v>
      </c>
      <c r="F40" s="1314" t="n">
        <f aca="false">IF($A40&gt;Endyr,0,VLOOKUP($A40,Tariff_Table,Tariff!$M$33))</f>
        <v>0.25</v>
      </c>
      <c r="G40" s="1609" t="n">
        <f aca="false">SUM(E40,F40)</f>
        <v>1.6518915798321</v>
      </c>
      <c r="H40" s="397" t="n">
        <f aca="false">VLOOKUP($A40,Plant_Table,'Plant Operations'!$T$270)</f>
        <v>2092866.048</v>
      </c>
      <c r="I40" s="1566" t="n">
        <f aca="false">G40*H40/1000</f>
        <v>3457.18780240769</v>
      </c>
      <c r="J40" s="1567" t="str">
        <f aca="false">IF(MONTH($A40)=12,SUM(I29:I40)," ")</f>
        <v> </v>
      </c>
      <c r="L40" s="1610" t="n">
        <f aca="false">IF($A40&lt;Startops2,0,VLOOKUP($A40,Tariff_Table,Tariff!$N$33))</f>
        <v>0</v>
      </c>
      <c r="M40" s="397" t="n">
        <f aca="false">H40</f>
        <v>2092866.048</v>
      </c>
      <c r="N40" s="1611" t="n">
        <f aca="false">L40*M40/1000</f>
        <v>0</v>
      </c>
      <c r="O40" s="1611" t="n">
        <f aca="false">IF($A40&gt;Endyr,0,VLOOKUP($A40,Tariff_Table,Tariff!$O$33))</f>
        <v>3259.15651</v>
      </c>
      <c r="P40" s="427" t="n">
        <f aca="false">VLOOKUP($A40,Curves_Table,Escalation!$AP$291)</f>
        <v>1.16628704592773</v>
      </c>
      <c r="Q40" s="1604" t="n">
        <f aca="false">SUM(N40,O40)*P40</f>
        <v>3801.11201826404</v>
      </c>
      <c r="R40" s="1579" t="str">
        <f aca="false">IF(MONTH($A40)=12,SUM(Q29:Q40)," ")</f>
        <v> </v>
      </c>
    </row>
    <row r="41" customFormat="false" ht="12.75" hidden="false" customHeight="false" outlineLevel="0" collapsed="false">
      <c r="A41" s="1538" t="n">
        <f aca="false">'Annex 12-Gas'!A41</f>
        <v>37834</v>
      </c>
      <c r="C41" s="488" t="n">
        <f aca="false">IF($A41&gt;Endyr,0,VLOOKUP($A41,Tariff_Table,Tariff!$L$33))</f>
        <v>1.21</v>
      </c>
      <c r="D41" s="427" t="n">
        <f aca="false">VLOOKUP($A41,Curves_Table,Escalation!$AL$291)</f>
        <v>1.15858808250587</v>
      </c>
      <c r="E41" s="1609" t="n">
        <f aca="false">C41*D41</f>
        <v>1.4018915798321</v>
      </c>
      <c r="F41" s="1314" t="n">
        <f aca="false">IF($A41&gt;Endyr,0,VLOOKUP($A41,Tariff_Table,Tariff!$M$33))</f>
        <v>0.25</v>
      </c>
      <c r="G41" s="1609" t="n">
        <f aca="false">SUM(E41,F41)</f>
        <v>1.6518915798321</v>
      </c>
      <c r="H41" s="397" t="n">
        <f aca="false">VLOOKUP($A41,Plant_Table,'Plant Operations'!$T$270)</f>
        <v>2092866.048</v>
      </c>
      <c r="I41" s="1566" t="n">
        <f aca="false">G41*H41/1000</f>
        <v>3457.18780240769</v>
      </c>
      <c r="J41" s="1567" t="str">
        <f aca="false">IF(MONTH($A41)=12,SUM(I30:I41)," ")</f>
        <v> </v>
      </c>
      <c r="L41" s="1610" t="n">
        <f aca="false">IF($A41&lt;Startops2,0,VLOOKUP($A41,Tariff_Table,Tariff!$N$33))</f>
        <v>0</v>
      </c>
      <c r="M41" s="397" t="n">
        <f aca="false">H41</f>
        <v>2092866.048</v>
      </c>
      <c r="N41" s="1611" t="n">
        <f aca="false">L41*M41/1000</f>
        <v>0</v>
      </c>
      <c r="O41" s="1611" t="n">
        <f aca="false">IF($A41&gt;Endyr,0,VLOOKUP($A41,Tariff_Table,Tariff!$O$33))</f>
        <v>3259.15651</v>
      </c>
      <c r="P41" s="427" t="n">
        <f aca="false">VLOOKUP($A41,Curves_Table,Escalation!$AP$291)</f>
        <v>1.16628704592773</v>
      </c>
      <c r="Q41" s="1604" t="n">
        <f aca="false">SUM(N41,O41)*P41</f>
        <v>3801.11201826404</v>
      </c>
      <c r="R41" s="1579" t="str">
        <f aca="false">IF(MONTH($A41)=12,SUM(Q30:Q41)," ")</f>
        <v> </v>
      </c>
    </row>
    <row r="42" customFormat="false" ht="12.75" hidden="false" customHeight="false" outlineLevel="0" collapsed="false">
      <c r="A42" s="1538" t="n">
        <f aca="false">'Annex 12-Gas'!A42</f>
        <v>37865</v>
      </c>
      <c r="C42" s="488" t="n">
        <f aca="false">IF($A42&gt;Endyr,0,VLOOKUP($A42,Tariff_Table,Tariff!$L$33))</f>
        <v>1.21</v>
      </c>
      <c r="D42" s="427" t="n">
        <f aca="false">VLOOKUP($A42,Curves_Table,Escalation!$AL$291)</f>
        <v>1.15858808250587</v>
      </c>
      <c r="E42" s="1609" t="n">
        <f aca="false">C42*D42</f>
        <v>1.4018915798321</v>
      </c>
      <c r="F42" s="1314" t="n">
        <f aca="false">IF($A42&gt;Endyr,0,VLOOKUP($A42,Tariff_Table,Tariff!$M$33))</f>
        <v>0.25</v>
      </c>
      <c r="G42" s="1609" t="n">
        <f aca="false">SUM(E42,F42)</f>
        <v>1.6518915798321</v>
      </c>
      <c r="H42" s="397" t="n">
        <f aca="false">VLOOKUP($A42,Plant_Table,'Plant Operations'!$T$270)</f>
        <v>2025354.24</v>
      </c>
      <c r="I42" s="1566" t="n">
        <f aca="false">G42*H42/1000</f>
        <v>3345.66561523325</v>
      </c>
      <c r="J42" s="1567" t="str">
        <f aca="false">IF(MONTH($A42)=12,SUM(I31:I42)," ")</f>
        <v> </v>
      </c>
      <c r="L42" s="1610" t="n">
        <f aca="false">IF($A42&lt;Startops2,0,VLOOKUP($A42,Tariff_Table,Tariff!$N$33))</f>
        <v>0</v>
      </c>
      <c r="M42" s="397" t="n">
        <f aca="false">H42</f>
        <v>2025354.24</v>
      </c>
      <c r="N42" s="1611" t="n">
        <f aca="false">L42*M42/1000</f>
        <v>0</v>
      </c>
      <c r="O42" s="1611" t="n">
        <f aca="false">IF($A42&gt;Endyr,0,VLOOKUP($A42,Tariff_Table,Tariff!$O$33))</f>
        <v>3259.15651</v>
      </c>
      <c r="P42" s="427" t="n">
        <f aca="false">VLOOKUP($A42,Curves_Table,Escalation!$AP$291)</f>
        <v>1.16628704592773</v>
      </c>
      <c r="Q42" s="1604" t="n">
        <f aca="false">SUM(N42,O42)*P42</f>
        <v>3801.11201826404</v>
      </c>
      <c r="R42" s="1579" t="str">
        <f aca="false">IF(MONTH($A42)=12,SUM(Q31:Q42)," ")</f>
        <v> </v>
      </c>
    </row>
    <row r="43" customFormat="false" ht="12.75" hidden="false" customHeight="false" outlineLevel="0" collapsed="false">
      <c r="A43" s="1538" t="n">
        <f aca="false">'Annex 12-Gas'!A43</f>
        <v>37895</v>
      </c>
      <c r="C43" s="488" t="n">
        <f aca="false">IF($A43&gt;Endyr,0,VLOOKUP($A43,Tariff_Table,Tariff!$L$33))</f>
        <v>1.21</v>
      </c>
      <c r="D43" s="427" t="n">
        <f aca="false">VLOOKUP($A43,Curves_Table,Escalation!$AL$291)</f>
        <v>1.15858808250587</v>
      </c>
      <c r="E43" s="1609" t="n">
        <f aca="false">C43*D43</f>
        <v>1.4018915798321</v>
      </c>
      <c r="F43" s="1314" t="n">
        <f aca="false">IF($A43&gt;Endyr,0,VLOOKUP($A43,Tariff_Table,Tariff!$M$33))</f>
        <v>0.25</v>
      </c>
      <c r="G43" s="1609" t="n">
        <f aca="false">SUM(E43,F43)</f>
        <v>1.6518915798321</v>
      </c>
      <c r="H43" s="397" t="n">
        <f aca="false">VLOOKUP($A43,Plant_Table,'Plant Operations'!$T$270)</f>
        <v>2092866.048</v>
      </c>
      <c r="I43" s="1566" t="n">
        <f aca="false">G43*H43/1000</f>
        <v>3457.18780240769</v>
      </c>
      <c r="J43" s="1567" t="str">
        <f aca="false">IF(MONTH($A43)=12,SUM(I32:I43)," ")</f>
        <v> </v>
      </c>
      <c r="L43" s="1610" t="n">
        <f aca="false">IF($A43&lt;Startops2,0,VLOOKUP($A43,Tariff_Table,Tariff!$N$33))</f>
        <v>0</v>
      </c>
      <c r="M43" s="397" t="n">
        <f aca="false">H43</f>
        <v>2092866.048</v>
      </c>
      <c r="N43" s="1611" t="n">
        <f aca="false">L43*M43/1000</f>
        <v>0</v>
      </c>
      <c r="O43" s="1611" t="n">
        <f aca="false">IF($A43&gt;Endyr,0,VLOOKUP($A43,Tariff_Table,Tariff!$O$33))</f>
        <v>3259.15651</v>
      </c>
      <c r="P43" s="427" t="n">
        <f aca="false">VLOOKUP($A43,Curves_Table,Escalation!$AP$291)</f>
        <v>1.16628704592773</v>
      </c>
      <c r="Q43" s="1604" t="n">
        <f aca="false">SUM(N43,O43)*P43</f>
        <v>3801.11201826404</v>
      </c>
      <c r="R43" s="1579" t="str">
        <f aca="false">IF(MONTH($A43)=12,SUM(Q32:Q43)," ")</f>
        <v> </v>
      </c>
    </row>
    <row r="44" customFormat="false" ht="12.75" hidden="false" customHeight="false" outlineLevel="0" collapsed="false">
      <c r="A44" s="1538" t="n">
        <f aca="false">'Annex 12-Gas'!A44</f>
        <v>37926</v>
      </c>
      <c r="C44" s="488" t="n">
        <f aca="false">IF($A44&gt;Endyr,0,VLOOKUP($A44,Tariff_Table,Tariff!$L$33))</f>
        <v>1.21</v>
      </c>
      <c r="D44" s="427" t="n">
        <f aca="false">VLOOKUP($A44,Curves_Table,Escalation!$AL$291)</f>
        <v>1.15858808250587</v>
      </c>
      <c r="E44" s="1609" t="n">
        <f aca="false">C44*D44</f>
        <v>1.4018915798321</v>
      </c>
      <c r="F44" s="1314" t="n">
        <f aca="false">IF($A44&gt;Endyr,0,VLOOKUP($A44,Tariff_Table,Tariff!$M$33))</f>
        <v>0.25</v>
      </c>
      <c r="G44" s="1609" t="n">
        <f aca="false">SUM(E44,F44)</f>
        <v>1.6518915798321</v>
      </c>
      <c r="H44" s="397" t="n">
        <f aca="false">VLOOKUP($A44,Plant_Table,'Plant Operations'!$T$270)</f>
        <v>2025354.24</v>
      </c>
      <c r="I44" s="1566" t="n">
        <f aca="false">G44*H44/1000</f>
        <v>3345.66561523325</v>
      </c>
      <c r="J44" s="1567" t="str">
        <f aca="false">IF(MONTH($A44)=12,SUM(I33:I44)," ")</f>
        <v> </v>
      </c>
      <c r="L44" s="1610" t="n">
        <f aca="false">IF($A44&lt;Startops2,0,VLOOKUP($A44,Tariff_Table,Tariff!$N$33))</f>
        <v>0</v>
      </c>
      <c r="M44" s="397" t="n">
        <f aca="false">H44</f>
        <v>2025354.24</v>
      </c>
      <c r="N44" s="1611" t="n">
        <f aca="false">L44*M44/1000</f>
        <v>0</v>
      </c>
      <c r="O44" s="1611" t="n">
        <f aca="false">IF($A44&gt;Endyr,0,VLOOKUP($A44,Tariff_Table,Tariff!$O$33))</f>
        <v>3259.15651</v>
      </c>
      <c r="P44" s="427" t="n">
        <f aca="false">VLOOKUP($A44,Curves_Table,Escalation!$AP$291)</f>
        <v>1.16628704592773</v>
      </c>
      <c r="Q44" s="1604" t="n">
        <f aca="false">SUM(N44,O44)*P44</f>
        <v>3801.11201826404</v>
      </c>
      <c r="R44" s="1579" t="str">
        <f aca="false">IF(MONTH($A44)=12,SUM(Q33:Q44)," ")</f>
        <v> </v>
      </c>
    </row>
    <row r="45" customFormat="false" ht="12.75" hidden="false" customHeight="false" outlineLevel="0" collapsed="false">
      <c r="A45" s="1538" t="n">
        <f aca="false">'Annex 12-Gas'!A45</f>
        <v>37956</v>
      </c>
      <c r="C45" s="488" t="n">
        <f aca="false">IF($A45&gt;Endyr,0,VLOOKUP($A45,Tariff_Table,Tariff!$L$33))</f>
        <v>1.21</v>
      </c>
      <c r="D45" s="427" t="n">
        <f aca="false">VLOOKUP($A45,Curves_Table,Escalation!$AL$291)</f>
        <v>1.15858808250587</v>
      </c>
      <c r="E45" s="1609" t="n">
        <f aca="false">C45*D45</f>
        <v>1.4018915798321</v>
      </c>
      <c r="F45" s="1314" t="n">
        <f aca="false">IF($A45&gt;Endyr,0,VLOOKUP($A45,Tariff_Table,Tariff!$M$33))</f>
        <v>0.25</v>
      </c>
      <c r="G45" s="1609" t="n">
        <f aca="false">SUM(E45,F45)</f>
        <v>1.6518915798321</v>
      </c>
      <c r="H45" s="397" t="n">
        <f aca="false">VLOOKUP($A45,Plant_Table,'Plant Operations'!$T$270)</f>
        <v>2092866.048</v>
      </c>
      <c r="I45" s="1566" t="n">
        <f aca="false">G45*H45/1000</f>
        <v>3457.18780240769</v>
      </c>
      <c r="J45" s="1567" t="n">
        <f aca="false">IF(MONTH($A45)=12,SUM(I34:I45)," ")</f>
        <v>40400.3901140874</v>
      </c>
      <c r="L45" s="1610" t="n">
        <f aca="false">IF($A45&lt;Startops2,0,VLOOKUP($A45,Tariff_Table,Tariff!$N$33))</f>
        <v>0</v>
      </c>
      <c r="M45" s="397" t="n">
        <f aca="false">H45</f>
        <v>2092866.048</v>
      </c>
      <c r="N45" s="1611" t="n">
        <f aca="false">L45*M45/1000</f>
        <v>0</v>
      </c>
      <c r="O45" s="1611" t="n">
        <f aca="false">IF($A45&gt;Endyr,0,VLOOKUP($A45,Tariff_Table,Tariff!$O$33))</f>
        <v>3259.15651</v>
      </c>
      <c r="P45" s="427" t="n">
        <f aca="false">VLOOKUP($A45,Curves_Table,Escalation!$AP$291)</f>
        <v>1.16628704592773</v>
      </c>
      <c r="Q45" s="1604" t="n">
        <f aca="false">SUM(N45,O45)*P45</f>
        <v>3801.11201826404</v>
      </c>
      <c r="R45" s="1579" t="n">
        <f aca="false">IF(MONTH($A45)=12,SUM(Q34:Q45)," ")</f>
        <v>45152.9074807657</v>
      </c>
    </row>
    <row r="46" customFormat="false" ht="12.75" hidden="false" customHeight="false" outlineLevel="0" collapsed="false">
      <c r="A46" s="1538" t="n">
        <f aca="false">'Annex 12-Gas'!A46</f>
        <v>37987</v>
      </c>
      <c r="C46" s="488" t="n">
        <f aca="false">IF($A46&gt;Endyr,0,VLOOKUP($A46,Tariff_Table,Tariff!$L$33))</f>
        <v>1.21</v>
      </c>
      <c r="D46" s="427" t="n">
        <f aca="false">VLOOKUP($A46,Curves_Table,Escalation!$AL$291)</f>
        <v>1.15858808250587</v>
      </c>
      <c r="E46" s="1609" t="n">
        <f aca="false">C46*D46</f>
        <v>1.4018915798321</v>
      </c>
      <c r="F46" s="1314" t="n">
        <f aca="false">IF($A46&gt;Endyr,0,VLOOKUP($A46,Tariff_Table,Tariff!$M$33))</f>
        <v>0.25</v>
      </c>
      <c r="G46" s="1609" t="n">
        <f aca="false">SUM(E46,F46)</f>
        <v>1.6518915798321</v>
      </c>
      <c r="H46" s="397" t="n">
        <f aca="false">VLOOKUP($A46,Plant_Table,'Plant Operations'!$T$270)</f>
        <v>2092866.048</v>
      </c>
      <c r="I46" s="1566" t="n">
        <f aca="false">G46*H46/1000</f>
        <v>3457.18780240769</v>
      </c>
      <c r="J46" s="1567" t="str">
        <f aca="false">IF(MONTH($A46)=12,SUM(I35:I46)," ")</f>
        <v> </v>
      </c>
      <c r="L46" s="1610" t="n">
        <f aca="false">IF($A46&lt;Startops2,0,VLOOKUP($A46,Tariff_Table,Tariff!$N$33))</f>
        <v>0</v>
      </c>
      <c r="M46" s="397" t="n">
        <f aca="false">H46</f>
        <v>2092866.048</v>
      </c>
      <c r="N46" s="1611" t="n">
        <f aca="false">L46*M46/1000</f>
        <v>0</v>
      </c>
      <c r="O46" s="1611" t="n">
        <f aca="false">IF($A46&gt;Endyr,0,VLOOKUP($A46,Tariff_Table,Tariff!$O$33))</f>
        <v>3259.15651</v>
      </c>
      <c r="P46" s="427" t="n">
        <f aca="false">VLOOKUP($A46,Curves_Table,Escalation!$AP$291)</f>
        <v>1.16628704592773</v>
      </c>
      <c r="Q46" s="1604" t="n">
        <f aca="false">SUM(N46,O46)*P46</f>
        <v>3801.11201826404</v>
      </c>
      <c r="R46" s="1579" t="str">
        <f aca="false">IF(MONTH($A46)=12,SUM(Q35:Q46)," ")</f>
        <v> </v>
      </c>
    </row>
    <row r="47" customFormat="false" ht="12.75" hidden="false" customHeight="false" outlineLevel="0" collapsed="false">
      <c r="A47" s="1538" t="n">
        <f aca="false">'Annex 12-Gas'!A47</f>
        <v>38018</v>
      </c>
      <c r="C47" s="488" t="n">
        <f aca="false">IF($A47&gt;Endyr,0,VLOOKUP($A47,Tariff_Table,Tariff!$L$33))</f>
        <v>1.21</v>
      </c>
      <c r="D47" s="427" t="n">
        <f aca="false">VLOOKUP($A47,Curves_Table,Escalation!$AL$291)</f>
        <v>1.15858808250587</v>
      </c>
      <c r="E47" s="1609" t="n">
        <f aca="false">C47*D47</f>
        <v>1.4018915798321</v>
      </c>
      <c r="F47" s="1314" t="n">
        <f aca="false">IF($A47&gt;Endyr,0,VLOOKUP($A47,Tariff_Table,Tariff!$M$33))</f>
        <v>0.25</v>
      </c>
      <c r="G47" s="1609" t="n">
        <f aca="false">SUM(E47,F47)</f>
        <v>1.6518915798321</v>
      </c>
      <c r="H47" s="397" t="n">
        <f aca="false">VLOOKUP($A47,Plant_Table,'Plant Operations'!$T$270)</f>
        <v>1957842.432</v>
      </c>
      <c r="I47" s="1566" t="n">
        <f aca="false">G47*H47/1000</f>
        <v>3234.14342805881</v>
      </c>
      <c r="J47" s="1567" t="str">
        <f aca="false">IF(MONTH($A47)=12,SUM(I36:I47)," ")</f>
        <v> </v>
      </c>
      <c r="L47" s="1610" t="n">
        <f aca="false">IF($A47&lt;Startops2,0,VLOOKUP($A47,Tariff_Table,Tariff!$N$33))</f>
        <v>0</v>
      </c>
      <c r="M47" s="397" t="n">
        <f aca="false">H47</f>
        <v>1957842.432</v>
      </c>
      <c r="N47" s="1611" t="n">
        <f aca="false">L47*M47/1000</f>
        <v>0</v>
      </c>
      <c r="O47" s="1611" t="n">
        <f aca="false">IF($A47&gt;Endyr,0,VLOOKUP($A47,Tariff_Table,Tariff!$O$33))</f>
        <v>3259.15651</v>
      </c>
      <c r="P47" s="427" t="n">
        <f aca="false">VLOOKUP($A47,Curves_Table,Escalation!$AP$291)</f>
        <v>1.16628704592773</v>
      </c>
      <c r="Q47" s="1604" t="n">
        <f aca="false">SUM(N47,O47)*P47</f>
        <v>3801.11201826404</v>
      </c>
      <c r="R47" s="1579" t="str">
        <f aca="false">IF(MONTH($A47)=12,SUM(Q36:Q47)," ")</f>
        <v> </v>
      </c>
    </row>
    <row r="48" customFormat="false" ht="12.75" hidden="false" customHeight="false" outlineLevel="0" collapsed="false">
      <c r="A48" s="1538" t="n">
        <f aca="false">'Annex 12-Gas'!A48</f>
        <v>38047</v>
      </c>
      <c r="C48" s="488" t="n">
        <f aca="false">IF($A48&gt;Endyr,0,VLOOKUP($A48,Tariff_Table,Tariff!$L$33))</f>
        <v>1.21</v>
      </c>
      <c r="D48" s="427" t="n">
        <f aca="false">VLOOKUP($A48,Curves_Table,Escalation!$AL$291)</f>
        <v>1.15858808250587</v>
      </c>
      <c r="E48" s="1609" t="n">
        <f aca="false">C48*D48</f>
        <v>1.4018915798321</v>
      </c>
      <c r="F48" s="1314" t="n">
        <f aca="false">IF($A48&gt;Endyr,0,VLOOKUP($A48,Tariff_Table,Tariff!$M$33))</f>
        <v>0.25</v>
      </c>
      <c r="G48" s="1609" t="n">
        <f aca="false">SUM(E48,F48)</f>
        <v>1.6518915798321</v>
      </c>
      <c r="H48" s="397" t="n">
        <f aca="false">VLOOKUP($A48,Plant_Table,'Plant Operations'!$T$270)</f>
        <v>2092866.048</v>
      </c>
      <c r="I48" s="1566" t="n">
        <f aca="false">G48*H48/1000</f>
        <v>3457.18780240769</v>
      </c>
      <c r="J48" s="1567" t="str">
        <f aca="false">IF(MONTH($A48)=12,SUM(I37:I48)," ")</f>
        <v> </v>
      </c>
      <c r="L48" s="1610" t="n">
        <f aca="false">IF($A48&lt;Startops2,0,VLOOKUP($A48,Tariff_Table,Tariff!$N$33))</f>
        <v>0</v>
      </c>
      <c r="M48" s="397" t="n">
        <f aca="false">H48</f>
        <v>2092866.048</v>
      </c>
      <c r="N48" s="1611" t="n">
        <f aca="false">L48*M48/1000</f>
        <v>0</v>
      </c>
      <c r="O48" s="1611" t="n">
        <f aca="false">IF($A48&gt;Endyr,0,VLOOKUP($A48,Tariff_Table,Tariff!$O$33))</f>
        <v>3259.15651</v>
      </c>
      <c r="P48" s="427" t="n">
        <f aca="false">VLOOKUP($A48,Curves_Table,Escalation!$AP$291)</f>
        <v>1.16628704592773</v>
      </c>
      <c r="Q48" s="1604" t="n">
        <f aca="false">SUM(N48,O48)*P48</f>
        <v>3801.11201826404</v>
      </c>
      <c r="R48" s="1579" t="str">
        <f aca="false">IF(MONTH($A48)=12,SUM(Q37:Q48)," ")</f>
        <v> </v>
      </c>
    </row>
    <row r="49" customFormat="false" ht="12.75" hidden="false" customHeight="false" outlineLevel="0" collapsed="false">
      <c r="A49" s="1538" t="n">
        <f aca="false">'Annex 12-Gas'!A49</f>
        <v>38078</v>
      </c>
      <c r="C49" s="488" t="n">
        <f aca="false">IF($A49&gt;Endyr,0,VLOOKUP($A49,Tariff_Table,Tariff!$L$33))</f>
        <v>1.21</v>
      </c>
      <c r="D49" s="427" t="n">
        <f aca="false">VLOOKUP($A49,Curves_Table,Escalation!$AL$291)</f>
        <v>1.15858808250587</v>
      </c>
      <c r="E49" s="1609" t="n">
        <f aca="false">C49*D49</f>
        <v>1.4018915798321</v>
      </c>
      <c r="F49" s="1314" t="n">
        <f aca="false">IF($A49&gt;Endyr,0,VLOOKUP($A49,Tariff_Table,Tariff!$M$33))</f>
        <v>0.25</v>
      </c>
      <c r="G49" s="1609" t="n">
        <f aca="false">SUM(E49,F49)</f>
        <v>1.6518915798321</v>
      </c>
      <c r="H49" s="397" t="n">
        <f aca="false">VLOOKUP($A49,Plant_Table,'Plant Operations'!$T$270)</f>
        <v>2025354.24</v>
      </c>
      <c r="I49" s="1566" t="n">
        <f aca="false">G49*H49/1000</f>
        <v>3345.66561523325</v>
      </c>
      <c r="J49" s="1567" t="str">
        <f aca="false">IF(MONTH($A49)=12,SUM(I38:I49)," ")</f>
        <v> </v>
      </c>
      <c r="L49" s="1610" t="n">
        <f aca="false">IF($A49&lt;Startops2,0,VLOOKUP($A49,Tariff_Table,Tariff!$N$33))</f>
        <v>0</v>
      </c>
      <c r="M49" s="397" t="n">
        <f aca="false">H49</f>
        <v>2025354.24</v>
      </c>
      <c r="N49" s="1611" t="n">
        <f aca="false">L49*M49/1000</f>
        <v>0</v>
      </c>
      <c r="O49" s="1611" t="n">
        <f aca="false">IF($A49&gt;Endyr,0,VLOOKUP($A49,Tariff_Table,Tariff!$O$33))</f>
        <v>3259.15651</v>
      </c>
      <c r="P49" s="427" t="n">
        <f aca="false">VLOOKUP($A49,Curves_Table,Escalation!$AP$291)</f>
        <v>1.16628704592773</v>
      </c>
      <c r="Q49" s="1604" t="n">
        <f aca="false">SUM(N49,O49)*P49</f>
        <v>3801.11201826404</v>
      </c>
      <c r="R49" s="1579" t="str">
        <f aca="false">IF(MONTH($A49)=12,SUM(Q38:Q49)," ")</f>
        <v> </v>
      </c>
    </row>
    <row r="50" customFormat="false" ht="12.75" hidden="false" customHeight="false" outlineLevel="0" collapsed="false">
      <c r="A50" s="1538" t="n">
        <f aca="false">'Annex 12-Gas'!A50</f>
        <v>38108</v>
      </c>
      <c r="C50" s="488" t="n">
        <f aca="false">IF($A50&gt;Endyr,0,VLOOKUP($A50,Tariff_Table,Tariff!$L$33))</f>
        <v>1.21</v>
      </c>
      <c r="D50" s="427" t="n">
        <f aca="false">VLOOKUP($A50,Curves_Table,Escalation!$AL$291)</f>
        <v>1.18952904665845</v>
      </c>
      <c r="E50" s="1609" t="n">
        <f aca="false">C50*D50</f>
        <v>1.43933014645673</v>
      </c>
      <c r="F50" s="1314" t="n">
        <f aca="false">IF($A50&gt;Endyr,0,VLOOKUP($A50,Tariff_Table,Tariff!$M$33))</f>
        <v>0.25</v>
      </c>
      <c r="G50" s="1609" t="n">
        <f aca="false">SUM(E50,F50)</f>
        <v>1.68933014645673</v>
      </c>
      <c r="H50" s="397" t="n">
        <f aca="false">VLOOKUP($A50,Plant_Table,'Plant Operations'!$T$270)</f>
        <v>2092866.048</v>
      </c>
      <c r="I50" s="1566" t="n">
        <f aca="false">G50*H50/1000</f>
        <v>3535.54170738216</v>
      </c>
      <c r="J50" s="1567" t="str">
        <f aca="false">IF(MONTH($A50)=12,SUM(I39:I50)," ")</f>
        <v> </v>
      </c>
      <c r="L50" s="1610" t="n">
        <f aca="false">IF($A50&lt;Startops2,0,VLOOKUP($A50,Tariff_Table,Tariff!$N$33))</f>
        <v>0</v>
      </c>
      <c r="M50" s="397" t="n">
        <f aca="false">H50</f>
        <v>2092866.048</v>
      </c>
      <c r="N50" s="1611" t="n">
        <f aca="false">L50*M50/1000</f>
        <v>0</v>
      </c>
      <c r="O50" s="1611" t="n">
        <f aca="false">IF($A50&gt;Endyr,0,VLOOKUP($A50,Tariff_Table,Tariff!$O$33))</f>
        <v>3260.91348</v>
      </c>
      <c r="P50" s="427" t="n">
        <f aca="false">VLOOKUP($A50,Curves_Table,Escalation!$AP$291)</f>
        <v>1.20034933429065</v>
      </c>
      <c r="Q50" s="1604" t="n">
        <f aca="false">SUM(N50,O50)*P50</f>
        <v>3914.23532489741</v>
      </c>
      <c r="R50" s="1579" t="str">
        <f aca="false">IF(MONTH($A50)=12,SUM(Q39:Q50)," ")</f>
        <v> </v>
      </c>
    </row>
    <row r="51" customFormat="false" ht="12.75" hidden="false" customHeight="false" outlineLevel="0" collapsed="false">
      <c r="A51" s="1538" t="n">
        <f aca="false">'Annex 12-Gas'!A51</f>
        <v>38139</v>
      </c>
      <c r="C51" s="488" t="n">
        <f aca="false">IF($A51&gt;Endyr,0,VLOOKUP($A51,Tariff_Table,Tariff!$L$33))</f>
        <v>1.21</v>
      </c>
      <c r="D51" s="427" t="n">
        <f aca="false">VLOOKUP($A51,Curves_Table,Escalation!$AL$291)</f>
        <v>1.18952904665845</v>
      </c>
      <c r="E51" s="1609" t="n">
        <f aca="false">C51*D51</f>
        <v>1.43933014645673</v>
      </c>
      <c r="F51" s="1314" t="n">
        <f aca="false">IF($A51&gt;Endyr,0,VLOOKUP($A51,Tariff_Table,Tariff!$M$33))</f>
        <v>0.25</v>
      </c>
      <c r="G51" s="1609" t="n">
        <f aca="false">SUM(E51,F51)</f>
        <v>1.68933014645673</v>
      </c>
      <c r="H51" s="397" t="n">
        <f aca="false">VLOOKUP($A51,Plant_Table,'Plant Operations'!$T$270)</f>
        <v>2025354.24</v>
      </c>
      <c r="I51" s="1566" t="n">
        <f aca="false">G51*H51/1000</f>
        <v>3421.49197488596</v>
      </c>
      <c r="J51" s="1567" t="str">
        <f aca="false">IF(MONTH($A51)=12,SUM(I40:I51)," ")</f>
        <v> </v>
      </c>
      <c r="L51" s="1610" t="n">
        <f aca="false">IF($A51&lt;Startops2,0,VLOOKUP($A51,Tariff_Table,Tariff!$N$33))</f>
        <v>0</v>
      </c>
      <c r="M51" s="397" t="n">
        <f aca="false">H51</f>
        <v>2025354.24</v>
      </c>
      <c r="N51" s="1611" t="n">
        <f aca="false">L51*M51/1000</f>
        <v>0</v>
      </c>
      <c r="O51" s="1611" t="n">
        <f aca="false">IF($A51&gt;Endyr,0,VLOOKUP($A51,Tariff_Table,Tariff!$O$33))</f>
        <v>3260.91348</v>
      </c>
      <c r="P51" s="427" t="n">
        <f aca="false">VLOOKUP($A51,Curves_Table,Escalation!$AP$291)</f>
        <v>1.20034933429065</v>
      </c>
      <c r="Q51" s="1604" t="n">
        <f aca="false">SUM(N51,O51)*P51</f>
        <v>3914.23532489741</v>
      </c>
      <c r="R51" s="1579" t="str">
        <f aca="false">IF(MONTH($A51)=12,SUM(Q40:Q51)," ")</f>
        <v> </v>
      </c>
    </row>
    <row r="52" customFormat="false" ht="12.75" hidden="false" customHeight="false" outlineLevel="0" collapsed="false">
      <c r="A52" s="1538" t="n">
        <f aca="false">'Annex 12-Gas'!A52</f>
        <v>38169</v>
      </c>
      <c r="C52" s="488" t="n">
        <f aca="false">IF($A52&gt;Endyr,0,VLOOKUP($A52,Tariff_Table,Tariff!$L$33))</f>
        <v>1.21</v>
      </c>
      <c r="D52" s="427" t="n">
        <f aca="false">VLOOKUP($A52,Curves_Table,Escalation!$AL$291)</f>
        <v>1.18952904665845</v>
      </c>
      <c r="E52" s="1609" t="n">
        <f aca="false">C52*D52</f>
        <v>1.43933014645673</v>
      </c>
      <c r="F52" s="1314" t="n">
        <f aca="false">IF($A52&gt;Endyr,0,VLOOKUP($A52,Tariff_Table,Tariff!$M$33))</f>
        <v>0.25</v>
      </c>
      <c r="G52" s="1609" t="n">
        <f aca="false">SUM(E52,F52)</f>
        <v>1.68933014645673</v>
      </c>
      <c r="H52" s="397" t="n">
        <f aca="false">VLOOKUP($A52,Plant_Table,'Plant Operations'!$T$270)</f>
        <v>2092866.048</v>
      </c>
      <c r="I52" s="1566" t="n">
        <f aca="false">G52*H52/1000</f>
        <v>3535.54170738216</v>
      </c>
      <c r="J52" s="1567" t="str">
        <f aca="false">IF(MONTH($A52)=12,SUM(I41:I52)," ")</f>
        <v> </v>
      </c>
      <c r="L52" s="1610" t="n">
        <f aca="false">IF($A52&lt;Startops2,0,VLOOKUP($A52,Tariff_Table,Tariff!$N$33))</f>
        <v>0</v>
      </c>
      <c r="M52" s="397" t="n">
        <f aca="false">H52</f>
        <v>2092866.048</v>
      </c>
      <c r="N52" s="1611" t="n">
        <f aca="false">L52*M52/1000</f>
        <v>0</v>
      </c>
      <c r="O52" s="1611" t="n">
        <f aca="false">IF($A52&gt;Endyr,0,VLOOKUP($A52,Tariff_Table,Tariff!$O$33))</f>
        <v>3260.91348</v>
      </c>
      <c r="P52" s="427" t="n">
        <f aca="false">VLOOKUP($A52,Curves_Table,Escalation!$AP$291)</f>
        <v>1.20034933429065</v>
      </c>
      <c r="Q52" s="1604" t="n">
        <f aca="false">SUM(N52,O52)*P52</f>
        <v>3914.23532489741</v>
      </c>
      <c r="R52" s="1579" t="str">
        <f aca="false">IF(MONTH($A52)=12,SUM(Q41:Q52)," ")</f>
        <v> </v>
      </c>
    </row>
    <row r="53" customFormat="false" ht="12.75" hidden="false" customHeight="false" outlineLevel="0" collapsed="false">
      <c r="A53" s="1538" t="n">
        <f aca="false">'Annex 12-Gas'!A53</f>
        <v>38200</v>
      </c>
      <c r="C53" s="488" t="n">
        <f aca="false">IF($A53&gt;Endyr,0,VLOOKUP($A53,Tariff_Table,Tariff!$L$33))</f>
        <v>1.21</v>
      </c>
      <c r="D53" s="427" t="n">
        <f aca="false">VLOOKUP($A53,Curves_Table,Escalation!$AL$291)</f>
        <v>1.18952904665845</v>
      </c>
      <c r="E53" s="1609" t="n">
        <f aca="false">C53*D53</f>
        <v>1.43933014645673</v>
      </c>
      <c r="F53" s="1314" t="n">
        <f aca="false">IF($A53&gt;Endyr,0,VLOOKUP($A53,Tariff_Table,Tariff!$M$33))</f>
        <v>0.25</v>
      </c>
      <c r="G53" s="1609" t="n">
        <f aca="false">SUM(E53,F53)</f>
        <v>1.68933014645673</v>
      </c>
      <c r="H53" s="397" t="n">
        <f aca="false">VLOOKUP($A53,Plant_Table,'Plant Operations'!$T$270)</f>
        <v>2092866.048</v>
      </c>
      <c r="I53" s="1566" t="n">
        <f aca="false">G53*H53/1000</f>
        <v>3535.54170738216</v>
      </c>
      <c r="J53" s="1567" t="str">
        <f aca="false">IF(MONTH($A53)=12,SUM(I42:I53)," ")</f>
        <v> </v>
      </c>
      <c r="L53" s="1610" t="n">
        <f aca="false">IF($A53&lt;Startops2,0,VLOOKUP($A53,Tariff_Table,Tariff!$N$33))</f>
        <v>0</v>
      </c>
      <c r="M53" s="397" t="n">
        <f aca="false">H53</f>
        <v>2092866.048</v>
      </c>
      <c r="N53" s="1611" t="n">
        <f aca="false">L53*M53/1000</f>
        <v>0</v>
      </c>
      <c r="O53" s="1611" t="n">
        <f aca="false">IF($A53&gt;Endyr,0,VLOOKUP($A53,Tariff_Table,Tariff!$O$33))</f>
        <v>3260.91348</v>
      </c>
      <c r="P53" s="427" t="n">
        <f aca="false">VLOOKUP($A53,Curves_Table,Escalation!$AP$291)</f>
        <v>1.20034933429065</v>
      </c>
      <c r="Q53" s="1604" t="n">
        <f aca="false">SUM(N53,O53)*P53</f>
        <v>3914.23532489741</v>
      </c>
      <c r="R53" s="1579" t="str">
        <f aca="false">IF(MONTH($A53)=12,SUM(Q42:Q53)," ")</f>
        <v> </v>
      </c>
    </row>
    <row r="54" customFormat="false" ht="12.75" hidden="false" customHeight="false" outlineLevel="0" collapsed="false">
      <c r="A54" s="1538" t="n">
        <f aca="false">'Annex 12-Gas'!A54</f>
        <v>38231</v>
      </c>
      <c r="C54" s="488" t="n">
        <f aca="false">IF($A54&gt;Endyr,0,VLOOKUP($A54,Tariff_Table,Tariff!$L$33))</f>
        <v>1.21</v>
      </c>
      <c r="D54" s="427" t="n">
        <f aca="false">VLOOKUP($A54,Curves_Table,Escalation!$AL$291)</f>
        <v>1.18952904665845</v>
      </c>
      <c r="E54" s="1609" t="n">
        <f aca="false">C54*D54</f>
        <v>1.43933014645673</v>
      </c>
      <c r="F54" s="1314" t="n">
        <f aca="false">IF($A54&gt;Endyr,0,VLOOKUP($A54,Tariff_Table,Tariff!$M$33))</f>
        <v>0.25</v>
      </c>
      <c r="G54" s="1609" t="n">
        <f aca="false">SUM(E54,F54)</f>
        <v>1.68933014645673</v>
      </c>
      <c r="H54" s="397" t="n">
        <f aca="false">VLOOKUP($A54,Plant_Table,'Plant Operations'!$T$270)</f>
        <v>2025354.24</v>
      </c>
      <c r="I54" s="1566" t="n">
        <f aca="false">G54*H54/1000</f>
        <v>3421.49197488596</v>
      </c>
      <c r="J54" s="1567" t="str">
        <f aca="false">IF(MONTH($A54)=12,SUM(I43:I54)," ")</f>
        <v> </v>
      </c>
      <c r="L54" s="1610" t="n">
        <f aca="false">IF($A54&lt;Startops2,0,VLOOKUP($A54,Tariff_Table,Tariff!$N$33))</f>
        <v>0</v>
      </c>
      <c r="M54" s="397" t="n">
        <f aca="false">H54</f>
        <v>2025354.24</v>
      </c>
      <c r="N54" s="1611" t="n">
        <f aca="false">L54*M54/1000</f>
        <v>0</v>
      </c>
      <c r="O54" s="1611" t="n">
        <f aca="false">IF($A54&gt;Endyr,0,VLOOKUP($A54,Tariff_Table,Tariff!$O$33))</f>
        <v>3260.91348</v>
      </c>
      <c r="P54" s="427" t="n">
        <f aca="false">VLOOKUP($A54,Curves_Table,Escalation!$AP$291)</f>
        <v>1.20034933429065</v>
      </c>
      <c r="Q54" s="1604" t="n">
        <f aca="false">SUM(N54,O54)*P54</f>
        <v>3914.23532489741</v>
      </c>
      <c r="R54" s="1579" t="str">
        <f aca="false">IF(MONTH($A54)=12,SUM(Q43:Q54)," ")</f>
        <v> </v>
      </c>
    </row>
    <row r="55" customFormat="false" ht="12.75" hidden="false" customHeight="false" outlineLevel="0" collapsed="false">
      <c r="A55" s="1538" t="n">
        <f aca="false">'Annex 12-Gas'!A55</f>
        <v>38261</v>
      </c>
      <c r="C55" s="488" t="n">
        <f aca="false">IF($A55&gt;Endyr,0,VLOOKUP($A55,Tariff_Table,Tariff!$L$33))</f>
        <v>1.21</v>
      </c>
      <c r="D55" s="427" t="n">
        <f aca="false">VLOOKUP($A55,Curves_Table,Escalation!$AL$291)</f>
        <v>1.18952904665845</v>
      </c>
      <c r="E55" s="1609" t="n">
        <f aca="false">C55*D55</f>
        <v>1.43933014645673</v>
      </c>
      <c r="F55" s="1314" t="n">
        <f aca="false">IF($A55&gt;Endyr,0,VLOOKUP($A55,Tariff_Table,Tariff!$M$33))</f>
        <v>0.25</v>
      </c>
      <c r="G55" s="1609" t="n">
        <f aca="false">SUM(E55,F55)</f>
        <v>1.68933014645673</v>
      </c>
      <c r="H55" s="397" t="n">
        <f aca="false">VLOOKUP($A55,Plant_Table,'Plant Operations'!$T$270)</f>
        <v>2092866.048</v>
      </c>
      <c r="I55" s="1566" t="n">
        <f aca="false">G55*H55/1000</f>
        <v>3535.54170738216</v>
      </c>
      <c r="J55" s="1567" t="str">
        <f aca="false">IF(MONTH($A55)=12,SUM(I44:I55)," ")</f>
        <v> </v>
      </c>
      <c r="L55" s="1610" t="n">
        <f aca="false">IF($A55&lt;Startops2,0,VLOOKUP($A55,Tariff_Table,Tariff!$N$33))</f>
        <v>0</v>
      </c>
      <c r="M55" s="397" t="n">
        <f aca="false">H55</f>
        <v>2092866.048</v>
      </c>
      <c r="N55" s="1611" t="n">
        <f aca="false">L55*M55/1000</f>
        <v>0</v>
      </c>
      <c r="O55" s="1611" t="n">
        <f aca="false">IF($A55&gt;Endyr,0,VLOOKUP($A55,Tariff_Table,Tariff!$O$33))</f>
        <v>3260.91348</v>
      </c>
      <c r="P55" s="427" t="n">
        <f aca="false">VLOOKUP($A55,Curves_Table,Escalation!$AP$291)</f>
        <v>1.20034933429065</v>
      </c>
      <c r="Q55" s="1604" t="n">
        <f aca="false">SUM(N55,O55)*P55</f>
        <v>3914.23532489741</v>
      </c>
      <c r="R55" s="1579" t="str">
        <f aca="false">IF(MONTH($A55)=12,SUM(Q44:Q55)," ")</f>
        <v> </v>
      </c>
    </row>
    <row r="56" customFormat="false" ht="12.75" hidden="false" customHeight="false" outlineLevel="0" collapsed="false">
      <c r="A56" s="1538" t="n">
        <f aca="false">'Annex 12-Gas'!A56</f>
        <v>38292</v>
      </c>
      <c r="C56" s="488" t="n">
        <f aca="false">IF($A56&gt;Endyr,0,VLOOKUP($A56,Tariff_Table,Tariff!$L$33))</f>
        <v>1.21</v>
      </c>
      <c r="D56" s="427" t="n">
        <f aca="false">VLOOKUP($A56,Curves_Table,Escalation!$AL$291)</f>
        <v>1.18952904665845</v>
      </c>
      <c r="E56" s="1609" t="n">
        <f aca="false">C56*D56</f>
        <v>1.43933014645673</v>
      </c>
      <c r="F56" s="1314" t="n">
        <f aca="false">IF($A56&gt;Endyr,0,VLOOKUP($A56,Tariff_Table,Tariff!$M$33))</f>
        <v>0.25</v>
      </c>
      <c r="G56" s="1609" t="n">
        <f aca="false">SUM(E56,F56)</f>
        <v>1.68933014645673</v>
      </c>
      <c r="H56" s="397" t="n">
        <f aca="false">VLOOKUP($A56,Plant_Table,'Plant Operations'!$T$270)</f>
        <v>2025354.24</v>
      </c>
      <c r="I56" s="1566" t="n">
        <f aca="false">G56*H56/1000</f>
        <v>3421.49197488596</v>
      </c>
      <c r="J56" s="1567" t="str">
        <f aca="false">IF(MONTH($A56)=12,SUM(I45:I56)," ")</f>
        <v> </v>
      </c>
      <c r="L56" s="1610" t="n">
        <f aca="false">IF($A56&lt;Startops2,0,VLOOKUP($A56,Tariff_Table,Tariff!$N$33))</f>
        <v>0</v>
      </c>
      <c r="M56" s="397" t="n">
        <f aca="false">H56</f>
        <v>2025354.24</v>
      </c>
      <c r="N56" s="1611" t="n">
        <f aca="false">L56*M56/1000</f>
        <v>0</v>
      </c>
      <c r="O56" s="1611" t="n">
        <f aca="false">IF($A56&gt;Endyr,0,VLOOKUP($A56,Tariff_Table,Tariff!$O$33))</f>
        <v>3260.91348</v>
      </c>
      <c r="P56" s="427" t="n">
        <f aca="false">VLOOKUP($A56,Curves_Table,Escalation!$AP$291)</f>
        <v>1.20034933429065</v>
      </c>
      <c r="Q56" s="1604" t="n">
        <f aca="false">SUM(N56,O56)*P56</f>
        <v>3914.23532489741</v>
      </c>
      <c r="R56" s="1579" t="str">
        <f aca="false">IF(MONTH($A56)=12,SUM(Q45:Q56)," ")</f>
        <v> </v>
      </c>
    </row>
    <row r="57" customFormat="false" ht="12.75" hidden="false" customHeight="false" outlineLevel="0" collapsed="false">
      <c r="A57" s="1538" t="n">
        <f aca="false">'Annex 12-Gas'!A57</f>
        <v>38322</v>
      </c>
      <c r="C57" s="488" t="n">
        <f aca="false">IF($A57&gt;Endyr,0,VLOOKUP($A57,Tariff_Table,Tariff!$L$33))</f>
        <v>1.21</v>
      </c>
      <c r="D57" s="427" t="n">
        <f aca="false">VLOOKUP($A57,Curves_Table,Escalation!$AL$291)</f>
        <v>1.18952904665845</v>
      </c>
      <c r="E57" s="1609" t="n">
        <f aca="false">C57*D57</f>
        <v>1.43933014645673</v>
      </c>
      <c r="F57" s="1314" t="n">
        <f aca="false">IF($A57&gt;Endyr,0,VLOOKUP($A57,Tariff_Table,Tariff!$M$33))</f>
        <v>0.25</v>
      </c>
      <c r="G57" s="1609" t="n">
        <f aca="false">SUM(E57,F57)</f>
        <v>1.68933014645673</v>
      </c>
      <c r="H57" s="397" t="n">
        <f aca="false">VLOOKUP($A57,Plant_Table,'Plant Operations'!$T$270)</f>
        <v>2092866.048</v>
      </c>
      <c r="I57" s="1566" t="n">
        <f aca="false">G57*H57/1000</f>
        <v>3535.54170738216</v>
      </c>
      <c r="J57" s="1567" t="n">
        <f aca="false">IF(MONTH($A57)=12,SUM(I46:I57)," ")</f>
        <v>41436.3691096761</v>
      </c>
      <c r="L57" s="1610" t="n">
        <f aca="false">IF($A57&lt;Startops2,0,VLOOKUP($A57,Tariff_Table,Tariff!$N$33))</f>
        <v>0</v>
      </c>
      <c r="M57" s="397" t="n">
        <f aca="false">H57</f>
        <v>2092866.048</v>
      </c>
      <c r="N57" s="1611" t="n">
        <f aca="false">L57*M57/1000</f>
        <v>0</v>
      </c>
      <c r="O57" s="1611" t="n">
        <f aca="false">IF($A57&gt;Endyr,0,VLOOKUP($A57,Tariff_Table,Tariff!$O$33))</f>
        <v>3260.91348</v>
      </c>
      <c r="P57" s="427" t="n">
        <f aca="false">VLOOKUP($A57,Curves_Table,Escalation!$AP$291)</f>
        <v>1.20034933429065</v>
      </c>
      <c r="Q57" s="1604" t="n">
        <f aca="false">SUM(N57,O57)*P57</f>
        <v>3914.23532489741</v>
      </c>
      <c r="R57" s="1579" t="n">
        <f aca="false">IF(MONTH($A57)=12,SUM(Q46:Q57)," ")</f>
        <v>46518.3306722354</v>
      </c>
    </row>
    <row r="58" customFormat="false" ht="12.75" hidden="false" customHeight="false" outlineLevel="0" collapsed="false">
      <c r="A58" s="1538" t="n">
        <f aca="false">'Annex 12-Gas'!A58</f>
        <v>38353</v>
      </c>
      <c r="C58" s="488" t="n">
        <f aca="false">IF($A58&gt;Endyr,0,VLOOKUP($A58,Tariff_Table,Tariff!$L$33))</f>
        <v>1.21</v>
      </c>
      <c r="D58" s="427" t="n">
        <f aca="false">VLOOKUP($A58,Curves_Table,Escalation!$AL$291)</f>
        <v>1.18952904665845</v>
      </c>
      <c r="E58" s="1609" t="n">
        <f aca="false">C58*D58</f>
        <v>1.43933014645673</v>
      </c>
      <c r="F58" s="1314" t="n">
        <f aca="false">IF($A58&gt;Endyr,0,VLOOKUP($A58,Tariff_Table,Tariff!$M$33))</f>
        <v>0.25</v>
      </c>
      <c r="G58" s="1609" t="n">
        <f aca="false">SUM(E58,F58)</f>
        <v>1.68933014645673</v>
      </c>
      <c r="H58" s="397" t="n">
        <f aca="false">VLOOKUP($A58,Plant_Table,'Plant Operations'!$T$270)</f>
        <v>2092866.048</v>
      </c>
      <c r="I58" s="1566" t="n">
        <f aca="false">G58*H58/1000</f>
        <v>3535.54170738216</v>
      </c>
      <c r="J58" s="1567" t="str">
        <f aca="false">IF(MONTH($A58)=12,SUM(I47:I58)," ")</f>
        <v> </v>
      </c>
      <c r="L58" s="1610" t="n">
        <f aca="false">IF($A58&lt;Startops2,0,VLOOKUP($A58,Tariff_Table,Tariff!$N$33))</f>
        <v>0</v>
      </c>
      <c r="M58" s="397" t="n">
        <f aca="false">H58</f>
        <v>2092866.048</v>
      </c>
      <c r="N58" s="1611" t="n">
        <f aca="false">L58*M58/1000</f>
        <v>0</v>
      </c>
      <c r="O58" s="1611" t="n">
        <f aca="false">IF($A58&gt;Endyr,0,VLOOKUP($A58,Tariff_Table,Tariff!$O$33))</f>
        <v>3260.91348</v>
      </c>
      <c r="P58" s="427" t="n">
        <f aca="false">VLOOKUP($A58,Curves_Table,Escalation!$AP$291)</f>
        <v>1.20034933429065</v>
      </c>
      <c r="Q58" s="1604" t="n">
        <f aca="false">SUM(N58,O58)*P58</f>
        <v>3914.23532489741</v>
      </c>
      <c r="R58" s="1579" t="str">
        <f aca="false">IF(MONTH($A58)=12,SUM(Q47:Q58)," ")</f>
        <v> </v>
      </c>
    </row>
    <row r="59" customFormat="false" ht="12.75" hidden="false" customHeight="false" outlineLevel="0" collapsed="false">
      <c r="A59" s="1538" t="n">
        <f aca="false">'Annex 12-Gas'!A59</f>
        <v>38384</v>
      </c>
      <c r="C59" s="488" t="n">
        <f aca="false">IF($A59&gt;Endyr,0,VLOOKUP($A59,Tariff_Table,Tariff!$L$33))</f>
        <v>1.21</v>
      </c>
      <c r="D59" s="427" t="n">
        <f aca="false">VLOOKUP($A59,Curves_Table,Escalation!$AL$291)</f>
        <v>1.18952904665845</v>
      </c>
      <c r="E59" s="1609" t="n">
        <f aca="false">C59*D59</f>
        <v>1.43933014645673</v>
      </c>
      <c r="F59" s="1314" t="n">
        <f aca="false">IF($A59&gt;Endyr,0,VLOOKUP($A59,Tariff_Table,Tariff!$M$33))</f>
        <v>0.25</v>
      </c>
      <c r="G59" s="1609" t="n">
        <f aca="false">SUM(E59,F59)</f>
        <v>1.68933014645673</v>
      </c>
      <c r="H59" s="397" t="n">
        <f aca="false">VLOOKUP($A59,Plant_Table,'Plant Operations'!$T$270)</f>
        <v>1890330.624</v>
      </c>
      <c r="I59" s="1566" t="n">
        <f aca="false">G59*H59/1000</f>
        <v>3193.39250989356</v>
      </c>
      <c r="J59" s="1567" t="str">
        <f aca="false">IF(MONTH($A59)=12,SUM(I48:I59)," ")</f>
        <v> </v>
      </c>
      <c r="L59" s="1610" t="n">
        <f aca="false">IF($A59&lt;Startops2,0,VLOOKUP($A59,Tariff_Table,Tariff!$N$33))</f>
        <v>0</v>
      </c>
      <c r="M59" s="397" t="n">
        <f aca="false">H59</f>
        <v>1890330.624</v>
      </c>
      <c r="N59" s="1611" t="n">
        <f aca="false">L59*M59/1000</f>
        <v>0</v>
      </c>
      <c r="O59" s="1611" t="n">
        <f aca="false">IF($A59&gt;Endyr,0,VLOOKUP($A59,Tariff_Table,Tariff!$O$33))</f>
        <v>3260.91348</v>
      </c>
      <c r="P59" s="427" t="n">
        <f aca="false">VLOOKUP($A59,Curves_Table,Escalation!$AP$291)</f>
        <v>1.20034933429065</v>
      </c>
      <c r="Q59" s="1604" t="n">
        <f aca="false">SUM(N59,O59)*P59</f>
        <v>3914.23532489741</v>
      </c>
      <c r="R59" s="1579" t="str">
        <f aca="false">IF(MONTH($A59)=12,SUM(Q48:Q59)," ")</f>
        <v> </v>
      </c>
    </row>
    <row r="60" customFormat="false" ht="12.75" hidden="false" customHeight="false" outlineLevel="0" collapsed="false">
      <c r="A60" s="1538" t="n">
        <f aca="false">'Annex 12-Gas'!A60</f>
        <v>38412</v>
      </c>
      <c r="C60" s="488" t="n">
        <f aca="false">IF($A60&gt;Endyr,0,VLOOKUP($A60,Tariff_Table,Tariff!$L$33))</f>
        <v>1.21</v>
      </c>
      <c r="D60" s="427" t="n">
        <f aca="false">VLOOKUP($A60,Curves_Table,Escalation!$AL$291)</f>
        <v>1.18952904665845</v>
      </c>
      <c r="E60" s="1609" t="n">
        <f aca="false">C60*D60</f>
        <v>1.43933014645673</v>
      </c>
      <c r="F60" s="1314" t="n">
        <f aca="false">IF($A60&gt;Endyr,0,VLOOKUP($A60,Tariff_Table,Tariff!$M$33))</f>
        <v>0.25</v>
      </c>
      <c r="G60" s="1609" t="n">
        <f aca="false">SUM(E60,F60)</f>
        <v>1.68933014645673</v>
      </c>
      <c r="H60" s="397" t="n">
        <f aca="false">VLOOKUP($A60,Plant_Table,'Plant Operations'!$T$270)</f>
        <v>2092866.048</v>
      </c>
      <c r="I60" s="1566" t="n">
        <f aca="false">G60*H60/1000</f>
        <v>3535.54170738216</v>
      </c>
      <c r="J60" s="1567" t="str">
        <f aca="false">IF(MONTH($A60)=12,SUM(I49:I60)," ")</f>
        <v> </v>
      </c>
      <c r="L60" s="1610" t="n">
        <f aca="false">IF($A60&lt;Startops2,0,VLOOKUP($A60,Tariff_Table,Tariff!$N$33))</f>
        <v>0</v>
      </c>
      <c r="M60" s="397" t="n">
        <f aca="false">H60</f>
        <v>2092866.048</v>
      </c>
      <c r="N60" s="1611" t="n">
        <f aca="false">L60*M60/1000</f>
        <v>0</v>
      </c>
      <c r="O60" s="1611" t="n">
        <f aca="false">IF($A60&gt;Endyr,0,VLOOKUP($A60,Tariff_Table,Tariff!$O$33))</f>
        <v>3260.91348</v>
      </c>
      <c r="P60" s="427" t="n">
        <f aca="false">VLOOKUP($A60,Curves_Table,Escalation!$AP$291)</f>
        <v>1.20034933429065</v>
      </c>
      <c r="Q60" s="1604" t="n">
        <f aca="false">SUM(N60,O60)*P60</f>
        <v>3914.23532489741</v>
      </c>
      <c r="R60" s="1579" t="str">
        <f aca="false">IF(MONTH($A60)=12,SUM(Q49:Q60)," ")</f>
        <v> </v>
      </c>
    </row>
    <row r="61" customFormat="false" ht="12.75" hidden="false" customHeight="false" outlineLevel="0" collapsed="false">
      <c r="A61" s="1538" t="n">
        <f aca="false">'Annex 12-Gas'!A61</f>
        <v>38443</v>
      </c>
      <c r="C61" s="488" t="n">
        <f aca="false">IF($A61&gt;Endyr,0,VLOOKUP($A61,Tariff_Table,Tariff!$L$33))</f>
        <v>1.21</v>
      </c>
      <c r="D61" s="427" t="n">
        <f aca="false">VLOOKUP($A61,Curves_Table,Escalation!$AL$291)</f>
        <v>1.18952904665845</v>
      </c>
      <c r="E61" s="1609" t="n">
        <f aca="false">C61*D61</f>
        <v>1.43933014645673</v>
      </c>
      <c r="F61" s="1314" t="n">
        <f aca="false">IF($A61&gt;Endyr,0,VLOOKUP($A61,Tariff_Table,Tariff!$M$33))</f>
        <v>0.25</v>
      </c>
      <c r="G61" s="1609" t="n">
        <f aca="false">SUM(E61,F61)</f>
        <v>1.68933014645673</v>
      </c>
      <c r="H61" s="397" t="n">
        <f aca="false">VLOOKUP($A61,Plant_Table,'Plant Operations'!$T$270)</f>
        <v>2025354.24</v>
      </c>
      <c r="I61" s="1566" t="n">
        <f aca="false">G61*H61/1000</f>
        <v>3421.49197488596</v>
      </c>
      <c r="J61" s="1567" t="str">
        <f aca="false">IF(MONTH($A61)=12,SUM(I50:I61)," ")</f>
        <v> </v>
      </c>
      <c r="L61" s="1610" t="n">
        <f aca="false">IF($A61&lt;Startops2,0,VLOOKUP($A61,Tariff_Table,Tariff!$N$33))</f>
        <v>0</v>
      </c>
      <c r="M61" s="397" t="n">
        <f aca="false">H61</f>
        <v>2025354.24</v>
      </c>
      <c r="N61" s="1611" t="n">
        <f aca="false">L61*M61/1000</f>
        <v>0</v>
      </c>
      <c r="O61" s="1611" t="n">
        <f aca="false">IF($A61&gt;Endyr,0,VLOOKUP($A61,Tariff_Table,Tariff!$O$33))</f>
        <v>3260.91348</v>
      </c>
      <c r="P61" s="427" t="n">
        <f aca="false">VLOOKUP($A61,Curves_Table,Escalation!$AP$291)</f>
        <v>1.20034933429065</v>
      </c>
      <c r="Q61" s="1604" t="n">
        <f aca="false">SUM(N61,O61)*P61</f>
        <v>3914.23532489741</v>
      </c>
      <c r="R61" s="1579" t="str">
        <f aca="false">IF(MONTH($A61)=12,SUM(Q50:Q61)," ")</f>
        <v> </v>
      </c>
    </row>
    <row r="62" customFormat="false" ht="12.75" hidden="false" customHeight="false" outlineLevel="0" collapsed="false">
      <c r="A62" s="1538" t="n">
        <f aca="false">'Annex 12-Gas'!A62</f>
        <v>38473</v>
      </c>
      <c r="C62" s="488" t="n">
        <f aca="false">IF($A62&gt;Endyr,0,VLOOKUP($A62,Tariff_Table,Tariff!$L$33))</f>
        <v>1.21</v>
      </c>
      <c r="D62" s="427" t="n">
        <f aca="false">VLOOKUP($A62,Curves_Table,Escalation!$AL$291)</f>
        <v>1.22051988152322</v>
      </c>
      <c r="E62" s="1609" t="n">
        <f aca="false">C62*D62</f>
        <v>1.47682905664309</v>
      </c>
      <c r="F62" s="1314" t="n">
        <f aca="false">IF($A62&gt;Endyr,0,VLOOKUP($A62,Tariff_Table,Tariff!$M$33))</f>
        <v>0.25</v>
      </c>
      <c r="G62" s="1609" t="n">
        <f aca="false">SUM(E62,F62)</f>
        <v>1.72682905664309</v>
      </c>
      <c r="H62" s="397" t="n">
        <f aca="false">VLOOKUP($A62,Plant_Table,'Plant Operations'!$T$270)</f>
        <v>2092866.048</v>
      </c>
      <c r="I62" s="1566" t="n">
        <f aca="false">G62*H62/1000</f>
        <v>3614.0219033482</v>
      </c>
      <c r="J62" s="1567" t="str">
        <f aca="false">IF(MONTH($A62)=12,SUM(I51:I62)," ")</f>
        <v> </v>
      </c>
      <c r="L62" s="1610" t="n">
        <f aca="false">IF($A62&lt;Startops2,0,VLOOKUP($A62,Tariff_Table,Tariff!$N$33))</f>
        <v>0</v>
      </c>
      <c r="M62" s="397" t="n">
        <f aca="false">H62</f>
        <v>2092866.048</v>
      </c>
      <c r="N62" s="1611" t="n">
        <f aca="false">L62*M62/1000</f>
        <v>0</v>
      </c>
      <c r="O62" s="1611" t="n">
        <f aca="false">IF($A62&gt;Endyr,0,VLOOKUP($A62,Tariff_Table,Tariff!$O$33))</f>
        <v>3255.87153</v>
      </c>
      <c r="P62" s="427" t="n">
        <f aca="false">VLOOKUP($A62,Curves_Table,Escalation!$AP$291)</f>
        <v>1.23462294375966</v>
      </c>
      <c r="Q62" s="1604" t="n">
        <f aca="false">SUM(N62,O62)*P62</f>
        <v>4019.77369287188</v>
      </c>
      <c r="R62" s="1579" t="str">
        <f aca="false">IF(MONTH($A62)=12,SUM(Q51:Q62)," ")</f>
        <v> </v>
      </c>
    </row>
    <row r="63" customFormat="false" ht="12.75" hidden="false" customHeight="false" outlineLevel="0" collapsed="false">
      <c r="A63" s="1538" t="n">
        <f aca="false">'Annex 12-Gas'!A63</f>
        <v>38504</v>
      </c>
      <c r="C63" s="488" t="n">
        <f aca="false">IF($A63&gt;Endyr,0,VLOOKUP($A63,Tariff_Table,Tariff!$L$33))</f>
        <v>1.21</v>
      </c>
      <c r="D63" s="427" t="n">
        <f aca="false">VLOOKUP($A63,Curves_Table,Escalation!$AL$291)</f>
        <v>1.22051988152322</v>
      </c>
      <c r="E63" s="1609" t="n">
        <f aca="false">C63*D63</f>
        <v>1.47682905664309</v>
      </c>
      <c r="F63" s="1314" t="n">
        <f aca="false">IF($A63&gt;Endyr,0,VLOOKUP($A63,Tariff_Table,Tariff!$M$33))</f>
        <v>0.25</v>
      </c>
      <c r="G63" s="1609" t="n">
        <f aca="false">SUM(E63,F63)</f>
        <v>1.72682905664309</v>
      </c>
      <c r="H63" s="397" t="n">
        <f aca="false">VLOOKUP($A63,Plant_Table,'Plant Operations'!$T$270)</f>
        <v>2025354.24</v>
      </c>
      <c r="I63" s="1566" t="n">
        <f aca="false">G63*H63/1000</f>
        <v>3497.44055162729</v>
      </c>
      <c r="J63" s="1567" t="str">
        <f aca="false">IF(MONTH($A63)=12,SUM(I52:I63)," ")</f>
        <v> </v>
      </c>
      <c r="L63" s="1610" t="n">
        <f aca="false">IF($A63&lt;Startops2,0,VLOOKUP($A63,Tariff_Table,Tariff!$N$33))</f>
        <v>0</v>
      </c>
      <c r="M63" s="397" t="n">
        <f aca="false">H63</f>
        <v>2025354.24</v>
      </c>
      <c r="N63" s="1611" t="n">
        <f aca="false">L63*M63/1000</f>
        <v>0</v>
      </c>
      <c r="O63" s="1611" t="n">
        <f aca="false">IF($A63&gt;Endyr,0,VLOOKUP($A63,Tariff_Table,Tariff!$O$33))</f>
        <v>3255.87153</v>
      </c>
      <c r="P63" s="427" t="n">
        <f aca="false">VLOOKUP($A63,Curves_Table,Escalation!$AP$291)</f>
        <v>1.23462294375966</v>
      </c>
      <c r="Q63" s="1604" t="n">
        <f aca="false">SUM(N63,O63)*P63</f>
        <v>4019.77369287188</v>
      </c>
      <c r="R63" s="1579" t="str">
        <f aca="false">IF(MONTH($A63)=12,SUM(Q52:Q63)," ")</f>
        <v> </v>
      </c>
    </row>
    <row r="64" customFormat="false" ht="12.75" hidden="false" customHeight="false" outlineLevel="0" collapsed="false">
      <c r="A64" s="1538" t="n">
        <f aca="false">'Annex 12-Gas'!A64</f>
        <v>38534</v>
      </c>
      <c r="C64" s="488" t="n">
        <f aca="false">IF($A64&gt;Endyr,0,VLOOKUP($A64,Tariff_Table,Tariff!$L$33))</f>
        <v>1.21</v>
      </c>
      <c r="D64" s="427" t="n">
        <f aca="false">VLOOKUP($A64,Curves_Table,Escalation!$AL$291)</f>
        <v>1.22051988152322</v>
      </c>
      <c r="E64" s="1609" t="n">
        <f aca="false">C64*D64</f>
        <v>1.47682905664309</v>
      </c>
      <c r="F64" s="1314" t="n">
        <f aca="false">IF($A64&gt;Endyr,0,VLOOKUP($A64,Tariff_Table,Tariff!$M$33))</f>
        <v>0.25</v>
      </c>
      <c r="G64" s="1609" t="n">
        <f aca="false">SUM(E64,F64)</f>
        <v>1.72682905664309</v>
      </c>
      <c r="H64" s="397" t="n">
        <f aca="false">VLOOKUP($A64,Plant_Table,'Plant Operations'!$T$270)</f>
        <v>2092866.048</v>
      </c>
      <c r="I64" s="1566" t="n">
        <f aca="false">G64*H64/1000</f>
        <v>3614.0219033482</v>
      </c>
      <c r="J64" s="1567" t="str">
        <f aca="false">IF(MONTH($A64)=12,SUM(I53:I64)," ")</f>
        <v> </v>
      </c>
      <c r="L64" s="1610" t="n">
        <f aca="false">IF($A64&lt;Startops2,0,VLOOKUP($A64,Tariff_Table,Tariff!$N$33))</f>
        <v>0</v>
      </c>
      <c r="M64" s="397" t="n">
        <f aca="false">H64</f>
        <v>2092866.048</v>
      </c>
      <c r="N64" s="1611" t="n">
        <f aca="false">L64*M64/1000</f>
        <v>0</v>
      </c>
      <c r="O64" s="1611" t="n">
        <f aca="false">IF($A64&gt;Endyr,0,VLOOKUP($A64,Tariff_Table,Tariff!$O$33))</f>
        <v>3255.87153</v>
      </c>
      <c r="P64" s="427" t="n">
        <f aca="false">VLOOKUP($A64,Curves_Table,Escalation!$AP$291)</f>
        <v>1.23462294375966</v>
      </c>
      <c r="Q64" s="1604" t="n">
        <f aca="false">SUM(N64,O64)*P64</f>
        <v>4019.77369287188</v>
      </c>
      <c r="R64" s="1579" t="str">
        <f aca="false">IF(MONTH($A64)=12,SUM(Q53:Q64)," ")</f>
        <v> </v>
      </c>
    </row>
    <row r="65" customFormat="false" ht="12.75" hidden="false" customHeight="false" outlineLevel="0" collapsed="false">
      <c r="A65" s="1538" t="n">
        <f aca="false">'Annex 12-Gas'!A65</f>
        <v>38565</v>
      </c>
      <c r="C65" s="488" t="n">
        <f aca="false">IF($A65&gt;Endyr,0,VLOOKUP($A65,Tariff_Table,Tariff!$L$33))</f>
        <v>1.21</v>
      </c>
      <c r="D65" s="427" t="n">
        <f aca="false">VLOOKUP($A65,Curves_Table,Escalation!$AL$291)</f>
        <v>1.22051988152322</v>
      </c>
      <c r="E65" s="1609" t="n">
        <f aca="false">C65*D65</f>
        <v>1.47682905664309</v>
      </c>
      <c r="F65" s="1314" t="n">
        <f aca="false">IF($A65&gt;Endyr,0,VLOOKUP($A65,Tariff_Table,Tariff!$M$33))</f>
        <v>0.25</v>
      </c>
      <c r="G65" s="1609" t="n">
        <f aca="false">SUM(E65,F65)</f>
        <v>1.72682905664309</v>
      </c>
      <c r="H65" s="397" t="n">
        <f aca="false">VLOOKUP($A65,Plant_Table,'Plant Operations'!$T$270)</f>
        <v>2092866.048</v>
      </c>
      <c r="I65" s="1566" t="n">
        <f aca="false">G65*H65/1000</f>
        <v>3614.0219033482</v>
      </c>
      <c r="J65" s="1567" t="str">
        <f aca="false">IF(MONTH($A65)=12,SUM(I54:I65)," ")</f>
        <v> </v>
      </c>
      <c r="L65" s="1610" t="n">
        <f aca="false">IF($A65&lt;Startops2,0,VLOOKUP($A65,Tariff_Table,Tariff!$N$33))</f>
        <v>0</v>
      </c>
      <c r="M65" s="397" t="n">
        <f aca="false">H65</f>
        <v>2092866.048</v>
      </c>
      <c r="N65" s="1611" t="n">
        <f aca="false">L65*M65/1000</f>
        <v>0</v>
      </c>
      <c r="O65" s="1611" t="n">
        <f aca="false">IF($A65&gt;Endyr,0,VLOOKUP($A65,Tariff_Table,Tariff!$O$33))</f>
        <v>3255.87153</v>
      </c>
      <c r="P65" s="427" t="n">
        <f aca="false">VLOOKUP($A65,Curves_Table,Escalation!$AP$291)</f>
        <v>1.23462294375966</v>
      </c>
      <c r="Q65" s="1604" t="n">
        <f aca="false">SUM(N65,O65)*P65</f>
        <v>4019.77369287188</v>
      </c>
      <c r="R65" s="1579" t="str">
        <f aca="false">IF(MONTH($A65)=12,SUM(Q54:Q65)," ")</f>
        <v> </v>
      </c>
    </row>
    <row r="66" customFormat="false" ht="12.75" hidden="false" customHeight="false" outlineLevel="0" collapsed="false">
      <c r="A66" s="1538" t="n">
        <f aca="false">'Annex 12-Gas'!A66</f>
        <v>38596</v>
      </c>
      <c r="C66" s="488" t="n">
        <f aca="false">IF($A66&gt;Endyr,0,VLOOKUP($A66,Tariff_Table,Tariff!$L$33))</f>
        <v>1.21</v>
      </c>
      <c r="D66" s="427" t="n">
        <f aca="false">VLOOKUP($A66,Curves_Table,Escalation!$AL$291)</f>
        <v>1.22051988152322</v>
      </c>
      <c r="E66" s="1609" t="n">
        <f aca="false">C66*D66</f>
        <v>1.47682905664309</v>
      </c>
      <c r="F66" s="1314" t="n">
        <f aca="false">IF($A66&gt;Endyr,0,VLOOKUP($A66,Tariff_Table,Tariff!$M$33))</f>
        <v>0.25</v>
      </c>
      <c r="G66" s="1609" t="n">
        <f aca="false">SUM(E66,F66)</f>
        <v>1.72682905664309</v>
      </c>
      <c r="H66" s="397" t="n">
        <f aca="false">VLOOKUP($A66,Plant_Table,'Plant Operations'!$T$270)</f>
        <v>2025354.24</v>
      </c>
      <c r="I66" s="1566" t="n">
        <f aca="false">G66*H66/1000</f>
        <v>3497.44055162729</v>
      </c>
      <c r="J66" s="1567" t="str">
        <f aca="false">IF(MONTH($A66)=12,SUM(I55:I66)," ")</f>
        <v> </v>
      </c>
      <c r="L66" s="1610" t="n">
        <f aca="false">IF($A66&lt;Startops2,0,VLOOKUP($A66,Tariff_Table,Tariff!$N$33))</f>
        <v>0</v>
      </c>
      <c r="M66" s="397" t="n">
        <f aca="false">H66</f>
        <v>2025354.24</v>
      </c>
      <c r="N66" s="1611" t="n">
        <f aca="false">L66*M66/1000</f>
        <v>0</v>
      </c>
      <c r="O66" s="1611" t="n">
        <f aca="false">IF($A66&gt;Endyr,0,VLOOKUP($A66,Tariff_Table,Tariff!$O$33))</f>
        <v>3255.87153</v>
      </c>
      <c r="P66" s="427" t="n">
        <f aca="false">VLOOKUP($A66,Curves_Table,Escalation!$AP$291)</f>
        <v>1.23462294375966</v>
      </c>
      <c r="Q66" s="1604" t="n">
        <f aca="false">SUM(N66,O66)*P66</f>
        <v>4019.77369287188</v>
      </c>
      <c r="R66" s="1579" t="str">
        <f aca="false">IF(MONTH($A66)=12,SUM(Q55:Q66)," ")</f>
        <v> </v>
      </c>
    </row>
    <row r="67" customFormat="false" ht="12.75" hidden="false" customHeight="false" outlineLevel="0" collapsed="false">
      <c r="A67" s="1538" t="n">
        <f aca="false">'Annex 12-Gas'!A67</f>
        <v>38626</v>
      </c>
      <c r="C67" s="488" t="n">
        <f aca="false">IF($A67&gt;Endyr,0,VLOOKUP($A67,Tariff_Table,Tariff!$L$33))</f>
        <v>1.21</v>
      </c>
      <c r="D67" s="427" t="n">
        <f aca="false">VLOOKUP($A67,Curves_Table,Escalation!$AL$291)</f>
        <v>1.22051988152322</v>
      </c>
      <c r="E67" s="1609" t="n">
        <f aca="false">C67*D67</f>
        <v>1.47682905664309</v>
      </c>
      <c r="F67" s="1314" t="n">
        <f aca="false">IF($A67&gt;Endyr,0,VLOOKUP($A67,Tariff_Table,Tariff!$M$33))</f>
        <v>0.25</v>
      </c>
      <c r="G67" s="1609" t="n">
        <f aca="false">SUM(E67,F67)</f>
        <v>1.72682905664309</v>
      </c>
      <c r="H67" s="397" t="n">
        <f aca="false">VLOOKUP($A67,Plant_Table,'Plant Operations'!$T$270)</f>
        <v>2092866.048</v>
      </c>
      <c r="I67" s="1566" t="n">
        <f aca="false">G67*H67/1000</f>
        <v>3614.0219033482</v>
      </c>
      <c r="J67" s="1567" t="str">
        <f aca="false">IF(MONTH($A67)=12,SUM(I56:I67)," ")</f>
        <v> </v>
      </c>
      <c r="L67" s="1610" t="n">
        <f aca="false">IF($A67&lt;Startops2,0,VLOOKUP($A67,Tariff_Table,Tariff!$N$33))</f>
        <v>0</v>
      </c>
      <c r="M67" s="397" t="n">
        <f aca="false">H67</f>
        <v>2092866.048</v>
      </c>
      <c r="N67" s="1611" t="n">
        <f aca="false">L67*M67/1000</f>
        <v>0</v>
      </c>
      <c r="O67" s="1611" t="n">
        <f aca="false">IF($A67&gt;Endyr,0,VLOOKUP($A67,Tariff_Table,Tariff!$O$33))</f>
        <v>3255.87153</v>
      </c>
      <c r="P67" s="427" t="n">
        <f aca="false">VLOOKUP($A67,Curves_Table,Escalation!$AP$291)</f>
        <v>1.23462294375966</v>
      </c>
      <c r="Q67" s="1604" t="n">
        <f aca="false">SUM(N67,O67)*P67</f>
        <v>4019.77369287188</v>
      </c>
      <c r="R67" s="1579" t="str">
        <f aca="false">IF(MONTH($A67)=12,SUM(Q56:Q67)," ")</f>
        <v> </v>
      </c>
    </row>
    <row r="68" customFormat="false" ht="12.75" hidden="false" customHeight="false" outlineLevel="0" collapsed="false">
      <c r="A68" s="1538" t="n">
        <f aca="false">'Annex 12-Gas'!A68</f>
        <v>38657</v>
      </c>
      <c r="C68" s="488" t="n">
        <f aca="false">IF($A68&gt;Endyr,0,VLOOKUP($A68,Tariff_Table,Tariff!$L$33))</f>
        <v>1.21</v>
      </c>
      <c r="D68" s="427" t="n">
        <f aca="false">VLOOKUP($A68,Curves_Table,Escalation!$AL$291)</f>
        <v>1.22051988152322</v>
      </c>
      <c r="E68" s="1609" t="n">
        <f aca="false">C68*D68</f>
        <v>1.47682905664309</v>
      </c>
      <c r="F68" s="1314" t="n">
        <f aca="false">IF($A68&gt;Endyr,0,VLOOKUP($A68,Tariff_Table,Tariff!$M$33))</f>
        <v>0.25</v>
      </c>
      <c r="G68" s="1609" t="n">
        <f aca="false">SUM(E68,F68)</f>
        <v>1.72682905664309</v>
      </c>
      <c r="H68" s="397" t="n">
        <f aca="false">VLOOKUP($A68,Plant_Table,'Plant Operations'!$T$270)</f>
        <v>2025354.24</v>
      </c>
      <c r="I68" s="1566" t="n">
        <f aca="false">G68*H68/1000</f>
        <v>3497.44055162729</v>
      </c>
      <c r="J68" s="1567" t="str">
        <f aca="false">IF(MONTH($A68)=12,SUM(I57:I68)," ")</f>
        <v> </v>
      </c>
      <c r="L68" s="1610" t="n">
        <f aca="false">IF($A68&lt;Startops2,0,VLOOKUP($A68,Tariff_Table,Tariff!$N$33))</f>
        <v>0</v>
      </c>
      <c r="M68" s="397" t="n">
        <f aca="false">H68</f>
        <v>2025354.24</v>
      </c>
      <c r="N68" s="1611" t="n">
        <f aca="false">L68*M68/1000</f>
        <v>0</v>
      </c>
      <c r="O68" s="1611" t="n">
        <f aca="false">IF($A68&gt;Endyr,0,VLOOKUP($A68,Tariff_Table,Tariff!$O$33))</f>
        <v>3255.87153</v>
      </c>
      <c r="P68" s="427" t="n">
        <f aca="false">VLOOKUP($A68,Curves_Table,Escalation!$AP$291)</f>
        <v>1.23462294375966</v>
      </c>
      <c r="Q68" s="1604" t="n">
        <f aca="false">SUM(N68,O68)*P68</f>
        <v>4019.77369287188</v>
      </c>
      <c r="R68" s="1579" t="str">
        <f aca="false">IF(MONTH($A68)=12,SUM(Q57:Q68)," ")</f>
        <v> </v>
      </c>
    </row>
    <row r="69" customFormat="false" ht="12.75" hidden="false" customHeight="false" outlineLevel="0" collapsed="false">
      <c r="A69" s="1538" t="n">
        <f aca="false">'Annex 12-Gas'!A69</f>
        <v>38687</v>
      </c>
      <c r="C69" s="488" t="n">
        <f aca="false">IF($A69&gt;Endyr,0,VLOOKUP($A69,Tariff_Table,Tariff!$L$33))</f>
        <v>1.21</v>
      </c>
      <c r="D69" s="427" t="n">
        <f aca="false">VLOOKUP($A69,Curves_Table,Escalation!$AL$291)</f>
        <v>1.22051988152322</v>
      </c>
      <c r="E69" s="1609" t="n">
        <f aca="false">C69*D69</f>
        <v>1.47682905664309</v>
      </c>
      <c r="F69" s="1314" t="n">
        <f aca="false">IF($A69&gt;Endyr,0,VLOOKUP($A69,Tariff_Table,Tariff!$M$33))</f>
        <v>0.25</v>
      </c>
      <c r="G69" s="1609" t="n">
        <f aca="false">SUM(E69,F69)</f>
        <v>1.72682905664309</v>
      </c>
      <c r="H69" s="397" t="n">
        <f aca="false">VLOOKUP($A69,Plant_Table,'Plant Operations'!$T$270)</f>
        <v>2092866.048</v>
      </c>
      <c r="I69" s="1566" t="n">
        <f aca="false">G69*H69/1000</f>
        <v>3614.0219033482</v>
      </c>
      <c r="J69" s="1567" t="n">
        <f aca="false">IF(MONTH($A69)=12,SUM(I58:I69)," ")</f>
        <v>42248.3990711667</v>
      </c>
      <c r="L69" s="1610" t="n">
        <f aca="false">IF($A69&lt;Startops2,0,VLOOKUP($A69,Tariff_Table,Tariff!$N$33))</f>
        <v>0</v>
      </c>
      <c r="M69" s="397" t="n">
        <f aca="false">H69</f>
        <v>2092866.048</v>
      </c>
      <c r="N69" s="1611" t="n">
        <f aca="false">L69*M69/1000</f>
        <v>0</v>
      </c>
      <c r="O69" s="1611" t="n">
        <f aca="false">IF($A69&gt;Endyr,0,VLOOKUP($A69,Tariff_Table,Tariff!$O$33))</f>
        <v>3255.87153</v>
      </c>
      <c r="P69" s="427" t="n">
        <f aca="false">VLOOKUP($A69,Curves_Table,Escalation!$AP$291)</f>
        <v>1.23462294375966</v>
      </c>
      <c r="Q69" s="1604" t="n">
        <f aca="false">SUM(N69,O69)*P69</f>
        <v>4019.77369287188</v>
      </c>
      <c r="R69" s="1579" t="n">
        <f aca="false">IF(MONTH($A69)=12,SUM(Q58:Q69)," ")</f>
        <v>47815.1308425646</v>
      </c>
    </row>
    <row r="70" customFormat="false" ht="12.75" hidden="false" customHeight="false" outlineLevel="0" collapsed="false">
      <c r="A70" s="1538" t="n">
        <f aca="false">'Annex 12-Gas'!A70</f>
        <v>38718</v>
      </c>
      <c r="C70" s="488" t="n">
        <f aca="false">IF($A70&gt;Endyr,0,VLOOKUP($A70,Tariff_Table,Tariff!$L$33))</f>
        <v>1.21</v>
      </c>
      <c r="D70" s="427" t="n">
        <f aca="false">VLOOKUP($A70,Curves_Table,Escalation!$AL$291)</f>
        <v>1.22051988152322</v>
      </c>
      <c r="E70" s="1609" t="n">
        <f aca="false">C70*D70</f>
        <v>1.47682905664309</v>
      </c>
      <c r="F70" s="1314" t="n">
        <f aca="false">IF($A70&gt;Endyr,0,VLOOKUP($A70,Tariff_Table,Tariff!$M$33))</f>
        <v>0.25</v>
      </c>
      <c r="G70" s="1609" t="n">
        <f aca="false">SUM(E70,F70)</f>
        <v>1.72682905664309</v>
      </c>
      <c r="H70" s="397" t="n">
        <f aca="false">VLOOKUP($A70,Plant_Table,'Plant Operations'!$T$270)</f>
        <v>2092866.048</v>
      </c>
      <c r="I70" s="1566" t="n">
        <f aca="false">G70*H70/1000</f>
        <v>3614.0219033482</v>
      </c>
      <c r="J70" s="1567" t="str">
        <f aca="false">IF(MONTH($A70)=12,SUM(I59:I70)," ")</f>
        <v> </v>
      </c>
      <c r="L70" s="1610" t="n">
        <f aca="false">IF($A70&lt;Startops2,0,VLOOKUP($A70,Tariff_Table,Tariff!$N$33))</f>
        <v>0</v>
      </c>
      <c r="M70" s="397" t="n">
        <f aca="false">H70</f>
        <v>2092866.048</v>
      </c>
      <c r="N70" s="1611" t="n">
        <f aca="false">L70*M70/1000</f>
        <v>0</v>
      </c>
      <c r="O70" s="1611" t="n">
        <f aca="false">IF($A70&gt;Endyr,0,VLOOKUP($A70,Tariff_Table,Tariff!$O$33))</f>
        <v>3255.87153</v>
      </c>
      <c r="P70" s="427" t="n">
        <f aca="false">VLOOKUP($A70,Curves_Table,Escalation!$AP$291)</f>
        <v>1.23462294375966</v>
      </c>
      <c r="Q70" s="1604" t="n">
        <f aca="false">SUM(N70,O70)*P70</f>
        <v>4019.77369287188</v>
      </c>
      <c r="R70" s="1579" t="str">
        <f aca="false">IF(MONTH($A70)=12,SUM(Q59:Q70)," ")</f>
        <v> </v>
      </c>
    </row>
    <row r="71" customFormat="false" ht="12.75" hidden="false" customHeight="false" outlineLevel="0" collapsed="false">
      <c r="A71" s="1538" t="n">
        <f aca="false">'Annex 12-Gas'!A71</f>
        <v>38749</v>
      </c>
      <c r="C71" s="488" t="n">
        <f aca="false">IF($A71&gt;Endyr,0,VLOOKUP($A71,Tariff_Table,Tariff!$L$33))</f>
        <v>1.21</v>
      </c>
      <c r="D71" s="427" t="n">
        <f aca="false">VLOOKUP($A71,Curves_Table,Escalation!$AL$291)</f>
        <v>1.22051988152322</v>
      </c>
      <c r="E71" s="1609" t="n">
        <f aca="false">C71*D71</f>
        <v>1.47682905664309</v>
      </c>
      <c r="F71" s="1314" t="n">
        <f aca="false">IF($A71&gt;Endyr,0,VLOOKUP($A71,Tariff_Table,Tariff!$M$33))</f>
        <v>0.25</v>
      </c>
      <c r="G71" s="1609" t="n">
        <f aca="false">SUM(E71,F71)</f>
        <v>1.72682905664309</v>
      </c>
      <c r="H71" s="397" t="n">
        <f aca="false">VLOOKUP($A71,Plant_Table,'Plant Operations'!$T$270)</f>
        <v>1890330.624</v>
      </c>
      <c r="I71" s="1566" t="n">
        <f aca="false">G71*H71/1000</f>
        <v>3264.27784818547</v>
      </c>
      <c r="J71" s="1567" t="str">
        <f aca="false">IF(MONTH($A71)=12,SUM(I60:I71)," ")</f>
        <v> </v>
      </c>
      <c r="L71" s="1610" t="n">
        <f aca="false">IF($A71&lt;Startops2,0,VLOOKUP($A71,Tariff_Table,Tariff!$N$33))</f>
        <v>0</v>
      </c>
      <c r="M71" s="397" t="n">
        <f aca="false">H71</f>
        <v>1890330.624</v>
      </c>
      <c r="N71" s="1611" t="n">
        <f aca="false">L71*M71/1000</f>
        <v>0</v>
      </c>
      <c r="O71" s="1611" t="n">
        <f aca="false">IF($A71&gt;Endyr,0,VLOOKUP($A71,Tariff_Table,Tariff!$O$33))</f>
        <v>3255.87153</v>
      </c>
      <c r="P71" s="427" t="n">
        <f aca="false">VLOOKUP($A71,Curves_Table,Escalation!$AP$291)</f>
        <v>1.23462294375966</v>
      </c>
      <c r="Q71" s="1604" t="n">
        <f aca="false">SUM(N71,O71)*P71</f>
        <v>4019.77369287188</v>
      </c>
      <c r="R71" s="1579" t="str">
        <f aca="false">IF(MONTH($A71)=12,SUM(Q60:Q71)," ")</f>
        <v> </v>
      </c>
    </row>
    <row r="72" customFormat="false" ht="12.75" hidden="false" customHeight="false" outlineLevel="0" collapsed="false">
      <c r="A72" s="1538" t="n">
        <f aca="false">'Annex 12-Gas'!A72</f>
        <v>38777</v>
      </c>
      <c r="C72" s="488" t="n">
        <f aca="false">IF($A72&gt;Endyr,0,VLOOKUP($A72,Tariff_Table,Tariff!$L$33))</f>
        <v>1.21</v>
      </c>
      <c r="D72" s="427" t="n">
        <f aca="false">VLOOKUP($A72,Curves_Table,Escalation!$AL$291)</f>
        <v>1.22051988152322</v>
      </c>
      <c r="E72" s="1609" t="n">
        <f aca="false">C72*D72</f>
        <v>1.47682905664309</v>
      </c>
      <c r="F72" s="1314" t="n">
        <f aca="false">IF($A72&gt;Endyr,0,VLOOKUP($A72,Tariff_Table,Tariff!$M$33))</f>
        <v>0.25</v>
      </c>
      <c r="G72" s="1609" t="n">
        <f aca="false">SUM(E72,F72)</f>
        <v>1.72682905664309</v>
      </c>
      <c r="H72" s="397" t="n">
        <f aca="false">VLOOKUP($A72,Plant_Table,'Plant Operations'!$T$270)</f>
        <v>2092866.048</v>
      </c>
      <c r="I72" s="1566" t="n">
        <f aca="false">G72*H72/1000</f>
        <v>3614.0219033482</v>
      </c>
      <c r="J72" s="1567" t="str">
        <f aca="false">IF(MONTH($A72)=12,SUM(I61:I72)," ")</f>
        <v> </v>
      </c>
      <c r="L72" s="1610" t="n">
        <f aca="false">IF($A72&lt;Startops2,0,VLOOKUP($A72,Tariff_Table,Tariff!$N$33))</f>
        <v>0</v>
      </c>
      <c r="M72" s="397" t="n">
        <f aca="false">H72</f>
        <v>2092866.048</v>
      </c>
      <c r="N72" s="1611" t="n">
        <f aca="false">L72*M72/1000</f>
        <v>0</v>
      </c>
      <c r="O72" s="1611" t="n">
        <f aca="false">IF($A72&gt;Endyr,0,VLOOKUP($A72,Tariff_Table,Tariff!$O$33))</f>
        <v>3255.87153</v>
      </c>
      <c r="P72" s="427" t="n">
        <f aca="false">VLOOKUP($A72,Curves_Table,Escalation!$AP$291)</f>
        <v>1.23462294375966</v>
      </c>
      <c r="Q72" s="1604" t="n">
        <f aca="false">SUM(N72,O72)*P72</f>
        <v>4019.77369287188</v>
      </c>
      <c r="R72" s="1579" t="str">
        <f aca="false">IF(MONTH($A72)=12,SUM(Q61:Q72)," ")</f>
        <v> </v>
      </c>
    </row>
    <row r="73" customFormat="false" ht="12.75" hidden="false" customHeight="false" outlineLevel="0" collapsed="false">
      <c r="A73" s="1538" t="n">
        <f aca="false">'Annex 12-Gas'!A73</f>
        <v>38808</v>
      </c>
      <c r="C73" s="488" t="n">
        <f aca="false">IF($A73&gt;Endyr,0,VLOOKUP($A73,Tariff_Table,Tariff!$L$33))</f>
        <v>1.21</v>
      </c>
      <c r="D73" s="427" t="n">
        <f aca="false">VLOOKUP($A73,Curves_Table,Escalation!$AL$291)</f>
        <v>1.22051988152322</v>
      </c>
      <c r="E73" s="1609" t="n">
        <f aca="false">C73*D73</f>
        <v>1.47682905664309</v>
      </c>
      <c r="F73" s="1314" t="n">
        <f aca="false">IF($A73&gt;Endyr,0,VLOOKUP($A73,Tariff_Table,Tariff!$M$33))</f>
        <v>0.25</v>
      </c>
      <c r="G73" s="1609" t="n">
        <f aca="false">SUM(E73,F73)</f>
        <v>1.72682905664309</v>
      </c>
      <c r="H73" s="397" t="n">
        <f aca="false">VLOOKUP($A73,Plant_Table,'Plant Operations'!$T$270)</f>
        <v>2025354.24</v>
      </c>
      <c r="I73" s="1566" t="n">
        <f aca="false">G73*H73/1000</f>
        <v>3497.44055162729</v>
      </c>
      <c r="J73" s="1567" t="str">
        <f aca="false">IF(MONTH($A73)=12,SUM(I62:I73)," ")</f>
        <v> </v>
      </c>
      <c r="L73" s="1610" t="n">
        <f aca="false">IF($A73&lt;Startops2,0,VLOOKUP($A73,Tariff_Table,Tariff!$N$33))</f>
        <v>0</v>
      </c>
      <c r="M73" s="397" t="n">
        <f aca="false">H73</f>
        <v>2025354.24</v>
      </c>
      <c r="N73" s="1611" t="n">
        <f aca="false">L73*M73/1000</f>
        <v>0</v>
      </c>
      <c r="O73" s="1611" t="n">
        <f aca="false">IF($A73&gt;Endyr,0,VLOOKUP($A73,Tariff_Table,Tariff!$O$33))</f>
        <v>3255.87153</v>
      </c>
      <c r="P73" s="427" t="n">
        <f aca="false">VLOOKUP($A73,Curves_Table,Escalation!$AP$291)</f>
        <v>1.23462294375966</v>
      </c>
      <c r="Q73" s="1604" t="n">
        <f aca="false">SUM(N73,O73)*P73</f>
        <v>4019.77369287188</v>
      </c>
      <c r="R73" s="1579" t="str">
        <f aca="false">IF(MONTH($A73)=12,SUM(Q62:Q73)," ")</f>
        <v> </v>
      </c>
    </row>
    <row r="74" customFormat="false" ht="12.75" hidden="false" customHeight="false" outlineLevel="0" collapsed="false">
      <c r="A74" s="1538" t="n">
        <f aca="false">'Annex 12-Gas'!A74</f>
        <v>38838</v>
      </c>
      <c r="C74" s="488" t="n">
        <f aca="false">IF($A74&gt;Endyr,0,VLOOKUP($A74,Tariff_Table,Tariff!$L$33))</f>
        <v>1.21</v>
      </c>
      <c r="D74" s="427" t="n">
        <f aca="false">VLOOKUP($A74,Curves_Table,Escalation!$AL$291)</f>
        <v>1.25164172493879</v>
      </c>
      <c r="E74" s="1609" t="n">
        <f aca="false">C74*D74</f>
        <v>1.51448648717593</v>
      </c>
      <c r="F74" s="1314" t="n">
        <f aca="false">IF($A74&gt;Endyr,0,VLOOKUP($A74,Tariff_Table,Tariff!$M$33))</f>
        <v>0.25</v>
      </c>
      <c r="G74" s="1609" t="n">
        <f aca="false">SUM(E74,F74)</f>
        <v>1.76448648717593</v>
      </c>
      <c r="H74" s="397" t="n">
        <f aca="false">VLOOKUP($A74,Plant_Table,'Plant Operations'!$T$270)</f>
        <v>2092866.048</v>
      </c>
      <c r="I74" s="1566" t="n">
        <f aca="false">G74*H74/1000</f>
        <v>3692.83386116529</v>
      </c>
      <c r="J74" s="1567" t="str">
        <f aca="false">IF(MONTH($A74)=12,SUM(I63:I74)," ")</f>
        <v> </v>
      </c>
      <c r="L74" s="1610" t="n">
        <f aca="false">IF($A74&lt;Startops2,0,VLOOKUP($A74,Tariff_Table,Tariff!$N$33))</f>
        <v>0</v>
      </c>
      <c r="M74" s="397" t="n">
        <f aca="false">H74</f>
        <v>2092866.048</v>
      </c>
      <c r="N74" s="1611" t="n">
        <f aca="false">L74*M74/1000</f>
        <v>0</v>
      </c>
      <c r="O74" s="1611" t="n">
        <f aca="false">IF($A74&gt;Endyr,0,VLOOKUP($A74,Tariff_Table,Tariff!$O$33))</f>
        <v>3259.74061</v>
      </c>
      <c r="P74" s="427" t="n">
        <f aca="false">VLOOKUP($A74,Curves_Table,Escalation!$AP$291)</f>
        <v>1.26919095628799</v>
      </c>
      <c r="Q74" s="1604" t="n">
        <f aca="false">SUM(N74,O74)*P74</f>
        <v>4137.23330205669</v>
      </c>
      <c r="R74" s="1579" t="str">
        <f aca="false">IF(MONTH($A74)=12,SUM(Q63:Q74)," ")</f>
        <v> </v>
      </c>
    </row>
    <row r="75" customFormat="false" ht="12.75" hidden="false" customHeight="false" outlineLevel="0" collapsed="false">
      <c r="A75" s="1538" t="n">
        <f aca="false">'Annex 12-Gas'!A75</f>
        <v>38869</v>
      </c>
      <c r="C75" s="488" t="n">
        <f aca="false">IF($A75&gt;Endyr,0,VLOOKUP($A75,Tariff_Table,Tariff!$L$33))</f>
        <v>1.21</v>
      </c>
      <c r="D75" s="427" t="n">
        <f aca="false">VLOOKUP($A75,Curves_Table,Escalation!$AL$291)</f>
        <v>1.25164172493879</v>
      </c>
      <c r="E75" s="1609" t="n">
        <f aca="false">C75*D75</f>
        <v>1.51448648717593</v>
      </c>
      <c r="F75" s="1314" t="n">
        <f aca="false">IF($A75&gt;Endyr,0,VLOOKUP($A75,Tariff_Table,Tariff!$M$33))</f>
        <v>0.25</v>
      </c>
      <c r="G75" s="1609" t="n">
        <f aca="false">SUM(E75,F75)</f>
        <v>1.76448648717593</v>
      </c>
      <c r="H75" s="397" t="n">
        <f aca="false">VLOOKUP($A75,Plant_Table,'Plant Operations'!$T$270)</f>
        <v>2025354.24</v>
      </c>
      <c r="I75" s="1566" t="n">
        <f aca="false">G75*H75/1000</f>
        <v>3573.71018822448</v>
      </c>
      <c r="J75" s="1567" t="str">
        <f aca="false">IF(MONTH($A75)=12,SUM(I64:I75)," ")</f>
        <v> </v>
      </c>
      <c r="L75" s="1610" t="n">
        <f aca="false">IF($A75&lt;Startops2,0,VLOOKUP($A75,Tariff_Table,Tariff!$N$33))</f>
        <v>0</v>
      </c>
      <c r="M75" s="397" t="n">
        <f aca="false">H75</f>
        <v>2025354.24</v>
      </c>
      <c r="N75" s="1611" t="n">
        <f aca="false">L75*M75/1000</f>
        <v>0</v>
      </c>
      <c r="O75" s="1611" t="n">
        <f aca="false">IF($A75&gt;Endyr,0,VLOOKUP($A75,Tariff_Table,Tariff!$O$33))</f>
        <v>3259.74061</v>
      </c>
      <c r="P75" s="427" t="n">
        <f aca="false">VLOOKUP($A75,Curves_Table,Escalation!$AP$291)</f>
        <v>1.26919095628799</v>
      </c>
      <c r="Q75" s="1604" t="n">
        <f aca="false">SUM(N75,O75)*P75</f>
        <v>4137.23330205669</v>
      </c>
      <c r="R75" s="1579" t="str">
        <f aca="false">IF(MONTH($A75)=12,SUM(Q64:Q75)," ")</f>
        <v> </v>
      </c>
    </row>
    <row r="76" customFormat="false" ht="12.75" hidden="false" customHeight="false" outlineLevel="0" collapsed="false">
      <c r="A76" s="1538" t="n">
        <f aca="false">'Annex 12-Gas'!A76</f>
        <v>38899</v>
      </c>
      <c r="C76" s="488" t="n">
        <f aca="false">IF($A76&gt;Endyr,0,VLOOKUP($A76,Tariff_Table,Tariff!$L$33))</f>
        <v>1.21</v>
      </c>
      <c r="D76" s="427" t="n">
        <f aca="false">VLOOKUP($A76,Curves_Table,Escalation!$AL$291)</f>
        <v>1.25164172493879</v>
      </c>
      <c r="E76" s="1609" t="n">
        <f aca="false">C76*D76</f>
        <v>1.51448648717593</v>
      </c>
      <c r="F76" s="1314" t="n">
        <f aca="false">IF($A76&gt;Endyr,0,VLOOKUP($A76,Tariff_Table,Tariff!$M$33))</f>
        <v>0.25</v>
      </c>
      <c r="G76" s="1609" t="n">
        <f aca="false">SUM(E76,F76)</f>
        <v>1.76448648717593</v>
      </c>
      <c r="H76" s="397" t="n">
        <f aca="false">VLOOKUP($A76,Plant_Table,'Plant Operations'!$T$270)</f>
        <v>2092866.048</v>
      </c>
      <c r="I76" s="1566" t="n">
        <f aca="false">G76*H76/1000</f>
        <v>3692.83386116529</v>
      </c>
      <c r="J76" s="1567" t="str">
        <f aca="false">IF(MONTH($A76)=12,SUM(I65:I76)," ")</f>
        <v> </v>
      </c>
      <c r="L76" s="1610" t="n">
        <f aca="false">IF($A76&lt;Startops2,0,VLOOKUP($A76,Tariff_Table,Tariff!$N$33))</f>
        <v>0</v>
      </c>
      <c r="M76" s="397" t="n">
        <f aca="false">H76</f>
        <v>2092866.048</v>
      </c>
      <c r="N76" s="1611" t="n">
        <f aca="false">L76*M76/1000</f>
        <v>0</v>
      </c>
      <c r="O76" s="1611" t="n">
        <f aca="false">IF($A76&gt;Endyr,0,VLOOKUP($A76,Tariff_Table,Tariff!$O$33))</f>
        <v>3259.74061</v>
      </c>
      <c r="P76" s="427" t="n">
        <f aca="false">VLOOKUP($A76,Curves_Table,Escalation!$AP$291)</f>
        <v>1.26919095628799</v>
      </c>
      <c r="Q76" s="1604" t="n">
        <f aca="false">SUM(N76,O76)*P76</f>
        <v>4137.23330205669</v>
      </c>
      <c r="R76" s="1579" t="str">
        <f aca="false">IF(MONTH($A76)=12,SUM(Q65:Q76)," ")</f>
        <v> </v>
      </c>
    </row>
    <row r="77" customFormat="false" ht="12.75" hidden="false" customHeight="false" outlineLevel="0" collapsed="false">
      <c r="A77" s="1538" t="n">
        <f aca="false">'Annex 12-Gas'!A77</f>
        <v>38930</v>
      </c>
      <c r="C77" s="488" t="n">
        <f aca="false">IF($A77&gt;Endyr,0,VLOOKUP($A77,Tariff_Table,Tariff!$L$33))</f>
        <v>1.21</v>
      </c>
      <c r="D77" s="427" t="n">
        <f aca="false">VLOOKUP($A77,Curves_Table,Escalation!$AL$291)</f>
        <v>1.25164172493879</v>
      </c>
      <c r="E77" s="1609" t="n">
        <f aca="false">C77*D77</f>
        <v>1.51448648717593</v>
      </c>
      <c r="F77" s="1314" t="n">
        <f aca="false">IF($A77&gt;Endyr,0,VLOOKUP($A77,Tariff_Table,Tariff!$M$33))</f>
        <v>0.25</v>
      </c>
      <c r="G77" s="1609" t="n">
        <f aca="false">SUM(E77,F77)</f>
        <v>1.76448648717593</v>
      </c>
      <c r="H77" s="397" t="n">
        <f aca="false">VLOOKUP($A77,Plant_Table,'Plant Operations'!$T$270)</f>
        <v>2092866.048</v>
      </c>
      <c r="I77" s="1566" t="n">
        <f aca="false">G77*H77/1000</f>
        <v>3692.83386116529</v>
      </c>
      <c r="J77" s="1567" t="str">
        <f aca="false">IF(MONTH($A77)=12,SUM(I66:I77)," ")</f>
        <v> </v>
      </c>
      <c r="L77" s="1610" t="n">
        <f aca="false">IF($A77&lt;Startops2,0,VLOOKUP($A77,Tariff_Table,Tariff!$N$33))</f>
        <v>0</v>
      </c>
      <c r="M77" s="397" t="n">
        <f aca="false">H77</f>
        <v>2092866.048</v>
      </c>
      <c r="N77" s="1611" t="n">
        <f aca="false">L77*M77/1000</f>
        <v>0</v>
      </c>
      <c r="O77" s="1611" t="n">
        <f aca="false">IF($A77&gt;Endyr,0,VLOOKUP($A77,Tariff_Table,Tariff!$O$33))</f>
        <v>3259.74061</v>
      </c>
      <c r="P77" s="427" t="n">
        <f aca="false">VLOOKUP($A77,Curves_Table,Escalation!$AP$291)</f>
        <v>1.26919095628799</v>
      </c>
      <c r="Q77" s="1604" t="n">
        <f aca="false">SUM(N77,O77)*P77</f>
        <v>4137.23330205669</v>
      </c>
      <c r="R77" s="1579" t="str">
        <f aca="false">IF(MONTH($A77)=12,SUM(Q66:Q77)," ")</f>
        <v> </v>
      </c>
    </row>
    <row r="78" customFormat="false" ht="12.75" hidden="false" customHeight="false" outlineLevel="0" collapsed="false">
      <c r="A78" s="1538" t="n">
        <f aca="false">'Annex 12-Gas'!A78</f>
        <v>38961</v>
      </c>
      <c r="C78" s="488" t="n">
        <f aca="false">IF($A78&gt;Endyr,0,VLOOKUP($A78,Tariff_Table,Tariff!$L$33))</f>
        <v>1.21</v>
      </c>
      <c r="D78" s="427" t="n">
        <f aca="false">VLOOKUP($A78,Curves_Table,Escalation!$AL$291)</f>
        <v>1.25164172493879</v>
      </c>
      <c r="E78" s="1609" t="n">
        <f aca="false">C78*D78</f>
        <v>1.51448648717593</v>
      </c>
      <c r="F78" s="1314" t="n">
        <f aca="false">IF($A78&gt;Endyr,0,VLOOKUP($A78,Tariff_Table,Tariff!$M$33))</f>
        <v>0.25</v>
      </c>
      <c r="G78" s="1609" t="n">
        <f aca="false">SUM(E78,F78)</f>
        <v>1.76448648717593</v>
      </c>
      <c r="H78" s="397" t="n">
        <f aca="false">VLOOKUP($A78,Plant_Table,'Plant Operations'!$T$270)</f>
        <v>2025354.24</v>
      </c>
      <c r="I78" s="1566" t="n">
        <f aca="false">G78*H78/1000</f>
        <v>3573.71018822448</v>
      </c>
      <c r="J78" s="1567" t="str">
        <f aca="false">IF(MONTH($A78)=12,SUM(I67:I78)," ")</f>
        <v> </v>
      </c>
      <c r="L78" s="1610" t="n">
        <f aca="false">IF($A78&lt;Startops2,0,VLOOKUP($A78,Tariff_Table,Tariff!$N$33))</f>
        <v>0</v>
      </c>
      <c r="M78" s="397" t="n">
        <f aca="false">H78</f>
        <v>2025354.24</v>
      </c>
      <c r="N78" s="1611" t="n">
        <f aca="false">L78*M78/1000</f>
        <v>0</v>
      </c>
      <c r="O78" s="1611" t="n">
        <f aca="false">IF($A78&gt;Endyr,0,VLOOKUP($A78,Tariff_Table,Tariff!$O$33))</f>
        <v>3259.74061</v>
      </c>
      <c r="P78" s="427" t="n">
        <f aca="false">VLOOKUP($A78,Curves_Table,Escalation!$AP$291)</f>
        <v>1.26919095628799</v>
      </c>
      <c r="Q78" s="1604" t="n">
        <f aca="false">SUM(N78,O78)*P78</f>
        <v>4137.23330205669</v>
      </c>
      <c r="R78" s="1579" t="str">
        <f aca="false">IF(MONTH($A78)=12,SUM(Q67:Q78)," ")</f>
        <v> </v>
      </c>
    </row>
    <row r="79" customFormat="false" ht="12.75" hidden="false" customHeight="false" outlineLevel="0" collapsed="false">
      <c r="A79" s="1538" t="n">
        <f aca="false">'Annex 12-Gas'!A79</f>
        <v>38991</v>
      </c>
      <c r="C79" s="488" t="n">
        <f aca="false">IF($A79&gt;Endyr,0,VLOOKUP($A79,Tariff_Table,Tariff!$L$33))</f>
        <v>1.21</v>
      </c>
      <c r="D79" s="427" t="n">
        <f aca="false">VLOOKUP($A79,Curves_Table,Escalation!$AL$291)</f>
        <v>1.25164172493879</v>
      </c>
      <c r="E79" s="1609" t="n">
        <f aca="false">C79*D79</f>
        <v>1.51448648717593</v>
      </c>
      <c r="F79" s="1314" t="n">
        <f aca="false">IF($A79&gt;Endyr,0,VLOOKUP($A79,Tariff_Table,Tariff!$M$33))</f>
        <v>0.25</v>
      </c>
      <c r="G79" s="1609" t="n">
        <f aca="false">SUM(E79,F79)</f>
        <v>1.76448648717593</v>
      </c>
      <c r="H79" s="397" t="n">
        <f aca="false">VLOOKUP($A79,Plant_Table,'Plant Operations'!$T$270)</f>
        <v>2092866.048</v>
      </c>
      <c r="I79" s="1566" t="n">
        <f aca="false">G79*H79/1000</f>
        <v>3692.83386116529</v>
      </c>
      <c r="J79" s="1567" t="str">
        <f aca="false">IF(MONTH($A79)=12,SUM(I68:I79)," ")</f>
        <v> </v>
      </c>
      <c r="L79" s="1610" t="n">
        <f aca="false">IF($A79&lt;Startops2,0,VLOOKUP($A79,Tariff_Table,Tariff!$N$33))</f>
        <v>0</v>
      </c>
      <c r="M79" s="397" t="n">
        <f aca="false">H79</f>
        <v>2092866.048</v>
      </c>
      <c r="N79" s="1611" t="n">
        <f aca="false">L79*M79/1000</f>
        <v>0</v>
      </c>
      <c r="O79" s="1611" t="n">
        <f aca="false">IF($A79&gt;Endyr,0,VLOOKUP($A79,Tariff_Table,Tariff!$O$33))</f>
        <v>3259.74061</v>
      </c>
      <c r="P79" s="427" t="n">
        <f aca="false">VLOOKUP($A79,Curves_Table,Escalation!$AP$291)</f>
        <v>1.26919095628799</v>
      </c>
      <c r="Q79" s="1604" t="n">
        <f aca="false">SUM(N79,O79)*P79</f>
        <v>4137.23330205669</v>
      </c>
      <c r="R79" s="1579" t="str">
        <f aca="false">IF(MONTH($A79)=12,SUM(Q68:Q79)," ")</f>
        <v> </v>
      </c>
    </row>
    <row r="80" customFormat="false" ht="12.75" hidden="false" customHeight="false" outlineLevel="0" collapsed="false">
      <c r="A80" s="1538" t="n">
        <f aca="false">'Annex 12-Gas'!A80</f>
        <v>39022</v>
      </c>
      <c r="C80" s="488" t="n">
        <f aca="false">IF($A80&gt;Endyr,0,VLOOKUP($A80,Tariff_Table,Tariff!$L$33))</f>
        <v>1.21</v>
      </c>
      <c r="D80" s="427" t="n">
        <f aca="false">VLOOKUP($A80,Curves_Table,Escalation!$AL$291)</f>
        <v>1.25164172493879</v>
      </c>
      <c r="E80" s="1609" t="n">
        <f aca="false">C80*D80</f>
        <v>1.51448648717593</v>
      </c>
      <c r="F80" s="1314" t="n">
        <f aca="false">IF($A80&gt;Endyr,0,VLOOKUP($A80,Tariff_Table,Tariff!$M$33))</f>
        <v>0.25</v>
      </c>
      <c r="G80" s="1609" t="n">
        <f aca="false">SUM(E80,F80)</f>
        <v>1.76448648717593</v>
      </c>
      <c r="H80" s="397" t="n">
        <f aca="false">VLOOKUP($A80,Plant_Table,'Plant Operations'!$T$270)</f>
        <v>2025354.24</v>
      </c>
      <c r="I80" s="1566" t="n">
        <f aca="false">G80*H80/1000</f>
        <v>3573.71018822448</v>
      </c>
      <c r="J80" s="1567" t="str">
        <f aca="false">IF(MONTH($A80)=12,SUM(I69:I80)," ")</f>
        <v> </v>
      </c>
      <c r="L80" s="1610" t="n">
        <f aca="false">IF($A80&lt;Startops2,0,VLOOKUP($A80,Tariff_Table,Tariff!$N$33))</f>
        <v>0</v>
      </c>
      <c r="M80" s="397" t="n">
        <f aca="false">H80</f>
        <v>2025354.24</v>
      </c>
      <c r="N80" s="1611" t="n">
        <f aca="false">L80*M80/1000</f>
        <v>0</v>
      </c>
      <c r="O80" s="1611" t="n">
        <f aca="false">IF($A80&gt;Endyr,0,VLOOKUP($A80,Tariff_Table,Tariff!$O$33))</f>
        <v>3259.74061</v>
      </c>
      <c r="P80" s="427" t="n">
        <f aca="false">VLOOKUP($A80,Curves_Table,Escalation!$AP$291)</f>
        <v>1.26919095628799</v>
      </c>
      <c r="Q80" s="1604" t="n">
        <f aca="false">SUM(N80,O80)*P80</f>
        <v>4137.23330205669</v>
      </c>
      <c r="R80" s="1579" t="str">
        <f aca="false">IF(MONTH($A80)=12,SUM(Q69:Q80)," ")</f>
        <v> </v>
      </c>
    </row>
    <row r="81" customFormat="false" ht="12.75" hidden="false" customHeight="false" outlineLevel="0" collapsed="false">
      <c r="A81" s="1538" t="n">
        <f aca="false">'Annex 12-Gas'!A81</f>
        <v>39052</v>
      </c>
      <c r="C81" s="488" t="n">
        <f aca="false">IF($A81&gt;Endyr,0,VLOOKUP($A81,Tariff_Table,Tariff!$L$33))</f>
        <v>1.21</v>
      </c>
      <c r="D81" s="427" t="n">
        <f aca="false">VLOOKUP($A81,Curves_Table,Escalation!$AL$291)</f>
        <v>1.25164172493879</v>
      </c>
      <c r="E81" s="1609" t="n">
        <f aca="false">C81*D81</f>
        <v>1.51448648717593</v>
      </c>
      <c r="F81" s="1314" t="n">
        <f aca="false">IF($A81&gt;Endyr,0,VLOOKUP($A81,Tariff_Table,Tariff!$M$33))</f>
        <v>0.25</v>
      </c>
      <c r="G81" s="1609" t="n">
        <f aca="false">SUM(E81,F81)</f>
        <v>1.76448648717593</v>
      </c>
      <c r="H81" s="397" t="n">
        <f aca="false">VLOOKUP($A81,Plant_Table,'Plant Operations'!$T$270)</f>
        <v>2092866.048</v>
      </c>
      <c r="I81" s="1566" t="n">
        <f aca="false">G81*H81/1000</f>
        <v>3692.83386116529</v>
      </c>
      <c r="J81" s="1567" t="n">
        <f aca="false">IF(MONTH($A81)=12,SUM(I70:I81)," ")</f>
        <v>43175.0620770091</v>
      </c>
      <c r="L81" s="1610" t="n">
        <f aca="false">IF($A81&lt;Startops2,0,VLOOKUP($A81,Tariff_Table,Tariff!$N$33))</f>
        <v>0</v>
      </c>
      <c r="M81" s="397" t="n">
        <f aca="false">H81</f>
        <v>2092866.048</v>
      </c>
      <c r="N81" s="1611" t="n">
        <f aca="false">L81*M81/1000</f>
        <v>0</v>
      </c>
      <c r="O81" s="1611" t="n">
        <f aca="false">IF($A81&gt;Endyr,0,VLOOKUP($A81,Tariff_Table,Tariff!$O$33))</f>
        <v>3259.74061</v>
      </c>
      <c r="P81" s="427" t="n">
        <f aca="false">VLOOKUP($A81,Curves_Table,Escalation!$AP$291)</f>
        <v>1.26919095628799</v>
      </c>
      <c r="Q81" s="1604" t="n">
        <f aca="false">SUM(N81,O81)*P81</f>
        <v>4137.23330205669</v>
      </c>
      <c r="R81" s="1579" t="n">
        <f aca="false">IF(MONTH($A81)=12,SUM(Q70:Q81)," ")</f>
        <v>49176.961187941</v>
      </c>
    </row>
    <row r="82" customFormat="false" ht="12.75" hidden="false" customHeight="false" outlineLevel="0" collapsed="false">
      <c r="A82" s="1538" t="n">
        <f aca="false">'Annex 12-Gas'!A82</f>
        <v>39083</v>
      </c>
      <c r="C82" s="488" t="n">
        <f aca="false">IF($A82&gt;Endyr,0,VLOOKUP($A82,Tariff_Table,Tariff!$L$33))</f>
        <v>1.21</v>
      </c>
      <c r="D82" s="427" t="n">
        <f aca="false">VLOOKUP($A82,Curves_Table,Escalation!$AL$291)</f>
        <v>1.25164172493879</v>
      </c>
      <c r="E82" s="1609" t="n">
        <f aca="false">C82*D82</f>
        <v>1.51448648717593</v>
      </c>
      <c r="F82" s="1314" t="n">
        <f aca="false">IF($A82&gt;Endyr,0,VLOOKUP($A82,Tariff_Table,Tariff!$M$33))</f>
        <v>0.25</v>
      </c>
      <c r="G82" s="1609" t="n">
        <f aca="false">SUM(E82,F82)</f>
        <v>1.76448648717593</v>
      </c>
      <c r="H82" s="397" t="n">
        <f aca="false">VLOOKUP($A82,Plant_Table,'Plant Operations'!$T$270)</f>
        <v>2092866.048</v>
      </c>
      <c r="I82" s="1566" t="n">
        <f aca="false">G82*H82/1000</f>
        <v>3692.83386116529</v>
      </c>
      <c r="J82" s="1567" t="str">
        <f aca="false">IF(MONTH($A82)=12,SUM(I71:I82)," ")</f>
        <v> </v>
      </c>
      <c r="L82" s="1610" t="n">
        <f aca="false">IF($A82&lt;Startops2,0,VLOOKUP($A82,Tariff_Table,Tariff!$N$33))</f>
        <v>0</v>
      </c>
      <c r="M82" s="397" t="n">
        <f aca="false">H82</f>
        <v>2092866.048</v>
      </c>
      <c r="N82" s="1611" t="n">
        <f aca="false">L82*M82/1000</f>
        <v>0</v>
      </c>
      <c r="O82" s="1611" t="n">
        <f aca="false">IF($A82&gt;Endyr,0,VLOOKUP($A82,Tariff_Table,Tariff!$O$33))</f>
        <v>3259.74061</v>
      </c>
      <c r="P82" s="427" t="n">
        <f aca="false">VLOOKUP($A82,Curves_Table,Escalation!$AP$291)</f>
        <v>1.26919095628799</v>
      </c>
      <c r="Q82" s="1604" t="n">
        <f aca="false">SUM(N82,O82)*P82</f>
        <v>4137.23330205669</v>
      </c>
      <c r="R82" s="1579" t="str">
        <f aca="false">IF(MONTH($A82)=12,SUM(Q71:Q82)," ")</f>
        <v> </v>
      </c>
    </row>
    <row r="83" customFormat="false" ht="12.75" hidden="false" customHeight="false" outlineLevel="0" collapsed="false">
      <c r="A83" s="1538" t="n">
        <f aca="false">'Annex 12-Gas'!A83</f>
        <v>39114</v>
      </c>
      <c r="C83" s="488" t="n">
        <f aca="false">IF($A83&gt;Endyr,0,VLOOKUP($A83,Tariff_Table,Tariff!$L$33))</f>
        <v>1.21</v>
      </c>
      <c r="D83" s="427" t="n">
        <f aca="false">VLOOKUP($A83,Curves_Table,Escalation!$AL$291)</f>
        <v>1.25164172493879</v>
      </c>
      <c r="E83" s="1609" t="n">
        <f aca="false">C83*D83</f>
        <v>1.51448648717593</v>
      </c>
      <c r="F83" s="1314" t="n">
        <f aca="false">IF($A83&gt;Endyr,0,VLOOKUP($A83,Tariff_Table,Tariff!$M$33))</f>
        <v>0.25</v>
      </c>
      <c r="G83" s="1609" t="n">
        <f aca="false">SUM(E83,F83)</f>
        <v>1.76448648717593</v>
      </c>
      <c r="H83" s="397" t="n">
        <f aca="false">VLOOKUP($A83,Plant_Table,'Plant Operations'!$T$270)</f>
        <v>1890330.624</v>
      </c>
      <c r="I83" s="1566" t="n">
        <f aca="false">G83*H83/1000</f>
        <v>3335.46284234285</v>
      </c>
      <c r="J83" s="1567" t="str">
        <f aca="false">IF(MONTH($A83)=12,SUM(I72:I83)," ")</f>
        <v> </v>
      </c>
      <c r="L83" s="1610" t="n">
        <f aca="false">IF($A83&lt;Startops2,0,VLOOKUP($A83,Tariff_Table,Tariff!$N$33))</f>
        <v>0</v>
      </c>
      <c r="M83" s="397" t="n">
        <f aca="false">H83</f>
        <v>1890330.624</v>
      </c>
      <c r="N83" s="1611" t="n">
        <f aca="false">L83*M83/1000</f>
        <v>0</v>
      </c>
      <c r="O83" s="1611" t="n">
        <f aca="false">IF($A83&gt;Endyr,0,VLOOKUP($A83,Tariff_Table,Tariff!$O$33))</f>
        <v>3259.74061</v>
      </c>
      <c r="P83" s="427" t="n">
        <f aca="false">VLOOKUP($A83,Curves_Table,Escalation!$AP$291)</f>
        <v>1.26919095628799</v>
      </c>
      <c r="Q83" s="1604" t="n">
        <f aca="false">SUM(N83,O83)*P83</f>
        <v>4137.23330205669</v>
      </c>
      <c r="R83" s="1579" t="str">
        <f aca="false">IF(MONTH($A83)=12,SUM(Q72:Q83)," ")</f>
        <v> </v>
      </c>
    </row>
    <row r="84" customFormat="false" ht="12.75" hidden="false" customHeight="false" outlineLevel="0" collapsed="false">
      <c r="A84" s="1538" t="n">
        <f aca="false">'Annex 12-Gas'!A84</f>
        <v>39142</v>
      </c>
      <c r="C84" s="488" t="n">
        <f aca="false">IF($A84&gt;Endyr,0,VLOOKUP($A84,Tariff_Table,Tariff!$L$33))</f>
        <v>1.21</v>
      </c>
      <c r="D84" s="427" t="n">
        <f aca="false">VLOOKUP($A84,Curves_Table,Escalation!$AL$291)</f>
        <v>1.25164172493879</v>
      </c>
      <c r="E84" s="1609" t="n">
        <f aca="false">C84*D84</f>
        <v>1.51448648717593</v>
      </c>
      <c r="F84" s="1314" t="n">
        <f aca="false">IF($A84&gt;Endyr,0,VLOOKUP($A84,Tariff_Table,Tariff!$M$33))</f>
        <v>0.25</v>
      </c>
      <c r="G84" s="1609" t="n">
        <f aca="false">SUM(E84,F84)</f>
        <v>1.76448648717593</v>
      </c>
      <c r="H84" s="397" t="n">
        <f aca="false">VLOOKUP($A84,Plant_Table,'Plant Operations'!$T$270)</f>
        <v>2092866.048</v>
      </c>
      <c r="I84" s="1566" t="n">
        <f aca="false">G84*H84/1000</f>
        <v>3692.83386116529</v>
      </c>
      <c r="J84" s="1567" t="str">
        <f aca="false">IF(MONTH($A84)=12,SUM(I73:I84)," ")</f>
        <v> </v>
      </c>
      <c r="L84" s="1610" t="n">
        <f aca="false">IF($A84&lt;Startops2,0,VLOOKUP($A84,Tariff_Table,Tariff!$N$33))</f>
        <v>0</v>
      </c>
      <c r="M84" s="397" t="n">
        <f aca="false">H84</f>
        <v>2092866.048</v>
      </c>
      <c r="N84" s="1611" t="n">
        <f aca="false">L84*M84/1000</f>
        <v>0</v>
      </c>
      <c r="O84" s="1611" t="n">
        <f aca="false">IF($A84&gt;Endyr,0,VLOOKUP($A84,Tariff_Table,Tariff!$O$33))</f>
        <v>3259.74061</v>
      </c>
      <c r="P84" s="427" t="n">
        <f aca="false">VLOOKUP($A84,Curves_Table,Escalation!$AP$291)</f>
        <v>1.26919095628799</v>
      </c>
      <c r="Q84" s="1604" t="n">
        <f aca="false">SUM(N84,O84)*P84</f>
        <v>4137.23330205669</v>
      </c>
      <c r="R84" s="1579" t="str">
        <f aca="false">IF(MONTH($A84)=12,SUM(Q73:Q84)," ")</f>
        <v> </v>
      </c>
    </row>
    <row r="85" customFormat="false" ht="12.75" hidden="false" customHeight="false" outlineLevel="0" collapsed="false">
      <c r="A85" s="1538" t="n">
        <f aca="false">'Annex 12-Gas'!A85</f>
        <v>39173</v>
      </c>
      <c r="C85" s="488" t="n">
        <f aca="false">IF($A85&gt;Endyr,0,VLOOKUP($A85,Tariff_Table,Tariff!$L$33))</f>
        <v>1.21</v>
      </c>
      <c r="D85" s="427" t="n">
        <f aca="false">VLOOKUP($A85,Curves_Table,Escalation!$AL$291)</f>
        <v>1.25164172493879</v>
      </c>
      <c r="E85" s="1609" t="n">
        <f aca="false">C85*D85</f>
        <v>1.51448648717593</v>
      </c>
      <c r="F85" s="1314" t="n">
        <f aca="false">IF($A85&gt;Endyr,0,VLOOKUP($A85,Tariff_Table,Tariff!$M$33))</f>
        <v>0.25</v>
      </c>
      <c r="G85" s="1609" t="n">
        <f aca="false">SUM(E85,F85)</f>
        <v>1.76448648717593</v>
      </c>
      <c r="H85" s="397" t="n">
        <f aca="false">VLOOKUP($A85,Plant_Table,'Plant Operations'!$T$270)</f>
        <v>2025354.24</v>
      </c>
      <c r="I85" s="1566" t="n">
        <f aca="false">G85*H85/1000</f>
        <v>3573.71018822448</v>
      </c>
      <c r="J85" s="1567" t="str">
        <f aca="false">IF(MONTH($A85)=12,SUM(I74:I85)," ")</f>
        <v> </v>
      </c>
      <c r="L85" s="1610" t="n">
        <f aca="false">IF($A85&lt;Startops2,0,VLOOKUP($A85,Tariff_Table,Tariff!$N$33))</f>
        <v>0</v>
      </c>
      <c r="M85" s="397" t="n">
        <f aca="false">H85</f>
        <v>2025354.24</v>
      </c>
      <c r="N85" s="1611" t="n">
        <f aca="false">L85*M85/1000</f>
        <v>0</v>
      </c>
      <c r="O85" s="1611" t="n">
        <f aca="false">IF($A85&gt;Endyr,0,VLOOKUP($A85,Tariff_Table,Tariff!$O$33))</f>
        <v>3259.74061</v>
      </c>
      <c r="P85" s="427" t="n">
        <f aca="false">VLOOKUP($A85,Curves_Table,Escalation!$AP$291)</f>
        <v>1.26919095628799</v>
      </c>
      <c r="Q85" s="1604" t="n">
        <f aca="false">SUM(N85,O85)*P85</f>
        <v>4137.23330205669</v>
      </c>
      <c r="R85" s="1579" t="str">
        <f aca="false">IF(MONTH($A85)=12,SUM(Q74:Q85)," ")</f>
        <v> </v>
      </c>
    </row>
    <row r="86" customFormat="false" ht="12.75" hidden="false" customHeight="false" outlineLevel="0" collapsed="false">
      <c r="A86" s="1538" t="n">
        <f aca="false">'Annex 12-Gas'!A86</f>
        <v>39203</v>
      </c>
      <c r="C86" s="488" t="n">
        <f aca="false">IF($A86&gt;Endyr,0,VLOOKUP($A86,Tariff_Table,Tariff!$L$33))</f>
        <v>1.21</v>
      </c>
      <c r="D86" s="427" t="n">
        <f aca="false">VLOOKUP($A86,Curves_Table,Escalation!$AL$291)</f>
        <v>1.28273836234001</v>
      </c>
      <c r="E86" s="1609" t="n">
        <f aca="false">C86*D86</f>
        <v>1.55211341843141</v>
      </c>
      <c r="F86" s="1314" t="n">
        <f aca="false">IF($A86&gt;Endyr,0,VLOOKUP($A86,Tariff_Table,Tariff!$M$33))</f>
        <v>0.25</v>
      </c>
      <c r="G86" s="1609" t="n">
        <f aca="false">SUM(E86,F86)</f>
        <v>1.80211341843141</v>
      </c>
      <c r="H86" s="397" t="n">
        <f aca="false">VLOOKUP($A86,Plant_Table,'Plant Operations'!$T$270)</f>
        <v>2092866.048</v>
      </c>
      <c r="I86" s="1566" t="n">
        <f aca="false">G86*H86/1000</f>
        <v>3771.58198808031</v>
      </c>
      <c r="J86" s="1567" t="str">
        <f aca="false">IF(MONTH($A86)=12,SUM(I75:I86)," ")</f>
        <v> </v>
      </c>
      <c r="L86" s="1610" t="n">
        <f aca="false">IF($A86&lt;Startops2,0,VLOOKUP($A86,Tariff_Table,Tariff!$N$33))</f>
        <v>0</v>
      </c>
      <c r="M86" s="397" t="n">
        <f aca="false">H86</f>
        <v>2092866.048</v>
      </c>
      <c r="N86" s="1611" t="n">
        <f aca="false">L86*M86/1000</f>
        <v>0</v>
      </c>
      <c r="O86" s="1611" t="n">
        <f aca="false">IF($A86&gt;Endyr,0,VLOOKUP($A86,Tariff_Table,Tariff!$O$33))</f>
        <v>3261.47958</v>
      </c>
      <c r="P86" s="427" t="n">
        <f aca="false">VLOOKUP($A86,Curves_Table,Escalation!$AP$291)</f>
        <v>1.30389657610682</v>
      </c>
      <c r="Q86" s="1604" t="n">
        <f aca="false">SUM(N86,O86)*P86</f>
        <v>4252.6320574043</v>
      </c>
      <c r="R86" s="1579" t="str">
        <f aca="false">IF(MONTH($A86)=12,SUM(Q75:Q86)," ")</f>
        <v> </v>
      </c>
    </row>
    <row r="87" customFormat="false" ht="12.75" hidden="false" customHeight="false" outlineLevel="0" collapsed="false">
      <c r="A87" s="1538" t="n">
        <f aca="false">'Annex 12-Gas'!A87</f>
        <v>39234</v>
      </c>
      <c r="C87" s="488" t="n">
        <f aca="false">IF($A87&gt;Endyr,0,VLOOKUP($A87,Tariff_Table,Tariff!$L$33))</f>
        <v>1.21</v>
      </c>
      <c r="D87" s="427" t="n">
        <f aca="false">VLOOKUP($A87,Curves_Table,Escalation!$AL$291)</f>
        <v>1.28273836234001</v>
      </c>
      <c r="E87" s="1609" t="n">
        <f aca="false">C87*D87</f>
        <v>1.55211341843141</v>
      </c>
      <c r="F87" s="1314" t="n">
        <f aca="false">IF($A87&gt;Endyr,0,VLOOKUP($A87,Tariff_Table,Tariff!$M$33))</f>
        <v>0.25</v>
      </c>
      <c r="G87" s="1609" t="n">
        <f aca="false">SUM(E87,F87)</f>
        <v>1.80211341843141</v>
      </c>
      <c r="H87" s="397" t="n">
        <f aca="false">VLOOKUP($A87,Plant_Table,'Plant Operations'!$T$270)</f>
        <v>2025354.24</v>
      </c>
      <c r="I87" s="1566" t="n">
        <f aca="false">G87*H87/1000</f>
        <v>3649.91805298094</v>
      </c>
      <c r="J87" s="1567" t="str">
        <f aca="false">IF(MONTH($A87)=12,SUM(I76:I87)," ")</f>
        <v> </v>
      </c>
      <c r="L87" s="1610" t="n">
        <f aca="false">IF($A87&lt;Startops2,0,VLOOKUP($A87,Tariff_Table,Tariff!$N$33))</f>
        <v>0</v>
      </c>
      <c r="M87" s="397" t="n">
        <f aca="false">H87</f>
        <v>2025354.24</v>
      </c>
      <c r="N87" s="1611" t="n">
        <f aca="false">L87*M87/1000</f>
        <v>0</v>
      </c>
      <c r="O87" s="1611" t="n">
        <f aca="false">IF($A87&gt;Endyr,0,VLOOKUP($A87,Tariff_Table,Tariff!$O$33))</f>
        <v>3261.47958</v>
      </c>
      <c r="P87" s="427" t="n">
        <f aca="false">VLOOKUP($A87,Curves_Table,Escalation!$AP$291)</f>
        <v>1.30389657610682</v>
      </c>
      <c r="Q87" s="1604" t="n">
        <f aca="false">SUM(N87,O87)*P87</f>
        <v>4252.6320574043</v>
      </c>
      <c r="R87" s="1579" t="str">
        <f aca="false">IF(MONTH($A87)=12,SUM(Q76:Q87)," ")</f>
        <v> </v>
      </c>
    </row>
    <row r="88" customFormat="false" ht="12.75" hidden="false" customHeight="false" outlineLevel="0" collapsed="false">
      <c r="A88" s="1538" t="n">
        <f aca="false">'Annex 12-Gas'!A88</f>
        <v>39264</v>
      </c>
      <c r="C88" s="488" t="n">
        <f aca="false">IF($A88&gt;Endyr,0,VLOOKUP($A88,Tariff_Table,Tariff!$L$33))</f>
        <v>1.21</v>
      </c>
      <c r="D88" s="427" t="n">
        <f aca="false">VLOOKUP($A88,Curves_Table,Escalation!$AL$291)</f>
        <v>1.28273836234001</v>
      </c>
      <c r="E88" s="1609" t="n">
        <f aca="false">C88*D88</f>
        <v>1.55211341843141</v>
      </c>
      <c r="F88" s="1314" t="n">
        <f aca="false">IF($A88&gt;Endyr,0,VLOOKUP($A88,Tariff_Table,Tariff!$M$33))</f>
        <v>0.25</v>
      </c>
      <c r="G88" s="1609" t="n">
        <f aca="false">SUM(E88,F88)</f>
        <v>1.80211341843141</v>
      </c>
      <c r="H88" s="397" t="n">
        <f aca="false">VLOOKUP($A88,Plant_Table,'Plant Operations'!$T$270)</f>
        <v>2092866.048</v>
      </c>
      <c r="I88" s="1566" t="n">
        <f aca="false">G88*H88/1000</f>
        <v>3771.58198808031</v>
      </c>
      <c r="J88" s="1567" t="str">
        <f aca="false">IF(MONTH($A88)=12,SUM(I77:I88)," ")</f>
        <v> </v>
      </c>
      <c r="L88" s="1610" t="n">
        <f aca="false">IF($A88&lt;Startops2,0,VLOOKUP($A88,Tariff_Table,Tariff!$N$33))</f>
        <v>0</v>
      </c>
      <c r="M88" s="397" t="n">
        <f aca="false">H88</f>
        <v>2092866.048</v>
      </c>
      <c r="N88" s="1611" t="n">
        <f aca="false">L88*M88/1000</f>
        <v>0</v>
      </c>
      <c r="O88" s="1611" t="n">
        <f aca="false">IF($A88&gt;Endyr,0,VLOOKUP($A88,Tariff_Table,Tariff!$O$33))</f>
        <v>3261.47958</v>
      </c>
      <c r="P88" s="427" t="n">
        <f aca="false">VLOOKUP($A88,Curves_Table,Escalation!$AP$291)</f>
        <v>1.30389657610682</v>
      </c>
      <c r="Q88" s="1604" t="n">
        <f aca="false">SUM(N88,O88)*P88</f>
        <v>4252.6320574043</v>
      </c>
      <c r="R88" s="1579" t="str">
        <f aca="false">IF(MONTH($A88)=12,SUM(Q77:Q88)," ")</f>
        <v> </v>
      </c>
    </row>
    <row r="89" customFormat="false" ht="12.75" hidden="false" customHeight="false" outlineLevel="0" collapsed="false">
      <c r="A89" s="1538" t="n">
        <f aca="false">'Annex 12-Gas'!A89</f>
        <v>39295</v>
      </c>
      <c r="C89" s="488" t="n">
        <f aca="false">IF($A89&gt;Endyr,0,VLOOKUP($A89,Tariff_Table,Tariff!$L$33))</f>
        <v>1.21</v>
      </c>
      <c r="D89" s="427" t="n">
        <f aca="false">VLOOKUP($A89,Curves_Table,Escalation!$AL$291)</f>
        <v>1.28273836234001</v>
      </c>
      <c r="E89" s="1609" t="n">
        <f aca="false">C89*D89</f>
        <v>1.55211341843141</v>
      </c>
      <c r="F89" s="1314" t="n">
        <f aca="false">IF($A89&gt;Endyr,0,VLOOKUP($A89,Tariff_Table,Tariff!$M$33))</f>
        <v>0.25</v>
      </c>
      <c r="G89" s="1609" t="n">
        <f aca="false">SUM(E89,F89)</f>
        <v>1.80211341843141</v>
      </c>
      <c r="H89" s="397" t="n">
        <f aca="false">VLOOKUP($A89,Plant_Table,'Plant Operations'!$T$270)</f>
        <v>2092866.048</v>
      </c>
      <c r="I89" s="1566" t="n">
        <f aca="false">G89*H89/1000</f>
        <v>3771.58198808031</v>
      </c>
      <c r="J89" s="1567" t="str">
        <f aca="false">IF(MONTH($A89)=12,SUM(I78:I89)," ")</f>
        <v> </v>
      </c>
      <c r="L89" s="1610" t="n">
        <f aca="false">IF($A89&lt;Startops2,0,VLOOKUP($A89,Tariff_Table,Tariff!$N$33))</f>
        <v>0</v>
      </c>
      <c r="M89" s="397" t="n">
        <f aca="false">H89</f>
        <v>2092866.048</v>
      </c>
      <c r="N89" s="1611" t="n">
        <f aca="false">L89*M89/1000</f>
        <v>0</v>
      </c>
      <c r="O89" s="1611" t="n">
        <f aca="false">IF($A89&gt;Endyr,0,VLOOKUP($A89,Tariff_Table,Tariff!$O$33))</f>
        <v>3261.47958</v>
      </c>
      <c r="P89" s="427" t="n">
        <f aca="false">VLOOKUP($A89,Curves_Table,Escalation!$AP$291)</f>
        <v>1.30389657610682</v>
      </c>
      <c r="Q89" s="1604" t="n">
        <f aca="false">SUM(N89,O89)*P89</f>
        <v>4252.6320574043</v>
      </c>
      <c r="R89" s="1579" t="str">
        <f aca="false">IF(MONTH($A89)=12,SUM(Q78:Q89)," ")</f>
        <v> </v>
      </c>
    </row>
    <row r="90" customFormat="false" ht="12.75" hidden="false" customHeight="false" outlineLevel="0" collapsed="false">
      <c r="A90" s="1538" t="n">
        <f aca="false">'Annex 12-Gas'!A90</f>
        <v>39326</v>
      </c>
      <c r="C90" s="488" t="n">
        <f aca="false">IF($A90&gt;Endyr,0,VLOOKUP($A90,Tariff_Table,Tariff!$L$33))</f>
        <v>1.21</v>
      </c>
      <c r="D90" s="427" t="n">
        <f aca="false">VLOOKUP($A90,Curves_Table,Escalation!$AL$291)</f>
        <v>1.28273836234001</v>
      </c>
      <c r="E90" s="1609" t="n">
        <f aca="false">C90*D90</f>
        <v>1.55211341843141</v>
      </c>
      <c r="F90" s="1314" t="n">
        <f aca="false">IF($A90&gt;Endyr,0,VLOOKUP($A90,Tariff_Table,Tariff!$M$33))</f>
        <v>0.25</v>
      </c>
      <c r="G90" s="1609" t="n">
        <f aca="false">SUM(E90,F90)</f>
        <v>1.80211341843141</v>
      </c>
      <c r="H90" s="397" t="n">
        <f aca="false">VLOOKUP($A90,Plant_Table,'Plant Operations'!$T$270)</f>
        <v>2025354.24</v>
      </c>
      <c r="I90" s="1566" t="n">
        <f aca="false">G90*H90/1000</f>
        <v>3649.91805298094</v>
      </c>
      <c r="J90" s="1567" t="str">
        <f aca="false">IF(MONTH($A90)=12,SUM(I79:I90)," ")</f>
        <v> </v>
      </c>
      <c r="L90" s="1610" t="n">
        <f aca="false">IF($A90&lt;Startops2,0,VLOOKUP($A90,Tariff_Table,Tariff!$N$33))</f>
        <v>0</v>
      </c>
      <c r="M90" s="397" t="n">
        <f aca="false">H90</f>
        <v>2025354.24</v>
      </c>
      <c r="N90" s="1611" t="n">
        <f aca="false">L90*M90/1000</f>
        <v>0</v>
      </c>
      <c r="O90" s="1611" t="n">
        <f aca="false">IF($A90&gt;Endyr,0,VLOOKUP($A90,Tariff_Table,Tariff!$O$33))</f>
        <v>3261.47958</v>
      </c>
      <c r="P90" s="427" t="n">
        <f aca="false">VLOOKUP($A90,Curves_Table,Escalation!$AP$291)</f>
        <v>1.30389657610682</v>
      </c>
      <c r="Q90" s="1604" t="n">
        <f aca="false">SUM(N90,O90)*P90</f>
        <v>4252.6320574043</v>
      </c>
      <c r="R90" s="1579" t="str">
        <f aca="false">IF(MONTH($A90)=12,SUM(Q79:Q90)," ")</f>
        <v> </v>
      </c>
    </row>
    <row r="91" customFormat="false" ht="12.75" hidden="false" customHeight="false" outlineLevel="0" collapsed="false">
      <c r="A91" s="1538" t="n">
        <f aca="false">'Annex 12-Gas'!A91</f>
        <v>39356</v>
      </c>
      <c r="C91" s="488" t="n">
        <f aca="false">IF($A91&gt;Endyr,0,VLOOKUP($A91,Tariff_Table,Tariff!$L$33))</f>
        <v>1.21</v>
      </c>
      <c r="D91" s="427" t="n">
        <f aca="false">VLOOKUP($A91,Curves_Table,Escalation!$AL$291)</f>
        <v>1.28273836234001</v>
      </c>
      <c r="E91" s="1609" t="n">
        <f aca="false">C91*D91</f>
        <v>1.55211341843141</v>
      </c>
      <c r="F91" s="1314" t="n">
        <f aca="false">IF($A91&gt;Endyr,0,VLOOKUP($A91,Tariff_Table,Tariff!$M$33))</f>
        <v>0.25</v>
      </c>
      <c r="G91" s="1609" t="n">
        <f aca="false">SUM(E91,F91)</f>
        <v>1.80211341843141</v>
      </c>
      <c r="H91" s="397" t="n">
        <f aca="false">VLOOKUP($A91,Plant_Table,'Plant Operations'!$T$270)</f>
        <v>2092866.048</v>
      </c>
      <c r="I91" s="1566" t="n">
        <f aca="false">G91*H91/1000</f>
        <v>3771.58198808031</v>
      </c>
      <c r="J91" s="1567" t="str">
        <f aca="false">IF(MONTH($A91)=12,SUM(I80:I91)," ")</f>
        <v> </v>
      </c>
      <c r="L91" s="1610" t="n">
        <f aca="false">IF($A91&lt;Startops2,0,VLOOKUP($A91,Tariff_Table,Tariff!$N$33))</f>
        <v>0</v>
      </c>
      <c r="M91" s="397" t="n">
        <f aca="false">H91</f>
        <v>2092866.048</v>
      </c>
      <c r="N91" s="1611" t="n">
        <f aca="false">L91*M91/1000</f>
        <v>0</v>
      </c>
      <c r="O91" s="1611" t="n">
        <f aca="false">IF($A91&gt;Endyr,0,VLOOKUP($A91,Tariff_Table,Tariff!$O$33))</f>
        <v>3261.47958</v>
      </c>
      <c r="P91" s="427" t="n">
        <f aca="false">VLOOKUP($A91,Curves_Table,Escalation!$AP$291)</f>
        <v>1.30389657610682</v>
      </c>
      <c r="Q91" s="1604" t="n">
        <f aca="false">SUM(N91,O91)*P91</f>
        <v>4252.6320574043</v>
      </c>
      <c r="R91" s="1579" t="str">
        <f aca="false">IF(MONTH($A91)=12,SUM(Q80:Q91)," ")</f>
        <v> </v>
      </c>
    </row>
    <row r="92" customFormat="false" ht="12.75" hidden="false" customHeight="false" outlineLevel="0" collapsed="false">
      <c r="A92" s="1538" t="n">
        <f aca="false">'Annex 12-Gas'!A92</f>
        <v>39387</v>
      </c>
      <c r="C92" s="488" t="n">
        <f aca="false">IF($A92&gt;Endyr,0,VLOOKUP($A92,Tariff_Table,Tariff!$L$33))</f>
        <v>1.21</v>
      </c>
      <c r="D92" s="427" t="n">
        <f aca="false">VLOOKUP($A92,Curves_Table,Escalation!$AL$291)</f>
        <v>1.28273836234001</v>
      </c>
      <c r="E92" s="1609" t="n">
        <f aca="false">C92*D92</f>
        <v>1.55211341843141</v>
      </c>
      <c r="F92" s="1314" t="n">
        <f aca="false">IF($A92&gt;Endyr,0,VLOOKUP($A92,Tariff_Table,Tariff!$M$33))</f>
        <v>0.25</v>
      </c>
      <c r="G92" s="1609" t="n">
        <f aca="false">SUM(E92,F92)</f>
        <v>1.80211341843141</v>
      </c>
      <c r="H92" s="397" t="n">
        <f aca="false">VLOOKUP($A92,Plant_Table,'Plant Operations'!$T$270)</f>
        <v>2025354.24</v>
      </c>
      <c r="I92" s="1566" t="n">
        <f aca="false">G92*H92/1000</f>
        <v>3649.91805298094</v>
      </c>
      <c r="J92" s="1567" t="str">
        <f aca="false">IF(MONTH($A92)=12,SUM(I81:I92)," ")</f>
        <v> </v>
      </c>
      <c r="L92" s="1610" t="n">
        <f aca="false">IF($A92&lt;Startops2,0,VLOOKUP($A92,Tariff_Table,Tariff!$N$33))</f>
        <v>0</v>
      </c>
      <c r="M92" s="397" t="n">
        <f aca="false">H92</f>
        <v>2025354.24</v>
      </c>
      <c r="N92" s="1611" t="n">
        <f aca="false">L92*M92/1000</f>
        <v>0</v>
      </c>
      <c r="O92" s="1611" t="n">
        <f aca="false">IF($A92&gt;Endyr,0,VLOOKUP($A92,Tariff_Table,Tariff!$O$33))</f>
        <v>3261.47958</v>
      </c>
      <c r="P92" s="427" t="n">
        <f aca="false">VLOOKUP($A92,Curves_Table,Escalation!$AP$291)</f>
        <v>1.30389657610682</v>
      </c>
      <c r="Q92" s="1604" t="n">
        <f aca="false">SUM(N92,O92)*P92</f>
        <v>4252.6320574043</v>
      </c>
      <c r="R92" s="1579" t="str">
        <f aca="false">IF(MONTH($A92)=12,SUM(Q81:Q92)," ")</f>
        <v> </v>
      </c>
    </row>
    <row r="93" customFormat="false" ht="12.75" hidden="false" customHeight="false" outlineLevel="0" collapsed="false">
      <c r="A93" s="1538" t="n">
        <f aca="false">'Annex 12-Gas'!A93</f>
        <v>39417</v>
      </c>
      <c r="C93" s="488" t="n">
        <f aca="false">IF($A93&gt;Endyr,0,VLOOKUP($A93,Tariff_Table,Tariff!$L$33))</f>
        <v>1.21</v>
      </c>
      <c r="D93" s="427" t="n">
        <f aca="false">VLOOKUP($A93,Curves_Table,Escalation!$AL$291)</f>
        <v>1.28273836234001</v>
      </c>
      <c r="E93" s="1609" t="n">
        <f aca="false">C93*D93</f>
        <v>1.55211341843141</v>
      </c>
      <c r="F93" s="1314" t="n">
        <f aca="false">IF($A93&gt;Endyr,0,VLOOKUP($A93,Tariff_Table,Tariff!$M$33))</f>
        <v>0.25</v>
      </c>
      <c r="G93" s="1609" t="n">
        <f aca="false">SUM(E93,F93)</f>
        <v>1.80211341843141</v>
      </c>
      <c r="H93" s="397" t="n">
        <f aca="false">VLOOKUP($A93,Plant_Table,'Plant Operations'!$T$270)</f>
        <v>2092866.048</v>
      </c>
      <c r="I93" s="1566" t="n">
        <f aca="false">G93*H93/1000</f>
        <v>3771.58198808031</v>
      </c>
      <c r="J93" s="1567" t="n">
        <f aca="false">IF(MONTH($A93)=12,SUM(I82:I93)," ")</f>
        <v>44102.5048522423</v>
      </c>
      <c r="L93" s="1610" t="n">
        <f aca="false">IF($A93&lt;Startops2,0,VLOOKUP($A93,Tariff_Table,Tariff!$N$33))</f>
        <v>0</v>
      </c>
      <c r="M93" s="397" t="n">
        <f aca="false">H93</f>
        <v>2092866.048</v>
      </c>
      <c r="N93" s="1611" t="n">
        <f aca="false">L93*M93/1000</f>
        <v>0</v>
      </c>
      <c r="O93" s="1611" t="n">
        <f aca="false">IF($A93&gt;Endyr,0,VLOOKUP($A93,Tariff_Table,Tariff!$O$33))</f>
        <v>3261.47958</v>
      </c>
      <c r="P93" s="427" t="n">
        <f aca="false">VLOOKUP($A93,Curves_Table,Escalation!$AP$291)</f>
        <v>1.30389657610682</v>
      </c>
      <c r="Q93" s="1604" t="n">
        <f aca="false">SUM(N93,O93)*P93</f>
        <v>4252.6320574043</v>
      </c>
      <c r="R93" s="1579" t="n">
        <f aca="false">IF(MONTH($A93)=12,SUM(Q82:Q93)," ")</f>
        <v>50569.9896674611</v>
      </c>
    </row>
    <row r="94" customFormat="false" ht="12.75" hidden="false" customHeight="false" outlineLevel="0" collapsed="false">
      <c r="A94" s="1538" t="n">
        <f aca="false">'Annex 12-Gas'!A94</f>
        <v>39448</v>
      </c>
      <c r="C94" s="488" t="n">
        <f aca="false">IF($A94&gt;Endyr,0,VLOOKUP($A94,Tariff_Table,Tariff!$L$33))</f>
        <v>1.21</v>
      </c>
      <c r="D94" s="427" t="n">
        <f aca="false">VLOOKUP($A94,Curves_Table,Escalation!$AL$291)</f>
        <v>1.28273836234001</v>
      </c>
      <c r="E94" s="1609" t="n">
        <f aca="false">C94*D94</f>
        <v>1.55211341843141</v>
      </c>
      <c r="F94" s="1314" t="n">
        <f aca="false">IF($A94&gt;Endyr,0,VLOOKUP($A94,Tariff_Table,Tariff!$M$33))</f>
        <v>0.25</v>
      </c>
      <c r="G94" s="1609" t="n">
        <f aca="false">SUM(E94,F94)</f>
        <v>1.80211341843141</v>
      </c>
      <c r="H94" s="397" t="n">
        <f aca="false">VLOOKUP($A94,Plant_Table,'Plant Operations'!$T$270)</f>
        <v>2092866.048</v>
      </c>
      <c r="I94" s="1566" t="n">
        <f aca="false">G94*H94/1000</f>
        <v>3771.58198808031</v>
      </c>
      <c r="J94" s="1567" t="str">
        <f aca="false">IF(MONTH($A94)=12,SUM(I83:I94)," ")</f>
        <v> </v>
      </c>
      <c r="L94" s="1610" t="n">
        <f aca="false">IF($A94&lt;Startops2,0,VLOOKUP($A94,Tariff_Table,Tariff!$N$33))</f>
        <v>0</v>
      </c>
      <c r="M94" s="397" t="n">
        <f aca="false">H94</f>
        <v>2092866.048</v>
      </c>
      <c r="N94" s="1611" t="n">
        <f aca="false">L94*M94/1000</f>
        <v>0</v>
      </c>
      <c r="O94" s="1611" t="n">
        <f aca="false">IF($A94&gt;Endyr,0,VLOOKUP($A94,Tariff_Table,Tariff!$O$33))</f>
        <v>3261.47958</v>
      </c>
      <c r="P94" s="427" t="n">
        <f aca="false">VLOOKUP($A94,Curves_Table,Escalation!$AP$291)</f>
        <v>1.30389657610682</v>
      </c>
      <c r="Q94" s="1604" t="n">
        <f aca="false">SUM(N94,O94)*P94</f>
        <v>4252.6320574043</v>
      </c>
      <c r="R94" s="1579" t="str">
        <f aca="false">IF(MONTH($A94)=12,SUM(Q83:Q94)," ")</f>
        <v> </v>
      </c>
    </row>
    <row r="95" customFormat="false" ht="12.75" hidden="false" customHeight="false" outlineLevel="0" collapsed="false">
      <c r="A95" s="1538" t="n">
        <f aca="false">'Annex 12-Gas'!A95</f>
        <v>39479</v>
      </c>
      <c r="C95" s="488" t="n">
        <f aca="false">IF($A95&gt;Endyr,0,VLOOKUP($A95,Tariff_Table,Tariff!$L$33))</f>
        <v>1.21</v>
      </c>
      <c r="D95" s="427" t="n">
        <f aca="false">VLOOKUP($A95,Curves_Table,Escalation!$AL$291)</f>
        <v>1.28273836234001</v>
      </c>
      <c r="E95" s="1609" t="n">
        <f aca="false">C95*D95</f>
        <v>1.55211341843141</v>
      </c>
      <c r="F95" s="1314" t="n">
        <f aca="false">IF($A95&gt;Endyr,0,VLOOKUP($A95,Tariff_Table,Tariff!$M$33))</f>
        <v>0.25</v>
      </c>
      <c r="G95" s="1609" t="n">
        <f aca="false">SUM(E95,F95)</f>
        <v>1.80211341843141</v>
      </c>
      <c r="H95" s="397" t="n">
        <f aca="false">VLOOKUP($A95,Plant_Table,'Plant Operations'!$T$270)</f>
        <v>1957842.432</v>
      </c>
      <c r="I95" s="1566" t="n">
        <f aca="false">G95*H95/1000</f>
        <v>3528.25411788158</v>
      </c>
      <c r="J95" s="1567" t="str">
        <f aca="false">IF(MONTH($A95)=12,SUM(I84:I95)," ")</f>
        <v> </v>
      </c>
      <c r="L95" s="1610" t="n">
        <f aca="false">IF($A95&lt;Startops2,0,VLOOKUP($A95,Tariff_Table,Tariff!$N$33))</f>
        <v>0</v>
      </c>
      <c r="M95" s="397" t="n">
        <f aca="false">H95</f>
        <v>1957842.432</v>
      </c>
      <c r="N95" s="1611" t="n">
        <f aca="false">L95*M95/1000</f>
        <v>0</v>
      </c>
      <c r="O95" s="1611" t="n">
        <f aca="false">IF($A95&gt;Endyr,0,VLOOKUP($A95,Tariff_Table,Tariff!$O$33))</f>
        <v>3261.47958</v>
      </c>
      <c r="P95" s="427" t="n">
        <f aca="false">VLOOKUP($A95,Curves_Table,Escalation!$AP$291)</f>
        <v>1.30389657610682</v>
      </c>
      <c r="Q95" s="1604" t="n">
        <f aca="false">SUM(N95,O95)*P95</f>
        <v>4252.6320574043</v>
      </c>
      <c r="R95" s="1579" t="str">
        <f aca="false">IF(MONTH($A95)=12,SUM(Q84:Q95)," ")</f>
        <v> </v>
      </c>
    </row>
    <row r="96" customFormat="false" ht="12.75" hidden="false" customHeight="false" outlineLevel="0" collapsed="false">
      <c r="A96" s="1538" t="n">
        <f aca="false">'Annex 12-Gas'!A96</f>
        <v>39508</v>
      </c>
      <c r="C96" s="488" t="n">
        <f aca="false">IF($A96&gt;Endyr,0,VLOOKUP($A96,Tariff_Table,Tariff!$L$33))</f>
        <v>1.21</v>
      </c>
      <c r="D96" s="427" t="n">
        <f aca="false">VLOOKUP($A96,Curves_Table,Escalation!$AL$291)</f>
        <v>1.28273836234001</v>
      </c>
      <c r="E96" s="1609" t="n">
        <f aca="false">C96*D96</f>
        <v>1.55211341843141</v>
      </c>
      <c r="F96" s="1314" t="n">
        <f aca="false">IF($A96&gt;Endyr,0,VLOOKUP($A96,Tariff_Table,Tariff!$M$33))</f>
        <v>0.25</v>
      </c>
      <c r="G96" s="1609" t="n">
        <f aca="false">SUM(E96,F96)</f>
        <v>1.80211341843141</v>
      </c>
      <c r="H96" s="397" t="n">
        <f aca="false">VLOOKUP($A96,Plant_Table,'Plant Operations'!$T$270)</f>
        <v>2092866.048</v>
      </c>
      <c r="I96" s="1566" t="n">
        <f aca="false">G96*H96/1000</f>
        <v>3771.58198808031</v>
      </c>
      <c r="J96" s="1567" t="str">
        <f aca="false">IF(MONTH($A96)=12,SUM(I85:I96)," ")</f>
        <v> </v>
      </c>
      <c r="L96" s="1610" t="n">
        <f aca="false">IF($A96&lt;Startops2,0,VLOOKUP($A96,Tariff_Table,Tariff!$N$33))</f>
        <v>0</v>
      </c>
      <c r="M96" s="397" t="n">
        <f aca="false">H96</f>
        <v>2092866.048</v>
      </c>
      <c r="N96" s="1611" t="n">
        <f aca="false">L96*M96/1000</f>
        <v>0</v>
      </c>
      <c r="O96" s="1611" t="n">
        <f aca="false">IF($A96&gt;Endyr,0,VLOOKUP($A96,Tariff_Table,Tariff!$O$33))</f>
        <v>3261.47958</v>
      </c>
      <c r="P96" s="427" t="n">
        <f aca="false">VLOOKUP($A96,Curves_Table,Escalation!$AP$291)</f>
        <v>1.30389657610682</v>
      </c>
      <c r="Q96" s="1604" t="n">
        <f aca="false">SUM(N96,O96)*P96</f>
        <v>4252.6320574043</v>
      </c>
      <c r="R96" s="1579" t="str">
        <f aca="false">IF(MONTH($A96)=12,SUM(Q85:Q96)," ")</f>
        <v> </v>
      </c>
    </row>
    <row r="97" customFormat="false" ht="12.75" hidden="false" customHeight="false" outlineLevel="0" collapsed="false">
      <c r="A97" s="1538" t="n">
        <f aca="false">'Annex 12-Gas'!A97</f>
        <v>39539</v>
      </c>
      <c r="C97" s="488" t="n">
        <f aca="false">IF($A97&gt;Endyr,0,VLOOKUP($A97,Tariff_Table,Tariff!$L$33))</f>
        <v>1.21</v>
      </c>
      <c r="D97" s="427" t="n">
        <f aca="false">VLOOKUP($A97,Curves_Table,Escalation!$AL$291)</f>
        <v>1.28273836234001</v>
      </c>
      <c r="E97" s="1609" t="n">
        <f aca="false">C97*D97</f>
        <v>1.55211341843141</v>
      </c>
      <c r="F97" s="1314" t="n">
        <f aca="false">IF($A97&gt;Endyr,0,VLOOKUP($A97,Tariff_Table,Tariff!$M$33))</f>
        <v>0.25</v>
      </c>
      <c r="G97" s="1609" t="n">
        <f aca="false">SUM(E97,F97)</f>
        <v>1.80211341843141</v>
      </c>
      <c r="H97" s="397" t="n">
        <f aca="false">VLOOKUP($A97,Plant_Table,'Plant Operations'!$T$270)</f>
        <v>2025354.24</v>
      </c>
      <c r="I97" s="1566" t="n">
        <f aca="false">G97*H97/1000</f>
        <v>3649.91805298094</v>
      </c>
      <c r="J97" s="1567" t="str">
        <f aca="false">IF(MONTH($A97)=12,SUM(I86:I97)," ")</f>
        <v> </v>
      </c>
      <c r="L97" s="1610" t="n">
        <f aca="false">IF($A97&lt;Startops2,0,VLOOKUP($A97,Tariff_Table,Tariff!$N$33))</f>
        <v>0</v>
      </c>
      <c r="M97" s="397" t="n">
        <f aca="false">H97</f>
        <v>2025354.24</v>
      </c>
      <c r="N97" s="1611" t="n">
        <f aca="false">L97*M97/1000</f>
        <v>0</v>
      </c>
      <c r="O97" s="1611" t="n">
        <f aca="false">IF($A97&gt;Endyr,0,VLOOKUP($A97,Tariff_Table,Tariff!$O$33))</f>
        <v>3261.47958</v>
      </c>
      <c r="P97" s="427" t="n">
        <f aca="false">VLOOKUP($A97,Curves_Table,Escalation!$AP$291)</f>
        <v>1.30389657610682</v>
      </c>
      <c r="Q97" s="1604" t="n">
        <f aca="false">SUM(N97,O97)*P97</f>
        <v>4252.6320574043</v>
      </c>
      <c r="R97" s="1579" t="str">
        <f aca="false">IF(MONTH($A97)=12,SUM(Q86:Q97)," ")</f>
        <v> </v>
      </c>
    </row>
    <row r="98" customFormat="false" ht="12.75" hidden="false" customHeight="false" outlineLevel="0" collapsed="false">
      <c r="A98" s="1538" t="n">
        <f aca="false">'Annex 12-Gas'!A98</f>
        <v>39569</v>
      </c>
      <c r="C98" s="488" t="n">
        <f aca="false">IF($A98&gt;Endyr,0,VLOOKUP($A98,Tariff_Table,Tariff!$L$33))</f>
        <v>1.21</v>
      </c>
      <c r="D98" s="427" t="n">
        <f aca="false">VLOOKUP($A98,Curves_Table,Escalation!$AL$291)</f>
        <v>1.31384867425998</v>
      </c>
      <c r="E98" s="1609" t="n">
        <f aca="false">C98*D98</f>
        <v>1.58975689585458</v>
      </c>
      <c r="F98" s="1314" t="n">
        <f aca="false">IF($A98&gt;Endyr,0,VLOOKUP($A98,Tariff_Table,Tariff!$M$33))</f>
        <v>0.25</v>
      </c>
      <c r="G98" s="1609" t="n">
        <f aca="false">SUM(E98,F98)</f>
        <v>1.83975689585458</v>
      </c>
      <c r="H98" s="397" t="n">
        <f aca="false">VLOOKUP($A98,Plant_Table,'Plant Operations'!$T$270)</f>
        <v>2092866.048</v>
      </c>
      <c r="I98" s="1566" t="n">
        <f aca="false">G98*H98/1000</f>
        <v>3850.36474390791</v>
      </c>
      <c r="J98" s="1567" t="str">
        <f aca="false">IF(MONTH($A98)=12,SUM(I87:I98)," ")</f>
        <v> </v>
      </c>
      <c r="L98" s="1610" t="n">
        <f aca="false">IF($A98&lt;Startops2,0,VLOOKUP($A98,Tariff_Table,Tariff!$N$33))</f>
        <v>0</v>
      </c>
      <c r="M98" s="397" t="n">
        <f aca="false">H98</f>
        <v>2092866.048</v>
      </c>
      <c r="N98" s="1611" t="n">
        <f aca="false">L98*M98/1000</f>
        <v>0</v>
      </c>
      <c r="O98" s="1611" t="n">
        <f aca="false">IF($A98&gt;Endyr,0,VLOOKUP($A98,Tariff_Table,Tariff!$O$33))</f>
        <v>3257.6285</v>
      </c>
      <c r="P98" s="427" t="n">
        <f aca="false">VLOOKUP($A98,Curves_Table,Escalation!$AP$291)</f>
        <v>1.33877978058913</v>
      </c>
      <c r="Q98" s="1604" t="n">
        <f aca="false">SUM(N98,O98)*P98</f>
        <v>4361.24716847088</v>
      </c>
      <c r="R98" s="1579" t="str">
        <f aca="false">IF(MONTH($A98)=12,SUM(Q87:Q98)," ")</f>
        <v> </v>
      </c>
    </row>
    <row r="99" customFormat="false" ht="12.75" hidden="false" customHeight="false" outlineLevel="0" collapsed="false">
      <c r="A99" s="1538" t="n">
        <f aca="false">'Annex 12-Gas'!A99</f>
        <v>39600</v>
      </c>
      <c r="C99" s="488" t="n">
        <f aca="false">IF($A99&gt;Endyr,0,VLOOKUP($A99,Tariff_Table,Tariff!$L$33))</f>
        <v>1.21</v>
      </c>
      <c r="D99" s="427" t="n">
        <f aca="false">VLOOKUP($A99,Curves_Table,Escalation!$AL$291)</f>
        <v>1.31384867425998</v>
      </c>
      <c r="E99" s="1609" t="n">
        <f aca="false">C99*D99</f>
        <v>1.58975689585458</v>
      </c>
      <c r="F99" s="1314" t="n">
        <f aca="false">IF($A99&gt;Endyr,0,VLOOKUP($A99,Tariff_Table,Tariff!$M$33))</f>
        <v>0.25</v>
      </c>
      <c r="G99" s="1609" t="n">
        <f aca="false">SUM(E99,F99)</f>
        <v>1.83975689585458</v>
      </c>
      <c r="H99" s="397" t="n">
        <f aca="false">VLOOKUP($A99,Plant_Table,'Plant Operations'!$T$270)</f>
        <v>2025354.24</v>
      </c>
      <c r="I99" s="1566" t="n">
        <f aca="false">G99*H99/1000</f>
        <v>3726.1594295883</v>
      </c>
      <c r="J99" s="1567" t="str">
        <f aca="false">IF(MONTH($A99)=12,SUM(I88:I99)," ")</f>
        <v> </v>
      </c>
      <c r="L99" s="1610" t="n">
        <f aca="false">IF($A99&lt;Startops2,0,VLOOKUP($A99,Tariff_Table,Tariff!$N$33))</f>
        <v>0</v>
      </c>
      <c r="M99" s="397" t="n">
        <f aca="false">H99</f>
        <v>2025354.24</v>
      </c>
      <c r="N99" s="1611" t="n">
        <f aca="false">L99*M99/1000</f>
        <v>0</v>
      </c>
      <c r="O99" s="1611" t="n">
        <f aca="false">IF($A99&gt;Endyr,0,VLOOKUP($A99,Tariff_Table,Tariff!$O$33))</f>
        <v>3257.6285</v>
      </c>
      <c r="P99" s="427" t="n">
        <f aca="false">VLOOKUP($A99,Curves_Table,Escalation!$AP$291)</f>
        <v>1.33877978058913</v>
      </c>
      <c r="Q99" s="1604" t="n">
        <f aca="false">SUM(N99,O99)*P99</f>
        <v>4361.24716847088</v>
      </c>
      <c r="R99" s="1579" t="str">
        <f aca="false">IF(MONTH($A99)=12,SUM(Q88:Q99)," ")</f>
        <v> </v>
      </c>
    </row>
    <row r="100" customFormat="false" ht="12.75" hidden="false" customHeight="false" outlineLevel="0" collapsed="false">
      <c r="A100" s="1538" t="n">
        <f aca="false">'Annex 12-Gas'!A100</f>
        <v>39630</v>
      </c>
      <c r="C100" s="488" t="n">
        <f aca="false">IF($A100&gt;Endyr,0,VLOOKUP($A100,Tariff_Table,Tariff!$L$33))</f>
        <v>1.21</v>
      </c>
      <c r="D100" s="427" t="n">
        <f aca="false">VLOOKUP($A100,Curves_Table,Escalation!$AL$291)</f>
        <v>1.31384867425998</v>
      </c>
      <c r="E100" s="1609" t="n">
        <f aca="false">C100*D100</f>
        <v>1.58975689585458</v>
      </c>
      <c r="F100" s="1314" t="n">
        <f aca="false">IF($A100&gt;Endyr,0,VLOOKUP($A100,Tariff_Table,Tariff!$M$33))</f>
        <v>0.25</v>
      </c>
      <c r="G100" s="1609" t="n">
        <f aca="false">SUM(E100,F100)</f>
        <v>1.83975689585458</v>
      </c>
      <c r="H100" s="397" t="n">
        <f aca="false">VLOOKUP($A100,Plant_Table,'Plant Operations'!$T$270)</f>
        <v>2092866.048</v>
      </c>
      <c r="I100" s="1566" t="n">
        <f aca="false">G100*H100/1000</f>
        <v>3850.36474390791</v>
      </c>
      <c r="J100" s="1567" t="str">
        <f aca="false">IF(MONTH($A100)=12,SUM(I89:I100)," ")</f>
        <v> </v>
      </c>
      <c r="L100" s="1610" t="n">
        <f aca="false">IF($A100&lt;Startops2,0,VLOOKUP($A100,Tariff_Table,Tariff!$N$33))</f>
        <v>0</v>
      </c>
      <c r="M100" s="397" t="n">
        <f aca="false">H100</f>
        <v>2092866.048</v>
      </c>
      <c r="N100" s="1611" t="n">
        <f aca="false">L100*M100/1000</f>
        <v>0</v>
      </c>
      <c r="O100" s="1611" t="n">
        <f aca="false">IF($A100&gt;Endyr,0,VLOOKUP($A100,Tariff_Table,Tariff!$O$33))</f>
        <v>3257.6285</v>
      </c>
      <c r="P100" s="427" t="n">
        <f aca="false">VLOOKUP($A100,Curves_Table,Escalation!$AP$291)</f>
        <v>1.33877978058913</v>
      </c>
      <c r="Q100" s="1604" t="n">
        <f aca="false">SUM(N100,O100)*P100</f>
        <v>4361.24716847088</v>
      </c>
      <c r="R100" s="1579" t="str">
        <f aca="false">IF(MONTH($A100)=12,SUM(Q89:Q100)," ")</f>
        <v> </v>
      </c>
    </row>
    <row r="101" customFormat="false" ht="12.75" hidden="false" customHeight="false" outlineLevel="0" collapsed="false">
      <c r="A101" s="1538" t="n">
        <f aca="false">'Annex 12-Gas'!A101</f>
        <v>39661</v>
      </c>
      <c r="C101" s="488" t="n">
        <f aca="false">IF($A101&gt;Endyr,0,VLOOKUP($A101,Tariff_Table,Tariff!$L$33))</f>
        <v>1.21</v>
      </c>
      <c r="D101" s="427" t="n">
        <f aca="false">VLOOKUP($A101,Curves_Table,Escalation!$AL$291)</f>
        <v>1.31384867425998</v>
      </c>
      <c r="E101" s="1609" t="n">
        <f aca="false">C101*D101</f>
        <v>1.58975689585458</v>
      </c>
      <c r="F101" s="1314" t="n">
        <f aca="false">IF($A101&gt;Endyr,0,VLOOKUP($A101,Tariff_Table,Tariff!$M$33))</f>
        <v>0.25</v>
      </c>
      <c r="G101" s="1609" t="n">
        <f aca="false">SUM(E101,F101)</f>
        <v>1.83975689585458</v>
      </c>
      <c r="H101" s="397" t="n">
        <f aca="false">VLOOKUP($A101,Plant_Table,'Plant Operations'!$T$270)</f>
        <v>2092866.048</v>
      </c>
      <c r="I101" s="1566" t="n">
        <f aca="false">G101*H101/1000</f>
        <v>3850.36474390791</v>
      </c>
      <c r="J101" s="1567" t="str">
        <f aca="false">IF(MONTH($A101)=12,SUM(I90:I101)," ")</f>
        <v> </v>
      </c>
      <c r="L101" s="1610" t="n">
        <f aca="false">IF($A101&lt;Startops2,0,VLOOKUP($A101,Tariff_Table,Tariff!$N$33))</f>
        <v>0</v>
      </c>
      <c r="M101" s="397" t="n">
        <f aca="false">H101</f>
        <v>2092866.048</v>
      </c>
      <c r="N101" s="1611" t="n">
        <f aca="false">L101*M101/1000</f>
        <v>0</v>
      </c>
      <c r="O101" s="1611" t="n">
        <f aca="false">IF($A101&gt;Endyr,0,VLOOKUP($A101,Tariff_Table,Tariff!$O$33))</f>
        <v>3257.6285</v>
      </c>
      <c r="P101" s="427" t="n">
        <f aca="false">VLOOKUP($A101,Curves_Table,Escalation!$AP$291)</f>
        <v>1.33877978058913</v>
      </c>
      <c r="Q101" s="1604" t="n">
        <f aca="false">SUM(N101,O101)*P101</f>
        <v>4361.24716847088</v>
      </c>
      <c r="R101" s="1579" t="str">
        <f aca="false">IF(MONTH($A101)=12,SUM(Q90:Q101)," ")</f>
        <v> </v>
      </c>
    </row>
    <row r="102" customFormat="false" ht="12.75" hidden="false" customHeight="false" outlineLevel="0" collapsed="false">
      <c r="A102" s="1538" t="n">
        <f aca="false">'Annex 12-Gas'!A102</f>
        <v>39692</v>
      </c>
      <c r="C102" s="488" t="n">
        <f aca="false">IF($A102&gt;Endyr,0,VLOOKUP($A102,Tariff_Table,Tariff!$L$33))</f>
        <v>1.21</v>
      </c>
      <c r="D102" s="427" t="n">
        <f aca="false">VLOOKUP($A102,Curves_Table,Escalation!$AL$291)</f>
        <v>1.31384867425998</v>
      </c>
      <c r="E102" s="1609" t="n">
        <f aca="false">C102*D102</f>
        <v>1.58975689585458</v>
      </c>
      <c r="F102" s="1314" t="n">
        <f aca="false">IF($A102&gt;Endyr,0,VLOOKUP($A102,Tariff_Table,Tariff!$M$33))</f>
        <v>0.25</v>
      </c>
      <c r="G102" s="1609" t="n">
        <f aca="false">SUM(E102,F102)</f>
        <v>1.83975689585458</v>
      </c>
      <c r="H102" s="397" t="n">
        <f aca="false">VLOOKUP($A102,Plant_Table,'Plant Operations'!$T$270)</f>
        <v>2025354.24</v>
      </c>
      <c r="I102" s="1566" t="n">
        <f aca="false">G102*H102/1000</f>
        <v>3726.1594295883</v>
      </c>
      <c r="J102" s="1567" t="str">
        <f aca="false">IF(MONTH($A102)=12,SUM(I91:I102)," ")</f>
        <v> </v>
      </c>
      <c r="L102" s="1610" t="n">
        <f aca="false">IF($A102&lt;Startops2,0,VLOOKUP($A102,Tariff_Table,Tariff!$N$33))</f>
        <v>0</v>
      </c>
      <c r="M102" s="397" t="n">
        <f aca="false">H102</f>
        <v>2025354.24</v>
      </c>
      <c r="N102" s="1611" t="n">
        <f aca="false">L102*M102/1000</f>
        <v>0</v>
      </c>
      <c r="O102" s="1611" t="n">
        <f aca="false">IF($A102&gt;Endyr,0,VLOOKUP($A102,Tariff_Table,Tariff!$O$33))</f>
        <v>3257.6285</v>
      </c>
      <c r="P102" s="427" t="n">
        <f aca="false">VLOOKUP($A102,Curves_Table,Escalation!$AP$291)</f>
        <v>1.33877978058913</v>
      </c>
      <c r="Q102" s="1604" t="n">
        <f aca="false">SUM(N102,O102)*P102</f>
        <v>4361.24716847088</v>
      </c>
      <c r="R102" s="1579" t="str">
        <f aca="false">IF(MONTH($A102)=12,SUM(Q91:Q102)," ")</f>
        <v> </v>
      </c>
    </row>
    <row r="103" customFormat="false" ht="12.75" hidden="false" customHeight="false" outlineLevel="0" collapsed="false">
      <c r="A103" s="1538" t="n">
        <f aca="false">'Annex 12-Gas'!A103</f>
        <v>39722</v>
      </c>
      <c r="C103" s="488" t="n">
        <f aca="false">IF($A103&gt;Endyr,0,VLOOKUP($A103,Tariff_Table,Tariff!$L$33))</f>
        <v>1.21</v>
      </c>
      <c r="D103" s="427" t="n">
        <f aca="false">VLOOKUP($A103,Curves_Table,Escalation!$AL$291)</f>
        <v>1.31384867425998</v>
      </c>
      <c r="E103" s="1609" t="n">
        <f aca="false">C103*D103</f>
        <v>1.58975689585458</v>
      </c>
      <c r="F103" s="1314" t="n">
        <f aca="false">IF($A103&gt;Endyr,0,VLOOKUP($A103,Tariff_Table,Tariff!$M$33))</f>
        <v>0.25</v>
      </c>
      <c r="G103" s="1609" t="n">
        <f aca="false">SUM(E103,F103)</f>
        <v>1.83975689585458</v>
      </c>
      <c r="H103" s="397" t="n">
        <f aca="false">VLOOKUP($A103,Plant_Table,'Plant Operations'!$T$270)</f>
        <v>2092866.048</v>
      </c>
      <c r="I103" s="1566" t="n">
        <f aca="false">G103*H103/1000</f>
        <v>3850.36474390791</v>
      </c>
      <c r="J103" s="1567" t="str">
        <f aca="false">IF(MONTH($A103)=12,SUM(I92:I103)," ")</f>
        <v> </v>
      </c>
      <c r="L103" s="1610" t="n">
        <f aca="false">IF($A103&lt;Startops2,0,VLOOKUP($A103,Tariff_Table,Tariff!$N$33))</f>
        <v>0</v>
      </c>
      <c r="M103" s="397" t="n">
        <f aca="false">H103</f>
        <v>2092866.048</v>
      </c>
      <c r="N103" s="1611" t="n">
        <f aca="false">L103*M103/1000</f>
        <v>0</v>
      </c>
      <c r="O103" s="1611" t="n">
        <f aca="false">IF($A103&gt;Endyr,0,VLOOKUP($A103,Tariff_Table,Tariff!$O$33))</f>
        <v>3257.6285</v>
      </c>
      <c r="P103" s="427" t="n">
        <f aca="false">VLOOKUP($A103,Curves_Table,Escalation!$AP$291)</f>
        <v>1.33877978058913</v>
      </c>
      <c r="Q103" s="1604" t="n">
        <f aca="false">SUM(N103,O103)*P103</f>
        <v>4361.24716847088</v>
      </c>
      <c r="R103" s="1579" t="str">
        <f aca="false">IF(MONTH($A103)=12,SUM(Q92:Q103)," ")</f>
        <v> </v>
      </c>
    </row>
    <row r="104" customFormat="false" ht="12.75" hidden="false" customHeight="false" outlineLevel="0" collapsed="false">
      <c r="A104" s="1538" t="n">
        <f aca="false">'Annex 12-Gas'!A104</f>
        <v>39753</v>
      </c>
      <c r="C104" s="488" t="n">
        <f aca="false">IF($A104&gt;Endyr,0,VLOOKUP($A104,Tariff_Table,Tariff!$L$33))</f>
        <v>1.21</v>
      </c>
      <c r="D104" s="427" t="n">
        <f aca="false">VLOOKUP($A104,Curves_Table,Escalation!$AL$291)</f>
        <v>1.31384867425998</v>
      </c>
      <c r="E104" s="1609" t="n">
        <f aca="false">C104*D104</f>
        <v>1.58975689585458</v>
      </c>
      <c r="F104" s="1314" t="n">
        <f aca="false">IF($A104&gt;Endyr,0,VLOOKUP($A104,Tariff_Table,Tariff!$M$33))</f>
        <v>0.25</v>
      </c>
      <c r="G104" s="1609" t="n">
        <f aca="false">SUM(E104,F104)</f>
        <v>1.83975689585458</v>
      </c>
      <c r="H104" s="397" t="n">
        <f aca="false">VLOOKUP($A104,Plant_Table,'Plant Operations'!$T$270)</f>
        <v>2025354.24</v>
      </c>
      <c r="I104" s="1566" t="n">
        <f aca="false">G104*H104/1000</f>
        <v>3726.1594295883</v>
      </c>
      <c r="J104" s="1567" t="str">
        <f aca="false">IF(MONTH($A104)=12,SUM(I93:I104)," ")</f>
        <v> </v>
      </c>
      <c r="L104" s="1610" t="n">
        <f aca="false">IF($A104&lt;Startops2,0,VLOOKUP($A104,Tariff_Table,Tariff!$N$33))</f>
        <v>0</v>
      </c>
      <c r="M104" s="397" t="n">
        <f aca="false">H104</f>
        <v>2025354.24</v>
      </c>
      <c r="N104" s="1611" t="n">
        <f aca="false">L104*M104/1000</f>
        <v>0</v>
      </c>
      <c r="O104" s="1611" t="n">
        <f aca="false">IF($A104&gt;Endyr,0,VLOOKUP($A104,Tariff_Table,Tariff!$O$33))</f>
        <v>3257.6285</v>
      </c>
      <c r="P104" s="427" t="n">
        <f aca="false">VLOOKUP($A104,Curves_Table,Escalation!$AP$291)</f>
        <v>1.33877978058913</v>
      </c>
      <c r="Q104" s="1604" t="n">
        <f aca="false">SUM(N104,O104)*P104</f>
        <v>4361.24716847088</v>
      </c>
      <c r="R104" s="1579" t="str">
        <f aca="false">IF(MONTH($A104)=12,SUM(Q93:Q104)," ")</f>
        <v> </v>
      </c>
    </row>
    <row r="105" customFormat="false" ht="12.75" hidden="false" customHeight="false" outlineLevel="0" collapsed="false">
      <c r="A105" s="1538" t="n">
        <f aca="false">'Annex 12-Gas'!A105</f>
        <v>39783</v>
      </c>
      <c r="C105" s="488" t="n">
        <f aca="false">IF($A105&gt;Endyr,0,VLOOKUP($A105,Tariff_Table,Tariff!$L$33))</f>
        <v>1.21</v>
      </c>
      <c r="D105" s="427" t="n">
        <f aca="false">VLOOKUP($A105,Curves_Table,Escalation!$AL$291)</f>
        <v>1.31384867425998</v>
      </c>
      <c r="E105" s="1609" t="n">
        <f aca="false">C105*D105</f>
        <v>1.58975689585458</v>
      </c>
      <c r="F105" s="1314" t="n">
        <f aca="false">IF($A105&gt;Endyr,0,VLOOKUP($A105,Tariff_Table,Tariff!$M$33))</f>
        <v>0.25</v>
      </c>
      <c r="G105" s="1609" t="n">
        <f aca="false">SUM(E105,F105)</f>
        <v>1.83975689585458</v>
      </c>
      <c r="H105" s="397" t="n">
        <f aca="false">VLOOKUP($A105,Plant_Table,'Plant Operations'!$T$270)</f>
        <v>2092866.048</v>
      </c>
      <c r="I105" s="1566" t="n">
        <f aca="false">G105*H105/1000</f>
        <v>3850.36474390791</v>
      </c>
      <c r="J105" s="1567" t="n">
        <f aca="false">IF(MONTH($A105)=12,SUM(I94:I105)," ")</f>
        <v>45151.6381553276</v>
      </c>
      <c r="L105" s="1610" t="n">
        <f aca="false">IF($A105&lt;Startops2,0,VLOOKUP($A105,Tariff_Table,Tariff!$N$33))</f>
        <v>0</v>
      </c>
      <c r="M105" s="397" t="n">
        <f aca="false">H105</f>
        <v>2092866.048</v>
      </c>
      <c r="N105" s="1611" t="n">
        <f aca="false">L105*M105/1000</f>
        <v>0</v>
      </c>
      <c r="O105" s="1611" t="n">
        <f aca="false">IF($A105&gt;Endyr,0,VLOOKUP($A105,Tariff_Table,Tariff!$O$33))</f>
        <v>3257.6285</v>
      </c>
      <c r="P105" s="427" t="n">
        <f aca="false">VLOOKUP($A105,Curves_Table,Escalation!$AP$291)</f>
        <v>1.33877978058913</v>
      </c>
      <c r="Q105" s="1604" t="n">
        <f aca="false">SUM(N105,O105)*P105</f>
        <v>4361.24716847088</v>
      </c>
      <c r="R105" s="1579" t="n">
        <f aca="false">IF(MONTH($A105)=12,SUM(Q94:Q105)," ")</f>
        <v>51900.5055773843</v>
      </c>
    </row>
    <row r="106" customFormat="false" ht="12.75" hidden="false" customHeight="false" outlineLevel="0" collapsed="false">
      <c r="A106" s="1538" t="n">
        <f aca="false">'Annex 12-Gas'!A106</f>
        <v>39814</v>
      </c>
      <c r="C106" s="488" t="n">
        <f aca="false">IF($A106&gt;Endyr,0,VLOOKUP($A106,Tariff_Table,Tariff!$L$33))</f>
        <v>1.21</v>
      </c>
      <c r="D106" s="427" t="n">
        <f aca="false">VLOOKUP($A106,Curves_Table,Escalation!$AL$291)</f>
        <v>1.31384867425998</v>
      </c>
      <c r="E106" s="1609" t="n">
        <f aca="false">C106*D106</f>
        <v>1.58975689585458</v>
      </c>
      <c r="F106" s="1314" t="n">
        <f aca="false">IF($A106&gt;Endyr,0,VLOOKUP($A106,Tariff_Table,Tariff!$M$33))</f>
        <v>0.25</v>
      </c>
      <c r="G106" s="1609" t="n">
        <f aca="false">SUM(E106,F106)</f>
        <v>1.83975689585458</v>
      </c>
      <c r="H106" s="397" t="n">
        <f aca="false">VLOOKUP($A106,Plant_Table,'Plant Operations'!$T$270)</f>
        <v>2092866.048</v>
      </c>
      <c r="I106" s="1566" t="n">
        <f aca="false">G106*H106/1000</f>
        <v>3850.36474390791</v>
      </c>
      <c r="J106" s="1567" t="str">
        <f aca="false">IF(MONTH($A106)=12,SUM(I95:I106)," ")</f>
        <v> </v>
      </c>
      <c r="L106" s="1610" t="n">
        <f aca="false">IF($A106&lt;Startops2,0,VLOOKUP($A106,Tariff_Table,Tariff!$N$33))</f>
        <v>0</v>
      </c>
      <c r="M106" s="397" t="n">
        <f aca="false">H106</f>
        <v>2092866.048</v>
      </c>
      <c r="N106" s="1611" t="n">
        <f aca="false">L106*M106/1000</f>
        <v>0</v>
      </c>
      <c r="O106" s="1611" t="n">
        <f aca="false">IF($A106&gt;Endyr,0,VLOOKUP($A106,Tariff_Table,Tariff!$O$33))</f>
        <v>3257.6285</v>
      </c>
      <c r="P106" s="427" t="n">
        <f aca="false">VLOOKUP($A106,Curves_Table,Escalation!$AP$291)</f>
        <v>1.33877978058913</v>
      </c>
      <c r="Q106" s="1604" t="n">
        <f aca="false">SUM(N106,O106)*P106</f>
        <v>4361.24716847088</v>
      </c>
      <c r="R106" s="1579" t="str">
        <f aca="false">IF(MONTH($A106)=12,SUM(Q95:Q106)," ")</f>
        <v> </v>
      </c>
    </row>
    <row r="107" customFormat="false" ht="12.75" hidden="false" customHeight="false" outlineLevel="0" collapsed="false">
      <c r="A107" s="1538" t="n">
        <f aca="false">'Annex 12-Gas'!A107</f>
        <v>39845</v>
      </c>
      <c r="C107" s="488" t="n">
        <f aca="false">IF($A107&gt;Endyr,0,VLOOKUP($A107,Tariff_Table,Tariff!$L$33))</f>
        <v>1.21</v>
      </c>
      <c r="D107" s="427" t="n">
        <f aca="false">VLOOKUP($A107,Curves_Table,Escalation!$AL$291)</f>
        <v>1.31384867425998</v>
      </c>
      <c r="E107" s="1609" t="n">
        <f aca="false">C107*D107</f>
        <v>1.58975689585458</v>
      </c>
      <c r="F107" s="1314" t="n">
        <f aca="false">IF($A107&gt;Endyr,0,VLOOKUP($A107,Tariff_Table,Tariff!$M$33))</f>
        <v>0.25</v>
      </c>
      <c r="G107" s="1609" t="n">
        <f aca="false">SUM(E107,F107)</f>
        <v>1.83975689585458</v>
      </c>
      <c r="H107" s="397" t="n">
        <f aca="false">VLOOKUP($A107,Plant_Table,'Plant Operations'!$T$270)</f>
        <v>1890330.624</v>
      </c>
      <c r="I107" s="1566" t="n">
        <f aca="false">G107*H107/1000</f>
        <v>3477.74880094908</v>
      </c>
      <c r="J107" s="1567" t="str">
        <f aca="false">IF(MONTH($A107)=12,SUM(I96:I107)," ")</f>
        <v> </v>
      </c>
      <c r="L107" s="1610" t="n">
        <f aca="false">IF($A107&lt;Startops2,0,VLOOKUP($A107,Tariff_Table,Tariff!$N$33))</f>
        <v>0</v>
      </c>
      <c r="M107" s="397" t="n">
        <f aca="false">H107</f>
        <v>1890330.624</v>
      </c>
      <c r="N107" s="1611" t="n">
        <f aca="false">L107*M107/1000</f>
        <v>0</v>
      </c>
      <c r="O107" s="1611" t="n">
        <f aca="false">IF($A107&gt;Endyr,0,VLOOKUP($A107,Tariff_Table,Tariff!$O$33))</f>
        <v>3257.6285</v>
      </c>
      <c r="P107" s="427" t="n">
        <f aca="false">VLOOKUP($A107,Curves_Table,Escalation!$AP$291)</f>
        <v>1.33877978058913</v>
      </c>
      <c r="Q107" s="1604" t="n">
        <f aca="false">SUM(N107,O107)*P107</f>
        <v>4361.24716847088</v>
      </c>
      <c r="R107" s="1579" t="str">
        <f aca="false">IF(MONTH($A107)=12,SUM(Q96:Q107)," ")</f>
        <v> </v>
      </c>
    </row>
    <row r="108" customFormat="false" ht="12.75" hidden="false" customHeight="false" outlineLevel="0" collapsed="false">
      <c r="A108" s="1538" t="n">
        <f aca="false">'Annex 12-Gas'!A108</f>
        <v>39873</v>
      </c>
      <c r="C108" s="488" t="n">
        <f aca="false">IF($A108&gt;Endyr,0,VLOOKUP($A108,Tariff_Table,Tariff!$L$33))</f>
        <v>1.21</v>
      </c>
      <c r="D108" s="427" t="n">
        <f aca="false">VLOOKUP($A108,Curves_Table,Escalation!$AL$291)</f>
        <v>1.31384867425998</v>
      </c>
      <c r="E108" s="1609" t="n">
        <f aca="false">C108*D108</f>
        <v>1.58975689585458</v>
      </c>
      <c r="F108" s="1314" t="n">
        <f aca="false">IF($A108&gt;Endyr,0,VLOOKUP($A108,Tariff_Table,Tariff!$M$33))</f>
        <v>0.25</v>
      </c>
      <c r="G108" s="1609" t="n">
        <f aca="false">SUM(E108,F108)</f>
        <v>1.83975689585458</v>
      </c>
      <c r="H108" s="397" t="n">
        <f aca="false">VLOOKUP($A108,Plant_Table,'Plant Operations'!$T$270)</f>
        <v>2092866.048</v>
      </c>
      <c r="I108" s="1566" t="n">
        <f aca="false">G108*H108/1000</f>
        <v>3850.36474390791</v>
      </c>
      <c r="J108" s="1567" t="str">
        <f aca="false">IF(MONTH($A108)=12,SUM(I97:I108)," ")</f>
        <v> </v>
      </c>
      <c r="L108" s="1610" t="n">
        <f aca="false">IF($A108&lt;Startops2,0,VLOOKUP($A108,Tariff_Table,Tariff!$N$33))</f>
        <v>0</v>
      </c>
      <c r="M108" s="397" t="n">
        <f aca="false">H108</f>
        <v>2092866.048</v>
      </c>
      <c r="N108" s="1611" t="n">
        <f aca="false">L108*M108/1000</f>
        <v>0</v>
      </c>
      <c r="O108" s="1611" t="n">
        <f aca="false">IF($A108&gt;Endyr,0,VLOOKUP($A108,Tariff_Table,Tariff!$O$33))</f>
        <v>3257.6285</v>
      </c>
      <c r="P108" s="427" t="n">
        <f aca="false">VLOOKUP($A108,Curves_Table,Escalation!$AP$291)</f>
        <v>1.33877978058913</v>
      </c>
      <c r="Q108" s="1604" t="n">
        <f aca="false">SUM(N108,O108)*P108</f>
        <v>4361.24716847088</v>
      </c>
      <c r="R108" s="1579" t="str">
        <f aca="false">IF(MONTH($A108)=12,SUM(Q97:Q108)," ")</f>
        <v> </v>
      </c>
    </row>
    <row r="109" customFormat="false" ht="12.75" hidden="false" customHeight="false" outlineLevel="0" collapsed="false">
      <c r="A109" s="1538" t="n">
        <f aca="false">'Annex 12-Gas'!A109</f>
        <v>39904</v>
      </c>
      <c r="C109" s="488" t="n">
        <f aca="false">IF($A109&gt;Endyr,0,VLOOKUP($A109,Tariff_Table,Tariff!$L$33))</f>
        <v>1.21</v>
      </c>
      <c r="D109" s="427" t="n">
        <f aca="false">VLOOKUP($A109,Curves_Table,Escalation!$AL$291)</f>
        <v>1.31384867425998</v>
      </c>
      <c r="E109" s="1609" t="n">
        <f aca="false">C109*D109</f>
        <v>1.58975689585458</v>
      </c>
      <c r="F109" s="1314" t="n">
        <f aca="false">IF($A109&gt;Endyr,0,VLOOKUP($A109,Tariff_Table,Tariff!$M$33))</f>
        <v>0.25</v>
      </c>
      <c r="G109" s="1609" t="n">
        <f aca="false">SUM(E109,F109)</f>
        <v>1.83975689585458</v>
      </c>
      <c r="H109" s="397" t="n">
        <f aca="false">VLOOKUP($A109,Plant_Table,'Plant Operations'!$T$270)</f>
        <v>2025354.24</v>
      </c>
      <c r="I109" s="1566" t="n">
        <f aca="false">G109*H109/1000</f>
        <v>3726.1594295883</v>
      </c>
      <c r="J109" s="1567" t="str">
        <f aca="false">IF(MONTH($A109)=12,SUM(I98:I109)," ")</f>
        <v> </v>
      </c>
      <c r="L109" s="1610" t="n">
        <f aca="false">IF($A109&lt;Startops2,0,VLOOKUP($A109,Tariff_Table,Tariff!$N$33))</f>
        <v>0</v>
      </c>
      <c r="M109" s="397" t="n">
        <f aca="false">H109</f>
        <v>2025354.24</v>
      </c>
      <c r="N109" s="1611" t="n">
        <f aca="false">L109*M109/1000</f>
        <v>0</v>
      </c>
      <c r="O109" s="1611" t="n">
        <f aca="false">IF($A109&gt;Endyr,0,VLOOKUP($A109,Tariff_Table,Tariff!$O$33))</f>
        <v>3257.6285</v>
      </c>
      <c r="P109" s="427" t="n">
        <f aca="false">VLOOKUP($A109,Curves_Table,Escalation!$AP$291)</f>
        <v>1.33877978058913</v>
      </c>
      <c r="Q109" s="1604" t="n">
        <f aca="false">SUM(N109,O109)*P109</f>
        <v>4361.24716847088</v>
      </c>
      <c r="R109" s="1579" t="str">
        <f aca="false">IF(MONTH($A109)=12,SUM(Q98:Q109)," ")</f>
        <v> </v>
      </c>
    </row>
    <row r="110" customFormat="false" ht="12.75" hidden="false" customHeight="false" outlineLevel="0" collapsed="false">
      <c r="A110" s="1538" t="n">
        <f aca="false">'Annex 12-Gas'!A110</f>
        <v>39934</v>
      </c>
      <c r="C110" s="488" t="n">
        <f aca="false">IF($A110&gt;Endyr,0,VLOOKUP($A110,Tariff_Table,Tariff!$L$33))</f>
        <v>1.21</v>
      </c>
      <c r="D110" s="427" t="n">
        <f aca="false">VLOOKUP($A110,Curves_Table,Escalation!$AL$291)</f>
        <v>1.34508031858578</v>
      </c>
      <c r="E110" s="1609" t="n">
        <f aca="false">C110*D110</f>
        <v>1.6275471854888</v>
      </c>
      <c r="F110" s="1314" t="n">
        <f aca="false">IF($A110&gt;Endyr,0,VLOOKUP($A110,Tariff_Table,Tariff!$M$33))</f>
        <v>0.25</v>
      </c>
      <c r="G110" s="1609" t="n">
        <f aca="false">SUM(E110,F110)</f>
        <v>1.8775471854888</v>
      </c>
      <c r="H110" s="397" t="n">
        <f aca="false">VLOOKUP($A110,Plant_Table,'Plant Operations'!$T$270)</f>
        <v>2092866.048</v>
      </c>
      <c r="I110" s="1566" t="n">
        <f aca="false">G110*H110/1000</f>
        <v>3929.45475802747</v>
      </c>
      <c r="J110" s="1567" t="str">
        <f aca="false">IF(MONTH($A110)=12,SUM(I99:I110)," ")</f>
        <v> </v>
      </c>
      <c r="L110" s="1610" t="n">
        <f aca="false">IF($A110&lt;Startops2,0,VLOOKUP($A110,Tariff_Table,Tariff!$N$33))</f>
        <v>0</v>
      </c>
      <c r="M110" s="397" t="n">
        <f aca="false">H110</f>
        <v>2092866.048</v>
      </c>
      <c r="N110" s="1611" t="n">
        <f aca="false">L110*M110/1000</f>
        <v>0</v>
      </c>
      <c r="O110" s="1611" t="n">
        <f aca="false">IF($A110&gt;Endyr,0,VLOOKUP($A110,Tariff_Table,Tariff!$O$33))</f>
        <v>3260.67984</v>
      </c>
      <c r="P110" s="427" t="n">
        <f aca="false">VLOOKUP($A110,Curves_Table,Escalation!$AP$291)</f>
        <v>1.37395101449367</v>
      </c>
      <c r="Q110" s="1604" t="n">
        <f aca="false">SUM(N110,O110)*P110</f>
        <v>4480.01437410705</v>
      </c>
      <c r="R110" s="1579" t="str">
        <f aca="false">IF(MONTH($A110)=12,SUM(Q99:Q110)," ")</f>
        <v> </v>
      </c>
    </row>
    <row r="111" customFormat="false" ht="12.75" hidden="false" customHeight="false" outlineLevel="0" collapsed="false">
      <c r="A111" s="1538" t="n">
        <f aca="false">'Annex 12-Gas'!A111</f>
        <v>39965</v>
      </c>
      <c r="C111" s="488" t="n">
        <f aca="false">IF($A111&gt;Endyr,0,VLOOKUP($A111,Tariff_Table,Tariff!$L$33))</f>
        <v>1.21</v>
      </c>
      <c r="D111" s="427" t="n">
        <f aca="false">VLOOKUP($A111,Curves_Table,Escalation!$AL$291)</f>
        <v>1.34508031858578</v>
      </c>
      <c r="E111" s="1609" t="n">
        <f aca="false">C111*D111</f>
        <v>1.6275471854888</v>
      </c>
      <c r="F111" s="1314" t="n">
        <f aca="false">IF($A111&gt;Endyr,0,VLOOKUP($A111,Tariff_Table,Tariff!$M$33))</f>
        <v>0.25</v>
      </c>
      <c r="G111" s="1609" t="n">
        <f aca="false">SUM(E111,F111)</f>
        <v>1.8775471854888</v>
      </c>
      <c r="H111" s="397" t="n">
        <f aca="false">VLOOKUP($A111,Plant_Table,'Plant Operations'!$T$270)</f>
        <v>2025354.24</v>
      </c>
      <c r="I111" s="1566" t="n">
        <f aca="false">G111*H111/1000</f>
        <v>3802.69815292981</v>
      </c>
      <c r="J111" s="1567" t="str">
        <f aca="false">IF(MONTH($A111)=12,SUM(I100:I111)," ")</f>
        <v> </v>
      </c>
      <c r="L111" s="1610" t="n">
        <f aca="false">IF($A111&lt;Startops2,0,VLOOKUP($A111,Tariff_Table,Tariff!$N$33))</f>
        <v>0</v>
      </c>
      <c r="M111" s="397" t="n">
        <f aca="false">H111</f>
        <v>2025354.24</v>
      </c>
      <c r="N111" s="1611" t="n">
        <f aca="false">L111*M111/1000</f>
        <v>0</v>
      </c>
      <c r="O111" s="1611" t="n">
        <f aca="false">IF($A111&gt;Endyr,0,VLOOKUP($A111,Tariff_Table,Tariff!$O$33))</f>
        <v>3260.67984</v>
      </c>
      <c r="P111" s="427" t="n">
        <f aca="false">VLOOKUP($A111,Curves_Table,Escalation!$AP$291)</f>
        <v>1.37395101449367</v>
      </c>
      <c r="Q111" s="1604" t="n">
        <f aca="false">SUM(N111,O111)*P111</f>
        <v>4480.01437410705</v>
      </c>
      <c r="R111" s="1579" t="str">
        <f aca="false">IF(MONTH($A111)=12,SUM(Q100:Q111)," ")</f>
        <v> </v>
      </c>
    </row>
    <row r="112" customFormat="false" ht="12.75" hidden="false" customHeight="false" outlineLevel="0" collapsed="false">
      <c r="A112" s="1538" t="n">
        <f aca="false">'Annex 12-Gas'!A112</f>
        <v>39995</v>
      </c>
      <c r="C112" s="488" t="n">
        <f aca="false">IF($A112&gt;Endyr,0,VLOOKUP($A112,Tariff_Table,Tariff!$L$33))</f>
        <v>1.21</v>
      </c>
      <c r="D112" s="427" t="n">
        <f aca="false">VLOOKUP($A112,Curves_Table,Escalation!$AL$291)</f>
        <v>1.34508031858578</v>
      </c>
      <c r="E112" s="1609" t="n">
        <f aca="false">C112*D112</f>
        <v>1.6275471854888</v>
      </c>
      <c r="F112" s="1314" t="n">
        <f aca="false">IF($A112&gt;Endyr,0,VLOOKUP($A112,Tariff_Table,Tariff!$M$33))</f>
        <v>0.25</v>
      </c>
      <c r="G112" s="1609" t="n">
        <f aca="false">SUM(E112,F112)</f>
        <v>1.8775471854888</v>
      </c>
      <c r="H112" s="397" t="n">
        <f aca="false">VLOOKUP($A112,Plant_Table,'Plant Operations'!$T$270)</f>
        <v>2092866.048</v>
      </c>
      <c r="I112" s="1566" t="n">
        <f aca="false">G112*H112/1000</f>
        <v>3929.45475802747</v>
      </c>
      <c r="J112" s="1567" t="str">
        <f aca="false">IF(MONTH($A112)=12,SUM(I101:I112)," ")</f>
        <v> </v>
      </c>
      <c r="L112" s="1610" t="n">
        <f aca="false">IF($A112&lt;Startops2,0,VLOOKUP($A112,Tariff_Table,Tariff!$N$33))</f>
        <v>0</v>
      </c>
      <c r="M112" s="397" t="n">
        <f aca="false">H112</f>
        <v>2092866.048</v>
      </c>
      <c r="N112" s="1611" t="n">
        <f aca="false">L112*M112/1000</f>
        <v>0</v>
      </c>
      <c r="O112" s="1611" t="n">
        <f aca="false">IF($A112&gt;Endyr,0,VLOOKUP($A112,Tariff_Table,Tariff!$O$33))</f>
        <v>3260.67984</v>
      </c>
      <c r="P112" s="427" t="n">
        <f aca="false">VLOOKUP($A112,Curves_Table,Escalation!$AP$291)</f>
        <v>1.37395101449367</v>
      </c>
      <c r="Q112" s="1604" t="n">
        <f aca="false">SUM(N112,O112)*P112</f>
        <v>4480.01437410705</v>
      </c>
      <c r="R112" s="1579" t="str">
        <f aca="false">IF(MONTH($A112)=12,SUM(Q101:Q112)," ")</f>
        <v> </v>
      </c>
    </row>
    <row r="113" customFormat="false" ht="12.75" hidden="false" customHeight="false" outlineLevel="0" collapsed="false">
      <c r="A113" s="1538" t="n">
        <f aca="false">'Annex 12-Gas'!A113</f>
        <v>40026</v>
      </c>
      <c r="C113" s="488" t="n">
        <f aca="false">IF($A113&gt;Endyr,0,VLOOKUP($A113,Tariff_Table,Tariff!$L$33))</f>
        <v>1.21</v>
      </c>
      <c r="D113" s="427" t="n">
        <f aca="false">VLOOKUP($A113,Curves_Table,Escalation!$AL$291)</f>
        <v>1.34508031858578</v>
      </c>
      <c r="E113" s="1609" t="n">
        <f aca="false">C113*D113</f>
        <v>1.6275471854888</v>
      </c>
      <c r="F113" s="1314" t="n">
        <f aca="false">IF($A113&gt;Endyr,0,VLOOKUP($A113,Tariff_Table,Tariff!$M$33))</f>
        <v>0.25</v>
      </c>
      <c r="G113" s="1609" t="n">
        <f aca="false">SUM(E113,F113)</f>
        <v>1.8775471854888</v>
      </c>
      <c r="H113" s="397" t="n">
        <f aca="false">VLOOKUP($A113,Plant_Table,'Plant Operations'!$T$270)</f>
        <v>2092866.048</v>
      </c>
      <c r="I113" s="1566" t="n">
        <f aca="false">G113*H113/1000</f>
        <v>3929.45475802747</v>
      </c>
      <c r="J113" s="1567" t="str">
        <f aca="false">IF(MONTH($A113)=12,SUM(I102:I113)," ")</f>
        <v> </v>
      </c>
      <c r="L113" s="1610" t="n">
        <f aca="false">IF($A113&lt;Startops2,0,VLOOKUP($A113,Tariff_Table,Tariff!$N$33))</f>
        <v>0</v>
      </c>
      <c r="M113" s="397" t="n">
        <f aca="false">H113</f>
        <v>2092866.048</v>
      </c>
      <c r="N113" s="1611" t="n">
        <f aca="false">L113*M113/1000</f>
        <v>0</v>
      </c>
      <c r="O113" s="1611" t="n">
        <f aca="false">IF($A113&gt;Endyr,0,VLOOKUP($A113,Tariff_Table,Tariff!$O$33))</f>
        <v>3260.67984</v>
      </c>
      <c r="P113" s="427" t="n">
        <f aca="false">VLOOKUP($A113,Curves_Table,Escalation!$AP$291)</f>
        <v>1.37395101449367</v>
      </c>
      <c r="Q113" s="1604" t="n">
        <f aca="false">SUM(N113,O113)*P113</f>
        <v>4480.01437410705</v>
      </c>
      <c r="R113" s="1579" t="str">
        <f aca="false">IF(MONTH($A113)=12,SUM(Q102:Q113)," ")</f>
        <v> </v>
      </c>
    </row>
    <row r="114" customFormat="false" ht="12.75" hidden="false" customHeight="false" outlineLevel="0" collapsed="false">
      <c r="A114" s="1538" t="n">
        <f aca="false">'Annex 12-Gas'!A114</f>
        <v>40057</v>
      </c>
      <c r="C114" s="488" t="n">
        <f aca="false">IF($A114&gt;Endyr,0,VLOOKUP($A114,Tariff_Table,Tariff!$L$33))</f>
        <v>1.21</v>
      </c>
      <c r="D114" s="427" t="n">
        <f aca="false">VLOOKUP($A114,Curves_Table,Escalation!$AL$291)</f>
        <v>1.34508031858578</v>
      </c>
      <c r="E114" s="1609" t="n">
        <f aca="false">C114*D114</f>
        <v>1.6275471854888</v>
      </c>
      <c r="F114" s="1314" t="n">
        <f aca="false">IF($A114&gt;Endyr,0,VLOOKUP($A114,Tariff_Table,Tariff!$M$33))</f>
        <v>0.25</v>
      </c>
      <c r="G114" s="1609" t="n">
        <f aca="false">SUM(E114,F114)</f>
        <v>1.8775471854888</v>
      </c>
      <c r="H114" s="397" t="n">
        <f aca="false">VLOOKUP($A114,Plant_Table,'Plant Operations'!$T$270)</f>
        <v>2025354.24</v>
      </c>
      <c r="I114" s="1566" t="n">
        <f aca="false">G114*H114/1000</f>
        <v>3802.69815292981</v>
      </c>
      <c r="J114" s="1567" t="str">
        <f aca="false">IF(MONTH($A114)=12,SUM(I103:I114)," ")</f>
        <v> </v>
      </c>
      <c r="L114" s="1610" t="n">
        <f aca="false">IF($A114&lt;Startops2,0,VLOOKUP($A114,Tariff_Table,Tariff!$N$33))</f>
        <v>0</v>
      </c>
      <c r="M114" s="397" t="n">
        <f aca="false">H114</f>
        <v>2025354.24</v>
      </c>
      <c r="N114" s="1611" t="n">
        <f aca="false">L114*M114/1000</f>
        <v>0</v>
      </c>
      <c r="O114" s="1611" t="n">
        <f aca="false">IF($A114&gt;Endyr,0,VLOOKUP($A114,Tariff_Table,Tariff!$O$33))</f>
        <v>3260.67984</v>
      </c>
      <c r="P114" s="427" t="n">
        <f aca="false">VLOOKUP($A114,Curves_Table,Escalation!$AP$291)</f>
        <v>1.37395101449367</v>
      </c>
      <c r="Q114" s="1604" t="n">
        <f aca="false">SUM(N114,O114)*P114</f>
        <v>4480.01437410705</v>
      </c>
      <c r="R114" s="1579" t="str">
        <f aca="false">IF(MONTH($A114)=12,SUM(Q103:Q114)," ")</f>
        <v> </v>
      </c>
    </row>
    <row r="115" customFormat="false" ht="12.75" hidden="false" customHeight="false" outlineLevel="0" collapsed="false">
      <c r="A115" s="1538" t="n">
        <f aca="false">'Annex 12-Gas'!A115</f>
        <v>40087</v>
      </c>
      <c r="C115" s="488" t="n">
        <f aca="false">IF($A115&gt;Endyr,0,VLOOKUP($A115,Tariff_Table,Tariff!$L$33))</f>
        <v>1.21</v>
      </c>
      <c r="D115" s="427" t="n">
        <f aca="false">VLOOKUP($A115,Curves_Table,Escalation!$AL$291)</f>
        <v>1.34508031858578</v>
      </c>
      <c r="E115" s="1609" t="n">
        <f aca="false">C115*D115</f>
        <v>1.6275471854888</v>
      </c>
      <c r="F115" s="1314" t="n">
        <f aca="false">IF($A115&gt;Endyr,0,VLOOKUP($A115,Tariff_Table,Tariff!$M$33))</f>
        <v>0.25</v>
      </c>
      <c r="G115" s="1609" t="n">
        <f aca="false">SUM(E115,F115)</f>
        <v>1.8775471854888</v>
      </c>
      <c r="H115" s="397" t="n">
        <f aca="false">VLOOKUP($A115,Plant_Table,'Plant Operations'!$T$270)</f>
        <v>2092866.048</v>
      </c>
      <c r="I115" s="1566" t="n">
        <f aca="false">G115*H115/1000</f>
        <v>3929.45475802747</v>
      </c>
      <c r="J115" s="1567" t="str">
        <f aca="false">IF(MONTH($A115)=12,SUM(I104:I115)," ")</f>
        <v> </v>
      </c>
      <c r="L115" s="1610" t="n">
        <f aca="false">IF($A115&lt;Startops2,0,VLOOKUP($A115,Tariff_Table,Tariff!$N$33))</f>
        <v>0</v>
      </c>
      <c r="M115" s="397" t="n">
        <f aca="false">H115</f>
        <v>2092866.048</v>
      </c>
      <c r="N115" s="1611" t="n">
        <f aca="false">L115*M115/1000</f>
        <v>0</v>
      </c>
      <c r="O115" s="1611" t="n">
        <f aca="false">IF($A115&gt;Endyr,0,VLOOKUP($A115,Tariff_Table,Tariff!$O$33))</f>
        <v>3260.67984</v>
      </c>
      <c r="P115" s="427" t="n">
        <f aca="false">VLOOKUP($A115,Curves_Table,Escalation!$AP$291)</f>
        <v>1.37395101449367</v>
      </c>
      <c r="Q115" s="1604" t="n">
        <f aca="false">SUM(N115,O115)*P115</f>
        <v>4480.01437410705</v>
      </c>
      <c r="R115" s="1579" t="str">
        <f aca="false">IF(MONTH($A115)=12,SUM(Q104:Q115)," ")</f>
        <v> </v>
      </c>
    </row>
    <row r="116" customFormat="false" ht="12.75" hidden="false" customHeight="false" outlineLevel="0" collapsed="false">
      <c r="A116" s="1538" t="n">
        <f aca="false">'Annex 12-Gas'!A116</f>
        <v>40118</v>
      </c>
      <c r="C116" s="488" t="n">
        <f aca="false">IF($A116&gt;Endyr,0,VLOOKUP($A116,Tariff_Table,Tariff!$L$33))</f>
        <v>1.21</v>
      </c>
      <c r="D116" s="427" t="n">
        <f aca="false">VLOOKUP($A116,Curves_Table,Escalation!$AL$291)</f>
        <v>1.34508031858578</v>
      </c>
      <c r="E116" s="1609" t="n">
        <f aca="false">C116*D116</f>
        <v>1.6275471854888</v>
      </c>
      <c r="F116" s="1314" t="n">
        <f aca="false">IF($A116&gt;Endyr,0,VLOOKUP($A116,Tariff_Table,Tariff!$M$33))</f>
        <v>0.25</v>
      </c>
      <c r="G116" s="1609" t="n">
        <f aca="false">SUM(E116,F116)</f>
        <v>1.8775471854888</v>
      </c>
      <c r="H116" s="397" t="n">
        <f aca="false">VLOOKUP($A116,Plant_Table,'Plant Operations'!$T$270)</f>
        <v>2025354.24</v>
      </c>
      <c r="I116" s="1566" t="n">
        <f aca="false">G116*H116/1000</f>
        <v>3802.69815292981</v>
      </c>
      <c r="J116" s="1567" t="str">
        <f aca="false">IF(MONTH($A116)=12,SUM(I105:I116)," ")</f>
        <v> </v>
      </c>
      <c r="L116" s="1610" t="n">
        <f aca="false">IF($A116&lt;Startops2,0,VLOOKUP($A116,Tariff_Table,Tariff!$N$33))</f>
        <v>0</v>
      </c>
      <c r="M116" s="397" t="n">
        <f aca="false">H116</f>
        <v>2025354.24</v>
      </c>
      <c r="N116" s="1611" t="n">
        <f aca="false">L116*M116/1000</f>
        <v>0</v>
      </c>
      <c r="O116" s="1611" t="n">
        <f aca="false">IF($A116&gt;Endyr,0,VLOOKUP($A116,Tariff_Table,Tariff!$O$33))</f>
        <v>3260.67984</v>
      </c>
      <c r="P116" s="427" t="n">
        <f aca="false">VLOOKUP($A116,Curves_Table,Escalation!$AP$291)</f>
        <v>1.37395101449367</v>
      </c>
      <c r="Q116" s="1604" t="n">
        <f aca="false">SUM(N116,O116)*P116</f>
        <v>4480.01437410705</v>
      </c>
      <c r="R116" s="1579" t="str">
        <f aca="false">IF(MONTH($A116)=12,SUM(Q105:Q116)," ")</f>
        <v> </v>
      </c>
    </row>
    <row r="117" customFormat="false" ht="12.75" hidden="false" customHeight="false" outlineLevel="0" collapsed="false">
      <c r="A117" s="1538" t="n">
        <f aca="false">'Annex 12-Gas'!A117</f>
        <v>40148</v>
      </c>
      <c r="C117" s="488" t="n">
        <f aca="false">IF($A117&gt;Endyr,0,VLOOKUP($A117,Tariff_Table,Tariff!$L$33))</f>
        <v>1.21</v>
      </c>
      <c r="D117" s="427" t="n">
        <f aca="false">VLOOKUP($A117,Curves_Table,Escalation!$AL$291)</f>
        <v>1.34508031858578</v>
      </c>
      <c r="E117" s="1609" t="n">
        <f aca="false">C117*D117</f>
        <v>1.6275471854888</v>
      </c>
      <c r="F117" s="1314" t="n">
        <f aca="false">IF($A117&gt;Endyr,0,VLOOKUP($A117,Tariff_Table,Tariff!$M$33))</f>
        <v>0.25</v>
      </c>
      <c r="G117" s="1609" t="n">
        <f aca="false">SUM(E117,F117)</f>
        <v>1.8775471854888</v>
      </c>
      <c r="H117" s="397" t="n">
        <f aca="false">VLOOKUP($A117,Plant_Table,'Plant Operations'!$T$270)</f>
        <v>2092866.048</v>
      </c>
      <c r="I117" s="1566" t="n">
        <f aca="false">G117*H117/1000</f>
        <v>3929.45475802747</v>
      </c>
      <c r="J117" s="1567" t="n">
        <f aca="false">IF(MONTH($A117)=12,SUM(I106:I117)," ")</f>
        <v>45960.00596728</v>
      </c>
      <c r="L117" s="1610" t="n">
        <f aca="false">IF($A117&lt;Startops2,0,VLOOKUP($A117,Tariff_Table,Tariff!$N$33))</f>
        <v>0</v>
      </c>
      <c r="M117" s="397" t="n">
        <f aca="false">H117</f>
        <v>2092866.048</v>
      </c>
      <c r="N117" s="1611" t="n">
        <f aca="false">L117*M117/1000</f>
        <v>0</v>
      </c>
      <c r="O117" s="1611" t="n">
        <f aca="false">IF($A117&gt;Endyr,0,VLOOKUP($A117,Tariff_Table,Tariff!$O$33))</f>
        <v>3260.67984</v>
      </c>
      <c r="P117" s="427" t="n">
        <f aca="false">VLOOKUP($A117,Curves_Table,Escalation!$AP$291)</f>
        <v>1.37395101449367</v>
      </c>
      <c r="Q117" s="1604" t="n">
        <f aca="false">SUM(N117,O117)*P117</f>
        <v>4480.01437410705</v>
      </c>
      <c r="R117" s="1579" t="n">
        <f aca="false">IF(MONTH($A117)=12,SUM(Q106:Q117)," ")</f>
        <v>53285.1036667399</v>
      </c>
    </row>
    <row r="118" customFormat="false" ht="12.75" hidden="false" customHeight="false" outlineLevel="0" collapsed="false">
      <c r="A118" s="1538" t="n">
        <f aca="false">'Annex 12-Gas'!A118</f>
        <v>40179</v>
      </c>
      <c r="C118" s="488" t="n">
        <f aca="false">IF($A118&gt;Endyr,0,VLOOKUP($A118,Tariff_Table,Tariff!$L$33))</f>
        <v>1.21</v>
      </c>
      <c r="D118" s="427" t="n">
        <f aca="false">VLOOKUP($A118,Curves_Table,Escalation!$AL$291)</f>
        <v>1.34508031858578</v>
      </c>
      <c r="E118" s="1609" t="n">
        <f aca="false">C118*D118</f>
        <v>1.6275471854888</v>
      </c>
      <c r="F118" s="1314" t="n">
        <f aca="false">IF($A118&gt;Endyr,0,VLOOKUP($A118,Tariff_Table,Tariff!$M$33))</f>
        <v>0.25</v>
      </c>
      <c r="G118" s="1609" t="n">
        <f aca="false">SUM(E118,F118)</f>
        <v>1.8775471854888</v>
      </c>
      <c r="H118" s="397" t="n">
        <f aca="false">VLOOKUP($A118,Plant_Table,'Plant Operations'!$T$270)</f>
        <v>2092866.048</v>
      </c>
      <c r="I118" s="1566" t="n">
        <f aca="false">G118*H118/1000</f>
        <v>3929.45475802747</v>
      </c>
      <c r="J118" s="1567" t="str">
        <f aca="false">IF(MONTH($A118)=12,SUM(I107:I118)," ")</f>
        <v> </v>
      </c>
      <c r="L118" s="1610" t="n">
        <f aca="false">IF($A118&lt;Startops2,0,VLOOKUP($A118,Tariff_Table,Tariff!$N$33))</f>
        <v>0</v>
      </c>
      <c r="M118" s="397" t="n">
        <f aca="false">H118</f>
        <v>2092866.048</v>
      </c>
      <c r="N118" s="1611" t="n">
        <f aca="false">L118*M118/1000</f>
        <v>0</v>
      </c>
      <c r="O118" s="1611" t="n">
        <f aca="false">IF($A118&gt;Endyr,0,VLOOKUP($A118,Tariff_Table,Tariff!$O$33))</f>
        <v>3260.67984</v>
      </c>
      <c r="P118" s="427" t="n">
        <f aca="false">VLOOKUP($A118,Curves_Table,Escalation!$AP$291)</f>
        <v>1.37395101449367</v>
      </c>
      <c r="Q118" s="1604" t="n">
        <f aca="false">SUM(N118,O118)*P118</f>
        <v>4480.01437410705</v>
      </c>
      <c r="R118" s="1579" t="str">
        <f aca="false">IF(MONTH($A118)=12,SUM(Q107:Q118)," ")</f>
        <v> </v>
      </c>
    </row>
    <row r="119" customFormat="false" ht="12.75" hidden="false" customHeight="false" outlineLevel="0" collapsed="false">
      <c r="A119" s="1538" t="n">
        <f aca="false">'Annex 12-Gas'!A119</f>
        <v>40210</v>
      </c>
      <c r="C119" s="488" t="n">
        <f aca="false">IF($A119&gt;Endyr,0,VLOOKUP($A119,Tariff_Table,Tariff!$L$33))</f>
        <v>1.21</v>
      </c>
      <c r="D119" s="427" t="n">
        <f aca="false">VLOOKUP($A119,Curves_Table,Escalation!$AL$291)</f>
        <v>1.34508031858578</v>
      </c>
      <c r="E119" s="1609" t="n">
        <f aca="false">C119*D119</f>
        <v>1.6275471854888</v>
      </c>
      <c r="F119" s="1314" t="n">
        <f aca="false">IF($A119&gt;Endyr,0,VLOOKUP($A119,Tariff_Table,Tariff!$M$33))</f>
        <v>0.25</v>
      </c>
      <c r="G119" s="1609" t="n">
        <f aca="false">SUM(E119,F119)</f>
        <v>1.8775471854888</v>
      </c>
      <c r="H119" s="397" t="n">
        <f aca="false">VLOOKUP($A119,Plant_Table,'Plant Operations'!$T$270)</f>
        <v>1890330.624</v>
      </c>
      <c r="I119" s="1566" t="n">
        <f aca="false">G119*H119/1000</f>
        <v>3549.18494273449</v>
      </c>
      <c r="J119" s="1567" t="str">
        <f aca="false">IF(MONTH($A119)=12,SUM(I108:I119)," ")</f>
        <v> </v>
      </c>
      <c r="L119" s="1610" t="n">
        <f aca="false">IF($A119&lt;Startops2,0,VLOOKUP($A119,Tariff_Table,Tariff!$N$33))</f>
        <v>0</v>
      </c>
      <c r="M119" s="397" t="n">
        <f aca="false">H119</f>
        <v>1890330.624</v>
      </c>
      <c r="N119" s="1611" t="n">
        <f aca="false">L119*M119/1000</f>
        <v>0</v>
      </c>
      <c r="O119" s="1611" t="n">
        <f aca="false">IF($A119&gt;Endyr,0,VLOOKUP($A119,Tariff_Table,Tariff!$O$33))</f>
        <v>3260.67984</v>
      </c>
      <c r="P119" s="427" t="n">
        <f aca="false">VLOOKUP($A119,Curves_Table,Escalation!$AP$291)</f>
        <v>1.37395101449367</v>
      </c>
      <c r="Q119" s="1604" t="n">
        <f aca="false">SUM(N119,O119)*P119</f>
        <v>4480.01437410705</v>
      </c>
      <c r="R119" s="1579" t="str">
        <f aca="false">IF(MONTH($A119)=12,SUM(Q108:Q119)," ")</f>
        <v> </v>
      </c>
    </row>
    <row r="120" customFormat="false" ht="12.75" hidden="false" customHeight="false" outlineLevel="0" collapsed="false">
      <c r="A120" s="1538" t="n">
        <f aca="false">'Annex 12-Gas'!A120</f>
        <v>40238</v>
      </c>
      <c r="C120" s="488" t="n">
        <f aca="false">IF($A120&gt;Endyr,0,VLOOKUP($A120,Tariff_Table,Tariff!$L$33))</f>
        <v>1.21</v>
      </c>
      <c r="D120" s="427" t="n">
        <f aca="false">VLOOKUP($A120,Curves_Table,Escalation!$AL$291)</f>
        <v>1.34508031858578</v>
      </c>
      <c r="E120" s="1609" t="n">
        <f aca="false">C120*D120</f>
        <v>1.6275471854888</v>
      </c>
      <c r="F120" s="1314" t="n">
        <f aca="false">IF($A120&gt;Endyr,0,VLOOKUP($A120,Tariff_Table,Tariff!$M$33))</f>
        <v>0.25</v>
      </c>
      <c r="G120" s="1609" t="n">
        <f aca="false">SUM(E120,F120)</f>
        <v>1.8775471854888</v>
      </c>
      <c r="H120" s="397" t="n">
        <f aca="false">VLOOKUP($A120,Plant_Table,'Plant Operations'!$T$270)</f>
        <v>2092866.048</v>
      </c>
      <c r="I120" s="1566" t="n">
        <f aca="false">G120*H120/1000</f>
        <v>3929.45475802747</v>
      </c>
      <c r="J120" s="1567" t="str">
        <f aca="false">IF(MONTH($A120)=12,SUM(I109:I120)," ")</f>
        <v> </v>
      </c>
      <c r="L120" s="1610" t="n">
        <f aca="false">IF($A120&lt;Startops2,0,VLOOKUP($A120,Tariff_Table,Tariff!$N$33))</f>
        <v>0</v>
      </c>
      <c r="M120" s="397" t="n">
        <f aca="false">H120</f>
        <v>2092866.048</v>
      </c>
      <c r="N120" s="1611" t="n">
        <f aca="false">L120*M120/1000</f>
        <v>0</v>
      </c>
      <c r="O120" s="1611" t="n">
        <f aca="false">IF($A120&gt;Endyr,0,VLOOKUP($A120,Tariff_Table,Tariff!$O$33))</f>
        <v>3260.67984</v>
      </c>
      <c r="P120" s="427" t="n">
        <f aca="false">VLOOKUP($A120,Curves_Table,Escalation!$AP$291)</f>
        <v>1.37395101449367</v>
      </c>
      <c r="Q120" s="1604" t="n">
        <f aca="false">SUM(N120,O120)*P120</f>
        <v>4480.01437410705</v>
      </c>
      <c r="R120" s="1579" t="str">
        <f aca="false">IF(MONTH($A120)=12,SUM(Q109:Q120)," ")</f>
        <v> </v>
      </c>
    </row>
    <row r="121" customFormat="false" ht="12.75" hidden="false" customHeight="false" outlineLevel="0" collapsed="false">
      <c r="A121" s="1538" t="n">
        <f aca="false">'Annex 12-Gas'!A121</f>
        <v>40269</v>
      </c>
      <c r="C121" s="488" t="n">
        <f aca="false">IF($A121&gt;Endyr,0,VLOOKUP($A121,Tariff_Table,Tariff!$L$33))</f>
        <v>1.21</v>
      </c>
      <c r="D121" s="427" t="n">
        <f aca="false">VLOOKUP($A121,Curves_Table,Escalation!$AL$291)</f>
        <v>1.34508031858578</v>
      </c>
      <c r="E121" s="1609" t="n">
        <f aca="false">C121*D121</f>
        <v>1.6275471854888</v>
      </c>
      <c r="F121" s="1314" t="n">
        <f aca="false">IF($A121&gt;Endyr,0,VLOOKUP($A121,Tariff_Table,Tariff!$M$33))</f>
        <v>0.25</v>
      </c>
      <c r="G121" s="1609" t="n">
        <f aca="false">SUM(E121,F121)</f>
        <v>1.8775471854888</v>
      </c>
      <c r="H121" s="397" t="n">
        <f aca="false">VLOOKUP($A121,Plant_Table,'Plant Operations'!$T$270)</f>
        <v>2025354.24</v>
      </c>
      <c r="I121" s="1566" t="n">
        <f aca="false">G121*H121/1000</f>
        <v>3802.69815292981</v>
      </c>
      <c r="J121" s="1567" t="str">
        <f aca="false">IF(MONTH($A121)=12,SUM(I110:I121)," ")</f>
        <v> </v>
      </c>
      <c r="L121" s="1610" t="n">
        <f aca="false">IF($A121&lt;Startops2,0,VLOOKUP($A121,Tariff_Table,Tariff!$N$33))</f>
        <v>0</v>
      </c>
      <c r="M121" s="397" t="n">
        <f aca="false">H121</f>
        <v>2025354.24</v>
      </c>
      <c r="N121" s="1611" t="n">
        <f aca="false">L121*M121/1000</f>
        <v>0</v>
      </c>
      <c r="O121" s="1611" t="n">
        <f aca="false">IF($A121&gt;Endyr,0,VLOOKUP($A121,Tariff_Table,Tariff!$O$33))</f>
        <v>3260.67984</v>
      </c>
      <c r="P121" s="427" t="n">
        <f aca="false">VLOOKUP($A121,Curves_Table,Escalation!$AP$291)</f>
        <v>1.37395101449367</v>
      </c>
      <c r="Q121" s="1604" t="n">
        <f aca="false">SUM(N121,O121)*P121</f>
        <v>4480.01437410705</v>
      </c>
      <c r="R121" s="1579" t="str">
        <f aca="false">IF(MONTH($A121)=12,SUM(Q110:Q121)," ")</f>
        <v> </v>
      </c>
    </row>
    <row r="122" customFormat="false" ht="12.75" hidden="false" customHeight="false" outlineLevel="0" collapsed="false">
      <c r="A122" s="1538" t="n">
        <f aca="false">'Annex 12-Gas'!A122</f>
        <v>40299</v>
      </c>
      <c r="C122" s="488" t="n">
        <f aca="false">IF($A122&gt;Endyr,0,VLOOKUP($A122,Tariff_Table,Tariff!$L$33))</f>
        <v>1.21</v>
      </c>
      <c r="D122" s="427" t="n">
        <f aca="false">VLOOKUP($A122,Curves_Table,Escalation!$AL$291)</f>
        <v>1.37647525622845</v>
      </c>
      <c r="E122" s="1609" t="n">
        <f aca="false">C122*D122</f>
        <v>1.66553506003643</v>
      </c>
      <c r="F122" s="1314" t="n">
        <f aca="false">IF($A122&gt;Endyr,0,VLOOKUP($A122,Tariff_Table,Tariff!$M$33))</f>
        <v>0.25</v>
      </c>
      <c r="G122" s="1609" t="n">
        <f aca="false">SUM(E122,F122)</f>
        <v>1.91553506003643</v>
      </c>
      <c r="H122" s="397" t="n">
        <f aca="false">VLOOKUP($A122,Plant_Table,'Plant Operations'!$T$270)</f>
        <v>2092866.048</v>
      </c>
      <c r="I122" s="1566" t="n">
        <f aca="false">G122*H122/1000</f>
        <v>4008.95829090388</v>
      </c>
      <c r="J122" s="1567" t="str">
        <f aca="false">IF(MONTH($A122)=12,SUM(I111:I122)," ")</f>
        <v> </v>
      </c>
      <c r="L122" s="1610" t="n">
        <f aca="false">IF($A122&lt;Startops2,0,VLOOKUP($A122,Tariff_Table,Tariff!$N$33))</f>
        <v>0</v>
      </c>
      <c r="M122" s="397" t="n">
        <f aca="false">H122</f>
        <v>2092866.048</v>
      </c>
      <c r="N122" s="1611" t="n">
        <f aca="false">L122*M122/1000</f>
        <v>0</v>
      </c>
      <c r="O122" s="1611" t="n">
        <f aca="false">IF($A122&gt;Endyr,0,VLOOKUP($A122,Tariff_Table,Tariff!$O$33))</f>
        <v>3262.08635</v>
      </c>
      <c r="P122" s="427" t="n">
        <f aca="false">VLOOKUP($A122,Curves_Table,Escalation!$AP$291)</f>
        <v>1.40945468809218</v>
      </c>
      <c r="Q122" s="1604" t="n">
        <f aca="false">SUM(N122,O122)*P122</f>
        <v>4597.76289896901</v>
      </c>
      <c r="R122" s="1579" t="str">
        <f aca="false">IF(MONTH($A122)=12,SUM(Q111:Q122)," ")</f>
        <v> </v>
      </c>
    </row>
    <row r="123" customFormat="false" ht="12.75" hidden="false" customHeight="false" outlineLevel="0" collapsed="false">
      <c r="A123" s="1538" t="n">
        <f aca="false">'Annex 12-Gas'!A123</f>
        <v>40330</v>
      </c>
      <c r="C123" s="488" t="n">
        <f aca="false">IF($A123&gt;Endyr,0,VLOOKUP($A123,Tariff_Table,Tariff!$L$33))</f>
        <v>1.21</v>
      </c>
      <c r="D123" s="427" t="n">
        <f aca="false">VLOOKUP($A123,Curves_Table,Escalation!$AL$291)</f>
        <v>1.37647525622845</v>
      </c>
      <c r="E123" s="1609" t="n">
        <f aca="false">C123*D123</f>
        <v>1.66553506003643</v>
      </c>
      <c r="F123" s="1314" t="n">
        <f aca="false">IF($A123&gt;Endyr,0,VLOOKUP($A123,Tariff_Table,Tariff!$M$33))</f>
        <v>0.25</v>
      </c>
      <c r="G123" s="1609" t="n">
        <f aca="false">SUM(E123,F123)</f>
        <v>1.91553506003643</v>
      </c>
      <c r="H123" s="397" t="n">
        <f aca="false">VLOOKUP($A123,Plant_Table,'Plant Operations'!$T$270)</f>
        <v>2025354.24</v>
      </c>
      <c r="I123" s="1566" t="n">
        <f aca="false">G123*H123/1000</f>
        <v>3879.63705571343</v>
      </c>
      <c r="J123" s="1567" t="str">
        <f aca="false">IF(MONTH($A123)=12,SUM(I112:I123)," ")</f>
        <v> </v>
      </c>
      <c r="L123" s="1610" t="n">
        <f aca="false">IF($A123&lt;Startops2,0,VLOOKUP($A123,Tariff_Table,Tariff!$N$33))</f>
        <v>0</v>
      </c>
      <c r="M123" s="397" t="n">
        <f aca="false">H123</f>
        <v>2025354.24</v>
      </c>
      <c r="N123" s="1611" t="n">
        <f aca="false">L123*M123/1000</f>
        <v>0</v>
      </c>
      <c r="O123" s="1611" t="n">
        <f aca="false">IF($A123&gt;Endyr,0,VLOOKUP($A123,Tariff_Table,Tariff!$O$33))</f>
        <v>3262.08635</v>
      </c>
      <c r="P123" s="427" t="n">
        <f aca="false">VLOOKUP($A123,Curves_Table,Escalation!$AP$291)</f>
        <v>1.40945468809218</v>
      </c>
      <c r="Q123" s="1604" t="n">
        <f aca="false">SUM(N123,O123)*P123</f>
        <v>4597.76289896901</v>
      </c>
      <c r="R123" s="1579" t="str">
        <f aca="false">IF(MONTH($A123)=12,SUM(Q112:Q123)," ")</f>
        <v> </v>
      </c>
    </row>
    <row r="124" customFormat="false" ht="12.75" hidden="false" customHeight="false" outlineLevel="0" collapsed="false">
      <c r="A124" s="1538" t="n">
        <f aca="false">'Annex 12-Gas'!A124</f>
        <v>40360</v>
      </c>
      <c r="C124" s="488" t="n">
        <f aca="false">IF($A124&gt;Endyr,0,VLOOKUP($A124,Tariff_Table,Tariff!$L$33))</f>
        <v>1.21</v>
      </c>
      <c r="D124" s="427" t="n">
        <f aca="false">VLOOKUP($A124,Curves_Table,Escalation!$AL$291)</f>
        <v>1.37647525622845</v>
      </c>
      <c r="E124" s="1609" t="n">
        <f aca="false">C124*D124</f>
        <v>1.66553506003643</v>
      </c>
      <c r="F124" s="1314" t="n">
        <f aca="false">IF($A124&gt;Endyr,0,VLOOKUP($A124,Tariff_Table,Tariff!$M$33))</f>
        <v>0.25</v>
      </c>
      <c r="G124" s="1609" t="n">
        <f aca="false">SUM(E124,F124)</f>
        <v>1.91553506003643</v>
      </c>
      <c r="H124" s="397" t="n">
        <f aca="false">VLOOKUP($A124,Plant_Table,'Plant Operations'!$T$270)</f>
        <v>2092866.048</v>
      </c>
      <c r="I124" s="1566" t="n">
        <f aca="false">G124*H124/1000</f>
        <v>4008.95829090388</v>
      </c>
      <c r="J124" s="1567" t="str">
        <f aca="false">IF(MONTH($A124)=12,SUM(I113:I124)," ")</f>
        <v> </v>
      </c>
      <c r="L124" s="1610" t="n">
        <f aca="false">IF($A124&lt;Startops2,0,VLOOKUP($A124,Tariff_Table,Tariff!$N$33))</f>
        <v>0</v>
      </c>
      <c r="M124" s="397" t="n">
        <f aca="false">H124</f>
        <v>2092866.048</v>
      </c>
      <c r="N124" s="1611" t="n">
        <f aca="false">L124*M124/1000</f>
        <v>0</v>
      </c>
      <c r="O124" s="1611" t="n">
        <f aca="false">IF($A124&gt;Endyr,0,VLOOKUP($A124,Tariff_Table,Tariff!$O$33))</f>
        <v>3262.08635</v>
      </c>
      <c r="P124" s="427" t="n">
        <f aca="false">VLOOKUP($A124,Curves_Table,Escalation!$AP$291)</f>
        <v>1.40945468809218</v>
      </c>
      <c r="Q124" s="1604" t="n">
        <f aca="false">SUM(N124,O124)*P124</f>
        <v>4597.76289896901</v>
      </c>
      <c r="R124" s="1579" t="str">
        <f aca="false">IF(MONTH($A124)=12,SUM(Q113:Q124)," ")</f>
        <v> </v>
      </c>
    </row>
    <row r="125" customFormat="false" ht="12.75" hidden="false" customHeight="false" outlineLevel="0" collapsed="false">
      <c r="A125" s="1538" t="n">
        <f aca="false">'Annex 12-Gas'!A125</f>
        <v>40391</v>
      </c>
      <c r="C125" s="488" t="n">
        <f aca="false">IF($A125&gt;Endyr,0,VLOOKUP($A125,Tariff_Table,Tariff!$L$33))</f>
        <v>1.21</v>
      </c>
      <c r="D125" s="427" t="n">
        <f aca="false">VLOOKUP($A125,Curves_Table,Escalation!$AL$291)</f>
        <v>1.37647525622845</v>
      </c>
      <c r="E125" s="1609" t="n">
        <f aca="false">C125*D125</f>
        <v>1.66553506003643</v>
      </c>
      <c r="F125" s="1314" t="n">
        <f aca="false">IF($A125&gt;Endyr,0,VLOOKUP($A125,Tariff_Table,Tariff!$M$33))</f>
        <v>0.25</v>
      </c>
      <c r="G125" s="1609" t="n">
        <f aca="false">SUM(E125,F125)</f>
        <v>1.91553506003643</v>
      </c>
      <c r="H125" s="397" t="n">
        <f aca="false">VLOOKUP($A125,Plant_Table,'Plant Operations'!$T$270)</f>
        <v>2092866.048</v>
      </c>
      <c r="I125" s="1566" t="n">
        <f aca="false">G125*H125/1000</f>
        <v>4008.95829090388</v>
      </c>
      <c r="J125" s="1567" t="str">
        <f aca="false">IF(MONTH($A125)=12,SUM(I114:I125)," ")</f>
        <v> </v>
      </c>
      <c r="L125" s="1610" t="n">
        <f aca="false">IF($A125&lt;Startops2,0,VLOOKUP($A125,Tariff_Table,Tariff!$N$33))</f>
        <v>0</v>
      </c>
      <c r="M125" s="397" t="n">
        <f aca="false">H125</f>
        <v>2092866.048</v>
      </c>
      <c r="N125" s="1611" t="n">
        <f aca="false">L125*M125/1000</f>
        <v>0</v>
      </c>
      <c r="O125" s="1611" t="n">
        <f aca="false">IF($A125&gt;Endyr,0,VLOOKUP($A125,Tariff_Table,Tariff!$O$33))</f>
        <v>3262.08635</v>
      </c>
      <c r="P125" s="427" t="n">
        <f aca="false">VLOOKUP($A125,Curves_Table,Escalation!$AP$291)</f>
        <v>1.40945468809218</v>
      </c>
      <c r="Q125" s="1604" t="n">
        <f aca="false">SUM(N125,O125)*P125</f>
        <v>4597.76289896901</v>
      </c>
      <c r="R125" s="1579" t="str">
        <f aca="false">IF(MONTH($A125)=12,SUM(Q114:Q125)," ")</f>
        <v> </v>
      </c>
    </row>
    <row r="126" customFormat="false" ht="12.75" hidden="false" customHeight="false" outlineLevel="0" collapsed="false">
      <c r="A126" s="1538" t="n">
        <f aca="false">'Annex 12-Gas'!A126</f>
        <v>40422</v>
      </c>
      <c r="C126" s="488" t="n">
        <f aca="false">IF($A126&gt;Endyr,0,VLOOKUP($A126,Tariff_Table,Tariff!$L$33))</f>
        <v>1.21</v>
      </c>
      <c r="D126" s="427" t="n">
        <f aca="false">VLOOKUP($A126,Curves_Table,Escalation!$AL$291)</f>
        <v>1.37647525622845</v>
      </c>
      <c r="E126" s="1609" t="n">
        <f aca="false">C126*D126</f>
        <v>1.66553506003643</v>
      </c>
      <c r="F126" s="1314" t="n">
        <f aca="false">IF($A126&gt;Endyr,0,VLOOKUP($A126,Tariff_Table,Tariff!$M$33))</f>
        <v>0.25</v>
      </c>
      <c r="G126" s="1609" t="n">
        <f aca="false">SUM(E126,F126)</f>
        <v>1.91553506003643</v>
      </c>
      <c r="H126" s="397" t="n">
        <f aca="false">VLOOKUP($A126,Plant_Table,'Plant Operations'!$T$270)</f>
        <v>2025354.24</v>
      </c>
      <c r="I126" s="1566" t="n">
        <f aca="false">G126*H126/1000</f>
        <v>3879.63705571343</v>
      </c>
      <c r="J126" s="1567" t="str">
        <f aca="false">IF(MONTH($A126)=12,SUM(I115:I126)," ")</f>
        <v> </v>
      </c>
      <c r="L126" s="1610" t="n">
        <f aca="false">IF($A126&lt;Startops2,0,VLOOKUP($A126,Tariff_Table,Tariff!$N$33))</f>
        <v>0</v>
      </c>
      <c r="M126" s="397" t="n">
        <f aca="false">H126</f>
        <v>2025354.24</v>
      </c>
      <c r="N126" s="1611" t="n">
        <f aca="false">L126*M126/1000</f>
        <v>0</v>
      </c>
      <c r="O126" s="1611" t="n">
        <f aca="false">IF($A126&gt;Endyr,0,VLOOKUP($A126,Tariff_Table,Tariff!$O$33))</f>
        <v>3262.08635</v>
      </c>
      <c r="P126" s="427" t="n">
        <f aca="false">VLOOKUP($A126,Curves_Table,Escalation!$AP$291)</f>
        <v>1.40945468809218</v>
      </c>
      <c r="Q126" s="1604" t="n">
        <f aca="false">SUM(N126,O126)*P126</f>
        <v>4597.76289896901</v>
      </c>
      <c r="R126" s="1579" t="str">
        <f aca="false">IF(MONTH($A126)=12,SUM(Q115:Q126)," ")</f>
        <v> </v>
      </c>
    </row>
    <row r="127" customFormat="false" ht="12.75" hidden="false" customHeight="false" outlineLevel="0" collapsed="false">
      <c r="A127" s="1538" t="n">
        <f aca="false">'Annex 12-Gas'!A127</f>
        <v>40452</v>
      </c>
      <c r="C127" s="488" t="n">
        <f aca="false">IF($A127&gt;Endyr,0,VLOOKUP($A127,Tariff_Table,Tariff!$L$33))</f>
        <v>1.21</v>
      </c>
      <c r="D127" s="427" t="n">
        <f aca="false">VLOOKUP($A127,Curves_Table,Escalation!$AL$291)</f>
        <v>1.37647525622845</v>
      </c>
      <c r="E127" s="1609" t="n">
        <f aca="false">C127*D127</f>
        <v>1.66553506003643</v>
      </c>
      <c r="F127" s="1314" t="n">
        <f aca="false">IF($A127&gt;Endyr,0,VLOOKUP($A127,Tariff_Table,Tariff!$M$33))</f>
        <v>0.25</v>
      </c>
      <c r="G127" s="1609" t="n">
        <f aca="false">SUM(E127,F127)</f>
        <v>1.91553506003643</v>
      </c>
      <c r="H127" s="397" t="n">
        <f aca="false">VLOOKUP($A127,Plant_Table,'Plant Operations'!$T$270)</f>
        <v>2092866.048</v>
      </c>
      <c r="I127" s="1566" t="n">
        <f aca="false">G127*H127/1000</f>
        <v>4008.95829090388</v>
      </c>
      <c r="J127" s="1567" t="str">
        <f aca="false">IF(MONTH($A127)=12,SUM(I116:I127)," ")</f>
        <v> </v>
      </c>
      <c r="L127" s="1610" t="n">
        <f aca="false">IF($A127&lt;Startops2,0,VLOOKUP($A127,Tariff_Table,Tariff!$N$33))</f>
        <v>0</v>
      </c>
      <c r="M127" s="397" t="n">
        <f aca="false">H127</f>
        <v>2092866.048</v>
      </c>
      <c r="N127" s="1611" t="n">
        <f aca="false">L127*M127/1000</f>
        <v>0</v>
      </c>
      <c r="O127" s="1611" t="n">
        <f aca="false">IF($A127&gt;Endyr,0,VLOOKUP($A127,Tariff_Table,Tariff!$O$33))</f>
        <v>3262.08635</v>
      </c>
      <c r="P127" s="427" t="n">
        <f aca="false">VLOOKUP($A127,Curves_Table,Escalation!$AP$291)</f>
        <v>1.40945468809218</v>
      </c>
      <c r="Q127" s="1604" t="n">
        <f aca="false">SUM(N127,O127)*P127</f>
        <v>4597.76289896901</v>
      </c>
      <c r="R127" s="1579" t="str">
        <f aca="false">IF(MONTH($A127)=12,SUM(Q116:Q127)," ")</f>
        <v> </v>
      </c>
    </row>
    <row r="128" customFormat="false" ht="12.75" hidden="false" customHeight="false" outlineLevel="0" collapsed="false">
      <c r="A128" s="1538" t="n">
        <f aca="false">'Annex 12-Gas'!A128</f>
        <v>40483</v>
      </c>
      <c r="C128" s="488" t="n">
        <f aca="false">IF($A128&gt;Endyr,0,VLOOKUP($A128,Tariff_Table,Tariff!$L$33))</f>
        <v>1.21</v>
      </c>
      <c r="D128" s="427" t="n">
        <f aca="false">VLOOKUP($A128,Curves_Table,Escalation!$AL$291)</f>
        <v>1.37647525622845</v>
      </c>
      <c r="E128" s="1609" t="n">
        <f aca="false">C128*D128</f>
        <v>1.66553506003643</v>
      </c>
      <c r="F128" s="1314" t="n">
        <f aca="false">IF($A128&gt;Endyr,0,VLOOKUP($A128,Tariff_Table,Tariff!$M$33))</f>
        <v>0.25</v>
      </c>
      <c r="G128" s="1609" t="n">
        <f aca="false">SUM(E128,F128)</f>
        <v>1.91553506003643</v>
      </c>
      <c r="H128" s="397" t="n">
        <f aca="false">VLOOKUP($A128,Plant_Table,'Plant Operations'!$T$270)</f>
        <v>2025354.24</v>
      </c>
      <c r="I128" s="1566" t="n">
        <f aca="false">G128*H128/1000</f>
        <v>3879.63705571343</v>
      </c>
      <c r="J128" s="1567" t="str">
        <f aca="false">IF(MONTH($A128)=12,SUM(I117:I128)," ")</f>
        <v> </v>
      </c>
      <c r="L128" s="1610" t="n">
        <f aca="false">IF($A128&lt;Startops2,0,VLOOKUP($A128,Tariff_Table,Tariff!$N$33))</f>
        <v>0</v>
      </c>
      <c r="M128" s="397" t="n">
        <f aca="false">H128</f>
        <v>2025354.24</v>
      </c>
      <c r="N128" s="1611" t="n">
        <f aca="false">L128*M128/1000</f>
        <v>0</v>
      </c>
      <c r="O128" s="1611" t="n">
        <f aca="false">IF($A128&gt;Endyr,0,VLOOKUP($A128,Tariff_Table,Tariff!$O$33))</f>
        <v>3262.08635</v>
      </c>
      <c r="P128" s="427" t="n">
        <f aca="false">VLOOKUP($A128,Curves_Table,Escalation!$AP$291)</f>
        <v>1.40945468809218</v>
      </c>
      <c r="Q128" s="1604" t="n">
        <f aca="false">SUM(N128,O128)*P128</f>
        <v>4597.76289896901</v>
      </c>
      <c r="R128" s="1579" t="str">
        <f aca="false">IF(MONTH($A128)=12,SUM(Q117:Q128)," ")</f>
        <v> </v>
      </c>
    </row>
    <row r="129" customFormat="false" ht="12.75" hidden="false" customHeight="false" outlineLevel="0" collapsed="false">
      <c r="A129" s="1538" t="n">
        <f aca="false">'Annex 12-Gas'!A129</f>
        <v>40513</v>
      </c>
      <c r="C129" s="488" t="n">
        <f aca="false">IF($A129&gt;Endyr,0,VLOOKUP($A129,Tariff_Table,Tariff!$L$33))</f>
        <v>1.21</v>
      </c>
      <c r="D129" s="427" t="n">
        <f aca="false">VLOOKUP($A129,Curves_Table,Escalation!$AL$291)</f>
        <v>1.37647525622845</v>
      </c>
      <c r="E129" s="1609" t="n">
        <f aca="false">C129*D129</f>
        <v>1.66553506003643</v>
      </c>
      <c r="F129" s="1314" t="n">
        <f aca="false">IF($A129&gt;Endyr,0,VLOOKUP($A129,Tariff_Table,Tariff!$M$33))</f>
        <v>0.25</v>
      </c>
      <c r="G129" s="1609" t="n">
        <f aca="false">SUM(E129,F129)</f>
        <v>1.91553506003643</v>
      </c>
      <c r="H129" s="397" t="n">
        <f aca="false">VLOOKUP($A129,Plant_Table,'Plant Operations'!$T$270)</f>
        <v>2092866.048</v>
      </c>
      <c r="I129" s="1566" t="n">
        <f aca="false">G129*H129/1000</f>
        <v>4008.95829090388</v>
      </c>
      <c r="J129" s="1567" t="n">
        <f aca="false">IF(MONTH($A129)=12,SUM(I118:I129)," ")</f>
        <v>46894.4952333789</v>
      </c>
      <c r="L129" s="1610" t="n">
        <f aca="false">IF($A129&lt;Startops2,0,VLOOKUP($A129,Tariff_Table,Tariff!$N$33))</f>
        <v>0</v>
      </c>
      <c r="M129" s="397" t="n">
        <f aca="false">H129</f>
        <v>2092866.048</v>
      </c>
      <c r="N129" s="1611" t="n">
        <f aca="false">L129*M129/1000</f>
        <v>0</v>
      </c>
      <c r="O129" s="1611" t="n">
        <f aca="false">IF($A129&gt;Endyr,0,VLOOKUP($A129,Tariff_Table,Tariff!$O$33))</f>
        <v>3262.08635</v>
      </c>
      <c r="P129" s="427" t="n">
        <f aca="false">VLOOKUP($A129,Curves_Table,Escalation!$AP$291)</f>
        <v>1.40945468809218</v>
      </c>
      <c r="Q129" s="1604" t="n">
        <f aca="false">SUM(N129,O129)*P129</f>
        <v>4597.76289896901</v>
      </c>
      <c r="R129" s="1579" t="n">
        <f aca="false">IF(MONTH($A129)=12,SUM(Q118:Q129)," ")</f>
        <v>54702.1606881802</v>
      </c>
    </row>
    <row r="130" customFormat="false" ht="12.75" hidden="false" customHeight="false" outlineLevel="0" collapsed="false">
      <c r="A130" s="1538" t="n">
        <f aca="false">'Annex 12-Gas'!A130</f>
        <v>40544</v>
      </c>
      <c r="C130" s="488" t="n">
        <f aca="false">IF($A130&gt;Endyr,0,VLOOKUP($A130,Tariff_Table,Tariff!$L$33))</f>
        <v>1.21</v>
      </c>
      <c r="D130" s="427" t="n">
        <f aca="false">VLOOKUP($A130,Curves_Table,Escalation!$AL$291)</f>
        <v>1.37647525622845</v>
      </c>
      <c r="E130" s="1609" t="n">
        <f aca="false">C130*D130</f>
        <v>1.66553506003643</v>
      </c>
      <c r="F130" s="1314" t="n">
        <f aca="false">IF($A130&gt;Endyr,0,VLOOKUP($A130,Tariff_Table,Tariff!$M$33))</f>
        <v>0.25</v>
      </c>
      <c r="G130" s="1609" t="n">
        <f aca="false">SUM(E130,F130)</f>
        <v>1.91553506003643</v>
      </c>
      <c r="H130" s="397" t="n">
        <f aca="false">VLOOKUP($A130,Plant_Table,'Plant Operations'!$T$270)</f>
        <v>2092866.048</v>
      </c>
      <c r="I130" s="1566" t="n">
        <f aca="false">G130*H130/1000</f>
        <v>4008.95829090388</v>
      </c>
      <c r="J130" s="1567" t="str">
        <f aca="false">IF(MONTH($A130)=12,SUM(I119:I130)," ")</f>
        <v> </v>
      </c>
      <c r="L130" s="1610" t="n">
        <f aca="false">IF($A130&lt;Startops2,0,VLOOKUP($A130,Tariff_Table,Tariff!$N$33))</f>
        <v>0</v>
      </c>
      <c r="M130" s="397" t="n">
        <f aca="false">H130</f>
        <v>2092866.048</v>
      </c>
      <c r="N130" s="1611" t="n">
        <f aca="false">L130*M130/1000</f>
        <v>0</v>
      </c>
      <c r="O130" s="1611" t="n">
        <f aca="false">IF($A130&gt;Endyr,0,VLOOKUP($A130,Tariff_Table,Tariff!$O$33))</f>
        <v>3262.08635</v>
      </c>
      <c r="P130" s="427" t="n">
        <f aca="false">VLOOKUP($A130,Curves_Table,Escalation!$AP$291)</f>
        <v>1.40945468809218</v>
      </c>
      <c r="Q130" s="1604" t="n">
        <f aca="false">SUM(N130,O130)*P130</f>
        <v>4597.76289896901</v>
      </c>
      <c r="R130" s="1579" t="str">
        <f aca="false">IF(MONTH($A130)=12,SUM(Q119:Q130)," ")</f>
        <v> </v>
      </c>
    </row>
    <row r="131" customFormat="false" ht="12.75" hidden="false" customHeight="false" outlineLevel="0" collapsed="false">
      <c r="A131" s="1538" t="n">
        <f aca="false">'Annex 12-Gas'!A131</f>
        <v>40575</v>
      </c>
      <c r="C131" s="488" t="n">
        <f aca="false">IF($A131&gt;Endyr,0,VLOOKUP($A131,Tariff_Table,Tariff!$L$33))</f>
        <v>1.21</v>
      </c>
      <c r="D131" s="427" t="n">
        <f aca="false">VLOOKUP($A131,Curves_Table,Escalation!$AL$291)</f>
        <v>1.37647525622845</v>
      </c>
      <c r="E131" s="1609" t="n">
        <f aca="false">C131*D131</f>
        <v>1.66553506003643</v>
      </c>
      <c r="F131" s="1314" t="n">
        <f aca="false">IF($A131&gt;Endyr,0,VLOOKUP($A131,Tariff_Table,Tariff!$M$33))</f>
        <v>0.25</v>
      </c>
      <c r="G131" s="1609" t="n">
        <f aca="false">SUM(E131,F131)</f>
        <v>1.91553506003643</v>
      </c>
      <c r="H131" s="397" t="n">
        <f aca="false">VLOOKUP($A131,Plant_Table,'Plant Operations'!$T$270)</f>
        <v>1890330.624</v>
      </c>
      <c r="I131" s="1566" t="n">
        <f aca="false">G131*H131/1000</f>
        <v>3620.99458533254</v>
      </c>
      <c r="J131" s="1567" t="str">
        <f aca="false">IF(MONTH($A131)=12,SUM(I120:I131)," ")</f>
        <v> </v>
      </c>
      <c r="L131" s="1610" t="n">
        <f aca="false">IF($A131&lt;Startops2,0,VLOOKUP($A131,Tariff_Table,Tariff!$N$33))</f>
        <v>0</v>
      </c>
      <c r="M131" s="397" t="n">
        <f aca="false">H131</f>
        <v>1890330.624</v>
      </c>
      <c r="N131" s="1611" t="n">
        <f aca="false">L131*M131/1000</f>
        <v>0</v>
      </c>
      <c r="O131" s="1611" t="n">
        <f aca="false">IF($A131&gt;Endyr,0,VLOOKUP($A131,Tariff_Table,Tariff!$O$33))</f>
        <v>3262.08635</v>
      </c>
      <c r="P131" s="427" t="n">
        <f aca="false">VLOOKUP($A131,Curves_Table,Escalation!$AP$291)</f>
        <v>1.40945468809218</v>
      </c>
      <c r="Q131" s="1604" t="n">
        <f aca="false">SUM(N131,O131)*P131</f>
        <v>4597.76289896901</v>
      </c>
      <c r="R131" s="1579" t="str">
        <f aca="false">IF(MONTH($A131)=12,SUM(Q120:Q131)," ")</f>
        <v> </v>
      </c>
    </row>
    <row r="132" customFormat="false" ht="12.75" hidden="false" customHeight="false" outlineLevel="0" collapsed="false">
      <c r="A132" s="1538" t="n">
        <f aca="false">'Annex 12-Gas'!A132</f>
        <v>40603</v>
      </c>
      <c r="C132" s="488" t="n">
        <f aca="false">IF($A132&gt;Endyr,0,VLOOKUP($A132,Tariff_Table,Tariff!$L$33))</f>
        <v>1.21</v>
      </c>
      <c r="D132" s="427" t="n">
        <f aca="false">VLOOKUP($A132,Curves_Table,Escalation!$AL$291)</f>
        <v>1.37647525622845</v>
      </c>
      <c r="E132" s="1609" t="n">
        <f aca="false">C132*D132</f>
        <v>1.66553506003643</v>
      </c>
      <c r="F132" s="1314" t="n">
        <f aca="false">IF($A132&gt;Endyr,0,VLOOKUP($A132,Tariff_Table,Tariff!$M$33))</f>
        <v>0.25</v>
      </c>
      <c r="G132" s="1609" t="n">
        <f aca="false">SUM(E132,F132)</f>
        <v>1.91553506003643</v>
      </c>
      <c r="H132" s="397" t="n">
        <f aca="false">VLOOKUP($A132,Plant_Table,'Plant Operations'!$T$270)</f>
        <v>2092866.048</v>
      </c>
      <c r="I132" s="1566" t="n">
        <f aca="false">G132*H132/1000</f>
        <v>4008.95829090388</v>
      </c>
      <c r="J132" s="1567" t="str">
        <f aca="false">IF(MONTH($A132)=12,SUM(I121:I132)," ")</f>
        <v> </v>
      </c>
      <c r="L132" s="1610" t="n">
        <f aca="false">IF($A132&lt;Startops2,0,VLOOKUP($A132,Tariff_Table,Tariff!$N$33))</f>
        <v>0</v>
      </c>
      <c r="M132" s="397" t="n">
        <f aca="false">H132</f>
        <v>2092866.048</v>
      </c>
      <c r="N132" s="1611" t="n">
        <f aca="false">L132*M132/1000</f>
        <v>0</v>
      </c>
      <c r="O132" s="1611" t="n">
        <f aca="false">IF($A132&gt;Endyr,0,VLOOKUP($A132,Tariff_Table,Tariff!$O$33))</f>
        <v>3262.08635</v>
      </c>
      <c r="P132" s="427" t="n">
        <f aca="false">VLOOKUP($A132,Curves_Table,Escalation!$AP$291)</f>
        <v>1.40945468809218</v>
      </c>
      <c r="Q132" s="1604" t="n">
        <f aca="false">SUM(N132,O132)*P132</f>
        <v>4597.76289896901</v>
      </c>
      <c r="R132" s="1579" t="str">
        <f aca="false">IF(MONTH($A132)=12,SUM(Q121:Q132)," ")</f>
        <v> </v>
      </c>
    </row>
    <row r="133" customFormat="false" ht="12.75" hidden="false" customHeight="false" outlineLevel="0" collapsed="false">
      <c r="A133" s="1538" t="n">
        <f aca="false">'Annex 12-Gas'!A133</f>
        <v>40634</v>
      </c>
      <c r="C133" s="488" t="n">
        <f aca="false">IF($A133&gt;Endyr,0,VLOOKUP($A133,Tariff_Table,Tariff!$L$33))</f>
        <v>1.21</v>
      </c>
      <c r="D133" s="427" t="n">
        <f aca="false">VLOOKUP($A133,Curves_Table,Escalation!$AL$291)</f>
        <v>1.37647525622845</v>
      </c>
      <c r="E133" s="1609" t="n">
        <f aca="false">C133*D133</f>
        <v>1.66553506003643</v>
      </c>
      <c r="F133" s="1314" t="n">
        <f aca="false">IF($A133&gt;Endyr,0,VLOOKUP($A133,Tariff_Table,Tariff!$M$33))</f>
        <v>0.25</v>
      </c>
      <c r="G133" s="1609" t="n">
        <f aca="false">SUM(E133,F133)</f>
        <v>1.91553506003643</v>
      </c>
      <c r="H133" s="397" t="n">
        <f aca="false">VLOOKUP($A133,Plant_Table,'Plant Operations'!$T$270)</f>
        <v>2025354.24</v>
      </c>
      <c r="I133" s="1566" t="n">
        <f aca="false">G133*H133/1000</f>
        <v>3879.63705571343</v>
      </c>
      <c r="J133" s="1567" t="str">
        <f aca="false">IF(MONTH($A133)=12,SUM(I122:I133)," ")</f>
        <v> </v>
      </c>
      <c r="L133" s="1610" t="n">
        <f aca="false">IF($A133&lt;Startops2,0,VLOOKUP($A133,Tariff_Table,Tariff!$N$33))</f>
        <v>0</v>
      </c>
      <c r="M133" s="397" t="n">
        <f aca="false">H133</f>
        <v>2025354.24</v>
      </c>
      <c r="N133" s="1611" t="n">
        <f aca="false">L133*M133/1000</f>
        <v>0</v>
      </c>
      <c r="O133" s="1611" t="n">
        <f aca="false">IF($A133&gt;Endyr,0,VLOOKUP($A133,Tariff_Table,Tariff!$O$33))</f>
        <v>3262.08635</v>
      </c>
      <c r="P133" s="427" t="n">
        <f aca="false">VLOOKUP($A133,Curves_Table,Escalation!$AP$291)</f>
        <v>1.40945468809218</v>
      </c>
      <c r="Q133" s="1604" t="n">
        <f aca="false">SUM(N133,O133)*P133</f>
        <v>4597.76289896901</v>
      </c>
      <c r="R133" s="1579" t="str">
        <f aca="false">IF(MONTH($A133)=12,SUM(Q122:Q133)," ")</f>
        <v> </v>
      </c>
    </row>
    <row r="134" customFormat="false" ht="12.75" hidden="false" customHeight="false" outlineLevel="0" collapsed="false">
      <c r="A134" s="1538" t="n">
        <f aca="false">'Annex 12-Gas'!A134</f>
        <v>40664</v>
      </c>
      <c r="C134" s="488" t="n">
        <f aca="false">IF($A134&gt;Endyr,0,VLOOKUP($A134,Tariff_Table,Tariff!$L$33))</f>
        <v>1.21</v>
      </c>
      <c r="D134" s="427" t="n">
        <f aca="false">VLOOKUP($A134,Curves_Table,Escalation!$AL$291)</f>
        <v>1.40810210345432</v>
      </c>
      <c r="E134" s="1609" t="n">
        <f aca="false">C134*D134</f>
        <v>1.70380354517973</v>
      </c>
      <c r="F134" s="1314" t="n">
        <f aca="false">IF($A134&gt;Endyr,0,VLOOKUP($A134,Tariff_Table,Tariff!$M$33))</f>
        <v>0.25</v>
      </c>
      <c r="G134" s="1609" t="n">
        <f aca="false">SUM(E134,F134)</f>
        <v>1.95380354517973</v>
      </c>
      <c r="H134" s="397" t="n">
        <f aca="false">VLOOKUP($A134,Plant_Table,'Plant Operations'!$T$270)</f>
        <v>2092866.048</v>
      </c>
      <c r="I134" s="1566" t="n">
        <f aca="false">G134*H134/1000</f>
        <v>4089.04910416869</v>
      </c>
      <c r="J134" s="1567" t="str">
        <f aca="false">IF(MONTH($A134)=12,SUM(I123:I134)," ")</f>
        <v> </v>
      </c>
      <c r="L134" s="1610" t="n">
        <f aca="false">IF($A134&lt;Startops2,0,VLOOKUP($A134,Tariff_Table,Tariff!$N$33))</f>
        <v>0</v>
      </c>
      <c r="M134" s="397" t="n">
        <f aca="false">H134</f>
        <v>2092866.048</v>
      </c>
      <c r="N134" s="1611" t="n">
        <f aca="false">L134*M134/1000</f>
        <v>0</v>
      </c>
      <c r="O134" s="1611" t="n">
        <f aca="false">IF($A134&gt;Endyr,0,VLOOKUP($A134,Tariff_Table,Tariff!$O$33))</f>
        <v>3255.87153</v>
      </c>
      <c r="P134" s="427" t="n">
        <f aca="false">VLOOKUP($A134,Curves_Table,Escalation!$AP$291)</f>
        <v>1.44536293026781</v>
      </c>
      <c r="Q134" s="1604" t="n">
        <f aca="false">SUM(N134,O134)*P134</f>
        <v>4705.91601517633</v>
      </c>
      <c r="R134" s="1579" t="str">
        <f aca="false">IF(MONTH($A134)=12,SUM(Q123:Q134)," ")</f>
        <v> </v>
      </c>
    </row>
    <row r="135" customFormat="false" ht="12.75" hidden="false" customHeight="false" outlineLevel="0" collapsed="false">
      <c r="A135" s="1538" t="n">
        <f aca="false">'Annex 12-Gas'!A135</f>
        <v>40695</v>
      </c>
      <c r="C135" s="488" t="n">
        <f aca="false">IF($A135&gt;Endyr,0,VLOOKUP($A135,Tariff_Table,Tariff!$L$33))</f>
        <v>1.21</v>
      </c>
      <c r="D135" s="427" t="n">
        <f aca="false">VLOOKUP($A135,Curves_Table,Escalation!$AL$291)</f>
        <v>1.40810210345432</v>
      </c>
      <c r="E135" s="1609" t="n">
        <f aca="false">C135*D135</f>
        <v>1.70380354517973</v>
      </c>
      <c r="F135" s="1314" t="n">
        <f aca="false">IF($A135&gt;Endyr,0,VLOOKUP($A135,Tariff_Table,Tariff!$M$33))</f>
        <v>0.25</v>
      </c>
      <c r="G135" s="1609" t="n">
        <f aca="false">SUM(E135,F135)</f>
        <v>1.95380354517973</v>
      </c>
      <c r="H135" s="397" t="n">
        <f aca="false">VLOOKUP($A135,Plant_Table,'Plant Operations'!$T$270)</f>
        <v>2025354.24</v>
      </c>
      <c r="I135" s="1566" t="n">
        <f aca="false">G135*H135/1000</f>
        <v>3957.1442943568</v>
      </c>
      <c r="J135" s="1567" t="str">
        <f aca="false">IF(MONTH($A135)=12,SUM(I124:I135)," ")</f>
        <v> </v>
      </c>
      <c r="L135" s="1610" t="n">
        <f aca="false">IF($A135&lt;Startops2,0,VLOOKUP($A135,Tariff_Table,Tariff!$N$33))</f>
        <v>0</v>
      </c>
      <c r="M135" s="397" t="n">
        <f aca="false">H135</f>
        <v>2025354.24</v>
      </c>
      <c r="N135" s="1611" t="n">
        <f aca="false">L135*M135/1000</f>
        <v>0</v>
      </c>
      <c r="O135" s="1611" t="n">
        <f aca="false">IF($A135&gt;Endyr,0,VLOOKUP($A135,Tariff_Table,Tariff!$O$33))</f>
        <v>3255.87153</v>
      </c>
      <c r="P135" s="427" t="n">
        <f aca="false">VLOOKUP($A135,Curves_Table,Escalation!$AP$291)</f>
        <v>1.44536293026781</v>
      </c>
      <c r="Q135" s="1604" t="n">
        <f aca="false">SUM(N135,O135)*P135</f>
        <v>4705.91601517633</v>
      </c>
      <c r="R135" s="1579" t="str">
        <f aca="false">IF(MONTH($A135)=12,SUM(Q124:Q135)," ")</f>
        <v> </v>
      </c>
    </row>
    <row r="136" customFormat="false" ht="12.75" hidden="false" customHeight="false" outlineLevel="0" collapsed="false">
      <c r="A136" s="1538" t="n">
        <f aca="false">'Annex 12-Gas'!A136</f>
        <v>40725</v>
      </c>
      <c r="C136" s="488" t="n">
        <f aca="false">IF($A136&gt;Endyr,0,VLOOKUP($A136,Tariff_Table,Tariff!$L$33))</f>
        <v>1.21</v>
      </c>
      <c r="D136" s="427" t="n">
        <f aca="false">VLOOKUP($A136,Curves_Table,Escalation!$AL$291)</f>
        <v>1.40810210345432</v>
      </c>
      <c r="E136" s="1609" t="n">
        <f aca="false">C136*D136</f>
        <v>1.70380354517973</v>
      </c>
      <c r="F136" s="1314" t="n">
        <f aca="false">IF($A136&gt;Endyr,0,VLOOKUP($A136,Tariff_Table,Tariff!$M$33))</f>
        <v>0.25</v>
      </c>
      <c r="G136" s="1609" t="n">
        <f aca="false">SUM(E136,F136)</f>
        <v>1.95380354517973</v>
      </c>
      <c r="H136" s="397" t="n">
        <f aca="false">VLOOKUP($A136,Plant_Table,'Plant Operations'!$T$270)</f>
        <v>2092866.048</v>
      </c>
      <c r="I136" s="1566" t="n">
        <f aca="false">G136*H136/1000</f>
        <v>4089.04910416869</v>
      </c>
      <c r="J136" s="1567" t="str">
        <f aca="false">IF(MONTH($A136)=12,SUM(I125:I136)," ")</f>
        <v> </v>
      </c>
      <c r="L136" s="1610" t="n">
        <f aca="false">IF($A136&lt;Startops2,0,VLOOKUP($A136,Tariff_Table,Tariff!$N$33))</f>
        <v>0</v>
      </c>
      <c r="M136" s="397" t="n">
        <f aca="false">H136</f>
        <v>2092866.048</v>
      </c>
      <c r="N136" s="1611" t="n">
        <f aca="false">L136*M136/1000</f>
        <v>0</v>
      </c>
      <c r="O136" s="1611" t="n">
        <f aca="false">IF($A136&gt;Endyr,0,VLOOKUP($A136,Tariff_Table,Tariff!$O$33))</f>
        <v>3255.87153</v>
      </c>
      <c r="P136" s="427" t="n">
        <f aca="false">VLOOKUP($A136,Curves_Table,Escalation!$AP$291)</f>
        <v>1.44536293026781</v>
      </c>
      <c r="Q136" s="1604" t="n">
        <f aca="false">SUM(N136,O136)*P136</f>
        <v>4705.91601517633</v>
      </c>
      <c r="R136" s="1579" t="str">
        <f aca="false">IF(MONTH($A136)=12,SUM(Q125:Q136)," ")</f>
        <v> </v>
      </c>
    </row>
    <row r="137" customFormat="false" ht="12.75" hidden="false" customHeight="false" outlineLevel="0" collapsed="false">
      <c r="A137" s="1538" t="n">
        <f aca="false">'Annex 12-Gas'!A137</f>
        <v>40756</v>
      </c>
      <c r="C137" s="488" t="n">
        <f aca="false">IF($A137&gt;Endyr,0,VLOOKUP($A137,Tariff_Table,Tariff!$L$33))</f>
        <v>1.21</v>
      </c>
      <c r="D137" s="427" t="n">
        <f aca="false">VLOOKUP($A137,Curves_Table,Escalation!$AL$291)</f>
        <v>1.40810210345432</v>
      </c>
      <c r="E137" s="1609" t="n">
        <f aca="false">C137*D137</f>
        <v>1.70380354517973</v>
      </c>
      <c r="F137" s="1314" t="n">
        <f aca="false">IF($A137&gt;Endyr,0,VLOOKUP($A137,Tariff_Table,Tariff!$M$33))</f>
        <v>0.25</v>
      </c>
      <c r="G137" s="1609" t="n">
        <f aca="false">SUM(E137,F137)</f>
        <v>1.95380354517973</v>
      </c>
      <c r="H137" s="397" t="n">
        <f aca="false">VLOOKUP($A137,Plant_Table,'Plant Operations'!$T$270)</f>
        <v>2092866.048</v>
      </c>
      <c r="I137" s="1566" t="n">
        <f aca="false">G137*H137/1000</f>
        <v>4089.04910416869</v>
      </c>
      <c r="J137" s="1567" t="str">
        <f aca="false">IF(MONTH($A137)=12,SUM(I126:I137)," ")</f>
        <v> </v>
      </c>
      <c r="L137" s="1610" t="n">
        <f aca="false">IF($A137&lt;Startops2,0,VLOOKUP($A137,Tariff_Table,Tariff!$N$33))</f>
        <v>0</v>
      </c>
      <c r="M137" s="397" t="n">
        <f aca="false">H137</f>
        <v>2092866.048</v>
      </c>
      <c r="N137" s="1611" t="n">
        <f aca="false">L137*M137/1000</f>
        <v>0</v>
      </c>
      <c r="O137" s="1611" t="n">
        <f aca="false">IF($A137&gt;Endyr,0,VLOOKUP($A137,Tariff_Table,Tariff!$O$33))</f>
        <v>3255.87153</v>
      </c>
      <c r="P137" s="427" t="n">
        <f aca="false">VLOOKUP($A137,Curves_Table,Escalation!$AP$291)</f>
        <v>1.44536293026781</v>
      </c>
      <c r="Q137" s="1604" t="n">
        <f aca="false">SUM(N137,O137)*P137</f>
        <v>4705.91601517633</v>
      </c>
      <c r="R137" s="1579" t="str">
        <f aca="false">IF(MONTH($A137)=12,SUM(Q126:Q137)," ")</f>
        <v> </v>
      </c>
    </row>
    <row r="138" customFormat="false" ht="12.75" hidden="false" customHeight="false" outlineLevel="0" collapsed="false">
      <c r="A138" s="1538" t="n">
        <f aca="false">'Annex 12-Gas'!A138</f>
        <v>40787</v>
      </c>
      <c r="C138" s="488" t="n">
        <f aca="false">IF($A138&gt;Endyr,0,VLOOKUP($A138,Tariff_Table,Tariff!$L$33))</f>
        <v>1.21</v>
      </c>
      <c r="D138" s="427" t="n">
        <f aca="false">VLOOKUP($A138,Curves_Table,Escalation!$AL$291)</f>
        <v>1.40810210345432</v>
      </c>
      <c r="E138" s="1609" t="n">
        <f aca="false">C138*D138</f>
        <v>1.70380354517973</v>
      </c>
      <c r="F138" s="1314" t="n">
        <f aca="false">IF($A138&gt;Endyr,0,VLOOKUP($A138,Tariff_Table,Tariff!$M$33))</f>
        <v>0.25</v>
      </c>
      <c r="G138" s="1609" t="n">
        <f aca="false">SUM(E138,F138)</f>
        <v>1.95380354517973</v>
      </c>
      <c r="H138" s="397" t="n">
        <f aca="false">VLOOKUP($A138,Plant_Table,'Plant Operations'!$T$270)</f>
        <v>2025354.24</v>
      </c>
      <c r="I138" s="1566" t="n">
        <f aca="false">G138*H138/1000</f>
        <v>3957.1442943568</v>
      </c>
      <c r="J138" s="1567" t="str">
        <f aca="false">IF(MONTH($A138)=12,SUM(I127:I138)," ")</f>
        <v> </v>
      </c>
      <c r="L138" s="1610" t="n">
        <f aca="false">IF($A138&lt;Startops2,0,VLOOKUP($A138,Tariff_Table,Tariff!$N$33))</f>
        <v>0</v>
      </c>
      <c r="M138" s="397" t="n">
        <f aca="false">H138</f>
        <v>2025354.24</v>
      </c>
      <c r="N138" s="1611" t="n">
        <f aca="false">L138*M138/1000</f>
        <v>0</v>
      </c>
      <c r="O138" s="1611" t="n">
        <f aca="false">IF($A138&gt;Endyr,0,VLOOKUP($A138,Tariff_Table,Tariff!$O$33))</f>
        <v>3255.87153</v>
      </c>
      <c r="P138" s="427" t="n">
        <f aca="false">VLOOKUP($A138,Curves_Table,Escalation!$AP$291)</f>
        <v>1.44536293026781</v>
      </c>
      <c r="Q138" s="1604" t="n">
        <f aca="false">SUM(N138,O138)*P138</f>
        <v>4705.91601517633</v>
      </c>
      <c r="R138" s="1579" t="str">
        <f aca="false">IF(MONTH($A138)=12,SUM(Q127:Q138)," ")</f>
        <v> </v>
      </c>
    </row>
    <row r="139" customFormat="false" ht="12.75" hidden="false" customHeight="false" outlineLevel="0" collapsed="false">
      <c r="A139" s="1538" t="n">
        <f aca="false">'Annex 12-Gas'!A139</f>
        <v>40817</v>
      </c>
      <c r="C139" s="488" t="n">
        <f aca="false">IF($A139&gt;Endyr,0,VLOOKUP($A139,Tariff_Table,Tariff!$L$33))</f>
        <v>1.21</v>
      </c>
      <c r="D139" s="427" t="n">
        <f aca="false">VLOOKUP($A139,Curves_Table,Escalation!$AL$291)</f>
        <v>1.40810210345432</v>
      </c>
      <c r="E139" s="1609" t="n">
        <f aca="false">C139*D139</f>
        <v>1.70380354517973</v>
      </c>
      <c r="F139" s="1314" t="n">
        <f aca="false">IF($A139&gt;Endyr,0,VLOOKUP($A139,Tariff_Table,Tariff!$M$33))</f>
        <v>0.25</v>
      </c>
      <c r="G139" s="1609" t="n">
        <f aca="false">SUM(E139,F139)</f>
        <v>1.95380354517973</v>
      </c>
      <c r="H139" s="397" t="n">
        <f aca="false">VLOOKUP($A139,Plant_Table,'Plant Operations'!$T$270)</f>
        <v>2092866.048</v>
      </c>
      <c r="I139" s="1566" t="n">
        <f aca="false">G139*H139/1000</f>
        <v>4089.04910416869</v>
      </c>
      <c r="J139" s="1567" t="str">
        <f aca="false">IF(MONTH($A139)=12,SUM(I128:I139)," ")</f>
        <v> </v>
      </c>
      <c r="L139" s="1610" t="n">
        <f aca="false">IF($A139&lt;Startops2,0,VLOOKUP($A139,Tariff_Table,Tariff!$N$33))</f>
        <v>0</v>
      </c>
      <c r="M139" s="397" t="n">
        <f aca="false">H139</f>
        <v>2092866.048</v>
      </c>
      <c r="N139" s="1611" t="n">
        <f aca="false">L139*M139/1000</f>
        <v>0</v>
      </c>
      <c r="O139" s="1611" t="n">
        <f aca="false">IF($A139&gt;Endyr,0,VLOOKUP($A139,Tariff_Table,Tariff!$O$33))</f>
        <v>3255.87153</v>
      </c>
      <c r="P139" s="427" t="n">
        <f aca="false">VLOOKUP($A139,Curves_Table,Escalation!$AP$291)</f>
        <v>1.44536293026781</v>
      </c>
      <c r="Q139" s="1604" t="n">
        <f aca="false">SUM(N139,O139)*P139</f>
        <v>4705.91601517633</v>
      </c>
      <c r="R139" s="1579" t="str">
        <f aca="false">IF(MONTH($A139)=12,SUM(Q128:Q139)," ")</f>
        <v> </v>
      </c>
    </row>
    <row r="140" customFormat="false" ht="12.75" hidden="false" customHeight="false" outlineLevel="0" collapsed="false">
      <c r="A140" s="1538" t="n">
        <f aca="false">'Annex 12-Gas'!A140</f>
        <v>40848</v>
      </c>
      <c r="C140" s="488" t="n">
        <f aca="false">IF($A140&gt;Endyr,0,VLOOKUP($A140,Tariff_Table,Tariff!$L$33))</f>
        <v>1.21</v>
      </c>
      <c r="D140" s="427" t="n">
        <f aca="false">VLOOKUP($A140,Curves_Table,Escalation!$AL$291)</f>
        <v>1.40810210345432</v>
      </c>
      <c r="E140" s="1609" t="n">
        <f aca="false">C140*D140</f>
        <v>1.70380354517973</v>
      </c>
      <c r="F140" s="1314" t="n">
        <f aca="false">IF($A140&gt;Endyr,0,VLOOKUP($A140,Tariff_Table,Tariff!$M$33))</f>
        <v>0.25</v>
      </c>
      <c r="G140" s="1609" t="n">
        <f aca="false">SUM(E140,F140)</f>
        <v>1.95380354517973</v>
      </c>
      <c r="H140" s="397" t="n">
        <f aca="false">VLOOKUP($A140,Plant_Table,'Plant Operations'!$T$270)</f>
        <v>2025354.24</v>
      </c>
      <c r="I140" s="1566" t="n">
        <f aca="false">G140*H140/1000</f>
        <v>3957.1442943568</v>
      </c>
      <c r="J140" s="1567" t="str">
        <f aca="false">IF(MONTH($A140)=12,SUM(I129:I140)," ")</f>
        <v> </v>
      </c>
      <c r="L140" s="1610" t="n">
        <f aca="false">IF($A140&lt;Startops2,0,VLOOKUP($A140,Tariff_Table,Tariff!$N$33))</f>
        <v>0</v>
      </c>
      <c r="M140" s="397" t="n">
        <f aca="false">H140</f>
        <v>2025354.24</v>
      </c>
      <c r="N140" s="1611" t="n">
        <f aca="false">L140*M140/1000</f>
        <v>0</v>
      </c>
      <c r="O140" s="1611" t="n">
        <f aca="false">IF($A140&gt;Endyr,0,VLOOKUP($A140,Tariff_Table,Tariff!$O$33))</f>
        <v>3255.87153</v>
      </c>
      <c r="P140" s="427" t="n">
        <f aca="false">VLOOKUP($A140,Curves_Table,Escalation!$AP$291)</f>
        <v>1.44536293026781</v>
      </c>
      <c r="Q140" s="1604" t="n">
        <f aca="false">SUM(N140,O140)*P140</f>
        <v>4705.91601517633</v>
      </c>
      <c r="R140" s="1579" t="str">
        <f aca="false">IF(MONTH($A140)=12,SUM(Q129:Q140)," ")</f>
        <v> </v>
      </c>
    </row>
    <row r="141" customFormat="false" ht="12.75" hidden="false" customHeight="false" outlineLevel="0" collapsed="false">
      <c r="A141" s="1538" t="n">
        <f aca="false">'Annex 12-Gas'!A141</f>
        <v>40878</v>
      </c>
      <c r="C141" s="488" t="n">
        <f aca="false">IF($A141&gt;Endyr,0,VLOOKUP($A141,Tariff_Table,Tariff!$L$33))</f>
        <v>1.21</v>
      </c>
      <c r="D141" s="427" t="n">
        <f aca="false">VLOOKUP($A141,Curves_Table,Escalation!$AL$291)</f>
        <v>1.40810210345432</v>
      </c>
      <c r="E141" s="1609" t="n">
        <f aca="false">C141*D141</f>
        <v>1.70380354517973</v>
      </c>
      <c r="F141" s="1314" t="n">
        <f aca="false">IF($A141&gt;Endyr,0,VLOOKUP($A141,Tariff_Table,Tariff!$M$33))</f>
        <v>0.25</v>
      </c>
      <c r="G141" s="1609" t="n">
        <f aca="false">SUM(E141,F141)</f>
        <v>1.95380354517973</v>
      </c>
      <c r="H141" s="397" t="n">
        <f aca="false">VLOOKUP($A141,Plant_Table,'Plant Operations'!$T$270)</f>
        <v>2092866.048</v>
      </c>
      <c r="I141" s="1566" t="n">
        <f aca="false">G141*H141/1000</f>
        <v>4089.04910416869</v>
      </c>
      <c r="J141" s="1567" t="n">
        <f aca="false">IF(MONTH($A141)=12,SUM(I130:I141)," ")</f>
        <v>47835.2266267676</v>
      </c>
      <c r="L141" s="1610" t="n">
        <f aca="false">IF($A141&lt;Startops2,0,VLOOKUP($A141,Tariff_Table,Tariff!$N$33))</f>
        <v>0</v>
      </c>
      <c r="M141" s="397" t="n">
        <f aca="false">H141</f>
        <v>2092866.048</v>
      </c>
      <c r="N141" s="1611" t="n">
        <f aca="false">L141*M141/1000</f>
        <v>0</v>
      </c>
      <c r="O141" s="1611" t="n">
        <f aca="false">IF($A141&gt;Endyr,0,VLOOKUP($A141,Tariff_Table,Tariff!$O$33))</f>
        <v>3255.87153</v>
      </c>
      <c r="P141" s="427" t="n">
        <f aca="false">VLOOKUP($A141,Curves_Table,Escalation!$AP$291)</f>
        <v>1.44536293026781</v>
      </c>
      <c r="Q141" s="1604" t="n">
        <f aca="false">SUM(N141,O141)*P141</f>
        <v>4705.91601517633</v>
      </c>
      <c r="R141" s="1579" t="n">
        <f aca="false">IF(MONTH($A141)=12,SUM(Q130:Q141)," ")</f>
        <v>56038.3797172867</v>
      </c>
    </row>
    <row r="142" customFormat="false" ht="12.75" hidden="false" customHeight="false" outlineLevel="0" collapsed="false">
      <c r="A142" s="1538" t="n">
        <f aca="false">'Annex 12-Gas'!A142</f>
        <v>40909</v>
      </c>
      <c r="C142" s="488" t="n">
        <f aca="false">IF($A142&gt;Endyr,0,VLOOKUP($A142,Tariff_Table,Tariff!$L$33))</f>
        <v>1.21</v>
      </c>
      <c r="D142" s="427" t="n">
        <f aca="false">VLOOKUP($A142,Curves_Table,Escalation!$AL$291)</f>
        <v>1.40810210345432</v>
      </c>
      <c r="E142" s="1609" t="n">
        <f aca="false">C142*D142</f>
        <v>1.70380354517973</v>
      </c>
      <c r="F142" s="1314" t="n">
        <f aca="false">IF($A142&gt;Endyr,0,VLOOKUP($A142,Tariff_Table,Tariff!$M$33))</f>
        <v>0.25</v>
      </c>
      <c r="G142" s="1609" t="n">
        <f aca="false">SUM(E142,F142)</f>
        <v>1.95380354517973</v>
      </c>
      <c r="H142" s="397" t="n">
        <f aca="false">VLOOKUP($A142,Plant_Table,'Plant Operations'!$T$270)</f>
        <v>2092866.048</v>
      </c>
      <c r="I142" s="1566" t="n">
        <f aca="false">G142*H142/1000</f>
        <v>4089.04910416869</v>
      </c>
      <c r="J142" s="1567" t="str">
        <f aca="false">IF(MONTH($A142)=12,SUM(I131:I142)," ")</f>
        <v> </v>
      </c>
      <c r="L142" s="1610" t="n">
        <f aca="false">IF($A142&lt;Startops2,0,VLOOKUP($A142,Tariff_Table,Tariff!$N$33))</f>
        <v>0</v>
      </c>
      <c r="M142" s="397" t="n">
        <f aca="false">H142</f>
        <v>2092866.048</v>
      </c>
      <c r="N142" s="1611" t="n">
        <f aca="false">L142*M142/1000</f>
        <v>0</v>
      </c>
      <c r="O142" s="1611" t="n">
        <f aca="false">IF($A142&gt;Endyr,0,VLOOKUP($A142,Tariff_Table,Tariff!$O$33))</f>
        <v>3255.87153</v>
      </c>
      <c r="P142" s="427" t="n">
        <f aca="false">VLOOKUP($A142,Curves_Table,Escalation!$AP$291)</f>
        <v>1.44536293026781</v>
      </c>
      <c r="Q142" s="1604" t="n">
        <f aca="false">SUM(N142,O142)*P142</f>
        <v>4705.91601517633</v>
      </c>
      <c r="R142" s="1579" t="str">
        <f aca="false">IF(MONTH($A142)=12,SUM(Q131:Q142)," ")</f>
        <v> </v>
      </c>
    </row>
    <row r="143" customFormat="false" ht="12.75" hidden="false" customHeight="false" outlineLevel="0" collapsed="false">
      <c r="A143" s="1538" t="n">
        <f aca="false">'Annex 12-Gas'!A143</f>
        <v>40940</v>
      </c>
      <c r="C143" s="488" t="n">
        <f aca="false">IF($A143&gt;Endyr,0,VLOOKUP($A143,Tariff_Table,Tariff!$L$33))</f>
        <v>1.21</v>
      </c>
      <c r="D143" s="427" t="n">
        <f aca="false">VLOOKUP($A143,Curves_Table,Escalation!$AL$291)</f>
        <v>1.40810210345432</v>
      </c>
      <c r="E143" s="1609" t="n">
        <f aca="false">C143*D143</f>
        <v>1.70380354517973</v>
      </c>
      <c r="F143" s="1314" t="n">
        <f aca="false">IF($A143&gt;Endyr,0,VLOOKUP($A143,Tariff_Table,Tariff!$M$33))</f>
        <v>0.25</v>
      </c>
      <c r="G143" s="1609" t="n">
        <f aca="false">SUM(E143,F143)</f>
        <v>1.95380354517973</v>
      </c>
      <c r="H143" s="397" t="n">
        <f aca="false">VLOOKUP($A143,Plant_Table,'Plant Operations'!$T$270)</f>
        <v>1957842.432</v>
      </c>
      <c r="I143" s="1566" t="n">
        <f aca="false">G143*H143/1000</f>
        <v>3825.2394845449</v>
      </c>
      <c r="J143" s="1567" t="str">
        <f aca="false">IF(MONTH($A143)=12,SUM(I132:I143)," ")</f>
        <v> </v>
      </c>
      <c r="L143" s="1610" t="n">
        <f aca="false">IF($A143&lt;Startops2,0,VLOOKUP($A143,Tariff_Table,Tariff!$N$33))</f>
        <v>0</v>
      </c>
      <c r="M143" s="397" t="n">
        <f aca="false">H143</f>
        <v>1957842.432</v>
      </c>
      <c r="N143" s="1611" t="n">
        <f aca="false">L143*M143/1000</f>
        <v>0</v>
      </c>
      <c r="O143" s="1611" t="n">
        <f aca="false">IF($A143&gt;Endyr,0,VLOOKUP($A143,Tariff_Table,Tariff!$O$33))</f>
        <v>3255.87153</v>
      </c>
      <c r="P143" s="427" t="n">
        <f aca="false">VLOOKUP($A143,Curves_Table,Escalation!$AP$291)</f>
        <v>1.44536293026781</v>
      </c>
      <c r="Q143" s="1604" t="n">
        <f aca="false">SUM(N143,O143)*P143</f>
        <v>4705.91601517633</v>
      </c>
      <c r="R143" s="1579" t="str">
        <f aca="false">IF(MONTH($A143)=12,SUM(Q132:Q143)," ")</f>
        <v> </v>
      </c>
    </row>
    <row r="144" customFormat="false" ht="12.75" hidden="false" customHeight="false" outlineLevel="0" collapsed="false">
      <c r="A144" s="1538" t="n">
        <f aca="false">'Annex 12-Gas'!A144</f>
        <v>40969</v>
      </c>
      <c r="C144" s="488" t="n">
        <f aca="false">IF($A144&gt;Endyr,0,VLOOKUP($A144,Tariff_Table,Tariff!$L$33))</f>
        <v>1.21</v>
      </c>
      <c r="D144" s="427" t="n">
        <f aca="false">VLOOKUP($A144,Curves_Table,Escalation!$AL$291)</f>
        <v>1.40810210345432</v>
      </c>
      <c r="E144" s="1609" t="n">
        <f aca="false">C144*D144</f>
        <v>1.70380354517973</v>
      </c>
      <c r="F144" s="1314" t="n">
        <f aca="false">IF($A144&gt;Endyr,0,VLOOKUP($A144,Tariff_Table,Tariff!$M$33))</f>
        <v>0.25</v>
      </c>
      <c r="G144" s="1609" t="n">
        <f aca="false">SUM(E144,F144)</f>
        <v>1.95380354517973</v>
      </c>
      <c r="H144" s="397" t="n">
        <f aca="false">VLOOKUP($A144,Plant_Table,'Plant Operations'!$T$270)</f>
        <v>2092866.048</v>
      </c>
      <c r="I144" s="1566" t="n">
        <f aca="false">G144*H144/1000</f>
        <v>4089.04910416869</v>
      </c>
      <c r="J144" s="1567" t="str">
        <f aca="false">IF(MONTH($A144)=12,SUM(I133:I144)," ")</f>
        <v> </v>
      </c>
      <c r="L144" s="1610" t="n">
        <f aca="false">IF($A144&lt;Startops2,0,VLOOKUP($A144,Tariff_Table,Tariff!$N$33))</f>
        <v>0</v>
      </c>
      <c r="M144" s="397" t="n">
        <f aca="false">H144</f>
        <v>2092866.048</v>
      </c>
      <c r="N144" s="1611" t="n">
        <f aca="false">L144*M144/1000</f>
        <v>0</v>
      </c>
      <c r="O144" s="1611" t="n">
        <f aca="false">IF($A144&gt;Endyr,0,VLOOKUP($A144,Tariff_Table,Tariff!$O$33))</f>
        <v>3255.87153</v>
      </c>
      <c r="P144" s="427" t="n">
        <f aca="false">VLOOKUP($A144,Curves_Table,Escalation!$AP$291)</f>
        <v>1.44536293026781</v>
      </c>
      <c r="Q144" s="1604" t="n">
        <f aca="false">SUM(N144,O144)*P144</f>
        <v>4705.91601517633</v>
      </c>
      <c r="R144" s="1579" t="str">
        <f aca="false">IF(MONTH($A144)=12,SUM(Q133:Q144)," ")</f>
        <v> </v>
      </c>
    </row>
    <row r="145" customFormat="false" ht="12.75" hidden="false" customHeight="false" outlineLevel="0" collapsed="false">
      <c r="A145" s="1538" t="n">
        <f aca="false">'Annex 12-Gas'!A145</f>
        <v>41000</v>
      </c>
      <c r="C145" s="488" t="n">
        <f aca="false">IF($A145&gt;Endyr,0,VLOOKUP($A145,Tariff_Table,Tariff!$L$33))</f>
        <v>1.21</v>
      </c>
      <c r="D145" s="427" t="n">
        <f aca="false">VLOOKUP($A145,Curves_Table,Escalation!$AL$291)</f>
        <v>1.40810210345432</v>
      </c>
      <c r="E145" s="1609" t="n">
        <f aca="false">C145*D145</f>
        <v>1.70380354517973</v>
      </c>
      <c r="F145" s="1314" t="n">
        <f aca="false">IF($A145&gt;Endyr,0,VLOOKUP($A145,Tariff_Table,Tariff!$M$33))</f>
        <v>0.25</v>
      </c>
      <c r="G145" s="1609" t="n">
        <f aca="false">SUM(E145,F145)</f>
        <v>1.95380354517973</v>
      </c>
      <c r="H145" s="397" t="n">
        <f aca="false">VLOOKUP($A145,Plant_Table,'Plant Operations'!$T$270)</f>
        <v>2025354.24</v>
      </c>
      <c r="I145" s="1566" t="n">
        <f aca="false">G145*H145/1000</f>
        <v>3957.1442943568</v>
      </c>
      <c r="J145" s="1567" t="str">
        <f aca="false">IF(MONTH($A145)=12,SUM(I134:I145)," ")</f>
        <v> </v>
      </c>
      <c r="L145" s="1610" t="n">
        <f aca="false">IF($A145&lt;Startops2,0,VLOOKUP($A145,Tariff_Table,Tariff!$N$33))</f>
        <v>0</v>
      </c>
      <c r="M145" s="397" t="n">
        <f aca="false">H145</f>
        <v>2025354.24</v>
      </c>
      <c r="N145" s="1611" t="n">
        <f aca="false">L145*M145/1000</f>
        <v>0</v>
      </c>
      <c r="O145" s="1611" t="n">
        <f aca="false">IF($A145&gt;Endyr,0,VLOOKUP($A145,Tariff_Table,Tariff!$O$33))</f>
        <v>3255.87153</v>
      </c>
      <c r="P145" s="427" t="n">
        <f aca="false">VLOOKUP($A145,Curves_Table,Escalation!$AP$291)</f>
        <v>1.44536293026781</v>
      </c>
      <c r="Q145" s="1604" t="n">
        <f aca="false">SUM(N145,O145)*P145</f>
        <v>4705.91601517633</v>
      </c>
      <c r="R145" s="1579" t="str">
        <f aca="false">IF(MONTH($A145)=12,SUM(Q134:Q145)," ")</f>
        <v> </v>
      </c>
    </row>
    <row r="146" customFormat="false" ht="12.75" hidden="false" customHeight="false" outlineLevel="0" collapsed="false">
      <c r="A146" s="1538" t="n">
        <f aca="false">'Annex 12-Gas'!A146</f>
        <v>41030</v>
      </c>
      <c r="C146" s="488" t="n">
        <f aca="false">IF($A146&gt;Endyr,0,VLOOKUP($A146,Tariff_Table,Tariff!$L$33))</f>
        <v>1.21</v>
      </c>
      <c r="D146" s="427" t="n">
        <f aca="false">VLOOKUP($A146,Curves_Table,Escalation!$AL$291)</f>
        <v>1.44008797467612</v>
      </c>
      <c r="E146" s="1609" t="n">
        <f aca="false">C146*D146</f>
        <v>1.74250644935811</v>
      </c>
      <c r="F146" s="1314" t="n">
        <f aca="false">IF($A146&gt;Endyr,0,VLOOKUP($A146,Tariff_Table,Tariff!$M$33))</f>
        <v>0.25</v>
      </c>
      <c r="G146" s="1609" t="n">
        <f aca="false">SUM(E146,F146)</f>
        <v>1.99250644935811</v>
      </c>
      <c r="H146" s="397" t="n">
        <f aca="false">VLOOKUP($A146,Plant_Table,'Plant Operations'!$T$270)</f>
        <v>2092866.048</v>
      </c>
      <c r="I146" s="1566" t="n">
        <f aca="false">G146*H146/1000</f>
        <v>4170.04909828262</v>
      </c>
      <c r="J146" s="1567" t="str">
        <f aca="false">IF(MONTH($A146)=12,SUM(I135:I146)," ")</f>
        <v> </v>
      </c>
      <c r="L146" s="1610" t="n">
        <f aca="false">IF($A146&lt;Startops2,0,VLOOKUP($A146,Tariff_Table,Tariff!$N$33))</f>
        <v>0</v>
      </c>
      <c r="M146" s="397" t="n">
        <f aca="false">H146</f>
        <v>2092866.048</v>
      </c>
      <c r="N146" s="1611" t="n">
        <f aca="false">L146*M146/1000</f>
        <v>0</v>
      </c>
      <c r="O146" s="1611" t="n">
        <f aca="false">IF($A146&gt;Endyr,0,VLOOKUP($A146,Tariff_Table,Tariff!$O$33))</f>
        <v>3259.74061</v>
      </c>
      <c r="P146" s="427" t="n">
        <f aca="false">VLOOKUP($A146,Curves_Table,Escalation!$AP$291)</f>
        <v>1.48180861051097</v>
      </c>
      <c r="Q146" s="1604" t="n">
        <f aca="false">SUM(N146,O146)*P146</f>
        <v>4830.31170393029</v>
      </c>
      <c r="R146" s="1579" t="str">
        <f aca="false">IF(MONTH($A146)=12,SUM(Q135:Q146)," ")</f>
        <v> </v>
      </c>
    </row>
    <row r="147" customFormat="false" ht="12.75" hidden="false" customHeight="false" outlineLevel="0" collapsed="false">
      <c r="A147" s="1538" t="n">
        <f aca="false">'Annex 12-Gas'!A147</f>
        <v>41061</v>
      </c>
      <c r="C147" s="488" t="n">
        <f aca="false">IF($A147&gt;Endyr,0,VLOOKUP($A147,Tariff_Table,Tariff!$L$33))</f>
        <v>1.21</v>
      </c>
      <c r="D147" s="427" t="n">
        <f aca="false">VLOOKUP($A147,Curves_Table,Escalation!$AL$291)</f>
        <v>1.44008797467612</v>
      </c>
      <c r="E147" s="1609" t="n">
        <f aca="false">C147*D147</f>
        <v>1.74250644935811</v>
      </c>
      <c r="F147" s="1314" t="n">
        <f aca="false">IF($A147&gt;Endyr,0,VLOOKUP($A147,Tariff_Table,Tariff!$M$33))</f>
        <v>0.25</v>
      </c>
      <c r="G147" s="1609" t="n">
        <f aca="false">SUM(E147,F147)</f>
        <v>1.99250644935811</v>
      </c>
      <c r="H147" s="397" t="n">
        <f aca="false">VLOOKUP($A147,Plant_Table,'Plant Operations'!$T$270)</f>
        <v>2025354.24</v>
      </c>
      <c r="I147" s="1566" t="n">
        <f aca="false">G147*H147/1000</f>
        <v>4035.53138543479</v>
      </c>
      <c r="J147" s="1567" t="str">
        <f aca="false">IF(MONTH($A147)=12,SUM(I136:I147)," ")</f>
        <v> </v>
      </c>
      <c r="L147" s="1610" t="n">
        <f aca="false">IF($A147&lt;Startops2,0,VLOOKUP($A147,Tariff_Table,Tariff!$N$33))</f>
        <v>0</v>
      </c>
      <c r="M147" s="397" t="n">
        <f aca="false">H147</f>
        <v>2025354.24</v>
      </c>
      <c r="N147" s="1611" t="n">
        <f aca="false">L147*M147/1000</f>
        <v>0</v>
      </c>
      <c r="O147" s="1611" t="n">
        <f aca="false">IF($A147&gt;Endyr,0,VLOOKUP($A147,Tariff_Table,Tariff!$O$33))</f>
        <v>3259.74061</v>
      </c>
      <c r="P147" s="427" t="n">
        <f aca="false">VLOOKUP($A147,Curves_Table,Escalation!$AP$291)</f>
        <v>1.48180861051097</v>
      </c>
      <c r="Q147" s="1604" t="n">
        <f aca="false">SUM(N147,O147)*P147</f>
        <v>4830.31170393029</v>
      </c>
      <c r="R147" s="1579" t="str">
        <f aca="false">IF(MONTH($A147)=12,SUM(Q136:Q147)," ")</f>
        <v> </v>
      </c>
    </row>
    <row r="148" customFormat="false" ht="12.75" hidden="false" customHeight="false" outlineLevel="0" collapsed="false">
      <c r="A148" s="1538" t="n">
        <f aca="false">'Annex 12-Gas'!A148</f>
        <v>41091</v>
      </c>
      <c r="C148" s="488" t="n">
        <f aca="false">IF($A148&gt;Endyr,0,VLOOKUP($A148,Tariff_Table,Tariff!$L$33))</f>
        <v>1.21</v>
      </c>
      <c r="D148" s="427" t="n">
        <f aca="false">VLOOKUP($A148,Curves_Table,Escalation!$AL$291)</f>
        <v>1.44008797467612</v>
      </c>
      <c r="E148" s="1609" t="n">
        <f aca="false">C148*D148</f>
        <v>1.74250644935811</v>
      </c>
      <c r="F148" s="1314" t="n">
        <f aca="false">IF($A148&gt;Endyr,0,VLOOKUP($A148,Tariff_Table,Tariff!$M$33))</f>
        <v>0.25</v>
      </c>
      <c r="G148" s="1609" t="n">
        <f aca="false">SUM(E148,F148)</f>
        <v>1.99250644935811</v>
      </c>
      <c r="H148" s="397" t="n">
        <f aca="false">VLOOKUP($A148,Plant_Table,'Plant Operations'!$T$270)</f>
        <v>2092866.048</v>
      </c>
      <c r="I148" s="1566" t="n">
        <f aca="false">G148*H148/1000</f>
        <v>4170.04909828262</v>
      </c>
      <c r="J148" s="1567" t="str">
        <f aca="false">IF(MONTH($A148)=12,SUM(I137:I148)," ")</f>
        <v> </v>
      </c>
      <c r="L148" s="1610" t="n">
        <f aca="false">IF($A148&lt;Startops2,0,VLOOKUP($A148,Tariff_Table,Tariff!$N$33))</f>
        <v>0</v>
      </c>
      <c r="M148" s="397" t="n">
        <f aca="false">H148</f>
        <v>2092866.048</v>
      </c>
      <c r="N148" s="1611" t="n">
        <f aca="false">L148*M148/1000</f>
        <v>0</v>
      </c>
      <c r="O148" s="1611" t="n">
        <f aca="false">IF($A148&gt;Endyr,0,VLOOKUP($A148,Tariff_Table,Tariff!$O$33))</f>
        <v>3259.74061</v>
      </c>
      <c r="P148" s="427" t="n">
        <f aca="false">VLOOKUP($A148,Curves_Table,Escalation!$AP$291)</f>
        <v>1.48180861051097</v>
      </c>
      <c r="Q148" s="1604" t="n">
        <f aca="false">SUM(N148,O148)*P148</f>
        <v>4830.31170393029</v>
      </c>
      <c r="R148" s="1579" t="str">
        <f aca="false">IF(MONTH($A148)=12,SUM(Q137:Q148)," ")</f>
        <v> </v>
      </c>
    </row>
    <row r="149" customFormat="false" ht="12.75" hidden="false" customHeight="false" outlineLevel="0" collapsed="false">
      <c r="A149" s="1538" t="n">
        <f aca="false">'Annex 12-Gas'!A149</f>
        <v>41122</v>
      </c>
      <c r="C149" s="488" t="n">
        <f aca="false">IF($A149&gt;Endyr,0,VLOOKUP($A149,Tariff_Table,Tariff!$L$33))</f>
        <v>1.21</v>
      </c>
      <c r="D149" s="427" t="n">
        <f aca="false">VLOOKUP($A149,Curves_Table,Escalation!$AL$291)</f>
        <v>1.44008797467612</v>
      </c>
      <c r="E149" s="1609" t="n">
        <f aca="false">C149*D149</f>
        <v>1.74250644935811</v>
      </c>
      <c r="F149" s="1314" t="n">
        <f aca="false">IF($A149&gt;Endyr,0,VLOOKUP($A149,Tariff_Table,Tariff!$M$33))</f>
        <v>0.25</v>
      </c>
      <c r="G149" s="1609" t="n">
        <f aca="false">SUM(E149,F149)</f>
        <v>1.99250644935811</v>
      </c>
      <c r="H149" s="397" t="n">
        <f aca="false">VLOOKUP($A149,Plant_Table,'Plant Operations'!$T$270)</f>
        <v>2092866.048</v>
      </c>
      <c r="I149" s="1566" t="n">
        <f aca="false">G149*H149/1000</f>
        <v>4170.04909828262</v>
      </c>
      <c r="J149" s="1567" t="str">
        <f aca="false">IF(MONTH($A149)=12,SUM(I138:I149)," ")</f>
        <v> </v>
      </c>
      <c r="L149" s="1610" t="n">
        <f aca="false">IF($A149&lt;Startops2,0,VLOOKUP($A149,Tariff_Table,Tariff!$N$33))</f>
        <v>0</v>
      </c>
      <c r="M149" s="397" t="n">
        <f aca="false">H149</f>
        <v>2092866.048</v>
      </c>
      <c r="N149" s="1611" t="n">
        <f aca="false">L149*M149/1000</f>
        <v>0</v>
      </c>
      <c r="O149" s="1611" t="n">
        <f aca="false">IF($A149&gt;Endyr,0,VLOOKUP($A149,Tariff_Table,Tariff!$O$33))</f>
        <v>3259.74061</v>
      </c>
      <c r="P149" s="427" t="n">
        <f aca="false">VLOOKUP($A149,Curves_Table,Escalation!$AP$291)</f>
        <v>1.48180861051097</v>
      </c>
      <c r="Q149" s="1604" t="n">
        <f aca="false">SUM(N149,O149)*P149</f>
        <v>4830.31170393029</v>
      </c>
      <c r="R149" s="1579" t="str">
        <f aca="false">IF(MONTH($A149)=12,SUM(Q138:Q149)," ")</f>
        <v> </v>
      </c>
    </row>
    <row r="150" customFormat="false" ht="12.75" hidden="false" customHeight="false" outlineLevel="0" collapsed="false">
      <c r="A150" s="1538" t="n">
        <f aca="false">'Annex 12-Gas'!A150</f>
        <v>41153</v>
      </c>
      <c r="C150" s="488" t="n">
        <f aca="false">IF($A150&gt;Endyr,0,VLOOKUP($A150,Tariff_Table,Tariff!$L$33))</f>
        <v>1.21</v>
      </c>
      <c r="D150" s="427" t="n">
        <f aca="false">VLOOKUP($A150,Curves_Table,Escalation!$AL$291)</f>
        <v>1.44008797467612</v>
      </c>
      <c r="E150" s="1609" t="n">
        <f aca="false">C150*D150</f>
        <v>1.74250644935811</v>
      </c>
      <c r="F150" s="1314" t="n">
        <f aca="false">IF($A150&gt;Endyr,0,VLOOKUP($A150,Tariff_Table,Tariff!$M$33))</f>
        <v>0.25</v>
      </c>
      <c r="G150" s="1609" t="n">
        <f aca="false">SUM(E150,F150)</f>
        <v>1.99250644935811</v>
      </c>
      <c r="H150" s="397" t="n">
        <f aca="false">VLOOKUP($A150,Plant_Table,'Plant Operations'!$T$270)</f>
        <v>2025354.24</v>
      </c>
      <c r="I150" s="1566" t="n">
        <f aca="false">G150*H150/1000</f>
        <v>4035.53138543479</v>
      </c>
      <c r="J150" s="1567" t="str">
        <f aca="false">IF(MONTH($A150)=12,SUM(I139:I150)," ")</f>
        <v> </v>
      </c>
      <c r="L150" s="1610" t="n">
        <f aca="false">IF($A150&lt;Startops2,0,VLOOKUP($A150,Tariff_Table,Tariff!$N$33))</f>
        <v>0</v>
      </c>
      <c r="M150" s="397" t="n">
        <f aca="false">H150</f>
        <v>2025354.24</v>
      </c>
      <c r="N150" s="1611" t="n">
        <f aca="false">L150*M150/1000</f>
        <v>0</v>
      </c>
      <c r="O150" s="1611" t="n">
        <f aca="false">IF($A150&gt;Endyr,0,VLOOKUP($A150,Tariff_Table,Tariff!$O$33))</f>
        <v>3259.74061</v>
      </c>
      <c r="P150" s="427" t="n">
        <f aca="false">VLOOKUP($A150,Curves_Table,Escalation!$AP$291)</f>
        <v>1.48180861051097</v>
      </c>
      <c r="Q150" s="1604" t="n">
        <f aca="false">SUM(N150,O150)*P150</f>
        <v>4830.31170393029</v>
      </c>
      <c r="R150" s="1579" t="str">
        <f aca="false">IF(MONTH($A150)=12,SUM(Q139:Q150)," ")</f>
        <v> </v>
      </c>
    </row>
    <row r="151" customFormat="false" ht="12.75" hidden="false" customHeight="false" outlineLevel="0" collapsed="false">
      <c r="A151" s="1538" t="n">
        <f aca="false">'Annex 12-Gas'!A151</f>
        <v>41183</v>
      </c>
      <c r="C151" s="488" t="n">
        <f aca="false">IF($A151&gt;Endyr,0,VLOOKUP($A151,Tariff_Table,Tariff!$L$33))</f>
        <v>1.21</v>
      </c>
      <c r="D151" s="427" t="n">
        <f aca="false">VLOOKUP($A151,Curves_Table,Escalation!$AL$291)</f>
        <v>1.44008797467612</v>
      </c>
      <c r="E151" s="1609" t="n">
        <f aca="false">C151*D151</f>
        <v>1.74250644935811</v>
      </c>
      <c r="F151" s="1314" t="n">
        <f aca="false">IF($A151&gt;Endyr,0,VLOOKUP($A151,Tariff_Table,Tariff!$M$33))</f>
        <v>0.25</v>
      </c>
      <c r="G151" s="1609" t="n">
        <f aca="false">SUM(E151,F151)</f>
        <v>1.99250644935811</v>
      </c>
      <c r="H151" s="397" t="n">
        <f aca="false">VLOOKUP($A151,Plant_Table,'Plant Operations'!$T$270)</f>
        <v>2092866.048</v>
      </c>
      <c r="I151" s="1566" t="n">
        <f aca="false">G151*H151/1000</f>
        <v>4170.04909828262</v>
      </c>
      <c r="J151" s="1567" t="str">
        <f aca="false">IF(MONTH($A151)=12,SUM(I140:I151)," ")</f>
        <v> </v>
      </c>
      <c r="L151" s="1610" t="n">
        <f aca="false">IF($A151&lt;Startops2,0,VLOOKUP($A151,Tariff_Table,Tariff!$N$33))</f>
        <v>0</v>
      </c>
      <c r="M151" s="397" t="n">
        <f aca="false">H151</f>
        <v>2092866.048</v>
      </c>
      <c r="N151" s="1611" t="n">
        <f aca="false">L151*M151/1000</f>
        <v>0</v>
      </c>
      <c r="O151" s="1611" t="n">
        <f aca="false">IF($A151&gt;Endyr,0,VLOOKUP($A151,Tariff_Table,Tariff!$O$33))</f>
        <v>3259.74061</v>
      </c>
      <c r="P151" s="427" t="n">
        <f aca="false">VLOOKUP($A151,Curves_Table,Escalation!$AP$291)</f>
        <v>1.48180861051097</v>
      </c>
      <c r="Q151" s="1604" t="n">
        <f aca="false">SUM(N151,O151)*P151</f>
        <v>4830.31170393029</v>
      </c>
      <c r="R151" s="1579" t="str">
        <f aca="false">IF(MONTH($A151)=12,SUM(Q140:Q151)," ")</f>
        <v> </v>
      </c>
    </row>
    <row r="152" customFormat="false" ht="12.75" hidden="false" customHeight="false" outlineLevel="0" collapsed="false">
      <c r="A152" s="1538" t="n">
        <f aca="false">'Annex 12-Gas'!A152</f>
        <v>41214</v>
      </c>
      <c r="C152" s="488" t="n">
        <f aca="false">IF($A152&gt;Endyr,0,VLOOKUP($A152,Tariff_Table,Tariff!$L$33))</f>
        <v>1.21</v>
      </c>
      <c r="D152" s="427" t="n">
        <f aca="false">VLOOKUP($A152,Curves_Table,Escalation!$AL$291)</f>
        <v>1.44008797467612</v>
      </c>
      <c r="E152" s="1609" t="n">
        <f aca="false">C152*D152</f>
        <v>1.74250644935811</v>
      </c>
      <c r="F152" s="1314" t="n">
        <f aca="false">IF($A152&gt;Endyr,0,VLOOKUP($A152,Tariff_Table,Tariff!$M$33))</f>
        <v>0.25</v>
      </c>
      <c r="G152" s="1609" t="n">
        <f aca="false">SUM(E152,F152)</f>
        <v>1.99250644935811</v>
      </c>
      <c r="H152" s="397" t="n">
        <f aca="false">VLOOKUP($A152,Plant_Table,'Plant Operations'!$T$270)</f>
        <v>2025354.24</v>
      </c>
      <c r="I152" s="1566" t="n">
        <f aca="false">G152*H152/1000</f>
        <v>4035.53138543479</v>
      </c>
      <c r="J152" s="1567" t="str">
        <f aca="false">IF(MONTH($A152)=12,SUM(I141:I152)," ")</f>
        <v> </v>
      </c>
      <c r="L152" s="1610" t="n">
        <f aca="false">IF($A152&lt;Startops2,0,VLOOKUP($A152,Tariff_Table,Tariff!$N$33))</f>
        <v>0</v>
      </c>
      <c r="M152" s="397" t="n">
        <f aca="false">H152</f>
        <v>2025354.24</v>
      </c>
      <c r="N152" s="1611" t="n">
        <f aca="false">L152*M152/1000</f>
        <v>0</v>
      </c>
      <c r="O152" s="1611" t="n">
        <f aca="false">IF($A152&gt;Endyr,0,VLOOKUP($A152,Tariff_Table,Tariff!$O$33))</f>
        <v>3259.74061</v>
      </c>
      <c r="P152" s="427" t="n">
        <f aca="false">VLOOKUP($A152,Curves_Table,Escalation!$AP$291)</f>
        <v>1.48180861051097</v>
      </c>
      <c r="Q152" s="1604" t="n">
        <f aca="false">SUM(N152,O152)*P152</f>
        <v>4830.31170393029</v>
      </c>
      <c r="R152" s="1579" t="str">
        <f aca="false">IF(MONTH($A152)=12,SUM(Q141:Q152)," ")</f>
        <v> </v>
      </c>
    </row>
    <row r="153" customFormat="false" ht="12.75" hidden="false" customHeight="false" outlineLevel="0" collapsed="false">
      <c r="A153" s="1538" t="n">
        <f aca="false">'Annex 12-Gas'!A153</f>
        <v>41244</v>
      </c>
      <c r="C153" s="488" t="n">
        <f aca="false">IF($A153&gt;Endyr,0,VLOOKUP($A153,Tariff_Table,Tariff!$L$33))</f>
        <v>1.21</v>
      </c>
      <c r="D153" s="427" t="n">
        <f aca="false">VLOOKUP($A153,Curves_Table,Escalation!$AL$291)</f>
        <v>1.44008797467612</v>
      </c>
      <c r="E153" s="1609" t="n">
        <f aca="false">C153*D153</f>
        <v>1.74250644935811</v>
      </c>
      <c r="F153" s="1314" t="n">
        <f aca="false">IF($A153&gt;Endyr,0,VLOOKUP($A153,Tariff_Table,Tariff!$M$33))</f>
        <v>0.25</v>
      </c>
      <c r="G153" s="1609" t="n">
        <f aca="false">SUM(E153,F153)</f>
        <v>1.99250644935811</v>
      </c>
      <c r="H153" s="397" t="n">
        <f aca="false">VLOOKUP($A153,Plant_Table,'Plant Operations'!$T$270)</f>
        <v>2092866.048</v>
      </c>
      <c r="I153" s="1566" t="n">
        <f aca="false">G153*H153/1000</f>
        <v>4170.04909828262</v>
      </c>
      <c r="J153" s="1567" t="n">
        <f aca="false">IF(MONTH($A153)=12,SUM(I142:I153)," ")</f>
        <v>48917.3216349565</v>
      </c>
      <c r="L153" s="1610" t="n">
        <f aca="false">IF($A153&lt;Startops2,0,VLOOKUP($A153,Tariff_Table,Tariff!$N$33))</f>
        <v>0</v>
      </c>
      <c r="M153" s="397" t="n">
        <f aca="false">H153</f>
        <v>2092866.048</v>
      </c>
      <c r="N153" s="1611" t="n">
        <f aca="false">L153*M153/1000</f>
        <v>0</v>
      </c>
      <c r="O153" s="1611" t="n">
        <f aca="false">IF($A153&gt;Endyr,0,VLOOKUP($A153,Tariff_Table,Tariff!$O$33))</f>
        <v>3259.74061</v>
      </c>
      <c r="P153" s="427" t="n">
        <f aca="false">VLOOKUP($A153,Curves_Table,Escalation!$AP$291)</f>
        <v>1.48180861051097</v>
      </c>
      <c r="Q153" s="1604" t="n">
        <f aca="false">SUM(N153,O153)*P153</f>
        <v>4830.31170393029</v>
      </c>
      <c r="R153" s="1579" t="n">
        <f aca="false">IF(MONTH($A153)=12,SUM(Q142:Q153)," ")</f>
        <v>57466.1576921476</v>
      </c>
    </row>
    <row r="154" customFormat="false" ht="12.75" hidden="false" customHeight="false" outlineLevel="0" collapsed="false">
      <c r="A154" s="1538" t="n">
        <f aca="false">'Annex 12-Gas'!A154</f>
        <v>41275</v>
      </c>
      <c r="C154" s="488" t="n">
        <f aca="false">IF($A154&gt;Endyr,0,VLOOKUP($A154,Tariff_Table,Tariff!$L$33))</f>
        <v>1.21</v>
      </c>
      <c r="D154" s="427" t="n">
        <f aca="false">VLOOKUP($A154,Curves_Table,Escalation!$AL$291)</f>
        <v>1.44008797467612</v>
      </c>
      <c r="E154" s="1609" t="n">
        <f aca="false">C154*D154</f>
        <v>1.74250644935811</v>
      </c>
      <c r="F154" s="1314" t="n">
        <f aca="false">IF($A154&gt;Endyr,0,VLOOKUP($A154,Tariff_Table,Tariff!$M$33))</f>
        <v>0.25</v>
      </c>
      <c r="G154" s="1609" t="n">
        <f aca="false">SUM(E154,F154)</f>
        <v>1.99250644935811</v>
      </c>
      <c r="H154" s="397" t="n">
        <f aca="false">VLOOKUP($A154,Plant_Table,'Plant Operations'!$T$270)</f>
        <v>2092866.048</v>
      </c>
      <c r="I154" s="1566" t="n">
        <f aca="false">G154*H154/1000</f>
        <v>4170.04909828262</v>
      </c>
      <c r="J154" s="1567" t="str">
        <f aca="false">IF(MONTH($A154)=12,SUM(I143:I154)," ")</f>
        <v> </v>
      </c>
      <c r="L154" s="1610" t="n">
        <f aca="false">IF($A154&lt;Startops2,0,VLOOKUP($A154,Tariff_Table,Tariff!$N$33))</f>
        <v>0</v>
      </c>
      <c r="M154" s="397" t="n">
        <f aca="false">H154</f>
        <v>2092866.048</v>
      </c>
      <c r="N154" s="1611" t="n">
        <f aca="false">L154*M154/1000</f>
        <v>0</v>
      </c>
      <c r="O154" s="1611" t="n">
        <f aca="false">IF($A154&gt;Endyr,0,VLOOKUP($A154,Tariff_Table,Tariff!$O$33))</f>
        <v>3259.74061</v>
      </c>
      <c r="P154" s="427" t="n">
        <f aca="false">VLOOKUP($A154,Curves_Table,Escalation!$AP$291)</f>
        <v>1.48180861051097</v>
      </c>
      <c r="Q154" s="1604" t="n">
        <f aca="false">SUM(N154,O154)*P154</f>
        <v>4830.31170393029</v>
      </c>
      <c r="R154" s="1579" t="str">
        <f aca="false">IF(MONTH($A154)=12,SUM(Q143:Q154)," ")</f>
        <v> </v>
      </c>
    </row>
    <row r="155" customFormat="false" ht="12.75" hidden="false" customHeight="false" outlineLevel="0" collapsed="false">
      <c r="A155" s="1538" t="n">
        <f aca="false">'Annex 12-Gas'!A155</f>
        <v>41306</v>
      </c>
      <c r="C155" s="488" t="n">
        <f aca="false">IF($A155&gt;Endyr,0,VLOOKUP($A155,Tariff_Table,Tariff!$L$33))</f>
        <v>1.21</v>
      </c>
      <c r="D155" s="427" t="n">
        <f aca="false">VLOOKUP($A155,Curves_Table,Escalation!$AL$291)</f>
        <v>1.44008797467612</v>
      </c>
      <c r="E155" s="1609" t="n">
        <f aca="false">C155*D155</f>
        <v>1.74250644935811</v>
      </c>
      <c r="F155" s="1314" t="n">
        <f aca="false">IF($A155&gt;Endyr,0,VLOOKUP($A155,Tariff_Table,Tariff!$M$33))</f>
        <v>0.25</v>
      </c>
      <c r="G155" s="1609" t="n">
        <f aca="false">SUM(E155,F155)</f>
        <v>1.99250644935811</v>
      </c>
      <c r="H155" s="397" t="n">
        <f aca="false">VLOOKUP($A155,Plant_Table,'Plant Operations'!$T$270)</f>
        <v>1890330.624</v>
      </c>
      <c r="I155" s="1566" t="n">
        <f aca="false">G155*H155/1000</f>
        <v>3766.49595973914</v>
      </c>
      <c r="J155" s="1567" t="str">
        <f aca="false">IF(MONTH($A155)=12,SUM(I144:I155)," ")</f>
        <v> </v>
      </c>
      <c r="L155" s="1610" t="n">
        <f aca="false">IF($A155&lt;Startops2,0,VLOOKUP($A155,Tariff_Table,Tariff!$N$33))</f>
        <v>0</v>
      </c>
      <c r="M155" s="397" t="n">
        <f aca="false">H155</f>
        <v>1890330.624</v>
      </c>
      <c r="N155" s="1611" t="n">
        <f aca="false">L155*M155/1000</f>
        <v>0</v>
      </c>
      <c r="O155" s="1611" t="n">
        <f aca="false">IF($A155&gt;Endyr,0,VLOOKUP($A155,Tariff_Table,Tariff!$O$33))</f>
        <v>3259.74061</v>
      </c>
      <c r="P155" s="427" t="n">
        <f aca="false">VLOOKUP($A155,Curves_Table,Escalation!$AP$291)</f>
        <v>1.48180861051097</v>
      </c>
      <c r="Q155" s="1604" t="n">
        <f aca="false">SUM(N155,O155)*P155</f>
        <v>4830.31170393029</v>
      </c>
      <c r="R155" s="1579" t="str">
        <f aca="false">IF(MONTH($A155)=12,SUM(Q144:Q155)," ")</f>
        <v> </v>
      </c>
    </row>
    <row r="156" customFormat="false" ht="12.75" hidden="false" customHeight="false" outlineLevel="0" collapsed="false">
      <c r="A156" s="1538" t="n">
        <f aca="false">'Annex 12-Gas'!A156</f>
        <v>41334</v>
      </c>
      <c r="C156" s="488" t="n">
        <f aca="false">IF($A156&gt;Endyr,0,VLOOKUP($A156,Tariff_Table,Tariff!$L$33))</f>
        <v>1.21</v>
      </c>
      <c r="D156" s="427" t="n">
        <f aca="false">VLOOKUP($A156,Curves_Table,Escalation!$AL$291)</f>
        <v>1.44008797467612</v>
      </c>
      <c r="E156" s="1609" t="n">
        <f aca="false">C156*D156</f>
        <v>1.74250644935811</v>
      </c>
      <c r="F156" s="1314" t="n">
        <f aca="false">IF($A156&gt;Endyr,0,VLOOKUP($A156,Tariff_Table,Tariff!$M$33))</f>
        <v>0.25</v>
      </c>
      <c r="G156" s="1609" t="n">
        <f aca="false">SUM(E156,F156)</f>
        <v>1.99250644935811</v>
      </c>
      <c r="H156" s="397" t="n">
        <f aca="false">VLOOKUP($A156,Plant_Table,'Plant Operations'!$T$270)</f>
        <v>2092866.048</v>
      </c>
      <c r="I156" s="1566" t="n">
        <f aca="false">G156*H156/1000</f>
        <v>4170.04909828262</v>
      </c>
      <c r="J156" s="1567" t="str">
        <f aca="false">IF(MONTH($A156)=12,SUM(I145:I156)," ")</f>
        <v> </v>
      </c>
      <c r="L156" s="1610" t="n">
        <f aca="false">IF($A156&lt;Startops2,0,VLOOKUP($A156,Tariff_Table,Tariff!$N$33))</f>
        <v>0</v>
      </c>
      <c r="M156" s="397" t="n">
        <f aca="false">H156</f>
        <v>2092866.048</v>
      </c>
      <c r="N156" s="1611" t="n">
        <f aca="false">L156*M156/1000</f>
        <v>0</v>
      </c>
      <c r="O156" s="1611" t="n">
        <f aca="false">IF($A156&gt;Endyr,0,VLOOKUP($A156,Tariff_Table,Tariff!$O$33))</f>
        <v>3259.74061</v>
      </c>
      <c r="P156" s="427" t="n">
        <f aca="false">VLOOKUP($A156,Curves_Table,Escalation!$AP$291)</f>
        <v>1.48180861051097</v>
      </c>
      <c r="Q156" s="1604" t="n">
        <f aca="false">SUM(N156,O156)*P156</f>
        <v>4830.31170393029</v>
      </c>
      <c r="R156" s="1579" t="str">
        <f aca="false">IF(MONTH($A156)=12,SUM(Q145:Q156)," ")</f>
        <v> </v>
      </c>
    </row>
    <row r="157" customFormat="false" ht="12.75" hidden="false" customHeight="false" outlineLevel="0" collapsed="false">
      <c r="A157" s="1538" t="n">
        <f aca="false">'Annex 12-Gas'!A157</f>
        <v>41365</v>
      </c>
      <c r="C157" s="488" t="n">
        <f aca="false">IF($A157&gt;Endyr,0,VLOOKUP($A157,Tariff_Table,Tariff!$L$33))</f>
        <v>1.21</v>
      </c>
      <c r="D157" s="427" t="n">
        <f aca="false">VLOOKUP($A157,Curves_Table,Escalation!$AL$291)</f>
        <v>1.44008797467612</v>
      </c>
      <c r="E157" s="1609" t="n">
        <f aca="false">C157*D157</f>
        <v>1.74250644935811</v>
      </c>
      <c r="F157" s="1314" t="n">
        <f aca="false">IF($A157&gt;Endyr,0,VLOOKUP($A157,Tariff_Table,Tariff!$M$33))</f>
        <v>0.25</v>
      </c>
      <c r="G157" s="1609" t="n">
        <f aca="false">SUM(E157,F157)</f>
        <v>1.99250644935811</v>
      </c>
      <c r="H157" s="397" t="n">
        <f aca="false">VLOOKUP($A157,Plant_Table,'Plant Operations'!$T$270)</f>
        <v>2025354.24</v>
      </c>
      <c r="I157" s="1566" t="n">
        <f aca="false">G157*H157/1000</f>
        <v>4035.53138543479</v>
      </c>
      <c r="J157" s="1567" t="str">
        <f aca="false">IF(MONTH($A157)=12,SUM(I146:I157)," ")</f>
        <v> </v>
      </c>
      <c r="L157" s="1610" t="n">
        <f aca="false">IF($A157&lt;Startops2,0,VLOOKUP($A157,Tariff_Table,Tariff!$N$33))</f>
        <v>0</v>
      </c>
      <c r="M157" s="397" t="n">
        <f aca="false">H157</f>
        <v>2025354.24</v>
      </c>
      <c r="N157" s="1611" t="n">
        <f aca="false">L157*M157/1000</f>
        <v>0</v>
      </c>
      <c r="O157" s="1611" t="n">
        <f aca="false">IF($A157&gt;Endyr,0,VLOOKUP($A157,Tariff_Table,Tariff!$O$33))</f>
        <v>3259.74061</v>
      </c>
      <c r="P157" s="427" t="n">
        <f aca="false">VLOOKUP($A157,Curves_Table,Escalation!$AP$291)</f>
        <v>1.48180861051097</v>
      </c>
      <c r="Q157" s="1604" t="n">
        <f aca="false">SUM(N157,O157)*P157</f>
        <v>4830.31170393029</v>
      </c>
      <c r="R157" s="1579" t="str">
        <f aca="false">IF(MONTH($A157)=12,SUM(Q146:Q157)," ")</f>
        <v> </v>
      </c>
    </row>
    <row r="158" customFormat="false" ht="12.75" hidden="false" customHeight="false" outlineLevel="0" collapsed="false">
      <c r="A158" s="1538" t="n">
        <f aca="false">'Annex 12-Gas'!A158</f>
        <v>41395</v>
      </c>
      <c r="C158" s="488" t="n">
        <f aca="false">IF($A158&gt;Endyr,0,VLOOKUP($A158,Tariff_Table,Tariff!$L$33))</f>
        <v>1.21</v>
      </c>
      <c r="D158" s="427" t="n">
        <f aca="false">VLOOKUP($A158,Curves_Table,Escalation!$AL$291)</f>
        <v>1.4726424201483</v>
      </c>
      <c r="E158" s="1609" t="n">
        <f aca="false">C158*D158</f>
        <v>1.78189732837944</v>
      </c>
      <c r="F158" s="1314" t="n">
        <f aca="false">IF($A158&gt;Endyr,0,VLOOKUP($A158,Tariff_Table,Tariff!$M$33))</f>
        <v>0.25</v>
      </c>
      <c r="G158" s="1609" t="n">
        <f aca="false">SUM(E158,F158)</f>
        <v>2.03189732837944</v>
      </c>
      <c r="H158" s="397" t="n">
        <f aca="false">VLOOKUP($A158,Plant_Table,'Plant Operations'!$T$270)</f>
        <v>2092866.048</v>
      </c>
      <c r="I158" s="1566" t="n">
        <f aca="false">G158*H158/1000</f>
        <v>4252.48893158724</v>
      </c>
      <c r="J158" s="1567" t="str">
        <f aca="false">IF(MONTH($A158)=12,SUM(I147:I158)," ")</f>
        <v> </v>
      </c>
      <c r="L158" s="1610" t="n">
        <f aca="false">IF($A158&lt;Startops2,0,VLOOKUP($A158,Tariff_Table,Tariff!$N$33))</f>
        <v>0</v>
      </c>
      <c r="M158" s="397" t="n">
        <f aca="false">H158</f>
        <v>2092866.048</v>
      </c>
      <c r="N158" s="1611" t="n">
        <f aca="false">L158*M158/1000</f>
        <v>0</v>
      </c>
      <c r="O158" s="1611" t="n">
        <f aca="false">IF($A158&gt;Endyr,0,VLOOKUP($A158,Tariff_Table,Tariff!$O$33))</f>
        <v>3261.47958</v>
      </c>
      <c r="P158" s="427" t="n">
        <f aca="false">VLOOKUP($A158,Curves_Table,Escalation!$AP$291)</f>
        <v>1.51901070889322</v>
      </c>
      <c r="Q158" s="1604" t="n">
        <f aca="false">SUM(N158,O158)*P158</f>
        <v>4954.22240885657</v>
      </c>
      <c r="R158" s="1579" t="str">
        <f aca="false">IF(MONTH($A158)=12,SUM(Q147:Q158)," ")</f>
        <v> </v>
      </c>
    </row>
    <row r="159" customFormat="false" ht="12.75" hidden="false" customHeight="false" outlineLevel="0" collapsed="false">
      <c r="A159" s="1538" t="n">
        <f aca="false">'Annex 12-Gas'!A159</f>
        <v>41426</v>
      </c>
      <c r="C159" s="488" t="n">
        <f aca="false">IF($A159&gt;Endyr,0,VLOOKUP($A159,Tariff_Table,Tariff!$L$33))</f>
        <v>1.21</v>
      </c>
      <c r="D159" s="427" t="n">
        <f aca="false">VLOOKUP($A159,Curves_Table,Escalation!$AL$291)</f>
        <v>1.4726424201483</v>
      </c>
      <c r="E159" s="1609" t="n">
        <f aca="false">C159*D159</f>
        <v>1.78189732837944</v>
      </c>
      <c r="F159" s="1314" t="n">
        <f aca="false">IF($A159&gt;Endyr,0,VLOOKUP($A159,Tariff_Table,Tariff!$M$33))</f>
        <v>0.25</v>
      </c>
      <c r="G159" s="1609" t="n">
        <f aca="false">SUM(E159,F159)</f>
        <v>2.03189732837944</v>
      </c>
      <c r="H159" s="397" t="n">
        <f aca="false">VLOOKUP($A159,Plant_Table,'Plant Operations'!$T$270)</f>
        <v>2025354.24</v>
      </c>
      <c r="I159" s="1566" t="n">
        <f aca="false">G159*H159/1000</f>
        <v>4115.31186927797</v>
      </c>
      <c r="J159" s="1567" t="str">
        <f aca="false">IF(MONTH($A159)=12,SUM(I148:I159)," ")</f>
        <v> </v>
      </c>
      <c r="L159" s="1610" t="n">
        <f aca="false">IF($A159&lt;Startops2,0,VLOOKUP($A159,Tariff_Table,Tariff!$N$33))</f>
        <v>0</v>
      </c>
      <c r="M159" s="397" t="n">
        <f aca="false">H159</f>
        <v>2025354.24</v>
      </c>
      <c r="N159" s="1611" t="n">
        <f aca="false">L159*M159/1000</f>
        <v>0</v>
      </c>
      <c r="O159" s="1611" t="n">
        <f aca="false">IF($A159&gt;Endyr,0,VLOOKUP($A159,Tariff_Table,Tariff!$O$33))</f>
        <v>3261.47958</v>
      </c>
      <c r="P159" s="427" t="n">
        <f aca="false">VLOOKUP($A159,Curves_Table,Escalation!$AP$291)</f>
        <v>1.51901070889322</v>
      </c>
      <c r="Q159" s="1604" t="n">
        <f aca="false">SUM(N159,O159)*P159</f>
        <v>4954.22240885657</v>
      </c>
      <c r="R159" s="1579" t="str">
        <f aca="false">IF(MONTH($A159)=12,SUM(Q148:Q159)," ")</f>
        <v> </v>
      </c>
    </row>
    <row r="160" customFormat="false" ht="12.75" hidden="false" customHeight="false" outlineLevel="0" collapsed="false">
      <c r="A160" s="1538" t="n">
        <f aca="false">'Annex 12-Gas'!A160</f>
        <v>41456</v>
      </c>
      <c r="C160" s="488" t="n">
        <f aca="false">IF($A160&gt;Endyr,0,VLOOKUP($A160,Tariff_Table,Tariff!$L$33))</f>
        <v>1.21</v>
      </c>
      <c r="D160" s="427" t="n">
        <f aca="false">VLOOKUP($A160,Curves_Table,Escalation!$AL$291)</f>
        <v>1.4726424201483</v>
      </c>
      <c r="E160" s="1609" t="n">
        <f aca="false">C160*D160</f>
        <v>1.78189732837944</v>
      </c>
      <c r="F160" s="1314" t="n">
        <f aca="false">IF($A160&gt;Endyr,0,VLOOKUP($A160,Tariff_Table,Tariff!$M$33))</f>
        <v>0.25</v>
      </c>
      <c r="G160" s="1609" t="n">
        <f aca="false">SUM(E160,F160)</f>
        <v>2.03189732837944</v>
      </c>
      <c r="H160" s="397" t="n">
        <f aca="false">VLOOKUP($A160,Plant_Table,'Plant Operations'!$T$270)</f>
        <v>2092866.048</v>
      </c>
      <c r="I160" s="1566" t="n">
        <f aca="false">G160*H160/1000</f>
        <v>4252.48893158724</v>
      </c>
      <c r="J160" s="1567" t="str">
        <f aca="false">IF(MONTH($A160)=12,SUM(I149:I160)," ")</f>
        <v> </v>
      </c>
      <c r="L160" s="1610" t="n">
        <f aca="false">IF($A160&lt;Startops2,0,VLOOKUP($A160,Tariff_Table,Tariff!$N$33))</f>
        <v>0</v>
      </c>
      <c r="M160" s="397" t="n">
        <f aca="false">H160</f>
        <v>2092866.048</v>
      </c>
      <c r="N160" s="1611" t="n">
        <f aca="false">L160*M160/1000</f>
        <v>0</v>
      </c>
      <c r="O160" s="1611" t="n">
        <f aca="false">IF($A160&gt;Endyr,0,VLOOKUP($A160,Tariff_Table,Tariff!$O$33))</f>
        <v>3261.47958</v>
      </c>
      <c r="P160" s="427" t="n">
        <f aca="false">VLOOKUP($A160,Curves_Table,Escalation!$AP$291)</f>
        <v>1.51901070889322</v>
      </c>
      <c r="Q160" s="1604" t="n">
        <f aca="false">SUM(N160,O160)*P160</f>
        <v>4954.22240885657</v>
      </c>
      <c r="R160" s="1579" t="str">
        <f aca="false">IF(MONTH($A160)=12,SUM(Q149:Q160)," ")</f>
        <v> </v>
      </c>
    </row>
    <row r="161" customFormat="false" ht="12.75" hidden="false" customHeight="false" outlineLevel="0" collapsed="false">
      <c r="A161" s="1538" t="n">
        <f aca="false">'Annex 12-Gas'!A161</f>
        <v>41487</v>
      </c>
      <c r="C161" s="488" t="n">
        <f aca="false">IF($A161&gt;Endyr,0,VLOOKUP($A161,Tariff_Table,Tariff!$L$33))</f>
        <v>1.21</v>
      </c>
      <c r="D161" s="427" t="n">
        <f aca="false">VLOOKUP($A161,Curves_Table,Escalation!$AL$291)</f>
        <v>1.4726424201483</v>
      </c>
      <c r="E161" s="1609" t="n">
        <f aca="false">C161*D161</f>
        <v>1.78189732837944</v>
      </c>
      <c r="F161" s="1314" t="n">
        <f aca="false">IF($A161&gt;Endyr,0,VLOOKUP($A161,Tariff_Table,Tariff!$M$33))</f>
        <v>0.25</v>
      </c>
      <c r="G161" s="1609" t="n">
        <f aca="false">SUM(E161,F161)</f>
        <v>2.03189732837944</v>
      </c>
      <c r="H161" s="397" t="n">
        <f aca="false">VLOOKUP($A161,Plant_Table,'Plant Operations'!$T$270)</f>
        <v>2092866.048</v>
      </c>
      <c r="I161" s="1566" t="n">
        <f aca="false">G161*H161/1000</f>
        <v>4252.48893158724</v>
      </c>
      <c r="J161" s="1567" t="str">
        <f aca="false">IF(MONTH($A161)=12,SUM(I150:I161)," ")</f>
        <v> </v>
      </c>
      <c r="L161" s="1610" t="n">
        <f aca="false">IF($A161&lt;Startops2,0,VLOOKUP($A161,Tariff_Table,Tariff!$N$33))</f>
        <v>0</v>
      </c>
      <c r="M161" s="397" t="n">
        <f aca="false">H161</f>
        <v>2092866.048</v>
      </c>
      <c r="N161" s="1611" t="n">
        <f aca="false">L161*M161/1000</f>
        <v>0</v>
      </c>
      <c r="O161" s="1611" t="n">
        <f aca="false">IF($A161&gt;Endyr,0,VLOOKUP($A161,Tariff_Table,Tariff!$O$33))</f>
        <v>3261.47958</v>
      </c>
      <c r="P161" s="427" t="n">
        <f aca="false">VLOOKUP($A161,Curves_Table,Escalation!$AP$291)</f>
        <v>1.51901070889322</v>
      </c>
      <c r="Q161" s="1604" t="n">
        <f aca="false">SUM(N161,O161)*P161</f>
        <v>4954.22240885657</v>
      </c>
      <c r="R161" s="1579" t="str">
        <f aca="false">IF(MONTH($A161)=12,SUM(Q150:Q161)," ")</f>
        <v> </v>
      </c>
    </row>
    <row r="162" customFormat="false" ht="12.75" hidden="false" customHeight="false" outlineLevel="0" collapsed="false">
      <c r="A162" s="1538" t="n">
        <f aca="false">'Annex 12-Gas'!A162</f>
        <v>41518</v>
      </c>
      <c r="C162" s="488" t="n">
        <f aca="false">IF($A162&gt;Endyr,0,VLOOKUP($A162,Tariff_Table,Tariff!$L$33))</f>
        <v>1.21</v>
      </c>
      <c r="D162" s="427" t="n">
        <f aca="false">VLOOKUP($A162,Curves_Table,Escalation!$AL$291)</f>
        <v>1.4726424201483</v>
      </c>
      <c r="E162" s="1609" t="n">
        <f aca="false">C162*D162</f>
        <v>1.78189732837944</v>
      </c>
      <c r="F162" s="1314" t="n">
        <f aca="false">IF($A162&gt;Endyr,0,VLOOKUP($A162,Tariff_Table,Tariff!$M$33))</f>
        <v>0.25</v>
      </c>
      <c r="G162" s="1609" t="n">
        <f aca="false">SUM(E162,F162)</f>
        <v>2.03189732837944</v>
      </c>
      <c r="H162" s="397" t="n">
        <f aca="false">VLOOKUP($A162,Plant_Table,'Plant Operations'!$T$270)</f>
        <v>2025354.24</v>
      </c>
      <c r="I162" s="1566" t="n">
        <f aca="false">G162*H162/1000</f>
        <v>4115.31186927797</v>
      </c>
      <c r="J162" s="1567" t="str">
        <f aca="false">IF(MONTH($A162)=12,SUM(I151:I162)," ")</f>
        <v> </v>
      </c>
      <c r="L162" s="1610" t="n">
        <f aca="false">IF($A162&lt;Startops2,0,VLOOKUP($A162,Tariff_Table,Tariff!$N$33))</f>
        <v>0</v>
      </c>
      <c r="M162" s="397" t="n">
        <f aca="false">H162</f>
        <v>2025354.24</v>
      </c>
      <c r="N162" s="1611" t="n">
        <f aca="false">L162*M162/1000</f>
        <v>0</v>
      </c>
      <c r="O162" s="1611" t="n">
        <f aca="false">IF($A162&gt;Endyr,0,VLOOKUP($A162,Tariff_Table,Tariff!$O$33))</f>
        <v>3261.47958</v>
      </c>
      <c r="P162" s="427" t="n">
        <f aca="false">VLOOKUP($A162,Curves_Table,Escalation!$AP$291)</f>
        <v>1.51901070889322</v>
      </c>
      <c r="Q162" s="1604" t="n">
        <f aca="false">SUM(N162,O162)*P162</f>
        <v>4954.22240885657</v>
      </c>
      <c r="R162" s="1579" t="str">
        <f aca="false">IF(MONTH($A162)=12,SUM(Q151:Q162)," ")</f>
        <v> </v>
      </c>
    </row>
    <row r="163" customFormat="false" ht="12.75" hidden="false" customHeight="false" outlineLevel="0" collapsed="false">
      <c r="A163" s="1538" t="n">
        <f aca="false">'Annex 12-Gas'!A163</f>
        <v>41548</v>
      </c>
      <c r="C163" s="488" t="n">
        <f aca="false">IF($A163&gt;Endyr,0,VLOOKUP($A163,Tariff_Table,Tariff!$L$33))</f>
        <v>1.21</v>
      </c>
      <c r="D163" s="427" t="n">
        <f aca="false">VLOOKUP($A163,Curves_Table,Escalation!$AL$291)</f>
        <v>1.4726424201483</v>
      </c>
      <c r="E163" s="1609" t="n">
        <f aca="false">C163*D163</f>
        <v>1.78189732837944</v>
      </c>
      <c r="F163" s="1314" t="n">
        <f aca="false">IF($A163&gt;Endyr,0,VLOOKUP($A163,Tariff_Table,Tariff!$M$33))</f>
        <v>0.25</v>
      </c>
      <c r="G163" s="1609" t="n">
        <f aca="false">SUM(E163,F163)</f>
        <v>2.03189732837944</v>
      </c>
      <c r="H163" s="397" t="n">
        <f aca="false">VLOOKUP($A163,Plant_Table,'Plant Operations'!$T$270)</f>
        <v>2092866.048</v>
      </c>
      <c r="I163" s="1566" t="n">
        <f aca="false">G163*H163/1000</f>
        <v>4252.48893158724</v>
      </c>
      <c r="J163" s="1567" t="str">
        <f aca="false">IF(MONTH($A163)=12,SUM(I152:I163)," ")</f>
        <v> </v>
      </c>
      <c r="L163" s="1610" t="n">
        <f aca="false">IF($A163&lt;Startops2,0,VLOOKUP($A163,Tariff_Table,Tariff!$N$33))</f>
        <v>0</v>
      </c>
      <c r="M163" s="397" t="n">
        <f aca="false">H163</f>
        <v>2092866.048</v>
      </c>
      <c r="N163" s="1611" t="n">
        <f aca="false">L163*M163/1000</f>
        <v>0</v>
      </c>
      <c r="O163" s="1611" t="n">
        <f aca="false">IF($A163&gt;Endyr,0,VLOOKUP($A163,Tariff_Table,Tariff!$O$33))</f>
        <v>3261.47958</v>
      </c>
      <c r="P163" s="427" t="n">
        <f aca="false">VLOOKUP($A163,Curves_Table,Escalation!$AP$291)</f>
        <v>1.51901070889322</v>
      </c>
      <c r="Q163" s="1604" t="n">
        <f aca="false">SUM(N163,O163)*P163</f>
        <v>4954.22240885657</v>
      </c>
      <c r="R163" s="1579" t="str">
        <f aca="false">IF(MONTH($A163)=12,SUM(Q152:Q163)," ")</f>
        <v> </v>
      </c>
    </row>
    <row r="164" customFormat="false" ht="12.75" hidden="false" customHeight="false" outlineLevel="0" collapsed="false">
      <c r="A164" s="1538" t="n">
        <f aca="false">'Annex 12-Gas'!A164</f>
        <v>41579</v>
      </c>
      <c r="C164" s="488" t="n">
        <f aca="false">IF($A164&gt;Endyr,0,VLOOKUP($A164,Tariff_Table,Tariff!$L$33))</f>
        <v>1.21</v>
      </c>
      <c r="D164" s="427" t="n">
        <f aca="false">VLOOKUP($A164,Curves_Table,Escalation!$AL$291)</f>
        <v>1.4726424201483</v>
      </c>
      <c r="E164" s="1609" t="n">
        <f aca="false">C164*D164</f>
        <v>1.78189732837944</v>
      </c>
      <c r="F164" s="1314" t="n">
        <f aca="false">IF($A164&gt;Endyr,0,VLOOKUP($A164,Tariff_Table,Tariff!$M$33))</f>
        <v>0.25</v>
      </c>
      <c r="G164" s="1609" t="n">
        <f aca="false">SUM(E164,F164)</f>
        <v>2.03189732837944</v>
      </c>
      <c r="H164" s="397" t="n">
        <f aca="false">VLOOKUP($A164,Plant_Table,'Plant Operations'!$T$270)</f>
        <v>2025354.24</v>
      </c>
      <c r="I164" s="1566" t="n">
        <f aca="false">G164*H164/1000</f>
        <v>4115.31186927797</v>
      </c>
      <c r="J164" s="1567" t="str">
        <f aca="false">IF(MONTH($A164)=12,SUM(I153:I164)," ")</f>
        <v> </v>
      </c>
      <c r="L164" s="1610" t="n">
        <f aca="false">IF($A164&lt;Startops2,0,VLOOKUP($A164,Tariff_Table,Tariff!$N$33))</f>
        <v>0</v>
      </c>
      <c r="M164" s="397" t="n">
        <f aca="false">H164</f>
        <v>2025354.24</v>
      </c>
      <c r="N164" s="1611" t="n">
        <f aca="false">L164*M164/1000</f>
        <v>0</v>
      </c>
      <c r="O164" s="1611" t="n">
        <f aca="false">IF($A164&gt;Endyr,0,VLOOKUP($A164,Tariff_Table,Tariff!$O$33))</f>
        <v>3261.47958</v>
      </c>
      <c r="P164" s="427" t="n">
        <f aca="false">VLOOKUP($A164,Curves_Table,Escalation!$AP$291)</f>
        <v>1.51901070889322</v>
      </c>
      <c r="Q164" s="1604" t="n">
        <f aca="false">SUM(N164,O164)*P164</f>
        <v>4954.22240885657</v>
      </c>
      <c r="R164" s="1579" t="str">
        <f aca="false">IF(MONTH($A164)=12,SUM(Q153:Q164)," ")</f>
        <v> </v>
      </c>
    </row>
    <row r="165" customFormat="false" ht="12.75" hidden="false" customHeight="false" outlineLevel="0" collapsed="false">
      <c r="A165" s="1538" t="n">
        <f aca="false">'Annex 12-Gas'!A165</f>
        <v>41609</v>
      </c>
      <c r="C165" s="488" t="n">
        <f aca="false">IF($A165&gt;Endyr,0,VLOOKUP($A165,Tariff_Table,Tariff!$L$33))</f>
        <v>1.21</v>
      </c>
      <c r="D165" s="427" t="n">
        <f aca="false">VLOOKUP($A165,Curves_Table,Escalation!$AL$291)</f>
        <v>1.4726424201483</v>
      </c>
      <c r="E165" s="1609" t="n">
        <f aca="false">C165*D165</f>
        <v>1.78189732837944</v>
      </c>
      <c r="F165" s="1314" t="n">
        <f aca="false">IF($A165&gt;Endyr,0,VLOOKUP($A165,Tariff_Table,Tariff!$M$33))</f>
        <v>0.25</v>
      </c>
      <c r="G165" s="1609" t="n">
        <f aca="false">SUM(E165,F165)</f>
        <v>2.03189732837944</v>
      </c>
      <c r="H165" s="397" t="n">
        <f aca="false">VLOOKUP($A165,Plant_Table,'Plant Operations'!$T$270)</f>
        <v>2092866.048</v>
      </c>
      <c r="I165" s="1566" t="n">
        <f aca="false">G165*H165/1000</f>
        <v>4252.48893158724</v>
      </c>
      <c r="J165" s="1567" t="n">
        <f aca="false">IF(MONTH($A165)=12,SUM(I154:I165)," ")</f>
        <v>49750.5058075092</v>
      </c>
      <c r="L165" s="1610" t="n">
        <f aca="false">IF($A165&lt;Startops2,0,VLOOKUP($A165,Tariff_Table,Tariff!$N$33))</f>
        <v>0</v>
      </c>
      <c r="M165" s="397" t="n">
        <f aca="false">H165</f>
        <v>2092866.048</v>
      </c>
      <c r="N165" s="1611" t="n">
        <f aca="false">L165*M165/1000</f>
        <v>0</v>
      </c>
      <c r="O165" s="1611" t="n">
        <f aca="false">IF($A165&gt;Endyr,0,VLOOKUP($A165,Tariff_Table,Tariff!$O$33))</f>
        <v>3261.47958</v>
      </c>
      <c r="P165" s="427" t="n">
        <f aca="false">VLOOKUP($A165,Curves_Table,Escalation!$AP$291)</f>
        <v>1.51901070889322</v>
      </c>
      <c r="Q165" s="1604" t="n">
        <f aca="false">SUM(N165,O165)*P165</f>
        <v>4954.22240885657</v>
      </c>
      <c r="R165" s="1579" t="n">
        <f aca="false">IF(MONTH($A165)=12,SUM(Q154:Q165)," ")</f>
        <v>58955.0260865737</v>
      </c>
    </row>
    <row r="166" customFormat="false" ht="12.75" hidden="false" customHeight="false" outlineLevel="0" collapsed="false">
      <c r="A166" s="1538" t="n">
        <f aca="false">'Annex 12-Gas'!A166</f>
        <v>41640</v>
      </c>
      <c r="C166" s="488" t="n">
        <f aca="false">IF($A166&gt;Endyr,0,VLOOKUP($A166,Tariff_Table,Tariff!$L$33))</f>
        <v>1.21</v>
      </c>
      <c r="D166" s="427" t="n">
        <f aca="false">VLOOKUP($A166,Curves_Table,Escalation!$AL$291)</f>
        <v>1.4726424201483</v>
      </c>
      <c r="E166" s="1609" t="n">
        <f aca="false">C166*D166</f>
        <v>1.78189732837944</v>
      </c>
      <c r="F166" s="1314" t="n">
        <f aca="false">IF($A166&gt;Endyr,0,VLOOKUP($A166,Tariff_Table,Tariff!$M$33))</f>
        <v>0.25</v>
      </c>
      <c r="G166" s="1609" t="n">
        <f aca="false">SUM(E166,F166)</f>
        <v>2.03189732837944</v>
      </c>
      <c r="H166" s="397" t="n">
        <f aca="false">VLOOKUP($A166,Plant_Table,'Plant Operations'!$T$270)</f>
        <v>2092866.048</v>
      </c>
      <c r="I166" s="1566" t="n">
        <f aca="false">G166*H166/1000</f>
        <v>4252.48893158724</v>
      </c>
      <c r="J166" s="1567" t="str">
        <f aca="false">IF(MONTH($A166)=12,SUM(I155:I166)," ")</f>
        <v> </v>
      </c>
      <c r="L166" s="1610" t="n">
        <f aca="false">IF($A166&lt;Startops2,0,VLOOKUP($A166,Tariff_Table,Tariff!$N$33))</f>
        <v>0</v>
      </c>
      <c r="M166" s="397" t="n">
        <f aca="false">H166</f>
        <v>2092866.048</v>
      </c>
      <c r="N166" s="1611" t="n">
        <f aca="false">L166*M166/1000</f>
        <v>0</v>
      </c>
      <c r="O166" s="1611" t="n">
        <f aca="false">IF($A166&gt;Endyr,0,VLOOKUP($A166,Tariff_Table,Tariff!$O$33))</f>
        <v>3261.47958</v>
      </c>
      <c r="P166" s="427" t="n">
        <f aca="false">VLOOKUP($A166,Curves_Table,Escalation!$AP$291)</f>
        <v>1.51901070889322</v>
      </c>
      <c r="Q166" s="1604" t="n">
        <f aca="false">SUM(N166,O166)*P166</f>
        <v>4954.22240885657</v>
      </c>
      <c r="R166" s="1579" t="str">
        <f aca="false">IF(MONTH($A166)=12,SUM(Q155:Q166)," ")</f>
        <v> </v>
      </c>
    </row>
    <row r="167" customFormat="false" ht="12.75" hidden="false" customHeight="false" outlineLevel="0" collapsed="false">
      <c r="A167" s="1538" t="n">
        <f aca="false">'Annex 12-Gas'!A167</f>
        <v>41671</v>
      </c>
      <c r="C167" s="488" t="n">
        <f aca="false">IF($A167&gt;Endyr,0,VLOOKUP($A167,Tariff_Table,Tariff!$L$33))</f>
        <v>1.21</v>
      </c>
      <c r="D167" s="427" t="n">
        <f aca="false">VLOOKUP($A167,Curves_Table,Escalation!$AL$291)</f>
        <v>1.4726424201483</v>
      </c>
      <c r="E167" s="1609" t="n">
        <f aca="false">C167*D167</f>
        <v>1.78189732837944</v>
      </c>
      <c r="F167" s="1314" t="n">
        <f aca="false">IF($A167&gt;Endyr,0,VLOOKUP($A167,Tariff_Table,Tariff!$M$33))</f>
        <v>0.25</v>
      </c>
      <c r="G167" s="1609" t="n">
        <f aca="false">SUM(E167,F167)</f>
        <v>2.03189732837944</v>
      </c>
      <c r="H167" s="397" t="n">
        <f aca="false">VLOOKUP($A167,Plant_Table,'Plant Operations'!$T$270)</f>
        <v>1890330.624</v>
      </c>
      <c r="I167" s="1566" t="n">
        <f aca="false">G167*H167/1000</f>
        <v>3840.95774465944</v>
      </c>
      <c r="J167" s="1567" t="str">
        <f aca="false">IF(MONTH($A167)=12,SUM(I156:I167)," ")</f>
        <v> </v>
      </c>
      <c r="L167" s="1610" t="n">
        <f aca="false">IF($A167&lt;Startops2,0,VLOOKUP($A167,Tariff_Table,Tariff!$N$33))</f>
        <v>0</v>
      </c>
      <c r="M167" s="397" t="n">
        <f aca="false">H167</f>
        <v>1890330.624</v>
      </c>
      <c r="N167" s="1611" t="n">
        <f aca="false">L167*M167/1000</f>
        <v>0</v>
      </c>
      <c r="O167" s="1611" t="n">
        <f aca="false">IF($A167&gt;Endyr,0,VLOOKUP($A167,Tariff_Table,Tariff!$O$33))</f>
        <v>3261.47958</v>
      </c>
      <c r="P167" s="427" t="n">
        <f aca="false">VLOOKUP($A167,Curves_Table,Escalation!$AP$291)</f>
        <v>1.51901070889322</v>
      </c>
      <c r="Q167" s="1604" t="n">
        <f aca="false">SUM(N167,O167)*P167</f>
        <v>4954.22240885657</v>
      </c>
      <c r="R167" s="1579" t="str">
        <f aca="false">IF(MONTH($A167)=12,SUM(Q156:Q167)," ")</f>
        <v> </v>
      </c>
    </row>
    <row r="168" customFormat="false" ht="12.75" hidden="false" customHeight="false" outlineLevel="0" collapsed="false">
      <c r="A168" s="1538" t="n">
        <f aca="false">'Annex 12-Gas'!A168</f>
        <v>41699</v>
      </c>
      <c r="C168" s="488" t="n">
        <f aca="false">IF($A168&gt;Endyr,0,VLOOKUP($A168,Tariff_Table,Tariff!$L$33))</f>
        <v>1.21</v>
      </c>
      <c r="D168" s="427" t="n">
        <f aca="false">VLOOKUP($A168,Curves_Table,Escalation!$AL$291)</f>
        <v>1.4726424201483</v>
      </c>
      <c r="E168" s="1609" t="n">
        <f aca="false">C168*D168</f>
        <v>1.78189732837944</v>
      </c>
      <c r="F168" s="1314" t="n">
        <f aca="false">IF($A168&gt;Endyr,0,VLOOKUP($A168,Tariff_Table,Tariff!$M$33))</f>
        <v>0.25</v>
      </c>
      <c r="G168" s="1609" t="n">
        <f aca="false">SUM(E168,F168)</f>
        <v>2.03189732837944</v>
      </c>
      <c r="H168" s="397" t="n">
        <f aca="false">VLOOKUP($A168,Plant_Table,'Plant Operations'!$T$270)</f>
        <v>2092866.048</v>
      </c>
      <c r="I168" s="1566" t="n">
        <f aca="false">G168*H168/1000</f>
        <v>4252.48893158724</v>
      </c>
      <c r="J168" s="1567" t="str">
        <f aca="false">IF(MONTH($A168)=12,SUM(I157:I168)," ")</f>
        <v> </v>
      </c>
      <c r="L168" s="1610" t="n">
        <f aca="false">IF($A168&lt;Startops2,0,VLOOKUP($A168,Tariff_Table,Tariff!$N$33))</f>
        <v>0</v>
      </c>
      <c r="M168" s="397" t="n">
        <f aca="false">H168</f>
        <v>2092866.048</v>
      </c>
      <c r="N168" s="1611" t="n">
        <f aca="false">L168*M168/1000</f>
        <v>0</v>
      </c>
      <c r="O168" s="1611" t="n">
        <f aca="false">IF($A168&gt;Endyr,0,VLOOKUP($A168,Tariff_Table,Tariff!$O$33))</f>
        <v>3261.47958</v>
      </c>
      <c r="P168" s="427" t="n">
        <f aca="false">VLOOKUP($A168,Curves_Table,Escalation!$AP$291)</f>
        <v>1.51901070889322</v>
      </c>
      <c r="Q168" s="1604" t="n">
        <f aca="false">SUM(N168,O168)*P168</f>
        <v>4954.22240885657</v>
      </c>
      <c r="R168" s="1579" t="str">
        <f aca="false">IF(MONTH($A168)=12,SUM(Q157:Q168)," ")</f>
        <v> </v>
      </c>
    </row>
    <row r="169" customFormat="false" ht="12.75" hidden="false" customHeight="false" outlineLevel="0" collapsed="false">
      <c r="A169" s="1538" t="n">
        <f aca="false">'Annex 12-Gas'!A169</f>
        <v>41730</v>
      </c>
      <c r="C169" s="488" t="n">
        <f aca="false">IF($A169&gt;Endyr,0,VLOOKUP($A169,Tariff_Table,Tariff!$L$33))</f>
        <v>1.21</v>
      </c>
      <c r="D169" s="427" t="n">
        <f aca="false">VLOOKUP($A169,Curves_Table,Escalation!$AL$291)</f>
        <v>1.4726424201483</v>
      </c>
      <c r="E169" s="1609" t="n">
        <f aca="false">C169*D169</f>
        <v>1.78189732837944</v>
      </c>
      <c r="F169" s="1314" t="n">
        <f aca="false">IF($A169&gt;Endyr,0,VLOOKUP($A169,Tariff_Table,Tariff!$M$33))</f>
        <v>0.25</v>
      </c>
      <c r="G169" s="1609" t="n">
        <f aca="false">SUM(E169,F169)</f>
        <v>2.03189732837944</v>
      </c>
      <c r="H169" s="397" t="n">
        <f aca="false">VLOOKUP($A169,Plant_Table,'Plant Operations'!$T$270)</f>
        <v>2025354.24</v>
      </c>
      <c r="I169" s="1566" t="n">
        <f aca="false">G169*H169/1000</f>
        <v>4115.31186927797</v>
      </c>
      <c r="J169" s="1567" t="str">
        <f aca="false">IF(MONTH($A169)=12,SUM(I158:I169)," ")</f>
        <v> </v>
      </c>
      <c r="L169" s="1610" t="n">
        <f aca="false">IF($A169&lt;Startops2,0,VLOOKUP($A169,Tariff_Table,Tariff!$N$33))</f>
        <v>0</v>
      </c>
      <c r="M169" s="397" t="n">
        <f aca="false">H169</f>
        <v>2025354.24</v>
      </c>
      <c r="N169" s="1611" t="n">
        <f aca="false">L169*M169/1000</f>
        <v>0</v>
      </c>
      <c r="O169" s="1611" t="n">
        <f aca="false">IF($A169&gt;Endyr,0,VLOOKUP($A169,Tariff_Table,Tariff!$O$33))</f>
        <v>3261.47958</v>
      </c>
      <c r="P169" s="427" t="n">
        <f aca="false">VLOOKUP($A169,Curves_Table,Escalation!$AP$291)</f>
        <v>1.51901070889322</v>
      </c>
      <c r="Q169" s="1604" t="n">
        <f aca="false">SUM(N169,O169)*P169</f>
        <v>4954.22240885657</v>
      </c>
      <c r="R169" s="1579" t="str">
        <f aca="false">IF(MONTH($A169)=12,SUM(Q158:Q169)," ")</f>
        <v> </v>
      </c>
    </row>
    <row r="170" customFormat="false" ht="12.75" hidden="false" customHeight="false" outlineLevel="0" collapsed="false">
      <c r="A170" s="1538" t="n">
        <f aca="false">'Annex 12-Gas'!A170</f>
        <v>41760</v>
      </c>
      <c r="C170" s="488" t="n">
        <f aca="false">IF($A170&gt;Endyr,0,VLOOKUP($A170,Tariff_Table,Tariff!$L$33))</f>
        <v>1.21</v>
      </c>
      <c r="D170" s="427" t="n">
        <f aca="false">VLOOKUP($A170,Curves_Table,Escalation!$AL$291)</f>
        <v>1.5061761575234</v>
      </c>
      <c r="E170" s="1609" t="n">
        <f aca="false">C170*D170</f>
        <v>1.82247315060331</v>
      </c>
      <c r="F170" s="1314" t="n">
        <f aca="false">IF($A170&gt;Endyr,0,VLOOKUP($A170,Tariff_Table,Tariff!$M$33))</f>
        <v>0.25</v>
      </c>
      <c r="G170" s="1609" t="n">
        <f aca="false">SUM(E170,F170)</f>
        <v>2.07247315060331</v>
      </c>
      <c r="H170" s="397" t="n">
        <f aca="false">VLOOKUP($A170,Plant_Table,'Plant Operations'!$T$270)</f>
        <v>2092866.048</v>
      </c>
      <c r="I170" s="1566" t="n">
        <f aca="false">G170*H170/1000</f>
        <v>4337.40869228926</v>
      </c>
      <c r="J170" s="1567" t="str">
        <f aca="false">IF(MONTH($A170)=12,SUM(I159:I170)," ")</f>
        <v> </v>
      </c>
      <c r="L170" s="1610" t="n">
        <f aca="false">IF($A170&lt;Startops2,0,VLOOKUP($A170,Tariff_Table,Tariff!$N$33))</f>
        <v>0</v>
      </c>
      <c r="M170" s="397" t="n">
        <f aca="false">H170</f>
        <v>2092866.048</v>
      </c>
      <c r="N170" s="1611" t="n">
        <f aca="false">L170*M170/1000</f>
        <v>0</v>
      </c>
      <c r="O170" s="1611" t="n">
        <f aca="false">IF($A170&gt;Endyr,0,VLOOKUP($A170,Tariff_Table,Tariff!$O$33))</f>
        <v>3257.6285</v>
      </c>
      <c r="P170" s="427" t="n">
        <f aca="false">VLOOKUP($A170,Curves_Table,Escalation!$AP$291)</f>
        <v>1.55739783154092</v>
      </c>
      <c r="Q170" s="1604" t="n">
        <f aca="false">SUM(N170,O170)*P170</f>
        <v>5073.42356186589</v>
      </c>
      <c r="R170" s="1579" t="str">
        <f aca="false">IF(MONTH($A170)=12,SUM(Q159:Q170)," ")</f>
        <v> </v>
      </c>
    </row>
    <row r="171" customFormat="false" ht="12.75" hidden="false" customHeight="false" outlineLevel="0" collapsed="false">
      <c r="A171" s="1538" t="n">
        <f aca="false">'Annex 12-Gas'!A171</f>
        <v>41791</v>
      </c>
      <c r="C171" s="488" t="n">
        <f aca="false">IF($A171&gt;Endyr,0,VLOOKUP($A171,Tariff_Table,Tariff!$L$33))</f>
        <v>1.21</v>
      </c>
      <c r="D171" s="427" t="n">
        <f aca="false">VLOOKUP($A171,Curves_Table,Escalation!$AL$291)</f>
        <v>1.5061761575234</v>
      </c>
      <c r="E171" s="1609" t="n">
        <f aca="false">C171*D171</f>
        <v>1.82247315060331</v>
      </c>
      <c r="F171" s="1314" t="n">
        <f aca="false">IF($A171&gt;Endyr,0,VLOOKUP($A171,Tariff_Table,Tariff!$M$33))</f>
        <v>0.25</v>
      </c>
      <c r="G171" s="1609" t="n">
        <f aca="false">SUM(E171,F171)</f>
        <v>2.07247315060331</v>
      </c>
      <c r="H171" s="397" t="n">
        <f aca="false">VLOOKUP($A171,Plant_Table,'Plant Operations'!$T$270)</f>
        <v>2025354.24</v>
      </c>
      <c r="I171" s="1566" t="n">
        <f aca="false">G171*H171/1000</f>
        <v>4197.49228286058</v>
      </c>
      <c r="J171" s="1567" t="str">
        <f aca="false">IF(MONTH($A171)=12,SUM(I160:I171)," ")</f>
        <v> </v>
      </c>
      <c r="L171" s="1610" t="n">
        <f aca="false">IF($A171&lt;Startops2,0,VLOOKUP($A171,Tariff_Table,Tariff!$N$33))</f>
        <v>0</v>
      </c>
      <c r="M171" s="397" t="n">
        <f aca="false">H171</f>
        <v>2025354.24</v>
      </c>
      <c r="N171" s="1611" t="n">
        <f aca="false">L171*M171/1000</f>
        <v>0</v>
      </c>
      <c r="O171" s="1611" t="n">
        <f aca="false">IF($A171&gt;Endyr,0,VLOOKUP($A171,Tariff_Table,Tariff!$O$33))</f>
        <v>3257.6285</v>
      </c>
      <c r="P171" s="427" t="n">
        <f aca="false">VLOOKUP($A171,Curves_Table,Escalation!$AP$291)</f>
        <v>1.55739783154092</v>
      </c>
      <c r="Q171" s="1604" t="n">
        <f aca="false">SUM(N171,O171)*P171</f>
        <v>5073.42356186589</v>
      </c>
      <c r="R171" s="1579" t="str">
        <f aca="false">IF(MONTH($A171)=12,SUM(Q160:Q171)," ")</f>
        <v> </v>
      </c>
    </row>
    <row r="172" customFormat="false" ht="12.75" hidden="false" customHeight="false" outlineLevel="0" collapsed="false">
      <c r="A172" s="1538" t="n">
        <f aca="false">'Annex 12-Gas'!A172</f>
        <v>41821</v>
      </c>
      <c r="C172" s="488" t="n">
        <f aca="false">IF($A172&gt;Endyr,0,VLOOKUP($A172,Tariff_Table,Tariff!$L$33))</f>
        <v>1.21</v>
      </c>
      <c r="D172" s="427" t="n">
        <f aca="false">VLOOKUP($A172,Curves_Table,Escalation!$AL$291)</f>
        <v>1.5061761575234</v>
      </c>
      <c r="E172" s="1609" t="n">
        <f aca="false">C172*D172</f>
        <v>1.82247315060331</v>
      </c>
      <c r="F172" s="1314" t="n">
        <f aca="false">IF($A172&gt;Endyr,0,VLOOKUP($A172,Tariff_Table,Tariff!$M$33))</f>
        <v>0.25</v>
      </c>
      <c r="G172" s="1609" t="n">
        <f aca="false">SUM(E172,F172)</f>
        <v>2.07247315060331</v>
      </c>
      <c r="H172" s="397" t="n">
        <f aca="false">VLOOKUP($A172,Plant_Table,'Plant Operations'!$T$270)</f>
        <v>2092866.048</v>
      </c>
      <c r="I172" s="1566" t="n">
        <f aca="false">G172*H172/1000</f>
        <v>4337.40869228926</v>
      </c>
      <c r="J172" s="1567" t="str">
        <f aca="false">IF(MONTH($A172)=12,SUM(I161:I172)," ")</f>
        <v> </v>
      </c>
      <c r="L172" s="1610" t="n">
        <f aca="false">IF($A172&lt;Startops2,0,VLOOKUP($A172,Tariff_Table,Tariff!$N$33))</f>
        <v>0</v>
      </c>
      <c r="M172" s="397" t="n">
        <f aca="false">H172</f>
        <v>2092866.048</v>
      </c>
      <c r="N172" s="1611" t="n">
        <f aca="false">L172*M172/1000</f>
        <v>0</v>
      </c>
      <c r="O172" s="1611" t="n">
        <f aca="false">IF($A172&gt;Endyr,0,VLOOKUP($A172,Tariff_Table,Tariff!$O$33))</f>
        <v>3257.6285</v>
      </c>
      <c r="P172" s="427" t="n">
        <f aca="false">VLOOKUP($A172,Curves_Table,Escalation!$AP$291)</f>
        <v>1.55739783154092</v>
      </c>
      <c r="Q172" s="1604" t="n">
        <f aca="false">SUM(N172,O172)*P172</f>
        <v>5073.42356186589</v>
      </c>
      <c r="R172" s="1579" t="str">
        <f aca="false">IF(MONTH($A172)=12,SUM(Q161:Q172)," ")</f>
        <v> </v>
      </c>
    </row>
    <row r="173" customFormat="false" ht="12.75" hidden="false" customHeight="false" outlineLevel="0" collapsed="false">
      <c r="A173" s="1538" t="n">
        <f aca="false">'Annex 12-Gas'!A173</f>
        <v>41852</v>
      </c>
      <c r="C173" s="488" t="n">
        <f aca="false">IF($A173&gt;Endyr,0,VLOOKUP($A173,Tariff_Table,Tariff!$L$33))</f>
        <v>1.21</v>
      </c>
      <c r="D173" s="427" t="n">
        <f aca="false">VLOOKUP($A173,Curves_Table,Escalation!$AL$291)</f>
        <v>1.5061761575234</v>
      </c>
      <c r="E173" s="1609" t="n">
        <f aca="false">C173*D173</f>
        <v>1.82247315060331</v>
      </c>
      <c r="F173" s="1314" t="n">
        <f aca="false">IF($A173&gt;Endyr,0,VLOOKUP($A173,Tariff_Table,Tariff!$M$33))</f>
        <v>0.25</v>
      </c>
      <c r="G173" s="1609" t="n">
        <f aca="false">SUM(E173,F173)</f>
        <v>2.07247315060331</v>
      </c>
      <c r="H173" s="397" t="n">
        <f aca="false">VLOOKUP($A173,Plant_Table,'Plant Operations'!$T$270)</f>
        <v>2092866.048</v>
      </c>
      <c r="I173" s="1566" t="n">
        <f aca="false">G173*H173/1000</f>
        <v>4337.40869228926</v>
      </c>
      <c r="J173" s="1567" t="str">
        <f aca="false">IF(MONTH($A173)=12,SUM(I162:I173)," ")</f>
        <v> </v>
      </c>
      <c r="L173" s="1610" t="n">
        <f aca="false">IF($A173&lt;Startops2,0,VLOOKUP($A173,Tariff_Table,Tariff!$N$33))</f>
        <v>0</v>
      </c>
      <c r="M173" s="397" t="n">
        <f aca="false">H173</f>
        <v>2092866.048</v>
      </c>
      <c r="N173" s="1611" t="n">
        <f aca="false">L173*M173/1000</f>
        <v>0</v>
      </c>
      <c r="O173" s="1611" t="n">
        <f aca="false">IF($A173&gt;Endyr,0,VLOOKUP($A173,Tariff_Table,Tariff!$O$33))</f>
        <v>3257.6285</v>
      </c>
      <c r="P173" s="427" t="n">
        <f aca="false">VLOOKUP($A173,Curves_Table,Escalation!$AP$291)</f>
        <v>1.55739783154092</v>
      </c>
      <c r="Q173" s="1604" t="n">
        <f aca="false">SUM(N173,O173)*P173</f>
        <v>5073.42356186589</v>
      </c>
      <c r="R173" s="1579" t="str">
        <f aca="false">IF(MONTH($A173)=12,SUM(Q162:Q173)," ")</f>
        <v> </v>
      </c>
    </row>
    <row r="174" customFormat="false" ht="12.75" hidden="false" customHeight="false" outlineLevel="0" collapsed="false">
      <c r="A174" s="1538" t="n">
        <f aca="false">'Annex 12-Gas'!A174</f>
        <v>41883</v>
      </c>
      <c r="C174" s="488" t="n">
        <f aca="false">IF($A174&gt;Endyr,0,VLOOKUP($A174,Tariff_Table,Tariff!$L$33))</f>
        <v>1.21</v>
      </c>
      <c r="D174" s="427" t="n">
        <f aca="false">VLOOKUP($A174,Curves_Table,Escalation!$AL$291)</f>
        <v>1.5061761575234</v>
      </c>
      <c r="E174" s="1609" t="n">
        <f aca="false">C174*D174</f>
        <v>1.82247315060331</v>
      </c>
      <c r="F174" s="1314" t="n">
        <f aca="false">IF($A174&gt;Endyr,0,VLOOKUP($A174,Tariff_Table,Tariff!$M$33))</f>
        <v>0.25</v>
      </c>
      <c r="G174" s="1609" t="n">
        <f aca="false">SUM(E174,F174)</f>
        <v>2.07247315060331</v>
      </c>
      <c r="H174" s="397" t="n">
        <f aca="false">VLOOKUP($A174,Plant_Table,'Plant Operations'!$T$270)</f>
        <v>2025354.24</v>
      </c>
      <c r="I174" s="1566" t="n">
        <f aca="false">G174*H174/1000</f>
        <v>4197.49228286058</v>
      </c>
      <c r="J174" s="1567" t="str">
        <f aca="false">IF(MONTH($A174)=12,SUM(I163:I174)," ")</f>
        <v> </v>
      </c>
      <c r="L174" s="1610" t="n">
        <f aca="false">IF($A174&lt;Startops2,0,VLOOKUP($A174,Tariff_Table,Tariff!$N$33))</f>
        <v>0</v>
      </c>
      <c r="M174" s="397" t="n">
        <f aca="false">H174</f>
        <v>2025354.24</v>
      </c>
      <c r="N174" s="1611" t="n">
        <f aca="false">L174*M174/1000</f>
        <v>0</v>
      </c>
      <c r="O174" s="1611" t="n">
        <f aca="false">IF($A174&gt;Endyr,0,VLOOKUP($A174,Tariff_Table,Tariff!$O$33))</f>
        <v>3257.6285</v>
      </c>
      <c r="P174" s="427" t="n">
        <f aca="false">VLOOKUP($A174,Curves_Table,Escalation!$AP$291)</f>
        <v>1.55739783154092</v>
      </c>
      <c r="Q174" s="1604" t="n">
        <f aca="false">SUM(N174,O174)*P174</f>
        <v>5073.42356186589</v>
      </c>
      <c r="R174" s="1579" t="str">
        <f aca="false">IF(MONTH($A174)=12,SUM(Q163:Q174)," ")</f>
        <v> </v>
      </c>
    </row>
    <row r="175" customFormat="false" ht="12.75" hidden="false" customHeight="false" outlineLevel="0" collapsed="false">
      <c r="A175" s="1538" t="n">
        <f aca="false">'Annex 12-Gas'!A175</f>
        <v>41913</v>
      </c>
      <c r="C175" s="488" t="n">
        <f aca="false">IF($A175&gt;Endyr,0,VLOOKUP($A175,Tariff_Table,Tariff!$L$33))</f>
        <v>1.21</v>
      </c>
      <c r="D175" s="427" t="n">
        <f aca="false">VLOOKUP($A175,Curves_Table,Escalation!$AL$291)</f>
        <v>1.5061761575234</v>
      </c>
      <c r="E175" s="1609" t="n">
        <f aca="false">C175*D175</f>
        <v>1.82247315060331</v>
      </c>
      <c r="F175" s="1314" t="n">
        <f aca="false">IF($A175&gt;Endyr,0,VLOOKUP($A175,Tariff_Table,Tariff!$M$33))</f>
        <v>0.25</v>
      </c>
      <c r="G175" s="1609" t="n">
        <f aca="false">SUM(E175,F175)</f>
        <v>2.07247315060331</v>
      </c>
      <c r="H175" s="397" t="n">
        <f aca="false">VLOOKUP($A175,Plant_Table,'Plant Operations'!$T$270)</f>
        <v>2092866.048</v>
      </c>
      <c r="I175" s="1566" t="n">
        <f aca="false">G175*H175/1000</f>
        <v>4337.40869228926</v>
      </c>
      <c r="J175" s="1567" t="str">
        <f aca="false">IF(MONTH($A175)=12,SUM(I164:I175)," ")</f>
        <v> </v>
      </c>
      <c r="L175" s="1610" t="n">
        <f aca="false">IF($A175&lt;Startops2,0,VLOOKUP($A175,Tariff_Table,Tariff!$N$33))</f>
        <v>0</v>
      </c>
      <c r="M175" s="397" t="n">
        <f aca="false">H175</f>
        <v>2092866.048</v>
      </c>
      <c r="N175" s="1611" t="n">
        <f aca="false">L175*M175/1000</f>
        <v>0</v>
      </c>
      <c r="O175" s="1611" t="n">
        <f aca="false">IF($A175&gt;Endyr,0,VLOOKUP($A175,Tariff_Table,Tariff!$O$33))</f>
        <v>3257.6285</v>
      </c>
      <c r="P175" s="427" t="n">
        <f aca="false">VLOOKUP($A175,Curves_Table,Escalation!$AP$291)</f>
        <v>1.55739783154092</v>
      </c>
      <c r="Q175" s="1604" t="n">
        <f aca="false">SUM(N175,O175)*P175</f>
        <v>5073.42356186589</v>
      </c>
      <c r="R175" s="1579" t="str">
        <f aca="false">IF(MONTH($A175)=12,SUM(Q164:Q175)," ")</f>
        <v> </v>
      </c>
    </row>
    <row r="176" customFormat="false" ht="12.75" hidden="false" customHeight="false" outlineLevel="0" collapsed="false">
      <c r="A176" s="1538" t="n">
        <f aca="false">'Annex 12-Gas'!A176</f>
        <v>41944</v>
      </c>
      <c r="C176" s="488" t="n">
        <f aca="false">IF($A176&gt;Endyr,0,VLOOKUP($A176,Tariff_Table,Tariff!$L$33))</f>
        <v>1.21</v>
      </c>
      <c r="D176" s="427" t="n">
        <f aca="false">VLOOKUP($A176,Curves_Table,Escalation!$AL$291)</f>
        <v>1.5061761575234</v>
      </c>
      <c r="E176" s="1609" t="n">
        <f aca="false">C176*D176</f>
        <v>1.82247315060331</v>
      </c>
      <c r="F176" s="1314" t="n">
        <f aca="false">IF($A176&gt;Endyr,0,VLOOKUP($A176,Tariff_Table,Tariff!$M$33))</f>
        <v>0.25</v>
      </c>
      <c r="G176" s="1609" t="n">
        <f aca="false">SUM(E176,F176)</f>
        <v>2.07247315060331</v>
      </c>
      <c r="H176" s="397" t="n">
        <f aca="false">VLOOKUP($A176,Plant_Table,'Plant Operations'!$T$270)</f>
        <v>2025354.24</v>
      </c>
      <c r="I176" s="1566" t="n">
        <f aca="false">G176*H176/1000</f>
        <v>4197.49228286058</v>
      </c>
      <c r="J176" s="1567" t="str">
        <f aca="false">IF(MONTH($A176)=12,SUM(I165:I176)," ")</f>
        <v> </v>
      </c>
      <c r="L176" s="1610" t="n">
        <f aca="false">IF($A176&lt;Startops2,0,VLOOKUP($A176,Tariff_Table,Tariff!$N$33))</f>
        <v>0</v>
      </c>
      <c r="M176" s="397" t="n">
        <f aca="false">H176</f>
        <v>2025354.24</v>
      </c>
      <c r="N176" s="1611" t="n">
        <f aca="false">L176*M176/1000</f>
        <v>0</v>
      </c>
      <c r="O176" s="1611" t="n">
        <f aca="false">IF($A176&gt;Endyr,0,VLOOKUP($A176,Tariff_Table,Tariff!$O$33))</f>
        <v>3257.6285</v>
      </c>
      <c r="P176" s="427" t="n">
        <f aca="false">VLOOKUP($A176,Curves_Table,Escalation!$AP$291)</f>
        <v>1.55739783154092</v>
      </c>
      <c r="Q176" s="1604" t="n">
        <f aca="false">SUM(N176,O176)*P176</f>
        <v>5073.42356186589</v>
      </c>
      <c r="R176" s="1579" t="str">
        <f aca="false">IF(MONTH($A176)=12,SUM(Q165:Q176)," ")</f>
        <v> </v>
      </c>
    </row>
    <row r="177" customFormat="false" ht="12.75" hidden="false" customHeight="false" outlineLevel="0" collapsed="false">
      <c r="A177" s="1538" t="n">
        <f aca="false">'Annex 12-Gas'!A177</f>
        <v>41974</v>
      </c>
      <c r="C177" s="488" t="n">
        <f aca="false">IF($A177&gt;Endyr,0,VLOOKUP($A177,Tariff_Table,Tariff!$L$33))</f>
        <v>1.21</v>
      </c>
      <c r="D177" s="427" t="n">
        <f aca="false">VLOOKUP($A177,Curves_Table,Escalation!$AL$291)</f>
        <v>1.5061761575234</v>
      </c>
      <c r="E177" s="1609" t="n">
        <f aca="false">C177*D177</f>
        <v>1.82247315060331</v>
      </c>
      <c r="F177" s="1314" t="n">
        <f aca="false">IF($A177&gt;Endyr,0,VLOOKUP($A177,Tariff_Table,Tariff!$M$33))</f>
        <v>0.25</v>
      </c>
      <c r="G177" s="1609" t="n">
        <f aca="false">SUM(E177,F177)</f>
        <v>2.07247315060331</v>
      </c>
      <c r="H177" s="397" t="n">
        <f aca="false">VLOOKUP($A177,Plant_Table,'Plant Operations'!$T$270)</f>
        <v>2092866.048</v>
      </c>
      <c r="I177" s="1566" t="n">
        <f aca="false">G177*H177/1000</f>
        <v>4337.40869228926</v>
      </c>
      <c r="J177" s="1567" t="n">
        <f aca="false">IF(MONTH($A177)=12,SUM(I166:I177)," ")</f>
        <v>50740.7677871399</v>
      </c>
      <c r="L177" s="1610" t="n">
        <f aca="false">IF($A177&lt;Startops2,0,VLOOKUP($A177,Tariff_Table,Tariff!$N$33))</f>
        <v>0</v>
      </c>
      <c r="M177" s="397" t="n">
        <f aca="false">H177</f>
        <v>2092866.048</v>
      </c>
      <c r="N177" s="1611" t="n">
        <f aca="false">L177*M177/1000</f>
        <v>0</v>
      </c>
      <c r="O177" s="1611" t="n">
        <f aca="false">IF($A177&gt;Endyr,0,VLOOKUP($A177,Tariff_Table,Tariff!$O$33))</f>
        <v>3257.6285</v>
      </c>
      <c r="P177" s="427" t="n">
        <f aca="false">VLOOKUP($A177,Curves_Table,Escalation!$AP$291)</f>
        <v>1.55739783154092</v>
      </c>
      <c r="Q177" s="1604" t="n">
        <f aca="false">SUM(N177,O177)*P177</f>
        <v>5073.42356186589</v>
      </c>
      <c r="R177" s="1579" t="n">
        <f aca="false">IF(MONTH($A177)=12,SUM(Q166:Q177)," ")</f>
        <v>60404.2781303534</v>
      </c>
    </row>
    <row r="178" customFormat="false" ht="12.75" hidden="false" customHeight="false" outlineLevel="0" collapsed="false">
      <c r="A178" s="1538" t="n">
        <f aca="false">'Annex 12-Gas'!A178</f>
        <v>42005</v>
      </c>
      <c r="C178" s="488" t="n">
        <f aca="false">IF($A178&gt;Endyr,0,VLOOKUP($A178,Tariff_Table,Tariff!$L$33))</f>
        <v>1.21</v>
      </c>
      <c r="D178" s="427" t="n">
        <f aca="false">VLOOKUP($A178,Curves_Table,Escalation!$AL$291)</f>
        <v>1.5061761575234</v>
      </c>
      <c r="E178" s="1609" t="n">
        <f aca="false">C178*D178</f>
        <v>1.82247315060331</v>
      </c>
      <c r="F178" s="1314" t="n">
        <f aca="false">IF($A178&gt;Endyr,0,VLOOKUP($A178,Tariff_Table,Tariff!$M$33))</f>
        <v>0.25</v>
      </c>
      <c r="G178" s="1609" t="n">
        <f aca="false">SUM(E178,F178)</f>
        <v>2.07247315060331</v>
      </c>
      <c r="H178" s="397" t="n">
        <f aca="false">VLOOKUP($A178,Plant_Table,'Plant Operations'!$T$270)</f>
        <v>2092866.048</v>
      </c>
      <c r="I178" s="1566" t="n">
        <f aca="false">G178*H178/1000</f>
        <v>4337.40869228926</v>
      </c>
      <c r="J178" s="1567" t="str">
        <f aca="false">IF(MONTH($A178)=12,SUM(I167:I178)," ")</f>
        <v> </v>
      </c>
      <c r="L178" s="1610" t="n">
        <f aca="false">IF($A178&lt;Startops2,0,VLOOKUP($A178,Tariff_Table,Tariff!$N$33))</f>
        <v>0</v>
      </c>
      <c r="M178" s="397" t="n">
        <f aca="false">H178</f>
        <v>2092866.048</v>
      </c>
      <c r="N178" s="1611" t="n">
        <f aca="false">L178*M178/1000</f>
        <v>0</v>
      </c>
      <c r="O178" s="1611" t="n">
        <f aca="false">IF($A178&gt;Endyr,0,VLOOKUP($A178,Tariff_Table,Tariff!$O$33))</f>
        <v>3257.6285</v>
      </c>
      <c r="P178" s="427" t="n">
        <f aca="false">VLOOKUP($A178,Curves_Table,Escalation!$AP$291)</f>
        <v>1.55739783154092</v>
      </c>
      <c r="Q178" s="1604" t="n">
        <f aca="false">SUM(N178,O178)*P178</f>
        <v>5073.42356186589</v>
      </c>
      <c r="R178" s="1579" t="str">
        <f aca="false">IF(MONTH($A178)=12,SUM(Q167:Q178)," ")</f>
        <v> </v>
      </c>
    </row>
    <row r="179" customFormat="false" ht="12.75" hidden="false" customHeight="false" outlineLevel="0" collapsed="false">
      <c r="A179" s="1538" t="n">
        <f aca="false">'Annex 12-Gas'!A179</f>
        <v>42036</v>
      </c>
      <c r="C179" s="488" t="n">
        <f aca="false">IF($A179&gt;Endyr,0,VLOOKUP($A179,Tariff_Table,Tariff!$L$33))</f>
        <v>1.21</v>
      </c>
      <c r="D179" s="427" t="n">
        <f aca="false">VLOOKUP($A179,Curves_Table,Escalation!$AL$291)</f>
        <v>1.5061761575234</v>
      </c>
      <c r="E179" s="1609" t="n">
        <f aca="false">C179*D179</f>
        <v>1.82247315060331</v>
      </c>
      <c r="F179" s="1314" t="n">
        <f aca="false">IF($A179&gt;Endyr,0,VLOOKUP($A179,Tariff_Table,Tariff!$M$33))</f>
        <v>0.25</v>
      </c>
      <c r="G179" s="1609" t="n">
        <f aca="false">SUM(E179,F179)</f>
        <v>2.07247315060331</v>
      </c>
      <c r="H179" s="397" t="n">
        <f aca="false">VLOOKUP($A179,Plant_Table,'Plant Operations'!$T$270)</f>
        <v>1890330.624</v>
      </c>
      <c r="I179" s="1566" t="n">
        <f aca="false">G179*H179/1000</f>
        <v>3917.65946400321</v>
      </c>
      <c r="J179" s="1567" t="str">
        <f aca="false">IF(MONTH($A179)=12,SUM(I168:I179)," ")</f>
        <v> </v>
      </c>
      <c r="L179" s="1610" t="n">
        <f aca="false">IF($A179&lt;Startops2,0,VLOOKUP($A179,Tariff_Table,Tariff!$N$33))</f>
        <v>0</v>
      </c>
      <c r="M179" s="397" t="n">
        <f aca="false">H179</f>
        <v>1890330.624</v>
      </c>
      <c r="N179" s="1611" t="n">
        <f aca="false">L179*M179/1000</f>
        <v>0</v>
      </c>
      <c r="O179" s="1611" t="n">
        <f aca="false">IF($A179&gt;Endyr,0,VLOOKUP($A179,Tariff_Table,Tariff!$O$33))</f>
        <v>3257.6285</v>
      </c>
      <c r="P179" s="427" t="n">
        <f aca="false">VLOOKUP($A179,Curves_Table,Escalation!$AP$291)</f>
        <v>1.55739783154092</v>
      </c>
      <c r="Q179" s="1604" t="n">
        <f aca="false">SUM(N179,O179)*P179</f>
        <v>5073.42356186589</v>
      </c>
      <c r="R179" s="1579" t="str">
        <f aca="false">IF(MONTH($A179)=12,SUM(Q168:Q179)," ")</f>
        <v> </v>
      </c>
    </row>
    <row r="180" customFormat="false" ht="12.75" hidden="false" customHeight="false" outlineLevel="0" collapsed="false">
      <c r="A180" s="1538" t="n">
        <f aca="false">'Annex 12-Gas'!A180</f>
        <v>42064</v>
      </c>
      <c r="C180" s="488" t="n">
        <f aca="false">IF($A180&gt;Endyr,0,VLOOKUP($A180,Tariff_Table,Tariff!$L$33))</f>
        <v>1.21</v>
      </c>
      <c r="D180" s="427" t="n">
        <f aca="false">VLOOKUP($A180,Curves_Table,Escalation!$AL$291)</f>
        <v>1.5061761575234</v>
      </c>
      <c r="E180" s="1609" t="n">
        <f aca="false">C180*D180</f>
        <v>1.82247315060331</v>
      </c>
      <c r="F180" s="1314" t="n">
        <f aca="false">IF($A180&gt;Endyr,0,VLOOKUP($A180,Tariff_Table,Tariff!$M$33))</f>
        <v>0.25</v>
      </c>
      <c r="G180" s="1609" t="n">
        <f aca="false">SUM(E180,F180)</f>
        <v>2.07247315060331</v>
      </c>
      <c r="H180" s="397" t="n">
        <f aca="false">VLOOKUP($A180,Plant_Table,'Plant Operations'!$T$270)</f>
        <v>2092866.048</v>
      </c>
      <c r="I180" s="1566" t="n">
        <f aca="false">G180*H180/1000</f>
        <v>4337.40869228926</v>
      </c>
      <c r="J180" s="1567" t="str">
        <f aca="false">IF(MONTH($A180)=12,SUM(I169:I180)," ")</f>
        <v> </v>
      </c>
      <c r="L180" s="1610" t="n">
        <f aca="false">IF($A180&lt;Startops2,0,VLOOKUP($A180,Tariff_Table,Tariff!$N$33))</f>
        <v>0</v>
      </c>
      <c r="M180" s="397" t="n">
        <f aca="false">H180</f>
        <v>2092866.048</v>
      </c>
      <c r="N180" s="1611" t="n">
        <f aca="false">L180*M180/1000</f>
        <v>0</v>
      </c>
      <c r="O180" s="1611" t="n">
        <f aca="false">IF($A180&gt;Endyr,0,VLOOKUP($A180,Tariff_Table,Tariff!$O$33))</f>
        <v>3257.6285</v>
      </c>
      <c r="P180" s="427" t="n">
        <f aca="false">VLOOKUP($A180,Curves_Table,Escalation!$AP$291)</f>
        <v>1.55739783154092</v>
      </c>
      <c r="Q180" s="1604" t="n">
        <f aca="false">SUM(N180,O180)*P180</f>
        <v>5073.42356186589</v>
      </c>
      <c r="R180" s="1579" t="str">
        <f aca="false">IF(MONTH($A180)=12,SUM(Q169:Q180)," ")</f>
        <v> </v>
      </c>
    </row>
    <row r="181" customFormat="false" ht="12.75" hidden="false" customHeight="false" outlineLevel="0" collapsed="false">
      <c r="A181" s="1538" t="n">
        <f aca="false">'Annex 12-Gas'!A181</f>
        <v>42095</v>
      </c>
      <c r="C181" s="488" t="n">
        <f aca="false">IF($A181&gt;Endyr,0,VLOOKUP($A181,Tariff_Table,Tariff!$L$33))</f>
        <v>1.21</v>
      </c>
      <c r="D181" s="427" t="n">
        <f aca="false">VLOOKUP($A181,Curves_Table,Escalation!$AL$291)</f>
        <v>1.5061761575234</v>
      </c>
      <c r="E181" s="1609" t="n">
        <f aca="false">C181*D181</f>
        <v>1.82247315060331</v>
      </c>
      <c r="F181" s="1314" t="n">
        <f aca="false">IF($A181&gt;Endyr,0,VLOOKUP($A181,Tariff_Table,Tariff!$M$33))</f>
        <v>0.25</v>
      </c>
      <c r="G181" s="1609" t="n">
        <f aca="false">SUM(E181,F181)</f>
        <v>2.07247315060331</v>
      </c>
      <c r="H181" s="397" t="n">
        <f aca="false">VLOOKUP($A181,Plant_Table,'Plant Operations'!$T$270)</f>
        <v>2025354.24</v>
      </c>
      <c r="I181" s="1566" t="n">
        <f aca="false">G181*H181/1000</f>
        <v>4197.49228286058</v>
      </c>
      <c r="J181" s="1567" t="str">
        <f aca="false">IF(MONTH($A181)=12,SUM(I170:I181)," ")</f>
        <v> </v>
      </c>
      <c r="L181" s="1610" t="n">
        <f aca="false">IF($A181&lt;Startops2,0,VLOOKUP($A181,Tariff_Table,Tariff!$N$33))</f>
        <v>0</v>
      </c>
      <c r="M181" s="397" t="n">
        <f aca="false">H181</f>
        <v>2025354.24</v>
      </c>
      <c r="N181" s="1611" t="n">
        <f aca="false">L181*M181/1000</f>
        <v>0</v>
      </c>
      <c r="O181" s="1611" t="n">
        <f aca="false">IF($A181&gt;Endyr,0,VLOOKUP($A181,Tariff_Table,Tariff!$O$33))</f>
        <v>3257.6285</v>
      </c>
      <c r="P181" s="427" t="n">
        <f aca="false">VLOOKUP($A181,Curves_Table,Escalation!$AP$291)</f>
        <v>1.55739783154092</v>
      </c>
      <c r="Q181" s="1604" t="n">
        <f aca="false">SUM(N181,O181)*P181</f>
        <v>5073.42356186589</v>
      </c>
      <c r="R181" s="1579" t="str">
        <f aca="false">IF(MONTH($A181)=12,SUM(Q170:Q181)," ")</f>
        <v> </v>
      </c>
    </row>
    <row r="182" customFormat="false" ht="12.75" hidden="false" customHeight="false" outlineLevel="0" collapsed="false">
      <c r="A182" s="1538" t="n">
        <f aca="false">'Annex 12-Gas'!A182</f>
        <v>42125</v>
      </c>
      <c r="C182" s="488" t="n">
        <f aca="false">IF($A182&gt;Endyr,0,VLOOKUP($A182,Tariff_Table,Tariff!$L$33))</f>
        <v>1.21</v>
      </c>
      <c r="D182" s="427" t="n">
        <f aca="false">VLOOKUP($A182,Curves_Table,Escalation!$AL$291)</f>
        <v>1.54102993095862</v>
      </c>
      <c r="E182" s="1609" t="n">
        <f aca="false">C182*D182</f>
        <v>1.86464621645993</v>
      </c>
      <c r="F182" s="1314" t="n">
        <f aca="false">IF($A182&gt;Endyr,0,VLOOKUP($A182,Tariff_Table,Tariff!$M$33))</f>
        <v>0.25</v>
      </c>
      <c r="G182" s="1609" t="n">
        <f aca="false">SUM(E182,F182)</f>
        <v>2.11464621645993</v>
      </c>
      <c r="H182" s="397" t="n">
        <f aca="false">VLOOKUP($A182,Plant_Table,'Plant Operations'!$T$270)</f>
        <v>2092866.048</v>
      </c>
      <c r="I182" s="1566" t="n">
        <f aca="false">G182*H182/1000</f>
        <v>4425.67126996064</v>
      </c>
      <c r="J182" s="1567" t="str">
        <f aca="false">IF(MONTH($A182)=12,SUM(I171:I182)," ")</f>
        <v> </v>
      </c>
      <c r="L182" s="1610" t="n">
        <f aca="false">IF($A182&lt;Startops2,0,VLOOKUP($A182,Tariff_Table,Tariff!$N$33))</f>
        <v>0</v>
      </c>
      <c r="M182" s="397" t="n">
        <f aca="false">H182</f>
        <v>2092866.048</v>
      </c>
      <c r="N182" s="1611" t="n">
        <f aca="false">L182*M182/1000</f>
        <v>0</v>
      </c>
      <c r="O182" s="1611" t="n">
        <f aca="false">IF($A182&gt;Endyr,0,VLOOKUP($A182,Tariff_Table,Tariff!$O$33))</f>
        <v>3260.67984</v>
      </c>
      <c r="P182" s="427" t="n">
        <f aca="false">VLOOKUP($A182,Curves_Table,Escalation!$AP$291)</f>
        <v>1.59733039824151</v>
      </c>
      <c r="Q182" s="1604" t="n">
        <f aca="false">SUM(N182,O182)*P182</f>
        <v>5208.38302736526</v>
      </c>
      <c r="R182" s="1579" t="str">
        <f aca="false">IF(MONTH($A182)=12,SUM(Q171:Q182)," ")</f>
        <v> </v>
      </c>
    </row>
    <row r="183" customFormat="false" ht="12.75" hidden="false" customHeight="false" outlineLevel="0" collapsed="false">
      <c r="A183" s="1538" t="n">
        <f aca="false">'Annex 12-Gas'!A183</f>
        <v>42156</v>
      </c>
      <c r="C183" s="488" t="n">
        <f aca="false">IF($A183&gt;Endyr,0,VLOOKUP($A183,Tariff_Table,Tariff!$L$33))</f>
        <v>1.21</v>
      </c>
      <c r="D183" s="427" t="n">
        <f aca="false">VLOOKUP($A183,Curves_Table,Escalation!$AL$291)</f>
        <v>1.54102993095862</v>
      </c>
      <c r="E183" s="1609" t="n">
        <f aca="false">C183*D183</f>
        <v>1.86464621645993</v>
      </c>
      <c r="F183" s="1314" t="n">
        <f aca="false">IF($A183&gt;Endyr,0,VLOOKUP($A183,Tariff_Table,Tariff!$M$33))</f>
        <v>0.25</v>
      </c>
      <c r="G183" s="1609" t="n">
        <f aca="false">SUM(E183,F183)</f>
        <v>2.11464621645993</v>
      </c>
      <c r="H183" s="397" t="n">
        <f aca="false">VLOOKUP($A183,Plant_Table,'Plant Operations'!$T$270)</f>
        <v>2025354.24</v>
      </c>
      <c r="I183" s="1566" t="n">
        <f aca="false">G183*H183/1000</f>
        <v>4282.90768060707</v>
      </c>
      <c r="J183" s="1567" t="str">
        <f aca="false">IF(MONTH($A183)=12,SUM(I172:I183)," ")</f>
        <v> </v>
      </c>
      <c r="L183" s="1610" t="n">
        <f aca="false">IF($A183&lt;Startops2,0,VLOOKUP($A183,Tariff_Table,Tariff!$N$33))</f>
        <v>0</v>
      </c>
      <c r="M183" s="397" t="n">
        <f aca="false">H183</f>
        <v>2025354.24</v>
      </c>
      <c r="N183" s="1611" t="n">
        <f aca="false">L183*M183/1000</f>
        <v>0</v>
      </c>
      <c r="O183" s="1611" t="n">
        <f aca="false">IF($A183&gt;Endyr,0,VLOOKUP($A183,Tariff_Table,Tariff!$O$33))</f>
        <v>3260.67984</v>
      </c>
      <c r="P183" s="427" t="n">
        <f aca="false">VLOOKUP($A183,Curves_Table,Escalation!$AP$291)</f>
        <v>1.59733039824151</v>
      </c>
      <c r="Q183" s="1604" t="n">
        <f aca="false">SUM(N183,O183)*P183</f>
        <v>5208.38302736526</v>
      </c>
      <c r="R183" s="1579" t="str">
        <f aca="false">IF(MONTH($A183)=12,SUM(Q172:Q183)," ")</f>
        <v> </v>
      </c>
    </row>
    <row r="184" customFormat="false" ht="12.75" hidden="false" customHeight="false" outlineLevel="0" collapsed="false">
      <c r="A184" s="1538" t="n">
        <f aca="false">'Annex 12-Gas'!A184</f>
        <v>42186</v>
      </c>
      <c r="C184" s="488" t="n">
        <f aca="false">IF($A184&gt;Endyr,0,VLOOKUP($A184,Tariff_Table,Tariff!$L$33))</f>
        <v>1.21</v>
      </c>
      <c r="D184" s="427" t="n">
        <f aca="false">VLOOKUP($A184,Curves_Table,Escalation!$AL$291)</f>
        <v>1.54102993095862</v>
      </c>
      <c r="E184" s="1609" t="n">
        <f aca="false">C184*D184</f>
        <v>1.86464621645993</v>
      </c>
      <c r="F184" s="1314" t="n">
        <f aca="false">IF($A184&gt;Endyr,0,VLOOKUP($A184,Tariff_Table,Tariff!$M$33))</f>
        <v>0.25</v>
      </c>
      <c r="G184" s="1609" t="n">
        <f aca="false">SUM(E184,F184)</f>
        <v>2.11464621645993</v>
      </c>
      <c r="H184" s="397" t="n">
        <f aca="false">VLOOKUP($A184,Plant_Table,'Plant Operations'!$T$270)</f>
        <v>2092866.048</v>
      </c>
      <c r="I184" s="1566" t="n">
        <f aca="false">G184*H184/1000</f>
        <v>4425.67126996064</v>
      </c>
      <c r="J184" s="1567" t="str">
        <f aca="false">IF(MONTH($A184)=12,SUM(I173:I184)," ")</f>
        <v> </v>
      </c>
      <c r="L184" s="1610" t="n">
        <f aca="false">IF($A184&lt;Startops2,0,VLOOKUP($A184,Tariff_Table,Tariff!$N$33))</f>
        <v>0</v>
      </c>
      <c r="M184" s="397" t="n">
        <f aca="false">H184</f>
        <v>2092866.048</v>
      </c>
      <c r="N184" s="1611" t="n">
        <f aca="false">L184*M184/1000</f>
        <v>0</v>
      </c>
      <c r="O184" s="1611" t="n">
        <f aca="false">IF($A184&gt;Endyr,0,VLOOKUP($A184,Tariff_Table,Tariff!$O$33))</f>
        <v>3260.67984</v>
      </c>
      <c r="P184" s="427" t="n">
        <f aca="false">VLOOKUP($A184,Curves_Table,Escalation!$AP$291)</f>
        <v>1.59733039824151</v>
      </c>
      <c r="Q184" s="1604" t="n">
        <f aca="false">SUM(N184,O184)*P184</f>
        <v>5208.38302736526</v>
      </c>
      <c r="R184" s="1579" t="str">
        <f aca="false">IF(MONTH($A184)=12,SUM(Q173:Q184)," ")</f>
        <v> </v>
      </c>
    </row>
    <row r="185" customFormat="false" ht="12.75" hidden="false" customHeight="false" outlineLevel="0" collapsed="false">
      <c r="A185" s="1538" t="n">
        <f aca="false">'Annex 12-Gas'!A185</f>
        <v>42217</v>
      </c>
      <c r="C185" s="488" t="n">
        <f aca="false">IF($A185&gt;Endyr,0,VLOOKUP($A185,Tariff_Table,Tariff!$L$33))</f>
        <v>1.21</v>
      </c>
      <c r="D185" s="427" t="n">
        <f aca="false">VLOOKUP($A185,Curves_Table,Escalation!$AL$291)</f>
        <v>1.54102993095862</v>
      </c>
      <c r="E185" s="1609" t="n">
        <f aca="false">C185*D185</f>
        <v>1.86464621645993</v>
      </c>
      <c r="F185" s="1314" t="n">
        <f aca="false">IF($A185&gt;Endyr,0,VLOOKUP($A185,Tariff_Table,Tariff!$M$33))</f>
        <v>0.25</v>
      </c>
      <c r="G185" s="1609" t="n">
        <f aca="false">SUM(E185,F185)</f>
        <v>2.11464621645993</v>
      </c>
      <c r="H185" s="397" t="n">
        <f aca="false">VLOOKUP($A185,Plant_Table,'Plant Operations'!$T$270)</f>
        <v>2092866.048</v>
      </c>
      <c r="I185" s="1566" t="n">
        <f aca="false">G185*H185/1000</f>
        <v>4425.67126996064</v>
      </c>
      <c r="J185" s="1567" t="str">
        <f aca="false">IF(MONTH($A185)=12,SUM(I174:I185)," ")</f>
        <v> </v>
      </c>
      <c r="L185" s="1610" t="n">
        <f aca="false">IF($A185&lt;Startops2,0,VLOOKUP($A185,Tariff_Table,Tariff!$N$33))</f>
        <v>0</v>
      </c>
      <c r="M185" s="397" t="n">
        <f aca="false">H185</f>
        <v>2092866.048</v>
      </c>
      <c r="N185" s="1611" t="n">
        <f aca="false">L185*M185/1000</f>
        <v>0</v>
      </c>
      <c r="O185" s="1611" t="n">
        <f aca="false">IF($A185&gt;Endyr,0,VLOOKUP($A185,Tariff_Table,Tariff!$O$33))</f>
        <v>3260.67984</v>
      </c>
      <c r="P185" s="427" t="n">
        <f aca="false">VLOOKUP($A185,Curves_Table,Escalation!$AP$291)</f>
        <v>1.59733039824151</v>
      </c>
      <c r="Q185" s="1604" t="n">
        <f aca="false">SUM(N185,O185)*P185</f>
        <v>5208.38302736526</v>
      </c>
      <c r="R185" s="1579" t="str">
        <f aca="false">IF(MONTH($A185)=12,SUM(Q174:Q185)," ")</f>
        <v> </v>
      </c>
    </row>
    <row r="186" customFormat="false" ht="12.75" hidden="false" customHeight="false" outlineLevel="0" collapsed="false">
      <c r="A186" s="1538" t="n">
        <f aca="false">'Annex 12-Gas'!A186</f>
        <v>42248</v>
      </c>
      <c r="C186" s="488" t="n">
        <f aca="false">IF($A186&gt;Endyr,0,VLOOKUP($A186,Tariff_Table,Tariff!$L$33))</f>
        <v>1.21</v>
      </c>
      <c r="D186" s="427" t="n">
        <f aca="false">VLOOKUP($A186,Curves_Table,Escalation!$AL$291)</f>
        <v>1.54102993095862</v>
      </c>
      <c r="E186" s="1609" t="n">
        <f aca="false">C186*D186</f>
        <v>1.86464621645993</v>
      </c>
      <c r="F186" s="1314" t="n">
        <f aca="false">IF($A186&gt;Endyr,0,VLOOKUP($A186,Tariff_Table,Tariff!$M$33))</f>
        <v>0.25</v>
      </c>
      <c r="G186" s="1609" t="n">
        <f aca="false">SUM(E186,F186)</f>
        <v>2.11464621645993</v>
      </c>
      <c r="H186" s="397" t="n">
        <f aca="false">VLOOKUP($A186,Plant_Table,'Plant Operations'!$T$270)</f>
        <v>2025354.24</v>
      </c>
      <c r="I186" s="1566" t="n">
        <f aca="false">G186*H186/1000</f>
        <v>4282.90768060707</v>
      </c>
      <c r="J186" s="1567" t="str">
        <f aca="false">IF(MONTH($A186)=12,SUM(I175:I186)," ")</f>
        <v> </v>
      </c>
      <c r="L186" s="1610" t="n">
        <f aca="false">IF($A186&lt;Startops2,0,VLOOKUP($A186,Tariff_Table,Tariff!$N$33))</f>
        <v>0</v>
      </c>
      <c r="M186" s="397" t="n">
        <f aca="false">H186</f>
        <v>2025354.24</v>
      </c>
      <c r="N186" s="1611" t="n">
        <f aca="false">L186*M186/1000</f>
        <v>0</v>
      </c>
      <c r="O186" s="1611" t="n">
        <f aca="false">IF($A186&gt;Endyr,0,VLOOKUP($A186,Tariff_Table,Tariff!$O$33))</f>
        <v>3260.67984</v>
      </c>
      <c r="P186" s="427" t="n">
        <f aca="false">VLOOKUP($A186,Curves_Table,Escalation!$AP$291)</f>
        <v>1.59733039824151</v>
      </c>
      <c r="Q186" s="1604" t="n">
        <f aca="false">SUM(N186,O186)*P186</f>
        <v>5208.38302736526</v>
      </c>
      <c r="R186" s="1579" t="str">
        <f aca="false">IF(MONTH($A186)=12,SUM(Q175:Q186)," ")</f>
        <v> </v>
      </c>
    </row>
    <row r="187" customFormat="false" ht="12.75" hidden="false" customHeight="false" outlineLevel="0" collapsed="false">
      <c r="A187" s="1538" t="n">
        <f aca="false">'Annex 12-Gas'!A187</f>
        <v>42278</v>
      </c>
      <c r="C187" s="488" t="n">
        <f aca="false">IF($A187&gt;Endyr,0,VLOOKUP($A187,Tariff_Table,Tariff!$L$33))</f>
        <v>1.21</v>
      </c>
      <c r="D187" s="427" t="n">
        <f aca="false">VLOOKUP($A187,Curves_Table,Escalation!$AL$291)</f>
        <v>1.54102993095862</v>
      </c>
      <c r="E187" s="1609" t="n">
        <f aca="false">C187*D187</f>
        <v>1.86464621645993</v>
      </c>
      <c r="F187" s="1314" t="n">
        <f aca="false">IF($A187&gt;Endyr,0,VLOOKUP($A187,Tariff_Table,Tariff!$M$33))</f>
        <v>0.25</v>
      </c>
      <c r="G187" s="1609" t="n">
        <f aca="false">SUM(E187,F187)</f>
        <v>2.11464621645993</v>
      </c>
      <c r="H187" s="397" t="n">
        <f aca="false">VLOOKUP($A187,Plant_Table,'Plant Operations'!$T$270)</f>
        <v>2092866.048</v>
      </c>
      <c r="I187" s="1566" t="n">
        <f aca="false">G187*H187/1000</f>
        <v>4425.67126996064</v>
      </c>
      <c r="J187" s="1567" t="str">
        <f aca="false">IF(MONTH($A187)=12,SUM(I176:I187)," ")</f>
        <v> </v>
      </c>
      <c r="L187" s="1610" t="n">
        <f aca="false">IF($A187&lt;Startops2,0,VLOOKUP($A187,Tariff_Table,Tariff!$N$33))</f>
        <v>0</v>
      </c>
      <c r="M187" s="397" t="n">
        <f aca="false">H187</f>
        <v>2092866.048</v>
      </c>
      <c r="N187" s="1611" t="n">
        <f aca="false">L187*M187/1000</f>
        <v>0</v>
      </c>
      <c r="O187" s="1611" t="n">
        <f aca="false">IF($A187&gt;Endyr,0,VLOOKUP($A187,Tariff_Table,Tariff!$O$33))</f>
        <v>3260.67984</v>
      </c>
      <c r="P187" s="427" t="n">
        <f aca="false">VLOOKUP($A187,Curves_Table,Escalation!$AP$291)</f>
        <v>1.59733039824151</v>
      </c>
      <c r="Q187" s="1604" t="n">
        <f aca="false">SUM(N187,O187)*P187</f>
        <v>5208.38302736526</v>
      </c>
      <c r="R187" s="1579" t="str">
        <f aca="false">IF(MONTH($A187)=12,SUM(Q176:Q187)," ")</f>
        <v> </v>
      </c>
    </row>
    <row r="188" customFormat="false" ht="12.75" hidden="false" customHeight="false" outlineLevel="0" collapsed="false">
      <c r="A188" s="1538" t="n">
        <f aca="false">'Annex 12-Gas'!A188</f>
        <v>42309</v>
      </c>
      <c r="C188" s="488" t="n">
        <f aca="false">IF($A188&gt;Endyr,0,VLOOKUP($A188,Tariff_Table,Tariff!$L$33))</f>
        <v>1.21</v>
      </c>
      <c r="D188" s="427" t="n">
        <f aca="false">VLOOKUP($A188,Curves_Table,Escalation!$AL$291)</f>
        <v>1.54102993095862</v>
      </c>
      <c r="E188" s="1609" t="n">
        <f aca="false">C188*D188</f>
        <v>1.86464621645993</v>
      </c>
      <c r="F188" s="1314" t="n">
        <f aca="false">IF($A188&gt;Endyr,0,VLOOKUP($A188,Tariff_Table,Tariff!$M$33))</f>
        <v>0.25</v>
      </c>
      <c r="G188" s="1609" t="n">
        <f aca="false">SUM(E188,F188)</f>
        <v>2.11464621645993</v>
      </c>
      <c r="H188" s="397" t="n">
        <f aca="false">VLOOKUP($A188,Plant_Table,'Plant Operations'!$T$270)</f>
        <v>2025354.24</v>
      </c>
      <c r="I188" s="1566" t="n">
        <f aca="false">G188*H188/1000</f>
        <v>4282.90768060707</v>
      </c>
      <c r="J188" s="1567" t="str">
        <f aca="false">IF(MONTH($A188)=12,SUM(I177:I188)," ")</f>
        <v> </v>
      </c>
      <c r="L188" s="1610" t="n">
        <f aca="false">IF($A188&lt;Startops2,0,VLOOKUP($A188,Tariff_Table,Tariff!$N$33))</f>
        <v>0</v>
      </c>
      <c r="M188" s="397" t="n">
        <f aca="false">H188</f>
        <v>2025354.24</v>
      </c>
      <c r="N188" s="1611" t="n">
        <f aca="false">L188*M188/1000</f>
        <v>0</v>
      </c>
      <c r="O188" s="1611" t="n">
        <f aca="false">IF($A188&gt;Endyr,0,VLOOKUP($A188,Tariff_Table,Tariff!$O$33))</f>
        <v>3260.67984</v>
      </c>
      <c r="P188" s="427" t="n">
        <f aca="false">VLOOKUP($A188,Curves_Table,Escalation!$AP$291)</f>
        <v>1.59733039824151</v>
      </c>
      <c r="Q188" s="1604" t="n">
        <f aca="false">SUM(N188,O188)*P188</f>
        <v>5208.38302736526</v>
      </c>
      <c r="R188" s="1579" t="str">
        <f aca="false">IF(MONTH($A188)=12,SUM(Q177:Q188)," ")</f>
        <v> </v>
      </c>
    </row>
    <row r="189" customFormat="false" ht="12.75" hidden="false" customHeight="false" outlineLevel="0" collapsed="false">
      <c r="A189" s="1538" t="n">
        <f aca="false">'Annex 12-Gas'!A189</f>
        <v>42339</v>
      </c>
      <c r="C189" s="488" t="n">
        <f aca="false">IF($A189&gt;Endyr,0,VLOOKUP($A189,Tariff_Table,Tariff!$L$33))</f>
        <v>1.21</v>
      </c>
      <c r="D189" s="427" t="n">
        <f aca="false">VLOOKUP($A189,Curves_Table,Escalation!$AL$291)</f>
        <v>1.54102993095862</v>
      </c>
      <c r="E189" s="1609" t="n">
        <f aca="false">C189*D189</f>
        <v>1.86464621645993</v>
      </c>
      <c r="F189" s="1314" t="n">
        <f aca="false">IF($A189&gt;Endyr,0,VLOOKUP($A189,Tariff_Table,Tariff!$M$33))</f>
        <v>0.25</v>
      </c>
      <c r="G189" s="1609" t="n">
        <f aca="false">SUM(E189,F189)</f>
        <v>2.11464621645993</v>
      </c>
      <c r="H189" s="397" t="n">
        <f aca="false">VLOOKUP($A189,Plant_Table,'Plant Operations'!$T$270)</f>
        <v>2092866.048</v>
      </c>
      <c r="I189" s="1566" t="n">
        <f aca="false">G189*H189/1000</f>
        <v>4425.67126996064</v>
      </c>
      <c r="J189" s="1567" t="n">
        <f aca="false">IF(MONTH($A189)=12,SUM(I178:I189)," ")</f>
        <v>51767.0485230667</v>
      </c>
      <c r="L189" s="1610" t="n">
        <f aca="false">IF($A189&lt;Startops2,0,VLOOKUP($A189,Tariff_Table,Tariff!$N$33))</f>
        <v>0</v>
      </c>
      <c r="M189" s="397" t="n">
        <f aca="false">H189</f>
        <v>2092866.048</v>
      </c>
      <c r="N189" s="1611" t="n">
        <f aca="false">L189*M189/1000</f>
        <v>0</v>
      </c>
      <c r="O189" s="1611" t="n">
        <f aca="false">IF($A189&gt;Endyr,0,VLOOKUP($A189,Tariff_Table,Tariff!$O$33))</f>
        <v>3260.67984</v>
      </c>
      <c r="P189" s="427" t="n">
        <f aca="false">VLOOKUP($A189,Curves_Table,Escalation!$AP$291)</f>
        <v>1.59733039824151</v>
      </c>
      <c r="Q189" s="1604" t="n">
        <f aca="false">SUM(N189,O189)*P189</f>
        <v>5208.38302736526</v>
      </c>
      <c r="R189" s="1579" t="n">
        <f aca="false">IF(MONTH($A189)=12,SUM(Q178:Q189)," ")</f>
        <v>61960.7584663856</v>
      </c>
    </row>
    <row r="190" customFormat="false" ht="12.75" hidden="false" customHeight="false" outlineLevel="0" collapsed="false">
      <c r="A190" s="1538" t="n">
        <f aca="false">'Annex 12-Gas'!A190</f>
        <v>42370</v>
      </c>
      <c r="C190" s="488" t="n">
        <f aca="false">IF($A190&gt;Endyr,0,VLOOKUP($A190,Tariff_Table,Tariff!$L$33))</f>
        <v>1.21</v>
      </c>
      <c r="D190" s="427" t="n">
        <f aca="false">VLOOKUP($A190,Curves_Table,Escalation!$AL$291)</f>
        <v>1.54102993095862</v>
      </c>
      <c r="E190" s="1609" t="n">
        <f aca="false">C190*D190</f>
        <v>1.86464621645993</v>
      </c>
      <c r="F190" s="1314" t="n">
        <f aca="false">IF($A190&gt;Endyr,0,VLOOKUP($A190,Tariff_Table,Tariff!$M$33))</f>
        <v>0.25</v>
      </c>
      <c r="G190" s="1609" t="n">
        <f aca="false">SUM(E190,F190)</f>
        <v>2.11464621645993</v>
      </c>
      <c r="H190" s="397" t="n">
        <f aca="false">VLOOKUP($A190,Plant_Table,'Plant Operations'!$T$270)</f>
        <v>2092866.048</v>
      </c>
      <c r="I190" s="1566" t="n">
        <f aca="false">G190*H190/1000</f>
        <v>4425.67126996064</v>
      </c>
      <c r="J190" s="1567" t="str">
        <f aca="false">IF(MONTH($A190)=12,SUM(I179:I190)," ")</f>
        <v> </v>
      </c>
      <c r="L190" s="1610" t="n">
        <f aca="false">IF($A190&lt;Startops2,0,VLOOKUP($A190,Tariff_Table,Tariff!$N$33))</f>
        <v>0</v>
      </c>
      <c r="M190" s="397" t="n">
        <f aca="false">H190</f>
        <v>2092866.048</v>
      </c>
      <c r="N190" s="1611" t="n">
        <f aca="false">L190*M190/1000</f>
        <v>0</v>
      </c>
      <c r="O190" s="1611" t="n">
        <f aca="false">IF($A190&gt;Endyr,0,VLOOKUP($A190,Tariff_Table,Tariff!$O$33))</f>
        <v>3260.67984</v>
      </c>
      <c r="P190" s="427" t="n">
        <f aca="false">VLOOKUP($A190,Curves_Table,Escalation!$AP$291)</f>
        <v>1.59733039824151</v>
      </c>
      <c r="Q190" s="1604" t="n">
        <f aca="false">SUM(N190,O190)*P190</f>
        <v>5208.38302736526</v>
      </c>
      <c r="R190" s="1579" t="str">
        <f aca="false">IF(MONTH($A190)=12,SUM(Q179:Q190)," ")</f>
        <v> </v>
      </c>
    </row>
    <row r="191" customFormat="false" ht="12.75" hidden="false" customHeight="false" outlineLevel="0" collapsed="false">
      <c r="A191" s="1538" t="n">
        <f aca="false">'Annex 12-Gas'!A191</f>
        <v>42401</v>
      </c>
      <c r="C191" s="488" t="n">
        <f aca="false">IF($A191&gt;Endyr,0,VLOOKUP($A191,Tariff_Table,Tariff!$L$33))</f>
        <v>1.21</v>
      </c>
      <c r="D191" s="427" t="n">
        <f aca="false">VLOOKUP($A191,Curves_Table,Escalation!$AL$291)</f>
        <v>1.54102993095862</v>
      </c>
      <c r="E191" s="1609" t="n">
        <f aca="false">C191*D191</f>
        <v>1.86464621645993</v>
      </c>
      <c r="F191" s="1314" t="n">
        <f aca="false">IF($A191&gt;Endyr,0,VLOOKUP($A191,Tariff_Table,Tariff!$M$33))</f>
        <v>0.25</v>
      </c>
      <c r="G191" s="1609" t="n">
        <f aca="false">SUM(E191,F191)</f>
        <v>2.11464621645993</v>
      </c>
      <c r="H191" s="397" t="n">
        <f aca="false">VLOOKUP($A191,Plant_Table,'Plant Operations'!$T$270)</f>
        <v>1957842.432</v>
      </c>
      <c r="I191" s="1566" t="n">
        <f aca="false">G191*H191/1000</f>
        <v>4140.1440912535</v>
      </c>
      <c r="J191" s="1567" t="str">
        <f aca="false">IF(MONTH($A191)=12,SUM(I180:I191)," ")</f>
        <v> </v>
      </c>
      <c r="L191" s="1610" t="n">
        <f aca="false">IF($A191&lt;Startops2,0,VLOOKUP($A191,Tariff_Table,Tariff!$N$33))</f>
        <v>0</v>
      </c>
      <c r="M191" s="397" t="n">
        <f aca="false">H191</f>
        <v>1957842.432</v>
      </c>
      <c r="N191" s="1611" t="n">
        <f aca="false">L191*M191/1000</f>
        <v>0</v>
      </c>
      <c r="O191" s="1611" t="n">
        <f aca="false">IF($A191&gt;Endyr,0,VLOOKUP($A191,Tariff_Table,Tariff!$O$33))</f>
        <v>3260.67984</v>
      </c>
      <c r="P191" s="427" t="n">
        <f aca="false">VLOOKUP($A191,Curves_Table,Escalation!$AP$291)</f>
        <v>1.59733039824151</v>
      </c>
      <c r="Q191" s="1604" t="n">
        <f aca="false">SUM(N191,O191)*P191</f>
        <v>5208.38302736526</v>
      </c>
      <c r="R191" s="1579" t="str">
        <f aca="false">IF(MONTH($A191)=12,SUM(Q180:Q191)," ")</f>
        <v> </v>
      </c>
    </row>
    <row r="192" customFormat="false" ht="12.75" hidden="false" customHeight="false" outlineLevel="0" collapsed="false">
      <c r="A192" s="1538" t="n">
        <f aca="false">'Annex 12-Gas'!A192</f>
        <v>42430</v>
      </c>
      <c r="C192" s="488" t="n">
        <f aca="false">IF($A192&gt;Endyr,0,VLOOKUP($A192,Tariff_Table,Tariff!$L$33))</f>
        <v>1.21</v>
      </c>
      <c r="D192" s="427" t="n">
        <f aca="false">VLOOKUP($A192,Curves_Table,Escalation!$AL$291)</f>
        <v>1.54102993095862</v>
      </c>
      <c r="E192" s="1609" t="n">
        <f aca="false">C192*D192</f>
        <v>1.86464621645993</v>
      </c>
      <c r="F192" s="1314" t="n">
        <f aca="false">IF($A192&gt;Endyr,0,VLOOKUP($A192,Tariff_Table,Tariff!$M$33))</f>
        <v>0.25</v>
      </c>
      <c r="G192" s="1609" t="n">
        <f aca="false">SUM(E192,F192)</f>
        <v>2.11464621645993</v>
      </c>
      <c r="H192" s="397" t="n">
        <f aca="false">VLOOKUP($A192,Plant_Table,'Plant Operations'!$T$270)</f>
        <v>2092866.048</v>
      </c>
      <c r="I192" s="1566" t="n">
        <f aca="false">G192*H192/1000</f>
        <v>4425.67126996064</v>
      </c>
      <c r="J192" s="1567" t="str">
        <f aca="false">IF(MONTH($A192)=12,SUM(I181:I192)," ")</f>
        <v> </v>
      </c>
      <c r="L192" s="1610" t="n">
        <f aca="false">IF($A192&lt;Startops2,0,VLOOKUP($A192,Tariff_Table,Tariff!$N$33))</f>
        <v>0</v>
      </c>
      <c r="M192" s="397" t="n">
        <f aca="false">H192</f>
        <v>2092866.048</v>
      </c>
      <c r="N192" s="1611" t="n">
        <f aca="false">L192*M192/1000</f>
        <v>0</v>
      </c>
      <c r="O192" s="1611" t="n">
        <f aca="false">IF($A192&gt;Endyr,0,VLOOKUP($A192,Tariff_Table,Tariff!$O$33))</f>
        <v>3260.67984</v>
      </c>
      <c r="P192" s="427" t="n">
        <f aca="false">VLOOKUP($A192,Curves_Table,Escalation!$AP$291)</f>
        <v>1.59733039824151</v>
      </c>
      <c r="Q192" s="1604" t="n">
        <f aca="false">SUM(N192,O192)*P192</f>
        <v>5208.38302736526</v>
      </c>
      <c r="R192" s="1579" t="str">
        <f aca="false">IF(MONTH($A192)=12,SUM(Q181:Q192)," ")</f>
        <v> </v>
      </c>
    </row>
    <row r="193" customFormat="false" ht="12.75" hidden="false" customHeight="false" outlineLevel="0" collapsed="false">
      <c r="A193" s="1538" t="n">
        <f aca="false">'Annex 12-Gas'!A193</f>
        <v>42461</v>
      </c>
      <c r="C193" s="488" t="n">
        <f aca="false">IF($A193&gt;Endyr,0,VLOOKUP($A193,Tariff_Table,Tariff!$L$33))</f>
        <v>1.21</v>
      </c>
      <c r="D193" s="427" t="n">
        <f aca="false">VLOOKUP($A193,Curves_Table,Escalation!$AL$291)</f>
        <v>1.54102993095862</v>
      </c>
      <c r="E193" s="1609" t="n">
        <f aca="false">C193*D193</f>
        <v>1.86464621645993</v>
      </c>
      <c r="F193" s="1314" t="n">
        <f aca="false">IF($A193&gt;Endyr,0,VLOOKUP($A193,Tariff_Table,Tariff!$M$33))</f>
        <v>0.25</v>
      </c>
      <c r="G193" s="1609" t="n">
        <f aca="false">SUM(E193,F193)</f>
        <v>2.11464621645993</v>
      </c>
      <c r="H193" s="397" t="n">
        <f aca="false">VLOOKUP($A193,Plant_Table,'Plant Operations'!$T$270)</f>
        <v>2025354.24</v>
      </c>
      <c r="I193" s="1566" t="n">
        <f aca="false">G193*H193/1000</f>
        <v>4282.90768060707</v>
      </c>
      <c r="J193" s="1567" t="str">
        <f aca="false">IF(MONTH($A193)=12,SUM(I182:I193)," ")</f>
        <v> </v>
      </c>
      <c r="L193" s="1610" t="n">
        <f aca="false">IF($A193&lt;Startops2,0,VLOOKUP($A193,Tariff_Table,Tariff!$N$33))</f>
        <v>0</v>
      </c>
      <c r="M193" s="397" t="n">
        <f aca="false">H193</f>
        <v>2025354.24</v>
      </c>
      <c r="N193" s="1611" t="n">
        <f aca="false">L193*M193/1000</f>
        <v>0</v>
      </c>
      <c r="O193" s="1611" t="n">
        <f aca="false">IF($A193&gt;Endyr,0,VLOOKUP($A193,Tariff_Table,Tariff!$O$33))</f>
        <v>3260.67984</v>
      </c>
      <c r="P193" s="427" t="n">
        <f aca="false">VLOOKUP($A193,Curves_Table,Escalation!$AP$291)</f>
        <v>1.59733039824151</v>
      </c>
      <c r="Q193" s="1604" t="n">
        <f aca="false">SUM(N193,O193)*P193</f>
        <v>5208.38302736526</v>
      </c>
      <c r="R193" s="1579" t="str">
        <f aca="false">IF(MONTH($A193)=12,SUM(Q182:Q193)," ")</f>
        <v> </v>
      </c>
    </row>
    <row r="194" customFormat="false" ht="12.75" hidden="false" customHeight="false" outlineLevel="0" collapsed="false">
      <c r="A194" s="1538" t="n">
        <f aca="false">'Annex 12-Gas'!A194</f>
        <v>42491</v>
      </c>
      <c r="C194" s="488" t="n">
        <f aca="false">IF($A194&gt;Endyr,0,VLOOKUP($A194,Tariff_Table,Tariff!$L$33))</f>
        <v>1.21</v>
      </c>
      <c r="D194" s="427" t="n">
        <f aca="false">VLOOKUP($A194,Curves_Table,Escalation!$AL$291)</f>
        <v>1.57736227411484</v>
      </c>
      <c r="E194" s="1609" t="n">
        <f aca="false">C194*D194</f>
        <v>1.90860835167896</v>
      </c>
      <c r="F194" s="1314" t="n">
        <f aca="false">IF($A194&gt;Endyr,0,VLOOKUP($A194,Tariff_Table,Tariff!$M$33))</f>
        <v>0.25</v>
      </c>
      <c r="G194" s="1609" t="n">
        <f aca="false">SUM(E194,F194)</f>
        <v>2.15860835167896</v>
      </c>
      <c r="H194" s="397" t="n">
        <f aca="false">VLOOKUP($A194,Plant_Table,'Plant Operations'!$T$270)</f>
        <v>2092866.048</v>
      </c>
      <c r="I194" s="1566" t="n">
        <f aca="false">G194*H194/1000</f>
        <v>4517.67813015814</v>
      </c>
      <c r="J194" s="1567" t="str">
        <f aca="false">IF(MONTH($A194)=12,SUM(I183:I194)," ")</f>
        <v> </v>
      </c>
      <c r="L194" s="1610" t="n">
        <f aca="false">IF($A194&lt;Startops2,0,VLOOKUP($A194,Tariff_Table,Tariff!$N$33))</f>
        <v>0</v>
      </c>
      <c r="M194" s="397" t="n">
        <f aca="false">H194</f>
        <v>2092866.048</v>
      </c>
      <c r="N194" s="1611" t="n">
        <f aca="false">L194*M194/1000</f>
        <v>0</v>
      </c>
      <c r="O194" s="1611" t="n">
        <f aca="false">IF($A194&gt;Endyr,0,VLOOKUP($A194,Tariff_Table,Tariff!$O$33))</f>
        <v>3262.08635</v>
      </c>
      <c r="P194" s="427" t="n">
        <f aca="false">VLOOKUP($A194,Curves_Table,Escalation!$AP$291)</f>
        <v>1.63898344452994</v>
      </c>
      <c r="Q194" s="1604" t="n">
        <f aca="false">SUM(N194,O194)*P194</f>
        <v>5346.50552227711</v>
      </c>
      <c r="R194" s="1579" t="str">
        <f aca="false">IF(MONTH($A194)=12,SUM(Q183:Q194)," ")</f>
        <v> </v>
      </c>
    </row>
    <row r="195" customFormat="false" ht="12.75" hidden="false" customHeight="false" outlineLevel="0" collapsed="false">
      <c r="A195" s="1538" t="n">
        <f aca="false">'Annex 12-Gas'!A195</f>
        <v>42522</v>
      </c>
      <c r="C195" s="488" t="n">
        <f aca="false">IF($A195&gt;Endyr,0,VLOOKUP($A195,Tariff_Table,Tariff!$L$33))</f>
        <v>1.21</v>
      </c>
      <c r="D195" s="427" t="n">
        <f aca="false">VLOOKUP($A195,Curves_Table,Escalation!$AL$291)</f>
        <v>1.57736227411484</v>
      </c>
      <c r="E195" s="1609" t="n">
        <f aca="false">C195*D195</f>
        <v>1.90860835167896</v>
      </c>
      <c r="F195" s="1314" t="n">
        <f aca="false">IF($A195&gt;Endyr,0,VLOOKUP($A195,Tariff_Table,Tariff!$M$33))</f>
        <v>0.25</v>
      </c>
      <c r="G195" s="1609" t="n">
        <f aca="false">SUM(E195,F195)</f>
        <v>2.15860835167896</v>
      </c>
      <c r="H195" s="397" t="n">
        <f aca="false">VLOOKUP($A195,Plant_Table,'Plant Operations'!$T$270)</f>
        <v>2025354.24</v>
      </c>
      <c r="I195" s="1566" t="n">
        <f aca="false">G195*H195/1000</f>
        <v>4371.94657757239</v>
      </c>
      <c r="J195" s="1567" t="str">
        <f aca="false">IF(MONTH($A195)=12,SUM(I184:I195)," ")</f>
        <v> </v>
      </c>
      <c r="L195" s="1610" t="n">
        <f aca="false">IF($A195&lt;Startops2,0,VLOOKUP($A195,Tariff_Table,Tariff!$N$33))</f>
        <v>0</v>
      </c>
      <c r="M195" s="397" t="n">
        <f aca="false">H195</f>
        <v>2025354.24</v>
      </c>
      <c r="N195" s="1611" t="n">
        <f aca="false">L195*M195/1000</f>
        <v>0</v>
      </c>
      <c r="O195" s="1611" t="n">
        <f aca="false">IF($A195&gt;Endyr,0,VLOOKUP($A195,Tariff_Table,Tariff!$O$33))</f>
        <v>3262.08635</v>
      </c>
      <c r="P195" s="427" t="n">
        <f aca="false">VLOOKUP($A195,Curves_Table,Escalation!$AP$291)</f>
        <v>1.63898344452994</v>
      </c>
      <c r="Q195" s="1604" t="n">
        <f aca="false">SUM(N195,O195)*P195</f>
        <v>5346.50552227711</v>
      </c>
      <c r="R195" s="1579" t="str">
        <f aca="false">IF(MONTH($A195)=12,SUM(Q184:Q195)," ")</f>
        <v> </v>
      </c>
    </row>
    <row r="196" customFormat="false" ht="12.75" hidden="false" customHeight="false" outlineLevel="0" collapsed="false">
      <c r="A196" s="1538" t="n">
        <f aca="false">'Annex 12-Gas'!A196</f>
        <v>42552</v>
      </c>
      <c r="C196" s="488" t="n">
        <f aca="false">IF($A196&gt;Endyr,0,VLOOKUP($A196,Tariff_Table,Tariff!$L$33))</f>
        <v>1.21</v>
      </c>
      <c r="D196" s="427" t="n">
        <f aca="false">VLOOKUP($A196,Curves_Table,Escalation!$AL$291)</f>
        <v>1.57736227411484</v>
      </c>
      <c r="E196" s="1609" t="n">
        <f aca="false">C196*D196</f>
        <v>1.90860835167896</v>
      </c>
      <c r="F196" s="1314" t="n">
        <f aca="false">IF($A196&gt;Endyr,0,VLOOKUP($A196,Tariff_Table,Tariff!$M$33))</f>
        <v>0.25</v>
      </c>
      <c r="G196" s="1609" t="n">
        <f aca="false">SUM(E196,F196)</f>
        <v>2.15860835167896</v>
      </c>
      <c r="H196" s="397" t="n">
        <f aca="false">VLOOKUP($A196,Plant_Table,'Plant Operations'!$T$270)</f>
        <v>2092866.048</v>
      </c>
      <c r="I196" s="1566" t="n">
        <f aca="false">G196*H196/1000</f>
        <v>4517.67813015814</v>
      </c>
      <c r="J196" s="1567" t="str">
        <f aca="false">IF(MONTH($A196)=12,SUM(I185:I196)," ")</f>
        <v> </v>
      </c>
      <c r="L196" s="1610" t="n">
        <f aca="false">IF($A196&lt;Startops2,0,VLOOKUP($A196,Tariff_Table,Tariff!$N$33))</f>
        <v>0</v>
      </c>
      <c r="M196" s="397" t="n">
        <f aca="false">H196</f>
        <v>2092866.048</v>
      </c>
      <c r="N196" s="1611" t="n">
        <f aca="false">L196*M196/1000</f>
        <v>0</v>
      </c>
      <c r="O196" s="1611" t="n">
        <f aca="false">IF($A196&gt;Endyr,0,VLOOKUP($A196,Tariff_Table,Tariff!$O$33))</f>
        <v>3262.08635</v>
      </c>
      <c r="P196" s="427" t="n">
        <f aca="false">VLOOKUP($A196,Curves_Table,Escalation!$AP$291)</f>
        <v>1.63898344452994</v>
      </c>
      <c r="Q196" s="1604" t="n">
        <f aca="false">SUM(N196,O196)*P196</f>
        <v>5346.50552227711</v>
      </c>
      <c r="R196" s="1579" t="str">
        <f aca="false">IF(MONTH($A196)=12,SUM(Q185:Q196)," ")</f>
        <v> </v>
      </c>
    </row>
    <row r="197" customFormat="false" ht="12.75" hidden="false" customHeight="false" outlineLevel="0" collapsed="false">
      <c r="A197" s="1538" t="n">
        <f aca="false">'Annex 12-Gas'!A197</f>
        <v>42583</v>
      </c>
      <c r="C197" s="488" t="n">
        <f aca="false">IF($A197&gt;Endyr,0,VLOOKUP($A197,Tariff_Table,Tariff!$L$33))</f>
        <v>1.21</v>
      </c>
      <c r="D197" s="427" t="n">
        <f aca="false">VLOOKUP($A197,Curves_Table,Escalation!$AL$291)</f>
        <v>1.57736227411484</v>
      </c>
      <c r="E197" s="1609" t="n">
        <f aca="false">C197*D197</f>
        <v>1.90860835167896</v>
      </c>
      <c r="F197" s="1314" t="n">
        <f aca="false">IF($A197&gt;Endyr,0,VLOOKUP($A197,Tariff_Table,Tariff!$M$33))</f>
        <v>0.25</v>
      </c>
      <c r="G197" s="1609" t="n">
        <f aca="false">SUM(E197,F197)</f>
        <v>2.15860835167896</v>
      </c>
      <c r="H197" s="397" t="n">
        <f aca="false">VLOOKUP($A197,Plant_Table,'Plant Operations'!$T$270)</f>
        <v>2092866.048</v>
      </c>
      <c r="I197" s="1566" t="n">
        <f aca="false">G197*H197/1000</f>
        <v>4517.67813015814</v>
      </c>
      <c r="J197" s="1567" t="str">
        <f aca="false">IF(MONTH($A197)=12,SUM(I186:I197)," ")</f>
        <v> </v>
      </c>
      <c r="L197" s="1610" t="n">
        <f aca="false">IF($A197&lt;Startops2,0,VLOOKUP($A197,Tariff_Table,Tariff!$N$33))</f>
        <v>0</v>
      </c>
      <c r="M197" s="397" t="n">
        <f aca="false">H197</f>
        <v>2092866.048</v>
      </c>
      <c r="N197" s="1611" t="n">
        <f aca="false">L197*M197/1000</f>
        <v>0</v>
      </c>
      <c r="O197" s="1611" t="n">
        <f aca="false">IF($A197&gt;Endyr,0,VLOOKUP($A197,Tariff_Table,Tariff!$O$33))</f>
        <v>3262.08635</v>
      </c>
      <c r="P197" s="427" t="n">
        <f aca="false">VLOOKUP($A197,Curves_Table,Escalation!$AP$291)</f>
        <v>1.63898344452994</v>
      </c>
      <c r="Q197" s="1604" t="n">
        <f aca="false">SUM(N197,O197)*P197</f>
        <v>5346.50552227711</v>
      </c>
      <c r="R197" s="1579" t="str">
        <f aca="false">IF(MONTH($A197)=12,SUM(Q186:Q197)," ")</f>
        <v> </v>
      </c>
    </row>
    <row r="198" customFormat="false" ht="12.75" hidden="false" customHeight="false" outlineLevel="0" collapsed="false">
      <c r="A198" s="1538" t="n">
        <f aca="false">'Annex 12-Gas'!A198</f>
        <v>42614</v>
      </c>
      <c r="C198" s="488" t="n">
        <f aca="false">IF($A198&gt;Endyr,0,VLOOKUP($A198,Tariff_Table,Tariff!$L$33))</f>
        <v>1.21</v>
      </c>
      <c r="D198" s="427" t="n">
        <f aca="false">VLOOKUP($A198,Curves_Table,Escalation!$AL$291)</f>
        <v>1.57736227411484</v>
      </c>
      <c r="E198" s="1609" t="n">
        <f aca="false">C198*D198</f>
        <v>1.90860835167896</v>
      </c>
      <c r="F198" s="1314" t="n">
        <f aca="false">IF($A198&gt;Endyr,0,VLOOKUP($A198,Tariff_Table,Tariff!$M$33))</f>
        <v>0.25</v>
      </c>
      <c r="G198" s="1609" t="n">
        <f aca="false">SUM(E198,F198)</f>
        <v>2.15860835167896</v>
      </c>
      <c r="H198" s="397" t="n">
        <f aca="false">VLOOKUP($A198,Plant_Table,'Plant Operations'!$T$270)</f>
        <v>2025354.24</v>
      </c>
      <c r="I198" s="1566" t="n">
        <f aca="false">G198*H198/1000</f>
        <v>4371.94657757239</v>
      </c>
      <c r="J198" s="1567" t="str">
        <f aca="false">IF(MONTH($A198)=12,SUM(I187:I198)," ")</f>
        <v> </v>
      </c>
      <c r="L198" s="1610" t="n">
        <f aca="false">IF($A198&lt;Startops2,0,VLOOKUP($A198,Tariff_Table,Tariff!$N$33))</f>
        <v>0</v>
      </c>
      <c r="M198" s="397" t="n">
        <f aca="false">H198</f>
        <v>2025354.24</v>
      </c>
      <c r="N198" s="1611" t="n">
        <f aca="false">L198*M198/1000</f>
        <v>0</v>
      </c>
      <c r="O198" s="1611" t="n">
        <f aca="false">IF($A198&gt;Endyr,0,VLOOKUP($A198,Tariff_Table,Tariff!$O$33))</f>
        <v>3262.08635</v>
      </c>
      <c r="P198" s="427" t="n">
        <f aca="false">VLOOKUP($A198,Curves_Table,Escalation!$AP$291)</f>
        <v>1.63898344452994</v>
      </c>
      <c r="Q198" s="1604" t="n">
        <f aca="false">SUM(N198,O198)*P198</f>
        <v>5346.50552227711</v>
      </c>
      <c r="R198" s="1579" t="str">
        <f aca="false">IF(MONTH($A198)=12,SUM(Q187:Q198)," ")</f>
        <v> </v>
      </c>
    </row>
    <row r="199" customFormat="false" ht="12.75" hidden="false" customHeight="false" outlineLevel="0" collapsed="false">
      <c r="A199" s="1538" t="n">
        <f aca="false">'Annex 12-Gas'!A199</f>
        <v>42644</v>
      </c>
      <c r="C199" s="488" t="n">
        <f aca="false">IF($A199&gt;Endyr,0,VLOOKUP($A199,Tariff_Table,Tariff!$L$33))</f>
        <v>1.21</v>
      </c>
      <c r="D199" s="427" t="n">
        <f aca="false">VLOOKUP($A199,Curves_Table,Escalation!$AL$291)</f>
        <v>1.57736227411484</v>
      </c>
      <c r="E199" s="1609" t="n">
        <f aca="false">C199*D199</f>
        <v>1.90860835167896</v>
      </c>
      <c r="F199" s="1314" t="n">
        <f aca="false">IF($A199&gt;Endyr,0,VLOOKUP($A199,Tariff_Table,Tariff!$M$33))</f>
        <v>0.25</v>
      </c>
      <c r="G199" s="1609" t="n">
        <f aca="false">SUM(E199,F199)</f>
        <v>2.15860835167896</v>
      </c>
      <c r="H199" s="397" t="n">
        <f aca="false">VLOOKUP($A199,Plant_Table,'Plant Operations'!$T$270)</f>
        <v>2092866.048</v>
      </c>
      <c r="I199" s="1566" t="n">
        <f aca="false">G199*H199/1000</f>
        <v>4517.67813015814</v>
      </c>
      <c r="J199" s="1567" t="str">
        <f aca="false">IF(MONTH($A199)=12,SUM(I188:I199)," ")</f>
        <v> </v>
      </c>
      <c r="L199" s="1610" t="n">
        <f aca="false">IF($A199&lt;Startops2,0,VLOOKUP($A199,Tariff_Table,Tariff!$N$33))</f>
        <v>0</v>
      </c>
      <c r="M199" s="397" t="n">
        <f aca="false">H199</f>
        <v>2092866.048</v>
      </c>
      <c r="N199" s="1611" t="n">
        <f aca="false">L199*M199/1000</f>
        <v>0</v>
      </c>
      <c r="O199" s="1611" t="n">
        <f aca="false">IF($A199&gt;Endyr,0,VLOOKUP($A199,Tariff_Table,Tariff!$O$33))</f>
        <v>3262.08635</v>
      </c>
      <c r="P199" s="427" t="n">
        <f aca="false">VLOOKUP($A199,Curves_Table,Escalation!$AP$291)</f>
        <v>1.63898344452994</v>
      </c>
      <c r="Q199" s="1604" t="n">
        <f aca="false">SUM(N199,O199)*P199</f>
        <v>5346.50552227711</v>
      </c>
      <c r="R199" s="1579" t="str">
        <f aca="false">IF(MONTH($A199)=12,SUM(Q188:Q199)," ")</f>
        <v> </v>
      </c>
    </row>
    <row r="200" customFormat="false" ht="12.75" hidden="false" customHeight="false" outlineLevel="0" collapsed="false">
      <c r="A200" s="1538" t="n">
        <f aca="false">'Annex 12-Gas'!A200</f>
        <v>42675</v>
      </c>
      <c r="C200" s="488" t="n">
        <f aca="false">IF($A200&gt;Endyr,0,VLOOKUP($A200,Tariff_Table,Tariff!$L$33))</f>
        <v>1.21</v>
      </c>
      <c r="D200" s="427" t="n">
        <f aca="false">VLOOKUP($A200,Curves_Table,Escalation!$AL$291)</f>
        <v>1.57736227411484</v>
      </c>
      <c r="E200" s="1609" t="n">
        <f aca="false">C200*D200</f>
        <v>1.90860835167896</v>
      </c>
      <c r="F200" s="1314" t="n">
        <f aca="false">IF($A200&gt;Endyr,0,VLOOKUP($A200,Tariff_Table,Tariff!$M$33))</f>
        <v>0.25</v>
      </c>
      <c r="G200" s="1609" t="n">
        <f aca="false">SUM(E200,F200)</f>
        <v>2.15860835167896</v>
      </c>
      <c r="H200" s="397" t="n">
        <f aca="false">VLOOKUP($A200,Plant_Table,'Plant Operations'!$T$270)</f>
        <v>2025354.24</v>
      </c>
      <c r="I200" s="1566" t="n">
        <f aca="false">G200*H200/1000</f>
        <v>4371.94657757239</v>
      </c>
      <c r="J200" s="1567" t="str">
        <f aca="false">IF(MONTH($A200)=12,SUM(I189:I200)," ")</f>
        <v> </v>
      </c>
      <c r="L200" s="1610" t="n">
        <f aca="false">IF($A200&lt;Startops2,0,VLOOKUP($A200,Tariff_Table,Tariff!$N$33))</f>
        <v>0</v>
      </c>
      <c r="M200" s="397" t="n">
        <f aca="false">H200</f>
        <v>2025354.24</v>
      </c>
      <c r="N200" s="1611" t="n">
        <f aca="false">L200*M200/1000</f>
        <v>0</v>
      </c>
      <c r="O200" s="1611" t="n">
        <f aca="false">IF($A200&gt;Endyr,0,VLOOKUP($A200,Tariff_Table,Tariff!$O$33))</f>
        <v>3262.08635</v>
      </c>
      <c r="P200" s="427" t="n">
        <f aca="false">VLOOKUP($A200,Curves_Table,Escalation!$AP$291)</f>
        <v>1.63898344452994</v>
      </c>
      <c r="Q200" s="1604" t="n">
        <f aca="false">SUM(N200,O200)*P200</f>
        <v>5346.50552227711</v>
      </c>
      <c r="R200" s="1579" t="str">
        <f aca="false">IF(MONTH($A200)=12,SUM(Q189:Q200)," ")</f>
        <v> </v>
      </c>
    </row>
    <row r="201" customFormat="false" ht="12.75" hidden="false" customHeight="false" outlineLevel="0" collapsed="false">
      <c r="A201" s="1538" t="n">
        <f aca="false">'Annex 12-Gas'!A201</f>
        <v>42705</v>
      </c>
      <c r="C201" s="488" t="n">
        <f aca="false">IF($A201&gt;Endyr,0,VLOOKUP($A201,Tariff_Table,Tariff!$L$33))</f>
        <v>1.21</v>
      </c>
      <c r="D201" s="427" t="n">
        <f aca="false">VLOOKUP($A201,Curves_Table,Escalation!$AL$291)</f>
        <v>1.57736227411484</v>
      </c>
      <c r="E201" s="1609" t="n">
        <f aca="false">C201*D201</f>
        <v>1.90860835167896</v>
      </c>
      <c r="F201" s="1314" t="n">
        <f aca="false">IF($A201&gt;Endyr,0,VLOOKUP($A201,Tariff_Table,Tariff!$M$33))</f>
        <v>0.25</v>
      </c>
      <c r="G201" s="1609" t="n">
        <f aca="false">SUM(E201,F201)</f>
        <v>2.15860835167896</v>
      </c>
      <c r="H201" s="397" t="n">
        <f aca="false">VLOOKUP($A201,Plant_Table,'Plant Operations'!$T$270)</f>
        <v>2092866.048</v>
      </c>
      <c r="I201" s="1566" t="n">
        <f aca="false">G201*H201/1000</f>
        <v>4517.67813015814</v>
      </c>
      <c r="J201" s="1567" t="n">
        <f aca="false">IF(MONTH($A201)=12,SUM(I190:I201)," ")</f>
        <v>52978.6246952897</v>
      </c>
      <c r="L201" s="1610" t="n">
        <f aca="false">IF($A201&lt;Startops2,0,VLOOKUP($A201,Tariff_Table,Tariff!$N$33))</f>
        <v>0</v>
      </c>
      <c r="M201" s="397" t="n">
        <f aca="false">H201</f>
        <v>2092866.048</v>
      </c>
      <c r="N201" s="1611" t="n">
        <f aca="false">L201*M201/1000</f>
        <v>0</v>
      </c>
      <c r="O201" s="1611" t="n">
        <f aca="false">IF($A201&gt;Endyr,0,VLOOKUP($A201,Tariff_Table,Tariff!$O$33))</f>
        <v>3262.08635</v>
      </c>
      <c r="P201" s="427" t="n">
        <f aca="false">VLOOKUP($A201,Curves_Table,Escalation!$AP$291)</f>
        <v>1.63898344452994</v>
      </c>
      <c r="Q201" s="1604" t="n">
        <f aca="false">SUM(N201,O201)*P201</f>
        <v>5346.50552227711</v>
      </c>
      <c r="R201" s="1579" t="n">
        <f aca="false">IF(MONTH($A201)=12,SUM(Q190:Q201)," ")</f>
        <v>63605.5762876779</v>
      </c>
    </row>
    <row r="202" customFormat="false" ht="12.75" hidden="false" customHeight="false" outlineLevel="0" collapsed="false">
      <c r="A202" s="1538" t="n">
        <f aca="false">'Annex 12-Gas'!A202</f>
        <v>42736</v>
      </c>
      <c r="C202" s="488" t="n">
        <f aca="false">IF($A202&gt;Endyr,0,VLOOKUP($A202,Tariff_Table,Tariff!$L$33))</f>
        <v>1.21</v>
      </c>
      <c r="D202" s="427" t="n">
        <f aca="false">VLOOKUP($A202,Curves_Table,Escalation!$AL$291)</f>
        <v>1.57736227411484</v>
      </c>
      <c r="E202" s="1609" t="n">
        <f aca="false">C202*D202</f>
        <v>1.90860835167896</v>
      </c>
      <c r="F202" s="1314" t="n">
        <f aca="false">IF($A202&gt;Endyr,0,VLOOKUP($A202,Tariff_Table,Tariff!$M$33))</f>
        <v>0.25</v>
      </c>
      <c r="G202" s="1609" t="n">
        <f aca="false">SUM(E202,F202)</f>
        <v>2.15860835167896</v>
      </c>
      <c r="H202" s="397" t="n">
        <f aca="false">VLOOKUP($A202,Plant_Table,'Plant Operations'!$T$270)</f>
        <v>2092866.048</v>
      </c>
      <c r="I202" s="1566" t="n">
        <f aca="false">G202*H202/1000</f>
        <v>4517.67813015814</v>
      </c>
      <c r="J202" s="1567" t="str">
        <f aca="false">IF(MONTH($A202)=12,SUM(I191:I202)," ")</f>
        <v> </v>
      </c>
      <c r="L202" s="1610" t="n">
        <f aca="false">IF($A202&lt;Startops2,0,VLOOKUP($A202,Tariff_Table,Tariff!$N$33))</f>
        <v>0</v>
      </c>
      <c r="M202" s="397" t="n">
        <f aca="false">H202</f>
        <v>2092866.048</v>
      </c>
      <c r="N202" s="1611" t="n">
        <f aca="false">L202*M202/1000</f>
        <v>0</v>
      </c>
      <c r="O202" s="1611" t="n">
        <f aca="false">IF($A202&gt;Endyr,0,VLOOKUP($A202,Tariff_Table,Tariff!$O$33))</f>
        <v>3262.08635</v>
      </c>
      <c r="P202" s="427" t="n">
        <f aca="false">VLOOKUP($A202,Curves_Table,Escalation!$AP$291)</f>
        <v>1.63898344452994</v>
      </c>
      <c r="Q202" s="1604" t="n">
        <f aca="false">SUM(N202,O202)*P202</f>
        <v>5346.50552227711</v>
      </c>
      <c r="R202" s="1579" t="str">
        <f aca="false">IF(MONTH($A202)=12,SUM(Q191:Q202)," ")</f>
        <v> </v>
      </c>
    </row>
    <row r="203" customFormat="false" ht="12.75" hidden="false" customHeight="false" outlineLevel="0" collapsed="false">
      <c r="A203" s="1538" t="n">
        <f aca="false">'Annex 12-Gas'!A203</f>
        <v>42767</v>
      </c>
      <c r="C203" s="488" t="n">
        <f aca="false">IF($A203&gt;Endyr,0,VLOOKUP($A203,Tariff_Table,Tariff!$L$33))</f>
        <v>1.21</v>
      </c>
      <c r="D203" s="427" t="n">
        <f aca="false">VLOOKUP($A203,Curves_Table,Escalation!$AL$291)</f>
        <v>1.57736227411484</v>
      </c>
      <c r="E203" s="1609" t="n">
        <f aca="false">C203*D203</f>
        <v>1.90860835167896</v>
      </c>
      <c r="F203" s="1314" t="n">
        <f aca="false">IF($A203&gt;Endyr,0,VLOOKUP($A203,Tariff_Table,Tariff!$M$33))</f>
        <v>0.25</v>
      </c>
      <c r="G203" s="1609" t="n">
        <f aca="false">SUM(E203,F203)</f>
        <v>2.15860835167896</v>
      </c>
      <c r="H203" s="397" t="n">
        <f aca="false">VLOOKUP($A203,Plant_Table,'Plant Operations'!$T$270)</f>
        <v>1890330.624</v>
      </c>
      <c r="I203" s="1566" t="n">
        <f aca="false">G203*H203/1000</f>
        <v>4080.4834724009</v>
      </c>
      <c r="J203" s="1567" t="str">
        <f aca="false">IF(MONTH($A203)=12,SUM(I192:I203)," ")</f>
        <v> </v>
      </c>
      <c r="L203" s="1610" t="n">
        <f aca="false">IF($A203&lt;Startops2,0,VLOOKUP($A203,Tariff_Table,Tariff!$N$33))</f>
        <v>0</v>
      </c>
      <c r="M203" s="397" t="n">
        <f aca="false">H203</f>
        <v>1890330.624</v>
      </c>
      <c r="N203" s="1611" t="n">
        <f aca="false">L203*M203/1000</f>
        <v>0</v>
      </c>
      <c r="O203" s="1611" t="n">
        <f aca="false">IF($A203&gt;Endyr,0,VLOOKUP($A203,Tariff_Table,Tariff!$O$33))</f>
        <v>3262.08635</v>
      </c>
      <c r="P203" s="427" t="n">
        <f aca="false">VLOOKUP($A203,Curves_Table,Escalation!$AP$291)</f>
        <v>1.63898344452994</v>
      </c>
      <c r="Q203" s="1604" t="n">
        <f aca="false">SUM(N203,O203)*P203</f>
        <v>5346.50552227711</v>
      </c>
      <c r="R203" s="1579" t="str">
        <f aca="false">IF(MONTH($A203)=12,SUM(Q192:Q203)," ")</f>
        <v> </v>
      </c>
    </row>
    <row r="204" customFormat="false" ht="12.75" hidden="false" customHeight="false" outlineLevel="0" collapsed="false">
      <c r="A204" s="1538" t="n">
        <f aca="false">'Annex 12-Gas'!A204</f>
        <v>42795</v>
      </c>
      <c r="C204" s="488" t="n">
        <f aca="false">IF($A204&gt;Endyr,0,VLOOKUP($A204,Tariff_Table,Tariff!$L$33))</f>
        <v>1.21</v>
      </c>
      <c r="D204" s="427" t="n">
        <f aca="false">VLOOKUP($A204,Curves_Table,Escalation!$AL$291)</f>
        <v>1.57736227411484</v>
      </c>
      <c r="E204" s="1609" t="n">
        <f aca="false">C204*D204</f>
        <v>1.90860835167896</v>
      </c>
      <c r="F204" s="1314" t="n">
        <f aca="false">IF($A204&gt;Endyr,0,VLOOKUP($A204,Tariff_Table,Tariff!$M$33))</f>
        <v>0.25</v>
      </c>
      <c r="G204" s="1609" t="n">
        <f aca="false">SUM(E204,F204)</f>
        <v>2.15860835167896</v>
      </c>
      <c r="H204" s="397" t="n">
        <f aca="false">VLOOKUP($A204,Plant_Table,'Plant Operations'!$T$270)</f>
        <v>2092866.048</v>
      </c>
      <c r="I204" s="1566" t="n">
        <f aca="false">G204*H204/1000</f>
        <v>4517.67813015814</v>
      </c>
      <c r="J204" s="1567" t="str">
        <f aca="false">IF(MONTH($A204)=12,SUM(I193:I204)," ")</f>
        <v> </v>
      </c>
      <c r="L204" s="1610" t="n">
        <f aca="false">IF($A204&lt;Startops2,0,VLOOKUP($A204,Tariff_Table,Tariff!$N$33))</f>
        <v>0</v>
      </c>
      <c r="M204" s="397" t="n">
        <f aca="false">H204</f>
        <v>2092866.048</v>
      </c>
      <c r="N204" s="1611" t="n">
        <f aca="false">L204*M204/1000</f>
        <v>0</v>
      </c>
      <c r="O204" s="1611" t="n">
        <f aca="false">IF($A204&gt;Endyr,0,VLOOKUP($A204,Tariff_Table,Tariff!$O$33))</f>
        <v>3262.08635</v>
      </c>
      <c r="P204" s="427" t="n">
        <f aca="false">VLOOKUP($A204,Curves_Table,Escalation!$AP$291)</f>
        <v>1.63898344452994</v>
      </c>
      <c r="Q204" s="1604" t="n">
        <f aca="false">SUM(N204,O204)*P204</f>
        <v>5346.50552227711</v>
      </c>
      <c r="R204" s="1579" t="str">
        <f aca="false">IF(MONTH($A204)=12,SUM(Q193:Q204)," ")</f>
        <v> </v>
      </c>
    </row>
    <row r="205" customFormat="false" ht="12.75" hidden="false" customHeight="false" outlineLevel="0" collapsed="false">
      <c r="A205" s="1538" t="n">
        <f aca="false">'Annex 12-Gas'!A205</f>
        <v>42826</v>
      </c>
      <c r="C205" s="488" t="n">
        <f aca="false">IF($A205&gt;Endyr,0,VLOOKUP($A205,Tariff_Table,Tariff!$L$33))</f>
        <v>1.21</v>
      </c>
      <c r="D205" s="427" t="n">
        <f aca="false">VLOOKUP($A205,Curves_Table,Escalation!$AL$291)</f>
        <v>1.57736227411484</v>
      </c>
      <c r="E205" s="1609" t="n">
        <f aca="false">C205*D205</f>
        <v>1.90860835167896</v>
      </c>
      <c r="F205" s="1314" t="n">
        <f aca="false">IF($A205&gt;Endyr,0,VLOOKUP($A205,Tariff_Table,Tariff!$M$33))</f>
        <v>0.25</v>
      </c>
      <c r="G205" s="1609" t="n">
        <f aca="false">SUM(E205,F205)</f>
        <v>2.15860835167896</v>
      </c>
      <c r="H205" s="397" t="n">
        <f aca="false">VLOOKUP($A205,Plant_Table,'Plant Operations'!$T$270)</f>
        <v>2025354.24</v>
      </c>
      <c r="I205" s="1566" t="n">
        <f aca="false">G205*H205/1000</f>
        <v>4371.94657757239</v>
      </c>
      <c r="J205" s="1567" t="str">
        <f aca="false">IF(MONTH($A205)=12,SUM(I194:I205)," ")</f>
        <v> </v>
      </c>
      <c r="L205" s="1610" t="n">
        <f aca="false">IF($A205&lt;Startops2,0,VLOOKUP($A205,Tariff_Table,Tariff!$N$33))</f>
        <v>0</v>
      </c>
      <c r="M205" s="397" t="n">
        <f aca="false">H205</f>
        <v>2025354.24</v>
      </c>
      <c r="N205" s="1611" t="n">
        <f aca="false">L205*M205/1000</f>
        <v>0</v>
      </c>
      <c r="O205" s="1611" t="n">
        <f aca="false">IF($A205&gt;Endyr,0,VLOOKUP($A205,Tariff_Table,Tariff!$O$33))</f>
        <v>3262.08635</v>
      </c>
      <c r="P205" s="427" t="n">
        <f aca="false">VLOOKUP($A205,Curves_Table,Escalation!$AP$291)</f>
        <v>1.63898344452994</v>
      </c>
      <c r="Q205" s="1604" t="n">
        <f aca="false">SUM(N205,O205)*P205</f>
        <v>5346.50552227711</v>
      </c>
      <c r="R205" s="1579" t="str">
        <f aca="false">IF(MONTH($A205)=12,SUM(Q194:Q205)," ")</f>
        <v> </v>
      </c>
    </row>
    <row r="206" customFormat="false" ht="12.75" hidden="false" customHeight="false" outlineLevel="0" collapsed="false">
      <c r="A206" s="1538" t="n">
        <f aca="false">'Annex 12-Gas'!A206</f>
        <v>42856</v>
      </c>
      <c r="C206" s="488" t="n">
        <f aca="false">IF($A206&gt;Endyr,0,VLOOKUP($A206,Tariff_Table,Tariff!$L$33))</f>
        <v>1.21</v>
      </c>
      <c r="D206" s="427" t="n">
        <f aca="false">VLOOKUP($A206,Curves_Table,Escalation!$AL$291)</f>
        <v>1.6153442667317</v>
      </c>
      <c r="E206" s="1609" t="n">
        <f aca="false">C206*D206</f>
        <v>1.95456656274536</v>
      </c>
      <c r="F206" s="1314" t="n">
        <f aca="false">IF($A206&gt;Endyr,0,VLOOKUP($A206,Tariff_Table,Tariff!$M$33))</f>
        <v>0.25</v>
      </c>
      <c r="G206" s="1609" t="n">
        <f aca="false">SUM(E206,F206)</f>
        <v>2.20456656274536</v>
      </c>
      <c r="H206" s="397" t="n">
        <f aca="false">VLOOKUP($A206,Plant_Table,'Plant Operations'!$T$270)</f>
        <v>2092866.048</v>
      </c>
      <c r="I206" s="1566" t="n">
        <f aca="false">G206*H206/1000</f>
        <v>4613.86250972583</v>
      </c>
      <c r="J206" s="1567" t="str">
        <f aca="false">IF(MONTH($A206)=12,SUM(I195:I206)," ")</f>
        <v> </v>
      </c>
      <c r="L206" s="1610" t="n">
        <f aca="false">IF($A206&lt;Startops2,0,VLOOKUP($A206,Tariff_Table,Tariff!$N$33))</f>
        <v>0</v>
      </c>
      <c r="M206" s="397" t="n">
        <f aca="false">H206</f>
        <v>2092866.048</v>
      </c>
      <c r="N206" s="1611" t="n">
        <f aca="false">L206*M206/1000</f>
        <v>0</v>
      </c>
      <c r="O206" s="1611" t="n">
        <f aca="false">IF($A206&gt;Endyr,0,VLOOKUP($A206,Tariff_Table,Tariff!$O$33))</f>
        <v>3255.87153</v>
      </c>
      <c r="P206" s="427" t="n">
        <f aca="false">VLOOKUP($A206,Curves_Table,Escalation!$AP$291)</f>
        <v>1.68254669873615</v>
      </c>
      <c r="Q206" s="1604" t="n">
        <f aca="false">SUM(N206,O206)*P206</f>
        <v>5478.15589431051</v>
      </c>
      <c r="R206" s="1579" t="str">
        <f aca="false">IF(MONTH($A206)=12,SUM(Q195:Q206)," ")</f>
        <v> </v>
      </c>
    </row>
    <row r="207" customFormat="false" ht="12.75" hidden="false" customHeight="false" outlineLevel="0" collapsed="false">
      <c r="A207" s="1538" t="n">
        <f aca="false">'Annex 12-Gas'!A207</f>
        <v>42887</v>
      </c>
      <c r="C207" s="488" t="n">
        <f aca="false">IF($A207&gt;Endyr,0,VLOOKUP($A207,Tariff_Table,Tariff!$L$33))</f>
        <v>1.21</v>
      </c>
      <c r="D207" s="427" t="n">
        <f aca="false">VLOOKUP($A207,Curves_Table,Escalation!$AL$291)</f>
        <v>1.6153442667317</v>
      </c>
      <c r="E207" s="1609" t="n">
        <f aca="false">C207*D207</f>
        <v>1.95456656274536</v>
      </c>
      <c r="F207" s="1314" t="n">
        <f aca="false">IF($A207&gt;Endyr,0,VLOOKUP($A207,Tariff_Table,Tariff!$M$33))</f>
        <v>0.25</v>
      </c>
      <c r="G207" s="1609" t="n">
        <f aca="false">SUM(E207,F207)</f>
        <v>2.20456656274536</v>
      </c>
      <c r="H207" s="397" t="n">
        <f aca="false">VLOOKUP($A207,Plant_Table,'Plant Operations'!$T$270)</f>
        <v>2025354.24</v>
      </c>
      <c r="I207" s="1566" t="n">
        <f aca="false">G207*H207/1000</f>
        <v>4465.02823521855</v>
      </c>
      <c r="J207" s="1567" t="str">
        <f aca="false">IF(MONTH($A207)=12,SUM(I196:I207)," ")</f>
        <v> </v>
      </c>
      <c r="L207" s="1610" t="n">
        <f aca="false">IF($A207&lt;Startops2,0,VLOOKUP($A207,Tariff_Table,Tariff!$N$33))</f>
        <v>0</v>
      </c>
      <c r="M207" s="397" t="n">
        <f aca="false">H207</f>
        <v>2025354.24</v>
      </c>
      <c r="N207" s="1611" t="n">
        <f aca="false">L207*M207/1000</f>
        <v>0</v>
      </c>
      <c r="O207" s="1611" t="n">
        <f aca="false">IF($A207&gt;Endyr,0,VLOOKUP($A207,Tariff_Table,Tariff!$O$33))</f>
        <v>3255.87153</v>
      </c>
      <c r="P207" s="427" t="n">
        <f aca="false">VLOOKUP($A207,Curves_Table,Escalation!$AP$291)</f>
        <v>1.68254669873615</v>
      </c>
      <c r="Q207" s="1604" t="n">
        <f aca="false">SUM(N207,O207)*P207</f>
        <v>5478.15589431051</v>
      </c>
      <c r="R207" s="1579" t="str">
        <f aca="false">IF(MONTH($A207)=12,SUM(Q196:Q207)," ")</f>
        <v> </v>
      </c>
    </row>
    <row r="208" customFormat="false" ht="12.75" hidden="false" customHeight="false" outlineLevel="0" collapsed="false">
      <c r="A208" s="1538" t="n">
        <f aca="false">'Annex 12-Gas'!A208</f>
        <v>42917</v>
      </c>
      <c r="C208" s="488" t="n">
        <f aca="false">IF($A208&gt;Endyr,0,VLOOKUP($A208,Tariff_Table,Tariff!$L$33))</f>
        <v>1.21</v>
      </c>
      <c r="D208" s="427" t="n">
        <f aca="false">VLOOKUP($A208,Curves_Table,Escalation!$AL$291)</f>
        <v>1.6153442667317</v>
      </c>
      <c r="E208" s="1609" t="n">
        <f aca="false">C208*D208</f>
        <v>1.95456656274536</v>
      </c>
      <c r="F208" s="1314" t="n">
        <f aca="false">IF($A208&gt;Endyr,0,VLOOKUP($A208,Tariff_Table,Tariff!$M$33))</f>
        <v>0.25</v>
      </c>
      <c r="G208" s="1609" t="n">
        <f aca="false">SUM(E208,F208)</f>
        <v>2.20456656274536</v>
      </c>
      <c r="H208" s="397" t="n">
        <f aca="false">VLOOKUP($A208,Plant_Table,'Plant Operations'!$T$270)</f>
        <v>2092866.048</v>
      </c>
      <c r="I208" s="1566" t="n">
        <f aca="false">G208*H208/1000</f>
        <v>4613.86250972583</v>
      </c>
      <c r="J208" s="1567" t="str">
        <f aca="false">IF(MONTH($A208)=12,SUM(I197:I208)," ")</f>
        <v> </v>
      </c>
      <c r="L208" s="1610" t="n">
        <f aca="false">IF($A208&lt;Startops2,0,VLOOKUP($A208,Tariff_Table,Tariff!$N$33))</f>
        <v>0</v>
      </c>
      <c r="M208" s="397" t="n">
        <f aca="false">H208</f>
        <v>2092866.048</v>
      </c>
      <c r="N208" s="1611" t="n">
        <f aca="false">L208*M208/1000</f>
        <v>0</v>
      </c>
      <c r="O208" s="1611" t="n">
        <f aca="false">IF($A208&gt;Endyr,0,VLOOKUP($A208,Tariff_Table,Tariff!$O$33))</f>
        <v>3255.87153</v>
      </c>
      <c r="P208" s="427" t="n">
        <f aca="false">VLOOKUP($A208,Curves_Table,Escalation!$AP$291)</f>
        <v>1.68254669873615</v>
      </c>
      <c r="Q208" s="1604" t="n">
        <f aca="false">SUM(N208,O208)*P208</f>
        <v>5478.15589431051</v>
      </c>
      <c r="R208" s="1579" t="str">
        <f aca="false">IF(MONTH($A208)=12,SUM(Q197:Q208)," ")</f>
        <v> </v>
      </c>
    </row>
    <row r="209" customFormat="false" ht="12.75" hidden="false" customHeight="false" outlineLevel="0" collapsed="false">
      <c r="A209" s="1538" t="n">
        <f aca="false">'Annex 12-Gas'!A209</f>
        <v>42948</v>
      </c>
      <c r="C209" s="488" t="n">
        <f aca="false">IF($A209&gt;Endyr,0,VLOOKUP($A209,Tariff_Table,Tariff!$L$33))</f>
        <v>1.21</v>
      </c>
      <c r="D209" s="427" t="n">
        <f aca="false">VLOOKUP($A209,Curves_Table,Escalation!$AL$291)</f>
        <v>1.6153442667317</v>
      </c>
      <c r="E209" s="1609" t="n">
        <f aca="false">C209*D209</f>
        <v>1.95456656274536</v>
      </c>
      <c r="F209" s="1314" t="n">
        <f aca="false">IF($A209&gt;Endyr,0,VLOOKUP($A209,Tariff_Table,Tariff!$M$33))</f>
        <v>0.25</v>
      </c>
      <c r="G209" s="1609" t="n">
        <f aca="false">SUM(E209,F209)</f>
        <v>2.20456656274536</v>
      </c>
      <c r="H209" s="397" t="n">
        <f aca="false">VLOOKUP($A209,Plant_Table,'Plant Operations'!$T$270)</f>
        <v>2092866.048</v>
      </c>
      <c r="I209" s="1566" t="n">
        <f aca="false">G209*H209/1000</f>
        <v>4613.86250972583</v>
      </c>
      <c r="J209" s="1567" t="str">
        <f aca="false">IF(MONTH($A209)=12,SUM(I198:I209)," ")</f>
        <v> </v>
      </c>
      <c r="L209" s="1610" t="n">
        <f aca="false">IF($A209&lt;Startops2,0,VLOOKUP($A209,Tariff_Table,Tariff!$N$33))</f>
        <v>0</v>
      </c>
      <c r="M209" s="397" t="n">
        <f aca="false">H209</f>
        <v>2092866.048</v>
      </c>
      <c r="N209" s="1611" t="n">
        <f aca="false">L209*M209/1000</f>
        <v>0</v>
      </c>
      <c r="O209" s="1611" t="n">
        <f aca="false">IF($A209&gt;Endyr,0,VLOOKUP($A209,Tariff_Table,Tariff!$O$33))</f>
        <v>3255.87153</v>
      </c>
      <c r="P209" s="427" t="n">
        <f aca="false">VLOOKUP($A209,Curves_Table,Escalation!$AP$291)</f>
        <v>1.68254669873615</v>
      </c>
      <c r="Q209" s="1604" t="n">
        <f aca="false">SUM(N209,O209)*P209</f>
        <v>5478.15589431051</v>
      </c>
      <c r="R209" s="1579" t="str">
        <f aca="false">IF(MONTH($A209)=12,SUM(Q198:Q209)," ")</f>
        <v> </v>
      </c>
    </row>
    <row r="210" customFormat="false" ht="12.75" hidden="false" customHeight="false" outlineLevel="0" collapsed="false">
      <c r="A210" s="1538" t="n">
        <f aca="false">'Annex 12-Gas'!A210</f>
        <v>42979</v>
      </c>
      <c r="C210" s="488" t="n">
        <f aca="false">IF($A210&gt;Endyr,0,VLOOKUP($A210,Tariff_Table,Tariff!$L$33))</f>
        <v>1.21</v>
      </c>
      <c r="D210" s="427" t="n">
        <f aca="false">VLOOKUP($A210,Curves_Table,Escalation!$AL$291)</f>
        <v>1.6153442667317</v>
      </c>
      <c r="E210" s="1609" t="n">
        <f aca="false">C210*D210</f>
        <v>1.95456656274536</v>
      </c>
      <c r="F210" s="1314" t="n">
        <f aca="false">IF($A210&gt;Endyr,0,VLOOKUP($A210,Tariff_Table,Tariff!$M$33))</f>
        <v>0.25</v>
      </c>
      <c r="G210" s="1609" t="n">
        <f aca="false">SUM(E210,F210)</f>
        <v>2.20456656274536</v>
      </c>
      <c r="H210" s="397" t="n">
        <f aca="false">VLOOKUP($A210,Plant_Table,'Plant Operations'!$T$270)</f>
        <v>2025354.24</v>
      </c>
      <c r="I210" s="1566" t="n">
        <f aca="false">G210*H210/1000</f>
        <v>4465.02823521855</v>
      </c>
      <c r="J210" s="1567" t="str">
        <f aca="false">IF(MONTH($A210)=12,SUM(I199:I210)," ")</f>
        <v> </v>
      </c>
      <c r="L210" s="1610" t="n">
        <f aca="false">IF($A210&lt;Startops2,0,VLOOKUP($A210,Tariff_Table,Tariff!$N$33))</f>
        <v>0</v>
      </c>
      <c r="M210" s="397" t="n">
        <f aca="false">H210</f>
        <v>2025354.24</v>
      </c>
      <c r="N210" s="1611" t="n">
        <f aca="false">L210*M210/1000</f>
        <v>0</v>
      </c>
      <c r="O210" s="1611" t="n">
        <f aca="false">IF($A210&gt;Endyr,0,VLOOKUP($A210,Tariff_Table,Tariff!$O$33))</f>
        <v>3255.87153</v>
      </c>
      <c r="P210" s="427" t="n">
        <f aca="false">VLOOKUP($A210,Curves_Table,Escalation!$AP$291)</f>
        <v>1.68254669873615</v>
      </c>
      <c r="Q210" s="1604" t="n">
        <f aca="false">SUM(N210,O210)*P210</f>
        <v>5478.15589431051</v>
      </c>
      <c r="R210" s="1579" t="str">
        <f aca="false">IF(MONTH($A210)=12,SUM(Q199:Q210)," ")</f>
        <v> </v>
      </c>
    </row>
    <row r="211" customFormat="false" ht="12.75" hidden="false" customHeight="false" outlineLevel="0" collapsed="false">
      <c r="A211" s="1538" t="n">
        <f aca="false">'Annex 12-Gas'!A211</f>
        <v>43009</v>
      </c>
      <c r="C211" s="488" t="n">
        <f aca="false">IF($A211&gt;Endyr,0,VLOOKUP($A211,Tariff_Table,Tariff!$L$33))</f>
        <v>1.21</v>
      </c>
      <c r="D211" s="427" t="n">
        <f aca="false">VLOOKUP($A211,Curves_Table,Escalation!$AL$291)</f>
        <v>1.6153442667317</v>
      </c>
      <c r="E211" s="1609" t="n">
        <f aca="false">C211*D211</f>
        <v>1.95456656274536</v>
      </c>
      <c r="F211" s="1314" t="n">
        <f aca="false">IF($A211&gt;Endyr,0,VLOOKUP($A211,Tariff_Table,Tariff!$M$33))</f>
        <v>0.25</v>
      </c>
      <c r="G211" s="1609" t="n">
        <f aca="false">SUM(E211,F211)</f>
        <v>2.20456656274536</v>
      </c>
      <c r="H211" s="397" t="n">
        <f aca="false">VLOOKUP($A211,Plant_Table,'Plant Operations'!$T$270)</f>
        <v>2092866.048</v>
      </c>
      <c r="I211" s="1566" t="n">
        <f aca="false">G211*H211/1000</f>
        <v>4613.86250972583</v>
      </c>
      <c r="J211" s="1567" t="str">
        <f aca="false">IF(MONTH($A211)=12,SUM(I200:I211)," ")</f>
        <v> </v>
      </c>
      <c r="L211" s="1610" t="n">
        <f aca="false">IF($A211&lt;Startops2,0,VLOOKUP($A211,Tariff_Table,Tariff!$N$33))</f>
        <v>0</v>
      </c>
      <c r="M211" s="397" t="n">
        <f aca="false">H211</f>
        <v>2092866.048</v>
      </c>
      <c r="N211" s="1611" t="n">
        <f aca="false">L211*M211/1000</f>
        <v>0</v>
      </c>
      <c r="O211" s="1611" t="n">
        <f aca="false">IF($A211&gt;Endyr,0,VLOOKUP($A211,Tariff_Table,Tariff!$O$33))</f>
        <v>3255.87153</v>
      </c>
      <c r="P211" s="427" t="n">
        <f aca="false">VLOOKUP($A211,Curves_Table,Escalation!$AP$291)</f>
        <v>1.68254669873615</v>
      </c>
      <c r="Q211" s="1604" t="n">
        <f aca="false">SUM(N211,O211)*P211</f>
        <v>5478.15589431051</v>
      </c>
      <c r="R211" s="1579" t="str">
        <f aca="false">IF(MONTH($A211)=12,SUM(Q200:Q211)," ")</f>
        <v> </v>
      </c>
    </row>
    <row r="212" customFormat="false" ht="12.75" hidden="false" customHeight="false" outlineLevel="0" collapsed="false">
      <c r="A212" s="1538" t="n">
        <f aca="false">'Annex 12-Gas'!A212</f>
        <v>43040</v>
      </c>
      <c r="C212" s="488" t="n">
        <f aca="false">IF($A212&gt;Endyr,0,VLOOKUP($A212,Tariff_Table,Tariff!$L$33))</f>
        <v>1.21</v>
      </c>
      <c r="D212" s="427" t="n">
        <f aca="false">VLOOKUP($A212,Curves_Table,Escalation!$AL$291)</f>
        <v>1.6153442667317</v>
      </c>
      <c r="E212" s="1609" t="n">
        <f aca="false">C212*D212</f>
        <v>1.95456656274536</v>
      </c>
      <c r="F212" s="1314" t="n">
        <f aca="false">IF($A212&gt;Endyr,0,VLOOKUP($A212,Tariff_Table,Tariff!$M$33))</f>
        <v>0.25</v>
      </c>
      <c r="G212" s="1609" t="n">
        <f aca="false">SUM(E212,F212)</f>
        <v>2.20456656274536</v>
      </c>
      <c r="H212" s="397" t="n">
        <f aca="false">VLOOKUP($A212,Plant_Table,'Plant Operations'!$T$270)</f>
        <v>2025354.24</v>
      </c>
      <c r="I212" s="1566" t="n">
        <f aca="false">G212*H212/1000</f>
        <v>4465.02823521855</v>
      </c>
      <c r="J212" s="1567" t="str">
        <f aca="false">IF(MONTH($A212)=12,SUM(I201:I212)," ")</f>
        <v> </v>
      </c>
      <c r="L212" s="1610" t="n">
        <f aca="false">IF($A212&lt;Startops2,0,VLOOKUP($A212,Tariff_Table,Tariff!$N$33))</f>
        <v>0</v>
      </c>
      <c r="M212" s="397" t="n">
        <f aca="false">H212</f>
        <v>2025354.24</v>
      </c>
      <c r="N212" s="1611" t="n">
        <f aca="false">L212*M212/1000</f>
        <v>0</v>
      </c>
      <c r="O212" s="1611" t="n">
        <f aca="false">IF($A212&gt;Endyr,0,VLOOKUP($A212,Tariff_Table,Tariff!$O$33))</f>
        <v>3255.87153</v>
      </c>
      <c r="P212" s="427" t="n">
        <f aca="false">VLOOKUP($A212,Curves_Table,Escalation!$AP$291)</f>
        <v>1.68254669873615</v>
      </c>
      <c r="Q212" s="1604" t="n">
        <f aca="false">SUM(N212,O212)*P212</f>
        <v>5478.15589431051</v>
      </c>
      <c r="R212" s="1579" t="str">
        <f aca="false">IF(MONTH($A212)=12,SUM(Q201:Q212)," ")</f>
        <v> </v>
      </c>
    </row>
    <row r="213" customFormat="false" ht="12.75" hidden="false" customHeight="false" outlineLevel="0" collapsed="false">
      <c r="A213" s="1538" t="n">
        <f aca="false">'Annex 12-Gas'!A213</f>
        <v>43070</v>
      </c>
      <c r="C213" s="488" t="n">
        <f aca="false">IF($A213&gt;Endyr,0,VLOOKUP($A213,Tariff_Table,Tariff!$L$33))</f>
        <v>1.21</v>
      </c>
      <c r="D213" s="427" t="n">
        <f aca="false">VLOOKUP($A213,Curves_Table,Escalation!$AL$291)</f>
        <v>1.6153442667317</v>
      </c>
      <c r="E213" s="1609" t="n">
        <f aca="false">C213*D213</f>
        <v>1.95456656274536</v>
      </c>
      <c r="F213" s="1314" t="n">
        <f aca="false">IF($A213&gt;Endyr,0,VLOOKUP($A213,Tariff_Table,Tariff!$M$33))</f>
        <v>0.25</v>
      </c>
      <c r="G213" s="1609" t="n">
        <f aca="false">SUM(E213,F213)</f>
        <v>2.20456656274536</v>
      </c>
      <c r="H213" s="397" t="n">
        <f aca="false">VLOOKUP($A213,Plant_Table,'Plant Operations'!$T$270)</f>
        <v>2092866.048</v>
      </c>
      <c r="I213" s="1566" t="n">
        <f aca="false">G213*H213/1000</f>
        <v>4613.86250972583</v>
      </c>
      <c r="J213" s="1567" t="n">
        <f aca="false">IF(MONTH($A213)=12,SUM(I202:I213)," ")</f>
        <v>53952.1835645744</v>
      </c>
      <c r="L213" s="1610" t="n">
        <f aca="false">IF($A213&lt;Startops2,0,VLOOKUP($A213,Tariff_Table,Tariff!$N$33))</f>
        <v>0</v>
      </c>
      <c r="M213" s="397" t="n">
        <f aca="false">H213</f>
        <v>2092866.048</v>
      </c>
      <c r="N213" s="1611" t="n">
        <f aca="false">L213*M213/1000</f>
        <v>0</v>
      </c>
      <c r="O213" s="1611" t="n">
        <f aca="false">IF($A213&gt;Endyr,0,VLOOKUP($A213,Tariff_Table,Tariff!$O$33))</f>
        <v>3255.87153</v>
      </c>
      <c r="P213" s="427" t="n">
        <f aca="false">VLOOKUP($A213,Curves_Table,Escalation!$AP$291)</f>
        <v>1.68254669873615</v>
      </c>
      <c r="Q213" s="1604" t="n">
        <f aca="false">SUM(N213,O213)*P213</f>
        <v>5478.15589431051</v>
      </c>
      <c r="R213" s="1579" t="n">
        <f aca="false">IF(MONTH($A213)=12,SUM(Q202:Q213)," ")</f>
        <v>65211.2692435926</v>
      </c>
    </row>
    <row r="214" customFormat="false" ht="12.75" hidden="false" customHeight="false" outlineLevel="0" collapsed="false">
      <c r="A214" s="1538" t="n">
        <f aca="false">'Annex 12-Gas'!A214</f>
        <v>43101</v>
      </c>
      <c r="C214" s="488" t="n">
        <f aca="false">IF($A214&gt;Endyr,0,VLOOKUP($A214,Tariff_Table,Tariff!$L$33))</f>
        <v>1.21</v>
      </c>
      <c r="D214" s="427" t="n">
        <f aca="false">VLOOKUP($A214,Curves_Table,Escalation!$AL$291)</f>
        <v>1.6153442667317</v>
      </c>
      <c r="E214" s="1609" t="n">
        <f aca="false">C214*D214</f>
        <v>1.95456656274536</v>
      </c>
      <c r="F214" s="1314" t="n">
        <f aca="false">IF($A214&gt;Endyr,0,VLOOKUP($A214,Tariff_Table,Tariff!$M$33))</f>
        <v>0.25</v>
      </c>
      <c r="G214" s="1609" t="n">
        <f aca="false">SUM(E214,F214)</f>
        <v>2.20456656274536</v>
      </c>
      <c r="H214" s="397" t="n">
        <f aca="false">VLOOKUP($A214,Plant_Table,'Plant Operations'!$T$270)</f>
        <v>2092866.048</v>
      </c>
      <c r="I214" s="1566" t="n">
        <f aca="false">G214*H214/1000</f>
        <v>4613.86250972583</v>
      </c>
      <c r="J214" s="1567" t="str">
        <f aca="false">IF(MONTH($A214)=12,SUM(I203:I214)," ")</f>
        <v> </v>
      </c>
      <c r="L214" s="1610" t="n">
        <f aca="false">IF($A214&lt;Startops2,0,VLOOKUP($A214,Tariff_Table,Tariff!$N$33))</f>
        <v>0</v>
      </c>
      <c r="M214" s="397" t="n">
        <f aca="false">H214</f>
        <v>2092866.048</v>
      </c>
      <c r="N214" s="1611" t="n">
        <f aca="false">L214*M214/1000</f>
        <v>0</v>
      </c>
      <c r="O214" s="1611" t="n">
        <f aca="false">IF($A214&gt;Endyr,0,VLOOKUP($A214,Tariff_Table,Tariff!$O$33))</f>
        <v>3255.87153</v>
      </c>
      <c r="P214" s="427" t="n">
        <f aca="false">VLOOKUP($A214,Curves_Table,Escalation!$AP$291)</f>
        <v>1.68254669873615</v>
      </c>
      <c r="Q214" s="1604" t="n">
        <f aca="false">SUM(N214,O214)*P214</f>
        <v>5478.15589431051</v>
      </c>
      <c r="R214" s="1579" t="str">
        <f aca="false">IF(MONTH($A214)=12,SUM(Q203:Q214)," ")</f>
        <v> </v>
      </c>
    </row>
    <row r="215" customFormat="false" ht="12.75" hidden="false" customHeight="false" outlineLevel="0" collapsed="false">
      <c r="A215" s="1538" t="n">
        <f aca="false">'Annex 12-Gas'!A215</f>
        <v>43132</v>
      </c>
      <c r="C215" s="488" t="n">
        <f aca="false">IF($A215&gt;Endyr,0,VLOOKUP($A215,Tariff_Table,Tariff!$L$33))</f>
        <v>1.21</v>
      </c>
      <c r="D215" s="427" t="n">
        <f aca="false">VLOOKUP($A215,Curves_Table,Escalation!$AL$291)</f>
        <v>1.6153442667317</v>
      </c>
      <c r="E215" s="1609" t="n">
        <f aca="false">C215*D215</f>
        <v>1.95456656274536</v>
      </c>
      <c r="F215" s="1314" t="n">
        <f aca="false">IF($A215&gt;Endyr,0,VLOOKUP($A215,Tariff_Table,Tariff!$M$33))</f>
        <v>0.25</v>
      </c>
      <c r="G215" s="1609" t="n">
        <f aca="false">SUM(E215,F215)</f>
        <v>2.20456656274536</v>
      </c>
      <c r="H215" s="397" t="n">
        <f aca="false">VLOOKUP($A215,Plant_Table,'Plant Operations'!$T$270)</f>
        <v>1890330.624</v>
      </c>
      <c r="I215" s="1566" t="n">
        <f aca="false">G215*H215/1000</f>
        <v>4167.35968620398</v>
      </c>
      <c r="J215" s="1567" t="str">
        <f aca="false">IF(MONTH($A215)=12,SUM(I204:I215)," ")</f>
        <v> </v>
      </c>
      <c r="L215" s="1610" t="n">
        <f aca="false">IF($A215&lt;Startops2,0,VLOOKUP($A215,Tariff_Table,Tariff!$N$33))</f>
        <v>0</v>
      </c>
      <c r="M215" s="397" t="n">
        <f aca="false">H215</f>
        <v>1890330.624</v>
      </c>
      <c r="N215" s="1611" t="n">
        <f aca="false">L215*M215/1000</f>
        <v>0</v>
      </c>
      <c r="O215" s="1611" t="n">
        <f aca="false">IF($A215&gt;Endyr,0,VLOOKUP($A215,Tariff_Table,Tariff!$O$33))</f>
        <v>3255.87153</v>
      </c>
      <c r="P215" s="427" t="n">
        <f aca="false">VLOOKUP($A215,Curves_Table,Escalation!$AP$291)</f>
        <v>1.68254669873615</v>
      </c>
      <c r="Q215" s="1604" t="n">
        <f aca="false">SUM(N215,O215)*P215</f>
        <v>5478.15589431051</v>
      </c>
      <c r="R215" s="1579" t="str">
        <f aca="false">IF(MONTH($A215)=12,SUM(Q204:Q215)," ")</f>
        <v> </v>
      </c>
    </row>
    <row r="216" customFormat="false" ht="12.75" hidden="false" customHeight="false" outlineLevel="0" collapsed="false">
      <c r="A216" s="1538" t="n">
        <f aca="false">'Annex 12-Gas'!A216</f>
        <v>43160</v>
      </c>
      <c r="C216" s="488" t="n">
        <f aca="false">IF($A216&gt;Endyr,0,VLOOKUP($A216,Tariff_Table,Tariff!$L$33))</f>
        <v>1.21</v>
      </c>
      <c r="D216" s="427" t="n">
        <f aca="false">VLOOKUP($A216,Curves_Table,Escalation!$AL$291)</f>
        <v>1.6153442667317</v>
      </c>
      <c r="E216" s="1609" t="n">
        <f aca="false">C216*D216</f>
        <v>1.95456656274536</v>
      </c>
      <c r="F216" s="1314" t="n">
        <f aca="false">IF($A216&gt;Endyr,0,VLOOKUP($A216,Tariff_Table,Tariff!$M$33))</f>
        <v>0.25</v>
      </c>
      <c r="G216" s="1609" t="n">
        <f aca="false">SUM(E216,F216)</f>
        <v>2.20456656274536</v>
      </c>
      <c r="H216" s="397" t="n">
        <f aca="false">VLOOKUP($A216,Plant_Table,'Plant Operations'!$T$270)</f>
        <v>2092866.048</v>
      </c>
      <c r="I216" s="1566" t="n">
        <f aca="false">G216*H216/1000</f>
        <v>4613.86250972583</v>
      </c>
      <c r="J216" s="1567" t="str">
        <f aca="false">IF(MONTH($A216)=12,SUM(I205:I216)," ")</f>
        <v> </v>
      </c>
      <c r="L216" s="1610" t="n">
        <f aca="false">IF($A216&lt;Startops2,0,VLOOKUP($A216,Tariff_Table,Tariff!$N$33))</f>
        <v>0</v>
      </c>
      <c r="M216" s="397" t="n">
        <f aca="false">H216</f>
        <v>2092866.048</v>
      </c>
      <c r="N216" s="1611" t="n">
        <f aca="false">L216*M216/1000</f>
        <v>0</v>
      </c>
      <c r="O216" s="1611" t="n">
        <f aca="false">IF($A216&gt;Endyr,0,VLOOKUP($A216,Tariff_Table,Tariff!$O$33))</f>
        <v>3255.87153</v>
      </c>
      <c r="P216" s="427" t="n">
        <f aca="false">VLOOKUP($A216,Curves_Table,Escalation!$AP$291)</f>
        <v>1.68254669873615</v>
      </c>
      <c r="Q216" s="1604" t="n">
        <f aca="false">SUM(N216,O216)*P216</f>
        <v>5478.15589431051</v>
      </c>
      <c r="R216" s="1579" t="str">
        <f aca="false">IF(MONTH($A216)=12,SUM(Q205:Q216)," ")</f>
        <v> </v>
      </c>
    </row>
    <row r="217" customFormat="false" ht="12.75" hidden="false" customHeight="false" outlineLevel="0" collapsed="false">
      <c r="A217" s="1538" t="n">
        <f aca="false">'Annex 12-Gas'!A217</f>
        <v>43191</v>
      </c>
      <c r="C217" s="488" t="n">
        <f aca="false">IF($A217&gt;Endyr,0,VLOOKUP($A217,Tariff_Table,Tariff!$L$33))</f>
        <v>1.21</v>
      </c>
      <c r="D217" s="427" t="n">
        <f aca="false">VLOOKUP($A217,Curves_Table,Escalation!$AL$291)</f>
        <v>1.6153442667317</v>
      </c>
      <c r="E217" s="1609" t="n">
        <f aca="false">C217*D217</f>
        <v>1.95456656274536</v>
      </c>
      <c r="F217" s="1314" t="n">
        <f aca="false">IF($A217&gt;Endyr,0,VLOOKUP($A217,Tariff_Table,Tariff!$M$33))</f>
        <v>0.25</v>
      </c>
      <c r="G217" s="1609" t="n">
        <f aca="false">SUM(E217,F217)</f>
        <v>2.20456656274536</v>
      </c>
      <c r="H217" s="397" t="n">
        <f aca="false">VLOOKUP($A217,Plant_Table,'Plant Operations'!$T$270)</f>
        <v>2025354.24</v>
      </c>
      <c r="I217" s="1566" t="n">
        <f aca="false">G217*H217/1000</f>
        <v>4465.02823521855</v>
      </c>
      <c r="J217" s="1567" t="str">
        <f aca="false">IF(MONTH($A217)=12,SUM(I206:I217)," ")</f>
        <v> </v>
      </c>
      <c r="L217" s="1610" t="n">
        <f aca="false">IF($A217&lt;Startops2,0,VLOOKUP($A217,Tariff_Table,Tariff!$N$33))</f>
        <v>0</v>
      </c>
      <c r="M217" s="397" t="n">
        <f aca="false">H217</f>
        <v>2025354.24</v>
      </c>
      <c r="N217" s="1611" t="n">
        <f aca="false">L217*M217/1000</f>
        <v>0</v>
      </c>
      <c r="O217" s="1611" t="n">
        <f aca="false">IF($A217&gt;Endyr,0,VLOOKUP($A217,Tariff_Table,Tariff!$O$33))</f>
        <v>3255.87153</v>
      </c>
      <c r="P217" s="427" t="n">
        <f aca="false">VLOOKUP($A217,Curves_Table,Escalation!$AP$291)</f>
        <v>1.68254669873615</v>
      </c>
      <c r="Q217" s="1604" t="n">
        <f aca="false">SUM(N217,O217)*P217</f>
        <v>5478.15589431051</v>
      </c>
      <c r="R217" s="1579" t="str">
        <f aca="false">IF(MONTH($A217)=12,SUM(Q206:Q217)," ")</f>
        <v> </v>
      </c>
    </row>
    <row r="218" customFormat="false" ht="12.75" hidden="false" customHeight="false" outlineLevel="0" collapsed="false">
      <c r="A218" s="1538" t="n">
        <f aca="false">'Annex 12-Gas'!A218</f>
        <v>43221</v>
      </c>
      <c r="C218" s="488" t="n">
        <f aca="false">IF($A218&gt;Endyr,0,VLOOKUP($A218,Tariff_Table,Tariff!$L$33))</f>
        <v>1.21</v>
      </c>
      <c r="D218" s="427" t="n">
        <f aca="false">VLOOKUP($A218,Curves_Table,Escalation!$AL$291)</f>
        <v>1.65495655653001</v>
      </c>
      <c r="E218" s="1609" t="n">
        <f aca="false">C218*D218</f>
        <v>2.00249743340131</v>
      </c>
      <c r="F218" s="1314" t="n">
        <f aca="false">IF($A218&gt;Endyr,0,VLOOKUP($A218,Tariff_Table,Tariff!$M$33))</f>
        <v>0.25</v>
      </c>
      <c r="G218" s="1609" t="n">
        <f aca="false">SUM(E218,F218)</f>
        <v>2.25249743340131</v>
      </c>
      <c r="H218" s="397" t="n">
        <f aca="false">VLOOKUP($A218,Plant_Table,'Plant Operations'!$T$270)</f>
        <v>2092866.048</v>
      </c>
      <c r="I218" s="1566" t="n">
        <f aca="false">G218*H218/1000</f>
        <v>4714.17540157274</v>
      </c>
      <c r="J218" s="1567" t="str">
        <f aca="false">IF(MONTH($A218)=12,SUM(I207:I218)," ")</f>
        <v> </v>
      </c>
      <c r="L218" s="1610" t="n">
        <f aca="false">IF($A218&lt;Startops2,0,VLOOKUP($A218,Tariff_Table,Tariff!$N$33))</f>
        <v>0</v>
      </c>
      <c r="M218" s="397" t="n">
        <f aca="false">H218</f>
        <v>2092866.048</v>
      </c>
      <c r="N218" s="1611" t="n">
        <f aca="false">L218*M218/1000</f>
        <v>0</v>
      </c>
      <c r="O218" s="1611" t="n">
        <f aca="false">IF($A218&gt;Endyr,0,VLOOKUP($A218,Tariff_Table,Tariff!$O$33))</f>
        <v>3259.74061</v>
      </c>
      <c r="P218" s="427" t="n">
        <f aca="false">VLOOKUP($A218,Curves_Table,Escalation!$AP$291)</f>
        <v>1.72801332733687</v>
      </c>
      <c r="Q218" s="1604" t="n">
        <f aca="false">SUM(N218,O218)*P218</f>
        <v>5632.87521774121</v>
      </c>
      <c r="R218" s="1579" t="str">
        <f aca="false">IF(MONTH($A218)=12,SUM(Q207:Q218)," ")</f>
        <v> </v>
      </c>
    </row>
    <row r="219" customFormat="false" ht="12.75" hidden="false" customHeight="false" outlineLevel="0" collapsed="false">
      <c r="A219" s="1538" t="n">
        <f aca="false">'Annex 12-Gas'!A219</f>
        <v>43252</v>
      </c>
      <c r="C219" s="488" t="n">
        <f aca="false">IF($A219&gt;Endyr,0,VLOOKUP($A219,Tariff_Table,Tariff!$L$33))</f>
        <v>1.21</v>
      </c>
      <c r="D219" s="427" t="n">
        <f aca="false">VLOOKUP($A219,Curves_Table,Escalation!$AL$291)</f>
        <v>1.65495655653001</v>
      </c>
      <c r="E219" s="1609" t="n">
        <f aca="false">C219*D219</f>
        <v>2.00249743340131</v>
      </c>
      <c r="F219" s="1314" t="n">
        <f aca="false">IF($A219&gt;Endyr,0,VLOOKUP($A219,Tariff_Table,Tariff!$M$33))</f>
        <v>0.25</v>
      </c>
      <c r="G219" s="1609" t="n">
        <f aca="false">SUM(E219,F219)</f>
        <v>2.25249743340131</v>
      </c>
      <c r="H219" s="397" t="n">
        <f aca="false">VLOOKUP($A219,Plant_Table,'Plant Operations'!$T$270)</f>
        <v>2025354.24</v>
      </c>
      <c r="I219" s="1566" t="n">
        <f aca="false">G219*H219/1000</f>
        <v>4562.10522732845</v>
      </c>
      <c r="J219" s="1567" t="str">
        <f aca="false">IF(MONTH($A219)=12,SUM(I208:I219)," ")</f>
        <v> </v>
      </c>
      <c r="L219" s="1610" t="n">
        <f aca="false">IF($A219&lt;Startops2,0,VLOOKUP($A219,Tariff_Table,Tariff!$N$33))</f>
        <v>0</v>
      </c>
      <c r="M219" s="397" t="n">
        <f aca="false">H219</f>
        <v>2025354.24</v>
      </c>
      <c r="N219" s="1611" t="n">
        <f aca="false">L219*M219/1000</f>
        <v>0</v>
      </c>
      <c r="O219" s="1611" t="n">
        <f aca="false">IF($A219&gt;Endyr,0,VLOOKUP($A219,Tariff_Table,Tariff!$O$33))</f>
        <v>3259.74061</v>
      </c>
      <c r="P219" s="427" t="n">
        <f aca="false">VLOOKUP($A219,Curves_Table,Escalation!$AP$291)</f>
        <v>1.72801332733687</v>
      </c>
      <c r="Q219" s="1604" t="n">
        <f aca="false">SUM(N219,O219)*P219</f>
        <v>5632.87521774121</v>
      </c>
      <c r="R219" s="1579" t="str">
        <f aca="false">IF(MONTH($A219)=12,SUM(Q208:Q219)," ")</f>
        <v> </v>
      </c>
    </row>
    <row r="220" customFormat="false" ht="12.75" hidden="false" customHeight="false" outlineLevel="0" collapsed="false">
      <c r="A220" s="1538" t="n">
        <f aca="false">'Annex 12-Gas'!A220</f>
        <v>43282</v>
      </c>
      <c r="C220" s="488" t="n">
        <f aca="false">IF($A220&gt;Endyr,0,VLOOKUP($A220,Tariff_Table,Tariff!$L$33))</f>
        <v>1.21</v>
      </c>
      <c r="D220" s="427" t="n">
        <f aca="false">VLOOKUP($A220,Curves_Table,Escalation!$AL$291)</f>
        <v>1.65495655653001</v>
      </c>
      <c r="E220" s="1609" t="n">
        <f aca="false">C220*D220</f>
        <v>2.00249743340131</v>
      </c>
      <c r="F220" s="1314" t="n">
        <f aca="false">IF($A220&gt;Endyr,0,VLOOKUP($A220,Tariff_Table,Tariff!$M$33))</f>
        <v>0.25</v>
      </c>
      <c r="G220" s="1609" t="n">
        <f aca="false">SUM(E220,F220)</f>
        <v>2.25249743340131</v>
      </c>
      <c r="H220" s="397" t="n">
        <f aca="false">VLOOKUP($A220,Plant_Table,'Plant Operations'!$T$270)</f>
        <v>2092866.048</v>
      </c>
      <c r="I220" s="1566" t="n">
        <f aca="false">G220*H220/1000</f>
        <v>4714.17540157274</v>
      </c>
      <c r="J220" s="1567" t="str">
        <f aca="false">IF(MONTH($A220)=12,SUM(I209:I220)," ")</f>
        <v> </v>
      </c>
      <c r="L220" s="1610" t="n">
        <f aca="false">IF($A220&lt;Startops2,0,VLOOKUP($A220,Tariff_Table,Tariff!$N$33))</f>
        <v>0</v>
      </c>
      <c r="M220" s="397" t="n">
        <f aca="false">H220</f>
        <v>2092866.048</v>
      </c>
      <c r="N220" s="1611" t="n">
        <f aca="false">L220*M220/1000</f>
        <v>0</v>
      </c>
      <c r="O220" s="1611" t="n">
        <f aca="false">IF($A220&gt;Endyr,0,VLOOKUP($A220,Tariff_Table,Tariff!$O$33))</f>
        <v>3259.74061</v>
      </c>
      <c r="P220" s="427" t="n">
        <f aca="false">VLOOKUP($A220,Curves_Table,Escalation!$AP$291)</f>
        <v>1.72801332733687</v>
      </c>
      <c r="Q220" s="1604" t="n">
        <f aca="false">SUM(N220,O220)*P220</f>
        <v>5632.87521774121</v>
      </c>
      <c r="R220" s="1579" t="str">
        <f aca="false">IF(MONTH($A220)=12,SUM(Q209:Q220)," ")</f>
        <v> </v>
      </c>
    </row>
    <row r="221" customFormat="false" ht="12.75" hidden="false" customHeight="false" outlineLevel="0" collapsed="false">
      <c r="A221" s="1538" t="n">
        <f aca="false">'Annex 12-Gas'!A221</f>
        <v>43313</v>
      </c>
      <c r="C221" s="488" t="n">
        <f aca="false">IF($A221&gt;Endyr,0,VLOOKUP($A221,Tariff_Table,Tariff!$L$33))</f>
        <v>1.21</v>
      </c>
      <c r="D221" s="427" t="n">
        <f aca="false">VLOOKUP($A221,Curves_Table,Escalation!$AL$291)</f>
        <v>1.65495655653001</v>
      </c>
      <c r="E221" s="1609" t="n">
        <f aca="false">C221*D221</f>
        <v>2.00249743340131</v>
      </c>
      <c r="F221" s="1314" t="n">
        <f aca="false">IF($A221&gt;Endyr,0,VLOOKUP($A221,Tariff_Table,Tariff!$M$33))</f>
        <v>0.25</v>
      </c>
      <c r="G221" s="1609" t="n">
        <f aca="false">SUM(E221,F221)</f>
        <v>2.25249743340131</v>
      </c>
      <c r="H221" s="397" t="n">
        <f aca="false">VLOOKUP($A221,Plant_Table,'Plant Operations'!$T$270)</f>
        <v>2092866.048</v>
      </c>
      <c r="I221" s="1566" t="n">
        <f aca="false">G221*H221/1000</f>
        <v>4714.17540157274</v>
      </c>
      <c r="J221" s="1567" t="str">
        <f aca="false">IF(MONTH($A221)=12,SUM(I210:I221)," ")</f>
        <v> </v>
      </c>
      <c r="L221" s="1610" t="n">
        <f aca="false">IF($A221&lt;Startops2,0,VLOOKUP($A221,Tariff_Table,Tariff!$N$33))</f>
        <v>0</v>
      </c>
      <c r="M221" s="397" t="n">
        <f aca="false">H221</f>
        <v>2092866.048</v>
      </c>
      <c r="N221" s="1611" t="n">
        <f aca="false">L221*M221/1000</f>
        <v>0</v>
      </c>
      <c r="O221" s="1611" t="n">
        <f aca="false">IF($A221&gt;Endyr,0,VLOOKUP($A221,Tariff_Table,Tariff!$O$33))</f>
        <v>3259.74061</v>
      </c>
      <c r="P221" s="427" t="n">
        <f aca="false">VLOOKUP($A221,Curves_Table,Escalation!$AP$291)</f>
        <v>1.72801332733687</v>
      </c>
      <c r="Q221" s="1604" t="n">
        <f aca="false">SUM(N221,O221)*P221</f>
        <v>5632.87521774121</v>
      </c>
      <c r="R221" s="1579" t="str">
        <f aca="false">IF(MONTH($A221)=12,SUM(Q210:Q221)," ")</f>
        <v> </v>
      </c>
    </row>
    <row r="222" customFormat="false" ht="12.75" hidden="false" customHeight="false" outlineLevel="0" collapsed="false">
      <c r="A222" s="1538" t="n">
        <f aca="false">'Annex 12-Gas'!A222</f>
        <v>43344</v>
      </c>
      <c r="C222" s="488" t="n">
        <f aca="false">IF($A222&gt;Endyr,0,VLOOKUP($A222,Tariff_Table,Tariff!$L$33))</f>
        <v>1.21</v>
      </c>
      <c r="D222" s="427" t="n">
        <f aca="false">VLOOKUP($A222,Curves_Table,Escalation!$AL$291)</f>
        <v>1.65495655653001</v>
      </c>
      <c r="E222" s="1609" t="n">
        <f aca="false">C222*D222</f>
        <v>2.00249743340131</v>
      </c>
      <c r="F222" s="1314" t="n">
        <f aca="false">IF($A222&gt;Endyr,0,VLOOKUP($A222,Tariff_Table,Tariff!$M$33))</f>
        <v>0.25</v>
      </c>
      <c r="G222" s="1609" t="n">
        <f aca="false">SUM(E222,F222)</f>
        <v>2.25249743340131</v>
      </c>
      <c r="H222" s="397" t="n">
        <f aca="false">VLOOKUP($A222,Plant_Table,'Plant Operations'!$T$270)</f>
        <v>2025354.24</v>
      </c>
      <c r="I222" s="1566" t="n">
        <f aca="false">G222*H222/1000</f>
        <v>4562.10522732845</v>
      </c>
      <c r="J222" s="1567" t="str">
        <f aca="false">IF(MONTH($A222)=12,SUM(I211:I222)," ")</f>
        <v> </v>
      </c>
      <c r="L222" s="1610" t="n">
        <f aca="false">IF($A222&lt;Startops2,0,VLOOKUP($A222,Tariff_Table,Tariff!$N$33))</f>
        <v>0</v>
      </c>
      <c r="M222" s="397" t="n">
        <f aca="false">H222</f>
        <v>2025354.24</v>
      </c>
      <c r="N222" s="1611" t="n">
        <f aca="false">L222*M222/1000</f>
        <v>0</v>
      </c>
      <c r="O222" s="1611" t="n">
        <f aca="false">IF($A222&gt;Endyr,0,VLOOKUP($A222,Tariff_Table,Tariff!$O$33))</f>
        <v>3259.74061</v>
      </c>
      <c r="P222" s="427" t="n">
        <f aca="false">VLOOKUP($A222,Curves_Table,Escalation!$AP$291)</f>
        <v>1.72801332733687</v>
      </c>
      <c r="Q222" s="1604" t="n">
        <f aca="false">SUM(N222,O222)*P222</f>
        <v>5632.87521774121</v>
      </c>
      <c r="R222" s="1579" t="str">
        <f aca="false">IF(MONTH($A222)=12,SUM(Q211:Q222)," ")</f>
        <v> </v>
      </c>
    </row>
    <row r="223" customFormat="false" ht="12.75" hidden="false" customHeight="false" outlineLevel="0" collapsed="false">
      <c r="A223" s="1538" t="n">
        <f aca="false">'Annex 12-Gas'!A223</f>
        <v>43374</v>
      </c>
      <c r="C223" s="488" t="n">
        <f aca="false">IF($A223&gt;Endyr,0,VLOOKUP($A223,Tariff_Table,Tariff!$L$33))</f>
        <v>1.21</v>
      </c>
      <c r="D223" s="427" t="n">
        <f aca="false">VLOOKUP($A223,Curves_Table,Escalation!$AL$291)</f>
        <v>1.65495655653001</v>
      </c>
      <c r="E223" s="1609" t="n">
        <f aca="false">C223*D223</f>
        <v>2.00249743340131</v>
      </c>
      <c r="F223" s="1314" t="n">
        <f aca="false">IF($A223&gt;Endyr,0,VLOOKUP($A223,Tariff_Table,Tariff!$M$33))</f>
        <v>0.25</v>
      </c>
      <c r="G223" s="1609" t="n">
        <f aca="false">SUM(E223,F223)</f>
        <v>2.25249743340131</v>
      </c>
      <c r="H223" s="397" t="n">
        <f aca="false">VLOOKUP($A223,Plant_Table,'Plant Operations'!$T$270)</f>
        <v>2092866.048</v>
      </c>
      <c r="I223" s="1566" t="n">
        <f aca="false">G223*H223/1000</f>
        <v>4714.17540157274</v>
      </c>
      <c r="J223" s="1567" t="str">
        <f aca="false">IF(MONTH($A223)=12,SUM(I212:I223)," ")</f>
        <v> </v>
      </c>
      <c r="L223" s="1610" t="n">
        <f aca="false">IF($A223&lt;Startops2,0,VLOOKUP($A223,Tariff_Table,Tariff!$N$33))</f>
        <v>0</v>
      </c>
      <c r="M223" s="397" t="n">
        <f aca="false">H223</f>
        <v>2092866.048</v>
      </c>
      <c r="N223" s="1611" t="n">
        <f aca="false">L223*M223/1000</f>
        <v>0</v>
      </c>
      <c r="O223" s="1611" t="n">
        <f aca="false">IF($A223&gt;Endyr,0,VLOOKUP($A223,Tariff_Table,Tariff!$O$33))</f>
        <v>3259.74061</v>
      </c>
      <c r="P223" s="427" t="n">
        <f aca="false">VLOOKUP($A223,Curves_Table,Escalation!$AP$291)</f>
        <v>1.72801332733687</v>
      </c>
      <c r="Q223" s="1604" t="n">
        <f aca="false">SUM(N223,O223)*P223</f>
        <v>5632.87521774121</v>
      </c>
      <c r="R223" s="1579" t="str">
        <f aca="false">IF(MONTH($A223)=12,SUM(Q212:Q223)," ")</f>
        <v> </v>
      </c>
    </row>
    <row r="224" customFormat="false" ht="12.75" hidden="false" customHeight="false" outlineLevel="0" collapsed="false">
      <c r="A224" s="1538" t="n">
        <f aca="false">'Annex 12-Gas'!A224</f>
        <v>43405</v>
      </c>
      <c r="C224" s="488" t="n">
        <f aca="false">IF($A224&gt;Endyr,0,VLOOKUP($A224,Tariff_Table,Tariff!$L$33))</f>
        <v>1.21</v>
      </c>
      <c r="D224" s="427" t="n">
        <f aca="false">VLOOKUP($A224,Curves_Table,Escalation!$AL$291)</f>
        <v>1.65495655653001</v>
      </c>
      <c r="E224" s="1609" t="n">
        <f aca="false">C224*D224</f>
        <v>2.00249743340131</v>
      </c>
      <c r="F224" s="1314" t="n">
        <f aca="false">IF($A224&gt;Endyr,0,VLOOKUP($A224,Tariff_Table,Tariff!$M$33))</f>
        <v>0.25</v>
      </c>
      <c r="G224" s="1609" t="n">
        <f aca="false">SUM(E224,F224)</f>
        <v>2.25249743340131</v>
      </c>
      <c r="H224" s="397" t="n">
        <f aca="false">VLOOKUP($A224,Plant_Table,'Plant Operations'!$T$270)</f>
        <v>2025354.24</v>
      </c>
      <c r="I224" s="1566" t="n">
        <f aca="false">G224*H224/1000</f>
        <v>4562.10522732845</v>
      </c>
      <c r="J224" s="1567" t="str">
        <f aca="false">IF(MONTH($A224)=12,SUM(I213:I224)," ")</f>
        <v> </v>
      </c>
      <c r="L224" s="1610" t="n">
        <f aca="false">IF($A224&lt;Startops2,0,VLOOKUP($A224,Tariff_Table,Tariff!$N$33))</f>
        <v>0</v>
      </c>
      <c r="M224" s="397" t="n">
        <f aca="false">H224</f>
        <v>2025354.24</v>
      </c>
      <c r="N224" s="1611" t="n">
        <f aca="false">L224*M224/1000</f>
        <v>0</v>
      </c>
      <c r="O224" s="1611" t="n">
        <f aca="false">IF($A224&gt;Endyr,0,VLOOKUP($A224,Tariff_Table,Tariff!$O$33))</f>
        <v>3259.74061</v>
      </c>
      <c r="P224" s="427" t="n">
        <f aca="false">VLOOKUP($A224,Curves_Table,Escalation!$AP$291)</f>
        <v>1.72801332733687</v>
      </c>
      <c r="Q224" s="1604" t="n">
        <f aca="false">SUM(N224,O224)*P224</f>
        <v>5632.87521774121</v>
      </c>
      <c r="R224" s="1579" t="str">
        <f aca="false">IF(MONTH($A224)=12,SUM(Q213:Q224)," ")</f>
        <v> </v>
      </c>
    </row>
    <row r="225" customFormat="false" ht="12.75" hidden="false" customHeight="false" outlineLevel="0" collapsed="false">
      <c r="A225" s="1538" t="n">
        <f aca="false">'Annex 12-Gas'!A225</f>
        <v>43435</v>
      </c>
      <c r="C225" s="488" t="n">
        <f aca="false">IF($A225&gt;Endyr,0,VLOOKUP($A225,Tariff_Table,Tariff!$L$33))</f>
        <v>1.21</v>
      </c>
      <c r="D225" s="427" t="n">
        <f aca="false">VLOOKUP($A225,Curves_Table,Escalation!$AL$291)</f>
        <v>1.65495655653001</v>
      </c>
      <c r="E225" s="1609" t="n">
        <f aca="false">C225*D225</f>
        <v>2.00249743340131</v>
      </c>
      <c r="F225" s="1314" t="n">
        <f aca="false">IF($A225&gt;Endyr,0,VLOOKUP($A225,Tariff_Table,Tariff!$M$33))</f>
        <v>0.25</v>
      </c>
      <c r="G225" s="1609" t="n">
        <f aca="false">SUM(E225,F225)</f>
        <v>2.25249743340131</v>
      </c>
      <c r="H225" s="397" t="n">
        <f aca="false">VLOOKUP($A225,Plant_Table,'Plant Operations'!$T$270)</f>
        <v>2092866.048</v>
      </c>
      <c r="I225" s="1566" t="n">
        <f aca="false">G225*H225/1000</f>
        <v>4714.17540157274</v>
      </c>
      <c r="J225" s="1567" t="n">
        <f aca="false">IF(MONTH($A225)=12,SUM(I214:I225)," ")</f>
        <v>55117.3056307232</v>
      </c>
      <c r="L225" s="1610" t="n">
        <f aca="false">IF($A225&lt;Startops2,0,VLOOKUP($A225,Tariff_Table,Tariff!$N$33))</f>
        <v>0</v>
      </c>
      <c r="M225" s="397" t="n">
        <f aca="false">H225</f>
        <v>2092866.048</v>
      </c>
      <c r="N225" s="1611" t="n">
        <f aca="false">L225*M225/1000</f>
        <v>0</v>
      </c>
      <c r="O225" s="1611" t="n">
        <f aca="false">IF($A225&gt;Endyr,0,VLOOKUP($A225,Tariff_Table,Tariff!$O$33))</f>
        <v>3259.74061</v>
      </c>
      <c r="P225" s="427" t="n">
        <f aca="false">VLOOKUP($A225,Curves_Table,Escalation!$AP$291)</f>
        <v>1.72801332733687</v>
      </c>
      <c r="Q225" s="1604" t="n">
        <f aca="false">SUM(N225,O225)*P225</f>
        <v>5632.87521774121</v>
      </c>
      <c r="R225" s="1579" t="n">
        <f aca="false">IF(MONTH($A225)=12,SUM(Q214:Q225)," ")</f>
        <v>66975.6253191717</v>
      </c>
    </row>
    <row r="226" customFormat="false" ht="12.75" hidden="false" customHeight="false" outlineLevel="0" collapsed="false">
      <c r="A226" s="1538" t="n">
        <f aca="false">'Annex 12-Gas'!A226</f>
        <v>43466</v>
      </c>
      <c r="C226" s="488" t="n">
        <f aca="false">IF($A226&gt;Endyr,0,VLOOKUP($A226,Tariff_Table,Tariff!$L$33))</f>
        <v>1.21</v>
      </c>
      <c r="D226" s="427" t="n">
        <f aca="false">VLOOKUP($A226,Curves_Table,Escalation!$AL$291)</f>
        <v>1.65495655653001</v>
      </c>
      <c r="E226" s="1609" t="n">
        <f aca="false">C226*D226</f>
        <v>2.00249743340131</v>
      </c>
      <c r="F226" s="1314" t="n">
        <f aca="false">IF($A226&gt;Endyr,0,VLOOKUP($A226,Tariff_Table,Tariff!$M$33))</f>
        <v>0.25</v>
      </c>
      <c r="G226" s="1609" t="n">
        <f aca="false">SUM(E226,F226)</f>
        <v>2.25249743340131</v>
      </c>
      <c r="H226" s="397" t="n">
        <f aca="false">VLOOKUP($A226,Plant_Table,'Plant Operations'!$T$270)</f>
        <v>2092866.048</v>
      </c>
      <c r="I226" s="1566" t="n">
        <f aca="false">G226*H226/1000</f>
        <v>4714.17540157274</v>
      </c>
      <c r="J226" s="1567" t="str">
        <f aca="false">IF(MONTH($A226)=12,SUM(I215:I226)," ")</f>
        <v> </v>
      </c>
      <c r="L226" s="1610" t="n">
        <f aca="false">IF($A226&lt;Startops2,0,VLOOKUP($A226,Tariff_Table,Tariff!$N$33))</f>
        <v>0</v>
      </c>
      <c r="M226" s="397" t="n">
        <f aca="false">H226</f>
        <v>2092866.048</v>
      </c>
      <c r="N226" s="1611" t="n">
        <f aca="false">L226*M226/1000</f>
        <v>0</v>
      </c>
      <c r="O226" s="1611" t="n">
        <f aca="false">IF($A226&gt;Endyr,0,VLOOKUP($A226,Tariff_Table,Tariff!$O$33))</f>
        <v>3259.74061</v>
      </c>
      <c r="P226" s="427" t="n">
        <f aca="false">VLOOKUP($A226,Curves_Table,Escalation!$AP$291)</f>
        <v>1.72801332733687</v>
      </c>
      <c r="Q226" s="1604" t="n">
        <f aca="false">SUM(N226,O226)*P226</f>
        <v>5632.87521774121</v>
      </c>
      <c r="R226" s="1579" t="str">
        <f aca="false">IF(MONTH($A226)=12,SUM(Q215:Q226)," ")</f>
        <v> </v>
      </c>
    </row>
    <row r="227" customFormat="false" ht="12.75" hidden="false" customHeight="false" outlineLevel="0" collapsed="false">
      <c r="A227" s="1538" t="n">
        <f aca="false">'Annex 12-Gas'!A227</f>
        <v>43497</v>
      </c>
      <c r="C227" s="488" t="n">
        <f aca="false">IF($A227&gt;Endyr,0,VLOOKUP($A227,Tariff_Table,Tariff!$L$33))</f>
        <v>1.21</v>
      </c>
      <c r="D227" s="427" t="n">
        <f aca="false">VLOOKUP($A227,Curves_Table,Escalation!$AL$291)</f>
        <v>1.65495655653001</v>
      </c>
      <c r="E227" s="1609" t="n">
        <f aca="false">C227*D227</f>
        <v>2.00249743340131</v>
      </c>
      <c r="F227" s="1314" t="n">
        <f aca="false">IF($A227&gt;Endyr,0,VLOOKUP($A227,Tariff_Table,Tariff!$M$33))</f>
        <v>0.25</v>
      </c>
      <c r="G227" s="1609" t="n">
        <f aca="false">SUM(E227,F227)</f>
        <v>2.25249743340131</v>
      </c>
      <c r="H227" s="397" t="n">
        <f aca="false">VLOOKUP($A227,Plant_Table,'Plant Operations'!$T$270)</f>
        <v>1890330.624</v>
      </c>
      <c r="I227" s="1566" t="n">
        <f aca="false">G227*H227/1000</f>
        <v>4257.96487883989</v>
      </c>
      <c r="J227" s="1567" t="str">
        <f aca="false">IF(MONTH($A227)=12,SUM(I216:I227)," ")</f>
        <v> </v>
      </c>
      <c r="L227" s="1610" t="n">
        <f aca="false">IF($A227&lt;Startops2,0,VLOOKUP($A227,Tariff_Table,Tariff!$N$33))</f>
        <v>0</v>
      </c>
      <c r="M227" s="397" t="n">
        <f aca="false">H227</f>
        <v>1890330.624</v>
      </c>
      <c r="N227" s="1611" t="n">
        <f aca="false">L227*M227/1000</f>
        <v>0</v>
      </c>
      <c r="O227" s="1611" t="n">
        <f aca="false">IF($A227&gt;Endyr,0,VLOOKUP($A227,Tariff_Table,Tariff!$O$33))</f>
        <v>3259.74061</v>
      </c>
      <c r="P227" s="427" t="n">
        <f aca="false">VLOOKUP($A227,Curves_Table,Escalation!$AP$291)</f>
        <v>1.72801332733687</v>
      </c>
      <c r="Q227" s="1604" t="n">
        <f aca="false">SUM(N227,O227)*P227</f>
        <v>5632.87521774121</v>
      </c>
      <c r="R227" s="1579" t="str">
        <f aca="false">IF(MONTH($A227)=12,SUM(Q216:Q227)," ")</f>
        <v> </v>
      </c>
    </row>
    <row r="228" customFormat="false" ht="12.75" hidden="false" customHeight="false" outlineLevel="0" collapsed="false">
      <c r="A228" s="1538" t="n">
        <f aca="false">'Annex 12-Gas'!A228</f>
        <v>43525</v>
      </c>
      <c r="C228" s="488" t="n">
        <f aca="false">IF($A228&gt;Endyr,0,VLOOKUP($A228,Tariff_Table,Tariff!$L$33))</f>
        <v>1.21</v>
      </c>
      <c r="D228" s="427" t="n">
        <f aca="false">VLOOKUP($A228,Curves_Table,Escalation!$AL$291)</f>
        <v>1.65495655653001</v>
      </c>
      <c r="E228" s="1609" t="n">
        <f aca="false">C228*D228</f>
        <v>2.00249743340131</v>
      </c>
      <c r="F228" s="1314" t="n">
        <f aca="false">IF($A228&gt;Endyr,0,VLOOKUP($A228,Tariff_Table,Tariff!$M$33))</f>
        <v>0.25</v>
      </c>
      <c r="G228" s="1609" t="n">
        <f aca="false">SUM(E228,F228)</f>
        <v>2.25249743340131</v>
      </c>
      <c r="H228" s="397" t="n">
        <f aca="false">VLOOKUP($A228,Plant_Table,'Plant Operations'!$T$270)</f>
        <v>2092866.048</v>
      </c>
      <c r="I228" s="1566" t="n">
        <f aca="false">G228*H228/1000</f>
        <v>4714.17540157274</v>
      </c>
      <c r="J228" s="1567" t="str">
        <f aca="false">IF(MONTH($A228)=12,SUM(I217:I228)," ")</f>
        <v> </v>
      </c>
      <c r="L228" s="1610" t="n">
        <f aca="false">IF($A228&lt;Startops2,0,VLOOKUP($A228,Tariff_Table,Tariff!$N$33))</f>
        <v>0</v>
      </c>
      <c r="M228" s="397" t="n">
        <f aca="false">H228</f>
        <v>2092866.048</v>
      </c>
      <c r="N228" s="1611" t="n">
        <f aca="false">L228*M228/1000</f>
        <v>0</v>
      </c>
      <c r="O228" s="1611" t="n">
        <f aca="false">IF($A228&gt;Endyr,0,VLOOKUP($A228,Tariff_Table,Tariff!$O$33))</f>
        <v>3259.74061</v>
      </c>
      <c r="P228" s="427" t="n">
        <f aca="false">VLOOKUP($A228,Curves_Table,Escalation!$AP$291)</f>
        <v>1.72801332733687</v>
      </c>
      <c r="Q228" s="1604" t="n">
        <f aca="false">SUM(N228,O228)*P228</f>
        <v>5632.87521774121</v>
      </c>
      <c r="R228" s="1579" t="str">
        <f aca="false">IF(MONTH($A228)=12,SUM(Q217:Q228)," ")</f>
        <v> </v>
      </c>
    </row>
    <row r="229" customFormat="false" ht="12.75" hidden="false" customHeight="false" outlineLevel="0" collapsed="false">
      <c r="A229" s="1538" t="n">
        <f aca="false">'Annex 12-Gas'!A229</f>
        <v>43556</v>
      </c>
      <c r="C229" s="488" t="n">
        <f aca="false">IF($A229&gt;Endyr,0,VLOOKUP($A229,Tariff_Table,Tariff!$L$33))</f>
        <v>1.21</v>
      </c>
      <c r="D229" s="427" t="n">
        <f aca="false">VLOOKUP($A229,Curves_Table,Escalation!$AL$291)</f>
        <v>1.65495655653001</v>
      </c>
      <c r="E229" s="1609" t="n">
        <f aca="false">C229*D229</f>
        <v>2.00249743340131</v>
      </c>
      <c r="F229" s="1314" t="n">
        <f aca="false">IF($A229&gt;Endyr,0,VLOOKUP($A229,Tariff_Table,Tariff!$M$33))</f>
        <v>0.25</v>
      </c>
      <c r="G229" s="1609" t="n">
        <f aca="false">SUM(E229,F229)</f>
        <v>2.25249743340131</v>
      </c>
      <c r="H229" s="397" t="n">
        <f aca="false">VLOOKUP($A229,Plant_Table,'Plant Operations'!$T$270)</f>
        <v>2025354.24</v>
      </c>
      <c r="I229" s="1566" t="n">
        <f aca="false">G229*H229/1000</f>
        <v>4562.10522732845</v>
      </c>
      <c r="J229" s="1567" t="str">
        <f aca="false">IF(MONTH($A229)=12,SUM(I218:I229)," ")</f>
        <v> </v>
      </c>
      <c r="L229" s="1610" t="n">
        <f aca="false">IF($A229&lt;Startops2,0,VLOOKUP($A229,Tariff_Table,Tariff!$N$33))</f>
        <v>0</v>
      </c>
      <c r="M229" s="397" t="n">
        <f aca="false">H229</f>
        <v>2025354.24</v>
      </c>
      <c r="N229" s="1611" t="n">
        <f aca="false">L229*M229/1000</f>
        <v>0</v>
      </c>
      <c r="O229" s="1611" t="n">
        <f aca="false">IF($A229&gt;Endyr,0,VLOOKUP($A229,Tariff_Table,Tariff!$O$33))</f>
        <v>3259.74061</v>
      </c>
      <c r="P229" s="427" t="n">
        <f aca="false">VLOOKUP($A229,Curves_Table,Escalation!$AP$291)</f>
        <v>1.72801332733687</v>
      </c>
      <c r="Q229" s="1604" t="n">
        <f aca="false">SUM(N229,O229)*P229</f>
        <v>5632.87521774121</v>
      </c>
      <c r="R229" s="1579" t="str">
        <f aca="false">IF(MONTH($A229)=12,SUM(Q218:Q229)," ")</f>
        <v> </v>
      </c>
    </row>
    <row r="230" customFormat="false" ht="12.75" hidden="false" customHeight="false" outlineLevel="0" collapsed="false">
      <c r="A230" s="1538" t="n">
        <f aca="false">'Annex 12-Gas'!A230</f>
        <v>43586</v>
      </c>
      <c r="C230" s="488" t="n">
        <f aca="false">IF($A230&gt;Endyr,0,VLOOKUP($A230,Tariff_Table,Tariff!$L$33))</f>
        <v>0</v>
      </c>
      <c r="D230" s="427" t="n">
        <f aca="false">VLOOKUP($A230,Curves_Table,Escalation!$AL$291)</f>
        <v>1.69623664745388</v>
      </c>
      <c r="E230" s="1609" t="n">
        <f aca="false">C230*D230</f>
        <v>0</v>
      </c>
      <c r="F230" s="1314" t="n">
        <f aca="false">IF($A230&gt;Endyr,0,VLOOKUP($A230,Tariff_Table,Tariff!$M$33))</f>
        <v>0</v>
      </c>
      <c r="G230" s="1609" t="n">
        <f aca="false">SUM(E230,F230)</f>
        <v>0</v>
      </c>
      <c r="H230" s="397" t="n">
        <f aca="false">VLOOKUP($A230,Plant_Table,'Plant Operations'!$T$270)</f>
        <v>0</v>
      </c>
      <c r="I230" s="1566" t="n">
        <f aca="false">G230*H230/1000</f>
        <v>0</v>
      </c>
      <c r="J230" s="1567" t="str">
        <f aca="false">IF(MONTH($A230)=12,SUM(I219:I230)," ")</f>
        <v> </v>
      </c>
      <c r="L230" s="1610" t="n">
        <f aca="false">IF($A230&lt;Startops2,0,VLOOKUP($A230,Tariff_Table,Tariff!$N$33))</f>
        <v>0</v>
      </c>
      <c r="M230" s="397" t="n">
        <f aca="false">H230</f>
        <v>0</v>
      </c>
      <c r="N230" s="1611" t="n">
        <f aca="false">L230*M230/1000</f>
        <v>0</v>
      </c>
      <c r="O230" s="1611" t="n">
        <f aca="false">IF($A230&gt;Endyr,0,VLOOKUP($A230,Tariff_Table,Tariff!$O$33))</f>
        <v>0</v>
      </c>
      <c r="P230" s="427" t="n">
        <f aca="false">VLOOKUP($A230,Curves_Table,Escalation!$AP$291)</f>
        <v>1.77543572910631</v>
      </c>
      <c r="Q230" s="1604" t="n">
        <f aca="false">SUM(N230,O230)*P230</f>
        <v>0</v>
      </c>
      <c r="R230" s="1579" t="str">
        <f aca="false">IF(MONTH($A230)=12,SUM(Q219:Q230)," ")</f>
        <v> </v>
      </c>
    </row>
    <row r="231" customFormat="false" ht="12.75" hidden="false" customHeight="false" outlineLevel="0" collapsed="false">
      <c r="A231" s="1538" t="n">
        <f aca="false">'Annex 12-Gas'!A231</f>
        <v>43617</v>
      </c>
      <c r="C231" s="488" t="n">
        <f aca="false">IF($A231&gt;Endyr,0,VLOOKUP($A231,Tariff_Table,Tariff!$L$33))</f>
        <v>0</v>
      </c>
      <c r="D231" s="427" t="n">
        <f aca="false">VLOOKUP($A231,Curves_Table,Escalation!$AL$291)</f>
        <v>1.69623664745388</v>
      </c>
      <c r="E231" s="1609" t="n">
        <f aca="false">C231*D231</f>
        <v>0</v>
      </c>
      <c r="F231" s="1314" t="n">
        <f aca="false">IF($A231&gt;Endyr,0,VLOOKUP($A231,Tariff_Table,Tariff!$M$33))</f>
        <v>0</v>
      </c>
      <c r="G231" s="1609" t="n">
        <f aca="false">SUM(E231,F231)</f>
        <v>0</v>
      </c>
      <c r="H231" s="397" t="n">
        <f aca="false">VLOOKUP($A231,Plant_Table,'Plant Operations'!$T$270)</f>
        <v>0</v>
      </c>
      <c r="I231" s="1566" t="n">
        <f aca="false">G231*H231/1000</f>
        <v>0</v>
      </c>
      <c r="J231" s="1567" t="str">
        <f aca="false">IF(MONTH($A231)=12,SUM(I220:I231)," ")</f>
        <v> </v>
      </c>
      <c r="L231" s="1610" t="n">
        <f aca="false">IF($A231&lt;Startops2,0,VLOOKUP($A231,Tariff_Table,Tariff!$N$33))</f>
        <v>0</v>
      </c>
      <c r="M231" s="397" t="n">
        <f aca="false">H231</f>
        <v>0</v>
      </c>
      <c r="N231" s="1611" t="n">
        <f aca="false">L231*M231/1000</f>
        <v>0</v>
      </c>
      <c r="O231" s="1611" t="n">
        <f aca="false">IF($A231&gt;Endyr,0,VLOOKUP($A231,Tariff_Table,Tariff!$O$33))</f>
        <v>0</v>
      </c>
      <c r="P231" s="427" t="n">
        <f aca="false">VLOOKUP($A231,Curves_Table,Escalation!$AP$291)</f>
        <v>1.77543572910631</v>
      </c>
      <c r="Q231" s="1604" t="n">
        <f aca="false">SUM(N231,O231)*P231</f>
        <v>0</v>
      </c>
      <c r="R231" s="1579" t="str">
        <f aca="false">IF(MONTH($A231)=12,SUM(Q220:Q231)," ")</f>
        <v> </v>
      </c>
    </row>
    <row r="232" customFormat="false" ht="12.75" hidden="false" customHeight="false" outlineLevel="0" collapsed="false">
      <c r="A232" s="1538" t="n">
        <f aca="false">'Annex 12-Gas'!A232</f>
        <v>43647</v>
      </c>
      <c r="C232" s="488" t="n">
        <f aca="false">IF($A232&gt;Endyr,0,VLOOKUP($A232,Tariff_Table,Tariff!$L$33))</f>
        <v>0</v>
      </c>
      <c r="D232" s="427" t="n">
        <f aca="false">VLOOKUP($A232,Curves_Table,Escalation!$AL$291)</f>
        <v>1.69623664745388</v>
      </c>
      <c r="E232" s="1609" t="n">
        <f aca="false">C232*D232</f>
        <v>0</v>
      </c>
      <c r="F232" s="1314" t="n">
        <f aca="false">IF($A232&gt;Endyr,0,VLOOKUP($A232,Tariff_Table,Tariff!$M$33))</f>
        <v>0</v>
      </c>
      <c r="G232" s="1609" t="n">
        <f aca="false">SUM(E232,F232)</f>
        <v>0</v>
      </c>
      <c r="H232" s="397" t="n">
        <f aca="false">VLOOKUP($A232,Plant_Table,'Plant Operations'!$T$270)</f>
        <v>0</v>
      </c>
      <c r="I232" s="1566" t="n">
        <f aca="false">G232*H232/1000</f>
        <v>0</v>
      </c>
      <c r="J232" s="1567" t="str">
        <f aca="false">IF(MONTH($A232)=12,SUM(I221:I232)," ")</f>
        <v> </v>
      </c>
      <c r="L232" s="1610" t="n">
        <f aca="false">IF($A232&lt;Startops2,0,VLOOKUP($A232,Tariff_Table,Tariff!$N$33))</f>
        <v>0</v>
      </c>
      <c r="M232" s="397" t="n">
        <f aca="false">H232</f>
        <v>0</v>
      </c>
      <c r="N232" s="1611" t="n">
        <f aca="false">L232*M232/1000</f>
        <v>0</v>
      </c>
      <c r="O232" s="1611" t="n">
        <f aca="false">IF($A232&gt;Endyr,0,VLOOKUP($A232,Tariff_Table,Tariff!$O$33))</f>
        <v>0</v>
      </c>
      <c r="P232" s="427" t="n">
        <f aca="false">VLOOKUP($A232,Curves_Table,Escalation!$AP$291)</f>
        <v>1.77543572910631</v>
      </c>
      <c r="Q232" s="1604" t="n">
        <f aca="false">SUM(N232,O232)*P232</f>
        <v>0</v>
      </c>
      <c r="R232" s="1579" t="str">
        <f aca="false">IF(MONTH($A232)=12,SUM(Q221:Q232)," ")</f>
        <v> </v>
      </c>
    </row>
    <row r="233" customFormat="false" ht="12.75" hidden="false" customHeight="false" outlineLevel="0" collapsed="false">
      <c r="A233" s="1538" t="n">
        <f aca="false">'Annex 12-Gas'!A233</f>
        <v>43678</v>
      </c>
      <c r="C233" s="488" t="n">
        <f aca="false">IF($A233&gt;Endyr,0,VLOOKUP($A233,Tariff_Table,Tariff!$L$33))</f>
        <v>0</v>
      </c>
      <c r="D233" s="427" t="n">
        <f aca="false">VLOOKUP($A233,Curves_Table,Escalation!$AL$291)</f>
        <v>1.69623664745388</v>
      </c>
      <c r="E233" s="1609" t="n">
        <f aca="false">C233*D233</f>
        <v>0</v>
      </c>
      <c r="F233" s="1314" t="n">
        <f aca="false">IF($A233&gt;Endyr,0,VLOOKUP($A233,Tariff_Table,Tariff!$M$33))</f>
        <v>0</v>
      </c>
      <c r="G233" s="1609" t="n">
        <f aca="false">SUM(E233,F233)</f>
        <v>0</v>
      </c>
      <c r="H233" s="397" t="n">
        <f aca="false">VLOOKUP($A233,Plant_Table,'Plant Operations'!$T$270)</f>
        <v>0</v>
      </c>
      <c r="I233" s="1566" t="n">
        <f aca="false">G233*H233/1000</f>
        <v>0</v>
      </c>
      <c r="J233" s="1567" t="str">
        <f aca="false">IF(MONTH($A233)=12,SUM(I222:I233)," ")</f>
        <v> </v>
      </c>
      <c r="L233" s="1610" t="n">
        <f aca="false">IF($A233&lt;Startops2,0,VLOOKUP($A233,Tariff_Table,Tariff!$N$33))</f>
        <v>0</v>
      </c>
      <c r="M233" s="397" t="n">
        <f aca="false">H233</f>
        <v>0</v>
      </c>
      <c r="N233" s="1611" t="n">
        <f aca="false">L233*M233/1000</f>
        <v>0</v>
      </c>
      <c r="O233" s="1611" t="n">
        <f aca="false">IF($A233&gt;Endyr,0,VLOOKUP($A233,Tariff_Table,Tariff!$O$33))</f>
        <v>0</v>
      </c>
      <c r="P233" s="427" t="n">
        <f aca="false">VLOOKUP($A233,Curves_Table,Escalation!$AP$291)</f>
        <v>1.77543572910631</v>
      </c>
      <c r="Q233" s="1604" t="n">
        <f aca="false">SUM(N233,O233)*P233</f>
        <v>0</v>
      </c>
      <c r="R233" s="1579" t="str">
        <f aca="false">IF(MONTH($A233)=12,SUM(Q222:Q233)," ")</f>
        <v> </v>
      </c>
    </row>
    <row r="234" customFormat="false" ht="12.75" hidden="false" customHeight="false" outlineLevel="0" collapsed="false">
      <c r="A234" s="1538" t="n">
        <f aca="false">'Annex 12-Gas'!A234</f>
        <v>43709</v>
      </c>
      <c r="C234" s="488" t="n">
        <f aca="false">IF($A234&gt;Endyr,0,VLOOKUP($A234,Tariff_Table,Tariff!$L$33))</f>
        <v>0</v>
      </c>
      <c r="D234" s="427" t="n">
        <f aca="false">VLOOKUP($A234,Curves_Table,Escalation!$AL$291)</f>
        <v>1.69623664745388</v>
      </c>
      <c r="E234" s="1609" t="n">
        <f aca="false">C234*D234</f>
        <v>0</v>
      </c>
      <c r="F234" s="1314" t="n">
        <f aca="false">IF($A234&gt;Endyr,0,VLOOKUP($A234,Tariff_Table,Tariff!$M$33))</f>
        <v>0</v>
      </c>
      <c r="G234" s="1609" t="n">
        <f aca="false">SUM(E234,F234)</f>
        <v>0</v>
      </c>
      <c r="H234" s="397" t="n">
        <f aca="false">VLOOKUP($A234,Plant_Table,'Plant Operations'!$T$270)</f>
        <v>0</v>
      </c>
      <c r="I234" s="1566" t="n">
        <f aca="false">G234*H234/1000</f>
        <v>0</v>
      </c>
      <c r="J234" s="1567" t="str">
        <f aca="false">IF(MONTH($A234)=12,SUM(I223:I234)," ")</f>
        <v> </v>
      </c>
      <c r="L234" s="1610" t="n">
        <f aca="false">IF($A234&lt;Startops2,0,VLOOKUP($A234,Tariff_Table,Tariff!$N$33))</f>
        <v>0</v>
      </c>
      <c r="M234" s="397" t="n">
        <f aca="false">H234</f>
        <v>0</v>
      </c>
      <c r="N234" s="1611" t="n">
        <f aca="false">L234*M234/1000</f>
        <v>0</v>
      </c>
      <c r="O234" s="1611" t="n">
        <f aca="false">IF($A234&gt;Endyr,0,VLOOKUP($A234,Tariff_Table,Tariff!$O$33))</f>
        <v>0</v>
      </c>
      <c r="P234" s="427" t="n">
        <f aca="false">VLOOKUP($A234,Curves_Table,Escalation!$AP$291)</f>
        <v>1.77543572910631</v>
      </c>
      <c r="Q234" s="1604" t="n">
        <f aca="false">SUM(N234,O234)*P234</f>
        <v>0</v>
      </c>
      <c r="R234" s="1579" t="str">
        <f aca="false">IF(MONTH($A234)=12,SUM(Q223:Q234)," ")</f>
        <v> </v>
      </c>
    </row>
    <row r="235" customFormat="false" ht="12.75" hidden="false" customHeight="false" outlineLevel="0" collapsed="false">
      <c r="A235" s="1538" t="n">
        <f aca="false">'Annex 12-Gas'!A235</f>
        <v>43739</v>
      </c>
      <c r="C235" s="488" t="n">
        <f aca="false">IF($A235&gt;Endyr,0,VLOOKUP($A235,Tariff_Table,Tariff!$L$33))</f>
        <v>0</v>
      </c>
      <c r="D235" s="427" t="n">
        <f aca="false">VLOOKUP($A235,Curves_Table,Escalation!$AL$291)</f>
        <v>1.69623664745388</v>
      </c>
      <c r="E235" s="1609" t="n">
        <f aca="false">C235*D235</f>
        <v>0</v>
      </c>
      <c r="F235" s="1314" t="n">
        <f aca="false">IF($A235&gt;Endyr,0,VLOOKUP($A235,Tariff_Table,Tariff!$M$33))</f>
        <v>0</v>
      </c>
      <c r="G235" s="1609" t="n">
        <f aca="false">SUM(E235,F235)</f>
        <v>0</v>
      </c>
      <c r="H235" s="397" t="n">
        <f aca="false">VLOOKUP($A235,Plant_Table,'Plant Operations'!$T$270)</f>
        <v>0</v>
      </c>
      <c r="I235" s="1566" t="n">
        <f aca="false">G235*H235/1000</f>
        <v>0</v>
      </c>
      <c r="J235" s="1567" t="str">
        <f aca="false">IF(MONTH($A235)=12,SUM(I224:I235)," ")</f>
        <v> </v>
      </c>
      <c r="L235" s="1610" t="n">
        <f aca="false">IF($A235&lt;Startops2,0,VLOOKUP($A235,Tariff_Table,Tariff!$N$33))</f>
        <v>0</v>
      </c>
      <c r="M235" s="397" t="n">
        <f aca="false">H235</f>
        <v>0</v>
      </c>
      <c r="N235" s="1611" t="n">
        <f aca="false">L235*M235/1000</f>
        <v>0</v>
      </c>
      <c r="O235" s="1611" t="n">
        <f aca="false">IF($A235&gt;Endyr,0,VLOOKUP($A235,Tariff_Table,Tariff!$O$33))</f>
        <v>0</v>
      </c>
      <c r="P235" s="427" t="n">
        <f aca="false">VLOOKUP($A235,Curves_Table,Escalation!$AP$291)</f>
        <v>1.77543572910631</v>
      </c>
      <c r="Q235" s="1604" t="n">
        <f aca="false">SUM(N235,O235)*P235</f>
        <v>0</v>
      </c>
      <c r="R235" s="1579" t="str">
        <f aca="false">IF(MONTH($A235)=12,SUM(Q224:Q235)," ")</f>
        <v> </v>
      </c>
    </row>
    <row r="236" customFormat="false" ht="12.75" hidden="false" customHeight="false" outlineLevel="0" collapsed="false">
      <c r="A236" s="1538" t="n">
        <f aca="false">'Annex 12-Gas'!A236</f>
        <v>43770</v>
      </c>
      <c r="C236" s="488" t="n">
        <f aca="false">IF($A236&gt;Endyr,0,VLOOKUP($A236,Tariff_Table,Tariff!$L$33))</f>
        <v>0</v>
      </c>
      <c r="D236" s="427" t="n">
        <f aca="false">VLOOKUP($A236,Curves_Table,Escalation!$AL$291)</f>
        <v>1.69623664745388</v>
      </c>
      <c r="E236" s="1609" t="n">
        <f aca="false">C236*D236</f>
        <v>0</v>
      </c>
      <c r="F236" s="1314" t="n">
        <f aca="false">IF($A236&gt;Endyr,0,VLOOKUP($A236,Tariff_Table,Tariff!$M$33))</f>
        <v>0</v>
      </c>
      <c r="G236" s="1609" t="n">
        <f aca="false">SUM(E236,F236)</f>
        <v>0</v>
      </c>
      <c r="H236" s="397" t="n">
        <f aca="false">VLOOKUP($A236,Plant_Table,'Plant Operations'!$T$270)</f>
        <v>0</v>
      </c>
      <c r="I236" s="1566" t="n">
        <f aca="false">G236*H236/1000</f>
        <v>0</v>
      </c>
      <c r="J236" s="1567" t="str">
        <f aca="false">IF(MONTH($A236)=12,SUM(I225:I236)," ")</f>
        <v> </v>
      </c>
      <c r="L236" s="1610" t="n">
        <f aca="false">IF($A236&lt;Startops2,0,VLOOKUP($A236,Tariff_Table,Tariff!$N$33))</f>
        <v>0</v>
      </c>
      <c r="M236" s="397" t="n">
        <f aca="false">H236</f>
        <v>0</v>
      </c>
      <c r="N236" s="1611" t="n">
        <f aca="false">L236*M236/1000</f>
        <v>0</v>
      </c>
      <c r="O236" s="1611" t="n">
        <f aca="false">IF($A236&gt;Endyr,0,VLOOKUP($A236,Tariff_Table,Tariff!$O$33))</f>
        <v>0</v>
      </c>
      <c r="P236" s="427" t="n">
        <f aca="false">VLOOKUP($A236,Curves_Table,Escalation!$AP$291)</f>
        <v>1.77543572910631</v>
      </c>
      <c r="Q236" s="1604" t="n">
        <f aca="false">SUM(N236,O236)*P236</f>
        <v>0</v>
      </c>
      <c r="R236" s="1579" t="str">
        <f aca="false">IF(MONTH($A236)=12,SUM(Q225:Q236)," ")</f>
        <v> </v>
      </c>
    </row>
    <row r="237" customFormat="false" ht="12.75" hidden="false" customHeight="false" outlineLevel="0" collapsed="false">
      <c r="A237" s="1538" t="n">
        <f aca="false">'Annex 12-Gas'!A237</f>
        <v>43800</v>
      </c>
      <c r="C237" s="488" t="n">
        <f aca="false">IF($A237&gt;Endyr,0,VLOOKUP($A237,Tariff_Table,Tariff!$L$33))</f>
        <v>0</v>
      </c>
      <c r="D237" s="427" t="n">
        <f aca="false">VLOOKUP($A237,Curves_Table,Escalation!$AL$291)</f>
        <v>1.69623664745388</v>
      </c>
      <c r="E237" s="1609" t="n">
        <f aca="false">C237*D237</f>
        <v>0</v>
      </c>
      <c r="F237" s="1314" t="n">
        <f aca="false">IF($A237&gt;Endyr,0,VLOOKUP($A237,Tariff_Table,Tariff!$M$33))</f>
        <v>0</v>
      </c>
      <c r="G237" s="1609" t="n">
        <f aca="false">SUM(E237,F237)</f>
        <v>0</v>
      </c>
      <c r="H237" s="397" t="n">
        <f aca="false">VLOOKUP($A237,Plant_Table,'Plant Operations'!$T$270)</f>
        <v>0</v>
      </c>
      <c r="I237" s="1566" t="n">
        <f aca="false">G237*H237/1000</f>
        <v>0</v>
      </c>
      <c r="J237" s="1567" t="n">
        <f aca="false">IF(MONTH($A237)=12,SUM(I226:I237)," ")</f>
        <v>18248.4209093138</v>
      </c>
      <c r="L237" s="1610" t="n">
        <f aca="false">IF($A237&lt;Startops2,0,VLOOKUP($A237,Tariff_Table,Tariff!$N$33))</f>
        <v>0</v>
      </c>
      <c r="M237" s="397" t="n">
        <f aca="false">H237</f>
        <v>0</v>
      </c>
      <c r="N237" s="1611" t="n">
        <f aca="false">L237*M237/1000</f>
        <v>0</v>
      </c>
      <c r="O237" s="1611" t="n">
        <f aca="false">IF($A237&gt;Endyr,0,VLOOKUP($A237,Tariff_Table,Tariff!$O$33))</f>
        <v>0</v>
      </c>
      <c r="P237" s="427" t="n">
        <f aca="false">VLOOKUP($A237,Curves_Table,Escalation!$AP$291)</f>
        <v>1.77543572910631</v>
      </c>
      <c r="Q237" s="1604" t="n">
        <f aca="false">SUM(N237,O237)*P237</f>
        <v>0</v>
      </c>
      <c r="R237" s="1579" t="n">
        <f aca="false">IF(MONTH($A237)=12,SUM(Q226:Q237)," ")</f>
        <v>22531.5008709648</v>
      </c>
    </row>
    <row r="238" customFormat="false" ht="12.75" hidden="false" customHeight="false" outlineLevel="0" collapsed="false">
      <c r="A238" s="1538" t="n">
        <f aca="false">'Annex 12-Gas'!A238</f>
        <v>43831</v>
      </c>
      <c r="C238" s="488" t="n">
        <f aca="false">IF($A238&gt;Endyr,0,VLOOKUP($A238,Tariff_Table,Tariff!$L$33))</f>
        <v>0</v>
      </c>
      <c r="D238" s="427" t="n">
        <f aca="false">VLOOKUP($A238,Curves_Table,Escalation!$AL$291)</f>
        <v>1.69623664745388</v>
      </c>
      <c r="E238" s="1609" t="n">
        <f aca="false">C238*D238</f>
        <v>0</v>
      </c>
      <c r="F238" s="1314" t="n">
        <f aca="false">IF($A238&gt;Endyr,0,VLOOKUP($A238,Tariff_Table,Tariff!$M$33))</f>
        <v>0</v>
      </c>
      <c r="G238" s="1609" t="n">
        <f aca="false">SUM(E238,F238)</f>
        <v>0</v>
      </c>
      <c r="H238" s="397" t="n">
        <f aca="false">VLOOKUP($A238,Plant_Table,'Plant Operations'!$T$270)</f>
        <v>0</v>
      </c>
      <c r="I238" s="1566" t="n">
        <f aca="false">G238*H238/1000</f>
        <v>0</v>
      </c>
      <c r="J238" s="1567" t="str">
        <f aca="false">IF(MONTH($A238)=12,SUM(I227:I238)," ")</f>
        <v> </v>
      </c>
      <c r="L238" s="1610" t="n">
        <f aca="false">IF($A238&lt;Startops2,0,VLOOKUP($A238,Tariff_Table,Tariff!$N$33))</f>
        <v>0</v>
      </c>
      <c r="M238" s="397" t="n">
        <f aca="false">H238</f>
        <v>0</v>
      </c>
      <c r="N238" s="1611" t="n">
        <f aca="false">L238*M238/1000</f>
        <v>0</v>
      </c>
      <c r="O238" s="1611" t="n">
        <f aca="false">IF($A238&gt;Endyr,0,VLOOKUP($A238,Tariff_Table,Tariff!$O$33))</f>
        <v>0</v>
      </c>
      <c r="P238" s="427" t="n">
        <f aca="false">VLOOKUP($A238,Curves_Table,Escalation!$AP$291)</f>
        <v>1.77543572910631</v>
      </c>
      <c r="Q238" s="1604" t="n">
        <f aca="false">SUM(N238,O238)*P238</f>
        <v>0</v>
      </c>
      <c r="R238" s="1579" t="str">
        <f aca="false">IF(MONTH($A238)=12,SUM(Q227:Q238)," ")</f>
        <v> </v>
      </c>
    </row>
    <row r="239" customFormat="false" ht="12.75" hidden="false" customHeight="false" outlineLevel="0" collapsed="false">
      <c r="A239" s="1538" t="n">
        <f aca="false">'Annex 12-Gas'!A239</f>
        <v>43862</v>
      </c>
      <c r="C239" s="488" t="n">
        <f aca="false">IF($A239&gt;Endyr,0,VLOOKUP($A239,Tariff_Table,Tariff!$L$33))</f>
        <v>0</v>
      </c>
      <c r="D239" s="427" t="n">
        <f aca="false">VLOOKUP($A239,Curves_Table,Escalation!$AL$291)</f>
        <v>1.69623664745388</v>
      </c>
      <c r="E239" s="1609" t="n">
        <f aca="false">C239*D239</f>
        <v>0</v>
      </c>
      <c r="F239" s="1314" t="n">
        <f aca="false">IF($A239&gt;Endyr,0,VLOOKUP($A239,Tariff_Table,Tariff!$M$33))</f>
        <v>0</v>
      </c>
      <c r="G239" s="1609" t="n">
        <f aca="false">SUM(E239,F239)</f>
        <v>0</v>
      </c>
      <c r="H239" s="397" t="n">
        <f aca="false">VLOOKUP($A239,Plant_Table,'Plant Operations'!$T$270)</f>
        <v>0</v>
      </c>
      <c r="I239" s="1566" t="n">
        <f aca="false">G239*H239/1000</f>
        <v>0</v>
      </c>
      <c r="J239" s="1567" t="str">
        <f aca="false">IF(MONTH($A239)=12,SUM(I228:I239)," ")</f>
        <v> </v>
      </c>
      <c r="L239" s="1610" t="n">
        <f aca="false">IF($A239&lt;Startops2,0,VLOOKUP($A239,Tariff_Table,Tariff!$N$33))</f>
        <v>0</v>
      </c>
      <c r="M239" s="397" t="n">
        <f aca="false">H239</f>
        <v>0</v>
      </c>
      <c r="N239" s="1611" t="n">
        <f aca="false">L239*M239/1000</f>
        <v>0</v>
      </c>
      <c r="O239" s="1611" t="n">
        <f aca="false">IF($A239&gt;Endyr,0,VLOOKUP($A239,Tariff_Table,Tariff!$O$33))</f>
        <v>0</v>
      </c>
      <c r="P239" s="427" t="n">
        <f aca="false">VLOOKUP($A239,Curves_Table,Escalation!$AP$291)</f>
        <v>1.77543572910631</v>
      </c>
      <c r="Q239" s="1604" t="n">
        <f aca="false">SUM(N239,O239)*P239</f>
        <v>0</v>
      </c>
      <c r="R239" s="1579" t="str">
        <f aca="false">IF(MONTH($A239)=12,SUM(Q228:Q239)," ")</f>
        <v> </v>
      </c>
    </row>
    <row r="240" customFormat="false" ht="12.75" hidden="false" customHeight="false" outlineLevel="0" collapsed="false">
      <c r="A240" s="1538" t="n">
        <f aca="false">'Annex 12-Gas'!A240</f>
        <v>43891</v>
      </c>
      <c r="C240" s="488" t="n">
        <f aca="false">IF($A240&gt;Endyr,0,VLOOKUP($A240,Tariff_Table,Tariff!$L$33))</f>
        <v>0</v>
      </c>
      <c r="D240" s="427" t="n">
        <f aca="false">VLOOKUP($A240,Curves_Table,Escalation!$AL$291)</f>
        <v>1.69623664745388</v>
      </c>
      <c r="E240" s="1609" t="n">
        <f aca="false">C240*D240</f>
        <v>0</v>
      </c>
      <c r="F240" s="1314" t="n">
        <f aca="false">IF($A240&gt;Endyr,0,VLOOKUP($A240,Tariff_Table,Tariff!$M$33))</f>
        <v>0</v>
      </c>
      <c r="G240" s="1609" t="n">
        <f aca="false">SUM(E240,F240)</f>
        <v>0</v>
      </c>
      <c r="H240" s="397" t="n">
        <f aca="false">VLOOKUP($A240,Plant_Table,'Plant Operations'!$T$270)</f>
        <v>0</v>
      </c>
      <c r="I240" s="1566" t="n">
        <f aca="false">G240*H240/1000</f>
        <v>0</v>
      </c>
      <c r="J240" s="1567" t="str">
        <f aca="false">IF(MONTH($A240)=12,SUM(I229:I240)," ")</f>
        <v> </v>
      </c>
      <c r="L240" s="1610" t="n">
        <f aca="false">IF($A240&lt;Startops2,0,VLOOKUP($A240,Tariff_Table,Tariff!$N$33))</f>
        <v>0</v>
      </c>
      <c r="M240" s="397" t="n">
        <f aca="false">H240</f>
        <v>0</v>
      </c>
      <c r="N240" s="1611" t="n">
        <f aca="false">L240*M240/1000</f>
        <v>0</v>
      </c>
      <c r="O240" s="1611" t="n">
        <f aca="false">IF($A240&gt;Endyr,0,VLOOKUP($A240,Tariff_Table,Tariff!$O$33))</f>
        <v>0</v>
      </c>
      <c r="P240" s="427" t="n">
        <f aca="false">VLOOKUP($A240,Curves_Table,Escalation!$AP$291)</f>
        <v>1.77543572910631</v>
      </c>
      <c r="Q240" s="1604" t="n">
        <f aca="false">SUM(N240,O240)*P240</f>
        <v>0</v>
      </c>
      <c r="R240" s="1579" t="str">
        <f aca="false">IF(MONTH($A240)=12,SUM(Q229:Q240)," ")</f>
        <v> </v>
      </c>
    </row>
    <row r="241" customFormat="false" ht="12.75" hidden="false" customHeight="false" outlineLevel="0" collapsed="false">
      <c r="A241" s="1538" t="n">
        <f aca="false">'Annex 12-Gas'!A241</f>
        <v>43922</v>
      </c>
      <c r="C241" s="488" t="n">
        <f aca="false">IF($A241&gt;Endyr,0,VLOOKUP($A241,Tariff_Table,Tariff!$L$33))</f>
        <v>0</v>
      </c>
      <c r="D241" s="427" t="n">
        <f aca="false">VLOOKUP($A241,Curves_Table,Escalation!$AL$291)</f>
        <v>1.69623664745388</v>
      </c>
      <c r="E241" s="1609" t="n">
        <f aca="false">C241*D241</f>
        <v>0</v>
      </c>
      <c r="F241" s="1314" t="n">
        <f aca="false">IF($A241&gt;Endyr,0,VLOOKUP($A241,Tariff_Table,Tariff!$M$33))</f>
        <v>0</v>
      </c>
      <c r="G241" s="1609" t="n">
        <f aca="false">SUM(E241,F241)</f>
        <v>0</v>
      </c>
      <c r="H241" s="397" t="n">
        <f aca="false">VLOOKUP($A241,Plant_Table,'Plant Operations'!$T$270)</f>
        <v>0</v>
      </c>
      <c r="I241" s="1566" t="n">
        <f aca="false">G241*H241/1000</f>
        <v>0</v>
      </c>
      <c r="J241" s="1567" t="str">
        <f aca="false">IF(MONTH($A241)=12,SUM(I230:I241)," ")</f>
        <v> </v>
      </c>
      <c r="L241" s="1610" t="n">
        <f aca="false">IF($A241&lt;Startops2,0,VLOOKUP($A241,Tariff_Table,Tariff!$N$33))</f>
        <v>0</v>
      </c>
      <c r="M241" s="397" t="n">
        <f aca="false">H241</f>
        <v>0</v>
      </c>
      <c r="N241" s="1611" t="n">
        <f aca="false">L241*M241/1000</f>
        <v>0</v>
      </c>
      <c r="O241" s="1611" t="n">
        <f aca="false">IF($A241&gt;Endyr,0,VLOOKUP($A241,Tariff_Table,Tariff!$O$33))</f>
        <v>0</v>
      </c>
      <c r="P241" s="427" t="n">
        <f aca="false">VLOOKUP($A241,Curves_Table,Escalation!$AP$291)</f>
        <v>1.77543572910631</v>
      </c>
      <c r="Q241" s="1604" t="n">
        <f aca="false">SUM(N241,O241)*P241</f>
        <v>0</v>
      </c>
      <c r="R241" s="1579" t="str">
        <f aca="false">IF(MONTH($A241)=12,SUM(Q230:Q241)," ")</f>
        <v> </v>
      </c>
    </row>
    <row r="242" customFormat="false" ht="12.75" hidden="false" customHeight="false" outlineLevel="0" collapsed="false">
      <c r="A242" s="1538" t="n">
        <f aca="false">'Annex 12-Gas'!A242</f>
        <v>43952</v>
      </c>
      <c r="C242" s="488" t="n">
        <f aca="false">IF($A242&gt;Endyr,0,VLOOKUP($A242,Tariff_Table,Tariff!$L$33))</f>
        <v>0</v>
      </c>
      <c r="D242" s="427" t="n">
        <f aca="false">VLOOKUP($A242,Curves_Table,Escalation!$AL$291)</f>
        <v>1.69623664745388</v>
      </c>
      <c r="E242" s="1609" t="n">
        <f aca="false">C242*D242</f>
        <v>0</v>
      </c>
      <c r="F242" s="1314" t="n">
        <f aca="false">IF($A242&gt;Endyr,0,VLOOKUP($A242,Tariff_Table,Tariff!$M$33))</f>
        <v>0</v>
      </c>
      <c r="G242" s="1609" t="n">
        <f aca="false">SUM(E242,F242)</f>
        <v>0</v>
      </c>
      <c r="H242" s="397" t="n">
        <f aca="false">VLOOKUP($A242,Plant_Table,'Plant Operations'!$T$270)</f>
        <v>0</v>
      </c>
      <c r="I242" s="1566" t="n">
        <f aca="false">G242*H242/1000</f>
        <v>0</v>
      </c>
      <c r="J242" s="1567" t="str">
        <f aca="false">IF(MONTH($A242)=12,SUM(I231:I242)," ")</f>
        <v> </v>
      </c>
      <c r="L242" s="1610" t="n">
        <f aca="false">IF($A242&lt;Startops2,0,VLOOKUP($A242,Tariff_Table,Tariff!$N$33))</f>
        <v>0</v>
      </c>
      <c r="M242" s="397" t="n">
        <f aca="false">H242</f>
        <v>0</v>
      </c>
      <c r="N242" s="1611" t="n">
        <f aca="false">L242*M242/1000</f>
        <v>0</v>
      </c>
      <c r="O242" s="1611" t="n">
        <f aca="false">IF($A242&gt;Endyr,0,VLOOKUP($A242,Tariff_Table,Tariff!$O$33))</f>
        <v>0</v>
      </c>
      <c r="P242" s="427" t="n">
        <f aca="false">VLOOKUP($A242,Curves_Table,Escalation!$AP$291)</f>
        <v>1.77543572910631</v>
      </c>
      <c r="Q242" s="1604" t="n">
        <f aca="false">SUM(N242,O242)*P242</f>
        <v>0</v>
      </c>
      <c r="R242" s="1579" t="str">
        <f aca="false">IF(MONTH($A242)=12,SUM(Q231:Q242)," ")</f>
        <v> </v>
      </c>
    </row>
    <row r="243" customFormat="false" ht="12.75" hidden="false" customHeight="false" outlineLevel="0" collapsed="false">
      <c r="A243" s="1538" t="n">
        <f aca="false">'Annex 12-Gas'!A243</f>
        <v>43983</v>
      </c>
      <c r="C243" s="488" t="n">
        <f aca="false">IF($A243&gt;Endyr,0,VLOOKUP($A243,Tariff_Table,Tariff!$L$33))</f>
        <v>0</v>
      </c>
      <c r="D243" s="427" t="n">
        <f aca="false">VLOOKUP($A243,Curves_Table,Escalation!$AL$291)</f>
        <v>1.69623664745388</v>
      </c>
      <c r="E243" s="1609" t="n">
        <f aca="false">C243*D243</f>
        <v>0</v>
      </c>
      <c r="F243" s="1314" t="n">
        <f aca="false">IF($A243&gt;Endyr,0,VLOOKUP($A243,Tariff_Table,Tariff!$M$33))</f>
        <v>0</v>
      </c>
      <c r="G243" s="1609" t="n">
        <f aca="false">SUM(E243,F243)</f>
        <v>0</v>
      </c>
      <c r="H243" s="397" t="n">
        <f aca="false">VLOOKUP($A243,Plant_Table,'Plant Operations'!$T$270)</f>
        <v>0</v>
      </c>
      <c r="I243" s="1566" t="n">
        <f aca="false">G243*H243/1000</f>
        <v>0</v>
      </c>
      <c r="J243" s="1567" t="str">
        <f aca="false">IF(MONTH($A243)=12,SUM(I232:I243)," ")</f>
        <v> </v>
      </c>
      <c r="L243" s="1610" t="n">
        <f aca="false">IF($A243&lt;Startops2,0,VLOOKUP($A243,Tariff_Table,Tariff!$N$33))</f>
        <v>0</v>
      </c>
      <c r="M243" s="397" t="n">
        <f aca="false">H243</f>
        <v>0</v>
      </c>
      <c r="N243" s="1611" t="n">
        <f aca="false">L243*M243/1000</f>
        <v>0</v>
      </c>
      <c r="O243" s="1611" t="n">
        <f aca="false">IF($A243&gt;Endyr,0,VLOOKUP($A243,Tariff_Table,Tariff!$O$33))</f>
        <v>0</v>
      </c>
      <c r="P243" s="427" t="n">
        <f aca="false">VLOOKUP($A243,Curves_Table,Escalation!$AP$291)</f>
        <v>1.77543572910631</v>
      </c>
      <c r="Q243" s="1604" t="n">
        <f aca="false">SUM(N243,O243)*P243</f>
        <v>0</v>
      </c>
      <c r="R243" s="1579" t="str">
        <f aca="false">IF(MONTH($A243)=12,SUM(Q232:Q243)," ")</f>
        <v> </v>
      </c>
    </row>
    <row r="244" customFormat="false" ht="12.75" hidden="false" customHeight="false" outlineLevel="0" collapsed="false">
      <c r="A244" s="1538" t="n">
        <f aca="false">'Annex 12-Gas'!A244</f>
        <v>44013</v>
      </c>
      <c r="C244" s="488" t="n">
        <f aca="false">IF($A244&gt;Endyr,0,VLOOKUP($A244,Tariff_Table,Tariff!$L$33))</f>
        <v>0</v>
      </c>
      <c r="D244" s="427" t="n">
        <f aca="false">VLOOKUP($A244,Curves_Table,Escalation!$AL$291)</f>
        <v>1.69623664745388</v>
      </c>
      <c r="E244" s="1609" t="n">
        <f aca="false">C244*D244</f>
        <v>0</v>
      </c>
      <c r="F244" s="1314" t="n">
        <f aca="false">IF($A244&gt;Endyr,0,VLOOKUP($A244,Tariff_Table,Tariff!$M$33))</f>
        <v>0</v>
      </c>
      <c r="G244" s="1609" t="n">
        <f aca="false">SUM(E244,F244)</f>
        <v>0</v>
      </c>
      <c r="H244" s="397" t="n">
        <f aca="false">VLOOKUP($A244,Plant_Table,'Plant Operations'!$T$270)</f>
        <v>0</v>
      </c>
      <c r="I244" s="1566" t="n">
        <f aca="false">G244*H244/1000</f>
        <v>0</v>
      </c>
      <c r="J244" s="1567" t="str">
        <f aca="false">IF(MONTH($A244)=12,SUM(I233:I244)," ")</f>
        <v> </v>
      </c>
      <c r="L244" s="1610" t="n">
        <f aca="false">IF($A244&lt;Startops2,0,VLOOKUP($A244,Tariff_Table,Tariff!$N$33))</f>
        <v>0</v>
      </c>
      <c r="M244" s="397" t="n">
        <f aca="false">H244</f>
        <v>0</v>
      </c>
      <c r="N244" s="1611" t="n">
        <f aca="false">L244*M244/1000</f>
        <v>0</v>
      </c>
      <c r="O244" s="1611" t="n">
        <f aca="false">IF($A244&gt;Endyr,0,VLOOKUP($A244,Tariff_Table,Tariff!$O$33))</f>
        <v>0</v>
      </c>
      <c r="P244" s="427" t="n">
        <f aca="false">VLOOKUP($A244,Curves_Table,Escalation!$AP$291)</f>
        <v>1.77543572910631</v>
      </c>
      <c r="Q244" s="1604" t="n">
        <f aca="false">SUM(N244,O244)*P244</f>
        <v>0</v>
      </c>
      <c r="R244" s="1579" t="str">
        <f aca="false">IF(MONTH($A244)=12,SUM(Q233:Q244)," ")</f>
        <v> </v>
      </c>
    </row>
    <row r="245" customFormat="false" ht="12.75" hidden="false" customHeight="false" outlineLevel="0" collapsed="false">
      <c r="A245" s="1538" t="n">
        <f aca="false">'Annex 12-Gas'!A245</f>
        <v>44044</v>
      </c>
      <c r="C245" s="488" t="n">
        <f aca="false">IF($A245&gt;Endyr,0,VLOOKUP($A245,Tariff_Table,Tariff!$L$33))</f>
        <v>0</v>
      </c>
      <c r="D245" s="427" t="n">
        <f aca="false">VLOOKUP($A245,Curves_Table,Escalation!$AL$291)</f>
        <v>1.69623664745388</v>
      </c>
      <c r="E245" s="1609" t="n">
        <f aca="false">C245*D245</f>
        <v>0</v>
      </c>
      <c r="F245" s="1314" t="n">
        <f aca="false">IF($A245&gt;Endyr,0,VLOOKUP($A245,Tariff_Table,Tariff!$M$33))</f>
        <v>0</v>
      </c>
      <c r="G245" s="1609" t="n">
        <f aca="false">SUM(E245,F245)</f>
        <v>0</v>
      </c>
      <c r="H245" s="397" t="n">
        <f aca="false">VLOOKUP($A245,Plant_Table,'Plant Operations'!$T$270)</f>
        <v>0</v>
      </c>
      <c r="I245" s="1566" t="n">
        <f aca="false">G245*H245/1000</f>
        <v>0</v>
      </c>
      <c r="J245" s="1567" t="str">
        <f aca="false">IF(MONTH($A245)=12,SUM(I234:I245)," ")</f>
        <v> </v>
      </c>
      <c r="L245" s="1610" t="n">
        <f aca="false">IF($A245&lt;Startops2,0,VLOOKUP($A245,Tariff_Table,Tariff!$N$33))</f>
        <v>0</v>
      </c>
      <c r="M245" s="397" t="n">
        <f aca="false">H245</f>
        <v>0</v>
      </c>
      <c r="N245" s="1611" t="n">
        <f aca="false">L245*M245/1000</f>
        <v>0</v>
      </c>
      <c r="O245" s="1611" t="n">
        <f aca="false">IF($A245&gt;Endyr,0,VLOOKUP($A245,Tariff_Table,Tariff!$O$33))</f>
        <v>0</v>
      </c>
      <c r="P245" s="427" t="n">
        <f aca="false">VLOOKUP($A245,Curves_Table,Escalation!$AP$291)</f>
        <v>1.77543572910631</v>
      </c>
      <c r="Q245" s="1604" t="n">
        <f aca="false">SUM(N245,O245)*P245</f>
        <v>0</v>
      </c>
      <c r="R245" s="1579" t="str">
        <f aca="false">IF(MONTH($A245)=12,SUM(Q234:Q245)," ")</f>
        <v> </v>
      </c>
    </row>
    <row r="246" customFormat="false" ht="12.75" hidden="false" customHeight="false" outlineLevel="0" collapsed="false">
      <c r="A246" s="1538" t="n">
        <f aca="false">'Annex 12-Gas'!A246</f>
        <v>44075</v>
      </c>
      <c r="C246" s="488" t="n">
        <f aca="false">IF($A246&gt;Endyr,0,VLOOKUP($A246,Tariff_Table,Tariff!$L$33))</f>
        <v>0</v>
      </c>
      <c r="D246" s="427" t="n">
        <f aca="false">VLOOKUP($A246,Curves_Table,Escalation!$AL$291)</f>
        <v>1.69623664745388</v>
      </c>
      <c r="E246" s="1609" t="n">
        <f aca="false">C246*D246</f>
        <v>0</v>
      </c>
      <c r="F246" s="1314" t="n">
        <f aca="false">IF($A246&gt;Endyr,0,VLOOKUP($A246,Tariff_Table,Tariff!$M$33))</f>
        <v>0</v>
      </c>
      <c r="G246" s="1609" t="n">
        <f aca="false">SUM(E246,F246)</f>
        <v>0</v>
      </c>
      <c r="H246" s="397" t="n">
        <f aca="false">VLOOKUP($A246,Plant_Table,'Plant Operations'!$T$270)</f>
        <v>0</v>
      </c>
      <c r="I246" s="1566" t="n">
        <f aca="false">G246*H246/1000</f>
        <v>0</v>
      </c>
      <c r="J246" s="1567" t="str">
        <f aca="false">IF(MONTH($A246)=12,SUM(I235:I246)," ")</f>
        <v> </v>
      </c>
      <c r="L246" s="1610" t="n">
        <f aca="false">IF($A246&lt;Startops2,0,VLOOKUP($A246,Tariff_Table,Tariff!$N$33))</f>
        <v>0</v>
      </c>
      <c r="M246" s="397" t="n">
        <f aca="false">H246</f>
        <v>0</v>
      </c>
      <c r="N246" s="1611" t="n">
        <f aca="false">L246*M246/1000</f>
        <v>0</v>
      </c>
      <c r="O246" s="1611" t="n">
        <f aca="false">IF($A246&gt;Endyr,0,VLOOKUP($A246,Tariff_Table,Tariff!$O$33))</f>
        <v>0</v>
      </c>
      <c r="P246" s="427" t="n">
        <f aca="false">VLOOKUP($A246,Curves_Table,Escalation!$AP$291)</f>
        <v>1.77543572910631</v>
      </c>
      <c r="Q246" s="1604" t="n">
        <f aca="false">SUM(N246,O246)*P246</f>
        <v>0</v>
      </c>
      <c r="R246" s="1579" t="str">
        <f aca="false">IF(MONTH($A246)=12,SUM(Q235:Q246)," ")</f>
        <v> </v>
      </c>
    </row>
    <row r="247" customFormat="false" ht="12.75" hidden="false" customHeight="false" outlineLevel="0" collapsed="false">
      <c r="A247" s="1538" t="n">
        <f aca="false">'Annex 12-Gas'!A247</f>
        <v>44105</v>
      </c>
      <c r="C247" s="488" t="n">
        <f aca="false">IF($A247&gt;Endyr,0,VLOOKUP($A247,Tariff_Table,Tariff!$L$33))</f>
        <v>0</v>
      </c>
      <c r="D247" s="427" t="n">
        <f aca="false">VLOOKUP($A247,Curves_Table,Escalation!$AL$291)</f>
        <v>1.69623664745388</v>
      </c>
      <c r="E247" s="1609" t="n">
        <f aca="false">C247*D247</f>
        <v>0</v>
      </c>
      <c r="F247" s="1314" t="n">
        <f aca="false">IF($A247&gt;Endyr,0,VLOOKUP($A247,Tariff_Table,Tariff!$M$33))</f>
        <v>0</v>
      </c>
      <c r="G247" s="1609" t="n">
        <f aca="false">SUM(E247,F247)</f>
        <v>0</v>
      </c>
      <c r="H247" s="397" t="n">
        <f aca="false">VLOOKUP($A247,Plant_Table,'Plant Operations'!$T$270)</f>
        <v>0</v>
      </c>
      <c r="I247" s="1566" t="n">
        <f aca="false">G247*H247/1000</f>
        <v>0</v>
      </c>
      <c r="J247" s="1567" t="str">
        <f aca="false">IF(MONTH($A247)=12,SUM(I236:I247)," ")</f>
        <v> </v>
      </c>
      <c r="L247" s="1610" t="n">
        <f aca="false">IF($A247&lt;Startops2,0,VLOOKUP($A247,Tariff_Table,Tariff!$N$33))</f>
        <v>0</v>
      </c>
      <c r="M247" s="397" t="n">
        <f aca="false">H247</f>
        <v>0</v>
      </c>
      <c r="N247" s="1611" t="n">
        <f aca="false">L247*M247/1000</f>
        <v>0</v>
      </c>
      <c r="O247" s="1611" t="n">
        <f aca="false">IF($A247&gt;Endyr,0,VLOOKUP($A247,Tariff_Table,Tariff!$O$33))</f>
        <v>0</v>
      </c>
      <c r="P247" s="427" t="n">
        <f aca="false">VLOOKUP($A247,Curves_Table,Escalation!$AP$291)</f>
        <v>1.77543572910631</v>
      </c>
      <c r="Q247" s="1604" t="n">
        <f aca="false">SUM(N247,O247)*P247</f>
        <v>0</v>
      </c>
      <c r="R247" s="1579" t="str">
        <f aca="false">IF(MONTH($A247)=12,SUM(Q236:Q247)," ")</f>
        <v> </v>
      </c>
    </row>
    <row r="248" customFormat="false" ht="12.75" hidden="false" customHeight="false" outlineLevel="0" collapsed="false">
      <c r="A248" s="1538" t="n">
        <f aca="false">'Annex 12-Gas'!A248</f>
        <v>44136</v>
      </c>
      <c r="C248" s="488" t="n">
        <f aca="false">IF($A248&gt;Endyr,0,VLOOKUP($A248,Tariff_Table,Tariff!$L$33))</f>
        <v>0</v>
      </c>
      <c r="D248" s="427" t="n">
        <f aca="false">VLOOKUP($A248,Curves_Table,Escalation!$AL$291)</f>
        <v>1.69623664745388</v>
      </c>
      <c r="E248" s="1609" t="n">
        <f aca="false">C248*D248</f>
        <v>0</v>
      </c>
      <c r="F248" s="1314" t="n">
        <f aca="false">IF($A248&gt;Endyr,0,VLOOKUP($A248,Tariff_Table,Tariff!$M$33))</f>
        <v>0</v>
      </c>
      <c r="G248" s="1609" t="n">
        <f aca="false">SUM(E248,F248)</f>
        <v>0</v>
      </c>
      <c r="H248" s="397" t="n">
        <f aca="false">VLOOKUP($A248,Plant_Table,'Plant Operations'!$T$270)</f>
        <v>0</v>
      </c>
      <c r="I248" s="1566" t="n">
        <f aca="false">G248*H248/1000</f>
        <v>0</v>
      </c>
      <c r="J248" s="1567" t="str">
        <f aca="false">IF(MONTH($A248)=12,SUM(I237:I248)," ")</f>
        <v> </v>
      </c>
      <c r="L248" s="1610" t="n">
        <f aca="false">IF($A248&lt;Startops2,0,VLOOKUP($A248,Tariff_Table,Tariff!$N$33))</f>
        <v>0</v>
      </c>
      <c r="M248" s="397" t="n">
        <f aca="false">H248</f>
        <v>0</v>
      </c>
      <c r="N248" s="1611" t="n">
        <f aca="false">L248*M248/1000</f>
        <v>0</v>
      </c>
      <c r="O248" s="1611" t="n">
        <f aca="false">IF($A248&gt;Endyr,0,VLOOKUP($A248,Tariff_Table,Tariff!$O$33))</f>
        <v>0</v>
      </c>
      <c r="P248" s="427" t="n">
        <f aca="false">VLOOKUP($A248,Curves_Table,Escalation!$AP$291)</f>
        <v>1.77543572910631</v>
      </c>
      <c r="Q248" s="1604" t="n">
        <f aca="false">SUM(N248,O248)*P248</f>
        <v>0</v>
      </c>
      <c r="R248" s="1579" t="str">
        <f aca="false">IF(MONTH($A248)=12,SUM(Q237:Q248)," ")</f>
        <v> </v>
      </c>
    </row>
    <row r="249" customFormat="false" ht="12.75" hidden="false" customHeight="false" outlineLevel="0" collapsed="false">
      <c r="A249" s="1538" t="n">
        <f aca="false">'Annex 12-Gas'!A249</f>
        <v>44166</v>
      </c>
      <c r="C249" s="488" t="n">
        <f aca="false">IF($A249&gt;Endyr,0,VLOOKUP($A249,Tariff_Table,Tariff!$L$33))</f>
        <v>0</v>
      </c>
      <c r="D249" s="427" t="n">
        <f aca="false">VLOOKUP($A249,Curves_Table,Escalation!$AL$291)</f>
        <v>1.69623664745388</v>
      </c>
      <c r="E249" s="1609" t="n">
        <f aca="false">C249*D249</f>
        <v>0</v>
      </c>
      <c r="F249" s="1314" t="n">
        <f aca="false">IF($A249&gt;Endyr,0,VLOOKUP($A249,Tariff_Table,Tariff!$M$33))</f>
        <v>0</v>
      </c>
      <c r="G249" s="1609" t="n">
        <f aca="false">SUM(E249,F249)</f>
        <v>0</v>
      </c>
      <c r="H249" s="397" t="n">
        <f aca="false">VLOOKUP($A249,Plant_Table,'Plant Operations'!$T$270)</f>
        <v>0</v>
      </c>
      <c r="I249" s="1566" t="n">
        <f aca="false">G249*H249/1000</f>
        <v>0</v>
      </c>
      <c r="J249" s="1567" t="n">
        <f aca="false">IF(MONTH($A249)=12,SUM(I238:I249)," ")</f>
        <v>0</v>
      </c>
      <c r="L249" s="1610" t="n">
        <f aca="false">IF($A249&lt;Startops2,0,VLOOKUP($A249,Tariff_Table,Tariff!$N$33))</f>
        <v>0</v>
      </c>
      <c r="M249" s="397" t="n">
        <f aca="false">H249</f>
        <v>0</v>
      </c>
      <c r="N249" s="1611" t="n">
        <f aca="false">L249*M249/1000</f>
        <v>0</v>
      </c>
      <c r="O249" s="1611" t="n">
        <f aca="false">IF($A249&gt;Endyr,0,VLOOKUP($A249,Tariff_Table,Tariff!$O$33))</f>
        <v>0</v>
      </c>
      <c r="P249" s="427" t="n">
        <f aca="false">VLOOKUP($A249,Curves_Table,Escalation!$AP$291)</f>
        <v>1.77543572910631</v>
      </c>
      <c r="Q249" s="1604" t="n">
        <f aca="false">SUM(N249,O249)*P249</f>
        <v>0</v>
      </c>
      <c r="R249" s="1579" t="n">
        <f aca="false">IF(MONTH($A249)=12,SUM(Q238:Q249)," ")</f>
        <v>0</v>
      </c>
    </row>
    <row r="250" customFormat="false" ht="12.75" hidden="false" customHeight="false" outlineLevel="0" collapsed="false">
      <c r="A250" s="1538" t="n">
        <f aca="false">'Annex 12-Gas'!A250</f>
        <v>44197</v>
      </c>
      <c r="C250" s="488" t="n">
        <f aca="false">IF($A250&gt;Endyr,0,VLOOKUP($A250,Tariff_Table,Tariff!$L$33))</f>
        <v>0</v>
      </c>
      <c r="D250" s="427" t="n">
        <f aca="false">VLOOKUP($A250,Curves_Table,Escalation!$AL$291)</f>
        <v>1.69623664745388</v>
      </c>
      <c r="E250" s="1609" t="n">
        <f aca="false">C250*D250</f>
        <v>0</v>
      </c>
      <c r="F250" s="1314" t="n">
        <f aca="false">IF($A250&gt;Endyr,0,VLOOKUP($A250,Tariff_Table,Tariff!$M$33))</f>
        <v>0</v>
      </c>
      <c r="G250" s="1609" t="n">
        <f aca="false">SUM(E250,F250)</f>
        <v>0</v>
      </c>
      <c r="H250" s="397" t="n">
        <f aca="false">VLOOKUP($A250,Plant_Table,'Plant Operations'!$T$270)</f>
        <v>0</v>
      </c>
      <c r="I250" s="1566" t="n">
        <f aca="false">G250*H250/1000</f>
        <v>0</v>
      </c>
      <c r="J250" s="1567" t="str">
        <f aca="false">IF(MONTH($A250)=12,SUM(I239:I250)," ")</f>
        <v> </v>
      </c>
      <c r="L250" s="1610" t="n">
        <f aca="false">IF($A250&lt;Startops2,0,VLOOKUP($A250,Tariff_Table,Tariff!$N$33))</f>
        <v>0</v>
      </c>
      <c r="M250" s="397" t="n">
        <f aca="false">H250</f>
        <v>0</v>
      </c>
      <c r="N250" s="1611" t="n">
        <f aca="false">L250*M250/1000</f>
        <v>0</v>
      </c>
      <c r="O250" s="1611" t="n">
        <f aca="false">IF($A250&gt;Endyr,0,VLOOKUP($A250,Tariff_Table,Tariff!$O$33))</f>
        <v>0</v>
      </c>
      <c r="P250" s="427" t="n">
        <f aca="false">VLOOKUP($A250,Curves_Table,Escalation!$AP$291)</f>
        <v>1.77543572910631</v>
      </c>
      <c r="Q250" s="1604" t="n">
        <f aca="false">SUM(N250,O250)*P250</f>
        <v>0</v>
      </c>
      <c r="R250" s="1579" t="str">
        <f aca="false">IF(MONTH($A250)=12,SUM(Q239:Q250)," ")</f>
        <v> </v>
      </c>
    </row>
    <row r="251" customFormat="false" ht="12.75" hidden="false" customHeight="false" outlineLevel="0" collapsed="false">
      <c r="A251" s="1538" t="n">
        <f aca="false">'Annex 12-Gas'!A251</f>
        <v>44228</v>
      </c>
      <c r="C251" s="488" t="n">
        <f aca="false">IF($A251&gt;Endyr,0,VLOOKUP($A251,Tariff_Table,Tariff!$L$33))</f>
        <v>0</v>
      </c>
      <c r="D251" s="427" t="n">
        <f aca="false">VLOOKUP($A251,Curves_Table,Escalation!$AL$291)</f>
        <v>1.69623664745388</v>
      </c>
      <c r="E251" s="1609" t="n">
        <f aca="false">C251*D251</f>
        <v>0</v>
      </c>
      <c r="F251" s="1314" t="n">
        <f aca="false">IF($A251&gt;Endyr,0,VLOOKUP($A251,Tariff_Table,Tariff!$M$33))</f>
        <v>0</v>
      </c>
      <c r="G251" s="1609" t="n">
        <f aca="false">SUM(E251,F251)</f>
        <v>0</v>
      </c>
      <c r="H251" s="397" t="n">
        <f aca="false">VLOOKUP($A251,Plant_Table,'Plant Operations'!$T$270)</f>
        <v>0</v>
      </c>
      <c r="I251" s="1566" t="n">
        <f aca="false">G251*H251/1000</f>
        <v>0</v>
      </c>
      <c r="J251" s="1567" t="str">
        <f aca="false">IF(MONTH($A251)=12,SUM(I240:I251)," ")</f>
        <v> </v>
      </c>
      <c r="L251" s="1610" t="n">
        <f aca="false">IF($A251&lt;Startops2,0,VLOOKUP($A251,Tariff_Table,Tariff!$N$33))</f>
        <v>0</v>
      </c>
      <c r="M251" s="397" t="n">
        <f aca="false">H251</f>
        <v>0</v>
      </c>
      <c r="N251" s="1611" t="n">
        <f aca="false">L251*M251/1000</f>
        <v>0</v>
      </c>
      <c r="O251" s="1611" t="n">
        <f aca="false">IF($A251&gt;Endyr,0,VLOOKUP($A251,Tariff_Table,Tariff!$O$33))</f>
        <v>0</v>
      </c>
      <c r="P251" s="427" t="n">
        <f aca="false">VLOOKUP($A251,Curves_Table,Escalation!$AP$291)</f>
        <v>1.77543572910631</v>
      </c>
      <c r="Q251" s="1604" t="n">
        <f aca="false">SUM(N251,O251)*P251</f>
        <v>0</v>
      </c>
      <c r="R251" s="1579" t="str">
        <f aca="false">IF(MONTH($A251)=12,SUM(Q240:Q251)," ")</f>
        <v> </v>
      </c>
    </row>
    <row r="252" customFormat="false" ht="12.75" hidden="false" customHeight="false" outlineLevel="0" collapsed="false">
      <c r="A252" s="1538" t="n">
        <f aca="false">'Annex 12-Gas'!A252</f>
        <v>44256</v>
      </c>
      <c r="C252" s="488" t="n">
        <f aca="false">IF($A252&gt;Endyr,0,VLOOKUP($A252,Tariff_Table,Tariff!$L$33))</f>
        <v>0</v>
      </c>
      <c r="D252" s="427" t="n">
        <f aca="false">VLOOKUP($A252,Curves_Table,Escalation!$AL$291)</f>
        <v>1.69623664745388</v>
      </c>
      <c r="E252" s="1609" t="n">
        <f aca="false">C252*D252</f>
        <v>0</v>
      </c>
      <c r="F252" s="1314" t="n">
        <f aca="false">IF($A252&gt;Endyr,0,VLOOKUP($A252,Tariff_Table,Tariff!$M$33))</f>
        <v>0</v>
      </c>
      <c r="G252" s="1609" t="n">
        <f aca="false">SUM(E252,F252)</f>
        <v>0</v>
      </c>
      <c r="H252" s="397" t="n">
        <f aca="false">VLOOKUP($A252,Plant_Table,'Plant Operations'!$T$270)</f>
        <v>0</v>
      </c>
      <c r="I252" s="1566" t="n">
        <f aca="false">G252*H252/1000</f>
        <v>0</v>
      </c>
      <c r="J252" s="1567" t="str">
        <f aca="false">IF(MONTH($A252)=12,SUM(I241:I252)," ")</f>
        <v> </v>
      </c>
      <c r="L252" s="1610" t="n">
        <f aca="false">IF($A252&lt;Startops2,0,VLOOKUP($A252,Tariff_Table,Tariff!$N$33))</f>
        <v>0</v>
      </c>
      <c r="M252" s="397" t="n">
        <f aca="false">H252</f>
        <v>0</v>
      </c>
      <c r="N252" s="1611" t="n">
        <f aca="false">L252*M252/1000</f>
        <v>0</v>
      </c>
      <c r="O252" s="1611" t="n">
        <f aca="false">IF($A252&gt;Endyr,0,VLOOKUP($A252,Tariff_Table,Tariff!$O$33))</f>
        <v>0</v>
      </c>
      <c r="P252" s="427" t="n">
        <f aca="false">VLOOKUP($A252,Curves_Table,Escalation!$AP$291)</f>
        <v>1.77543572910631</v>
      </c>
      <c r="Q252" s="1604" t="n">
        <f aca="false">SUM(N252,O252)*P252</f>
        <v>0</v>
      </c>
      <c r="R252" s="1579" t="str">
        <f aca="false">IF(MONTH($A252)=12,SUM(Q241:Q252)," ")</f>
        <v> </v>
      </c>
    </row>
    <row r="253" customFormat="false" ht="12.75" hidden="false" customHeight="false" outlineLevel="0" collapsed="false">
      <c r="A253" s="1538" t="n">
        <f aca="false">'Annex 12-Gas'!A253</f>
        <v>44287</v>
      </c>
      <c r="C253" s="488" t="n">
        <f aca="false">IF($A253&gt;Endyr,0,VLOOKUP($A253,Tariff_Table,Tariff!$L$33))</f>
        <v>0</v>
      </c>
      <c r="D253" s="427" t="n">
        <f aca="false">VLOOKUP($A253,Curves_Table,Escalation!$AL$291)</f>
        <v>1.69623664745388</v>
      </c>
      <c r="E253" s="1609" t="n">
        <f aca="false">C253*D253</f>
        <v>0</v>
      </c>
      <c r="F253" s="1314" t="n">
        <f aca="false">IF($A253&gt;Endyr,0,VLOOKUP($A253,Tariff_Table,Tariff!$M$33))</f>
        <v>0</v>
      </c>
      <c r="G253" s="1609" t="n">
        <f aca="false">SUM(E253,F253)</f>
        <v>0</v>
      </c>
      <c r="H253" s="397" t="n">
        <f aca="false">VLOOKUP($A253,Plant_Table,'Plant Operations'!$T$270)</f>
        <v>0</v>
      </c>
      <c r="I253" s="1566" t="n">
        <f aca="false">G253*H253/1000</f>
        <v>0</v>
      </c>
      <c r="J253" s="1567" t="str">
        <f aca="false">IF(MONTH($A253)=12,SUM(I242:I253)," ")</f>
        <v> </v>
      </c>
      <c r="L253" s="1610" t="n">
        <f aca="false">IF($A253&lt;Startops2,0,VLOOKUP($A253,Tariff_Table,Tariff!$N$33))</f>
        <v>0</v>
      </c>
      <c r="M253" s="397" t="n">
        <f aca="false">H253</f>
        <v>0</v>
      </c>
      <c r="N253" s="1611" t="n">
        <f aca="false">L253*M253/1000</f>
        <v>0</v>
      </c>
      <c r="O253" s="1611" t="n">
        <f aca="false">IF($A253&gt;Endyr,0,VLOOKUP($A253,Tariff_Table,Tariff!$O$33))</f>
        <v>0</v>
      </c>
      <c r="P253" s="427" t="n">
        <f aca="false">VLOOKUP($A253,Curves_Table,Escalation!$AP$291)</f>
        <v>1.77543572910631</v>
      </c>
      <c r="Q253" s="1604" t="n">
        <f aca="false">SUM(N253,O253)*P253</f>
        <v>0</v>
      </c>
      <c r="R253" s="1579" t="str">
        <f aca="false">IF(MONTH($A253)=12,SUM(Q242:Q253)," ")</f>
        <v> </v>
      </c>
    </row>
    <row r="254" customFormat="false" ht="12.75" hidden="false" customHeight="false" outlineLevel="0" collapsed="false">
      <c r="A254" s="1538" t="n">
        <f aca="false">'Annex 12-Gas'!A254</f>
        <v>44317</v>
      </c>
      <c r="C254" s="488" t="n">
        <f aca="false">IF($A254&gt;Endyr,0,VLOOKUP($A254,Tariff_Table,Tariff!$L$33))</f>
        <v>0</v>
      </c>
      <c r="D254" s="427" t="n">
        <f aca="false">VLOOKUP($A254,Curves_Table,Escalation!$AL$291)</f>
        <v>1.69623664745388</v>
      </c>
      <c r="E254" s="1609" t="n">
        <f aca="false">C254*D254</f>
        <v>0</v>
      </c>
      <c r="F254" s="1314" t="n">
        <f aca="false">IF($A254&gt;Endyr,0,VLOOKUP($A254,Tariff_Table,Tariff!$M$33))</f>
        <v>0</v>
      </c>
      <c r="G254" s="1609" t="n">
        <f aca="false">SUM(E254,F254)</f>
        <v>0</v>
      </c>
      <c r="H254" s="397" t="n">
        <f aca="false">VLOOKUP($A254,Plant_Table,'Plant Operations'!$T$270)</f>
        <v>0</v>
      </c>
      <c r="I254" s="1566" t="n">
        <f aca="false">G254*H254/1000</f>
        <v>0</v>
      </c>
      <c r="J254" s="1567" t="str">
        <f aca="false">IF(MONTH($A254)=12,SUM(I243:I254)," ")</f>
        <v> </v>
      </c>
      <c r="L254" s="1610" t="n">
        <f aca="false">IF($A254&lt;Startops2,0,VLOOKUP($A254,Tariff_Table,Tariff!$N$33))</f>
        <v>0</v>
      </c>
      <c r="M254" s="397" t="n">
        <f aca="false">H254</f>
        <v>0</v>
      </c>
      <c r="N254" s="1611" t="n">
        <f aca="false">L254*M254/1000</f>
        <v>0</v>
      </c>
      <c r="O254" s="1611" t="n">
        <f aca="false">IF($A254&gt;Endyr,0,VLOOKUP($A254,Tariff_Table,Tariff!$O$33))</f>
        <v>0</v>
      </c>
      <c r="P254" s="427" t="n">
        <f aca="false">VLOOKUP($A254,Curves_Table,Escalation!$AP$291)</f>
        <v>1.77543572910631</v>
      </c>
      <c r="Q254" s="1604" t="n">
        <f aca="false">SUM(N254,O254)*P254</f>
        <v>0</v>
      </c>
      <c r="R254" s="1579" t="str">
        <f aca="false">IF(MONTH($A254)=12,SUM(Q243:Q254)," ")</f>
        <v> </v>
      </c>
    </row>
    <row r="255" customFormat="false" ht="12.75" hidden="false" customHeight="false" outlineLevel="0" collapsed="false">
      <c r="A255" s="1538" t="n">
        <f aca="false">'Annex 12-Gas'!A255</f>
        <v>44348</v>
      </c>
      <c r="C255" s="488" t="n">
        <f aca="false">IF($A255&gt;Endyr,0,VLOOKUP($A255,Tariff_Table,Tariff!$L$33))</f>
        <v>0</v>
      </c>
      <c r="D255" s="427" t="n">
        <f aca="false">VLOOKUP($A255,Curves_Table,Escalation!$AL$291)</f>
        <v>1.69623664745388</v>
      </c>
      <c r="E255" s="1609" t="n">
        <f aca="false">C255*D255</f>
        <v>0</v>
      </c>
      <c r="F255" s="1314" t="n">
        <f aca="false">IF($A255&gt;Endyr,0,VLOOKUP($A255,Tariff_Table,Tariff!$M$33))</f>
        <v>0</v>
      </c>
      <c r="G255" s="1609" t="n">
        <f aca="false">SUM(E255,F255)</f>
        <v>0</v>
      </c>
      <c r="H255" s="397" t="n">
        <f aca="false">VLOOKUP($A255,Plant_Table,'Plant Operations'!$T$270)</f>
        <v>0</v>
      </c>
      <c r="I255" s="1566" t="n">
        <f aca="false">G255*H255/1000</f>
        <v>0</v>
      </c>
      <c r="J255" s="1567" t="str">
        <f aca="false">IF(MONTH($A255)=12,SUM(I244:I255)," ")</f>
        <v> </v>
      </c>
      <c r="L255" s="1610" t="n">
        <f aca="false">IF($A255&lt;Startops2,0,VLOOKUP($A255,Tariff_Table,Tariff!$N$33))</f>
        <v>0</v>
      </c>
      <c r="M255" s="397" t="n">
        <f aca="false">H255</f>
        <v>0</v>
      </c>
      <c r="N255" s="1611" t="n">
        <f aca="false">L255*M255/1000</f>
        <v>0</v>
      </c>
      <c r="O255" s="1611" t="n">
        <f aca="false">IF($A255&gt;Endyr,0,VLOOKUP($A255,Tariff_Table,Tariff!$O$33))</f>
        <v>0</v>
      </c>
      <c r="P255" s="427" t="n">
        <f aca="false">VLOOKUP($A255,Curves_Table,Escalation!$AP$291)</f>
        <v>1.77543572910631</v>
      </c>
      <c r="Q255" s="1604" t="n">
        <f aca="false">SUM(N255,O255)*P255</f>
        <v>0</v>
      </c>
      <c r="R255" s="1579" t="str">
        <f aca="false">IF(MONTH($A255)=12,SUM(Q244:Q255)," ")</f>
        <v> </v>
      </c>
    </row>
    <row r="256" customFormat="false" ht="12.75" hidden="false" customHeight="false" outlineLevel="0" collapsed="false">
      <c r="A256" s="1538" t="n">
        <f aca="false">'Annex 12-Gas'!A256</f>
        <v>44378</v>
      </c>
      <c r="C256" s="488" t="n">
        <f aca="false">IF($A256&gt;Endyr,0,VLOOKUP($A256,Tariff_Table,Tariff!$L$33))</f>
        <v>0</v>
      </c>
      <c r="D256" s="427" t="n">
        <f aca="false">VLOOKUP($A256,Curves_Table,Escalation!$AL$291)</f>
        <v>1.69623664745388</v>
      </c>
      <c r="E256" s="1609" t="n">
        <f aca="false">C256*D256</f>
        <v>0</v>
      </c>
      <c r="F256" s="1314" t="n">
        <f aca="false">IF($A256&gt;Endyr,0,VLOOKUP($A256,Tariff_Table,Tariff!$M$33))</f>
        <v>0</v>
      </c>
      <c r="G256" s="1609" t="n">
        <f aca="false">SUM(E256,F256)</f>
        <v>0</v>
      </c>
      <c r="H256" s="397" t="n">
        <f aca="false">VLOOKUP($A256,Plant_Table,'Plant Operations'!$T$270)</f>
        <v>0</v>
      </c>
      <c r="I256" s="1566" t="n">
        <f aca="false">G256*H256/1000</f>
        <v>0</v>
      </c>
      <c r="J256" s="1567" t="str">
        <f aca="false">IF(MONTH($A256)=12,SUM(I245:I256)," ")</f>
        <v> </v>
      </c>
      <c r="L256" s="1610" t="n">
        <f aca="false">IF($A256&lt;Startops2,0,VLOOKUP($A256,Tariff_Table,Tariff!$N$33))</f>
        <v>0</v>
      </c>
      <c r="M256" s="397" t="n">
        <f aca="false">H256</f>
        <v>0</v>
      </c>
      <c r="N256" s="1611" t="n">
        <f aca="false">L256*M256/1000</f>
        <v>0</v>
      </c>
      <c r="O256" s="1611" t="n">
        <f aca="false">IF($A256&gt;Endyr,0,VLOOKUP($A256,Tariff_Table,Tariff!$O$33))</f>
        <v>0</v>
      </c>
      <c r="P256" s="427" t="n">
        <f aca="false">VLOOKUP($A256,Curves_Table,Escalation!$AP$291)</f>
        <v>1.77543572910631</v>
      </c>
      <c r="Q256" s="1604" t="n">
        <f aca="false">SUM(N256,O256)*P256</f>
        <v>0</v>
      </c>
      <c r="R256" s="1579" t="str">
        <f aca="false">IF(MONTH($A256)=12,SUM(Q245:Q256)," ")</f>
        <v> </v>
      </c>
    </row>
    <row r="257" customFormat="false" ht="12.75" hidden="false" customHeight="false" outlineLevel="0" collapsed="false">
      <c r="A257" s="1538" t="n">
        <f aca="false">'Annex 12-Gas'!A257</f>
        <v>44409</v>
      </c>
      <c r="C257" s="488" t="n">
        <f aca="false">IF($A257&gt;Endyr,0,VLOOKUP($A257,Tariff_Table,Tariff!$L$33))</f>
        <v>0</v>
      </c>
      <c r="D257" s="427" t="n">
        <f aca="false">VLOOKUP($A257,Curves_Table,Escalation!$AL$291)</f>
        <v>1.69623664745388</v>
      </c>
      <c r="E257" s="1609" t="n">
        <f aca="false">C257*D257</f>
        <v>0</v>
      </c>
      <c r="F257" s="1314" t="n">
        <f aca="false">IF($A257&gt;Endyr,0,VLOOKUP($A257,Tariff_Table,Tariff!$M$33))</f>
        <v>0</v>
      </c>
      <c r="G257" s="1609" t="n">
        <f aca="false">SUM(E257,F257)</f>
        <v>0</v>
      </c>
      <c r="H257" s="397" t="n">
        <f aca="false">VLOOKUP($A257,Plant_Table,'Plant Operations'!$T$270)</f>
        <v>0</v>
      </c>
      <c r="I257" s="1566" t="n">
        <f aca="false">G257*H257/1000</f>
        <v>0</v>
      </c>
      <c r="J257" s="1567" t="str">
        <f aca="false">IF(MONTH($A257)=12,SUM(I246:I257)," ")</f>
        <v> </v>
      </c>
      <c r="L257" s="1610" t="n">
        <f aca="false">IF($A257&lt;Startops2,0,VLOOKUP($A257,Tariff_Table,Tariff!$N$33))</f>
        <v>0</v>
      </c>
      <c r="M257" s="397" t="n">
        <f aca="false">H257</f>
        <v>0</v>
      </c>
      <c r="N257" s="1611" t="n">
        <f aca="false">L257*M257/1000</f>
        <v>0</v>
      </c>
      <c r="O257" s="1611" t="n">
        <f aca="false">IF($A257&gt;Endyr,0,VLOOKUP($A257,Tariff_Table,Tariff!$O$33))</f>
        <v>0</v>
      </c>
      <c r="P257" s="427" t="n">
        <f aca="false">VLOOKUP($A257,Curves_Table,Escalation!$AP$291)</f>
        <v>1.77543572910631</v>
      </c>
      <c r="Q257" s="1604" t="n">
        <f aca="false">SUM(N257,O257)*P257</f>
        <v>0</v>
      </c>
      <c r="R257" s="1579" t="str">
        <f aca="false">IF(MONTH($A257)=12,SUM(Q246:Q257)," ")</f>
        <v> </v>
      </c>
    </row>
    <row r="258" customFormat="false" ht="12.75" hidden="false" customHeight="false" outlineLevel="0" collapsed="false">
      <c r="A258" s="1538" t="n">
        <f aca="false">'Annex 12-Gas'!A258</f>
        <v>44440</v>
      </c>
      <c r="C258" s="488" t="n">
        <f aca="false">IF($A258&gt;Endyr,0,VLOOKUP($A258,Tariff_Table,Tariff!$L$33))</f>
        <v>0</v>
      </c>
      <c r="D258" s="427" t="n">
        <f aca="false">VLOOKUP($A258,Curves_Table,Escalation!$AL$291)</f>
        <v>1.69623664745388</v>
      </c>
      <c r="E258" s="1609" t="n">
        <f aca="false">C258*D258</f>
        <v>0</v>
      </c>
      <c r="F258" s="1314" t="n">
        <f aca="false">IF($A258&gt;Endyr,0,VLOOKUP($A258,Tariff_Table,Tariff!$M$33))</f>
        <v>0</v>
      </c>
      <c r="G258" s="1609" t="n">
        <f aca="false">SUM(E258,F258)</f>
        <v>0</v>
      </c>
      <c r="H258" s="397" t="n">
        <f aca="false">VLOOKUP($A258,Plant_Table,'Plant Operations'!$T$270)</f>
        <v>0</v>
      </c>
      <c r="I258" s="1566" t="n">
        <f aca="false">G258*H258/1000</f>
        <v>0</v>
      </c>
      <c r="J258" s="1567" t="str">
        <f aca="false">IF(MONTH($A258)=12,SUM(I247:I258)," ")</f>
        <v> </v>
      </c>
      <c r="L258" s="1610" t="n">
        <f aca="false">IF($A258&lt;Startops2,0,VLOOKUP($A258,Tariff_Table,Tariff!$N$33))</f>
        <v>0</v>
      </c>
      <c r="M258" s="397" t="n">
        <f aca="false">H258</f>
        <v>0</v>
      </c>
      <c r="N258" s="1611" t="n">
        <f aca="false">L258*M258/1000</f>
        <v>0</v>
      </c>
      <c r="O258" s="1611" t="n">
        <f aca="false">IF($A258&gt;Endyr,0,VLOOKUP($A258,Tariff_Table,Tariff!$O$33))</f>
        <v>0</v>
      </c>
      <c r="P258" s="427" t="n">
        <f aca="false">VLOOKUP($A258,Curves_Table,Escalation!$AP$291)</f>
        <v>1.77543572910631</v>
      </c>
      <c r="Q258" s="1604" t="n">
        <f aca="false">SUM(N258,O258)*P258</f>
        <v>0</v>
      </c>
      <c r="R258" s="1579" t="str">
        <f aca="false">IF(MONTH($A258)=12,SUM(Q247:Q258)," ")</f>
        <v> </v>
      </c>
    </row>
    <row r="259" customFormat="false" ht="12.75" hidden="false" customHeight="false" outlineLevel="0" collapsed="false">
      <c r="A259" s="1538" t="n">
        <f aca="false">'Annex 12-Gas'!A259</f>
        <v>44470</v>
      </c>
      <c r="C259" s="488" t="n">
        <f aca="false">IF($A259&gt;Endyr,0,VLOOKUP($A259,Tariff_Table,Tariff!$L$33))</f>
        <v>0</v>
      </c>
      <c r="D259" s="427" t="n">
        <f aca="false">VLOOKUP($A259,Curves_Table,Escalation!$AL$291)</f>
        <v>1.69623664745388</v>
      </c>
      <c r="E259" s="1609" t="n">
        <f aca="false">C259*D259</f>
        <v>0</v>
      </c>
      <c r="F259" s="1314" t="n">
        <f aca="false">IF($A259&gt;Endyr,0,VLOOKUP($A259,Tariff_Table,Tariff!$M$33))</f>
        <v>0</v>
      </c>
      <c r="G259" s="1609" t="n">
        <f aca="false">SUM(E259,F259)</f>
        <v>0</v>
      </c>
      <c r="H259" s="397" t="n">
        <f aca="false">VLOOKUP($A259,Plant_Table,'Plant Operations'!$T$270)</f>
        <v>0</v>
      </c>
      <c r="I259" s="1566" t="n">
        <f aca="false">G259*H259/1000</f>
        <v>0</v>
      </c>
      <c r="J259" s="1567" t="str">
        <f aca="false">IF(MONTH($A259)=12,SUM(I248:I259)," ")</f>
        <v> </v>
      </c>
      <c r="L259" s="1610" t="n">
        <f aca="false">IF($A259&lt;Startops2,0,VLOOKUP($A259,Tariff_Table,Tariff!$N$33))</f>
        <v>0</v>
      </c>
      <c r="M259" s="397" t="n">
        <f aca="false">H259</f>
        <v>0</v>
      </c>
      <c r="N259" s="1611" t="n">
        <f aca="false">L259*M259/1000</f>
        <v>0</v>
      </c>
      <c r="O259" s="1611" t="n">
        <f aca="false">IF($A259&gt;Endyr,0,VLOOKUP($A259,Tariff_Table,Tariff!$O$33))</f>
        <v>0</v>
      </c>
      <c r="P259" s="427" t="n">
        <f aca="false">VLOOKUP($A259,Curves_Table,Escalation!$AP$291)</f>
        <v>1.77543572910631</v>
      </c>
      <c r="Q259" s="1604" t="n">
        <f aca="false">SUM(N259,O259)*P259</f>
        <v>0</v>
      </c>
      <c r="R259" s="1579" t="str">
        <f aca="false">IF(MONTH($A259)=12,SUM(Q248:Q259)," ")</f>
        <v> </v>
      </c>
    </row>
    <row r="260" customFormat="false" ht="12.75" hidden="false" customHeight="false" outlineLevel="0" collapsed="false">
      <c r="A260" s="1538" t="n">
        <f aca="false">'Annex 12-Gas'!A260</f>
        <v>44501</v>
      </c>
      <c r="C260" s="488" t="n">
        <f aca="false">IF($A260&gt;Endyr,0,VLOOKUP($A260,Tariff_Table,Tariff!$L$33))</f>
        <v>0</v>
      </c>
      <c r="D260" s="427" t="n">
        <f aca="false">VLOOKUP($A260,Curves_Table,Escalation!$AL$291)</f>
        <v>1.69623664745388</v>
      </c>
      <c r="E260" s="1609" t="n">
        <f aca="false">C260*D260</f>
        <v>0</v>
      </c>
      <c r="F260" s="1314" t="n">
        <f aca="false">IF($A260&gt;Endyr,0,VLOOKUP($A260,Tariff_Table,Tariff!$M$33))</f>
        <v>0</v>
      </c>
      <c r="G260" s="1609" t="n">
        <f aca="false">SUM(E260,F260)</f>
        <v>0</v>
      </c>
      <c r="H260" s="397" t="n">
        <f aca="false">VLOOKUP($A260,Plant_Table,'Plant Operations'!$T$270)</f>
        <v>0</v>
      </c>
      <c r="I260" s="1566" t="n">
        <f aca="false">G260*H260/1000</f>
        <v>0</v>
      </c>
      <c r="J260" s="1567" t="str">
        <f aca="false">IF(MONTH($A260)=12,SUM(I249:I260)," ")</f>
        <v> </v>
      </c>
      <c r="L260" s="1610" t="n">
        <f aca="false">IF($A260&lt;Startops2,0,VLOOKUP($A260,Tariff_Table,Tariff!$N$33))</f>
        <v>0</v>
      </c>
      <c r="M260" s="397" t="n">
        <f aca="false">H260</f>
        <v>0</v>
      </c>
      <c r="N260" s="1611" t="n">
        <f aca="false">L260*M260/1000</f>
        <v>0</v>
      </c>
      <c r="O260" s="1611" t="n">
        <f aca="false">IF($A260&gt;Endyr,0,VLOOKUP($A260,Tariff_Table,Tariff!$O$33))</f>
        <v>0</v>
      </c>
      <c r="P260" s="427" t="n">
        <f aca="false">VLOOKUP($A260,Curves_Table,Escalation!$AP$291)</f>
        <v>1.77543572910631</v>
      </c>
      <c r="Q260" s="1604" t="n">
        <f aca="false">SUM(N260,O260)*P260</f>
        <v>0</v>
      </c>
      <c r="R260" s="1579" t="str">
        <f aca="false">IF(MONTH($A260)=12,SUM(Q249:Q260)," ")</f>
        <v> </v>
      </c>
    </row>
    <row r="261" customFormat="false" ht="12.75" hidden="false" customHeight="false" outlineLevel="0" collapsed="false">
      <c r="A261" s="1538" t="n">
        <f aca="false">'Annex 12-Gas'!A261</f>
        <v>44531</v>
      </c>
      <c r="C261" s="488" t="n">
        <f aca="false">IF($A261&gt;Endyr,0,VLOOKUP($A261,Tariff_Table,Tariff!$L$33))</f>
        <v>0</v>
      </c>
      <c r="D261" s="427" t="n">
        <f aca="false">VLOOKUP($A261,Curves_Table,Escalation!$AL$291)</f>
        <v>1.69623664745388</v>
      </c>
      <c r="E261" s="1609" t="n">
        <f aca="false">C261*D261</f>
        <v>0</v>
      </c>
      <c r="F261" s="1314" t="n">
        <f aca="false">IF($A261&gt;Endyr,0,VLOOKUP($A261,Tariff_Table,Tariff!$M$33))</f>
        <v>0</v>
      </c>
      <c r="G261" s="1609" t="n">
        <f aca="false">SUM(E261,F261)</f>
        <v>0</v>
      </c>
      <c r="H261" s="397" t="n">
        <f aca="false">VLOOKUP($A261,Plant_Table,'Plant Operations'!$T$270)</f>
        <v>0</v>
      </c>
      <c r="I261" s="1566" t="n">
        <f aca="false">G261*H261/1000</f>
        <v>0</v>
      </c>
      <c r="J261" s="1567" t="n">
        <f aca="false">IF(MONTH($A261)=12,SUM(I250:I261)," ")</f>
        <v>0</v>
      </c>
      <c r="L261" s="1610" t="n">
        <f aca="false">IF($A261&lt;Startops2,0,VLOOKUP($A261,Tariff_Table,Tariff!$N$33))</f>
        <v>0</v>
      </c>
      <c r="M261" s="397" t="n">
        <f aca="false">H261</f>
        <v>0</v>
      </c>
      <c r="N261" s="1611" t="n">
        <f aca="false">L261*M261/1000</f>
        <v>0</v>
      </c>
      <c r="O261" s="1611" t="n">
        <f aca="false">IF($A261&gt;Endyr,0,VLOOKUP($A261,Tariff_Table,Tariff!$O$33))</f>
        <v>0</v>
      </c>
      <c r="P261" s="427" t="n">
        <f aca="false">VLOOKUP($A261,Curves_Table,Escalation!$AP$291)</f>
        <v>1.77543572910631</v>
      </c>
      <c r="Q261" s="1604" t="n">
        <f aca="false">SUM(N261,O261)*P261</f>
        <v>0</v>
      </c>
      <c r="R261" s="1579" t="n">
        <f aca="false">IF(MONTH($A261)=12,SUM(Q250:Q261)," ")</f>
        <v>0</v>
      </c>
    </row>
    <row r="262" customFormat="false" ht="12.75" hidden="false" customHeight="false" outlineLevel="0" collapsed="false">
      <c r="A262" s="1538" t="n">
        <f aca="false">'Annex 12-Gas'!A262</f>
        <v>44562</v>
      </c>
      <c r="C262" s="488" t="n">
        <f aca="false">IF($A262&gt;Endyr,0,VLOOKUP($A262,Tariff_Table,Tariff!$L$33))</f>
        <v>0</v>
      </c>
      <c r="D262" s="427" t="n">
        <f aca="false">VLOOKUP($A262,Curves_Table,Escalation!$AL$291)</f>
        <v>1.69623664745388</v>
      </c>
      <c r="E262" s="1609" t="n">
        <f aca="false">C262*D262</f>
        <v>0</v>
      </c>
      <c r="F262" s="1314" t="n">
        <f aca="false">IF($A262&gt;Endyr,0,VLOOKUP($A262,Tariff_Table,Tariff!$M$33))</f>
        <v>0</v>
      </c>
      <c r="G262" s="1609" t="n">
        <f aca="false">SUM(E262,F262)</f>
        <v>0</v>
      </c>
      <c r="H262" s="397" t="n">
        <f aca="false">VLOOKUP($A262,Plant_Table,'Plant Operations'!$T$270)</f>
        <v>0</v>
      </c>
      <c r="I262" s="1566" t="n">
        <f aca="false">G262*H262/1000</f>
        <v>0</v>
      </c>
      <c r="J262" s="1567" t="str">
        <f aca="false">IF(MONTH($A262)=12,SUM(I251:I262)," ")</f>
        <v> </v>
      </c>
      <c r="L262" s="1610" t="n">
        <f aca="false">IF($A262&lt;Startops2,0,VLOOKUP($A262,Tariff_Table,Tariff!$N$33))</f>
        <v>0</v>
      </c>
      <c r="M262" s="397" t="n">
        <f aca="false">H262</f>
        <v>0</v>
      </c>
      <c r="N262" s="1611" t="n">
        <f aca="false">L262*M262/1000</f>
        <v>0</v>
      </c>
      <c r="O262" s="1611" t="n">
        <f aca="false">IF($A262&gt;Endyr,0,VLOOKUP($A262,Tariff_Table,Tariff!$O$33))</f>
        <v>0</v>
      </c>
      <c r="P262" s="427" t="n">
        <f aca="false">VLOOKUP($A262,Curves_Table,Escalation!$AP$291)</f>
        <v>1.77543572910631</v>
      </c>
      <c r="Q262" s="1604" t="n">
        <f aca="false">SUM(N262,O262)*P262</f>
        <v>0</v>
      </c>
      <c r="R262" s="1579" t="str">
        <f aca="false">IF(MONTH($A262)=12,SUM(Q251:Q262)," ")</f>
        <v> </v>
      </c>
    </row>
    <row r="263" customFormat="false" ht="12.75" hidden="false" customHeight="false" outlineLevel="0" collapsed="false">
      <c r="A263" s="1538" t="n">
        <f aca="false">'Annex 12-Gas'!A263</f>
        <v>44593</v>
      </c>
      <c r="C263" s="488" t="n">
        <f aca="false">IF($A263&gt;Endyr,0,VLOOKUP($A263,Tariff_Table,Tariff!$L$33))</f>
        <v>0</v>
      </c>
      <c r="D263" s="427" t="n">
        <f aca="false">VLOOKUP($A263,Curves_Table,Escalation!$AL$291)</f>
        <v>1.69623664745388</v>
      </c>
      <c r="E263" s="1609" t="n">
        <f aca="false">C263*D263</f>
        <v>0</v>
      </c>
      <c r="F263" s="1314" t="n">
        <f aca="false">IF($A263&gt;Endyr,0,VLOOKUP($A263,Tariff_Table,Tariff!$M$33))</f>
        <v>0</v>
      </c>
      <c r="G263" s="1609" t="n">
        <f aca="false">SUM(E263,F263)</f>
        <v>0</v>
      </c>
      <c r="H263" s="397" t="n">
        <f aca="false">VLOOKUP($A263,Plant_Table,'Plant Operations'!$T$270)</f>
        <v>0</v>
      </c>
      <c r="I263" s="1566" t="n">
        <f aca="false">G263*H263/1000</f>
        <v>0</v>
      </c>
      <c r="J263" s="1567" t="str">
        <f aca="false">IF(MONTH($A263)=12,SUM(I252:I263)," ")</f>
        <v> </v>
      </c>
      <c r="L263" s="1610" t="n">
        <f aca="false">IF($A263&lt;Startops2,0,VLOOKUP($A263,Tariff_Table,Tariff!$N$33))</f>
        <v>0</v>
      </c>
      <c r="M263" s="397" t="n">
        <f aca="false">H263</f>
        <v>0</v>
      </c>
      <c r="N263" s="1611" t="n">
        <f aca="false">L263*M263/1000</f>
        <v>0</v>
      </c>
      <c r="O263" s="1611" t="n">
        <f aca="false">IF($A263&gt;Endyr,0,VLOOKUP($A263,Tariff_Table,Tariff!$O$33))</f>
        <v>0</v>
      </c>
      <c r="P263" s="427" t="n">
        <f aca="false">VLOOKUP($A263,Curves_Table,Escalation!$AP$291)</f>
        <v>1.77543572910631</v>
      </c>
      <c r="Q263" s="1604" t="n">
        <f aca="false">SUM(N263,O263)*P263</f>
        <v>0</v>
      </c>
      <c r="R263" s="1579" t="str">
        <f aca="false">IF(MONTH($A263)=12,SUM(Q252:Q263)," ")</f>
        <v> </v>
      </c>
    </row>
    <row r="264" customFormat="false" ht="12.75" hidden="false" customHeight="false" outlineLevel="0" collapsed="false">
      <c r="A264" s="1538" t="n">
        <f aca="false">'Annex 12-Gas'!A264</f>
        <v>44621</v>
      </c>
      <c r="C264" s="488" t="n">
        <f aca="false">IF($A264&gt;Endyr,0,VLOOKUP($A264,Tariff_Table,Tariff!$L$33))</f>
        <v>0</v>
      </c>
      <c r="D264" s="427" t="n">
        <f aca="false">VLOOKUP($A264,Curves_Table,Escalation!$AL$291)</f>
        <v>1.69623664745388</v>
      </c>
      <c r="E264" s="1609" t="n">
        <f aca="false">C264*D264</f>
        <v>0</v>
      </c>
      <c r="F264" s="1314" t="n">
        <f aca="false">IF($A264&gt;Endyr,0,VLOOKUP($A264,Tariff_Table,Tariff!$M$33))</f>
        <v>0</v>
      </c>
      <c r="G264" s="1609" t="n">
        <f aca="false">SUM(E264,F264)</f>
        <v>0</v>
      </c>
      <c r="H264" s="397" t="n">
        <f aca="false">VLOOKUP($A264,Plant_Table,'Plant Operations'!$T$270)</f>
        <v>0</v>
      </c>
      <c r="I264" s="1566" t="n">
        <f aca="false">G264*H264/1000</f>
        <v>0</v>
      </c>
      <c r="J264" s="1567" t="str">
        <f aca="false">IF(MONTH($A264)=12,SUM(I253:I264)," ")</f>
        <v> </v>
      </c>
      <c r="L264" s="1610" t="n">
        <f aca="false">IF($A264&lt;Startops2,0,VLOOKUP($A264,Tariff_Table,Tariff!$N$33))</f>
        <v>0</v>
      </c>
      <c r="M264" s="397" t="n">
        <f aca="false">H264</f>
        <v>0</v>
      </c>
      <c r="N264" s="1611" t="n">
        <f aca="false">L264*M264/1000</f>
        <v>0</v>
      </c>
      <c r="O264" s="1611" t="n">
        <f aca="false">IF($A264&gt;Endyr,0,VLOOKUP($A264,Tariff_Table,Tariff!$O$33))</f>
        <v>0</v>
      </c>
      <c r="P264" s="427" t="n">
        <f aca="false">VLOOKUP($A264,Curves_Table,Escalation!$AP$291)</f>
        <v>1.77543572910631</v>
      </c>
      <c r="Q264" s="1604" t="n">
        <f aca="false">SUM(N264,O264)*P264</f>
        <v>0</v>
      </c>
      <c r="R264" s="1579" t="str">
        <f aca="false">IF(MONTH($A264)=12,SUM(Q253:Q264)," ")</f>
        <v> </v>
      </c>
    </row>
    <row r="265" customFormat="false" ht="12.75" hidden="false" customHeight="false" outlineLevel="0" collapsed="false">
      <c r="A265" s="1538" t="n">
        <f aca="false">'Annex 12-Gas'!A265</f>
        <v>44652</v>
      </c>
      <c r="C265" s="488" t="n">
        <f aca="false">IF($A265&gt;Endyr,0,VLOOKUP($A265,Tariff_Table,Tariff!$L$33))</f>
        <v>0</v>
      </c>
      <c r="D265" s="427" t="n">
        <f aca="false">VLOOKUP($A265,Curves_Table,Escalation!$AL$291)</f>
        <v>1.69623664745388</v>
      </c>
      <c r="E265" s="1609" t="n">
        <f aca="false">C265*D265</f>
        <v>0</v>
      </c>
      <c r="F265" s="1314" t="n">
        <f aca="false">IF($A265&gt;Endyr,0,VLOOKUP($A265,Tariff_Table,Tariff!$M$33))</f>
        <v>0</v>
      </c>
      <c r="G265" s="1609" t="n">
        <f aca="false">SUM(E265,F265)</f>
        <v>0</v>
      </c>
      <c r="H265" s="397" t="n">
        <f aca="false">VLOOKUP($A265,Plant_Table,'Plant Operations'!$T$270)</f>
        <v>0</v>
      </c>
      <c r="I265" s="1566" t="n">
        <f aca="false">G265*H265/1000</f>
        <v>0</v>
      </c>
      <c r="J265" s="1567" t="str">
        <f aca="false">IF(MONTH($A265)=12,SUM(I254:I265)," ")</f>
        <v> </v>
      </c>
      <c r="L265" s="1610" t="n">
        <f aca="false">IF($A265&lt;Startops2,0,VLOOKUP($A265,Tariff_Table,Tariff!$N$33))</f>
        <v>0</v>
      </c>
      <c r="M265" s="397" t="n">
        <f aca="false">H265</f>
        <v>0</v>
      </c>
      <c r="N265" s="1611" t="n">
        <f aca="false">L265*M265/1000</f>
        <v>0</v>
      </c>
      <c r="O265" s="1611" t="n">
        <f aca="false">IF($A265&gt;Endyr,0,VLOOKUP($A265,Tariff_Table,Tariff!$O$33))</f>
        <v>0</v>
      </c>
      <c r="P265" s="427" t="n">
        <f aca="false">VLOOKUP($A265,Curves_Table,Escalation!$AP$291)</f>
        <v>1.77543572910631</v>
      </c>
      <c r="Q265" s="1604" t="n">
        <f aca="false">SUM(N265,O265)*P265</f>
        <v>0</v>
      </c>
      <c r="R265" s="1579" t="str">
        <f aca="false">IF(MONTH($A265)=12,SUM(Q254:Q265)," ")</f>
        <v> </v>
      </c>
    </row>
    <row r="266" customFormat="false" ht="12.75" hidden="false" customHeight="false" outlineLevel="0" collapsed="false">
      <c r="A266" s="1538" t="n">
        <f aca="false">'Annex 12-Gas'!A266</f>
        <v>44682</v>
      </c>
      <c r="C266" s="488" t="n">
        <f aca="false">IF($A266&gt;Endyr,0,VLOOKUP($A266,Tariff_Table,Tariff!$L$33))</f>
        <v>0</v>
      </c>
      <c r="D266" s="427" t="n">
        <f aca="false">VLOOKUP($A266,Curves_Table,Escalation!$AL$291)</f>
        <v>1.69623664745388</v>
      </c>
      <c r="E266" s="1609" t="n">
        <f aca="false">C266*D266</f>
        <v>0</v>
      </c>
      <c r="F266" s="1314" t="n">
        <f aca="false">IF($A266&gt;Endyr,0,VLOOKUP($A266,Tariff_Table,Tariff!$M$33))</f>
        <v>0</v>
      </c>
      <c r="G266" s="1609" t="n">
        <f aca="false">SUM(E266,F266)</f>
        <v>0</v>
      </c>
      <c r="H266" s="397" t="n">
        <f aca="false">VLOOKUP($A266,Plant_Table,'Plant Operations'!$T$270)</f>
        <v>0</v>
      </c>
      <c r="I266" s="1566" t="n">
        <f aca="false">G266*H266/1000</f>
        <v>0</v>
      </c>
      <c r="J266" s="1567" t="str">
        <f aca="false">IF(MONTH($A266)=12,SUM(I255:I266)," ")</f>
        <v> </v>
      </c>
      <c r="L266" s="1610" t="n">
        <f aca="false">IF($A266&lt;Startops2,0,VLOOKUP($A266,Tariff_Table,Tariff!$N$33))</f>
        <v>0</v>
      </c>
      <c r="M266" s="397" t="n">
        <f aca="false">H266</f>
        <v>0</v>
      </c>
      <c r="N266" s="1611" t="n">
        <f aca="false">L266*M266/1000</f>
        <v>0</v>
      </c>
      <c r="O266" s="1611" t="n">
        <f aca="false">IF($A266&gt;Endyr,0,VLOOKUP($A266,Tariff_Table,Tariff!$O$33))</f>
        <v>0</v>
      </c>
      <c r="P266" s="427" t="n">
        <f aca="false">VLOOKUP($A266,Curves_Table,Escalation!$AP$291)</f>
        <v>1.77543572910631</v>
      </c>
      <c r="Q266" s="1604" t="n">
        <f aca="false">SUM(N266,O266)*P266</f>
        <v>0</v>
      </c>
      <c r="R266" s="1579" t="str">
        <f aca="false">IF(MONTH($A266)=12,SUM(Q255:Q266)," ")</f>
        <v> </v>
      </c>
    </row>
    <row r="267" customFormat="false" ht="13.5" hidden="false" customHeight="false" outlineLevel="0" collapsed="false">
      <c r="A267" s="1538"/>
      <c r="C267" s="744"/>
      <c r="D267" s="388"/>
      <c r="E267" s="388"/>
      <c r="F267" s="388"/>
      <c r="H267" s="388"/>
      <c r="I267" s="388"/>
      <c r="J267" s="1537"/>
      <c r="L267" s="744"/>
      <c r="M267" s="388"/>
      <c r="N267" s="388"/>
      <c r="O267" s="388"/>
      <c r="Q267" s="388"/>
      <c r="R267" s="1537"/>
    </row>
    <row r="268" customFormat="false" ht="13.5" hidden="false" customHeight="false" outlineLevel="0" collapsed="false">
      <c r="A268" s="1549"/>
      <c r="C268" s="1550"/>
      <c r="D268" s="1551"/>
      <c r="E268" s="1551"/>
      <c r="F268" s="1551"/>
      <c r="G268" s="1551"/>
      <c r="H268" s="1551"/>
      <c r="I268" s="1589" t="s">
        <v>1879</v>
      </c>
      <c r="J268" s="1590" t="n">
        <f aca="false">SUM(J12:J266)</f>
        <v>845452.907243942</v>
      </c>
      <c r="L268" s="1550"/>
      <c r="M268" s="1551"/>
      <c r="N268" s="1551"/>
      <c r="O268" s="1551"/>
      <c r="P268" s="1551"/>
      <c r="Q268" s="1589" t="s">
        <v>1880</v>
      </c>
      <c r="R268" s="1590" t="n">
        <f aca="false">SUM(R12:R266)</f>
        <v>983544.380926618</v>
      </c>
    </row>
    <row r="269" customFormat="false" ht="12.75" hidden="false" customHeight="false" outlineLevel="0" collapsed="false">
      <c r="C269" s="388"/>
      <c r="G269" s="0"/>
      <c r="P269" s="0"/>
    </row>
    <row r="270" customFormat="false" ht="12.75" hidden="false" customHeight="false" outlineLevel="0" collapsed="false">
      <c r="A270" s="1556" t="n">
        <v>1</v>
      </c>
      <c r="B270" s="1556" t="n">
        <f aca="false">A270+1</f>
        <v>2</v>
      </c>
      <c r="C270" s="1556" t="n">
        <f aca="false">B270+1</f>
        <v>3</v>
      </c>
      <c r="D270" s="1556" t="n">
        <f aca="false">C270+1</f>
        <v>4</v>
      </c>
      <c r="E270" s="1556" t="n">
        <f aca="false">D270+1</f>
        <v>5</v>
      </c>
      <c r="F270" s="1556" t="n">
        <f aca="false">E270+1</f>
        <v>6</v>
      </c>
      <c r="G270" s="1556" t="n">
        <f aca="false">F270+1</f>
        <v>7</v>
      </c>
      <c r="H270" s="1556" t="n">
        <f aca="false">G270+1</f>
        <v>8</v>
      </c>
      <c r="I270" s="1556" t="n">
        <f aca="false">H270+1</f>
        <v>9</v>
      </c>
      <c r="J270" s="1556" t="n">
        <f aca="false">I270+1</f>
        <v>10</v>
      </c>
      <c r="K270" s="1556" t="n">
        <f aca="false">J270+1</f>
        <v>11</v>
      </c>
      <c r="L270" s="1556" t="n">
        <f aca="false">K270+1</f>
        <v>12</v>
      </c>
      <c r="M270" s="1556" t="n">
        <f aca="false">L270+1</f>
        <v>13</v>
      </c>
      <c r="N270" s="1556" t="n">
        <f aca="false">M270+1</f>
        <v>14</v>
      </c>
      <c r="O270" s="1556" t="n">
        <f aca="false">N270+1</f>
        <v>15</v>
      </c>
      <c r="P270" s="1556" t="n">
        <f aca="false">O270+1</f>
        <v>16</v>
      </c>
      <c r="Q270" s="1556" t="n">
        <f aca="false">P270+1</f>
        <v>17</v>
      </c>
      <c r="R270" s="1556" t="n">
        <f aca="false">Q270+1</f>
        <v>18</v>
      </c>
    </row>
    <row r="271" customFormat="false" ht="12.75" hidden="false" customHeight="false" outlineLevel="0" collapsed="false">
      <c r="C271" s="388"/>
      <c r="G271" s="0"/>
      <c r="P271" s="0"/>
    </row>
    <row r="272" customFormat="false" ht="12.75" hidden="false" customHeight="false" outlineLevel="0" collapsed="false">
      <c r="C272" s="388"/>
      <c r="G272" s="0"/>
      <c r="P272" s="0"/>
    </row>
    <row r="273" customFormat="false" ht="12.75" hidden="false" customHeight="false" outlineLevel="0" collapsed="false">
      <c r="C273" s="388"/>
      <c r="G273" s="0"/>
      <c r="P273" s="0"/>
    </row>
    <row r="274" customFormat="false" ht="12.75" hidden="false" customHeight="false" outlineLevel="0" collapsed="false">
      <c r="C274" s="388"/>
      <c r="G274" s="0"/>
      <c r="P274" s="0"/>
    </row>
    <row r="275" customFormat="false" ht="12.75" hidden="false" customHeight="false" outlineLevel="0" collapsed="false">
      <c r="C275" s="388"/>
      <c r="G275" s="0"/>
      <c r="P275" s="0"/>
    </row>
    <row r="276" customFormat="false" ht="12.75" hidden="false" customHeight="false" outlineLevel="0" collapsed="false">
      <c r="C276" s="388"/>
      <c r="G276" s="0"/>
      <c r="P276" s="0"/>
    </row>
    <row r="277" customFormat="false" ht="12.75" hidden="false" customHeight="false" outlineLevel="0" collapsed="false">
      <c r="C277" s="388"/>
      <c r="G277" s="0"/>
      <c r="P277" s="0"/>
    </row>
    <row r="278" customFormat="false" ht="12.75" hidden="false" customHeight="false" outlineLevel="0" collapsed="false">
      <c r="C278" s="388"/>
      <c r="G278" s="0"/>
      <c r="P278" s="0"/>
    </row>
    <row r="279" customFormat="false" ht="12.75" hidden="false" customHeight="false" outlineLevel="0" collapsed="false">
      <c r="C279" s="388"/>
      <c r="G279" s="0"/>
      <c r="P279" s="0"/>
    </row>
    <row r="280" customFormat="false" ht="12.75" hidden="false" customHeight="false" outlineLevel="0" collapsed="false">
      <c r="C280" s="388"/>
      <c r="G280" s="0"/>
      <c r="P280" s="0"/>
    </row>
    <row r="281" customFormat="false" ht="12.75" hidden="false" customHeight="false" outlineLevel="0" collapsed="false">
      <c r="C281" s="388"/>
      <c r="G281" s="0"/>
      <c r="P281" s="0"/>
    </row>
    <row r="282" customFormat="false" ht="12.75" hidden="false" customHeight="false" outlineLevel="0" collapsed="false">
      <c r="C282" s="388"/>
      <c r="G282" s="0"/>
      <c r="P282" s="0"/>
    </row>
    <row r="283" customFormat="false" ht="12.75" hidden="false" customHeight="false" outlineLevel="0" collapsed="false">
      <c r="C283" s="388"/>
      <c r="G283" s="0"/>
      <c r="P283" s="0"/>
    </row>
    <row r="284" customFormat="false" ht="12.75" hidden="false" customHeight="false" outlineLevel="0" collapsed="false">
      <c r="C284" s="388"/>
      <c r="G284" s="0"/>
      <c r="P284" s="0"/>
    </row>
    <row r="285" customFormat="false" ht="12.75" hidden="false" customHeight="false" outlineLevel="0" collapsed="false">
      <c r="C285" s="388"/>
      <c r="G285" s="0"/>
      <c r="P285" s="0"/>
    </row>
    <row r="286" customFormat="false" ht="12.75" hidden="false" customHeight="false" outlineLevel="0" collapsed="false">
      <c r="C286" s="388"/>
      <c r="G286" s="0"/>
      <c r="P286" s="0"/>
    </row>
    <row r="287" customFormat="false" ht="12.75" hidden="false" customHeight="false" outlineLevel="0" collapsed="false">
      <c r="C287" s="388"/>
      <c r="G287" s="0"/>
      <c r="P287" s="0"/>
    </row>
    <row r="288" customFormat="false" ht="12.75" hidden="false" customHeight="false" outlineLevel="0" collapsed="false">
      <c r="C288" s="388"/>
      <c r="G288" s="0"/>
      <c r="P288" s="0"/>
    </row>
    <row r="289" customFormat="false" ht="12.75" hidden="false" customHeight="false" outlineLevel="0" collapsed="false">
      <c r="C289" s="388"/>
      <c r="G289" s="0"/>
      <c r="P289" s="0"/>
    </row>
    <row r="290" customFormat="false" ht="12.75" hidden="false" customHeight="false" outlineLevel="0" collapsed="false">
      <c r="C290" s="388"/>
      <c r="G290" s="0"/>
      <c r="P290" s="0"/>
    </row>
    <row r="291" customFormat="false" ht="12.75" hidden="false" customHeight="false" outlineLevel="0" collapsed="false">
      <c r="C291" s="388"/>
      <c r="G291" s="0"/>
      <c r="P291" s="0"/>
    </row>
    <row r="292" customFormat="false" ht="12.75" hidden="false" customHeight="false" outlineLevel="0" collapsed="false">
      <c r="C292" s="388"/>
      <c r="G292" s="0"/>
      <c r="P292" s="0"/>
    </row>
    <row r="293" customFormat="false" ht="12.75" hidden="false" customHeight="false" outlineLevel="0" collapsed="false">
      <c r="C293" s="388"/>
      <c r="G293" s="0"/>
      <c r="P293" s="0"/>
    </row>
    <row r="294" customFormat="false" ht="12.75" hidden="false" customHeight="false" outlineLevel="0" collapsed="false">
      <c r="C294" s="388"/>
      <c r="G294" s="0"/>
      <c r="P294" s="0"/>
    </row>
    <row r="295" customFormat="false" ht="12.75" hidden="false" customHeight="false" outlineLevel="0" collapsed="false">
      <c r="C295" s="388"/>
      <c r="G295" s="0"/>
      <c r="P295" s="0"/>
    </row>
    <row r="296" customFormat="false" ht="12.75" hidden="false" customHeight="false" outlineLevel="0" collapsed="false">
      <c r="C296" s="388"/>
      <c r="G296" s="0"/>
      <c r="P296" s="0"/>
    </row>
    <row r="297" customFormat="false" ht="12.75" hidden="false" customHeight="false" outlineLevel="0" collapsed="false">
      <c r="C297" s="388"/>
      <c r="G297" s="0"/>
      <c r="P297" s="0"/>
    </row>
    <row r="298" customFormat="false" ht="12.75" hidden="false" customHeight="false" outlineLevel="0" collapsed="false">
      <c r="C298" s="388"/>
      <c r="G298" s="0"/>
      <c r="P298" s="0"/>
    </row>
    <row r="299" customFormat="false" ht="12.75" hidden="false" customHeight="false" outlineLevel="0" collapsed="false">
      <c r="C299" s="388"/>
      <c r="G299" s="0"/>
      <c r="P299" s="0"/>
    </row>
    <row r="300" customFormat="false" ht="12.75" hidden="false" customHeight="false" outlineLevel="0" collapsed="false">
      <c r="C300" s="388"/>
      <c r="G300" s="0"/>
      <c r="P300" s="0"/>
    </row>
    <row r="301" customFormat="false" ht="12.75" hidden="false" customHeight="false" outlineLevel="0" collapsed="false">
      <c r="C301" s="388"/>
      <c r="G301" s="0"/>
      <c r="P301" s="0"/>
    </row>
    <row r="302" customFormat="false" ht="12.75" hidden="false" customHeight="false" outlineLevel="0" collapsed="false">
      <c r="C302" s="388"/>
      <c r="G302" s="0"/>
      <c r="P302" s="0"/>
    </row>
    <row r="303" customFormat="false" ht="12.75" hidden="false" customHeight="false" outlineLevel="0" collapsed="false">
      <c r="C303" s="388"/>
      <c r="G303" s="0"/>
      <c r="P303" s="0"/>
    </row>
    <row r="304" customFormat="false" ht="12.75" hidden="false" customHeight="false" outlineLevel="0" collapsed="false">
      <c r="C304" s="388"/>
      <c r="G304" s="0"/>
      <c r="P304" s="0"/>
    </row>
    <row r="305" customFormat="false" ht="12.75" hidden="false" customHeight="false" outlineLevel="0" collapsed="false">
      <c r="C305" s="388"/>
      <c r="G305" s="0"/>
      <c r="P305" s="0"/>
    </row>
    <row r="306" customFormat="false" ht="12.75" hidden="false" customHeight="false" outlineLevel="0" collapsed="false">
      <c r="C306" s="388"/>
      <c r="G306" s="0"/>
      <c r="P306" s="0"/>
    </row>
    <row r="307" customFormat="false" ht="12.75" hidden="false" customHeight="false" outlineLevel="0" collapsed="false">
      <c r="C307" s="388"/>
      <c r="G307" s="0"/>
      <c r="P307" s="0"/>
    </row>
    <row r="308" customFormat="false" ht="12.75" hidden="false" customHeight="false" outlineLevel="0" collapsed="false">
      <c r="C308" s="388"/>
      <c r="G308" s="0"/>
      <c r="P308" s="0"/>
    </row>
    <row r="309" customFormat="false" ht="12.75" hidden="false" customHeight="false" outlineLevel="0" collapsed="false">
      <c r="C309" s="388"/>
      <c r="G309" s="0"/>
      <c r="P309" s="0"/>
    </row>
    <row r="310" customFormat="false" ht="12.75" hidden="false" customHeight="false" outlineLevel="0" collapsed="false">
      <c r="C310" s="388"/>
      <c r="G310" s="0"/>
      <c r="P310" s="0"/>
    </row>
  </sheetData>
  <mergeCells count="2">
    <mergeCell ref="C6:J6"/>
    <mergeCell ref="L6:R6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W291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L8" activeCellId="0" sqref="L8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8" min="1" style="1612" width="9.14"/>
    <col collapsed="false" customWidth="false" hidden="false" outlineLevel="0" max="10" min="9" style="1613" width="9.14"/>
    <col collapsed="false" customWidth="true" hidden="false" outlineLevel="0" max="11" min="11" style="1612" width="4.7"/>
    <col collapsed="false" customWidth="false" hidden="false" outlineLevel="0" max="14" min="12" style="1612" width="9.14"/>
    <col collapsed="false" customWidth="true" hidden="false" outlineLevel="0" max="15" min="15" style="1612" width="2.7"/>
    <col collapsed="false" customWidth="false" hidden="false" outlineLevel="0" max="18" min="16" style="1612" width="9.14"/>
    <col collapsed="false" customWidth="true" hidden="false" outlineLevel="0" max="19" min="19" style="1612" width="2.7"/>
    <col collapsed="false" customWidth="false" hidden="false" outlineLevel="0" max="22" min="20" style="1612" width="9.14"/>
    <col collapsed="false" customWidth="true" hidden="false" outlineLevel="0" max="23" min="23" style="1612" width="2.7"/>
    <col collapsed="false" customWidth="false" hidden="false" outlineLevel="0" max="26" min="24" style="1612" width="9.14"/>
    <col collapsed="false" customWidth="true" hidden="false" outlineLevel="0" max="27" min="27" style="1612" width="2.7"/>
    <col collapsed="false" customWidth="false" hidden="false" outlineLevel="0" max="30" min="28" style="1612" width="9.14"/>
    <col collapsed="false" customWidth="true" hidden="false" outlineLevel="0" max="31" min="31" style="1612" width="2.7"/>
    <col collapsed="false" customWidth="false" hidden="false" outlineLevel="0" max="34" min="32" style="1612" width="9.14"/>
    <col collapsed="false" customWidth="true" hidden="false" outlineLevel="0" max="35" min="35" style="1612" width="2.7"/>
    <col collapsed="false" customWidth="false" hidden="false" outlineLevel="0" max="38" min="36" style="1612" width="9.14"/>
    <col collapsed="false" customWidth="true" hidden="false" outlineLevel="0" max="39" min="39" style="1612" width="2.7"/>
    <col collapsed="false" customWidth="false" hidden="false" outlineLevel="0" max="42" min="40" style="1612" width="9.14"/>
    <col collapsed="false" customWidth="true" hidden="false" outlineLevel="0" max="43" min="43" style="1612" width="2.7"/>
    <col collapsed="false" customWidth="false" hidden="false" outlineLevel="0" max="257" min="44" style="1612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</row>
    <row r="2" customFormat="false" ht="15.75" hidden="false" customHeight="false" outlineLevel="0" collapsed="false">
      <c r="A2" s="18" t="str">
        <f aca="false">TOC!B3</f>
        <v>480 MW POWER PLANT (CUIABA, BRAZIL)</v>
      </c>
    </row>
    <row r="3" customFormat="false" ht="15" hidden="false" customHeight="false" outlineLevel="0" collapsed="false">
      <c r="A3" s="19" t="str">
        <f aca="false">TOC!B4</f>
        <v>ENRON INTERNATIONAL</v>
      </c>
    </row>
    <row r="4" customFormat="false" ht="15" hidden="false" customHeight="false" outlineLevel="0" collapsed="false">
      <c r="A4" s="21" t="s">
        <v>1881</v>
      </c>
      <c r="B4" s="1614"/>
      <c r="C4" s="1614"/>
    </row>
    <row r="11" customFormat="false" ht="13.5" hidden="false" customHeight="false" outlineLevel="0" collapsed="false"/>
    <row r="12" customFormat="false" ht="12.75" hidden="false" customHeight="false" outlineLevel="0" collapsed="false">
      <c r="A12" s="1615"/>
      <c r="B12" s="1616"/>
      <c r="C12" s="1617"/>
      <c r="D12" s="1617"/>
      <c r="E12" s="1617"/>
      <c r="F12" s="1616"/>
      <c r="G12" s="1617"/>
      <c r="H12" s="1617"/>
      <c r="I12" s="1617"/>
      <c r="J12" s="1618"/>
      <c r="L12" s="1619" t="s">
        <v>1882</v>
      </c>
      <c r="M12" s="1619"/>
      <c r="N12" s="1619"/>
      <c r="P12" s="1619" t="s">
        <v>1883</v>
      </c>
      <c r="Q12" s="1619"/>
      <c r="R12" s="1619"/>
      <c r="T12" s="1619" t="s">
        <v>1884</v>
      </c>
      <c r="U12" s="1619"/>
      <c r="V12" s="1619"/>
      <c r="X12" s="1619" t="s">
        <v>1885</v>
      </c>
      <c r="Y12" s="1619"/>
      <c r="Z12" s="1619"/>
      <c r="AB12" s="1619" t="s">
        <v>1886</v>
      </c>
      <c r="AC12" s="1619"/>
      <c r="AD12" s="1619"/>
      <c r="AF12" s="1619" t="s">
        <v>1887</v>
      </c>
      <c r="AG12" s="1619"/>
      <c r="AH12" s="1619"/>
      <c r="AJ12" s="1619" t="s">
        <v>1888</v>
      </c>
      <c r="AK12" s="1619"/>
      <c r="AL12" s="1619"/>
      <c r="AN12" s="1619" t="s">
        <v>1889</v>
      </c>
      <c r="AO12" s="1619"/>
      <c r="AP12" s="1619"/>
    </row>
    <row r="13" customFormat="false" ht="13.5" hidden="false" customHeight="false" outlineLevel="0" collapsed="false">
      <c r="A13" s="1620"/>
      <c r="B13" s="1621" t="n">
        <v>1</v>
      </c>
      <c r="C13" s="1622" t="n">
        <f aca="false">B13+1</f>
        <v>2</v>
      </c>
      <c r="D13" s="1622" t="n">
        <f aca="false">C13+1</f>
        <v>3</v>
      </c>
      <c r="E13" s="1622" t="n">
        <f aca="false">D13+1</f>
        <v>4</v>
      </c>
      <c r="F13" s="1621" t="n">
        <v>1</v>
      </c>
      <c r="G13" s="1622" t="n">
        <f aca="false">F13+1</f>
        <v>2</v>
      </c>
      <c r="H13" s="1622" t="n">
        <f aca="false">G13+1</f>
        <v>3</v>
      </c>
      <c r="I13" s="1622" t="n">
        <f aca="false">H13+1</f>
        <v>4</v>
      </c>
      <c r="J13" s="1623" t="n">
        <f aca="false">I13+1</f>
        <v>5</v>
      </c>
      <c r="K13" s="1624" t="n">
        <v>1</v>
      </c>
      <c r="L13" s="1625" t="s">
        <v>1890</v>
      </c>
      <c r="M13" s="1613"/>
      <c r="N13" s="1626"/>
      <c r="P13" s="1625" t="s">
        <v>1890</v>
      </c>
      <c r="Q13" s="1613"/>
      <c r="R13" s="1626"/>
      <c r="T13" s="1625" t="s">
        <v>1890</v>
      </c>
      <c r="U13" s="1613"/>
      <c r="V13" s="1626"/>
      <c r="X13" s="1625" t="s">
        <v>1890</v>
      </c>
      <c r="Y13" s="1613"/>
      <c r="Z13" s="1626"/>
      <c r="AB13" s="1625" t="s">
        <v>1890</v>
      </c>
      <c r="AC13" s="1613"/>
      <c r="AD13" s="1626"/>
      <c r="AF13" s="1625" t="s">
        <v>1890</v>
      </c>
      <c r="AG13" s="1613"/>
      <c r="AH13" s="1626"/>
      <c r="AJ13" s="1625" t="s">
        <v>1890</v>
      </c>
      <c r="AK13" s="1613"/>
      <c r="AL13" s="1626"/>
      <c r="AN13" s="1625" t="s">
        <v>1890</v>
      </c>
      <c r="AO13" s="1613"/>
      <c r="AP13" s="1626"/>
    </row>
    <row r="14" customFormat="false" ht="13.5" hidden="false" customHeight="false" outlineLevel="0" collapsed="false">
      <c r="A14" s="1620"/>
      <c r="B14" s="1627"/>
      <c r="C14" s="1613"/>
      <c r="D14" s="1613"/>
      <c r="E14" s="1613"/>
      <c r="F14" s="1628" t="s">
        <v>1891</v>
      </c>
      <c r="G14" s="1628"/>
      <c r="H14" s="1628"/>
      <c r="I14" s="1628"/>
      <c r="J14" s="1628"/>
      <c r="K14" s="1624" t="n">
        <f aca="false">K13+1</f>
        <v>2</v>
      </c>
      <c r="L14" s="1629" t="n">
        <v>2</v>
      </c>
      <c r="M14" s="1630" t="str">
        <f aca="false">L17</f>
        <v>US</v>
      </c>
      <c r="N14" s="1631" t="str">
        <f aca="false">L18</f>
        <v>CPI</v>
      </c>
      <c r="P14" s="1629" t="n">
        <v>1</v>
      </c>
      <c r="Q14" s="1630" t="str">
        <f aca="false">P17</f>
        <v>Brazil</v>
      </c>
      <c r="R14" s="1631" t="str">
        <f aca="false">P18</f>
        <v>IGP-DI</v>
      </c>
      <c r="T14" s="1629" t="n">
        <v>2</v>
      </c>
      <c r="U14" s="1630" t="str">
        <f aca="false">T17</f>
        <v>US</v>
      </c>
      <c r="V14" s="1631" t="str">
        <f aca="false">T18</f>
        <v>CPI</v>
      </c>
      <c r="X14" s="1629" t="n">
        <v>3</v>
      </c>
      <c r="Y14" s="1630" t="str">
        <f aca="false">X17</f>
        <v>CPI Less</v>
      </c>
      <c r="Z14" s="1631" t="n">
        <f aca="false">X18</f>
        <v>0.0025</v>
      </c>
      <c r="AB14" s="1629" t="n">
        <v>3</v>
      </c>
      <c r="AC14" s="1630" t="str">
        <f aca="false">AB17</f>
        <v>CPI Less</v>
      </c>
      <c r="AD14" s="1631" t="n">
        <f aca="false">AB18</f>
        <v>0.0025</v>
      </c>
      <c r="AF14" s="1629" t="n">
        <v>1</v>
      </c>
      <c r="AG14" s="1630" t="str">
        <f aca="false">AF17</f>
        <v>Brazil</v>
      </c>
      <c r="AH14" s="1631" t="str">
        <f aca="false">AF18</f>
        <v>IGP-DI</v>
      </c>
      <c r="AJ14" s="1629" t="n">
        <v>3</v>
      </c>
      <c r="AK14" s="1630" t="str">
        <f aca="false">AJ17</f>
        <v>CPI Less</v>
      </c>
      <c r="AL14" s="1631" t="n">
        <f aca="false">AJ18</f>
        <v>0.0025</v>
      </c>
      <c r="AN14" s="1629" t="n">
        <v>2</v>
      </c>
      <c r="AO14" s="1630" t="str">
        <f aca="false">AN17</f>
        <v>US</v>
      </c>
      <c r="AP14" s="1631" t="str">
        <f aca="false">AN18</f>
        <v>CPI</v>
      </c>
      <c r="AR14" s="1632" t="s">
        <v>1892</v>
      </c>
      <c r="AS14" s="1632"/>
      <c r="AT14" s="1632"/>
      <c r="AU14" s="1632"/>
      <c r="AV14" s="1632"/>
      <c r="AW14" s="1632"/>
    </row>
    <row r="15" customFormat="false" ht="12.75" hidden="false" customHeight="false" outlineLevel="0" collapsed="false">
      <c r="A15" s="1620"/>
      <c r="B15" s="1633" t="str">
        <f aca="false">IF(Assm!L78=1,"9/98 BANK CURVES","ALTERNATIVE CURVES")</f>
        <v>ALTERNATIVE CURVES</v>
      </c>
      <c r="D15" s="1613"/>
      <c r="E15" s="1613"/>
      <c r="F15" s="1627"/>
      <c r="J15" s="1626"/>
      <c r="K15" s="1624" t="n">
        <f aca="false">K14+1</f>
        <v>3</v>
      </c>
      <c r="L15" s="1634"/>
      <c r="M15" s="1622" t="s">
        <v>1893</v>
      </c>
      <c r="N15" s="1635" t="n">
        <v>0</v>
      </c>
      <c r="P15" s="1634"/>
      <c r="Q15" s="1622" t="s">
        <v>1893</v>
      </c>
      <c r="R15" s="1635" t="n">
        <v>0</v>
      </c>
      <c r="T15" s="1634"/>
      <c r="U15" s="1622" t="s">
        <v>1893</v>
      </c>
      <c r="V15" s="1635" t="n">
        <v>1.005</v>
      </c>
      <c r="X15" s="1634"/>
      <c r="Y15" s="1622" t="s">
        <v>1893</v>
      </c>
      <c r="Z15" s="1635" t="n">
        <v>1.02</v>
      </c>
      <c r="AB15" s="1634"/>
      <c r="AC15" s="1622" t="s">
        <v>1893</v>
      </c>
      <c r="AD15" s="1635" t="n">
        <v>1.02</v>
      </c>
      <c r="AF15" s="1634"/>
      <c r="AG15" s="1622" t="s">
        <v>1893</v>
      </c>
      <c r="AH15" s="1635" t="n">
        <v>0</v>
      </c>
      <c r="AJ15" s="1634"/>
      <c r="AK15" s="1636" t="s">
        <v>1893</v>
      </c>
      <c r="AL15" s="1635" t="n">
        <v>1.02</v>
      </c>
      <c r="AN15" s="1634"/>
      <c r="AO15" s="1622" t="s">
        <v>1893</v>
      </c>
      <c r="AP15" s="1635" t="n">
        <v>1.005</v>
      </c>
      <c r="AR15" s="744"/>
      <c r="AS15" s="42" t="s">
        <v>1822</v>
      </c>
      <c r="AT15" s="42" t="s">
        <v>1185</v>
      </c>
      <c r="AU15" s="42"/>
      <c r="AV15" s="42" t="s">
        <v>1894</v>
      </c>
      <c r="AW15" s="1637"/>
    </row>
    <row r="16" customFormat="false" ht="12.75" hidden="false" customHeight="false" outlineLevel="0" collapsed="false">
      <c r="A16" s="1620"/>
      <c r="B16" s="1627"/>
      <c r="C16" s="1613"/>
      <c r="D16" s="1613"/>
      <c r="E16" s="1638" t="n">
        <v>35521</v>
      </c>
      <c r="F16" s="1639" t="n">
        <v>35551</v>
      </c>
      <c r="G16" s="1640" t="n">
        <v>35551</v>
      </c>
      <c r="H16" s="1640" t="n">
        <v>35551</v>
      </c>
      <c r="I16" s="1640" t="n">
        <v>35796</v>
      </c>
      <c r="J16" s="1638" t="n">
        <v>35796</v>
      </c>
      <c r="K16" s="1624" t="n">
        <f aca="false">K15+1</f>
        <v>4</v>
      </c>
      <c r="L16" s="1641" t="s">
        <v>1895</v>
      </c>
      <c r="M16" s="1642"/>
      <c r="N16" s="1643" t="n">
        <v>35916</v>
      </c>
      <c r="P16" s="1641" t="s">
        <v>1895</v>
      </c>
      <c r="Q16" s="1642"/>
      <c r="R16" s="1643" t="n">
        <v>35916</v>
      </c>
      <c r="T16" s="1641" t="s">
        <v>1895</v>
      </c>
      <c r="U16" s="1642"/>
      <c r="V16" s="1643" t="n">
        <v>35916</v>
      </c>
      <c r="X16" s="1641" t="s">
        <v>1895</v>
      </c>
      <c r="Y16" s="1642"/>
      <c r="Z16" s="1643" t="n">
        <v>35916</v>
      </c>
      <c r="AB16" s="1641" t="s">
        <v>1895</v>
      </c>
      <c r="AC16" s="1642"/>
      <c r="AD16" s="1643" t="n">
        <v>35916</v>
      </c>
      <c r="AF16" s="1641" t="s">
        <v>1895</v>
      </c>
      <c r="AG16" s="1642"/>
      <c r="AH16" s="1643" t="n">
        <v>35916</v>
      </c>
      <c r="AJ16" s="1641" t="s">
        <v>1895</v>
      </c>
      <c r="AK16" s="1642"/>
      <c r="AL16" s="1643" t="n">
        <v>35916</v>
      </c>
      <c r="AN16" s="1641" t="s">
        <v>1895</v>
      </c>
      <c r="AO16" s="1642"/>
      <c r="AP16" s="1643" t="n">
        <v>35916</v>
      </c>
      <c r="AR16" s="1644"/>
      <c r="AS16" s="42" t="s">
        <v>1896</v>
      </c>
      <c r="AT16" s="42" t="s">
        <v>723</v>
      </c>
      <c r="AU16" s="42" t="s">
        <v>1897</v>
      </c>
      <c r="AV16" s="42" t="s">
        <v>1898</v>
      </c>
      <c r="AW16" s="1645" t="s">
        <v>1899</v>
      </c>
    </row>
    <row r="17" customFormat="false" ht="12.75" hidden="false" customHeight="false" outlineLevel="0" collapsed="false">
      <c r="A17" s="1620"/>
      <c r="B17" s="1646" t="s">
        <v>1897</v>
      </c>
      <c r="C17" s="1647" t="s">
        <v>1900</v>
      </c>
      <c r="D17" s="1647" t="s">
        <v>1901</v>
      </c>
      <c r="E17" s="1647" t="s">
        <v>1901</v>
      </c>
      <c r="F17" s="1646" t="s">
        <v>1897</v>
      </c>
      <c r="G17" s="1647" t="s">
        <v>1900</v>
      </c>
      <c r="H17" s="1647" t="s">
        <v>1902</v>
      </c>
      <c r="I17" s="1647" t="s">
        <v>1564</v>
      </c>
      <c r="J17" s="1645" t="s">
        <v>1564</v>
      </c>
      <c r="K17" s="1624" t="n">
        <f aca="false">K16+1</f>
        <v>5</v>
      </c>
      <c r="L17" s="1648" t="str">
        <f aca="false">HLOOKUP(L$14,Dec_Change,$K17)</f>
        <v>US</v>
      </c>
      <c r="M17" s="1630"/>
      <c r="N17" s="1645" t="s">
        <v>1899</v>
      </c>
      <c r="P17" s="1648" t="str">
        <f aca="false">HLOOKUP(P$14,Dec_Change,$K17)</f>
        <v>Brazil</v>
      </c>
      <c r="Q17" s="1630"/>
      <c r="R17" s="1645" t="s">
        <v>1899</v>
      </c>
      <c r="T17" s="1648" t="str">
        <f aca="false">HLOOKUP(T$14,Dec_Change,$K17)</f>
        <v>US</v>
      </c>
      <c r="U17" s="1630"/>
      <c r="V17" s="1645" t="s">
        <v>1899</v>
      </c>
      <c r="X17" s="1648" t="str">
        <f aca="false">HLOOKUP(X$14,Dec_Change,$K17)</f>
        <v>CPI Less</v>
      </c>
      <c r="Y17" s="1630"/>
      <c r="Z17" s="1645" t="s">
        <v>1899</v>
      </c>
      <c r="AB17" s="1648" t="str">
        <f aca="false">HLOOKUP(AB$14,Dec_Change,$K17)</f>
        <v>CPI Less</v>
      </c>
      <c r="AC17" s="1630"/>
      <c r="AD17" s="1645" t="s">
        <v>1899</v>
      </c>
      <c r="AF17" s="1648" t="str">
        <f aca="false">HLOOKUP(AF$14,Dec_Change,$K17)</f>
        <v>Brazil</v>
      </c>
      <c r="AG17" s="1630"/>
      <c r="AH17" s="1645" t="s">
        <v>1899</v>
      </c>
      <c r="AJ17" s="1648" t="str">
        <f aca="false">HLOOKUP(AJ$14,Dec_Change,$K17)</f>
        <v>CPI Less</v>
      </c>
      <c r="AK17" s="1630"/>
      <c r="AL17" s="1645" t="s">
        <v>1899</v>
      </c>
      <c r="AN17" s="1648" t="str">
        <f aca="false">HLOOKUP(AN$14,Dec_Change,$K17)</f>
        <v>US</v>
      </c>
      <c r="AO17" s="1630"/>
      <c r="AP17" s="1645" t="s">
        <v>1899</v>
      </c>
      <c r="AR17" s="1644"/>
      <c r="AS17" s="1649" t="n">
        <v>35551</v>
      </c>
      <c r="AT17" s="44" t="s">
        <v>1850</v>
      </c>
      <c r="AU17" s="44" t="s">
        <v>199</v>
      </c>
      <c r="AV17" s="44" t="s">
        <v>1903</v>
      </c>
      <c r="AW17" s="1650" t="s">
        <v>723</v>
      </c>
    </row>
    <row r="18" customFormat="false" ht="12.75" hidden="false" customHeight="false" outlineLevel="0" collapsed="false">
      <c r="A18" s="1651" t="s">
        <v>1802</v>
      </c>
      <c r="B18" s="1652" t="s">
        <v>1904</v>
      </c>
      <c r="C18" s="1653" t="s">
        <v>182</v>
      </c>
      <c r="D18" s="1653" t="s">
        <v>1905</v>
      </c>
      <c r="E18" s="1653" t="s">
        <v>1906</v>
      </c>
      <c r="F18" s="1652" t="s">
        <v>1904</v>
      </c>
      <c r="G18" s="1653" t="s">
        <v>182</v>
      </c>
      <c r="H18" s="1654" t="n">
        <v>0.0025</v>
      </c>
      <c r="I18" s="1653" t="s">
        <v>1905</v>
      </c>
      <c r="J18" s="1650" t="s">
        <v>1906</v>
      </c>
      <c r="K18" s="1624" t="n">
        <f aca="false">K17+1</f>
        <v>6</v>
      </c>
      <c r="L18" s="1655" t="str">
        <f aca="false">HLOOKUP(L$14,Dec_Change,$K18)</f>
        <v>CPI</v>
      </c>
      <c r="M18" s="1653" t="n">
        <f aca="false">N15</f>
        <v>0</v>
      </c>
      <c r="N18" s="1650" t="s">
        <v>723</v>
      </c>
      <c r="P18" s="1655" t="str">
        <f aca="false">HLOOKUP(P$14,Dec_Change,$K18)</f>
        <v>IGP-DI</v>
      </c>
      <c r="Q18" s="1653" t="n">
        <f aca="false">R15</f>
        <v>0</v>
      </c>
      <c r="R18" s="1650" t="s">
        <v>723</v>
      </c>
      <c r="T18" s="1655" t="str">
        <f aca="false">HLOOKUP(T$14,Dec_Change,$K18)</f>
        <v>CPI</v>
      </c>
      <c r="U18" s="1653" t="n">
        <f aca="false">V15</f>
        <v>1.005</v>
      </c>
      <c r="V18" s="1650" t="s">
        <v>723</v>
      </c>
      <c r="X18" s="1655" t="n">
        <f aca="false">HLOOKUP(X$14,Dec_Change,$K18)</f>
        <v>0.0025</v>
      </c>
      <c r="Y18" s="1653" t="n">
        <f aca="false">Z15</f>
        <v>1.02</v>
      </c>
      <c r="Z18" s="1650" t="s">
        <v>723</v>
      </c>
      <c r="AB18" s="1655" t="n">
        <f aca="false">HLOOKUP(AB$14,Dec_Change,$K18)</f>
        <v>0.0025</v>
      </c>
      <c r="AC18" s="1653" t="n">
        <f aca="false">AD15</f>
        <v>1.02</v>
      </c>
      <c r="AD18" s="1650" t="s">
        <v>723</v>
      </c>
      <c r="AF18" s="1655" t="str">
        <f aca="false">HLOOKUP(AF$14,Dec_Change,$K18)</f>
        <v>IGP-DI</v>
      </c>
      <c r="AG18" s="1653" t="n">
        <f aca="false">AH15</f>
        <v>0</v>
      </c>
      <c r="AH18" s="1650" t="s">
        <v>723</v>
      </c>
      <c r="AJ18" s="1655" t="n">
        <f aca="false">HLOOKUP(AJ$14,Dec_Change,$K18)</f>
        <v>0.0025</v>
      </c>
      <c r="AK18" s="1653" t="n">
        <f aca="false">AL15</f>
        <v>1.02</v>
      </c>
      <c r="AL18" s="1650" t="s">
        <v>723</v>
      </c>
      <c r="AN18" s="1655" t="str">
        <f aca="false">HLOOKUP(AN$14,Dec_Change,$K18)</f>
        <v>CPI</v>
      </c>
      <c r="AO18" s="1653" t="n">
        <f aca="false">AP15</f>
        <v>1.005</v>
      </c>
      <c r="AP18" s="1650" t="s">
        <v>723</v>
      </c>
      <c r="AR18" s="1644"/>
      <c r="AS18" s="1656" t="n">
        <f aca="false">Exch</f>
        <v>1.065</v>
      </c>
      <c r="AT18" s="1657"/>
      <c r="AU18" s="1657"/>
      <c r="AV18" s="1657"/>
      <c r="AW18" s="1637"/>
    </row>
    <row r="19" customFormat="false" ht="12.75" hidden="false" customHeight="false" outlineLevel="0" collapsed="false">
      <c r="A19" s="1658" t="n">
        <v>35400</v>
      </c>
      <c r="B19" s="1659" t="n">
        <f aca="false">'[4]Monthly Curve Calc.'!B22</f>
        <v>134.689</v>
      </c>
      <c r="C19" s="1660" t="n">
        <f aca="false">'[4]Monthly Curve Calc.'!C22</f>
        <v>159.1</v>
      </c>
      <c r="D19" s="1661" t="n">
        <f aca="false">'[4]Monthly Curve Calc.'!F22</f>
        <v>1.0385</v>
      </c>
      <c r="E19" s="1662" t="n">
        <f aca="false">IF($A19&lt;=E$16,D19,(B19/B18)/(C19/C18)*E18)</f>
        <v>1.0385</v>
      </c>
      <c r="F19" s="1663" t="n">
        <v>1</v>
      </c>
      <c r="G19" s="1664" t="n">
        <v>1</v>
      </c>
      <c r="H19" s="1664" t="n">
        <v>1</v>
      </c>
      <c r="I19" s="1665" t="n">
        <f aca="false">D19</f>
        <v>1.0385</v>
      </c>
      <c r="J19" s="1666" t="n">
        <f aca="false">E19</f>
        <v>1.0385</v>
      </c>
      <c r="K19" s="1624" t="n">
        <f aca="false">K18+1</f>
        <v>7</v>
      </c>
      <c r="L19" s="1667" t="n">
        <f aca="false">HLOOKUP(L$14,Dec_Change,$K19)</f>
        <v>1</v>
      </c>
      <c r="M19" s="1668" t="n">
        <f aca="false">M18</f>
        <v>0</v>
      </c>
      <c r="N19" s="1669" t="n">
        <v>1</v>
      </c>
      <c r="P19" s="1667" t="n">
        <f aca="false">HLOOKUP(P$14,Dec_Change,$K19)</f>
        <v>1</v>
      </c>
      <c r="Q19" s="1668" t="n">
        <f aca="false">Q18</f>
        <v>0</v>
      </c>
      <c r="R19" s="1669" t="n">
        <v>1</v>
      </c>
      <c r="T19" s="1667" t="n">
        <f aca="false">HLOOKUP(T$14,Dec_Change,$K19)</f>
        <v>1</v>
      </c>
      <c r="U19" s="1668" t="n">
        <f aca="false">U18</f>
        <v>1.005</v>
      </c>
      <c r="V19" s="1669" t="n">
        <v>1</v>
      </c>
      <c r="X19" s="1667" t="n">
        <f aca="false">HLOOKUP(X$14,Dec_Change,$K19)</f>
        <v>1</v>
      </c>
      <c r="Y19" s="1668" t="n">
        <f aca="false">Y18</f>
        <v>1.02</v>
      </c>
      <c r="Z19" s="1669" t="n">
        <v>1</v>
      </c>
      <c r="AB19" s="1667" t="n">
        <f aca="false">HLOOKUP(AB$14,Dec_Change,$K19)</f>
        <v>1</v>
      </c>
      <c r="AC19" s="1668" t="n">
        <f aca="false">AC18</f>
        <v>1.02</v>
      </c>
      <c r="AD19" s="1669" t="n">
        <v>1</v>
      </c>
      <c r="AF19" s="1667" t="n">
        <f aca="false">HLOOKUP(AF$14,Dec_Change,$K19)</f>
        <v>1</v>
      </c>
      <c r="AG19" s="1668" t="n">
        <f aca="false">AG18</f>
        <v>0</v>
      </c>
      <c r="AH19" s="1669" t="n">
        <v>1</v>
      </c>
      <c r="AJ19" s="1667" t="n">
        <f aca="false">HLOOKUP(AJ$14,Dec_Change,$K19)</f>
        <v>1</v>
      </c>
      <c r="AK19" s="1668" t="n">
        <f aca="false">AK18</f>
        <v>1.02</v>
      </c>
      <c r="AL19" s="1669" t="n">
        <v>1</v>
      </c>
      <c r="AN19" s="1667" t="n">
        <f aca="false">HLOOKUP(AN$14,Dec_Change,$K19)</f>
        <v>1</v>
      </c>
      <c r="AO19" s="1668" t="n">
        <f aca="false">AO18</f>
        <v>1.005</v>
      </c>
      <c r="AP19" s="1669" t="n">
        <v>1</v>
      </c>
      <c r="AR19" s="1670" t="n">
        <f aca="false">$A19</f>
        <v>35400</v>
      </c>
      <c r="AS19" s="1671" t="n">
        <f aca="false">IF(AND($A19&gt;=EDATE(AS$17,12),IF(Assm!$L$74=0,$D19,$E19)/AS18&gt;=1.05),IF(Assm!$L$74=0,$D19,$E19),AS18)</f>
        <v>1.065</v>
      </c>
      <c r="AT19" s="1672" t="n">
        <v>1</v>
      </c>
      <c r="AU19" s="1671" t="n">
        <f aca="false">F19</f>
        <v>1</v>
      </c>
      <c r="AV19" s="1671" t="n">
        <f aca="false">MAX(AT19,AU19)</f>
        <v>1</v>
      </c>
      <c r="AW19" s="1669" t="n">
        <v>1</v>
      </c>
    </row>
    <row r="20" customFormat="false" ht="12.75" hidden="false" customHeight="false" outlineLevel="0" collapsed="false">
      <c r="A20" s="1673" t="n">
        <f aca="false">EDATE(A19,1)</f>
        <v>35431</v>
      </c>
      <c r="B20" s="1659" t="n">
        <f aca="false">'[4]Monthly Curve Calc.'!B23</f>
        <v>136.814</v>
      </c>
      <c r="C20" s="1660" t="n">
        <f aca="false">'[4]Monthly Curve Calc.'!C23</f>
        <v>159.1</v>
      </c>
      <c r="D20" s="1661" t="n">
        <f aca="false">'[4]Monthly Curve Calc.'!F23</f>
        <v>1.0456</v>
      </c>
      <c r="E20" s="1662" t="n">
        <f aca="false">IF($A20&lt;=E$16,D20,(B20/B19)/(C20/C19)*E19)</f>
        <v>1.0456</v>
      </c>
      <c r="F20" s="1674" t="n">
        <f aca="false">IF(Assm!$L$75=0,F19,IF(AND($A20&gt;F$16,MONTH($A20)=MONTH(F$16)),B19/B7,F19))</f>
        <v>1</v>
      </c>
      <c r="G20" s="1668" t="n">
        <f aca="false">IF(Assm!$L$75=0,G19,IF(AND($A20&gt;G$16,MONTH($A20)=MONTH(G$16)),C19/C7,G19))</f>
        <v>1</v>
      </c>
      <c r="H20" s="1668" t="n">
        <f aca="false">IF(Assm!$L$75=0,H19,IF(AND($A20&gt;H$16,MONTH($A20)=MONTH(H$16)),C19/C7-H$18,H19))</f>
        <v>1</v>
      </c>
      <c r="I20" s="1668" t="n">
        <f aca="false">IF(Assm!$L$75=0,I19,IF($A20&gt;=I$16,IF(MONTH($A20)=MONTH(I$16),AVERAGE(D8:D19),I19),I19))</f>
        <v>1.0385</v>
      </c>
      <c r="J20" s="1675" t="n">
        <f aca="false">IF(Assm!$L$75=0,J19,IF($A20&gt;=J$16,IF(MONTH($A20)=MONTH(J$16),AVERAGE(E8:E19),J19),J19))</f>
        <v>1.0385</v>
      </c>
      <c r="K20" s="1624" t="n">
        <f aca="false">K19+1</f>
        <v>8</v>
      </c>
      <c r="L20" s="1667" t="n">
        <f aca="false">HLOOKUP(L$14,Dec_Change,$K20)</f>
        <v>1</v>
      </c>
      <c r="M20" s="1668" t="n">
        <f aca="false">M19</f>
        <v>0</v>
      </c>
      <c r="N20" s="1675" t="n">
        <f aca="false">IF(AND($A20&gt;=N$16,MONTH($A20)=MONTH(N$16)),MAX(L20,M20)*N19,N19)</f>
        <v>1</v>
      </c>
      <c r="P20" s="1667" t="n">
        <f aca="false">HLOOKUP(P$14,Dec_Change,$K20)</f>
        <v>1</v>
      </c>
      <c r="Q20" s="1668" t="n">
        <f aca="false">Q19</f>
        <v>0</v>
      </c>
      <c r="R20" s="1675" t="n">
        <f aca="false">IF(AND($A20&gt;=R$16,MONTH($A20)=MONTH(R$16)),MAX(P20,Q20)*R19,R19)</f>
        <v>1</v>
      </c>
      <c r="T20" s="1667" t="n">
        <f aca="false">HLOOKUP(T$14,Dec_Change,$K20)</f>
        <v>1</v>
      </c>
      <c r="U20" s="1668" t="n">
        <f aca="false">U19</f>
        <v>1.005</v>
      </c>
      <c r="V20" s="1675" t="n">
        <f aca="false">IF(AND($A20&gt;=V$16,MONTH($A20)=MONTH(V$16)),MAX(T20,U20)*V19,V19)</f>
        <v>1</v>
      </c>
      <c r="X20" s="1667" t="n">
        <f aca="false">HLOOKUP(X$14,Dec_Change,$K20)</f>
        <v>1</v>
      </c>
      <c r="Y20" s="1668" t="n">
        <f aca="false">Y19</f>
        <v>1.02</v>
      </c>
      <c r="Z20" s="1675" t="n">
        <f aca="false">IF(AND($A20&gt;=Z$16,MONTH($A20)=MONTH(Z$16)),MAX(X20,Y20)*Z19,Z19)</f>
        <v>1</v>
      </c>
      <c r="AB20" s="1667" t="n">
        <f aca="false">HLOOKUP(AB$14,Dec_Change,$K20)</f>
        <v>1</v>
      </c>
      <c r="AC20" s="1668" t="n">
        <f aca="false">AC19</f>
        <v>1.02</v>
      </c>
      <c r="AD20" s="1675" t="n">
        <f aca="false">IF(AND($A20&gt;=AD$16,MONTH($A20)=MONTH(AD$16)),MAX(AB20,AC20)*AD19,AD19)</f>
        <v>1</v>
      </c>
      <c r="AF20" s="1667" t="n">
        <f aca="false">HLOOKUP(AF$14,Dec_Change,$K20)</f>
        <v>1</v>
      </c>
      <c r="AG20" s="1668" t="n">
        <f aca="false">AG19</f>
        <v>0</v>
      </c>
      <c r="AH20" s="1675" t="n">
        <f aca="false">IF(AND($A20&gt;=AH$16,MONTH($A20)=MONTH(AH$16)),MAX(AF20,AG20)*AH19,AH19)</f>
        <v>1</v>
      </c>
      <c r="AJ20" s="1667" t="n">
        <f aca="false">HLOOKUP(AJ$14,Dec_Change,$K20)</f>
        <v>1</v>
      </c>
      <c r="AK20" s="1668" t="n">
        <f aca="false">AK19</f>
        <v>1.02</v>
      </c>
      <c r="AL20" s="1675" t="n">
        <f aca="false">IF(AND($A20&gt;=AL$16,MONTH($A20)=MONTH(AL$16)),MAX(AJ20,AK20)*AL19,AL19)</f>
        <v>1</v>
      </c>
      <c r="AN20" s="1667" t="n">
        <f aca="false">HLOOKUP(AN$14,Dec_Change,$K20)</f>
        <v>1</v>
      </c>
      <c r="AO20" s="1668" t="n">
        <f aca="false">AO19</f>
        <v>1.005</v>
      </c>
      <c r="AP20" s="1675" t="n">
        <f aca="false">IF(AND($A20&gt;=AP$16,MONTH($A20)=MONTH(AP$16)),MAX(AN20,AO20)*AP19,AP19)</f>
        <v>1</v>
      </c>
      <c r="AR20" s="1670" t="n">
        <f aca="false">$A20</f>
        <v>35431</v>
      </c>
      <c r="AS20" s="1671" t="n">
        <f aca="false">IF(AND($A20&gt;=EDATE(AS$17,12),IF(Assm!$L$74=0,$D20,$E20)/AS19&gt;=1.05),IF(Assm!$L$74=0,$D20,$E20),AS19)</f>
        <v>1.065</v>
      </c>
      <c r="AT20" s="1671" t="n">
        <f aca="false">IF(AS20/AS19=1,AT19,AS20/AS19)</f>
        <v>1</v>
      </c>
      <c r="AU20" s="1671" t="n">
        <f aca="false">F20</f>
        <v>1</v>
      </c>
      <c r="AV20" s="1671" t="n">
        <f aca="false">MAX(AT20,AU20)</f>
        <v>1</v>
      </c>
      <c r="AW20" s="1675" t="n">
        <f aca="false">IF(AV20=AV19,AW19,AV20*AW19)</f>
        <v>1</v>
      </c>
    </row>
    <row r="21" customFormat="false" ht="12.75" hidden="false" customHeight="false" outlineLevel="0" collapsed="false">
      <c r="A21" s="1673" t="n">
        <f aca="false">EDATE(A20,1)</f>
        <v>35462</v>
      </c>
      <c r="B21" s="1659" t="n">
        <f aca="false">'[4]Monthly Curve Calc.'!B24</f>
        <v>137.39</v>
      </c>
      <c r="C21" s="1660" t="n">
        <f aca="false">'[4]Monthly Curve Calc.'!C24</f>
        <v>159.6</v>
      </c>
      <c r="D21" s="1661" t="n">
        <f aca="false">'[4]Monthly Curve Calc.'!F24</f>
        <v>1.051</v>
      </c>
      <c r="E21" s="1662" t="n">
        <f aca="false">IF($A21&lt;=E$16,D21,(B21/B20)/(C21/C20)*E20)</f>
        <v>1.051</v>
      </c>
      <c r="F21" s="1674" t="n">
        <f aca="false">IF(Assm!$L$75=0,F20,IF(AND($A21&gt;F$16,MONTH($A21)=MONTH(F$16)),B20/B8,F20))</f>
        <v>1</v>
      </c>
      <c r="G21" s="1668" t="n">
        <f aca="false">IF(Assm!$L$75=0,G20,IF(AND($A21&gt;G$16,MONTH($A21)=MONTH(G$16)),C20/C8,G20))</f>
        <v>1</v>
      </c>
      <c r="H21" s="1668" t="n">
        <f aca="false">IF(Assm!$L$75=0,H20,IF(AND($A21&gt;H$16,MONTH($A21)=MONTH(H$16)),C20/C8-H$18,H20))</f>
        <v>1</v>
      </c>
      <c r="I21" s="1668" t="n">
        <f aca="false">IF(Assm!$L$75=0,I20,IF($A21&gt;=I$16,IF(MONTH($A21)=MONTH(I$16),AVERAGE(D9:D20),I20),I20))</f>
        <v>1.0385</v>
      </c>
      <c r="J21" s="1675" t="n">
        <f aca="false">IF(Assm!$L$75=0,J20,IF($A21&gt;=J$16,IF(MONTH($A21)=MONTH(J$16),AVERAGE(E9:E20),J20),J20))</f>
        <v>1.0385</v>
      </c>
      <c r="K21" s="1624" t="n">
        <f aca="false">K20+1</f>
        <v>9</v>
      </c>
      <c r="L21" s="1667" t="n">
        <f aca="false">HLOOKUP(L$14,Dec_Change,$K21)</f>
        <v>1</v>
      </c>
      <c r="M21" s="1668" t="n">
        <f aca="false">M20</f>
        <v>0</v>
      </c>
      <c r="N21" s="1675" t="n">
        <f aca="false">IF(AND($A21&gt;=N$16,MONTH($A21)=MONTH(N$16)),MAX(L21,M21)*N20,N20)</f>
        <v>1</v>
      </c>
      <c r="P21" s="1667" t="n">
        <f aca="false">HLOOKUP(P$14,Dec_Change,$K21)</f>
        <v>1</v>
      </c>
      <c r="Q21" s="1668" t="n">
        <f aca="false">Q20</f>
        <v>0</v>
      </c>
      <c r="R21" s="1675" t="n">
        <f aca="false">IF(AND($A21&gt;=R$16,MONTH($A21)=MONTH(R$16)),MAX(P21,Q21)*R20,R20)</f>
        <v>1</v>
      </c>
      <c r="T21" s="1667" t="n">
        <f aca="false">HLOOKUP(T$14,Dec_Change,$K21)</f>
        <v>1</v>
      </c>
      <c r="U21" s="1668" t="n">
        <f aca="false">U20</f>
        <v>1.005</v>
      </c>
      <c r="V21" s="1675" t="n">
        <f aca="false">IF(AND($A21&gt;=V$16,MONTH($A21)=MONTH(V$16)),MAX(T21,U21)*V20,V20)</f>
        <v>1</v>
      </c>
      <c r="X21" s="1667" t="n">
        <f aca="false">HLOOKUP(X$14,Dec_Change,$K21)</f>
        <v>1</v>
      </c>
      <c r="Y21" s="1668" t="n">
        <f aca="false">Y20</f>
        <v>1.02</v>
      </c>
      <c r="Z21" s="1675" t="n">
        <f aca="false">IF(AND($A21&gt;=Z$16,MONTH($A21)=MONTH(Z$16)),MAX(X21,Y21)*Z20,Z20)</f>
        <v>1</v>
      </c>
      <c r="AB21" s="1667" t="n">
        <f aca="false">HLOOKUP(AB$14,Dec_Change,$K21)</f>
        <v>1</v>
      </c>
      <c r="AC21" s="1668" t="n">
        <f aca="false">AC20</f>
        <v>1.02</v>
      </c>
      <c r="AD21" s="1675" t="n">
        <f aca="false">IF(AND($A21&gt;=AD$16,MONTH($A21)=MONTH(AD$16)),MAX(AB21,AC21)*AD20,AD20)</f>
        <v>1</v>
      </c>
      <c r="AF21" s="1667" t="n">
        <f aca="false">HLOOKUP(AF$14,Dec_Change,$K21)</f>
        <v>1</v>
      </c>
      <c r="AG21" s="1668" t="n">
        <f aca="false">AG20</f>
        <v>0</v>
      </c>
      <c r="AH21" s="1675" t="n">
        <f aca="false">IF(AND($A21&gt;=AH$16,MONTH($A21)=MONTH(AH$16)),MAX(AF21,AG21)*AH20,AH20)</f>
        <v>1</v>
      </c>
      <c r="AJ21" s="1667" t="n">
        <f aca="false">HLOOKUP(AJ$14,Dec_Change,$K21)</f>
        <v>1</v>
      </c>
      <c r="AK21" s="1668" t="n">
        <f aca="false">AK20</f>
        <v>1.02</v>
      </c>
      <c r="AL21" s="1675" t="n">
        <f aca="false">IF(AND($A21&gt;=AL$16,MONTH($A21)=MONTH(AL$16)),MAX(AJ21,AK21)*AL20,AL20)</f>
        <v>1</v>
      </c>
      <c r="AN21" s="1667" t="n">
        <f aca="false">HLOOKUP(AN$14,Dec_Change,$K21)</f>
        <v>1</v>
      </c>
      <c r="AO21" s="1668" t="n">
        <f aca="false">AO20</f>
        <v>1.005</v>
      </c>
      <c r="AP21" s="1675" t="n">
        <f aca="false">IF(AND($A21&gt;=AP$16,MONTH($A21)=MONTH(AP$16)),MAX(AN21,AO21)*AP20,AP20)</f>
        <v>1</v>
      </c>
      <c r="AR21" s="1670" t="n">
        <f aca="false">$A21</f>
        <v>35462</v>
      </c>
      <c r="AS21" s="1671" t="n">
        <f aca="false">IF(AND($A21&gt;=EDATE(AS$17,12),IF(Assm!$L$74=0,$D21,$E21)/AS20&gt;=1.05),IF(Assm!$L$74=0,$D21,$E21),AS20)</f>
        <v>1.065</v>
      </c>
      <c r="AT21" s="1671" t="n">
        <f aca="false">IF(AS21/AS20=1,AT20,AS21/AS20)</f>
        <v>1</v>
      </c>
      <c r="AU21" s="1671" t="n">
        <f aca="false">F21</f>
        <v>1</v>
      </c>
      <c r="AV21" s="1671" t="n">
        <f aca="false">MAX(AT21,AU21)</f>
        <v>1</v>
      </c>
      <c r="AW21" s="1675" t="n">
        <f aca="false">IF(AV21=AV20,AW20,AV21*AW20)</f>
        <v>1</v>
      </c>
    </row>
    <row r="22" customFormat="false" ht="12.75" hidden="false" customHeight="false" outlineLevel="0" collapsed="false">
      <c r="A22" s="1673" t="n">
        <f aca="false">EDATE(A21,1)</f>
        <v>35490</v>
      </c>
      <c r="B22" s="1659" t="n">
        <f aca="false">'[4]Monthly Curve Calc.'!B25</f>
        <v>138.99</v>
      </c>
      <c r="C22" s="1660" t="n">
        <f aca="false">'[4]Monthly Curve Calc.'!C25</f>
        <v>160</v>
      </c>
      <c r="D22" s="1661" t="n">
        <f aca="false">'[4]Monthly Curve Calc.'!F25</f>
        <v>1.0594</v>
      </c>
      <c r="E22" s="1662" t="n">
        <f aca="false">IF($A22&lt;=E$16,D22,(B22/B21)/(C22/C21)*E21)</f>
        <v>1.0594</v>
      </c>
      <c r="F22" s="1674" t="n">
        <f aca="false">IF(Assm!$L$75=0,F21,IF(AND($A22&gt;F$16,MONTH($A22)=MONTH(F$16)),B21/B15,F21))</f>
        <v>1</v>
      </c>
      <c r="G22" s="1668" t="n">
        <f aca="false">IF(Assm!$L$75=0,G21,IF(AND($A22&gt;G$16,MONTH($A22)=MONTH(G$16)),C21/C9,G21))</f>
        <v>1</v>
      </c>
      <c r="H22" s="1668" t="n">
        <f aca="false">IF(Assm!$L$75=0,H21,IF(AND($A22&gt;H$16,MONTH($A22)=MONTH(H$16)),C21/C9-H$18,H21))</f>
        <v>1</v>
      </c>
      <c r="I22" s="1668" t="n">
        <f aca="false">IF(Assm!$L$75=0,I21,IF($A22&gt;=I$16,IF(MONTH($A22)=MONTH(I$16),AVERAGE(D10:D21),I21),I21))</f>
        <v>1.0385</v>
      </c>
      <c r="J22" s="1675" t="n">
        <f aca="false">IF(Assm!$L$75=0,J21,IF($A22&gt;=J$16,IF(MONTH($A22)=MONTH(J$16),AVERAGE(E10:E21),J21),J21))</f>
        <v>1.0385</v>
      </c>
      <c r="K22" s="1624" t="n">
        <f aca="false">K21+1</f>
        <v>10</v>
      </c>
      <c r="L22" s="1667" t="n">
        <f aca="false">HLOOKUP(L$14,Dec_Change,$K22)</f>
        <v>1</v>
      </c>
      <c r="M22" s="1668" t="n">
        <f aca="false">M21</f>
        <v>0</v>
      </c>
      <c r="N22" s="1675" t="n">
        <f aca="false">IF(AND($A22&gt;=N$16,MONTH($A22)=MONTH(N$16)),MAX(L22,M22)*N21,N21)</f>
        <v>1</v>
      </c>
      <c r="P22" s="1667" t="n">
        <f aca="false">HLOOKUP(P$14,Dec_Change,$K22)</f>
        <v>1</v>
      </c>
      <c r="Q22" s="1668" t="n">
        <f aca="false">Q21</f>
        <v>0</v>
      </c>
      <c r="R22" s="1675" t="n">
        <f aca="false">IF(AND($A22&gt;=R$16,MONTH($A22)=MONTH(R$16)),MAX(P22,Q22)*R21,R21)</f>
        <v>1</v>
      </c>
      <c r="T22" s="1667" t="n">
        <f aca="false">HLOOKUP(T$14,Dec_Change,$K22)</f>
        <v>1</v>
      </c>
      <c r="U22" s="1668" t="n">
        <f aca="false">U21</f>
        <v>1.005</v>
      </c>
      <c r="V22" s="1675" t="n">
        <f aca="false">IF(AND($A22&gt;=V$16,MONTH($A22)=MONTH(V$16)),MAX(T22,U22)*V21,V21)</f>
        <v>1</v>
      </c>
      <c r="X22" s="1667" t="n">
        <f aca="false">HLOOKUP(X$14,Dec_Change,$K22)</f>
        <v>1</v>
      </c>
      <c r="Y22" s="1668" t="n">
        <f aca="false">Y21</f>
        <v>1.02</v>
      </c>
      <c r="Z22" s="1675" t="n">
        <f aca="false">IF(AND($A22&gt;=Z$16,MONTH($A22)=MONTH(Z$16)),MAX(X22,Y22)*Z21,Z21)</f>
        <v>1</v>
      </c>
      <c r="AB22" s="1667" t="n">
        <f aca="false">HLOOKUP(AB$14,Dec_Change,$K22)</f>
        <v>1</v>
      </c>
      <c r="AC22" s="1668" t="n">
        <f aca="false">AC21</f>
        <v>1.02</v>
      </c>
      <c r="AD22" s="1675" t="n">
        <f aca="false">IF(AND($A22&gt;=AD$16,MONTH($A22)=MONTH(AD$16)),MAX(AB22,AC22)*AD21,AD21)</f>
        <v>1</v>
      </c>
      <c r="AF22" s="1667" t="n">
        <f aca="false">HLOOKUP(AF$14,Dec_Change,$K22)</f>
        <v>1</v>
      </c>
      <c r="AG22" s="1668" t="n">
        <f aca="false">AG21</f>
        <v>0</v>
      </c>
      <c r="AH22" s="1675" t="n">
        <f aca="false">IF(AND($A22&gt;=AH$16,MONTH($A22)=MONTH(AH$16)),MAX(AF22,AG22)*AH21,AH21)</f>
        <v>1</v>
      </c>
      <c r="AJ22" s="1667" t="n">
        <f aca="false">HLOOKUP(AJ$14,Dec_Change,$K22)</f>
        <v>1</v>
      </c>
      <c r="AK22" s="1668" t="n">
        <f aca="false">AK21</f>
        <v>1.02</v>
      </c>
      <c r="AL22" s="1675" t="n">
        <f aca="false">IF(AND($A22&gt;=AL$16,MONTH($A22)=MONTH(AL$16)),MAX(AJ22,AK22)*AL21,AL21)</f>
        <v>1</v>
      </c>
      <c r="AN22" s="1667" t="n">
        <f aca="false">HLOOKUP(AN$14,Dec_Change,$K22)</f>
        <v>1</v>
      </c>
      <c r="AO22" s="1668" t="n">
        <f aca="false">AO21</f>
        <v>1.005</v>
      </c>
      <c r="AP22" s="1675" t="n">
        <f aca="false">IF(AND($A22&gt;=AP$16,MONTH($A22)=MONTH(AP$16)),MAX(AN22,AO22)*AP21,AP21)</f>
        <v>1</v>
      </c>
      <c r="AR22" s="1670" t="n">
        <f aca="false">$A22</f>
        <v>35490</v>
      </c>
      <c r="AS22" s="1671" t="n">
        <f aca="false">IF(AND($A22&gt;=EDATE(AS$17,12),IF(Assm!$L$74=0,$D22,$E22)/AS21&gt;=1.05),IF(Assm!$L$74=0,$D22,$E22),AS21)</f>
        <v>1.065</v>
      </c>
      <c r="AT22" s="1671" t="n">
        <f aca="false">IF(AS22/AS21=1,AT21,AS22/AS21)</f>
        <v>1</v>
      </c>
      <c r="AU22" s="1671" t="n">
        <f aca="false">F22</f>
        <v>1</v>
      </c>
      <c r="AV22" s="1671" t="n">
        <f aca="false">MAX(AT22,AU22)</f>
        <v>1</v>
      </c>
      <c r="AW22" s="1675" t="n">
        <f aca="false">IF(AV22=AV21,AW21,AV22*AW21)</f>
        <v>1</v>
      </c>
    </row>
    <row r="23" customFormat="false" ht="12.75" hidden="false" customHeight="false" outlineLevel="0" collapsed="false">
      <c r="A23" s="1673" t="n">
        <f aca="false">EDATE(A22,1)</f>
        <v>35521</v>
      </c>
      <c r="B23" s="1659" t="n">
        <f aca="false">'[4]Monthly Curve Calc.'!B26</f>
        <v>139.807</v>
      </c>
      <c r="C23" s="1660" t="n">
        <f aca="false">'[4]Monthly Curve Calc.'!C26</f>
        <v>160.2</v>
      </c>
      <c r="D23" s="1661" t="n">
        <f aca="false">'[4]Monthly Curve Calc.'!F26</f>
        <v>1.0635</v>
      </c>
      <c r="E23" s="1662" t="n">
        <f aca="false">IF($A23&lt;=E$16,D23,(B23/B22)/(C23/C22)*E22)</f>
        <v>1.0635</v>
      </c>
      <c r="F23" s="1674" t="n">
        <f aca="false">IF(Assm!$L$75=0,F22,IF(AND($A23&gt;F$16,MONTH($A23)=MONTH(F$16)),B22/B10,F22))</f>
        <v>1</v>
      </c>
      <c r="G23" s="1668" t="n">
        <f aca="false">IF(Assm!$L$75=0,G22,IF(AND($A23&gt;G$16,MONTH($A23)=MONTH(G$16)),C22/C10,G22))</f>
        <v>1</v>
      </c>
      <c r="H23" s="1668" t="n">
        <f aca="false">IF(Assm!$L$75=0,H22,IF(AND($A23&gt;H$16,MONTH($A23)=MONTH(H$16)),C22/C10-H$18,H22))</f>
        <v>1</v>
      </c>
      <c r="I23" s="1668" t="n">
        <f aca="false">IF(Assm!$L$75=0,I22,IF($A23&gt;=I$16,IF(MONTH($A23)=MONTH(I$16),AVERAGE(D11:D22),I22),I22))</f>
        <v>1.0385</v>
      </c>
      <c r="J23" s="1675" t="n">
        <f aca="false">IF(Assm!$L$75=0,J22,IF($A23&gt;=J$16,IF(MONTH($A23)=MONTH(J$16),AVERAGE(E11:E22),J22),J22))</f>
        <v>1.0385</v>
      </c>
      <c r="K23" s="1624" t="n">
        <f aca="false">K22+1</f>
        <v>11</v>
      </c>
      <c r="L23" s="1667" t="n">
        <f aca="false">HLOOKUP(L$14,Dec_Change,$K23)</f>
        <v>1</v>
      </c>
      <c r="M23" s="1668" t="n">
        <f aca="false">M22</f>
        <v>0</v>
      </c>
      <c r="N23" s="1675" t="n">
        <f aca="false">IF(AND($A23&gt;=N$16,MONTH($A23)=MONTH(N$16)),MAX(L23,M23)*N22,N22)</f>
        <v>1</v>
      </c>
      <c r="P23" s="1667" t="n">
        <f aca="false">HLOOKUP(P$14,Dec_Change,$K23)</f>
        <v>1</v>
      </c>
      <c r="Q23" s="1668" t="n">
        <f aca="false">Q22</f>
        <v>0</v>
      </c>
      <c r="R23" s="1675" t="n">
        <f aca="false">IF(AND($A23&gt;=R$16,MONTH($A23)=MONTH(R$16)),MAX(P23,Q23)*R22,R22)</f>
        <v>1</v>
      </c>
      <c r="T23" s="1667" t="n">
        <f aca="false">HLOOKUP(T$14,Dec_Change,$K23)</f>
        <v>1</v>
      </c>
      <c r="U23" s="1668" t="n">
        <f aca="false">U22</f>
        <v>1.005</v>
      </c>
      <c r="V23" s="1675" t="n">
        <f aca="false">IF(AND($A23&gt;=V$16,MONTH($A23)=MONTH(V$16)),MAX(T23,U23)*V22,V22)</f>
        <v>1</v>
      </c>
      <c r="X23" s="1667" t="n">
        <f aca="false">HLOOKUP(X$14,Dec_Change,$K23)</f>
        <v>1</v>
      </c>
      <c r="Y23" s="1668" t="n">
        <f aca="false">Y22</f>
        <v>1.02</v>
      </c>
      <c r="Z23" s="1675" t="n">
        <f aca="false">IF(AND($A23&gt;=Z$16,MONTH($A23)=MONTH(Z$16)),MAX(X23,Y23)*Z22,Z22)</f>
        <v>1</v>
      </c>
      <c r="AB23" s="1667" t="n">
        <f aca="false">HLOOKUP(AB$14,Dec_Change,$K23)</f>
        <v>1</v>
      </c>
      <c r="AC23" s="1668" t="n">
        <f aca="false">AC22</f>
        <v>1.02</v>
      </c>
      <c r="AD23" s="1675" t="n">
        <f aca="false">IF(AND($A23&gt;=AD$16,MONTH($A23)=MONTH(AD$16)),MAX(AB23,AC23)*AD22,AD22)</f>
        <v>1</v>
      </c>
      <c r="AF23" s="1667" t="n">
        <f aca="false">HLOOKUP(AF$14,Dec_Change,$K23)</f>
        <v>1</v>
      </c>
      <c r="AG23" s="1668" t="n">
        <f aca="false">AG22</f>
        <v>0</v>
      </c>
      <c r="AH23" s="1675" t="n">
        <f aca="false">IF(AND($A23&gt;=AH$16,MONTH($A23)=MONTH(AH$16)),MAX(AF23,AG23)*AH22,AH22)</f>
        <v>1</v>
      </c>
      <c r="AJ23" s="1667" t="n">
        <f aca="false">HLOOKUP(AJ$14,Dec_Change,$K23)</f>
        <v>1</v>
      </c>
      <c r="AK23" s="1668" t="n">
        <f aca="false">AK22</f>
        <v>1.02</v>
      </c>
      <c r="AL23" s="1675" t="n">
        <f aca="false">IF(AND($A23&gt;=AL$16,MONTH($A23)=MONTH(AL$16)),MAX(AJ23,AK23)*AL22,AL22)</f>
        <v>1</v>
      </c>
      <c r="AN23" s="1667" t="n">
        <f aca="false">HLOOKUP(AN$14,Dec_Change,$K23)</f>
        <v>1</v>
      </c>
      <c r="AO23" s="1668" t="n">
        <f aca="false">AO22</f>
        <v>1.005</v>
      </c>
      <c r="AP23" s="1675" t="n">
        <f aca="false">IF(AND($A23&gt;=AP$16,MONTH($A23)=MONTH(AP$16)),MAX(AN23,AO23)*AP22,AP22)</f>
        <v>1</v>
      </c>
      <c r="AR23" s="1670" t="n">
        <f aca="false">$A23</f>
        <v>35521</v>
      </c>
      <c r="AS23" s="1671" t="n">
        <f aca="false">IF(AND($A23&gt;=EDATE(AS$17,12),IF(Assm!$L$74=0,$D23,$E23)/AS22&gt;=1.05),IF(Assm!$L$74=0,$D23,$E23),AS22)</f>
        <v>1.065</v>
      </c>
      <c r="AT23" s="1671" t="n">
        <f aca="false">IF(AS23/AS22=1,AT22,AS23/AS22)</f>
        <v>1</v>
      </c>
      <c r="AU23" s="1671" t="n">
        <f aca="false">F23</f>
        <v>1</v>
      </c>
      <c r="AV23" s="1671" t="n">
        <f aca="false">MAX(AT23,AU23)</f>
        <v>1</v>
      </c>
      <c r="AW23" s="1675" t="n">
        <f aca="false">IF(AV23=AV22,AW22,AV23*AW22)</f>
        <v>1</v>
      </c>
    </row>
    <row r="24" customFormat="false" ht="12.75" hidden="false" customHeight="false" outlineLevel="0" collapsed="false">
      <c r="A24" s="1673" t="n">
        <f aca="false">EDATE(A23,1)</f>
        <v>35551</v>
      </c>
      <c r="B24" s="1659" t="n">
        <f aca="false">'[4]Monthly Curve Calc.'!B27</f>
        <v>140.22</v>
      </c>
      <c r="C24" s="1660" t="n">
        <f aca="false">'[4]Monthly Curve Calc.'!C27</f>
        <v>160.1</v>
      </c>
      <c r="D24" s="1661" t="n">
        <f aca="false">'[4]Monthly Curve Calc.'!F27</f>
        <v>1.0703</v>
      </c>
      <c r="E24" s="1662" t="n">
        <f aca="false">IF($A24&lt;=E$16,D24,(B24/B23)/(C24/C23)*E23)</f>
        <v>1.06730789063555</v>
      </c>
      <c r="F24" s="1674" t="n">
        <f aca="false">IF(Assm!$L$75=0,F23,IF(AND($A24&gt;F$16,MONTH($A24)=MONTH(F$16)),B23/B11,F23))</f>
        <v>1</v>
      </c>
      <c r="G24" s="1668" t="n">
        <f aca="false">IF(Assm!$L$75=0,G23,IF(AND($A24&gt;G$16,MONTH($A24)=MONTH(G$16)),C23/C11,G23))</f>
        <v>1</v>
      </c>
      <c r="H24" s="1668" t="n">
        <f aca="false">IF(Assm!$L$75=0,H23,IF(AND($A24&gt;H$16,MONTH($A24)=MONTH(H$16)),C23/C11-H$18,H23))</f>
        <v>1</v>
      </c>
      <c r="I24" s="1668" t="n">
        <f aca="false">IF(Assm!$L$75=0,I23,IF($A24&gt;=I$16,IF(MONTH($A24)=MONTH(I$16),AVERAGE(D12:D23),I23),I23))</f>
        <v>1.0385</v>
      </c>
      <c r="J24" s="1675" t="n">
        <f aca="false">IF(Assm!$L$75=0,J23,IF($A24&gt;=J$16,IF(MONTH($A24)=MONTH(J$16),AVERAGE(E12:E23),J23),J23))</f>
        <v>1.0385</v>
      </c>
      <c r="K24" s="1624" t="n">
        <f aca="false">K23+1</f>
        <v>12</v>
      </c>
      <c r="L24" s="1667" t="n">
        <f aca="false">HLOOKUP(L$14,Dec_Change,$K24)</f>
        <v>1</v>
      </c>
      <c r="M24" s="1668" t="n">
        <f aca="false">M23</f>
        <v>0</v>
      </c>
      <c r="N24" s="1675" t="n">
        <f aca="false">IF(AND($A24&gt;=N$16,MONTH($A24)=MONTH(N$16)),MAX(L24,M24)*N23,N23)</f>
        <v>1</v>
      </c>
      <c r="P24" s="1667" t="n">
        <f aca="false">HLOOKUP(P$14,Dec_Change,$K24)</f>
        <v>1</v>
      </c>
      <c r="Q24" s="1668" t="n">
        <f aca="false">Q23</f>
        <v>0</v>
      </c>
      <c r="R24" s="1675" t="n">
        <f aca="false">IF(AND($A24&gt;=R$16,MONTH($A24)=MONTH(R$16)),MAX(P24,Q24)*R23,R23)</f>
        <v>1</v>
      </c>
      <c r="T24" s="1667" t="n">
        <f aca="false">HLOOKUP(T$14,Dec_Change,$K24)</f>
        <v>1</v>
      </c>
      <c r="U24" s="1668" t="n">
        <f aca="false">U23</f>
        <v>1.005</v>
      </c>
      <c r="V24" s="1675" t="n">
        <f aca="false">IF(AND($A24&gt;=V$16,MONTH($A24)=MONTH(V$16)),MAX(T24,U24)*V23,V23)</f>
        <v>1</v>
      </c>
      <c r="X24" s="1667" t="n">
        <f aca="false">HLOOKUP(X$14,Dec_Change,$K24)</f>
        <v>1</v>
      </c>
      <c r="Y24" s="1668" t="n">
        <f aca="false">Y23</f>
        <v>1.02</v>
      </c>
      <c r="Z24" s="1675" t="n">
        <f aca="false">IF(AND($A24&gt;=Z$16,MONTH($A24)=MONTH(Z$16)),MAX(X24,Y24)*Z23,Z23)</f>
        <v>1</v>
      </c>
      <c r="AB24" s="1667" t="n">
        <f aca="false">HLOOKUP(AB$14,Dec_Change,$K24)</f>
        <v>1</v>
      </c>
      <c r="AC24" s="1668" t="n">
        <f aca="false">AC23</f>
        <v>1.02</v>
      </c>
      <c r="AD24" s="1675" t="n">
        <f aca="false">IF(AND($A24&gt;=AD$16,MONTH($A24)=MONTH(AD$16)),MAX(AB24,AC24)*AD23,AD23)</f>
        <v>1</v>
      </c>
      <c r="AF24" s="1667" t="n">
        <f aca="false">HLOOKUP(AF$14,Dec_Change,$K24)</f>
        <v>1</v>
      </c>
      <c r="AG24" s="1668" t="n">
        <f aca="false">AG23</f>
        <v>0</v>
      </c>
      <c r="AH24" s="1675" t="n">
        <f aca="false">IF(AND($A24&gt;=AH$16,MONTH($A24)=MONTH(AH$16)),MAX(AF24,AG24)*AH23,AH23)</f>
        <v>1</v>
      </c>
      <c r="AJ24" s="1667" t="n">
        <f aca="false">HLOOKUP(AJ$14,Dec_Change,$K24)</f>
        <v>1</v>
      </c>
      <c r="AK24" s="1668" t="n">
        <f aca="false">AK23</f>
        <v>1.02</v>
      </c>
      <c r="AL24" s="1675" t="n">
        <f aca="false">IF(AND($A24&gt;=AL$16,MONTH($A24)=MONTH(AL$16)),MAX(AJ24,AK24)*AL23,AL23)</f>
        <v>1</v>
      </c>
      <c r="AN24" s="1667" t="n">
        <f aca="false">HLOOKUP(AN$14,Dec_Change,$K24)</f>
        <v>1</v>
      </c>
      <c r="AO24" s="1668" t="n">
        <f aca="false">AO23</f>
        <v>1.005</v>
      </c>
      <c r="AP24" s="1675" t="n">
        <f aca="false">IF(AND($A24&gt;=AP$16,MONTH($A24)=MONTH(AP$16)),MAX(AN24,AO24)*AP23,AP23)</f>
        <v>1</v>
      </c>
      <c r="AR24" s="1670" t="n">
        <f aca="false">$A24</f>
        <v>35551</v>
      </c>
      <c r="AS24" s="1671" t="n">
        <f aca="false">IF(AND($A24&gt;=EDATE(AS$17,12),IF(Assm!$L$74=0,$D24,$E24)/AS23&gt;=1.05),IF(Assm!$L$74=0,$D24,$E24),AS23)</f>
        <v>1.065</v>
      </c>
      <c r="AT24" s="1671" t="n">
        <f aca="false">IF(AS24/AS23=1,AT23,AS24/AS23)</f>
        <v>1</v>
      </c>
      <c r="AU24" s="1671" t="n">
        <f aca="false">F24</f>
        <v>1</v>
      </c>
      <c r="AV24" s="1671" t="n">
        <f aca="false">MAX(AT24,AU24)</f>
        <v>1</v>
      </c>
      <c r="AW24" s="1675" t="n">
        <f aca="false">IF(AV24=AV23,AW23,AV24*AW23)</f>
        <v>1</v>
      </c>
    </row>
    <row r="25" customFormat="false" ht="12.75" hidden="false" customHeight="false" outlineLevel="0" collapsed="false">
      <c r="A25" s="1673" t="n">
        <f aca="false">EDATE(A24,1)</f>
        <v>35582</v>
      </c>
      <c r="B25" s="1659" t="n">
        <f aca="false">'[4]Monthly Curve Calc.'!B28</f>
        <v>141.207</v>
      </c>
      <c r="C25" s="1660" t="n">
        <f aca="false">'[4]Monthly Curve Calc.'!C28</f>
        <v>160.3</v>
      </c>
      <c r="D25" s="1661" t="n">
        <f aca="false">'[4]Monthly Curve Calc.'!F28</f>
        <v>1.0766</v>
      </c>
      <c r="E25" s="1662" t="n">
        <f aca="false">IF($A25&lt;=E$16,D25,(B25/B24)/(C25/C24)*E24)</f>
        <v>1.07347959420897</v>
      </c>
      <c r="F25" s="1674" t="n">
        <f aca="false">IF(Assm!$L$75=0,F24,IF(AND($A25&gt;F$16,MONTH($A25)=MONTH(F$16)),B24/B12,F24))</f>
        <v>1</v>
      </c>
      <c r="G25" s="1668" t="n">
        <f aca="false">IF(Assm!$L$75=0,G24,IF(AND($A25&gt;G$16,MONTH($A25)=MONTH(G$16)),C24/C12,G24))</f>
        <v>1</v>
      </c>
      <c r="H25" s="1668" t="n">
        <f aca="false">IF(Assm!$L$75=0,H24,IF(AND($A25&gt;H$16,MONTH($A25)=MONTH(H$16)),C24/C12-H$18,H24))</f>
        <v>1</v>
      </c>
      <c r="I25" s="1668" t="n">
        <f aca="false">IF(Assm!$L$75=0,I24,IF($A25&gt;=I$16,IF(MONTH($A25)=MONTH(I$16),AVERAGE(D13:D24),I24),I24))</f>
        <v>1.0385</v>
      </c>
      <c r="J25" s="1675" t="n">
        <f aca="false">IF(Assm!$L$75=0,J24,IF($A25&gt;=J$16,IF(MONTH($A25)=MONTH(J$16),AVERAGE(E13:E24),J24),J24))</f>
        <v>1.0385</v>
      </c>
      <c r="K25" s="1624" t="n">
        <f aca="false">K24+1</f>
        <v>13</v>
      </c>
      <c r="L25" s="1667" t="n">
        <f aca="false">HLOOKUP(L$14,Dec_Change,$K25)</f>
        <v>1</v>
      </c>
      <c r="M25" s="1668" t="n">
        <f aca="false">M24</f>
        <v>0</v>
      </c>
      <c r="N25" s="1675" t="n">
        <f aca="false">IF(AND($A25&gt;=N$16,MONTH($A25)=MONTH(N$16)),MAX(L25,M25)*N24,N24)</f>
        <v>1</v>
      </c>
      <c r="P25" s="1667" t="n">
        <f aca="false">HLOOKUP(P$14,Dec_Change,$K25)</f>
        <v>1</v>
      </c>
      <c r="Q25" s="1668" t="n">
        <f aca="false">Q24</f>
        <v>0</v>
      </c>
      <c r="R25" s="1675" t="n">
        <f aca="false">IF(AND($A25&gt;=R$16,MONTH($A25)=MONTH(R$16)),MAX(P25,Q25)*R24,R24)</f>
        <v>1</v>
      </c>
      <c r="T25" s="1667" t="n">
        <f aca="false">HLOOKUP(T$14,Dec_Change,$K25)</f>
        <v>1</v>
      </c>
      <c r="U25" s="1668" t="n">
        <f aca="false">U24</f>
        <v>1.005</v>
      </c>
      <c r="V25" s="1675" t="n">
        <f aca="false">IF(AND($A25&gt;=V$16,MONTH($A25)=MONTH(V$16)),MAX(T25,U25)*V24,V24)</f>
        <v>1</v>
      </c>
      <c r="X25" s="1667" t="n">
        <f aca="false">HLOOKUP(X$14,Dec_Change,$K25)</f>
        <v>1</v>
      </c>
      <c r="Y25" s="1668" t="n">
        <f aca="false">Y24</f>
        <v>1.02</v>
      </c>
      <c r="Z25" s="1675" t="n">
        <f aca="false">IF(AND($A25&gt;=Z$16,MONTH($A25)=MONTH(Z$16)),MAX(X25,Y25)*Z24,Z24)</f>
        <v>1</v>
      </c>
      <c r="AB25" s="1667" t="n">
        <f aca="false">HLOOKUP(AB$14,Dec_Change,$K25)</f>
        <v>1</v>
      </c>
      <c r="AC25" s="1668" t="n">
        <f aca="false">AC24</f>
        <v>1.02</v>
      </c>
      <c r="AD25" s="1675" t="n">
        <f aca="false">IF(AND($A25&gt;=AD$16,MONTH($A25)=MONTH(AD$16)),MAX(AB25,AC25)*AD24,AD24)</f>
        <v>1</v>
      </c>
      <c r="AF25" s="1667" t="n">
        <f aca="false">HLOOKUP(AF$14,Dec_Change,$K25)</f>
        <v>1</v>
      </c>
      <c r="AG25" s="1668" t="n">
        <f aca="false">AG24</f>
        <v>0</v>
      </c>
      <c r="AH25" s="1675" t="n">
        <f aca="false">IF(AND($A25&gt;=AH$16,MONTH($A25)=MONTH(AH$16)),MAX(AF25,AG25)*AH24,AH24)</f>
        <v>1</v>
      </c>
      <c r="AJ25" s="1667" t="n">
        <f aca="false">HLOOKUP(AJ$14,Dec_Change,$K25)</f>
        <v>1</v>
      </c>
      <c r="AK25" s="1668" t="n">
        <f aca="false">AK24</f>
        <v>1.02</v>
      </c>
      <c r="AL25" s="1675" t="n">
        <f aca="false">IF(AND($A25&gt;=AL$16,MONTH($A25)=MONTH(AL$16)),MAX(AJ25,AK25)*AL24,AL24)</f>
        <v>1</v>
      </c>
      <c r="AN25" s="1667" t="n">
        <f aca="false">HLOOKUP(AN$14,Dec_Change,$K25)</f>
        <v>1</v>
      </c>
      <c r="AO25" s="1668" t="n">
        <f aca="false">AO24</f>
        <v>1.005</v>
      </c>
      <c r="AP25" s="1675" t="n">
        <f aca="false">IF(AND($A25&gt;=AP$16,MONTH($A25)=MONTH(AP$16)),MAX(AN25,AO25)*AP24,AP24)</f>
        <v>1</v>
      </c>
      <c r="AR25" s="1670" t="n">
        <f aca="false">$A25</f>
        <v>35582</v>
      </c>
      <c r="AS25" s="1671" t="n">
        <f aca="false">IF(AND($A25&gt;=EDATE(AS$17,12),IF(Assm!$L$74=0,$D25,$E25)/AS24&gt;=1.05),IF(Assm!$L$74=0,$D25,$E25),AS24)</f>
        <v>1.065</v>
      </c>
      <c r="AT25" s="1671" t="n">
        <f aca="false">IF(AS25/AS24=1,AT24,AS25/AS24)</f>
        <v>1</v>
      </c>
      <c r="AU25" s="1671" t="n">
        <f aca="false">F25</f>
        <v>1</v>
      </c>
      <c r="AV25" s="1671" t="n">
        <f aca="false">MAX(AT25,AU25)</f>
        <v>1</v>
      </c>
      <c r="AW25" s="1675" t="n">
        <f aca="false">IF(AV25=AV24,AW24,AV25*AW24)</f>
        <v>1</v>
      </c>
    </row>
    <row r="26" customFormat="false" ht="12.75" hidden="false" customHeight="false" outlineLevel="0" collapsed="false">
      <c r="A26" s="1673" t="n">
        <f aca="false">EDATE(A25,1)</f>
        <v>35612</v>
      </c>
      <c r="B26" s="1659" t="n">
        <f aca="false">'[4]Monthly Curve Calc.'!B29</f>
        <v>141.33</v>
      </c>
      <c r="C26" s="1660" t="n">
        <f aca="false">'[4]Monthly Curve Calc.'!C29</f>
        <v>160.5</v>
      </c>
      <c r="D26" s="1661" t="n">
        <f aca="false">'[4]Monthly Curve Calc.'!F29</f>
        <v>1.0829</v>
      </c>
      <c r="E26" s="1662" t="n">
        <f aca="false">IF($A26&lt;=E$16,D26,(B26/B25)/(C26/C25)*E25)</f>
        <v>1.07307582662855</v>
      </c>
      <c r="F26" s="1674" t="n">
        <f aca="false">IF(Assm!$L$75=0,F25,IF(AND($A26&gt;F$16,MONTH($A26)=MONTH(F$16)),B25/B13,F25))</f>
        <v>1</v>
      </c>
      <c r="G26" s="1668" t="n">
        <f aca="false">IF(Assm!$L$75=0,G25,IF(AND($A26&gt;G$16,MONTH($A26)=MONTH(G$16)),C25/C13,G25))</f>
        <v>1</v>
      </c>
      <c r="H26" s="1668" t="n">
        <f aca="false">IF(Assm!$L$75=0,H25,IF(AND($A26&gt;H$16,MONTH($A26)=MONTH(H$16)),C25/C13-H$18,H25))</f>
        <v>1</v>
      </c>
      <c r="I26" s="1668" t="n">
        <f aca="false">IF(Assm!$L$75=0,I25,IF($A26&gt;=I$16,IF(MONTH($A26)=MONTH(I$16),AVERAGE(D14:D25),I25),I25))</f>
        <v>1.0385</v>
      </c>
      <c r="J26" s="1675" t="n">
        <f aca="false">IF(Assm!$L$75=0,J25,IF($A26&gt;=J$16,IF(MONTH($A26)=MONTH(J$16),AVERAGE(E14:E25),J25),J25))</f>
        <v>1.0385</v>
      </c>
      <c r="K26" s="1624" t="n">
        <f aca="false">K25+1</f>
        <v>14</v>
      </c>
      <c r="L26" s="1667" t="n">
        <f aca="false">HLOOKUP(L$14,Dec_Change,$K26)</f>
        <v>1</v>
      </c>
      <c r="M26" s="1668" t="n">
        <f aca="false">M25</f>
        <v>0</v>
      </c>
      <c r="N26" s="1675" t="n">
        <f aca="false">IF(AND($A26&gt;=N$16,MONTH($A26)=MONTH(N$16)),MAX(L26,M26)*N25,N25)</f>
        <v>1</v>
      </c>
      <c r="P26" s="1667" t="n">
        <f aca="false">HLOOKUP(P$14,Dec_Change,$K26)</f>
        <v>1</v>
      </c>
      <c r="Q26" s="1668" t="n">
        <f aca="false">Q25</f>
        <v>0</v>
      </c>
      <c r="R26" s="1675" t="n">
        <f aca="false">IF(AND($A26&gt;=R$16,MONTH($A26)=MONTH(R$16)),MAX(P26,Q26)*R25,R25)</f>
        <v>1</v>
      </c>
      <c r="T26" s="1667" t="n">
        <f aca="false">HLOOKUP(T$14,Dec_Change,$K26)</f>
        <v>1</v>
      </c>
      <c r="U26" s="1668" t="n">
        <f aca="false">U25</f>
        <v>1.005</v>
      </c>
      <c r="V26" s="1675" t="n">
        <f aca="false">IF(AND($A26&gt;=V$16,MONTH($A26)=MONTH(V$16)),MAX(T26,U26)*V25,V25)</f>
        <v>1</v>
      </c>
      <c r="X26" s="1667" t="n">
        <f aca="false">HLOOKUP(X$14,Dec_Change,$K26)</f>
        <v>1</v>
      </c>
      <c r="Y26" s="1668" t="n">
        <f aca="false">Y25</f>
        <v>1.02</v>
      </c>
      <c r="Z26" s="1675" t="n">
        <f aca="false">IF(AND($A26&gt;=Z$16,MONTH($A26)=MONTH(Z$16)),MAX(X26,Y26)*Z25,Z25)</f>
        <v>1</v>
      </c>
      <c r="AB26" s="1667" t="n">
        <f aca="false">HLOOKUP(AB$14,Dec_Change,$K26)</f>
        <v>1</v>
      </c>
      <c r="AC26" s="1668" t="n">
        <f aca="false">AC25</f>
        <v>1.02</v>
      </c>
      <c r="AD26" s="1675" t="n">
        <f aca="false">IF(AND($A26&gt;=AD$16,MONTH($A26)=MONTH(AD$16)),MAX(AB26,AC26)*AD25,AD25)</f>
        <v>1</v>
      </c>
      <c r="AF26" s="1667" t="n">
        <f aca="false">HLOOKUP(AF$14,Dec_Change,$K26)</f>
        <v>1</v>
      </c>
      <c r="AG26" s="1668" t="n">
        <f aca="false">AG25</f>
        <v>0</v>
      </c>
      <c r="AH26" s="1675" t="n">
        <f aca="false">IF(AND($A26&gt;=AH$16,MONTH($A26)=MONTH(AH$16)),MAX(AF26,AG26)*AH25,AH25)</f>
        <v>1</v>
      </c>
      <c r="AJ26" s="1667" t="n">
        <f aca="false">HLOOKUP(AJ$14,Dec_Change,$K26)</f>
        <v>1</v>
      </c>
      <c r="AK26" s="1668" t="n">
        <f aca="false">AK25</f>
        <v>1.02</v>
      </c>
      <c r="AL26" s="1675" t="n">
        <f aca="false">IF(AND($A26&gt;=AL$16,MONTH($A26)=MONTH(AL$16)),MAX(AJ26,AK26)*AL25,AL25)</f>
        <v>1</v>
      </c>
      <c r="AN26" s="1667" t="n">
        <f aca="false">HLOOKUP(AN$14,Dec_Change,$K26)</f>
        <v>1</v>
      </c>
      <c r="AO26" s="1668" t="n">
        <f aca="false">AO25</f>
        <v>1.005</v>
      </c>
      <c r="AP26" s="1675" t="n">
        <f aca="false">IF(AND($A26&gt;=AP$16,MONTH($A26)=MONTH(AP$16)),MAX(AN26,AO26)*AP25,AP25)</f>
        <v>1</v>
      </c>
      <c r="AR26" s="1670" t="n">
        <f aca="false">$A26</f>
        <v>35612</v>
      </c>
      <c r="AS26" s="1671" t="n">
        <f aca="false">IF(AND($A26&gt;=EDATE(AS$17,12),IF(Assm!$L$74=0,$D26,$E26)/AS25&gt;=1.05),IF(Assm!$L$74=0,$D26,$E26),AS25)</f>
        <v>1.065</v>
      </c>
      <c r="AT26" s="1671" t="n">
        <f aca="false">IF(AS26/AS25=1,AT25,AS26/AS25)</f>
        <v>1</v>
      </c>
      <c r="AU26" s="1671" t="n">
        <f aca="false">F26</f>
        <v>1</v>
      </c>
      <c r="AV26" s="1671" t="n">
        <f aca="false">MAX(AT26,AU26)</f>
        <v>1</v>
      </c>
      <c r="AW26" s="1675" t="n">
        <f aca="false">IF(AV26=AV25,AW25,AV26*AW25)</f>
        <v>1</v>
      </c>
    </row>
    <row r="27" customFormat="false" ht="12.75" hidden="false" customHeight="false" outlineLevel="0" collapsed="false">
      <c r="A27" s="1673" t="n">
        <f aca="false">EDATE(A26,1)</f>
        <v>35643</v>
      </c>
      <c r="B27" s="1659" t="n">
        <f aca="false">'[4]Monthly Curve Calc.'!B30</f>
        <v>141.26</v>
      </c>
      <c r="C27" s="1660" t="n">
        <f aca="false">'[4]Monthly Curve Calc.'!C30</f>
        <v>160.8</v>
      </c>
      <c r="D27" s="1661" t="n">
        <f aca="false">'[4]Monthly Curve Calc.'!F30</f>
        <v>1.0913</v>
      </c>
      <c r="E27" s="1662" t="n">
        <f aca="false">IF($A27&lt;=E$16,D27,(B27/B26)/(C27/C26)*E26)</f>
        <v>1.07054332230285</v>
      </c>
      <c r="F27" s="1674" t="n">
        <f aca="false">IF(Assm!$L$75=0,F26,IF(AND($A27&gt;F$16,MONTH($A27)=MONTH(F$16)),B26/B14,F26))</f>
        <v>1</v>
      </c>
      <c r="G27" s="1668" t="n">
        <f aca="false">IF(Assm!$L$75=0,G26,IF(AND($A27&gt;G$16,MONTH($A27)=MONTH(G$16)),C26/C14,G26))</f>
        <v>1</v>
      </c>
      <c r="H27" s="1668" t="n">
        <f aca="false">IF(Assm!$L$75=0,H26,IF(AND($A27&gt;H$16,MONTH($A27)=MONTH(H$16)),C26/C14-H$18,H26))</f>
        <v>1</v>
      </c>
      <c r="I27" s="1668" t="n">
        <f aca="false">IF(Assm!$L$75=0,I26,IF($A27&gt;=I$16,IF(MONTH($A27)=MONTH(I$16),AVERAGE(D15:D26),I26),I26))</f>
        <v>1.0385</v>
      </c>
      <c r="J27" s="1675" t="n">
        <f aca="false">IF(Assm!$L$75=0,J26,IF($A27&gt;=J$16,IF(MONTH($A27)=MONTH(J$16),AVERAGE(E15:E26),J26),J26))</f>
        <v>1.0385</v>
      </c>
      <c r="K27" s="1624" t="n">
        <f aca="false">K26+1</f>
        <v>15</v>
      </c>
      <c r="L27" s="1667" t="n">
        <f aca="false">HLOOKUP(L$14,Dec_Change,$K27)</f>
        <v>1</v>
      </c>
      <c r="M27" s="1668" t="n">
        <f aca="false">M26</f>
        <v>0</v>
      </c>
      <c r="N27" s="1675" t="n">
        <f aca="false">IF(AND($A27&gt;=N$16,MONTH($A27)=MONTH(N$16)),MAX(L27,M27)*N26,N26)</f>
        <v>1</v>
      </c>
      <c r="P27" s="1667" t="n">
        <f aca="false">HLOOKUP(P$14,Dec_Change,$K27)</f>
        <v>1</v>
      </c>
      <c r="Q27" s="1668" t="n">
        <f aca="false">Q26</f>
        <v>0</v>
      </c>
      <c r="R27" s="1675" t="n">
        <f aca="false">IF(AND($A27&gt;=R$16,MONTH($A27)=MONTH(R$16)),MAX(P27,Q27)*R26,R26)</f>
        <v>1</v>
      </c>
      <c r="T27" s="1667" t="n">
        <f aca="false">HLOOKUP(T$14,Dec_Change,$K27)</f>
        <v>1</v>
      </c>
      <c r="U27" s="1668" t="n">
        <f aca="false">U26</f>
        <v>1.005</v>
      </c>
      <c r="V27" s="1675" t="n">
        <f aca="false">IF(AND($A27&gt;=V$16,MONTH($A27)=MONTH(V$16)),MAX(T27,U27)*V26,V26)</f>
        <v>1</v>
      </c>
      <c r="X27" s="1667" t="n">
        <f aca="false">HLOOKUP(X$14,Dec_Change,$K27)</f>
        <v>1</v>
      </c>
      <c r="Y27" s="1668" t="n">
        <f aca="false">Y26</f>
        <v>1.02</v>
      </c>
      <c r="Z27" s="1675" t="n">
        <f aca="false">IF(AND($A27&gt;=Z$16,MONTH($A27)=MONTH(Z$16)),MAX(X27,Y27)*Z26,Z26)</f>
        <v>1</v>
      </c>
      <c r="AB27" s="1667" t="n">
        <f aca="false">HLOOKUP(AB$14,Dec_Change,$K27)</f>
        <v>1</v>
      </c>
      <c r="AC27" s="1668" t="n">
        <f aca="false">AC26</f>
        <v>1.02</v>
      </c>
      <c r="AD27" s="1675" t="n">
        <f aca="false">IF(AND($A27&gt;=AD$16,MONTH($A27)=MONTH(AD$16)),MAX(AB27,AC27)*AD26,AD26)</f>
        <v>1</v>
      </c>
      <c r="AF27" s="1667" t="n">
        <f aca="false">HLOOKUP(AF$14,Dec_Change,$K27)</f>
        <v>1</v>
      </c>
      <c r="AG27" s="1668" t="n">
        <f aca="false">AG26</f>
        <v>0</v>
      </c>
      <c r="AH27" s="1675" t="n">
        <f aca="false">IF(AND($A27&gt;=AH$16,MONTH($A27)=MONTH(AH$16)),MAX(AF27,AG27)*AH26,AH26)</f>
        <v>1</v>
      </c>
      <c r="AJ27" s="1667" t="n">
        <f aca="false">HLOOKUP(AJ$14,Dec_Change,$K27)</f>
        <v>1</v>
      </c>
      <c r="AK27" s="1668" t="n">
        <f aca="false">AK26</f>
        <v>1.02</v>
      </c>
      <c r="AL27" s="1675" t="n">
        <f aca="false">IF(AND($A27&gt;=AL$16,MONTH($A27)=MONTH(AL$16)),MAX(AJ27,AK27)*AL26,AL26)</f>
        <v>1</v>
      </c>
      <c r="AN27" s="1667" t="n">
        <f aca="false">HLOOKUP(AN$14,Dec_Change,$K27)</f>
        <v>1</v>
      </c>
      <c r="AO27" s="1668" t="n">
        <f aca="false">AO26</f>
        <v>1.005</v>
      </c>
      <c r="AP27" s="1675" t="n">
        <f aca="false">IF(AND($A27&gt;=AP$16,MONTH($A27)=MONTH(AP$16)),MAX(AN27,AO27)*AP26,AP26)</f>
        <v>1</v>
      </c>
      <c r="AR27" s="1670" t="n">
        <f aca="false">$A27</f>
        <v>35643</v>
      </c>
      <c r="AS27" s="1671" t="n">
        <f aca="false">IF(AND($A27&gt;=EDATE(AS$17,12),IF(Assm!$L$74=0,$D27,$E27)/AS26&gt;=1.05),IF(Assm!$L$74=0,$D27,$E27),AS26)</f>
        <v>1.065</v>
      </c>
      <c r="AT27" s="1671" t="n">
        <f aca="false">IF(AS27/AS26=1,AT26,AS27/AS26)</f>
        <v>1</v>
      </c>
      <c r="AU27" s="1671" t="n">
        <f aca="false">F27</f>
        <v>1</v>
      </c>
      <c r="AV27" s="1671" t="n">
        <f aca="false">MAX(AT27,AU27)</f>
        <v>1</v>
      </c>
      <c r="AW27" s="1675" t="n">
        <f aca="false">IF(AV27=AV26,AW26,AV27*AW26)</f>
        <v>1</v>
      </c>
    </row>
    <row r="28" customFormat="false" ht="12.75" hidden="false" customHeight="false" outlineLevel="0" collapsed="false">
      <c r="A28" s="1673" t="n">
        <f aca="false">EDATE(A27,1)</f>
        <v>35674</v>
      </c>
      <c r="B28" s="1659" t="n">
        <f aca="false">'[4]Monthly Curve Calc.'!B31</f>
        <v>142.101</v>
      </c>
      <c r="C28" s="1660" t="n">
        <f aca="false">'[4]Monthly Curve Calc.'!C31</f>
        <v>161.2</v>
      </c>
      <c r="D28" s="1661" t="n">
        <f aca="false">'[4]Monthly Curve Calc.'!F31</f>
        <v>1.096</v>
      </c>
      <c r="E28" s="1662" t="n">
        <f aca="false">IF($A28&lt;=E$16,D28,(B28/B27)/(C28/C27)*E27)</f>
        <v>1.07424461678126</v>
      </c>
      <c r="F28" s="1674" t="n">
        <f aca="false">IF(Assm!$L$75=0,F27,IF(AND($A28&gt;F$16,MONTH($A28)=MONTH(F$16)),B27/#REF!,F27))</f>
        <v>1</v>
      </c>
      <c r="G28" s="1668" t="n">
        <f aca="false">IF(Assm!$L$75=0,G27,IF(AND($A28&gt;G$16,MONTH($A28)=MONTH(G$16)),C27/C15,G27))</f>
        <v>1</v>
      </c>
      <c r="H28" s="1668" t="n">
        <f aca="false">IF(Assm!$L$75=0,H27,IF(AND($A28&gt;H$16,MONTH($A28)=MONTH(H$16)),C27/C15-H$18,H27))</f>
        <v>1</v>
      </c>
      <c r="I28" s="1668" t="n">
        <f aca="false">IF(Assm!$L$75=0,I27,IF($A28&gt;=I$16,IF(MONTH($A28)=MONTH(I$16),AVERAGE(D16:D27),I27),I27))</f>
        <v>1.0385</v>
      </c>
      <c r="J28" s="1675" t="n">
        <f aca="false">IF(Assm!$L$75=0,J27,IF($A28&gt;=J$16,IF(MONTH($A28)=MONTH(J$16),AVERAGE(E16:E27),J27),J27))</f>
        <v>1.0385</v>
      </c>
      <c r="K28" s="1624" t="n">
        <f aca="false">K27+1</f>
        <v>16</v>
      </c>
      <c r="L28" s="1667" t="n">
        <f aca="false">HLOOKUP(L$14,Dec_Change,$K28)</f>
        <v>1</v>
      </c>
      <c r="M28" s="1668" t="n">
        <f aca="false">M27</f>
        <v>0</v>
      </c>
      <c r="N28" s="1675" t="n">
        <f aca="false">IF(AND($A28&gt;=N$16,MONTH($A28)=MONTH(N$16)),MAX(L28,M28)*N27,N27)</f>
        <v>1</v>
      </c>
      <c r="P28" s="1667" t="n">
        <f aca="false">HLOOKUP(P$14,Dec_Change,$K28)</f>
        <v>1</v>
      </c>
      <c r="Q28" s="1668" t="n">
        <f aca="false">Q27</f>
        <v>0</v>
      </c>
      <c r="R28" s="1675" t="n">
        <f aca="false">IF(AND($A28&gt;=R$16,MONTH($A28)=MONTH(R$16)),MAX(P28,Q28)*R27,R27)</f>
        <v>1</v>
      </c>
      <c r="T28" s="1667" t="n">
        <f aca="false">HLOOKUP(T$14,Dec_Change,$K28)</f>
        <v>1</v>
      </c>
      <c r="U28" s="1668" t="n">
        <f aca="false">U27</f>
        <v>1.005</v>
      </c>
      <c r="V28" s="1675" t="n">
        <f aca="false">IF(AND($A28&gt;=V$16,MONTH($A28)=MONTH(V$16)),MAX(T28,U28)*V27,V27)</f>
        <v>1</v>
      </c>
      <c r="X28" s="1667" t="n">
        <f aca="false">HLOOKUP(X$14,Dec_Change,$K28)</f>
        <v>1</v>
      </c>
      <c r="Y28" s="1668" t="n">
        <f aca="false">Y27</f>
        <v>1.02</v>
      </c>
      <c r="Z28" s="1675" t="n">
        <f aca="false">IF(AND($A28&gt;=Z$16,MONTH($A28)=MONTH(Z$16)),MAX(X28,Y28)*Z27,Z27)</f>
        <v>1</v>
      </c>
      <c r="AB28" s="1667" t="n">
        <f aca="false">HLOOKUP(AB$14,Dec_Change,$K28)</f>
        <v>1</v>
      </c>
      <c r="AC28" s="1668" t="n">
        <f aca="false">AC27</f>
        <v>1.02</v>
      </c>
      <c r="AD28" s="1675" t="n">
        <f aca="false">IF(AND($A28&gt;=AD$16,MONTH($A28)=MONTH(AD$16)),MAX(AB28,AC28)*AD27,AD27)</f>
        <v>1</v>
      </c>
      <c r="AF28" s="1667" t="n">
        <f aca="false">HLOOKUP(AF$14,Dec_Change,$K28)</f>
        <v>1</v>
      </c>
      <c r="AG28" s="1668" t="n">
        <f aca="false">AG27</f>
        <v>0</v>
      </c>
      <c r="AH28" s="1675" t="n">
        <f aca="false">IF(AND($A28&gt;=AH$16,MONTH($A28)=MONTH(AH$16)),MAX(AF28,AG28)*AH27,AH27)</f>
        <v>1</v>
      </c>
      <c r="AJ28" s="1667" t="n">
        <f aca="false">HLOOKUP(AJ$14,Dec_Change,$K28)</f>
        <v>1</v>
      </c>
      <c r="AK28" s="1668" t="n">
        <f aca="false">AK27</f>
        <v>1.02</v>
      </c>
      <c r="AL28" s="1675" t="n">
        <f aca="false">IF(AND($A28&gt;=AL$16,MONTH($A28)=MONTH(AL$16)),MAX(AJ28,AK28)*AL27,AL27)</f>
        <v>1</v>
      </c>
      <c r="AN28" s="1667" t="n">
        <f aca="false">HLOOKUP(AN$14,Dec_Change,$K28)</f>
        <v>1</v>
      </c>
      <c r="AO28" s="1668" t="n">
        <f aca="false">AO27</f>
        <v>1.005</v>
      </c>
      <c r="AP28" s="1675" t="n">
        <f aca="false">IF(AND($A28&gt;=AP$16,MONTH($A28)=MONTH(AP$16)),MAX(AN28,AO28)*AP27,AP27)</f>
        <v>1</v>
      </c>
      <c r="AR28" s="1670" t="n">
        <f aca="false">$A28</f>
        <v>35674</v>
      </c>
      <c r="AS28" s="1671" t="n">
        <f aca="false">IF(AND($A28&gt;=EDATE(AS$17,12),IF(Assm!$L$74=0,$D28,$E28)/AS27&gt;=1.05),IF(Assm!$L$74=0,$D28,$E28),AS27)</f>
        <v>1.065</v>
      </c>
      <c r="AT28" s="1671" t="n">
        <f aca="false">IF(AS28/AS27=1,AT27,AS28/AS27)</f>
        <v>1</v>
      </c>
      <c r="AU28" s="1671" t="n">
        <f aca="false">F28</f>
        <v>1</v>
      </c>
      <c r="AV28" s="1671" t="n">
        <f aca="false">MAX(AT28,AU28)</f>
        <v>1</v>
      </c>
      <c r="AW28" s="1675" t="n">
        <f aca="false">IF(AV28=AV27,AW27,AV28*AW27)</f>
        <v>1</v>
      </c>
    </row>
    <row r="29" customFormat="false" ht="12.75" hidden="false" customHeight="false" outlineLevel="0" collapsed="false">
      <c r="A29" s="1673" t="n">
        <f aca="false">EDATE(A28,1)</f>
        <v>35704</v>
      </c>
      <c r="B29" s="1659" t="n">
        <f aca="false">'[4]Monthly Curve Calc.'!B32</f>
        <v>142.587</v>
      </c>
      <c r="C29" s="1660" t="n">
        <f aca="false">'[4]Monthly Curve Calc.'!C32</f>
        <v>161.6</v>
      </c>
      <c r="D29" s="1661" t="n">
        <f aca="false">'[4]Monthly Curve Calc.'!F32</f>
        <v>1.1027</v>
      </c>
      <c r="E29" s="1662" t="n">
        <f aca="false">IF($A29&lt;=E$16,D29,(B29/B28)/(C29/C28)*E28)</f>
        <v>1.07525052813702</v>
      </c>
      <c r="F29" s="1674" t="n">
        <f aca="false">IF(Assm!$L$75=0,F28,IF(AND($A29&gt;F$16,MONTH($A29)=MONTH(F$16)),B28/B16,F28))</f>
        <v>1</v>
      </c>
      <c r="G29" s="1668" t="n">
        <f aca="false">IF(Assm!$L$75=0,G28,IF(AND($A29&gt;G$16,MONTH($A29)=MONTH(G$16)),C28/C16,G28))</f>
        <v>1</v>
      </c>
      <c r="H29" s="1668" t="n">
        <f aca="false">IF(Assm!$L$75=0,H28,IF(AND($A29&gt;H$16,MONTH($A29)=MONTH(H$16)),C28/C16-H$18,H28))</f>
        <v>1</v>
      </c>
      <c r="I29" s="1668" t="n">
        <f aca="false">IF(Assm!$L$75=0,I28,IF($A29&gt;=I$16,IF(MONTH($A29)=MONTH(I$16),AVERAGE(D17:D28),I28),I28))</f>
        <v>1.0385</v>
      </c>
      <c r="J29" s="1675" t="n">
        <f aca="false">IF(Assm!$L$75=0,J28,IF($A29&gt;=J$16,IF(MONTH($A29)=MONTH(J$16),AVERAGE(E17:E28),J28),J28))</f>
        <v>1.0385</v>
      </c>
      <c r="K29" s="1624" t="n">
        <f aca="false">K28+1</f>
        <v>17</v>
      </c>
      <c r="L29" s="1667" t="n">
        <f aca="false">HLOOKUP(L$14,Dec_Change,$K29)</f>
        <v>1</v>
      </c>
      <c r="M29" s="1668" t="n">
        <f aca="false">M28</f>
        <v>0</v>
      </c>
      <c r="N29" s="1675" t="n">
        <f aca="false">IF(AND($A29&gt;=N$16,MONTH($A29)=MONTH(N$16)),MAX(L29,M29)*N28,N28)</f>
        <v>1</v>
      </c>
      <c r="P29" s="1667" t="n">
        <f aca="false">HLOOKUP(P$14,Dec_Change,$K29)</f>
        <v>1</v>
      </c>
      <c r="Q29" s="1668" t="n">
        <f aca="false">Q28</f>
        <v>0</v>
      </c>
      <c r="R29" s="1675" t="n">
        <f aca="false">IF(AND($A29&gt;=R$16,MONTH($A29)=MONTH(R$16)),MAX(P29,Q29)*R28,R28)</f>
        <v>1</v>
      </c>
      <c r="T29" s="1667" t="n">
        <f aca="false">HLOOKUP(T$14,Dec_Change,$K29)</f>
        <v>1</v>
      </c>
      <c r="U29" s="1668" t="n">
        <f aca="false">U28</f>
        <v>1.005</v>
      </c>
      <c r="V29" s="1675" t="n">
        <f aca="false">IF(AND($A29&gt;=V$16,MONTH($A29)=MONTH(V$16)),MAX(T29,U29)*V28,V28)</f>
        <v>1</v>
      </c>
      <c r="X29" s="1667" t="n">
        <f aca="false">HLOOKUP(X$14,Dec_Change,$K29)</f>
        <v>1</v>
      </c>
      <c r="Y29" s="1668" t="n">
        <f aca="false">Y28</f>
        <v>1.02</v>
      </c>
      <c r="Z29" s="1675" t="n">
        <f aca="false">IF(AND($A29&gt;=Z$16,MONTH($A29)=MONTH(Z$16)),MAX(X29,Y29)*Z28,Z28)</f>
        <v>1</v>
      </c>
      <c r="AB29" s="1667" t="n">
        <f aca="false">HLOOKUP(AB$14,Dec_Change,$K29)</f>
        <v>1</v>
      </c>
      <c r="AC29" s="1668" t="n">
        <f aca="false">AC28</f>
        <v>1.02</v>
      </c>
      <c r="AD29" s="1675" t="n">
        <f aca="false">IF(AND($A29&gt;=AD$16,MONTH($A29)=MONTH(AD$16)),MAX(AB29,AC29)*AD28,AD28)</f>
        <v>1</v>
      </c>
      <c r="AF29" s="1667" t="n">
        <f aca="false">HLOOKUP(AF$14,Dec_Change,$K29)</f>
        <v>1</v>
      </c>
      <c r="AG29" s="1668" t="n">
        <f aca="false">AG28</f>
        <v>0</v>
      </c>
      <c r="AH29" s="1675" t="n">
        <f aca="false">IF(AND($A29&gt;=AH$16,MONTH($A29)=MONTH(AH$16)),MAX(AF29,AG29)*AH28,AH28)</f>
        <v>1</v>
      </c>
      <c r="AJ29" s="1667" t="n">
        <f aca="false">HLOOKUP(AJ$14,Dec_Change,$K29)</f>
        <v>1</v>
      </c>
      <c r="AK29" s="1668" t="n">
        <f aca="false">AK28</f>
        <v>1.02</v>
      </c>
      <c r="AL29" s="1675" t="n">
        <f aca="false">IF(AND($A29&gt;=AL$16,MONTH($A29)=MONTH(AL$16)),MAX(AJ29,AK29)*AL28,AL28)</f>
        <v>1</v>
      </c>
      <c r="AN29" s="1667" t="n">
        <f aca="false">HLOOKUP(AN$14,Dec_Change,$K29)</f>
        <v>1</v>
      </c>
      <c r="AO29" s="1668" t="n">
        <f aca="false">AO28</f>
        <v>1.005</v>
      </c>
      <c r="AP29" s="1675" t="n">
        <f aca="false">IF(AND($A29&gt;=AP$16,MONTH($A29)=MONTH(AP$16)),MAX(AN29,AO29)*AP28,AP28)</f>
        <v>1</v>
      </c>
      <c r="AR29" s="1670" t="n">
        <f aca="false">$A29</f>
        <v>35704</v>
      </c>
      <c r="AS29" s="1671" t="n">
        <f aca="false">IF(AND($A29&gt;=EDATE(AS$17,12),IF(Assm!$L$74=0,$D29,$E29)/AS28&gt;=1.05),IF(Assm!$L$74=0,$D29,$E29),AS28)</f>
        <v>1.065</v>
      </c>
      <c r="AT29" s="1671" t="n">
        <f aca="false">IF(AS29/AS28=1,AT28,AS29/AS28)</f>
        <v>1</v>
      </c>
      <c r="AU29" s="1671" t="n">
        <f aca="false">F29</f>
        <v>1</v>
      </c>
      <c r="AV29" s="1671" t="n">
        <f aca="false">MAX(AT29,AU29)</f>
        <v>1</v>
      </c>
      <c r="AW29" s="1675" t="n">
        <f aca="false">IF(AV29=AV28,AW28,AV29*AW28)</f>
        <v>1</v>
      </c>
    </row>
    <row r="30" customFormat="false" ht="12.75" hidden="false" customHeight="false" outlineLevel="0" collapsed="false">
      <c r="A30" s="1673" t="n">
        <f aca="false">EDATE(A29,1)</f>
        <v>35735</v>
      </c>
      <c r="B30" s="1659" t="n">
        <f aca="false">'[4]Monthly Curve Calc.'!B33</f>
        <v>143.771</v>
      </c>
      <c r="C30" s="1660" t="n">
        <f aca="false">'[4]Monthly Curve Calc.'!C33</f>
        <v>161.5</v>
      </c>
      <c r="D30" s="1661" t="n">
        <f aca="false">'[4]Monthly Curve Calc.'!F33</f>
        <v>1.1095</v>
      </c>
      <c r="E30" s="1662" t="n">
        <f aca="false">IF($A30&lt;=E$16,D30,(B30/B29)/(C30/C29)*E29)</f>
        <v>1.08485040674272</v>
      </c>
      <c r="F30" s="1674" t="n">
        <f aca="false">IF(Assm!$L$75=0,F29,IF(AND($A30&gt;F$16,MONTH($A30)=MONTH(F$16)),B29/B17,F29))</f>
        <v>1</v>
      </c>
      <c r="G30" s="1668" t="n">
        <f aca="false">IF(Assm!$L$75=0,G29,IF(AND($A30&gt;G$16,MONTH($A30)=MONTH(G$16)),C29/C17,G29))</f>
        <v>1</v>
      </c>
      <c r="H30" s="1668" t="n">
        <f aca="false">IF(Assm!$L$75=0,H29,IF(AND($A30&gt;H$16,MONTH($A30)=MONTH(H$16)),C29/C17-H$18,H29))</f>
        <v>1</v>
      </c>
      <c r="I30" s="1668" t="n">
        <f aca="false">IF(Assm!$L$75=0,I29,IF($A30&gt;=I$16,IF(MONTH($A30)=MONTH(I$16),AVERAGE(D18:D29),I29),I29))</f>
        <v>1.0385</v>
      </c>
      <c r="J30" s="1675" t="n">
        <f aca="false">IF(Assm!$L$75=0,J29,IF($A30&gt;=J$16,IF(MONTH($A30)=MONTH(J$16),AVERAGE(E18:E29),J29),J29))</f>
        <v>1.0385</v>
      </c>
      <c r="K30" s="1624" t="n">
        <f aca="false">K29+1</f>
        <v>18</v>
      </c>
      <c r="L30" s="1667" t="n">
        <f aca="false">HLOOKUP(L$14,Dec_Change,$K30)</f>
        <v>1</v>
      </c>
      <c r="M30" s="1668" t="n">
        <f aca="false">M29</f>
        <v>0</v>
      </c>
      <c r="N30" s="1675" t="n">
        <f aca="false">IF(AND($A30&gt;=N$16,MONTH($A30)=MONTH(N$16)),MAX(L30,M30)*N29,N29)</f>
        <v>1</v>
      </c>
      <c r="P30" s="1667" t="n">
        <f aca="false">HLOOKUP(P$14,Dec_Change,$K30)</f>
        <v>1</v>
      </c>
      <c r="Q30" s="1668" t="n">
        <f aca="false">Q29</f>
        <v>0</v>
      </c>
      <c r="R30" s="1675" t="n">
        <f aca="false">IF(AND($A30&gt;=R$16,MONTH($A30)=MONTH(R$16)),MAX(P30,Q30)*R29,R29)</f>
        <v>1</v>
      </c>
      <c r="T30" s="1667" t="n">
        <f aca="false">HLOOKUP(T$14,Dec_Change,$K30)</f>
        <v>1</v>
      </c>
      <c r="U30" s="1668" t="n">
        <f aca="false">U29</f>
        <v>1.005</v>
      </c>
      <c r="V30" s="1675" t="n">
        <f aca="false">IF(AND($A30&gt;=V$16,MONTH($A30)=MONTH(V$16)),MAX(T30,U30)*V29,V29)</f>
        <v>1</v>
      </c>
      <c r="X30" s="1667" t="n">
        <f aca="false">HLOOKUP(X$14,Dec_Change,$K30)</f>
        <v>1</v>
      </c>
      <c r="Y30" s="1668" t="n">
        <f aca="false">Y29</f>
        <v>1.02</v>
      </c>
      <c r="Z30" s="1675" t="n">
        <f aca="false">IF(AND($A30&gt;=Z$16,MONTH($A30)=MONTH(Z$16)),MAX(X30,Y30)*Z29,Z29)</f>
        <v>1</v>
      </c>
      <c r="AB30" s="1667" t="n">
        <f aca="false">HLOOKUP(AB$14,Dec_Change,$K30)</f>
        <v>1</v>
      </c>
      <c r="AC30" s="1668" t="n">
        <f aca="false">AC29</f>
        <v>1.02</v>
      </c>
      <c r="AD30" s="1675" t="n">
        <f aca="false">IF(AND($A30&gt;=AD$16,MONTH($A30)=MONTH(AD$16)),MAX(AB30,AC30)*AD29,AD29)</f>
        <v>1</v>
      </c>
      <c r="AF30" s="1667" t="n">
        <f aca="false">HLOOKUP(AF$14,Dec_Change,$K30)</f>
        <v>1</v>
      </c>
      <c r="AG30" s="1668" t="n">
        <f aca="false">AG29</f>
        <v>0</v>
      </c>
      <c r="AH30" s="1675" t="n">
        <f aca="false">IF(AND($A30&gt;=AH$16,MONTH($A30)=MONTH(AH$16)),MAX(AF30,AG30)*AH29,AH29)</f>
        <v>1</v>
      </c>
      <c r="AJ30" s="1667" t="n">
        <f aca="false">HLOOKUP(AJ$14,Dec_Change,$K30)</f>
        <v>1</v>
      </c>
      <c r="AK30" s="1668" t="n">
        <f aca="false">AK29</f>
        <v>1.02</v>
      </c>
      <c r="AL30" s="1675" t="n">
        <f aca="false">IF(AND($A30&gt;=AL$16,MONTH($A30)=MONTH(AL$16)),MAX(AJ30,AK30)*AL29,AL29)</f>
        <v>1</v>
      </c>
      <c r="AN30" s="1667" t="n">
        <f aca="false">HLOOKUP(AN$14,Dec_Change,$K30)</f>
        <v>1</v>
      </c>
      <c r="AO30" s="1668" t="n">
        <f aca="false">AO29</f>
        <v>1.005</v>
      </c>
      <c r="AP30" s="1675" t="n">
        <f aca="false">IF(AND($A30&gt;=AP$16,MONTH($A30)=MONTH(AP$16)),MAX(AN30,AO30)*AP29,AP29)</f>
        <v>1</v>
      </c>
      <c r="AR30" s="1670" t="n">
        <f aca="false">$A30</f>
        <v>35735</v>
      </c>
      <c r="AS30" s="1671" t="n">
        <f aca="false">IF(AND($A30&gt;=EDATE(AS$17,12),IF(Assm!$L$74=0,$D30,$E30)/AS29&gt;=1.05),IF(Assm!$L$74=0,$D30,$E30),AS29)</f>
        <v>1.065</v>
      </c>
      <c r="AT30" s="1671" t="n">
        <f aca="false">IF(AS30/AS29=1,AT29,AS30/AS29)</f>
        <v>1</v>
      </c>
      <c r="AU30" s="1671" t="n">
        <f aca="false">F30</f>
        <v>1</v>
      </c>
      <c r="AV30" s="1671" t="n">
        <f aca="false">MAX(AT30,AU30)</f>
        <v>1</v>
      </c>
      <c r="AW30" s="1675" t="n">
        <f aca="false">IF(AV30=AV29,AW29,AV30*AW29)</f>
        <v>1</v>
      </c>
    </row>
    <row r="31" customFormat="false" ht="12.75" hidden="false" customHeight="false" outlineLevel="0" collapsed="false">
      <c r="A31" s="1673" t="n">
        <f aca="false">EDATE(A30,1)</f>
        <v>35765</v>
      </c>
      <c r="B31" s="1659" t="n">
        <f aca="false">'[4]Monthly Curve Calc.'!B34</f>
        <v>144.765</v>
      </c>
      <c r="C31" s="1660" t="n">
        <f aca="false">'[4]Monthly Curve Calc.'!C34</f>
        <v>161.3</v>
      </c>
      <c r="D31" s="1661" t="n">
        <f aca="false">'[4]Monthly Curve Calc.'!F34</f>
        <v>1.116</v>
      </c>
      <c r="E31" s="1662" t="n">
        <f aca="false">IF($A31&lt;=E$16,D31,(B31/B30)/(C31/C30)*E30)</f>
        <v>1.09370524950189</v>
      </c>
      <c r="F31" s="1674" t="n">
        <f aca="false">IF(Assm!$L$75=0,F30,IF(AND($A31&gt;F$16,MONTH($A31)=MONTH(F$16)),B30/B18,F30))</f>
        <v>1</v>
      </c>
      <c r="G31" s="1668" t="n">
        <f aca="false">IF(Assm!$L$75=0,G30,IF(AND($A31&gt;G$16,MONTH($A31)=MONTH(G$16)),C30/C18,G30))</f>
        <v>1</v>
      </c>
      <c r="H31" s="1668" t="n">
        <f aca="false">IF(Assm!$L$75=0,H30,IF(AND($A31&gt;H$16,MONTH($A31)=MONTH(H$16)),C30/C18-H$18,H30))</f>
        <v>1</v>
      </c>
      <c r="I31" s="1668" t="n">
        <f aca="false">IF(Assm!$L$75=0,I30,IF($A31&gt;=I$16,IF(MONTH($A31)=MONTH(I$16),AVERAGE(D19:D30),I30),I30))</f>
        <v>1.0385</v>
      </c>
      <c r="J31" s="1675" t="n">
        <f aca="false">IF(Assm!$L$75=0,J30,IF($A31&gt;=J$16,IF(MONTH($A31)=MONTH(J$16),AVERAGE(E19:E30),J30),J30))</f>
        <v>1.0385</v>
      </c>
      <c r="K31" s="1624" t="n">
        <f aca="false">K30+1</f>
        <v>19</v>
      </c>
      <c r="L31" s="1667" t="n">
        <f aca="false">HLOOKUP(L$14,Dec_Change,$K31)</f>
        <v>1</v>
      </c>
      <c r="M31" s="1668" t="n">
        <f aca="false">M30</f>
        <v>0</v>
      </c>
      <c r="N31" s="1675" t="n">
        <f aca="false">IF(AND($A31&gt;=N$16,MONTH($A31)=MONTH(N$16)),MAX(L31,M31)*N30,N30)</f>
        <v>1</v>
      </c>
      <c r="P31" s="1667" t="n">
        <f aca="false">HLOOKUP(P$14,Dec_Change,$K31)</f>
        <v>1</v>
      </c>
      <c r="Q31" s="1668" t="n">
        <f aca="false">Q30</f>
        <v>0</v>
      </c>
      <c r="R31" s="1675" t="n">
        <f aca="false">IF(AND($A31&gt;=R$16,MONTH($A31)=MONTH(R$16)),MAX(P31,Q31)*R30,R30)</f>
        <v>1</v>
      </c>
      <c r="T31" s="1667" t="n">
        <f aca="false">HLOOKUP(T$14,Dec_Change,$K31)</f>
        <v>1</v>
      </c>
      <c r="U31" s="1668" t="n">
        <f aca="false">U30</f>
        <v>1.005</v>
      </c>
      <c r="V31" s="1675" t="n">
        <f aca="false">IF(AND($A31&gt;=V$16,MONTH($A31)=MONTH(V$16)),MAX(T31,U31)*V30,V30)</f>
        <v>1</v>
      </c>
      <c r="X31" s="1667" t="n">
        <f aca="false">HLOOKUP(X$14,Dec_Change,$K31)</f>
        <v>1</v>
      </c>
      <c r="Y31" s="1668" t="n">
        <f aca="false">Y30</f>
        <v>1.02</v>
      </c>
      <c r="Z31" s="1675" t="n">
        <f aca="false">IF(AND($A31&gt;=Z$16,MONTH($A31)=MONTH(Z$16)),MAX(X31,Y31)*Z30,Z30)</f>
        <v>1</v>
      </c>
      <c r="AB31" s="1667" t="n">
        <f aca="false">HLOOKUP(AB$14,Dec_Change,$K31)</f>
        <v>1</v>
      </c>
      <c r="AC31" s="1668" t="n">
        <f aca="false">AC30</f>
        <v>1.02</v>
      </c>
      <c r="AD31" s="1675" t="n">
        <f aca="false">IF(AND($A31&gt;=AD$16,MONTH($A31)=MONTH(AD$16)),MAX(AB31,AC31)*AD30,AD30)</f>
        <v>1</v>
      </c>
      <c r="AF31" s="1667" t="n">
        <f aca="false">HLOOKUP(AF$14,Dec_Change,$K31)</f>
        <v>1</v>
      </c>
      <c r="AG31" s="1668" t="n">
        <f aca="false">AG30</f>
        <v>0</v>
      </c>
      <c r="AH31" s="1675" t="n">
        <f aca="false">IF(AND($A31&gt;=AH$16,MONTH($A31)=MONTH(AH$16)),MAX(AF31,AG31)*AH30,AH30)</f>
        <v>1</v>
      </c>
      <c r="AJ31" s="1667" t="n">
        <f aca="false">HLOOKUP(AJ$14,Dec_Change,$K31)</f>
        <v>1</v>
      </c>
      <c r="AK31" s="1668" t="n">
        <f aca="false">AK30</f>
        <v>1.02</v>
      </c>
      <c r="AL31" s="1675" t="n">
        <f aca="false">IF(AND($A31&gt;=AL$16,MONTH($A31)=MONTH(AL$16)),MAX(AJ31,AK31)*AL30,AL30)</f>
        <v>1</v>
      </c>
      <c r="AN31" s="1667" t="n">
        <f aca="false">HLOOKUP(AN$14,Dec_Change,$K31)</f>
        <v>1</v>
      </c>
      <c r="AO31" s="1668" t="n">
        <f aca="false">AO30</f>
        <v>1.005</v>
      </c>
      <c r="AP31" s="1675" t="n">
        <f aca="false">IF(AND($A31&gt;=AP$16,MONTH($A31)=MONTH(AP$16)),MAX(AN31,AO31)*AP30,AP30)</f>
        <v>1</v>
      </c>
      <c r="AR31" s="1670" t="n">
        <f aca="false">$A31</f>
        <v>35765</v>
      </c>
      <c r="AS31" s="1671" t="n">
        <f aca="false">IF(AND($A31&gt;=EDATE(AS$17,12),IF(Assm!$L$74=0,$D31,$E31)/AS30&gt;=1.05),IF(Assm!$L$74=0,$D31,$E31),AS30)</f>
        <v>1.065</v>
      </c>
      <c r="AT31" s="1671" t="n">
        <f aca="false">IF(AS31/AS30=1,AT30,AS31/AS30)</f>
        <v>1</v>
      </c>
      <c r="AU31" s="1671" t="n">
        <f aca="false">F31</f>
        <v>1</v>
      </c>
      <c r="AV31" s="1671" t="n">
        <f aca="false">MAX(AT31,AU31)</f>
        <v>1</v>
      </c>
      <c r="AW31" s="1675" t="n">
        <f aca="false">IF(AV31=AV30,AW30,AV31*AW30)</f>
        <v>1</v>
      </c>
    </row>
    <row r="32" customFormat="false" ht="12.75" hidden="false" customHeight="false" outlineLevel="0" collapsed="false">
      <c r="A32" s="1673" t="n">
        <f aca="false">EDATE(A31,1)</f>
        <v>35796</v>
      </c>
      <c r="B32" s="1659" t="n">
        <f aca="false">'[4]Monthly Curve Calc.'!B35</f>
        <v>146.038</v>
      </c>
      <c r="C32" s="1660" t="n">
        <f aca="false">'[4]Monthly Curve Calc.'!C35</f>
        <v>161.6</v>
      </c>
      <c r="D32" s="1661" t="n">
        <f aca="false">'[4]Monthly Curve Calc.'!F35</f>
        <v>1.1234</v>
      </c>
      <c r="E32" s="1662" t="n">
        <f aca="false">IF($A32&lt;=E$16,D32,(B32/B31)/(C32/C31)*E31)</f>
        <v>1.10127456660196</v>
      </c>
      <c r="F32" s="1674" t="n">
        <f aca="false">IF(Assm!$L$75=0,F31,IF(AND($A32&gt;F$16,MONTH($A32)=MONTH(F$16)),B31/B19,F31))</f>
        <v>1</v>
      </c>
      <c r="G32" s="1668" t="n">
        <f aca="false">IF(Assm!$L$75=0,G31,IF(AND($A32&gt;G$16,MONTH($A32)=MONTH(G$16)),C31/C19,G31))</f>
        <v>1</v>
      </c>
      <c r="H32" s="1668" t="n">
        <f aca="false">IF(Assm!$L$75=0,H31,IF(AND($A32&gt;H$16,MONTH($A32)=MONTH(H$16)),C31/C19-H$18,H31))</f>
        <v>1</v>
      </c>
      <c r="I32" s="1668" t="n">
        <f aca="false">IF(Assm!$L$75=0,I31,IF($A32&gt;=I$16,IF(MONTH($A32)=MONTH(I$16),AVERAGE(D20:D31),I31),I31))</f>
        <v>1.0804</v>
      </c>
      <c r="J32" s="1675" t="n">
        <f aca="false">IF(Assm!$L$75=0,J31,IF($A32&gt;=J$16,IF(MONTH($A32)=MONTH(J$16),AVERAGE(E20:E31),J31),J31))</f>
        <v>1.0693297862449</v>
      </c>
      <c r="K32" s="1624" t="n">
        <f aca="false">K31+1</f>
        <v>20</v>
      </c>
      <c r="L32" s="1667" t="n">
        <f aca="false">HLOOKUP(L$14,Dec_Change,$K32)</f>
        <v>1</v>
      </c>
      <c r="M32" s="1668" t="n">
        <f aca="false">M31</f>
        <v>0</v>
      </c>
      <c r="N32" s="1675" t="n">
        <f aca="false">IF(AND($A32&gt;=N$16,MONTH($A32)=MONTH(N$16)),MAX(L32,M32)*N31,N31)</f>
        <v>1</v>
      </c>
      <c r="P32" s="1667" t="n">
        <f aca="false">HLOOKUP(P$14,Dec_Change,$K32)</f>
        <v>1</v>
      </c>
      <c r="Q32" s="1668" t="n">
        <f aca="false">Q31</f>
        <v>0</v>
      </c>
      <c r="R32" s="1675" t="n">
        <f aca="false">IF(AND($A32&gt;=R$16,MONTH($A32)=MONTH(R$16)),MAX(P32,Q32)*R31,R31)</f>
        <v>1</v>
      </c>
      <c r="T32" s="1667" t="n">
        <f aca="false">HLOOKUP(T$14,Dec_Change,$K32)</f>
        <v>1</v>
      </c>
      <c r="U32" s="1668" t="n">
        <f aca="false">U31</f>
        <v>1.005</v>
      </c>
      <c r="V32" s="1675" t="n">
        <f aca="false">IF(AND($A32&gt;=V$16,MONTH($A32)=MONTH(V$16)),MAX(T32,U32)*V31,V31)</f>
        <v>1</v>
      </c>
      <c r="X32" s="1667" t="n">
        <f aca="false">HLOOKUP(X$14,Dec_Change,$K32)</f>
        <v>1</v>
      </c>
      <c r="Y32" s="1668" t="n">
        <f aca="false">Y31</f>
        <v>1.02</v>
      </c>
      <c r="Z32" s="1675" t="n">
        <f aca="false">IF(AND($A32&gt;=Z$16,MONTH($A32)=MONTH(Z$16)),MAX(X32,Y32)*Z31,Z31)</f>
        <v>1</v>
      </c>
      <c r="AB32" s="1667" t="n">
        <f aca="false">HLOOKUP(AB$14,Dec_Change,$K32)</f>
        <v>1</v>
      </c>
      <c r="AC32" s="1668" t="n">
        <f aca="false">AC31</f>
        <v>1.02</v>
      </c>
      <c r="AD32" s="1675" t="n">
        <f aca="false">IF(AND($A32&gt;=AD$16,MONTH($A32)=MONTH(AD$16)),MAX(AB32,AC32)*AD31,AD31)</f>
        <v>1</v>
      </c>
      <c r="AF32" s="1667" t="n">
        <f aca="false">HLOOKUP(AF$14,Dec_Change,$K32)</f>
        <v>1</v>
      </c>
      <c r="AG32" s="1668" t="n">
        <f aca="false">AG31</f>
        <v>0</v>
      </c>
      <c r="AH32" s="1675" t="n">
        <f aca="false">IF(AND($A32&gt;=AH$16,MONTH($A32)=MONTH(AH$16)),MAX(AF32,AG32)*AH31,AH31)</f>
        <v>1</v>
      </c>
      <c r="AJ32" s="1667" t="n">
        <f aca="false">HLOOKUP(AJ$14,Dec_Change,$K32)</f>
        <v>1</v>
      </c>
      <c r="AK32" s="1668" t="n">
        <f aca="false">AK31</f>
        <v>1.02</v>
      </c>
      <c r="AL32" s="1675" t="n">
        <f aca="false">IF(AND($A32&gt;=AL$16,MONTH($A32)=MONTH(AL$16)),MAX(AJ32,AK32)*AL31,AL31)</f>
        <v>1</v>
      </c>
      <c r="AN32" s="1667" t="n">
        <f aca="false">HLOOKUP(AN$14,Dec_Change,$K32)</f>
        <v>1</v>
      </c>
      <c r="AO32" s="1668" t="n">
        <f aca="false">AO31</f>
        <v>1.005</v>
      </c>
      <c r="AP32" s="1675" t="n">
        <f aca="false">IF(AND($A32&gt;=AP$16,MONTH($A32)=MONTH(AP$16)),MAX(AN32,AO32)*AP31,AP31)</f>
        <v>1</v>
      </c>
      <c r="AR32" s="1670" t="n">
        <f aca="false">$A32</f>
        <v>35796</v>
      </c>
      <c r="AS32" s="1671" t="n">
        <f aca="false">IF(AND($A32&gt;=EDATE(AS$17,12),IF(Assm!$L$74=0,$D32,$E32)/AS31&gt;=1.05),IF(Assm!$L$74=0,$D32,$E32),AS31)</f>
        <v>1.065</v>
      </c>
      <c r="AT32" s="1671" t="n">
        <f aca="false">IF(AS32/AS31=1,AT31,AS32/AS31)</f>
        <v>1</v>
      </c>
      <c r="AU32" s="1671" t="n">
        <f aca="false">F32</f>
        <v>1</v>
      </c>
      <c r="AV32" s="1671" t="n">
        <f aca="false">MAX(AT32,AU32)</f>
        <v>1</v>
      </c>
      <c r="AW32" s="1675" t="n">
        <f aca="false">IF(AV32=AV31,AW31,AV32*AW31)</f>
        <v>1</v>
      </c>
    </row>
    <row r="33" customFormat="false" ht="12.75" hidden="false" customHeight="false" outlineLevel="0" collapsed="false">
      <c r="A33" s="1673" t="n">
        <f aca="false">EDATE(A32,1)</f>
        <v>35827</v>
      </c>
      <c r="B33" s="1659" t="n">
        <f aca="false">'[4]Monthly Curve Calc.'!B36</f>
        <v>146.067</v>
      </c>
      <c r="C33" s="1660" t="n">
        <f aca="false">'[4]Monthly Curve Calc.'!C36</f>
        <v>161.9</v>
      </c>
      <c r="D33" s="1661" t="n">
        <f aca="false">'[4]Monthly Curve Calc.'!F36</f>
        <v>1.13</v>
      </c>
      <c r="E33" s="1662" t="n">
        <f aca="false">IF($A33&lt;=E$16,D33,(B33/B32)/(C33/C32)*E32)</f>
        <v>1.09945219375994</v>
      </c>
      <c r="F33" s="1674" t="n">
        <f aca="false">IF(Assm!$L$75=0,F32,IF(AND($A33&gt;F$16,MONTH($A33)=MONTH(F$16)),B32/B20,F32))</f>
        <v>1</v>
      </c>
      <c r="G33" s="1668" t="n">
        <f aca="false">IF(Assm!$L$75=0,G32,IF(AND($A33&gt;G$16,MONTH($A33)=MONTH(G$16)),C32/C20,G32))</f>
        <v>1</v>
      </c>
      <c r="H33" s="1668" t="n">
        <f aca="false">IF(Assm!$L$75=0,H32,IF(AND($A33&gt;H$16,MONTH($A33)=MONTH(H$16)),C32/C20-H$18,H32))</f>
        <v>1</v>
      </c>
      <c r="I33" s="1668" t="n">
        <f aca="false">IF(Assm!$L$75=0,I32,IF($A33&gt;=I$16,IF(MONTH($A33)=MONTH(I$16),AVERAGE(D21:D32),I32),I32))</f>
        <v>1.0804</v>
      </c>
      <c r="J33" s="1675" t="n">
        <f aca="false">IF(Assm!$L$75=0,J32,IF($A33&gt;=J$16,IF(MONTH($A33)=MONTH(J$16),AVERAGE(E21:E32),J32),J32))</f>
        <v>1.0693297862449</v>
      </c>
      <c r="K33" s="1624" t="n">
        <f aca="false">K32+1</f>
        <v>21</v>
      </c>
      <c r="L33" s="1667" t="n">
        <f aca="false">HLOOKUP(L$14,Dec_Change,$K33)</f>
        <v>1</v>
      </c>
      <c r="M33" s="1668" t="n">
        <f aca="false">M32</f>
        <v>0</v>
      </c>
      <c r="N33" s="1675" t="n">
        <f aca="false">IF(AND($A33&gt;=N$16,MONTH($A33)=MONTH(N$16)),MAX(L33,M33)*N32,N32)</f>
        <v>1</v>
      </c>
      <c r="P33" s="1667" t="n">
        <f aca="false">HLOOKUP(P$14,Dec_Change,$K33)</f>
        <v>1</v>
      </c>
      <c r="Q33" s="1668" t="n">
        <f aca="false">Q32</f>
        <v>0</v>
      </c>
      <c r="R33" s="1675" t="n">
        <f aca="false">IF(AND($A33&gt;=R$16,MONTH($A33)=MONTH(R$16)),MAX(P33,Q33)*R32,R32)</f>
        <v>1</v>
      </c>
      <c r="T33" s="1667" t="n">
        <f aca="false">HLOOKUP(T$14,Dec_Change,$K33)</f>
        <v>1</v>
      </c>
      <c r="U33" s="1668" t="n">
        <f aca="false">U32</f>
        <v>1.005</v>
      </c>
      <c r="V33" s="1675" t="n">
        <f aca="false">IF(AND($A33&gt;=V$16,MONTH($A33)=MONTH(V$16)),MAX(T33,U33)*V32,V32)</f>
        <v>1</v>
      </c>
      <c r="X33" s="1667" t="n">
        <f aca="false">HLOOKUP(X$14,Dec_Change,$K33)</f>
        <v>1</v>
      </c>
      <c r="Y33" s="1668" t="n">
        <f aca="false">Y32</f>
        <v>1.02</v>
      </c>
      <c r="Z33" s="1675" t="n">
        <f aca="false">IF(AND($A33&gt;=Z$16,MONTH($A33)=MONTH(Z$16)),MAX(X33,Y33)*Z32,Z32)</f>
        <v>1</v>
      </c>
      <c r="AB33" s="1667" t="n">
        <f aca="false">HLOOKUP(AB$14,Dec_Change,$K33)</f>
        <v>1</v>
      </c>
      <c r="AC33" s="1668" t="n">
        <f aca="false">AC32</f>
        <v>1.02</v>
      </c>
      <c r="AD33" s="1675" t="n">
        <f aca="false">IF(AND($A33&gt;=AD$16,MONTH($A33)=MONTH(AD$16)),MAX(AB33,AC33)*AD32,AD32)</f>
        <v>1</v>
      </c>
      <c r="AF33" s="1667" t="n">
        <f aca="false">HLOOKUP(AF$14,Dec_Change,$K33)</f>
        <v>1</v>
      </c>
      <c r="AG33" s="1668" t="n">
        <f aca="false">AG32</f>
        <v>0</v>
      </c>
      <c r="AH33" s="1675" t="n">
        <f aca="false">IF(AND($A33&gt;=AH$16,MONTH($A33)=MONTH(AH$16)),MAX(AF33,AG33)*AH32,AH32)</f>
        <v>1</v>
      </c>
      <c r="AJ33" s="1667" t="n">
        <f aca="false">HLOOKUP(AJ$14,Dec_Change,$K33)</f>
        <v>1</v>
      </c>
      <c r="AK33" s="1668" t="n">
        <f aca="false">AK32</f>
        <v>1.02</v>
      </c>
      <c r="AL33" s="1675" t="n">
        <f aca="false">IF(AND($A33&gt;=AL$16,MONTH($A33)=MONTH(AL$16)),MAX(AJ33,AK33)*AL32,AL32)</f>
        <v>1</v>
      </c>
      <c r="AN33" s="1667" t="n">
        <f aca="false">HLOOKUP(AN$14,Dec_Change,$K33)</f>
        <v>1</v>
      </c>
      <c r="AO33" s="1668" t="n">
        <f aca="false">AO32</f>
        <v>1.005</v>
      </c>
      <c r="AP33" s="1675" t="n">
        <f aca="false">IF(AND($A33&gt;=AP$16,MONTH($A33)=MONTH(AP$16)),MAX(AN33,AO33)*AP32,AP32)</f>
        <v>1</v>
      </c>
      <c r="AR33" s="1670" t="n">
        <f aca="false">$A33</f>
        <v>35827</v>
      </c>
      <c r="AS33" s="1671" t="n">
        <f aca="false">IF(AND($A33&gt;=EDATE(AS$17,12),IF(Assm!$L$74=0,$D33,$E33)/AS32&gt;=1.05),IF(Assm!$L$74=0,$D33,$E33),AS32)</f>
        <v>1.065</v>
      </c>
      <c r="AT33" s="1671" t="n">
        <f aca="false">IF(AS33/AS32=1,AT32,AS33/AS32)</f>
        <v>1</v>
      </c>
      <c r="AU33" s="1671" t="n">
        <f aca="false">F33</f>
        <v>1</v>
      </c>
      <c r="AV33" s="1671" t="n">
        <f aca="false">MAX(AT33,AU33)</f>
        <v>1</v>
      </c>
      <c r="AW33" s="1675" t="n">
        <f aca="false">IF(AV33=AV32,AW32,AV33*AW32)</f>
        <v>1</v>
      </c>
    </row>
    <row r="34" customFormat="false" ht="12.75" hidden="false" customHeight="false" outlineLevel="0" collapsed="false">
      <c r="A34" s="1673" t="n">
        <f aca="false">EDATE(A33,1)</f>
        <v>35855</v>
      </c>
      <c r="B34" s="1659" t="n">
        <f aca="false">'[4]Monthly Curve Calc.'!B37</f>
        <v>146.406</v>
      </c>
      <c r="C34" s="1660" t="n">
        <f aca="false">'[4]Monthly Curve Calc.'!C37</f>
        <v>162.2</v>
      </c>
      <c r="D34" s="1661" t="n">
        <f aca="false">'[4]Monthly Curve Calc.'!F37</f>
        <v>1.137</v>
      </c>
      <c r="E34" s="1662" t="n">
        <f aca="false">IF($A34&lt;=E$16,D34,(B34/B33)/(C34/C33)*E33)</f>
        <v>1.09996562886319</v>
      </c>
      <c r="F34" s="1674" t="n">
        <f aca="false">IF(Assm!$L$75=0,F33,IF(AND($A34&gt;F$16,MONTH($A34)=MONTH(F$16)),B33/B21,F33))</f>
        <v>1</v>
      </c>
      <c r="G34" s="1668" t="n">
        <f aca="false">IF(Assm!$L$75=0,G33,IF(AND($A34&gt;G$16,MONTH($A34)=MONTH(G$16)),C33/C21,G33))</f>
        <v>1</v>
      </c>
      <c r="H34" s="1668" t="n">
        <f aca="false">IF(Assm!$L$75=0,H33,IF(AND($A34&gt;H$16,MONTH($A34)=MONTH(H$16)),C33/C21-H$18,H33))</f>
        <v>1</v>
      </c>
      <c r="I34" s="1668" t="n">
        <f aca="false">IF(Assm!$L$75=0,I33,IF($A34&gt;=I$16,IF(MONTH($A34)=MONTH(I$16),AVERAGE(D22:D33),I33),I33))</f>
        <v>1.0804</v>
      </c>
      <c r="J34" s="1675" t="n">
        <f aca="false">IF(Assm!$L$75=0,J33,IF($A34&gt;=J$16,IF(MONTH($A34)=MONTH(J$16),AVERAGE(E22:E33),J33),J33))</f>
        <v>1.0693297862449</v>
      </c>
      <c r="K34" s="1624" t="n">
        <f aca="false">K33+1</f>
        <v>22</v>
      </c>
      <c r="L34" s="1667" t="n">
        <f aca="false">HLOOKUP(L$14,Dec_Change,$K34)</f>
        <v>1</v>
      </c>
      <c r="M34" s="1668" t="n">
        <f aca="false">M33</f>
        <v>0</v>
      </c>
      <c r="N34" s="1675" t="n">
        <f aca="false">IF(AND($A34&gt;=N$16,MONTH($A34)=MONTH(N$16)),MAX(L34,M34)*N33,N33)</f>
        <v>1</v>
      </c>
      <c r="P34" s="1667" t="n">
        <f aca="false">HLOOKUP(P$14,Dec_Change,$K34)</f>
        <v>1</v>
      </c>
      <c r="Q34" s="1668" t="n">
        <f aca="false">Q33</f>
        <v>0</v>
      </c>
      <c r="R34" s="1675" t="n">
        <f aca="false">IF(AND($A34&gt;=R$16,MONTH($A34)=MONTH(R$16)),MAX(P34,Q34)*R33,R33)</f>
        <v>1</v>
      </c>
      <c r="T34" s="1667" t="n">
        <f aca="false">HLOOKUP(T$14,Dec_Change,$K34)</f>
        <v>1</v>
      </c>
      <c r="U34" s="1668" t="n">
        <f aca="false">U33</f>
        <v>1.005</v>
      </c>
      <c r="V34" s="1675" t="n">
        <f aca="false">IF(AND($A34&gt;=V$16,MONTH($A34)=MONTH(V$16)),MAX(T34,U34)*V33,V33)</f>
        <v>1</v>
      </c>
      <c r="X34" s="1667" t="n">
        <f aca="false">HLOOKUP(X$14,Dec_Change,$K34)</f>
        <v>1</v>
      </c>
      <c r="Y34" s="1668" t="n">
        <f aca="false">Y33</f>
        <v>1.02</v>
      </c>
      <c r="Z34" s="1675" t="n">
        <f aca="false">IF(AND($A34&gt;=Z$16,MONTH($A34)=MONTH(Z$16)),MAX(X34,Y34)*Z33,Z33)</f>
        <v>1</v>
      </c>
      <c r="AB34" s="1667" t="n">
        <f aca="false">HLOOKUP(AB$14,Dec_Change,$K34)</f>
        <v>1</v>
      </c>
      <c r="AC34" s="1668" t="n">
        <f aca="false">AC33</f>
        <v>1.02</v>
      </c>
      <c r="AD34" s="1675" t="n">
        <f aca="false">IF(AND($A34&gt;=AD$16,MONTH($A34)=MONTH(AD$16)),MAX(AB34,AC34)*AD33,AD33)</f>
        <v>1</v>
      </c>
      <c r="AF34" s="1667" t="n">
        <f aca="false">HLOOKUP(AF$14,Dec_Change,$K34)</f>
        <v>1</v>
      </c>
      <c r="AG34" s="1668" t="n">
        <f aca="false">AG33</f>
        <v>0</v>
      </c>
      <c r="AH34" s="1675" t="n">
        <f aca="false">IF(AND($A34&gt;=AH$16,MONTH($A34)=MONTH(AH$16)),MAX(AF34,AG34)*AH33,AH33)</f>
        <v>1</v>
      </c>
      <c r="AJ34" s="1667" t="n">
        <f aca="false">HLOOKUP(AJ$14,Dec_Change,$K34)</f>
        <v>1</v>
      </c>
      <c r="AK34" s="1668" t="n">
        <f aca="false">AK33</f>
        <v>1.02</v>
      </c>
      <c r="AL34" s="1675" t="n">
        <f aca="false">IF(AND($A34&gt;=AL$16,MONTH($A34)=MONTH(AL$16)),MAX(AJ34,AK34)*AL33,AL33)</f>
        <v>1</v>
      </c>
      <c r="AN34" s="1667" t="n">
        <f aca="false">HLOOKUP(AN$14,Dec_Change,$K34)</f>
        <v>1</v>
      </c>
      <c r="AO34" s="1668" t="n">
        <f aca="false">AO33</f>
        <v>1.005</v>
      </c>
      <c r="AP34" s="1675" t="n">
        <f aca="false">IF(AND($A34&gt;=AP$16,MONTH($A34)=MONTH(AP$16)),MAX(AN34,AO34)*AP33,AP33)</f>
        <v>1</v>
      </c>
      <c r="AR34" s="1670" t="n">
        <f aca="false">$A34</f>
        <v>35855</v>
      </c>
      <c r="AS34" s="1671" t="n">
        <f aca="false">IF(AND($A34&gt;=EDATE(AS$17,12),IF(Assm!$L$74=0,$D34,$E34)/AS33&gt;=1.05),IF(Assm!$L$74=0,$D34,$E34),AS33)</f>
        <v>1.065</v>
      </c>
      <c r="AT34" s="1671" t="n">
        <f aca="false">IF(AS34/AS33=1,AT33,AS34/AS33)</f>
        <v>1</v>
      </c>
      <c r="AU34" s="1671" t="n">
        <f aca="false">F34</f>
        <v>1</v>
      </c>
      <c r="AV34" s="1671" t="n">
        <f aca="false">MAX(AT34,AU34)</f>
        <v>1</v>
      </c>
      <c r="AW34" s="1675" t="n">
        <f aca="false">IF(AV34=AV33,AW33,AV34*AW33)</f>
        <v>1</v>
      </c>
    </row>
    <row r="35" customFormat="false" ht="12.75" hidden="false" customHeight="false" outlineLevel="0" collapsed="false">
      <c r="A35" s="1673" t="n">
        <f aca="false">EDATE(A34,1)</f>
        <v>35886</v>
      </c>
      <c r="B35" s="1659" t="n">
        <f aca="false">'[4]Monthly Curve Calc.'!B38</f>
        <v>146.211</v>
      </c>
      <c r="C35" s="1660" t="n">
        <f aca="false">'[4]Monthly Curve Calc.'!C38</f>
        <v>162.5</v>
      </c>
      <c r="D35" s="1661" t="n">
        <f aca="false">'[4]Monthly Curve Calc.'!F38</f>
        <v>1.1443</v>
      </c>
      <c r="E35" s="1662" t="n">
        <f aca="false">IF($A35&lt;=E$16,D35,(B35/B34)/(C35/C34)*E34)</f>
        <v>1.09647256969966</v>
      </c>
      <c r="F35" s="1674" t="n">
        <f aca="false">IF(Assm!$L$75=0,F34,IF(AND($A35&gt;F$16,MONTH($A35)=MONTH(F$16)),B34/B22,F34))</f>
        <v>1</v>
      </c>
      <c r="G35" s="1668" t="n">
        <f aca="false">IF(Assm!$L$75=0,G34,IF(AND($A35&gt;G$16,MONTH($A35)=MONTH(G$16)),C34/C22,G34))</f>
        <v>1</v>
      </c>
      <c r="H35" s="1668" t="n">
        <f aca="false">IF(Assm!$L$75=0,H34,IF(AND($A35&gt;H$16,MONTH($A35)=MONTH(H$16)),C34/C22-H$18,H34))</f>
        <v>1</v>
      </c>
      <c r="I35" s="1668" t="n">
        <f aca="false">IF(Assm!$L$75=0,I34,IF($A35&gt;=I$16,IF(MONTH($A35)=MONTH(I$16),AVERAGE(D23:D34),I34),I34))</f>
        <v>1.0804</v>
      </c>
      <c r="J35" s="1675" t="n">
        <f aca="false">IF(Assm!$L$75=0,J34,IF($A35&gt;=J$16,IF(MONTH($A35)=MONTH(J$16),AVERAGE(E23:E34),J34),J34))</f>
        <v>1.0693297862449</v>
      </c>
      <c r="K35" s="1624" t="n">
        <f aca="false">K34+1</f>
        <v>23</v>
      </c>
      <c r="L35" s="1667" t="n">
        <f aca="false">HLOOKUP(L$14,Dec_Change,$K35)</f>
        <v>1</v>
      </c>
      <c r="M35" s="1668" t="n">
        <f aca="false">M34</f>
        <v>0</v>
      </c>
      <c r="N35" s="1675" t="n">
        <f aca="false">IF(AND($A35&gt;=N$16,MONTH($A35)=MONTH(N$16)),MAX(L35,M35)*N34,N34)</f>
        <v>1</v>
      </c>
      <c r="P35" s="1667" t="n">
        <f aca="false">HLOOKUP(P$14,Dec_Change,$K35)</f>
        <v>1</v>
      </c>
      <c r="Q35" s="1668" t="n">
        <f aca="false">Q34</f>
        <v>0</v>
      </c>
      <c r="R35" s="1675" t="n">
        <f aca="false">IF(AND($A35&gt;=R$16,MONTH($A35)=MONTH(R$16)),MAX(P35,Q35)*R34,R34)</f>
        <v>1</v>
      </c>
      <c r="T35" s="1667" t="n">
        <f aca="false">HLOOKUP(T$14,Dec_Change,$K35)</f>
        <v>1</v>
      </c>
      <c r="U35" s="1668" t="n">
        <f aca="false">U34</f>
        <v>1.005</v>
      </c>
      <c r="V35" s="1675" t="n">
        <f aca="false">IF(AND($A35&gt;=V$16,MONTH($A35)=MONTH(V$16)),MAX(T35,U35)*V34,V34)</f>
        <v>1</v>
      </c>
      <c r="X35" s="1667" t="n">
        <f aca="false">HLOOKUP(X$14,Dec_Change,$K35)</f>
        <v>1</v>
      </c>
      <c r="Y35" s="1668" t="n">
        <f aca="false">Y34</f>
        <v>1.02</v>
      </c>
      <c r="Z35" s="1675" t="n">
        <f aca="false">IF(AND($A35&gt;=Z$16,MONTH($A35)=MONTH(Z$16)),MAX(X35,Y35)*Z34,Z34)</f>
        <v>1</v>
      </c>
      <c r="AB35" s="1667" t="n">
        <f aca="false">HLOOKUP(AB$14,Dec_Change,$K35)</f>
        <v>1</v>
      </c>
      <c r="AC35" s="1668" t="n">
        <f aca="false">AC34</f>
        <v>1.02</v>
      </c>
      <c r="AD35" s="1675" t="n">
        <f aca="false">IF(AND($A35&gt;=AD$16,MONTH($A35)=MONTH(AD$16)),MAX(AB35,AC35)*AD34,AD34)</f>
        <v>1</v>
      </c>
      <c r="AF35" s="1667" t="n">
        <f aca="false">HLOOKUP(AF$14,Dec_Change,$K35)</f>
        <v>1</v>
      </c>
      <c r="AG35" s="1668" t="n">
        <f aca="false">AG34</f>
        <v>0</v>
      </c>
      <c r="AH35" s="1675" t="n">
        <f aca="false">IF(AND($A35&gt;=AH$16,MONTH($A35)=MONTH(AH$16)),MAX(AF35,AG35)*AH34,AH34)</f>
        <v>1</v>
      </c>
      <c r="AJ35" s="1667" t="n">
        <f aca="false">HLOOKUP(AJ$14,Dec_Change,$K35)</f>
        <v>1</v>
      </c>
      <c r="AK35" s="1668" t="n">
        <f aca="false">AK34</f>
        <v>1.02</v>
      </c>
      <c r="AL35" s="1675" t="n">
        <f aca="false">IF(AND($A35&gt;=AL$16,MONTH($A35)=MONTH(AL$16)),MAX(AJ35,AK35)*AL34,AL34)</f>
        <v>1</v>
      </c>
      <c r="AN35" s="1667" t="n">
        <f aca="false">HLOOKUP(AN$14,Dec_Change,$K35)</f>
        <v>1</v>
      </c>
      <c r="AO35" s="1668" t="n">
        <f aca="false">AO34</f>
        <v>1.005</v>
      </c>
      <c r="AP35" s="1675" t="n">
        <f aca="false">IF(AND($A35&gt;=AP$16,MONTH($A35)=MONTH(AP$16)),MAX(AN35,AO35)*AP34,AP34)</f>
        <v>1</v>
      </c>
      <c r="AR35" s="1670" t="n">
        <f aca="false">$A35</f>
        <v>35886</v>
      </c>
      <c r="AS35" s="1671" t="n">
        <f aca="false">IF(AND($A35&gt;=EDATE(AS$17,12),IF(Assm!$L$74=0,$D35,$E35)/AS34&gt;=1.05),IF(Assm!$L$74=0,$D35,$E35),AS34)</f>
        <v>1.065</v>
      </c>
      <c r="AT35" s="1671" t="n">
        <f aca="false">IF(AS35/AS34=1,AT34,AS35/AS34)</f>
        <v>1</v>
      </c>
      <c r="AU35" s="1671" t="n">
        <f aca="false">F35</f>
        <v>1</v>
      </c>
      <c r="AV35" s="1671" t="n">
        <f aca="false">MAX(AT35,AU35)</f>
        <v>1</v>
      </c>
      <c r="AW35" s="1675" t="n">
        <f aca="false">IF(AV35=AV34,AW34,AV35*AW34)</f>
        <v>1</v>
      </c>
    </row>
    <row r="36" customFormat="false" ht="12.75" hidden="false" customHeight="false" outlineLevel="0" collapsed="false">
      <c r="A36" s="1673" t="n">
        <f aca="false">EDATE(A35,1)</f>
        <v>35916</v>
      </c>
      <c r="B36" s="1659" t="n">
        <f aca="false">'[4]Monthly Curve Calc.'!B39</f>
        <v>146.544</v>
      </c>
      <c r="C36" s="1660" t="n">
        <f aca="false">'[4]Monthly Curve Calc.'!C39</f>
        <v>162.8</v>
      </c>
      <c r="D36" s="1661" t="n">
        <f aca="false">'[4]Monthly Curve Calc.'!F39</f>
        <v>1.1501</v>
      </c>
      <c r="E36" s="1662" t="n">
        <f aca="false">IF($A36&lt;=E$16,D36,(B36/B35)/(C36/C35)*E35)</f>
        <v>1.09694469067036</v>
      </c>
      <c r="F36" s="1674" t="n">
        <f aca="false">IF(Assm!$L$75=0,F35,IF(AND($A36&gt;F$16,MONTH($A36)=MONTH(F$16)),B35/B23,F35))</f>
        <v>1.04580600399122</v>
      </c>
      <c r="G36" s="1668" t="n">
        <f aca="false">IF(Assm!$L$75=0,G35,IF(AND($A36&gt;G$16,MONTH($A36)=MONTH(G$16)),C35/C23,G35))</f>
        <v>1.0143570536829</v>
      </c>
      <c r="H36" s="1668" t="n">
        <f aca="false">IF(Assm!$L$75=0,H35,IF(AND($A36&gt;H$16,MONTH($A36)=MONTH(H$16)),C35/C23-H$18,H35))</f>
        <v>1.0118570536829</v>
      </c>
      <c r="I36" s="1668" t="n">
        <f aca="false">IF(Assm!$L$75=0,I35,IF($A36&gt;=I$16,IF(MONTH($A36)=MONTH(I$16),AVERAGE(D24:D35),I35),I35))</f>
        <v>1.0804</v>
      </c>
      <c r="J36" s="1675" t="n">
        <f aca="false">IF(Assm!$L$75=0,J35,IF($A36&gt;=J$16,IF(MONTH($A36)=MONTH(J$16),AVERAGE(E24:E35),J35),J35))</f>
        <v>1.0693297862449</v>
      </c>
      <c r="K36" s="1624" t="n">
        <f aca="false">K35+1</f>
        <v>24</v>
      </c>
      <c r="L36" s="1667" t="n">
        <f aca="false">HLOOKUP(L$14,Dec_Change,$K36)</f>
        <v>1.0143570536829</v>
      </c>
      <c r="M36" s="1668" t="n">
        <f aca="false">M35</f>
        <v>0</v>
      </c>
      <c r="N36" s="1675" t="n">
        <f aca="false">IF(AND($A36&gt;=N$16,MONTH($A36)=MONTH(N$16)),MAX(L36,M36)*N35,N35)</f>
        <v>1.0143570536829</v>
      </c>
      <c r="P36" s="1667" t="n">
        <f aca="false">HLOOKUP(P$14,Dec_Change,$K36)</f>
        <v>1.04580600399122</v>
      </c>
      <c r="Q36" s="1668" t="n">
        <f aca="false">Q35</f>
        <v>0</v>
      </c>
      <c r="R36" s="1675" t="n">
        <f aca="false">IF(AND($A36&gt;=R$16,MONTH($A36)=MONTH(R$16)),MAX(P36,Q36)*R35,R35)</f>
        <v>1.04580600399122</v>
      </c>
      <c r="T36" s="1667" t="n">
        <f aca="false">HLOOKUP(T$14,Dec_Change,$K36)</f>
        <v>1.0143570536829</v>
      </c>
      <c r="U36" s="1668" t="n">
        <f aca="false">U35</f>
        <v>1.005</v>
      </c>
      <c r="V36" s="1675" t="n">
        <f aca="false">IF(AND($A36&gt;=V$16,MONTH($A36)=MONTH(V$16)),MAX(T36,U36)*V35,V35)</f>
        <v>1.0143570536829</v>
      </c>
      <c r="X36" s="1667" t="n">
        <f aca="false">HLOOKUP(X$14,Dec_Change,$K36)</f>
        <v>1.0118570536829</v>
      </c>
      <c r="Y36" s="1668" t="n">
        <f aca="false">Y35</f>
        <v>1.02</v>
      </c>
      <c r="Z36" s="1675" t="n">
        <f aca="false">IF(AND($A36&gt;=Z$16,MONTH($A36)=MONTH(Z$16)),MAX(X36,Y36)*Z35,Z35)</f>
        <v>1.02</v>
      </c>
      <c r="AB36" s="1667" t="n">
        <f aca="false">HLOOKUP(AB$14,Dec_Change,$K36)</f>
        <v>1.0118570536829</v>
      </c>
      <c r="AC36" s="1668" t="n">
        <f aca="false">AC35</f>
        <v>1.02</v>
      </c>
      <c r="AD36" s="1675" t="n">
        <f aca="false">IF(AND($A36&gt;=AD$16,MONTH($A36)=MONTH(AD$16)),MAX(AB36,AC36)*AD35,AD35)</f>
        <v>1.02</v>
      </c>
      <c r="AF36" s="1667" t="n">
        <f aca="false">HLOOKUP(AF$14,Dec_Change,$K36)</f>
        <v>1.04580600399122</v>
      </c>
      <c r="AG36" s="1668" t="n">
        <f aca="false">AG35</f>
        <v>0</v>
      </c>
      <c r="AH36" s="1675" t="n">
        <f aca="false">IF(AND($A36&gt;=AH$16,MONTH($A36)=MONTH(AH$16)),MAX(AF36,AG36)*AH35,AH35)</f>
        <v>1.04580600399122</v>
      </c>
      <c r="AJ36" s="1667" t="n">
        <f aca="false">HLOOKUP(AJ$14,Dec_Change,$K36)</f>
        <v>1.0118570536829</v>
      </c>
      <c r="AK36" s="1668" t="n">
        <f aca="false">AK35</f>
        <v>1.02</v>
      </c>
      <c r="AL36" s="1675" t="n">
        <f aca="false">IF(AND($A36&gt;=AL$16,MONTH($A36)=MONTH(AL$16)),MAX(AJ36,AK36)*AL35,AL35)</f>
        <v>1.02</v>
      </c>
      <c r="AN36" s="1667" t="n">
        <f aca="false">HLOOKUP(AN$14,Dec_Change,$K36)</f>
        <v>1.0143570536829</v>
      </c>
      <c r="AO36" s="1668" t="n">
        <f aca="false">AO35</f>
        <v>1.005</v>
      </c>
      <c r="AP36" s="1675" t="n">
        <f aca="false">IF(AND($A36&gt;=AP$16,MONTH($A36)=MONTH(AP$16)),MAX(AN36,AO36)*AP35,AP35)</f>
        <v>1.0143570536829</v>
      </c>
      <c r="AR36" s="1670" t="n">
        <f aca="false">$A36</f>
        <v>35916</v>
      </c>
      <c r="AS36" s="1671" t="n">
        <f aca="false">IF(AND($A36&gt;=EDATE(AS$17,12),IF(Assm!$L$74=0,$D36,$E36)/AS35&gt;=1.05),IF(Assm!$L$74=0,$D36,$E36),AS35)</f>
        <v>1.1501</v>
      </c>
      <c r="AT36" s="1671" t="n">
        <f aca="false">IF(AS36/AS35=1,AT35,AS36/AS35)</f>
        <v>1.07990610328639</v>
      </c>
      <c r="AU36" s="1671" t="n">
        <f aca="false">F36</f>
        <v>1.04580600399122</v>
      </c>
      <c r="AV36" s="1671" t="n">
        <f aca="false">MAX(AT36,AU36)</f>
        <v>1.07990610328639</v>
      </c>
      <c r="AW36" s="1675" t="n">
        <f aca="false">IF(AV36=AV35,AW35,AV36*AW35)</f>
        <v>1.07990610328639</v>
      </c>
    </row>
    <row r="37" customFormat="false" ht="12.75" hidden="false" customHeight="false" outlineLevel="0" collapsed="false">
      <c r="A37" s="1673" t="n">
        <f aca="false">EDATE(A36,1)</f>
        <v>35947</v>
      </c>
      <c r="B37" s="1659" t="n">
        <f aca="false">'[4]Monthly Curve Calc.'!B40</f>
        <v>146.951</v>
      </c>
      <c r="C37" s="1660" t="n">
        <f aca="false">'[4]Monthly Curve Calc.'!C40</f>
        <v>163</v>
      </c>
      <c r="D37" s="1661" t="n">
        <f aca="false">'[4]Monthly Curve Calc.'!F40</f>
        <v>1.1565</v>
      </c>
      <c r="E37" s="1662" t="n">
        <f aca="false">IF($A37&lt;=E$16,D37,(B37/B36)/(C37/C36)*E36)</f>
        <v>1.09864157769907</v>
      </c>
      <c r="F37" s="1674" t="n">
        <f aca="false">IF(Assm!$L$75=0,F36,IF(AND($A37&gt;F$16,MONTH($A37)=MONTH(F$16)),B36/B24,F36))</f>
        <v>1.04580600399122</v>
      </c>
      <c r="G37" s="1668" t="n">
        <f aca="false">IF(Assm!$L$75=0,G36,IF(AND($A37&gt;G$16,MONTH($A37)=MONTH(G$16)),C36/C24,G36))</f>
        <v>1.0143570536829</v>
      </c>
      <c r="H37" s="1668" t="n">
        <f aca="false">IF(Assm!$L$75=0,H36,IF(AND($A37&gt;H$16,MONTH($A37)=MONTH(H$16)),C36/C24-H$18,H36))</f>
        <v>1.0118570536829</v>
      </c>
      <c r="I37" s="1668" t="n">
        <f aca="false">IF(Assm!$L$75=0,I36,IF($A37&gt;=I$16,IF(MONTH($A37)=MONTH(I$16),AVERAGE(D25:D36),I36),I36))</f>
        <v>1.0804</v>
      </c>
      <c r="J37" s="1675" t="n">
        <f aca="false">IF(Assm!$L$75=0,J36,IF($A37&gt;=J$16,IF(MONTH($A37)=MONTH(J$16),AVERAGE(E25:E36),J36),J36))</f>
        <v>1.0693297862449</v>
      </c>
      <c r="K37" s="1624" t="n">
        <f aca="false">K36+1</f>
        <v>25</v>
      </c>
      <c r="L37" s="1667" t="n">
        <f aca="false">HLOOKUP(L$14,Dec_Change,$K37)</f>
        <v>1.0143570536829</v>
      </c>
      <c r="M37" s="1668" t="n">
        <f aca="false">M36</f>
        <v>0</v>
      </c>
      <c r="N37" s="1675" t="n">
        <f aca="false">IF(AND($A37&gt;=N$16,MONTH($A37)=MONTH(N$16)),MAX(L37,M37)*N36,N36)</f>
        <v>1.0143570536829</v>
      </c>
      <c r="P37" s="1667" t="n">
        <f aca="false">HLOOKUP(P$14,Dec_Change,$K37)</f>
        <v>1.04580600399122</v>
      </c>
      <c r="Q37" s="1668" t="n">
        <f aca="false">Q36</f>
        <v>0</v>
      </c>
      <c r="R37" s="1675" t="n">
        <f aca="false">IF(AND($A37&gt;=R$16,MONTH($A37)=MONTH(R$16)),MAX(P37,Q37)*R36,R36)</f>
        <v>1.04580600399122</v>
      </c>
      <c r="T37" s="1667" t="n">
        <f aca="false">HLOOKUP(T$14,Dec_Change,$K37)</f>
        <v>1.0143570536829</v>
      </c>
      <c r="U37" s="1668" t="n">
        <f aca="false">U36</f>
        <v>1.005</v>
      </c>
      <c r="V37" s="1675" t="n">
        <f aca="false">IF(AND($A37&gt;=V$16,MONTH($A37)=MONTH(V$16)),MAX(T37,U37)*V36,V36)</f>
        <v>1.0143570536829</v>
      </c>
      <c r="X37" s="1667" t="n">
        <f aca="false">HLOOKUP(X$14,Dec_Change,$K37)</f>
        <v>1.0118570536829</v>
      </c>
      <c r="Y37" s="1668" t="n">
        <f aca="false">Y36</f>
        <v>1.02</v>
      </c>
      <c r="Z37" s="1675" t="n">
        <f aca="false">IF(AND($A37&gt;=Z$16,MONTH($A37)=MONTH(Z$16)),MAX(X37,Y37)*Z36,Z36)</f>
        <v>1.02</v>
      </c>
      <c r="AB37" s="1667" t="n">
        <f aca="false">HLOOKUP(AB$14,Dec_Change,$K37)</f>
        <v>1.0118570536829</v>
      </c>
      <c r="AC37" s="1668" t="n">
        <f aca="false">AC36</f>
        <v>1.02</v>
      </c>
      <c r="AD37" s="1675" t="n">
        <f aca="false">IF(AND($A37&gt;=AD$16,MONTH($A37)=MONTH(AD$16)),MAX(AB37,AC37)*AD36,AD36)</f>
        <v>1.02</v>
      </c>
      <c r="AF37" s="1667" t="n">
        <f aca="false">HLOOKUP(AF$14,Dec_Change,$K37)</f>
        <v>1.04580600399122</v>
      </c>
      <c r="AG37" s="1668" t="n">
        <f aca="false">AG36</f>
        <v>0</v>
      </c>
      <c r="AH37" s="1675" t="n">
        <f aca="false">IF(AND($A37&gt;=AH$16,MONTH($A37)=MONTH(AH$16)),MAX(AF37,AG37)*AH36,AH36)</f>
        <v>1.04580600399122</v>
      </c>
      <c r="AJ37" s="1667" t="n">
        <f aca="false">HLOOKUP(AJ$14,Dec_Change,$K37)</f>
        <v>1.0118570536829</v>
      </c>
      <c r="AK37" s="1668" t="n">
        <f aca="false">AK36</f>
        <v>1.02</v>
      </c>
      <c r="AL37" s="1675" t="n">
        <f aca="false">IF(AND($A37&gt;=AL$16,MONTH($A37)=MONTH(AL$16)),MAX(AJ37,AK37)*AL36,AL36)</f>
        <v>1.02</v>
      </c>
      <c r="AN37" s="1667" t="n">
        <f aca="false">HLOOKUP(AN$14,Dec_Change,$K37)</f>
        <v>1.0143570536829</v>
      </c>
      <c r="AO37" s="1668" t="n">
        <f aca="false">AO36</f>
        <v>1.005</v>
      </c>
      <c r="AP37" s="1675" t="n">
        <f aca="false">IF(AND($A37&gt;=AP$16,MONTH($A37)=MONTH(AP$16)),MAX(AN37,AO37)*AP36,AP36)</f>
        <v>1.0143570536829</v>
      </c>
      <c r="AR37" s="1670" t="n">
        <f aca="false">$A37</f>
        <v>35947</v>
      </c>
      <c r="AS37" s="1671" t="n">
        <f aca="false">IF(AND($A37&gt;=EDATE(AS$17,12),IF(Assm!$L$74=0,$D37,$E37)/AS36&gt;=1.05),IF(Assm!$L$74=0,$D37,$E37),AS36)</f>
        <v>1.1501</v>
      </c>
      <c r="AT37" s="1671" t="n">
        <f aca="false">IF(AS37/AS36=1,AT36,AS37/AS36)</f>
        <v>1.07990610328639</v>
      </c>
      <c r="AU37" s="1671" t="n">
        <f aca="false">F37</f>
        <v>1.04580600399122</v>
      </c>
      <c r="AV37" s="1671" t="n">
        <f aca="false">MAX(AT37,AU37)</f>
        <v>1.07990610328639</v>
      </c>
      <c r="AW37" s="1675" t="n">
        <f aca="false">IF(AV37=AV36,AW36,AV37*AW36)</f>
        <v>1.07990610328639</v>
      </c>
    </row>
    <row r="38" customFormat="false" ht="12.75" hidden="false" customHeight="false" outlineLevel="0" collapsed="false">
      <c r="A38" s="1673" t="n">
        <f aca="false">EDATE(A37,1)</f>
        <v>35977</v>
      </c>
      <c r="B38" s="1659" t="n">
        <f aca="false">'[4]Monthly Curve Calc.'!B41</f>
        <v>146.39</v>
      </c>
      <c r="C38" s="1660" t="n">
        <f aca="false">'[4]Monthly Curve Calc.'!C41</f>
        <v>163.2</v>
      </c>
      <c r="D38" s="1661" t="n">
        <f aca="false">'[4]Monthly Curve Calc.'!F41</f>
        <v>1.163</v>
      </c>
      <c r="E38" s="1662" t="n">
        <f aca="false">IF($A38&lt;=E$16,D38,(B38/B37)/(C38/C37)*E37)</f>
        <v>1.09310617007627</v>
      </c>
      <c r="F38" s="1674" t="n">
        <f aca="false">IF(Assm!$L$75=0,F37,IF(AND($A38&gt;F$16,MONTH($A38)=MONTH(F$16)),B37/B25,F37))</f>
        <v>1.04580600399122</v>
      </c>
      <c r="G38" s="1668" t="n">
        <f aca="false">IF(Assm!$L$75=0,G37,IF(AND($A38&gt;G$16,MONTH($A38)=MONTH(G$16)),C37/C25,G37))</f>
        <v>1.0143570536829</v>
      </c>
      <c r="H38" s="1668" t="n">
        <f aca="false">IF(Assm!$L$75=0,H37,IF(AND($A38&gt;H$16,MONTH($A38)=MONTH(H$16)),C37/C25-H$18,H37))</f>
        <v>1.0118570536829</v>
      </c>
      <c r="I38" s="1668" t="n">
        <f aca="false">IF(Assm!$L$75=0,I37,IF($A38&gt;=I$16,IF(MONTH($A38)=MONTH(I$16),AVERAGE(D26:D37),I37),I37))</f>
        <v>1.0804</v>
      </c>
      <c r="J38" s="1675" t="n">
        <f aca="false">IF(Assm!$L$75=0,J37,IF($A38&gt;=J$16,IF(MONTH($A38)=MONTH(J$16),AVERAGE(E26:E37),J37),J37))</f>
        <v>1.0693297862449</v>
      </c>
      <c r="K38" s="1624" t="n">
        <f aca="false">K37+1</f>
        <v>26</v>
      </c>
      <c r="L38" s="1667" t="n">
        <f aca="false">HLOOKUP(L$14,Dec_Change,$K38)</f>
        <v>1.0143570536829</v>
      </c>
      <c r="M38" s="1668" t="n">
        <f aca="false">M37</f>
        <v>0</v>
      </c>
      <c r="N38" s="1675" t="n">
        <f aca="false">IF(AND($A38&gt;=N$16,MONTH($A38)=MONTH(N$16)),MAX(L38,M38)*N37,N37)</f>
        <v>1.0143570536829</v>
      </c>
      <c r="P38" s="1667" t="n">
        <f aca="false">HLOOKUP(P$14,Dec_Change,$K38)</f>
        <v>1.04580600399122</v>
      </c>
      <c r="Q38" s="1668" t="n">
        <f aca="false">Q37</f>
        <v>0</v>
      </c>
      <c r="R38" s="1675" t="n">
        <f aca="false">IF(AND($A38&gt;=R$16,MONTH($A38)=MONTH(R$16)),MAX(P38,Q38)*R37,R37)</f>
        <v>1.04580600399122</v>
      </c>
      <c r="T38" s="1667" t="n">
        <f aca="false">HLOOKUP(T$14,Dec_Change,$K38)</f>
        <v>1.0143570536829</v>
      </c>
      <c r="U38" s="1668" t="n">
        <f aca="false">U37</f>
        <v>1.005</v>
      </c>
      <c r="V38" s="1675" t="n">
        <f aca="false">IF(AND($A38&gt;=V$16,MONTH($A38)=MONTH(V$16)),MAX(T38,U38)*V37,V37)</f>
        <v>1.0143570536829</v>
      </c>
      <c r="X38" s="1667" t="n">
        <f aca="false">HLOOKUP(X$14,Dec_Change,$K38)</f>
        <v>1.0118570536829</v>
      </c>
      <c r="Y38" s="1668" t="n">
        <f aca="false">Y37</f>
        <v>1.02</v>
      </c>
      <c r="Z38" s="1675" t="n">
        <f aca="false">IF(AND($A38&gt;=Z$16,MONTH($A38)=MONTH(Z$16)),MAX(X38,Y38)*Z37,Z37)</f>
        <v>1.02</v>
      </c>
      <c r="AB38" s="1667" t="n">
        <f aca="false">HLOOKUP(AB$14,Dec_Change,$K38)</f>
        <v>1.0118570536829</v>
      </c>
      <c r="AC38" s="1668" t="n">
        <f aca="false">AC37</f>
        <v>1.02</v>
      </c>
      <c r="AD38" s="1675" t="n">
        <f aca="false">IF(AND($A38&gt;=AD$16,MONTH($A38)=MONTH(AD$16)),MAX(AB38,AC38)*AD37,AD37)</f>
        <v>1.02</v>
      </c>
      <c r="AF38" s="1667" t="n">
        <f aca="false">HLOOKUP(AF$14,Dec_Change,$K38)</f>
        <v>1.04580600399122</v>
      </c>
      <c r="AG38" s="1668" t="n">
        <f aca="false">AG37</f>
        <v>0</v>
      </c>
      <c r="AH38" s="1675" t="n">
        <f aca="false">IF(AND($A38&gt;=AH$16,MONTH($A38)=MONTH(AH$16)),MAX(AF38,AG38)*AH37,AH37)</f>
        <v>1.04580600399122</v>
      </c>
      <c r="AJ38" s="1667" t="n">
        <f aca="false">HLOOKUP(AJ$14,Dec_Change,$K38)</f>
        <v>1.0118570536829</v>
      </c>
      <c r="AK38" s="1668" t="n">
        <f aca="false">AK37</f>
        <v>1.02</v>
      </c>
      <c r="AL38" s="1675" t="n">
        <f aca="false">IF(AND($A38&gt;=AL$16,MONTH($A38)=MONTH(AL$16)),MAX(AJ38,AK38)*AL37,AL37)</f>
        <v>1.02</v>
      </c>
      <c r="AN38" s="1667" t="n">
        <f aca="false">HLOOKUP(AN$14,Dec_Change,$K38)</f>
        <v>1.0143570536829</v>
      </c>
      <c r="AO38" s="1668" t="n">
        <f aca="false">AO37</f>
        <v>1.005</v>
      </c>
      <c r="AP38" s="1675" t="n">
        <f aca="false">IF(AND($A38&gt;=AP$16,MONTH($A38)=MONTH(AP$16)),MAX(AN38,AO38)*AP37,AP37)</f>
        <v>1.0143570536829</v>
      </c>
      <c r="AR38" s="1670" t="n">
        <f aca="false">$A38</f>
        <v>35977</v>
      </c>
      <c r="AS38" s="1671" t="n">
        <f aca="false">IF(AND($A38&gt;=EDATE(AS$17,12),IF(Assm!$L$74=0,$D38,$E38)/AS37&gt;=1.05),IF(Assm!$L$74=0,$D38,$E38),AS37)</f>
        <v>1.1501</v>
      </c>
      <c r="AT38" s="1671" t="n">
        <f aca="false">IF(AS38/AS37=1,AT37,AS38/AS37)</f>
        <v>1.07990610328639</v>
      </c>
      <c r="AU38" s="1671" t="n">
        <f aca="false">F38</f>
        <v>1.04580600399122</v>
      </c>
      <c r="AV38" s="1671" t="n">
        <f aca="false">MAX(AT38,AU38)</f>
        <v>1.07990610328639</v>
      </c>
      <c r="AW38" s="1675" t="n">
        <f aca="false">IF(AV38=AV37,AW37,AV38*AW37)</f>
        <v>1.07990610328639</v>
      </c>
    </row>
    <row r="39" customFormat="false" ht="12.75" hidden="false" customHeight="false" outlineLevel="0" collapsed="false">
      <c r="A39" s="1673" t="n">
        <f aca="false">EDATE(A38,1)</f>
        <v>36008</v>
      </c>
      <c r="B39" s="1659" t="n">
        <f aca="false">'[4]Monthly Curve Calc.'!B42</f>
        <v>146.144</v>
      </c>
      <c r="C39" s="1660" t="n">
        <f aca="false">'[4]Monthly Curve Calc.'!C42</f>
        <v>163.4</v>
      </c>
      <c r="D39" s="1661" t="n">
        <f aca="false">'[4]Monthly Curve Calc.'!F42</f>
        <v>1.1765</v>
      </c>
      <c r="E39" s="1662" t="n">
        <f aca="false">IF($A39&lt;=E$16,D39,(B39/B38)/(C39/C38)*E38)</f>
        <v>1.08993356494539</v>
      </c>
      <c r="F39" s="1674" t="n">
        <f aca="false">IF(Assm!$L$75=0,F38,IF(AND($A39&gt;F$16,MONTH($A39)=MONTH(F$16)),B38/B26,F38))</f>
        <v>1.04580600399122</v>
      </c>
      <c r="G39" s="1668" t="n">
        <f aca="false">IF(Assm!$L$75=0,G38,IF(AND($A39&gt;G$16,MONTH($A39)=MONTH(G$16)),C38/C26,G38))</f>
        <v>1.0143570536829</v>
      </c>
      <c r="H39" s="1668" t="n">
        <f aca="false">IF(Assm!$L$75=0,H38,IF(AND($A39&gt;H$16,MONTH($A39)=MONTH(H$16)),C38/C26-H$18,H38))</f>
        <v>1.0118570536829</v>
      </c>
      <c r="I39" s="1668" t="n">
        <f aca="false">IF(Assm!$L$75=0,I38,IF($A39&gt;=I$16,IF(MONTH($A39)=MONTH(I$16),AVERAGE(D27:D38),I38),I38))</f>
        <v>1.0804</v>
      </c>
      <c r="J39" s="1675" t="n">
        <f aca="false">IF(Assm!$L$75=0,J38,IF($A39&gt;=J$16,IF(MONTH($A39)=MONTH(J$16),AVERAGE(E27:E38),J38),J38))</f>
        <v>1.0693297862449</v>
      </c>
      <c r="K39" s="1624" t="n">
        <f aca="false">K38+1</f>
        <v>27</v>
      </c>
      <c r="L39" s="1667" t="n">
        <f aca="false">HLOOKUP(L$14,Dec_Change,$K39)</f>
        <v>1.0143570536829</v>
      </c>
      <c r="M39" s="1668" t="n">
        <f aca="false">M38</f>
        <v>0</v>
      </c>
      <c r="N39" s="1675" t="n">
        <f aca="false">IF(AND($A39&gt;=N$16,MONTH($A39)=MONTH(N$16)),MAX(L39,M39)*N38,N38)</f>
        <v>1.0143570536829</v>
      </c>
      <c r="P39" s="1667" t="n">
        <f aca="false">HLOOKUP(P$14,Dec_Change,$K39)</f>
        <v>1.04580600399122</v>
      </c>
      <c r="Q39" s="1668" t="n">
        <f aca="false">Q38</f>
        <v>0</v>
      </c>
      <c r="R39" s="1675" t="n">
        <f aca="false">IF(AND($A39&gt;=R$16,MONTH($A39)=MONTH(R$16)),MAX(P39,Q39)*R38,R38)</f>
        <v>1.04580600399122</v>
      </c>
      <c r="T39" s="1667" t="n">
        <f aca="false">HLOOKUP(T$14,Dec_Change,$K39)</f>
        <v>1.0143570536829</v>
      </c>
      <c r="U39" s="1668" t="n">
        <f aca="false">U38</f>
        <v>1.005</v>
      </c>
      <c r="V39" s="1675" t="n">
        <f aca="false">IF(AND($A39&gt;=V$16,MONTH($A39)=MONTH(V$16)),MAX(T39,U39)*V38,V38)</f>
        <v>1.0143570536829</v>
      </c>
      <c r="X39" s="1667" t="n">
        <f aca="false">HLOOKUP(X$14,Dec_Change,$K39)</f>
        <v>1.0118570536829</v>
      </c>
      <c r="Y39" s="1668" t="n">
        <f aca="false">Y38</f>
        <v>1.02</v>
      </c>
      <c r="Z39" s="1675" t="n">
        <f aca="false">IF(AND($A39&gt;=Z$16,MONTH($A39)=MONTH(Z$16)),MAX(X39,Y39)*Z38,Z38)</f>
        <v>1.02</v>
      </c>
      <c r="AB39" s="1667" t="n">
        <f aca="false">HLOOKUP(AB$14,Dec_Change,$K39)</f>
        <v>1.0118570536829</v>
      </c>
      <c r="AC39" s="1668" t="n">
        <f aca="false">AC38</f>
        <v>1.02</v>
      </c>
      <c r="AD39" s="1675" t="n">
        <f aca="false">IF(AND($A39&gt;=AD$16,MONTH($A39)=MONTH(AD$16)),MAX(AB39,AC39)*AD38,AD38)</f>
        <v>1.02</v>
      </c>
      <c r="AF39" s="1667" t="n">
        <f aca="false">HLOOKUP(AF$14,Dec_Change,$K39)</f>
        <v>1.04580600399122</v>
      </c>
      <c r="AG39" s="1668" t="n">
        <f aca="false">AG38</f>
        <v>0</v>
      </c>
      <c r="AH39" s="1675" t="n">
        <f aca="false">IF(AND($A39&gt;=AH$16,MONTH($A39)=MONTH(AH$16)),MAX(AF39,AG39)*AH38,AH38)</f>
        <v>1.04580600399122</v>
      </c>
      <c r="AJ39" s="1667" t="n">
        <f aca="false">HLOOKUP(AJ$14,Dec_Change,$K39)</f>
        <v>1.0118570536829</v>
      </c>
      <c r="AK39" s="1668" t="n">
        <f aca="false">AK38</f>
        <v>1.02</v>
      </c>
      <c r="AL39" s="1675" t="n">
        <f aca="false">IF(AND($A39&gt;=AL$16,MONTH($A39)=MONTH(AL$16)),MAX(AJ39,AK39)*AL38,AL38)</f>
        <v>1.02</v>
      </c>
      <c r="AN39" s="1667" t="n">
        <f aca="false">HLOOKUP(AN$14,Dec_Change,$K39)</f>
        <v>1.0143570536829</v>
      </c>
      <c r="AO39" s="1668" t="n">
        <f aca="false">AO38</f>
        <v>1.005</v>
      </c>
      <c r="AP39" s="1675" t="n">
        <f aca="false">IF(AND($A39&gt;=AP$16,MONTH($A39)=MONTH(AP$16)),MAX(AN39,AO39)*AP38,AP38)</f>
        <v>1.0143570536829</v>
      </c>
      <c r="AR39" s="1670" t="n">
        <f aca="false">$A39</f>
        <v>36008</v>
      </c>
      <c r="AS39" s="1671" t="n">
        <f aca="false">IF(AND($A39&gt;=EDATE(AS$17,12),IF(Assm!$L$74=0,$D39,$E39)/AS38&gt;=1.05),IF(Assm!$L$74=0,$D39,$E39),AS38)</f>
        <v>1.1501</v>
      </c>
      <c r="AT39" s="1671" t="n">
        <f aca="false">IF(AS39/AS38=1,AT38,AS39/AS38)</f>
        <v>1.07990610328639</v>
      </c>
      <c r="AU39" s="1671" t="n">
        <f aca="false">F39</f>
        <v>1.04580600399122</v>
      </c>
      <c r="AV39" s="1671" t="n">
        <f aca="false">MAX(AT39,AU39)</f>
        <v>1.07990610328639</v>
      </c>
      <c r="AW39" s="1675" t="n">
        <f aca="false">IF(AV39=AV38,AW38,AV39*AW38)</f>
        <v>1.07990610328639</v>
      </c>
    </row>
    <row r="40" customFormat="false" ht="12.75" hidden="false" customHeight="false" outlineLevel="0" collapsed="false">
      <c r="A40" s="1673" t="n">
        <f aca="false">EDATE(A39,1)</f>
        <v>36039</v>
      </c>
      <c r="B40" s="1659" t="n">
        <f aca="false">'[4]Monthly Curve Calc.'!B43</f>
        <v>146.111</v>
      </c>
      <c r="C40" s="1660" t="n">
        <f aca="false">'[4]Monthly Curve Calc.'!C43</f>
        <v>163.6</v>
      </c>
      <c r="D40" s="1661" t="n">
        <f aca="false">'[4]Monthly Curve Calc.'!F43</f>
        <v>1.1856</v>
      </c>
      <c r="E40" s="1662" t="n">
        <f aca="false">IF($A40&lt;=E$16,D40,(B40/B39)/(C40/C39)*E39)</f>
        <v>1.08835531658882</v>
      </c>
      <c r="F40" s="1674" t="n">
        <f aca="false">IF(Assm!$L$75=0,F39,IF(AND($A40&gt;F$16,MONTH($A40)=MONTH(F$16)),B39/B27,F39))</f>
        <v>1.04580600399122</v>
      </c>
      <c r="G40" s="1668" t="n">
        <f aca="false">IF(Assm!$L$75=0,G39,IF(AND($A40&gt;G$16,MONTH($A40)=MONTH(G$16)),C39/C27,G39))</f>
        <v>1.0143570536829</v>
      </c>
      <c r="H40" s="1668" t="n">
        <f aca="false">IF(Assm!$L$75=0,H39,IF(AND($A40&gt;H$16,MONTH($A40)=MONTH(H$16)),C39/C27-H$18,H39))</f>
        <v>1.0118570536829</v>
      </c>
      <c r="I40" s="1668" t="n">
        <f aca="false">IF(Assm!$L$75=0,I39,IF($A40&gt;=I$16,IF(MONTH($A40)=MONTH(I$16),AVERAGE(D28:D39),I39),I39))</f>
        <v>1.0804</v>
      </c>
      <c r="J40" s="1675" t="n">
        <f aca="false">IF(Assm!$L$75=0,J39,IF($A40&gt;=J$16,IF(MONTH($A40)=MONTH(J$16),AVERAGE(E28:E39),J39),J39))</f>
        <v>1.0693297862449</v>
      </c>
      <c r="K40" s="1624" t="n">
        <f aca="false">K39+1</f>
        <v>28</v>
      </c>
      <c r="L40" s="1667" t="n">
        <f aca="false">HLOOKUP(L$14,Dec_Change,$K40)</f>
        <v>1.0143570536829</v>
      </c>
      <c r="M40" s="1668" t="n">
        <f aca="false">M39</f>
        <v>0</v>
      </c>
      <c r="N40" s="1675" t="n">
        <f aca="false">IF(AND($A40&gt;=N$16,MONTH($A40)=MONTH(N$16)),MAX(L40,M40)*N39,N39)</f>
        <v>1.0143570536829</v>
      </c>
      <c r="P40" s="1667" t="n">
        <f aca="false">HLOOKUP(P$14,Dec_Change,$K40)</f>
        <v>1.04580600399122</v>
      </c>
      <c r="Q40" s="1668" t="n">
        <f aca="false">Q39</f>
        <v>0</v>
      </c>
      <c r="R40" s="1675" t="n">
        <f aca="false">IF(AND($A40&gt;=R$16,MONTH($A40)=MONTH(R$16)),MAX(P40,Q40)*R39,R39)</f>
        <v>1.04580600399122</v>
      </c>
      <c r="T40" s="1667" t="n">
        <f aca="false">HLOOKUP(T$14,Dec_Change,$K40)</f>
        <v>1.0143570536829</v>
      </c>
      <c r="U40" s="1668" t="n">
        <f aca="false">U39</f>
        <v>1.005</v>
      </c>
      <c r="V40" s="1675" t="n">
        <f aca="false">IF(AND($A40&gt;=V$16,MONTH($A40)=MONTH(V$16)),MAX(T40,U40)*V39,V39)</f>
        <v>1.0143570536829</v>
      </c>
      <c r="X40" s="1667" t="n">
        <f aca="false">HLOOKUP(X$14,Dec_Change,$K40)</f>
        <v>1.0118570536829</v>
      </c>
      <c r="Y40" s="1668" t="n">
        <f aca="false">Y39</f>
        <v>1.02</v>
      </c>
      <c r="Z40" s="1675" t="n">
        <f aca="false">IF(AND($A40&gt;=Z$16,MONTH($A40)=MONTH(Z$16)),MAX(X40,Y40)*Z39,Z39)</f>
        <v>1.02</v>
      </c>
      <c r="AB40" s="1667" t="n">
        <f aca="false">HLOOKUP(AB$14,Dec_Change,$K40)</f>
        <v>1.0118570536829</v>
      </c>
      <c r="AC40" s="1668" t="n">
        <f aca="false">AC39</f>
        <v>1.02</v>
      </c>
      <c r="AD40" s="1675" t="n">
        <f aca="false">IF(AND($A40&gt;=AD$16,MONTH($A40)=MONTH(AD$16)),MAX(AB40,AC40)*AD39,AD39)</f>
        <v>1.02</v>
      </c>
      <c r="AF40" s="1667" t="n">
        <f aca="false">HLOOKUP(AF$14,Dec_Change,$K40)</f>
        <v>1.04580600399122</v>
      </c>
      <c r="AG40" s="1668" t="n">
        <f aca="false">AG39</f>
        <v>0</v>
      </c>
      <c r="AH40" s="1675" t="n">
        <f aca="false">IF(AND($A40&gt;=AH$16,MONTH($A40)=MONTH(AH$16)),MAX(AF40,AG40)*AH39,AH39)</f>
        <v>1.04580600399122</v>
      </c>
      <c r="AJ40" s="1667" t="n">
        <f aca="false">HLOOKUP(AJ$14,Dec_Change,$K40)</f>
        <v>1.0118570536829</v>
      </c>
      <c r="AK40" s="1668" t="n">
        <f aca="false">AK39</f>
        <v>1.02</v>
      </c>
      <c r="AL40" s="1675" t="n">
        <f aca="false">IF(AND($A40&gt;=AL$16,MONTH($A40)=MONTH(AL$16)),MAX(AJ40,AK40)*AL39,AL39)</f>
        <v>1.02</v>
      </c>
      <c r="AN40" s="1667" t="n">
        <f aca="false">HLOOKUP(AN$14,Dec_Change,$K40)</f>
        <v>1.0143570536829</v>
      </c>
      <c r="AO40" s="1668" t="n">
        <f aca="false">AO39</f>
        <v>1.005</v>
      </c>
      <c r="AP40" s="1675" t="n">
        <f aca="false">IF(AND($A40&gt;=AP$16,MONTH($A40)=MONTH(AP$16)),MAX(AN40,AO40)*AP39,AP39)</f>
        <v>1.0143570536829</v>
      </c>
      <c r="AR40" s="1670" t="n">
        <f aca="false">$A40</f>
        <v>36039</v>
      </c>
      <c r="AS40" s="1671" t="n">
        <f aca="false">IF(AND($A40&gt;=EDATE(AS$17,12),IF(Assm!$L$74=0,$D40,$E40)/AS39&gt;=1.05),IF(Assm!$L$74=0,$D40,$E40),AS39)</f>
        <v>1.1501</v>
      </c>
      <c r="AT40" s="1671" t="n">
        <f aca="false">IF(AS40/AS39=1,AT39,AS40/AS39)</f>
        <v>1.07990610328639</v>
      </c>
      <c r="AU40" s="1671" t="n">
        <f aca="false">F40</f>
        <v>1.04580600399122</v>
      </c>
      <c r="AV40" s="1671" t="n">
        <f aca="false">MAX(AT40,AU40)</f>
        <v>1.07990610328639</v>
      </c>
      <c r="AW40" s="1675" t="n">
        <f aca="false">IF(AV40=AV39,AW39,AV40*AW39)</f>
        <v>1.07990610328639</v>
      </c>
    </row>
    <row r="41" customFormat="false" ht="12.75" hidden="false" customHeight="false" outlineLevel="0" collapsed="false">
      <c r="A41" s="1673" t="n">
        <f aca="false">EDATE(A40,1)</f>
        <v>36069</v>
      </c>
      <c r="B41" s="1659" t="n">
        <f aca="false">'[4]Monthly Curve Calc.'!B44</f>
        <v>146.063</v>
      </c>
      <c r="C41" s="1660" t="n">
        <f aca="false">'[4]Monthly Curve Calc.'!C44</f>
        <v>164</v>
      </c>
      <c r="D41" s="1661" t="n">
        <f aca="false">'[4]Monthly Curve Calc.'!F44</f>
        <v>1.1928</v>
      </c>
      <c r="E41" s="1662" t="n">
        <f aca="false">IF($A41&lt;=E$16,D41,(B41/B40)/(C41/C40)*E40)</f>
        <v>1.08534411986856</v>
      </c>
      <c r="F41" s="1674" t="n">
        <f aca="false">IF(Assm!$L$75=0,F40,IF(AND($A41&gt;F$16,MONTH($A41)=MONTH(F$16)),B40/B28,F40))</f>
        <v>1.04580600399122</v>
      </c>
      <c r="G41" s="1668" t="n">
        <f aca="false">IF(Assm!$L$75=0,G40,IF(AND($A41&gt;G$16,MONTH($A41)=MONTH(G$16)),C40/C28,G40))</f>
        <v>1.0143570536829</v>
      </c>
      <c r="H41" s="1668" t="n">
        <f aca="false">IF(Assm!$L$75=0,H40,IF(AND($A41&gt;H$16,MONTH($A41)=MONTH(H$16)),C40/C28-H$18,H40))</f>
        <v>1.0118570536829</v>
      </c>
      <c r="I41" s="1668" t="n">
        <f aca="false">IF(Assm!$L$75=0,I40,IF($A41&gt;=I$16,IF(MONTH($A41)=MONTH(I$16),AVERAGE(D29:D40),I40),I40))</f>
        <v>1.0804</v>
      </c>
      <c r="J41" s="1675" t="n">
        <f aca="false">IF(Assm!$L$75=0,J40,IF($A41&gt;=J$16,IF(MONTH($A41)=MONTH(J$16),AVERAGE(E29:E40),J40),J40))</f>
        <v>1.0693297862449</v>
      </c>
      <c r="K41" s="1624" t="n">
        <f aca="false">K40+1</f>
        <v>29</v>
      </c>
      <c r="L41" s="1667" t="n">
        <f aca="false">HLOOKUP(L$14,Dec_Change,$K41)</f>
        <v>1.0143570536829</v>
      </c>
      <c r="M41" s="1668" t="n">
        <f aca="false">M40</f>
        <v>0</v>
      </c>
      <c r="N41" s="1675" t="n">
        <f aca="false">IF(AND($A41&gt;=N$16,MONTH($A41)=MONTH(N$16)),MAX(L41,M41)*N40,N40)</f>
        <v>1.0143570536829</v>
      </c>
      <c r="P41" s="1667" t="n">
        <f aca="false">HLOOKUP(P$14,Dec_Change,$K41)</f>
        <v>1.04580600399122</v>
      </c>
      <c r="Q41" s="1668" t="n">
        <f aca="false">Q40</f>
        <v>0</v>
      </c>
      <c r="R41" s="1675" t="n">
        <f aca="false">IF(AND($A41&gt;=R$16,MONTH($A41)=MONTH(R$16)),MAX(P41,Q41)*R40,R40)</f>
        <v>1.04580600399122</v>
      </c>
      <c r="T41" s="1667" t="n">
        <f aca="false">HLOOKUP(T$14,Dec_Change,$K41)</f>
        <v>1.0143570536829</v>
      </c>
      <c r="U41" s="1668" t="n">
        <f aca="false">U40</f>
        <v>1.005</v>
      </c>
      <c r="V41" s="1675" t="n">
        <f aca="false">IF(AND($A41&gt;=V$16,MONTH($A41)=MONTH(V$16)),MAX(T41,U41)*V40,V40)</f>
        <v>1.0143570536829</v>
      </c>
      <c r="X41" s="1667" t="n">
        <f aca="false">HLOOKUP(X$14,Dec_Change,$K41)</f>
        <v>1.0118570536829</v>
      </c>
      <c r="Y41" s="1668" t="n">
        <f aca="false">Y40</f>
        <v>1.02</v>
      </c>
      <c r="Z41" s="1675" t="n">
        <f aca="false">IF(AND($A41&gt;=Z$16,MONTH($A41)=MONTH(Z$16)),MAX(X41,Y41)*Z40,Z40)</f>
        <v>1.02</v>
      </c>
      <c r="AB41" s="1667" t="n">
        <f aca="false">HLOOKUP(AB$14,Dec_Change,$K41)</f>
        <v>1.0118570536829</v>
      </c>
      <c r="AC41" s="1668" t="n">
        <f aca="false">AC40</f>
        <v>1.02</v>
      </c>
      <c r="AD41" s="1675" t="n">
        <f aca="false">IF(AND($A41&gt;=AD$16,MONTH($A41)=MONTH(AD$16)),MAX(AB41,AC41)*AD40,AD40)</f>
        <v>1.02</v>
      </c>
      <c r="AF41" s="1667" t="n">
        <f aca="false">HLOOKUP(AF$14,Dec_Change,$K41)</f>
        <v>1.04580600399122</v>
      </c>
      <c r="AG41" s="1668" t="n">
        <f aca="false">AG40</f>
        <v>0</v>
      </c>
      <c r="AH41" s="1675" t="n">
        <f aca="false">IF(AND($A41&gt;=AH$16,MONTH($A41)=MONTH(AH$16)),MAX(AF41,AG41)*AH40,AH40)</f>
        <v>1.04580600399122</v>
      </c>
      <c r="AJ41" s="1667" t="n">
        <f aca="false">HLOOKUP(AJ$14,Dec_Change,$K41)</f>
        <v>1.0118570536829</v>
      </c>
      <c r="AK41" s="1668" t="n">
        <f aca="false">AK40</f>
        <v>1.02</v>
      </c>
      <c r="AL41" s="1675" t="n">
        <f aca="false">IF(AND($A41&gt;=AL$16,MONTH($A41)=MONTH(AL$16)),MAX(AJ41,AK41)*AL40,AL40)</f>
        <v>1.02</v>
      </c>
      <c r="AN41" s="1667" t="n">
        <f aca="false">HLOOKUP(AN$14,Dec_Change,$K41)</f>
        <v>1.0143570536829</v>
      </c>
      <c r="AO41" s="1668" t="n">
        <f aca="false">AO40</f>
        <v>1.005</v>
      </c>
      <c r="AP41" s="1675" t="n">
        <f aca="false">IF(AND($A41&gt;=AP$16,MONTH($A41)=MONTH(AP$16)),MAX(AN41,AO41)*AP40,AP40)</f>
        <v>1.0143570536829</v>
      </c>
      <c r="AR41" s="1670" t="n">
        <f aca="false">$A41</f>
        <v>36069</v>
      </c>
      <c r="AS41" s="1671" t="n">
        <f aca="false">IF(AND($A41&gt;=EDATE(AS$17,12),IF(Assm!$L$74=0,$D41,$E41)/AS40&gt;=1.05),IF(Assm!$L$74=0,$D41,$E41),AS40)</f>
        <v>1.1501</v>
      </c>
      <c r="AT41" s="1671" t="n">
        <f aca="false">IF(AS41/AS40=1,AT40,AS41/AS40)</f>
        <v>1.07990610328639</v>
      </c>
      <c r="AU41" s="1671" t="n">
        <f aca="false">F41</f>
        <v>1.04580600399122</v>
      </c>
      <c r="AV41" s="1671" t="n">
        <f aca="false">MAX(AT41,AU41)</f>
        <v>1.07990610328639</v>
      </c>
      <c r="AW41" s="1675" t="n">
        <f aca="false">IF(AV41=AV40,AW40,AV41*AW40)</f>
        <v>1.07990610328639</v>
      </c>
    </row>
    <row r="42" customFormat="false" ht="12.75" hidden="false" customHeight="false" outlineLevel="0" collapsed="false">
      <c r="A42" s="1673" t="n">
        <f aca="false">EDATE(A41,1)</f>
        <v>36100</v>
      </c>
      <c r="B42" s="1659" t="n">
        <f aca="false">'[4]Monthly Curve Calc.'!B45</f>
        <v>145.797</v>
      </c>
      <c r="C42" s="1660" t="n">
        <f aca="false">'[4]Monthly Curve Calc.'!C45</f>
        <v>164</v>
      </c>
      <c r="D42" s="1661" t="n">
        <f aca="false">'[4]Monthly Curve Calc.'!F45</f>
        <v>1.2008</v>
      </c>
      <c r="E42" s="1662" t="n">
        <f aca="false">IF($A42&lt;=E$16,D42,(B42/B41)/(C42/C41)*E41)</f>
        <v>1.08336756498549</v>
      </c>
      <c r="F42" s="1674" t="n">
        <f aca="false">IF(Assm!$L$75=0,F41,IF(AND($A42&gt;F$16,MONTH($A42)=MONTH(F$16)),B41/B29,F41))</f>
        <v>1.04580600399122</v>
      </c>
      <c r="G42" s="1668" t="n">
        <f aca="false">IF(Assm!$L$75=0,G41,IF(AND($A42&gt;G$16,MONTH($A42)=MONTH(G$16)),C41/C29,G41))</f>
        <v>1.0143570536829</v>
      </c>
      <c r="H42" s="1668" t="n">
        <f aca="false">IF(Assm!$L$75=0,H41,IF(AND($A42&gt;H$16,MONTH($A42)=MONTH(H$16)),C41/C29-H$18,H41))</f>
        <v>1.0118570536829</v>
      </c>
      <c r="I42" s="1668" t="n">
        <f aca="false">IF(Assm!$L$75=0,I41,IF($A42&gt;=I$16,IF(MONTH($A42)=MONTH(I$16),AVERAGE(D30:D41),I41),I41))</f>
        <v>1.0804</v>
      </c>
      <c r="J42" s="1675" t="n">
        <f aca="false">IF(Assm!$L$75=0,J41,IF($A42&gt;=J$16,IF(MONTH($A42)=MONTH(J$16),AVERAGE(E30:E41),J41),J41))</f>
        <v>1.0693297862449</v>
      </c>
      <c r="K42" s="1624" t="n">
        <f aca="false">K41+1</f>
        <v>30</v>
      </c>
      <c r="L42" s="1667" t="n">
        <f aca="false">HLOOKUP(L$14,Dec_Change,$K42)</f>
        <v>1.0143570536829</v>
      </c>
      <c r="M42" s="1668" t="n">
        <f aca="false">M41</f>
        <v>0</v>
      </c>
      <c r="N42" s="1675" t="n">
        <f aca="false">IF(AND($A42&gt;=N$16,MONTH($A42)=MONTH(N$16)),MAX(L42,M42)*N41,N41)</f>
        <v>1.0143570536829</v>
      </c>
      <c r="P42" s="1667" t="n">
        <f aca="false">HLOOKUP(P$14,Dec_Change,$K42)</f>
        <v>1.04580600399122</v>
      </c>
      <c r="Q42" s="1668" t="n">
        <f aca="false">Q41</f>
        <v>0</v>
      </c>
      <c r="R42" s="1675" t="n">
        <f aca="false">IF(AND($A42&gt;=R$16,MONTH($A42)=MONTH(R$16)),MAX(P42,Q42)*R41,R41)</f>
        <v>1.04580600399122</v>
      </c>
      <c r="T42" s="1667" t="n">
        <f aca="false">HLOOKUP(T$14,Dec_Change,$K42)</f>
        <v>1.0143570536829</v>
      </c>
      <c r="U42" s="1668" t="n">
        <f aca="false">U41</f>
        <v>1.005</v>
      </c>
      <c r="V42" s="1675" t="n">
        <f aca="false">IF(AND($A42&gt;=V$16,MONTH($A42)=MONTH(V$16)),MAX(T42,U42)*V41,V41)</f>
        <v>1.0143570536829</v>
      </c>
      <c r="X42" s="1667" t="n">
        <f aca="false">HLOOKUP(X$14,Dec_Change,$K42)</f>
        <v>1.0118570536829</v>
      </c>
      <c r="Y42" s="1668" t="n">
        <f aca="false">Y41</f>
        <v>1.02</v>
      </c>
      <c r="Z42" s="1675" t="n">
        <f aca="false">IF(AND($A42&gt;=Z$16,MONTH($A42)=MONTH(Z$16)),MAX(X42,Y42)*Z41,Z41)</f>
        <v>1.02</v>
      </c>
      <c r="AB42" s="1667" t="n">
        <f aca="false">HLOOKUP(AB$14,Dec_Change,$K42)</f>
        <v>1.0118570536829</v>
      </c>
      <c r="AC42" s="1668" t="n">
        <f aca="false">AC41</f>
        <v>1.02</v>
      </c>
      <c r="AD42" s="1675" t="n">
        <f aca="false">IF(AND($A42&gt;=AD$16,MONTH($A42)=MONTH(AD$16)),MAX(AB42,AC42)*AD41,AD41)</f>
        <v>1.02</v>
      </c>
      <c r="AF42" s="1667" t="n">
        <f aca="false">HLOOKUP(AF$14,Dec_Change,$K42)</f>
        <v>1.04580600399122</v>
      </c>
      <c r="AG42" s="1668" t="n">
        <f aca="false">AG41</f>
        <v>0</v>
      </c>
      <c r="AH42" s="1675" t="n">
        <f aca="false">IF(AND($A42&gt;=AH$16,MONTH($A42)=MONTH(AH$16)),MAX(AF42,AG42)*AH41,AH41)</f>
        <v>1.04580600399122</v>
      </c>
      <c r="AJ42" s="1667" t="n">
        <f aca="false">HLOOKUP(AJ$14,Dec_Change,$K42)</f>
        <v>1.0118570536829</v>
      </c>
      <c r="AK42" s="1668" t="n">
        <f aca="false">AK41</f>
        <v>1.02</v>
      </c>
      <c r="AL42" s="1675" t="n">
        <f aca="false">IF(AND($A42&gt;=AL$16,MONTH($A42)=MONTH(AL$16)),MAX(AJ42,AK42)*AL41,AL41)</f>
        <v>1.02</v>
      </c>
      <c r="AN42" s="1667" t="n">
        <f aca="false">HLOOKUP(AN$14,Dec_Change,$K42)</f>
        <v>1.0143570536829</v>
      </c>
      <c r="AO42" s="1668" t="n">
        <f aca="false">AO41</f>
        <v>1.005</v>
      </c>
      <c r="AP42" s="1675" t="n">
        <f aca="false">IF(AND($A42&gt;=AP$16,MONTH($A42)=MONTH(AP$16)),MAX(AN42,AO42)*AP41,AP41)</f>
        <v>1.0143570536829</v>
      </c>
      <c r="AR42" s="1670" t="n">
        <f aca="false">$A42</f>
        <v>36100</v>
      </c>
      <c r="AS42" s="1671" t="n">
        <f aca="false">IF(AND($A42&gt;=EDATE(AS$17,12),IF(Assm!$L$74=0,$D42,$E42)/AS41&gt;=1.05),IF(Assm!$L$74=0,$D42,$E42),AS41)</f>
        <v>1.1501</v>
      </c>
      <c r="AT42" s="1671" t="n">
        <f aca="false">IF(AS42/AS41=1,AT41,AS42/AS41)</f>
        <v>1.07990610328639</v>
      </c>
      <c r="AU42" s="1671" t="n">
        <f aca="false">F42</f>
        <v>1.04580600399122</v>
      </c>
      <c r="AV42" s="1671" t="n">
        <f aca="false">MAX(AT42,AU42)</f>
        <v>1.07990610328639</v>
      </c>
      <c r="AW42" s="1675" t="n">
        <f aca="false">IF(AV42=AV41,AW41,AV42*AW41)</f>
        <v>1.07990610328639</v>
      </c>
    </row>
    <row r="43" customFormat="false" ht="12.75" hidden="false" customHeight="false" outlineLevel="0" collapsed="false">
      <c r="A43" s="1673" t="n">
        <f aca="false">EDATE(A42,1)</f>
        <v>36130</v>
      </c>
      <c r="B43" s="1659" t="n">
        <f aca="false">'[4]Monthly Curve Calc.'!B46</f>
        <v>147.23</v>
      </c>
      <c r="C43" s="1660" t="n">
        <f aca="false">'[4]Monthly Curve Calc.'!C46</f>
        <v>163.9</v>
      </c>
      <c r="D43" s="1661" t="n">
        <f aca="false">'[4]Monthly Curve Calc.'!F46</f>
        <v>1.2083</v>
      </c>
      <c r="E43" s="1662" t="n">
        <f aca="false">IF($A43&lt;=E$16,D43,(B43/B42)/(C43/C42)*E42)</f>
        <v>1.09468318686678</v>
      </c>
      <c r="F43" s="1674" t="n">
        <f aca="false">IF(Assm!$L$75=0,F42,IF(AND($A43&gt;F$16,MONTH($A43)=MONTH(F$16)),B42/B30,F42))</f>
        <v>1.04580600399122</v>
      </c>
      <c r="G43" s="1668" t="n">
        <f aca="false">IF(Assm!$L$75=0,G42,IF(AND($A43&gt;G$16,MONTH($A43)=MONTH(G$16)),C42/C30,G42))</f>
        <v>1.0143570536829</v>
      </c>
      <c r="H43" s="1668" t="n">
        <f aca="false">IF(Assm!$L$75=0,H42,IF(AND($A43&gt;H$16,MONTH($A43)=MONTH(H$16)),C42/C30-H$18,H42))</f>
        <v>1.0118570536829</v>
      </c>
      <c r="I43" s="1668" t="n">
        <f aca="false">IF(Assm!$L$75=0,I42,IF($A43&gt;=I$16,IF(MONTH($A43)=MONTH(I$16),AVERAGE(D31:D42),I42),I42))</f>
        <v>1.0804</v>
      </c>
      <c r="J43" s="1675" t="n">
        <f aca="false">IF(Assm!$L$75=0,J42,IF($A43&gt;=J$16,IF(MONTH($A43)=MONTH(J$16),AVERAGE(E31:E42),J42),J42))</f>
        <v>1.0693297862449</v>
      </c>
      <c r="K43" s="1624" t="n">
        <f aca="false">K42+1</f>
        <v>31</v>
      </c>
      <c r="L43" s="1667" t="n">
        <f aca="false">HLOOKUP(L$14,Dec_Change,$K43)</f>
        <v>1.0143570536829</v>
      </c>
      <c r="M43" s="1668" t="n">
        <f aca="false">M42</f>
        <v>0</v>
      </c>
      <c r="N43" s="1675" t="n">
        <f aca="false">IF(AND($A43&gt;=N$16,MONTH($A43)=MONTH(N$16)),MAX(L43,M43)*N42,N42)</f>
        <v>1.0143570536829</v>
      </c>
      <c r="P43" s="1667" t="n">
        <f aca="false">HLOOKUP(P$14,Dec_Change,$K43)</f>
        <v>1.04580600399122</v>
      </c>
      <c r="Q43" s="1668" t="n">
        <f aca="false">Q42</f>
        <v>0</v>
      </c>
      <c r="R43" s="1675" t="n">
        <f aca="false">IF(AND($A43&gt;=R$16,MONTH($A43)=MONTH(R$16)),MAX(P43,Q43)*R42,R42)</f>
        <v>1.04580600399122</v>
      </c>
      <c r="T43" s="1667" t="n">
        <f aca="false">HLOOKUP(T$14,Dec_Change,$K43)</f>
        <v>1.0143570536829</v>
      </c>
      <c r="U43" s="1668" t="n">
        <f aca="false">U42</f>
        <v>1.005</v>
      </c>
      <c r="V43" s="1675" t="n">
        <f aca="false">IF(AND($A43&gt;=V$16,MONTH($A43)=MONTH(V$16)),MAX(T43,U43)*V42,V42)</f>
        <v>1.0143570536829</v>
      </c>
      <c r="X43" s="1667" t="n">
        <f aca="false">HLOOKUP(X$14,Dec_Change,$K43)</f>
        <v>1.0118570536829</v>
      </c>
      <c r="Y43" s="1668" t="n">
        <f aca="false">Y42</f>
        <v>1.02</v>
      </c>
      <c r="Z43" s="1675" t="n">
        <f aca="false">IF(AND($A43&gt;=Z$16,MONTH($A43)=MONTH(Z$16)),MAX(X43,Y43)*Z42,Z42)</f>
        <v>1.02</v>
      </c>
      <c r="AB43" s="1667" t="n">
        <f aca="false">HLOOKUP(AB$14,Dec_Change,$K43)</f>
        <v>1.0118570536829</v>
      </c>
      <c r="AC43" s="1668" t="n">
        <f aca="false">AC42</f>
        <v>1.02</v>
      </c>
      <c r="AD43" s="1675" t="n">
        <f aca="false">IF(AND($A43&gt;=AD$16,MONTH($A43)=MONTH(AD$16)),MAX(AB43,AC43)*AD42,AD42)</f>
        <v>1.02</v>
      </c>
      <c r="AF43" s="1667" t="n">
        <f aca="false">HLOOKUP(AF$14,Dec_Change,$K43)</f>
        <v>1.04580600399122</v>
      </c>
      <c r="AG43" s="1668" t="n">
        <f aca="false">AG42</f>
        <v>0</v>
      </c>
      <c r="AH43" s="1675" t="n">
        <f aca="false">IF(AND($A43&gt;=AH$16,MONTH($A43)=MONTH(AH$16)),MAX(AF43,AG43)*AH42,AH42)</f>
        <v>1.04580600399122</v>
      </c>
      <c r="AJ43" s="1667" t="n">
        <f aca="false">HLOOKUP(AJ$14,Dec_Change,$K43)</f>
        <v>1.0118570536829</v>
      </c>
      <c r="AK43" s="1668" t="n">
        <f aca="false">AK42</f>
        <v>1.02</v>
      </c>
      <c r="AL43" s="1675" t="n">
        <f aca="false">IF(AND($A43&gt;=AL$16,MONTH($A43)=MONTH(AL$16)),MAX(AJ43,AK43)*AL42,AL42)</f>
        <v>1.02</v>
      </c>
      <c r="AN43" s="1667" t="n">
        <f aca="false">HLOOKUP(AN$14,Dec_Change,$K43)</f>
        <v>1.0143570536829</v>
      </c>
      <c r="AO43" s="1668" t="n">
        <f aca="false">AO42</f>
        <v>1.005</v>
      </c>
      <c r="AP43" s="1675" t="n">
        <f aca="false">IF(AND($A43&gt;=AP$16,MONTH($A43)=MONTH(AP$16)),MAX(AN43,AO43)*AP42,AP42)</f>
        <v>1.0143570536829</v>
      </c>
      <c r="AR43" s="1670" t="n">
        <f aca="false">$A43</f>
        <v>36130</v>
      </c>
      <c r="AS43" s="1671" t="n">
        <f aca="false">IF(AND($A43&gt;=EDATE(AS$17,12),IF(Assm!$L$74=0,$D43,$E43)/AS42&gt;=1.05),IF(Assm!$L$74=0,$D43,$E43),AS42)</f>
        <v>1.2083</v>
      </c>
      <c r="AT43" s="1671" t="n">
        <f aca="false">IF(AS43/AS42=1,AT42,AS43/AS42)</f>
        <v>1.05060429527867</v>
      </c>
      <c r="AU43" s="1671" t="n">
        <f aca="false">F43</f>
        <v>1.04580600399122</v>
      </c>
      <c r="AV43" s="1671" t="n">
        <f aca="false">MAX(AT43,AU43)</f>
        <v>1.05060429527867</v>
      </c>
      <c r="AW43" s="1675" t="n">
        <f aca="false">IF(AV43=AV42,AW42,AV43*AW42)</f>
        <v>1.13455399061033</v>
      </c>
    </row>
    <row r="44" customFormat="false" ht="12.75" hidden="false" customHeight="false" outlineLevel="0" collapsed="false">
      <c r="A44" s="1673" t="n">
        <f aca="false">EDATE(A43,1)</f>
        <v>36161</v>
      </c>
      <c r="B44" s="1659" t="n">
        <f aca="false">'[4]Monthly Curve Calc.'!B47</f>
        <v>148.92</v>
      </c>
      <c r="C44" s="1660" t="n">
        <f aca="false">'[4]Monthly Curve Calc.'!C47</f>
        <v>164.3</v>
      </c>
      <c r="D44" s="1661" t="n">
        <f aca="false">'[4]Monthly Curve Calc.'!F47</f>
        <v>2.05</v>
      </c>
      <c r="E44" s="1662" t="n">
        <f aca="false">IF($A44&lt;=E$16,D44,(B44/B43)/(C44/C43)*E43)</f>
        <v>1.10455298446579</v>
      </c>
      <c r="F44" s="1674" t="n">
        <f aca="false">IF(Assm!$L$75=0,F43,IF(AND($A44&gt;F$16,MONTH($A44)=MONTH(F$16)),B43/B31,F43))</f>
        <v>1.04580600399122</v>
      </c>
      <c r="G44" s="1668" t="n">
        <f aca="false">IF(Assm!$L$75=0,G43,IF(AND($A44&gt;G$16,MONTH($A44)=MONTH(G$16)),C43/C31,G43))</f>
        <v>1.0143570536829</v>
      </c>
      <c r="H44" s="1668" t="n">
        <f aca="false">IF(Assm!$L$75=0,H43,IF(AND($A44&gt;H$16,MONTH($A44)=MONTH(H$16)),C43/C31-H$18,H43))</f>
        <v>1.0118570536829</v>
      </c>
      <c r="I44" s="1668" t="n">
        <f aca="false">IF(Assm!$L$75=0,I43,IF($A44&gt;=I$16,IF(MONTH($A44)=MONTH(I$16),AVERAGE(D32:D43),I43),I43))</f>
        <v>1.164025</v>
      </c>
      <c r="J44" s="1675" t="n">
        <f aca="false">IF(Assm!$L$75=0,J43,IF($A44&gt;=J$16,IF(MONTH($A44)=MONTH(J$16),AVERAGE(E32:E43),J43),J43))</f>
        <v>1.09396176255212</v>
      </c>
      <c r="K44" s="1624" t="n">
        <f aca="false">K43+1</f>
        <v>32</v>
      </c>
      <c r="L44" s="1667" t="n">
        <f aca="false">HLOOKUP(L$14,Dec_Change,$K44)</f>
        <v>1.0143570536829</v>
      </c>
      <c r="M44" s="1668" t="n">
        <f aca="false">M43</f>
        <v>0</v>
      </c>
      <c r="N44" s="1675" t="n">
        <f aca="false">IF(AND($A44&gt;=N$16,MONTH($A44)=MONTH(N$16)),MAX(L44,M44)*N43,N43)</f>
        <v>1.0143570536829</v>
      </c>
      <c r="P44" s="1667" t="n">
        <f aca="false">HLOOKUP(P$14,Dec_Change,$K44)</f>
        <v>1.04580600399122</v>
      </c>
      <c r="Q44" s="1668" t="n">
        <f aca="false">Q43</f>
        <v>0</v>
      </c>
      <c r="R44" s="1675" t="n">
        <f aca="false">IF(AND($A44&gt;=R$16,MONTH($A44)=MONTH(R$16)),MAX(P44,Q44)*R43,R43)</f>
        <v>1.04580600399122</v>
      </c>
      <c r="T44" s="1667" t="n">
        <f aca="false">HLOOKUP(T$14,Dec_Change,$K44)</f>
        <v>1.0143570536829</v>
      </c>
      <c r="U44" s="1668" t="n">
        <f aca="false">U43</f>
        <v>1.005</v>
      </c>
      <c r="V44" s="1675" t="n">
        <f aca="false">IF(AND($A44&gt;=V$16,MONTH($A44)=MONTH(V$16)),MAX(T44,U44)*V43,V43)</f>
        <v>1.0143570536829</v>
      </c>
      <c r="X44" s="1667" t="n">
        <f aca="false">HLOOKUP(X$14,Dec_Change,$K44)</f>
        <v>1.0118570536829</v>
      </c>
      <c r="Y44" s="1668" t="n">
        <f aca="false">Y43</f>
        <v>1.02</v>
      </c>
      <c r="Z44" s="1675" t="n">
        <f aca="false">IF(AND($A44&gt;=Z$16,MONTH($A44)=MONTH(Z$16)),MAX(X44,Y44)*Z43,Z43)</f>
        <v>1.02</v>
      </c>
      <c r="AB44" s="1667" t="n">
        <f aca="false">HLOOKUP(AB$14,Dec_Change,$K44)</f>
        <v>1.0118570536829</v>
      </c>
      <c r="AC44" s="1668" t="n">
        <f aca="false">AC43</f>
        <v>1.02</v>
      </c>
      <c r="AD44" s="1675" t="n">
        <f aca="false">IF(AND($A44&gt;=AD$16,MONTH($A44)=MONTH(AD$16)),MAX(AB44,AC44)*AD43,AD43)</f>
        <v>1.02</v>
      </c>
      <c r="AF44" s="1667" t="n">
        <f aca="false">HLOOKUP(AF$14,Dec_Change,$K44)</f>
        <v>1.04580600399122</v>
      </c>
      <c r="AG44" s="1668" t="n">
        <f aca="false">AG43</f>
        <v>0</v>
      </c>
      <c r="AH44" s="1675" t="n">
        <f aca="false">IF(AND($A44&gt;=AH$16,MONTH($A44)=MONTH(AH$16)),MAX(AF44,AG44)*AH43,AH43)</f>
        <v>1.04580600399122</v>
      </c>
      <c r="AJ44" s="1667" t="n">
        <f aca="false">HLOOKUP(AJ$14,Dec_Change,$K44)</f>
        <v>1.0118570536829</v>
      </c>
      <c r="AK44" s="1668" t="n">
        <f aca="false">AK43</f>
        <v>1.02</v>
      </c>
      <c r="AL44" s="1675" t="n">
        <f aca="false">IF(AND($A44&gt;=AL$16,MONTH($A44)=MONTH(AL$16)),MAX(AJ44,AK44)*AL43,AL43)</f>
        <v>1.02</v>
      </c>
      <c r="AN44" s="1667" t="n">
        <f aca="false">HLOOKUP(AN$14,Dec_Change,$K44)</f>
        <v>1.0143570536829</v>
      </c>
      <c r="AO44" s="1668" t="n">
        <f aca="false">AO43</f>
        <v>1.005</v>
      </c>
      <c r="AP44" s="1675" t="n">
        <f aca="false">IF(AND($A44&gt;=AP$16,MONTH($A44)=MONTH(AP$16)),MAX(AN44,AO44)*AP43,AP43)</f>
        <v>1.0143570536829</v>
      </c>
      <c r="AR44" s="1670" t="n">
        <f aca="false">$A44</f>
        <v>36161</v>
      </c>
      <c r="AS44" s="1671" t="n">
        <f aca="false">IF(AND($A44&gt;=EDATE(AS$17,12),IF(Assm!$L$74=0,$D44,$E44)/AS43&gt;=1.05),IF(Assm!$L$74=0,$D44,$E44),AS43)</f>
        <v>2.05</v>
      </c>
      <c r="AT44" s="1671" t="n">
        <f aca="false">IF(AS44/AS43=1,AT43,AS44/AS43)</f>
        <v>1.69659852685591</v>
      </c>
      <c r="AU44" s="1671" t="n">
        <f aca="false">F44</f>
        <v>1.04580600399122</v>
      </c>
      <c r="AV44" s="1671" t="n">
        <f aca="false">MAX(AT44,AU44)</f>
        <v>1.69659852685591</v>
      </c>
      <c r="AW44" s="1675" t="n">
        <f aca="false">IF(AV44=AV43,AW43,AV44*AW43)</f>
        <v>1.92488262910798</v>
      </c>
    </row>
    <row r="45" customFormat="false" ht="12.75" hidden="false" customHeight="false" outlineLevel="0" collapsed="false">
      <c r="A45" s="1673" t="n">
        <f aca="false">EDATE(A44,1)</f>
        <v>36192</v>
      </c>
      <c r="B45" s="1659" t="n">
        <f aca="false">'[4]Monthly Curve Calc.'!B48</f>
        <v>155.53</v>
      </c>
      <c r="C45" s="1660" t="n">
        <f aca="false">'[4]Monthly Curve Calc.'!C48</f>
        <v>164.5</v>
      </c>
      <c r="D45" s="1661" t="n">
        <f aca="false">'[4]Monthly Curve Calc.'!F48</f>
        <v>2.035</v>
      </c>
      <c r="E45" s="1662" t="n">
        <f aca="false">IF($A45&lt;=E$16,D45,(B45/B44)/(C45/C44)*E44)</f>
        <v>1.15217741796588</v>
      </c>
      <c r="F45" s="1674" t="n">
        <f aca="false">IF(Assm!$L$75=0,F44,IF(AND($A45&gt;F$16,MONTH($A45)=MONTH(F$16)),B44/B32,F44))</f>
        <v>1.04580600399122</v>
      </c>
      <c r="G45" s="1668" t="n">
        <f aca="false">IF(Assm!$L$75=0,G44,IF(AND($A45&gt;G$16,MONTH($A45)=MONTH(G$16)),C44/C32,G44))</f>
        <v>1.0143570536829</v>
      </c>
      <c r="H45" s="1668" t="n">
        <f aca="false">IF(Assm!$L$75=0,H44,IF(AND($A45&gt;H$16,MONTH($A45)=MONTH(H$16)),C44/C32-H$18,H44))</f>
        <v>1.0118570536829</v>
      </c>
      <c r="I45" s="1668" t="n">
        <f aca="false">IF(Assm!$L$75=0,I44,IF($A45&gt;=I$16,IF(MONTH($A45)=MONTH(I$16),AVERAGE(D33:D44),I44),I44))</f>
        <v>1.164025</v>
      </c>
      <c r="J45" s="1675" t="n">
        <f aca="false">IF(Assm!$L$75=0,J44,IF($A45&gt;=J$16,IF(MONTH($A45)=MONTH(J$16),AVERAGE(E33:E44),J44),J44))</f>
        <v>1.09396176255212</v>
      </c>
      <c r="K45" s="1624" t="n">
        <f aca="false">K44+1</f>
        <v>33</v>
      </c>
      <c r="L45" s="1667" t="n">
        <f aca="false">HLOOKUP(L$14,Dec_Change,$K45)</f>
        <v>1.0143570536829</v>
      </c>
      <c r="M45" s="1668" t="n">
        <f aca="false">M44</f>
        <v>0</v>
      </c>
      <c r="N45" s="1675" t="n">
        <f aca="false">IF(AND($A45&gt;=N$16,MONTH($A45)=MONTH(N$16)),MAX(L45,M45)*N44,N44)</f>
        <v>1.0143570536829</v>
      </c>
      <c r="P45" s="1667" t="n">
        <f aca="false">HLOOKUP(P$14,Dec_Change,$K45)</f>
        <v>1.04580600399122</v>
      </c>
      <c r="Q45" s="1668" t="n">
        <f aca="false">Q44</f>
        <v>0</v>
      </c>
      <c r="R45" s="1675" t="n">
        <f aca="false">IF(AND($A45&gt;=R$16,MONTH($A45)=MONTH(R$16)),MAX(P45,Q45)*R44,R44)</f>
        <v>1.04580600399122</v>
      </c>
      <c r="T45" s="1667" t="n">
        <f aca="false">HLOOKUP(T$14,Dec_Change,$K45)</f>
        <v>1.0143570536829</v>
      </c>
      <c r="U45" s="1668" t="n">
        <f aca="false">U44</f>
        <v>1.005</v>
      </c>
      <c r="V45" s="1675" t="n">
        <f aca="false">IF(AND($A45&gt;=V$16,MONTH($A45)=MONTH(V$16)),MAX(T45,U45)*V44,V44)</f>
        <v>1.0143570536829</v>
      </c>
      <c r="X45" s="1667" t="n">
        <f aca="false">HLOOKUP(X$14,Dec_Change,$K45)</f>
        <v>1.0118570536829</v>
      </c>
      <c r="Y45" s="1668" t="n">
        <f aca="false">Y44</f>
        <v>1.02</v>
      </c>
      <c r="Z45" s="1675" t="n">
        <f aca="false">IF(AND($A45&gt;=Z$16,MONTH($A45)=MONTH(Z$16)),MAX(X45,Y45)*Z44,Z44)</f>
        <v>1.02</v>
      </c>
      <c r="AB45" s="1667" t="n">
        <f aca="false">HLOOKUP(AB$14,Dec_Change,$K45)</f>
        <v>1.0118570536829</v>
      </c>
      <c r="AC45" s="1668" t="n">
        <f aca="false">AC44</f>
        <v>1.02</v>
      </c>
      <c r="AD45" s="1675" t="n">
        <f aca="false">IF(AND($A45&gt;=AD$16,MONTH($A45)=MONTH(AD$16)),MAX(AB45,AC45)*AD44,AD44)</f>
        <v>1.02</v>
      </c>
      <c r="AF45" s="1667" t="n">
        <f aca="false">HLOOKUP(AF$14,Dec_Change,$K45)</f>
        <v>1.04580600399122</v>
      </c>
      <c r="AG45" s="1668" t="n">
        <f aca="false">AG44</f>
        <v>0</v>
      </c>
      <c r="AH45" s="1675" t="n">
        <f aca="false">IF(AND($A45&gt;=AH$16,MONTH($A45)=MONTH(AH$16)),MAX(AF45,AG45)*AH44,AH44)</f>
        <v>1.04580600399122</v>
      </c>
      <c r="AJ45" s="1667" t="n">
        <f aca="false">HLOOKUP(AJ$14,Dec_Change,$K45)</f>
        <v>1.0118570536829</v>
      </c>
      <c r="AK45" s="1668" t="n">
        <f aca="false">AK44</f>
        <v>1.02</v>
      </c>
      <c r="AL45" s="1675" t="n">
        <f aca="false">IF(AND($A45&gt;=AL$16,MONTH($A45)=MONTH(AL$16)),MAX(AJ45,AK45)*AL44,AL44)</f>
        <v>1.02</v>
      </c>
      <c r="AN45" s="1667" t="n">
        <f aca="false">HLOOKUP(AN$14,Dec_Change,$K45)</f>
        <v>1.0143570536829</v>
      </c>
      <c r="AO45" s="1668" t="n">
        <f aca="false">AO44</f>
        <v>1.005</v>
      </c>
      <c r="AP45" s="1675" t="n">
        <f aca="false">IF(AND($A45&gt;=AP$16,MONTH($A45)=MONTH(AP$16)),MAX(AN45,AO45)*AP44,AP44)</f>
        <v>1.0143570536829</v>
      </c>
      <c r="AR45" s="1670" t="n">
        <f aca="false">$A45</f>
        <v>36192</v>
      </c>
      <c r="AS45" s="1671" t="n">
        <f aca="false">IF(AND($A45&gt;=EDATE(AS$17,12),IF(Assm!$L$74=0,$D45,$E45)/AS44&gt;=1.05),IF(Assm!$L$74=0,$D45,$E45),AS44)</f>
        <v>2.05</v>
      </c>
      <c r="AT45" s="1671" t="n">
        <f aca="false">IF(AS45/AS44=1,AT44,AS45/AS44)</f>
        <v>1.69659852685591</v>
      </c>
      <c r="AU45" s="1671" t="n">
        <f aca="false">F45</f>
        <v>1.04580600399122</v>
      </c>
      <c r="AV45" s="1671" t="n">
        <f aca="false">MAX(AT45,AU45)</f>
        <v>1.69659852685591</v>
      </c>
      <c r="AW45" s="1675" t="n">
        <f aca="false">IF(AV45=AV44,AW44,AV45*AW44)</f>
        <v>1.92488262910798</v>
      </c>
    </row>
    <row r="46" customFormat="false" ht="12.75" hidden="false" customHeight="false" outlineLevel="0" collapsed="false">
      <c r="A46" s="1673" t="n">
        <f aca="false">EDATE(A45,1)</f>
        <v>36220</v>
      </c>
      <c r="B46" s="1659" t="n">
        <f aca="false">'[4]Monthly Curve Calc.'!B49</f>
        <v>158.6</v>
      </c>
      <c r="C46" s="1660" t="n">
        <f aca="false">'[4]Monthly Curve Calc.'!C49</f>
        <v>165</v>
      </c>
      <c r="D46" s="1661" t="n">
        <f aca="false">'[4]Monthly Curve Calc.'!F49</f>
        <v>1.7175</v>
      </c>
      <c r="E46" s="1662" t="n">
        <f aca="false">IF($A46&lt;=E$16,D46,(B46/B45)/(C46/C45)*E45)</f>
        <v>1.17135983436907</v>
      </c>
      <c r="F46" s="1674" t="n">
        <f aca="false">IF(Assm!$L$75=0,F45,IF(AND($A46&gt;F$16,MONTH($A46)=MONTH(F$16)),B45/B33,F45))</f>
        <v>1.04580600399122</v>
      </c>
      <c r="G46" s="1668" t="n">
        <f aca="false">IF(Assm!$L$75=0,G45,IF(AND($A46&gt;G$16,MONTH($A46)=MONTH(G$16)),C45/C33,G45))</f>
        <v>1.0143570536829</v>
      </c>
      <c r="H46" s="1668" t="n">
        <f aca="false">IF(Assm!$L$75=0,H45,IF(AND($A46&gt;H$16,MONTH($A46)=MONTH(H$16)),C45/C33-H$18,H45))</f>
        <v>1.0118570536829</v>
      </c>
      <c r="I46" s="1668" t="n">
        <f aca="false">IF(Assm!$L$75=0,I45,IF($A46&gt;=I$16,IF(MONTH($A46)=MONTH(I$16),AVERAGE(D34:D45),I45),I45))</f>
        <v>1.164025</v>
      </c>
      <c r="J46" s="1675" t="n">
        <f aca="false">IF(Assm!$L$75=0,J45,IF($A46&gt;=J$16,IF(MONTH($A46)=MONTH(J$16),AVERAGE(E34:E45),J45),J45))</f>
        <v>1.09396176255212</v>
      </c>
      <c r="K46" s="1624" t="n">
        <f aca="false">K45+1</f>
        <v>34</v>
      </c>
      <c r="L46" s="1667" t="n">
        <f aca="false">HLOOKUP(L$14,Dec_Change,$K46)</f>
        <v>1.0143570536829</v>
      </c>
      <c r="M46" s="1668" t="n">
        <f aca="false">M45</f>
        <v>0</v>
      </c>
      <c r="N46" s="1675" t="n">
        <f aca="false">IF(AND($A46&gt;=N$16,MONTH($A46)=MONTH(N$16)),MAX(L46,M46)*N45,N45)</f>
        <v>1.0143570536829</v>
      </c>
      <c r="P46" s="1667" t="n">
        <f aca="false">HLOOKUP(P$14,Dec_Change,$K46)</f>
        <v>1.04580600399122</v>
      </c>
      <c r="Q46" s="1668" t="n">
        <f aca="false">Q45</f>
        <v>0</v>
      </c>
      <c r="R46" s="1675" t="n">
        <f aca="false">IF(AND($A46&gt;=R$16,MONTH($A46)=MONTH(R$16)),MAX(P46,Q46)*R45,R45)</f>
        <v>1.04580600399122</v>
      </c>
      <c r="T46" s="1667" t="n">
        <f aca="false">HLOOKUP(T$14,Dec_Change,$K46)</f>
        <v>1.0143570536829</v>
      </c>
      <c r="U46" s="1668" t="n">
        <f aca="false">U45</f>
        <v>1.005</v>
      </c>
      <c r="V46" s="1675" t="n">
        <f aca="false">IF(AND($A46&gt;=V$16,MONTH($A46)=MONTH(V$16)),MAX(T46,U46)*V45,V45)</f>
        <v>1.0143570536829</v>
      </c>
      <c r="X46" s="1667" t="n">
        <f aca="false">HLOOKUP(X$14,Dec_Change,$K46)</f>
        <v>1.0118570536829</v>
      </c>
      <c r="Y46" s="1668" t="n">
        <f aca="false">Y45</f>
        <v>1.02</v>
      </c>
      <c r="Z46" s="1675" t="n">
        <f aca="false">IF(AND($A46&gt;=Z$16,MONTH($A46)=MONTH(Z$16)),MAX(X46,Y46)*Z45,Z45)</f>
        <v>1.02</v>
      </c>
      <c r="AB46" s="1667" t="n">
        <f aca="false">HLOOKUP(AB$14,Dec_Change,$K46)</f>
        <v>1.0118570536829</v>
      </c>
      <c r="AC46" s="1668" t="n">
        <f aca="false">AC45</f>
        <v>1.02</v>
      </c>
      <c r="AD46" s="1675" t="n">
        <f aca="false">IF(AND($A46&gt;=AD$16,MONTH($A46)=MONTH(AD$16)),MAX(AB46,AC46)*AD45,AD45)</f>
        <v>1.02</v>
      </c>
      <c r="AF46" s="1667" t="n">
        <f aca="false">HLOOKUP(AF$14,Dec_Change,$K46)</f>
        <v>1.04580600399122</v>
      </c>
      <c r="AG46" s="1668" t="n">
        <f aca="false">AG45</f>
        <v>0</v>
      </c>
      <c r="AH46" s="1675" t="n">
        <f aca="false">IF(AND($A46&gt;=AH$16,MONTH($A46)=MONTH(AH$16)),MAX(AF46,AG46)*AH45,AH45)</f>
        <v>1.04580600399122</v>
      </c>
      <c r="AJ46" s="1667" t="n">
        <f aca="false">HLOOKUP(AJ$14,Dec_Change,$K46)</f>
        <v>1.0118570536829</v>
      </c>
      <c r="AK46" s="1668" t="n">
        <f aca="false">AK45</f>
        <v>1.02</v>
      </c>
      <c r="AL46" s="1675" t="n">
        <f aca="false">IF(AND($A46&gt;=AL$16,MONTH($A46)=MONTH(AL$16)),MAX(AJ46,AK46)*AL45,AL45)</f>
        <v>1.02</v>
      </c>
      <c r="AN46" s="1667" t="n">
        <f aca="false">HLOOKUP(AN$14,Dec_Change,$K46)</f>
        <v>1.0143570536829</v>
      </c>
      <c r="AO46" s="1668" t="n">
        <f aca="false">AO45</f>
        <v>1.005</v>
      </c>
      <c r="AP46" s="1675" t="n">
        <f aca="false">IF(AND($A46&gt;=AP$16,MONTH($A46)=MONTH(AP$16)),MAX(AN46,AO46)*AP45,AP45)</f>
        <v>1.0143570536829</v>
      </c>
      <c r="AR46" s="1670" t="n">
        <f aca="false">$A46</f>
        <v>36220</v>
      </c>
      <c r="AS46" s="1671" t="n">
        <f aca="false">IF(AND($A46&gt;=EDATE(AS$17,12),IF(Assm!$L$74=0,$D46,$E46)/AS45&gt;=1.05),IF(Assm!$L$74=0,$D46,$E46),AS45)</f>
        <v>2.05</v>
      </c>
      <c r="AT46" s="1671" t="n">
        <f aca="false">IF(AS46/AS45=1,AT45,AS46/AS45)</f>
        <v>1.69659852685591</v>
      </c>
      <c r="AU46" s="1671" t="n">
        <f aca="false">F46</f>
        <v>1.04580600399122</v>
      </c>
      <c r="AV46" s="1671" t="n">
        <f aca="false">MAX(AT46,AU46)</f>
        <v>1.69659852685591</v>
      </c>
      <c r="AW46" s="1675" t="n">
        <f aca="false">IF(AV46=AV45,AW45,AV46*AW45)</f>
        <v>1.92488262910798</v>
      </c>
    </row>
    <row r="47" customFormat="false" ht="12.75" hidden="false" customHeight="false" outlineLevel="0" collapsed="false">
      <c r="A47" s="1673" t="n">
        <f aca="false">EDATE(A46,1)</f>
        <v>36251</v>
      </c>
      <c r="B47" s="1659" t="n">
        <f aca="false">'[4]Monthly Curve Calc.'!B50</f>
        <v>158.65</v>
      </c>
      <c r="C47" s="1660" t="n">
        <f aca="false">'[4]Monthly Curve Calc.'!C50</f>
        <v>166.2</v>
      </c>
      <c r="D47" s="1661" t="n">
        <f aca="false">'[4]Monthly Curve Calc.'!F50</f>
        <v>1.665</v>
      </c>
      <c r="E47" s="1662" t="n">
        <f aca="false">IF($A47&lt;=E$16,D47,(B47/B46)/(C47/C46)*E46)</f>
        <v>1.1632689775092</v>
      </c>
      <c r="F47" s="1674" t="n">
        <f aca="false">IF(Assm!$L$75=0,F46,IF(AND($A47&gt;F$16,MONTH($A47)=MONTH(F$16)),B46/B34,F46))</f>
        <v>1.04580600399122</v>
      </c>
      <c r="G47" s="1668" t="n">
        <f aca="false">IF(Assm!$L$75=0,G46,IF(AND($A47&gt;G$16,MONTH($A47)=MONTH(G$16)),C46/C34,G46))</f>
        <v>1.0143570536829</v>
      </c>
      <c r="H47" s="1668" t="n">
        <f aca="false">IF(Assm!$L$75=0,H46,IF(AND($A47&gt;H$16,MONTH($A47)=MONTH(H$16)),C46/C34-H$18,H46))</f>
        <v>1.0118570536829</v>
      </c>
      <c r="I47" s="1668" t="n">
        <f aca="false">IF(Assm!$L$75=0,I46,IF($A47&gt;=I$16,IF(MONTH($A47)=MONTH(I$16),AVERAGE(D35:D46),I46),I46))</f>
        <v>1.164025</v>
      </c>
      <c r="J47" s="1675" t="n">
        <f aca="false">IF(Assm!$L$75=0,J46,IF($A47&gt;=J$16,IF(MONTH($A47)=MONTH(J$16),AVERAGE(E35:E46),J46),J46))</f>
        <v>1.09396176255212</v>
      </c>
      <c r="K47" s="1624" t="n">
        <f aca="false">K46+1</f>
        <v>35</v>
      </c>
      <c r="L47" s="1667" t="n">
        <f aca="false">HLOOKUP(L$14,Dec_Change,$K47)</f>
        <v>1.0143570536829</v>
      </c>
      <c r="M47" s="1668" t="n">
        <f aca="false">M46</f>
        <v>0</v>
      </c>
      <c r="N47" s="1675" t="n">
        <f aca="false">IF(AND($A47&gt;=N$16,MONTH($A47)=MONTH(N$16)),MAX(L47,M47)*N46,N46)</f>
        <v>1.0143570536829</v>
      </c>
      <c r="P47" s="1667" t="n">
        <f aca="false">HLOOKUP(P$14,Dec_Change,$K47)</f>
        <v>1.04580600399122</v>
      </c>
      <c r="Q47" s="1668" t="n">
        <f aca="false">Q46</f>
        <v>0</v>
      </c>
      <c r="R47" s="1675" t="n">
        <f aca="false">IF(AND($A47&gt;=R$16,MONTH($A47)=MONTH(R$16)),MAX(P47,Q47)*R46,R46)</f>
        <v>1.04580600399122</v>
      </c>
      <c r="T47" s="1667" t="n">
        <f aca="false">HLOOKUP(T$14,Dec_Change,$K47)</f>
        <v>1.0143570536829</v>
      </c>
      <c r="U47" s="1668" t="n">
        <f aca="false">U46</f>
        <v>1.005</v>
      </c>
      <c r="V47" s="1675" t="n">
        <f aca="false">IF(AND($A47&gt;=V$16,MONTH($A47)=MONTH(V$16)),MAX(T47,U47)*V46,V46)</f>
        <v>1.0143570536829</v>
      </c>
      <c r="X47" s="1667" t="n">
        <f aca="false">HLOOKUP(X$14,Dec_Change,$K47)</f>
        <v>1.0118570536829</v>
      </c>
      <c r="Y47" s="1668" t="n">
        <f aca="false">Y46</f>
        <v>1.02</v>
      </c>
      <c r="Z47" s="1675" t="n">
        <f aca="false">IF(AND($A47&gt;=Z$16,MONTH($A47)=MONTH(Z$16)),MAX(X47,Y47)*Z46,Z46)</f>
        <v>1.02</v>
      </c>
      <c r="AB47" s="1667" t="n">
        <f aca="false">HLOOKUP(AB$14,Dec_Change,$K47)</f>
        <v>1.0118570536829</v>
      </c>
      <c r="AC47" s="1668" t="n">
        <f aca="false">AC46</f>
        <v>1.02</v>
      </c>
      <c r="AD47" s="1675" t="n">
        <f aca="false">IF(AND($A47&gt;=AD$16,MONTH($A47)=MONTH(AD$16)),MAX(AB47,AC47)*AD46,AD46)</f>
        <v>1.02</v>
      </c>
      <c r="AF47" s="1667" t="n">
        <f aca="false">HLOOKUP(AF$14,Dec_Change,$K47)</f>
        <v>1.04580600399122</v>
      </c>
      <c r="AG47" s="1668" t="n">
        <f aca="false">AG46</f>
        <v>0</v>
      </c>
      <c r="AH47" s="1675" t="n">
        <f aca="false">IF(AND($A47&gt;=AH$16,MONTH($A47)=MONTH(AH$16)),MAX(AF47,AG47)*AH46,AH46)</f>
        <v>1.04580600399122</v>
      </c>
      <c r="AJ47" s="1667" t="n">
        <f aca="false">HLOOKUP(AJ$14,Dec_Change,$K47)</f>
        <v>1.0118570536829</v>
      </c>
      <c r="AK47" s="1668" t="n">
        <f aca="false">AK46</f>
        <v>1.02</v>
      </c>
      <c r="AL47" s="1675" t="n">
        <f aca="false">IF(AND($A47&gt;=AL$16,MONTH($A47)=MONTH(AL$16)),MAX(AJ47,AK47)*AL46,AL46)</f>
        <v>1.02</v>
      </c>
      <c r="AN47" s="1667" t="n">
        <f aca="false">HLOOKUP(AN$14,Dec_Change,$K47)</f>
        <v>1.0143570536829</v>
      </c>
      <c r="AO47" s="1668" t="n">
        <f aca="false">AO46</f>
        <v>1.005</v>
      </c>
      <c r="AP47" s="1675" t="n">
        <f aca="false">IF(AND($A47&gt;=AP$16,MONTH($A47)=MONTH(AP$16)),MAX(AN47,AO47)*AP46,AP46)</f>
        <v>1.0143570536829</v>
      </c>
      <c r="AR47" s="1670" t="n">
        <f aca="false">$A47</f>
        <v>36251</v>
      </c>
      <c r="AS47" s="1671" t="n">
        <f aca="false">IF(AND($A47&gt;=EDATE(AS$17,12),IF(Assm!$L$74=0,$D47,$E47)/AS46&gt;=1.05),IF(Assm!$L$74=0,$D47,$E47),AS46)</f>
        <v>2.05</v>
      </c>
      <c r="AT47" s="1671" t="n">
        <f aca="false">IF(AS47/AS46=1,AT46,AS47/AS46)</f>
        <v>1.69659852685591</v>
      </c>
      <c r="AU47" s="1671" t="n">
        <f aca="false">F47</f>
        <v>1.04580600399122</v>
      </c>
      <c r="AV47" s="1671" t="n">
        <f aca="false">MAX(AT47,AU47)</f>
        <v>1.69659852685591</v>
      </c>
      <c r="AW47" s="1675" t="n">
        <f aca="false">IF(AV47=AV46,AW46,AV47*AW46)</f>
        <v>1.92488262910798</v>
      </c>
    </row>
    <row r="48" customFormat="false" ht="12.75" hidden="false" customHeight="false" outlineLevel="0" collapsed="false">
      <c r="A48" s="1673" t="n">
        <f aca="false">EDATE(A47,1)</f>
        <v>36281</v>
      </c>
      <c r="B48" s="1659" t="n">
        <f aca="false">'[4]Monthly Curve Calc.'!B51</f>
        <v>158.1</v>
      </c>
      <c r="C48" s="1660" t="n">
        <f aca="false">'[4]Monthly Curve Calc.'!C51</f>
        <v>166.2</v>
      </c>
      <c r="D48" s="1661" t="n">
        <f aca="false">'[4]Monthly Curve Calc.'!F51</f>
        <v>1.721</v>
      </c>
      <c r="E48" s="1662" t="n">
        <f aca="false">IF($A48&lt;=E$16,D48,(B48/B47)/(C48/C47)*E47)</f>
        <v>1.15923621395653</v>
      </c>
      <c r="F48" s="1674" t="n">
        <f aca="false">IF(Assm!$L$75=0,F47,IF(AND($A48&gt;F$16,MONTH($A48)=MONTH(F$16)),B47/B35,F47))</f>
        <v>1.08507567830054</v>
      </c>
      <c r="G48" s="1668" t="n">
        <f aca="false">IF(Assm!$L$75=0,G47,IF(AND($A48&gt;G$16,MONTH($A48)=MONTH(G$16)),C47/C35,G47))</f>
        <v>1.02276923076923</v>
      </c>
      <c r="H48" s="1668" t="n">
        <f aca="false">IF(Assm!$L$75=0,H47,IF(AND($A48&gt;H$16,MONTH($A48)=MONTH(H$16)),C47/C35-H$18,H47))</f>
        <v>1.02026923076923</v>
      </c>
      <c r="I48" s="1668" t="n">
        <f aca="false">IF(Assm!$L$75=0,I47,IF($A48&gt;=I$16,IF(MONTH($A48)=MONTH(I$16),AVERAGE(D36:D47),I47),I47))</f>
        <v>1.164025</v>
      </c>
      <c r="J48" s="1675" t="n">
        <f aca="false">IF(Assm!$L$75=0,J47,IF($A48&gt;=J$16,IF(MONTH($A48)=MONTH(J$16),AVERAGE(E36:E47),J47),J47))</f>
        <v>1.09396176255212</v>
      </c>
      <c r="K48" s="1624" t="n">
        <f aca="false">K47+1</f>
        <v>36</v>
      </c>
      <c r="L48" s="1667" t="n">
        <f aca="false">HLOOKUP(L$14,Dec_Change,$K48)</f>
        <v>1.02276923076923</v>
      </c>
      <c r="M48" s="1668" t="n">
        <f aca="false">M47</f>
        <v>0</v>
      </c>
      <c r="N48" s="1675" t="n">
        <f aca="false">IF(AND($A48&gt;=N$16,MONTH($A48)=MONTH(N$16)),MAX(L48,M48)*N47,N47)</f>
        <v>1.0374531835206</v>
      </c>
      <c r="P48" s="1667" t="n">
        <f aca="false">HLOOKUP(P$14,Dec_Change,$K48)</f>
        <v>1.08507567830054</v>
      </c>
      <c r="Q48" s="1668" t="n">
        <f aca="false">Q47</f>
        <v>0</v>
      </c>
      <c r="R48" s="1675" t="n">
        <f aca="false">IF(AND($A48&gt;=R$16,MONTH($A48)=MONTH(R$16)),MAX(P48,Q48)*R47,R47)</f>
        <v>1.13477865915154</v>
      </c>
      <c r="T48" s="1667" t="n">
        <f aca="false">HLOOKUP(T$14,Dec_Change,$K48)</f>
        <v>1.02276923076923</v>
      </c>
      <c r="U48" s="1668" t="n">
        <f aca="false">U47</f>
        <v>1.005</v>
      </c>
      <c r="V48" s="1675" t="n">
        <f aca="false">IF(AND($A48&gt;=V$16,MONTH($A48)=MONTH(V$16)),MAX(T48,U48)*V47,V47)</f>
        <v>1.0374531835206</v>
      </c>
      <c r="X48" s="1667" t="n">
        <f aca="false">HLOOKUP(X$14,Dec_Change,$K48)</f>
        <v>1.02026923076923</v>
      </c>
      <c r="Y48" s="1668" t="n">
        <f aca="false">Y47</f>
        <v>1.02</v>
      </c>
      <c r="Z48" s="1675" t="n">
        <f aca="false">IF(AND($A48&gt;=Z$16,MONTH($A48)=MONTH(Z$16)),MAX(X48,Y48)*Z47,Z47)</f>
        <v>1.04067461538462</v>
      </c>
      <c r="AB48" s="1667" t="n">
        <f aca="false">HLOOKUP(AB$14,Dec_Change,$K48)</f>
        <v>1.02026923076923</v>
      </c>
      <c r="AC48" s="1668" t="n">
        <f aca="false">AC47</f>
        <v>1.02</v>
      </c>
      <c r="AD48" s="1675" t="n">
        <f aca="false">IF(AND($A48&gt;=AD$16,MONTH($A48)=MONTH(AD$16)),MAX(AB48,AC48)*AD47,AD47)</f>
        <v>1.04067461538462</v>
      </c>
      <c r="AF48" s="1667" t="n">
        <f aca="false">HLOOKUP(AF$14,Dec_Change,$K48)</f>
        <v>1.08507567830054</v>
      </c>
      <c r="AG48" s="1668" t="n">
        <f aca="false">AG47</f>
        <v>0</v>
      </c>
      <c r="AH48" s="1675" t="n">
        <f aca="false">IF(AND($A48&gt;=AH$16,MONTH($A48)=MONTH(AH$16)),MAX(AF48,AG48)*AH47,AH47)</f>
        <v>1.13477865915154</v>
      </c>
      <c r="AJ48" s="1667" t="n">
        <f aca="false">HLOOKUP(AJ$14,Dec_Change,$K48)</f>
        <v>1.02026923076923</v>
      </c>
      <c r="AK48" s="1668" t="n">
        <f aca="false">AK47</f>
        <v>1.02</v>
      </c>
      <c r="AL48" s="1675" t="n">
        <f aca="false">IF(AND($A48&gt;=AL$16,MONTH($A48)=MONTH(AL$16)),MAX(AJ48,AK48)*AL47,AL47)</f>
        <v>1.04067461538462</v>
      </c>
      <c r="AN48" s="1667" t="n">
        <f aca="false">HLOOKUP(AN$14,Dec_Change,$K48)</f>
        <v>1.02276923076923</v>
      </c>
      <c r="AO48" s="1668" t="n">
        <f aca="false">AO47</f>
        <v>1.005</v>
      </c>
      <c r="AP48" s="1675" t="n">
        <f aca="false">IF(AND($A48&gt;=AP$16,MONTH($A48)=MONTH(AP$16)),MAX(AN48,AO48)*AP47,AP47)</f>
        <v>1.0374531835206</v>
      </c>
      <c r="AR48" s="1670" t="n">
        <f aca="false">$A48</f>
        <v>36281</v>
      </c>
      <c r="AS48" s="1671" t="n">
        <f aca="false">IF(AND($A48&gt;=EDATE(AS$17,12),IF(Assm!$L$74=0,$D48,$E48)/AS47&gt;=1.05),IF(Assm!$L$74=0,$D48,$E48),AS47)</f>
        <v>2.05</v>
      </c>
      <c r="AT48" s="1671" t="n">
        <f aca="false">IF(AS48/AS47=1,AT47,AS48/AS47)</f>
        <v>1.69659852685591</v>
      </c>
      <c r="AU48" s="1671" t="n">
        <f aca="false">F48</f>
        <v>1.08507567830054</v>
      </c>
      <c r="AV48" s="1671" t="n">
        <f aca="false">MAX(AT48,AU48)</f>
        <v>1.69659852685591</v>
      </c>
      <c r="AW48" s="1675" t="n">
        <f aca="false">IF(AV48=AV47,AW47,AV48*AW47)</f>
        <v>1.92488262910798</v>
      </c>
    </row>
    <row r="49" customFormat="false" ht="12.75" hidden="false" customHeight="false" outlineLevel="0" collapsed="false">
      <c r="A49" s="1673" t="n">
        <f aca="false">EDATE(A48,1)</f>
        <v>36312</v>
      </c>
      <c r="B49" s="1659" t="n">
        <f aca="false">'[4]Monthly Curve Calc.'!B52</f>
        <v>159.71</v>
      </c>
      <c r="C49" s="1660" t="n">
        <f aca="false">'[4]Monthly Curve Calc.'!C52</f>
        <v>166.2</v>
      </c>
      <c r="D49" s="1661" t="n">
        <f aca="false">'[4]Monthly Curve Calc.'!F52</f>
        <v>1.7525</v>
      </c>
      <c r="E49" s="1662" t="n">
        <f aca="false">IF($A49&lt;=E$16,D49,(B49/B48)/(C49/C48)*E48)</f>
        <v>1.17104121271978</v>
      </c>
      <c r="F49" s="1674" t="n">
        <f aca="false">IF(Assm!$L$75=0,F48,IF(AND($A49&gt;F$16,MONTH($A49)=MONTH(F$16)),B48/B36,F48))</f>
        <v>1.08507567830054</v>
      </c>
      <c r="G49" s="1668" t="n">
        <f aca="false">IF(Assm!$L$75=0,G48,IF(AND($A49&gt;G$16,MONTH($A49)=MONTH(G$16)),C48/C36,G48))</f>
        <v>1.02276923076923</v>
      </c>
      <c r="H49" s="1668" t="n">
        <f aca="false">IF(Assm!$L$75=0,H48,IF(AND($A49&gt;H$16,MONTH($A49)=MONTH(H$16)),C48/C36-H$18,H48))</f>
        <v>1.02026923076923</v>
      </c>
      <c r="I49" s="1668" t="n">
        <f aca="false">IF(Assm!$L$75=0,I48,IF($A49&gt;=I$16,IF(MONTH($A49)=MONTH(I$16),AVERAGE(D37:D48),I48),I48))</f>
        <v>1.164025</v>
      </c>
      <c r="J49" s="1675" t="n">
        <f aca="false">IF(Assm!$L$75=0,J48,IF($A49&gt;=J$16,IF(MONTH($A49)=MONTH(J$16),AVERAGE(E37:E48),J48),J48))</f>
        <v>1.09396176255212</v>
      </c>
      <c r="K49" s="1624" t="n">
        <f aca="false">K48+1</f>
        <v>37</v>
      </c>
      <c r="L49" s="1667" t="n">
        <f aca="false">HLOOKUP(L$14,Dec_Change,$K49)</f>
        <v>1.02276923076923</v>
      </c>
      <c r="M49" s="1668" t="n">
        <f aca="false">M48</f>
        <v>0</v>
      </c>
      <c r="N49" s="1675" t="n">
        <f aca="false">IF(AND($A49&gt;=N$16,MONTH($A49)=MONTH(N$16)),MAX(L49,M49)*N48,N48)</f>
        <v>1.0374531835206</v>
      </c>
      <c r="P49" s="1667" t="n">
        <f aca="false">HLOOKUP(P$14,Dec_Change,$K49)</f>
        <v>1.08507567830054</v>
      </c>
      <c r="Q49" s="1668" t="n">
        <f aca="false">Q48</f>
        <v>0</v>
      </c>
      <c r="R49" s="1675" t="n">
        <f aca="false">IF(AND($A49&gt;=R$16,MONTH($A49)=MONTH(R$16)),MAX(P49,Q49)*R48,R48)</f>
        <v>1.13477865915154</v>
      </c>
      <c r="T49" s="1667" t="n">
        <f aca="false">HLOOKUP(T$14,Dec_Change,$K49)</f>
        <v>1.02276923076923</v>
      </c>
      <c r="U49" s="1668" t="n">
        <f aca="false">U48</f>
        <v>1.005</v>
      </c>
      <c r="V49" s="1675" t="n">
        <f aca="false">IF(AND($A49&gt;=V$16,MONTH($A49)=MONTH(V$16)),MAX(T49,U49)*V48,V48)</f>
        <v>1.0374531835206</v>
      </c>
      <c r="X49" s="1667" t="n">
        <f aca="false">HLOOKUP(X$14,Dec_Change,$K49)</f>
        <v>1.02026923076923</v>
      </c>
      <c r="Y49" s="1668" t="n">
        <f aca="false">Y48</f>
        <v>1.02</v>
      </c>
      <c r="Z49" s="1675" t="n">
        <f aca="false">IF(AND($A49&gt;=Z$16,MONTH($A49)=MONTH(Z$16)),MAX(X49,Y49)*Z48,Z48)</f>
        <v>1.04067461538462</v>
      </c>
      <c r="AB49" s="1667" t="n">
        <f aca="false">HLOOKUP(AB$14,Dec_Change,$K49)</f>
        <v>1.02026923076923</v>
      </c>
      <c r="AC49" s="1668" t="n">
        <f aca="false">AC48</f>
        <v>1.02</v>
      </c>
      <c r="AD49" s="1675" t="n">
        <f aca="false">IF(AND($A49&gt;=AD$16,MONTH($A49)=MONTH(AD$16)),MAX(AB49,AC49)*AD48,AD48)</f>
        <v>1.04067461538462</v>
      </c>
      <c r="AF49" s="1667" t="n">
        <f aca="false">HLOOKUP(AF$14,Dec_Change,$K49)</f>
        <v>1.08507567830054</v>
      </c>
      <c r="AG49" s="1668" t="n">
        <f aca="false">AG48</f>
        <v>0</v>
      </c>
      <c r="AH49" s="1675" t="n">
        <f aca="false">IF(AND($A49&gt;=AH$16,MONTH($A49)=MONTH(AH$16)),MAX(AF49,AG49)*AH48,AH48)</f>
        <v>1.13477865915154</v>
      </c>
      <c r="AJ49" s="1667" t="n">
        <f aca="false">HLOOKUP(AJ$14,Dec_Change,$K49)</f>
        <v>1.02026923076923</v>
      </c>
      <c r="AK49" s="1668" t="n">
        <f aca="false">AK48</f>
        <v>1.02</v>
      </c>
      <c r="AL49" s="1675" t="n">
        <f aca="false">IF(AND($A49&gt;=AL$16,MONTH($A49)=MONTH(AL$16)),MAX(AJ49,AK49)*AL48,AL48)</f>
        <v>1.04067461538462</v>
      </c>
      <c r="AN49" s="1667" t="n">
        <f aca="false">HLOOKUP(AN$14,Dec_Change,$K49)</f>
        <v>1.02276923076923</v>
      </c>
      <c r="AO49" s="1668" t="n">
        <f aca="false">AO48</f>
        <v>1.005</v>
      </c>
      <c r="AP49" s="1675" t="n">
        <f aca="false">IF(AND($A49&gt;=AP$16,MONTH($A49)=MONTH(AP$16)),MAX(AN49,AO49)*AP48,AP48)</f>
        <v>1.0374531835206</v>
      </c>
      <c r="AR49" s="1670" t="n">
        <f aca="false">$A49</f>
        <v>36312</v>
      </c>
      <c r="AS49" s="1671" t="n">
        <f aca="false">IF(AND($A49&gt;=EDATE(AS$17,12),IF(Assm!$L$74=0,$D49,$E49)/AS48&gt;=1.05),IF(Assm!$L$74=0,$D49,$E49),AS48)</f>
        <v>2.05</v>
      </c>
      <c r="AT49" s="1671" t="n">
        <f aca="false">IF(AS49/AS48=1,AT48,AS49/AS48)</f>
        <v>1.69659852685591</v>
      </c>
      <c r="AU49" s="1671" t="n">
        <f aca="false">F49</f>
        <v>1.08507567830054</v>
      </c>
      <c r="AV49" s="1671" t="n">
        <f aca="false">MAX(AT49,AU49)</f>
        <v>1.69659852685591</v>
      </c>
      <c r="AW49" s="1675" t="n">
        <f aca="false">IF(AV49=AV48,AW48,AV49*AW48)</f>
        <v>1.92488262910798</v>
      </c>
    </row>
    <row r="50" customFormat="false" ht="12.75" hidden="false" customHeight="false" outlineLevel="0" collapsed="false">
      <c r="A50" s="1673" t="n">
        <f aca="false">EDATE(A49,1)</f>
        <v>36342</v>
      </c>
      <c r="B50" s="1659" t="n">
        <f aca="false">'[4]Monthly Curve Calc.'!B53</f>
        <v>162.25</v>
      </c>
      <c r="C50" s="1660" t="n">
        <f aca="false">'[4]Monthly Curve Calc.'!C53</f>
        <v>166.7</v>
      </c>
      <c r="D50" s="1661" t="n">
        <f aca="false">'[4]Monthly Curve Calc.'!F53</f>
        <v>1.801</v>
      </c>
      <c r="E50" s="1662" t="n">
        <f aca="false">IF($A50&lt;=E$16,D50,(B50/B49)/(C50/C49)*E49)</f>
        <v>1.18609696594803</v>
      </c>
      <c r="F50" s="1674" t="n">
        <f aca="false">IF(Assm!$L$75=0,F49,IF(AND($A50&gt;F$16,MONTH($A50)=MONTH(F$16)),B49/B37,F49))</f>
        <v>1.08507567830054</v>
      </c>
      <c r="G50" s="1668" t="n">
        <f aca="false">IF(Assm!$L$75=0,G49,IF(AND($A50&gt;G$16,MONTH($A50)=MONTH(G$16)),C49/C37,G49))</f>
        <v>1.02276923076923</v>
      </c>
      <c r="H50" s="1668" t="n">
        <f aca="false">IF(Assm!$L$75=0,H49,IF(AND($A50&gt;H$16,MONTH($A50)=MONTH(H$16)),C49/C37-H$18,H49))</f>
        <v>1.02026923076923</v>
      </c>
      <c r="I50" s="1668" t="n">
        <f aca="false">IF(Assm!$L$75=0,I49,IF($A50&gt;=I$16,IF(MONTH($A50)=MONTH(I$16),AVERAGE(D38:D49),I49),I49))</f>
        <v>1.164025</v>
      </c>
      <c r="J50" s="1675" t="n">
        <f aca="false">IF(Assm!$L$75=0,J49,IF($A50&gt;=J$16,IF(MONTH($A50)=MONTH(J$16),AVERAGE(E38:E49),J49),J49))</f>
        <v>1.09396176255212</v>
      </c>
      <c r="K50" s="1624" t="n">
        <f aca="false">K49+1</f>
        <v>38</v>
      </c>
      <c r="L50" s="1667" t="n">
        <f aca="false">HLOOKUP(L$14,Dec_Change,$K50)</f>
        <v>1.02276923076923</v>
      </c>
      <c r="M50" s="1668" t="n">
        <f aca="false">M49</f>
        <v>0</v>
      </c>
      <c r="N50" s="1675" t="n">
        <f aca="false">IF(AND($A50&gt;=N$16,MONTH($A50)=MONTH(N$16)),MAX(L50,M50)*N49,N49)</f>
        <v>1.0374531835206</v>
      </c>
      <c r="P50" s="1667" t="n">
        <f aca="false">HLOOKUP(P$14,Dec_Change,$K50)</f>
        <v>1.08507567830054</v>
      </c>
      <c r="Q50" s="1668" t="n">
        <f aca="false">Q49</f>
        <v>0</v>
      </c>
      <c r="R50" s="1675" t="n">
        <f aca="false">IF(AND($A50&gt;=R$16,MONTH($A50)=MONTH(R$16)),MAX(P50,Q50)*R49,R49)</f>
        <v>1.13477865915154</v>
      </c>
      <c r="T50" s="1667" t="n">
        <f aca="false">HLOOKUP(T$14,Dec_Change,$K50)</f>
        <v>1.02276923076923</v>
      </c>
      <c r="U50" s="1668" t="n">
        <f aca="false">U49</f>
        <v>1.005</v>
      </c>
      <c r="V50" s="1675" t="n">
        <f aca="false">IF(AND($A50&gt;=V$16,MONTH($A50)=MONTH(V$16)),MAX(T50,U50)*V49,V49)</f>
        <v>1.0374531835206</v>
      </c>
      <c r="X50" s="1667" t="n">
        <f aca="false">HLOOKUP(X$14,Dec_Change,$K50)</f>
        <v>1.02026923076923</v>
      </c>
      <c r="Y50" s="1668" t="n">
        <f aca="false">Y49</f>
        <v>1.02</v>
      </c>
      <c r="Z50" s="1675" t="n">
        <f aca="false">IF(AND($A50&gt;=Z$16,MONTH($A50)=MONTH(Z$16)),MAX(X50,Y50)*Z49,Z49)</f>
        <v>1.04067461538462</v>
      </c>
      <c r="AB50" s="1667" t="n">
        <f aca="false">HLOOKUP(AB$14,Dec_Change,$K50)</f>
        <v>1.02026923076923</v>
      </c>
      <c r="AC50" s="1668" t="n">
        <f aca="false">AC49</f>
        <v>1.02</v>
      </c>
      <c r="AD50" s="1675" t="n">
        <f aca="false">IF(AND($A50&gt;=AD$16,MONTH($A50)=MONTH(AD$16)),MAX(AB50,AC50)*AD49,AD49)</f>
        <v>1.04067461538462</v>
      </c>
      <c r="AF50" s="1667" t="n">
        <f aca="false">HLOOKUP(AF$14,Dec_Change,$K50)</f>
        <v>1.08507567830054</v>
      </c>
      <c r="AG50" s="1668" t="n">
        <f aca="false">AG49</f>
        <v>0</v>
      </c>
      <c r="AH50" s="1675" t="n">
        <f aca="false">IF(AND($A50&gt;=AH$16,MONTH($A50)=MONTH(AH$16)),MAX(AF50,AG50)*AH49,AH49)</f>
        <v>1.13477865915154</v>
      </c>
      <c r="AJ50" s="1667" t="n">
        <f aca="false">HLOOKUP(AJ$14,Dec_Change,$K50)</f>
        <v>1.02026923076923</v>
      </c>
      <c r="AK50" s="1668" t="n">
        <f aca="false">AK49</f>
        <v>1.02</v>
      </c>
      <c r="AL50" s="1675" t="n">
        <f aca="false">IF(AND($A50&gt;=AL$16,MONTH($A50)=MONTH(AL$16)),MAX(AJ50,AK50)*AL49,AL49)</f>
        <v>1.04067461538462</v>
      </c>
      <c r="AN50" s="1667" t="n">
        <f aca="false">HLOOKUP(AN$14,Dec_Change,$K50)</f>
        <v>1.02276923076923</v>
      </c>
      <c r="AO50" s="1668" t="n">
        <f aca="false">AO49</f>
        <v>1.005</v>
      </c>
      <c r="AP50" s="1675" t="n">
        <f aca="false">IF(AND($A50&gt;=AP$16,MONTH($A50)=MONTH(AP$16)),MAX(AN50,AO50)*AP49,AP49)</f>
        <v>1.0374531835206</v>
      </c>
      <c r="AR50" s="1670" t="n">
        <f aca="false">$A50</f>
        <v>36342</v>
      </c>
      <c r="AS50" s="1671" t="n">
        <f aca="false">IF(AND($A50&gt;=EDATE(AS$17,12),IF(Assm!$L$74=0,$D50,$E50)/AS49&gt;=1.05),IF(Assm!$L$74=0,$D50,$E50),AS49)</f>
        <v>2.05</v>
      </c>
      <c r="AT50" s="1671" t="n">
        <f aca="false">IF(AS50/AS49=1,AT49,AS50/AS49)</f>
        <v>1.69659852685591</v>
      </c>
      <c r="AU50" s="1671" t="n">
        <f aca="false">F50</f>
        <v>1.08507567830054</v>
      </c>
      <c r="AV50" s="1671" t="n">
        <f aca="false">MAX(AT50,AU50)</f>
        <v>1.69659852685591</v>
      </c>
      <c r="AW50" s="1675" t="n">
        <f aca="false">IF(AV50=AV49,AW49,AV50*AW49)</f>
        <v>1.92488262910798</v>
      </c>
    </row>
    <row r="51" customFormat="false" ht="12.75" hidden="false" customHeight="false" outlineLevel="0" collapsed="false">
      <c r="A51" s="1673" t="n">
        <f aca="false">EDATE(A50,1)</f>
        <v>36373</v>
      </c>
      <c r="B51" s="1659" t="n">
        <f aca="false">'[4]Monthly Curve Calc.'!B54</f>
        <v>164.61</v>
      </c>
      <c r="C51" s="1660" t="n">
        <f aca="false">'[4]Monthly Curve Calc.'!C54</f>
        <v>167.1</v>
      </c>
      <c r="D51" s="1661" t="n">
        <f aca="false">'[4]Monthly Curve Calc.'!F54</f>
        <v>1.919</v>
      </c>
      <c r="E51" s="1662" t="n">
        <f aca="false">IF($A51&lt;=E$16,D51,(B51/B50)/(C51/C50)*E50)</f>
        <v>1.20046873659467</v>
      </c>
      <c r="F51" s="1674" t="n">
        <f aca="false">IF(Assm!$L$75=0,F50,IF(AND($A51&gt;F$16,MONTH($A51)=MONTH(F$16)),B50/B38,F50))</f>
        <v>1.08507567830054</v>
      </c>
      <c r="G51" s="1668" t="n">
        <f aca="false">IF(Assm!$L$75=0,G50,IF(AND($A51&gt;G$16,MONTH($A51)=MONTH(G$16)),C50/C38,G50))</f>
        <v>1.02276923076923</v>
      </c>
      <c r="H51" s="1668" t="n">
        <f aca="false">IF(Assm!$L$75=0,H50,IF(AND($A51&gt;H$16,MONTH($A51)=MONTH(H$16)),C50/C38-H$18,H50))</f>
        <v>1.02026923076923</v>
      </c>
      <c r="I51" s="1668" t="n">
        <f aca="false">IF(Assm!$L$75=0,I50,IF($A51&gt;=I$16,IF(MONTH($A51)=MONTH(I$16),AVERAGE(D39:D50),I50),I50))</f>
        <v>1.164025</v>
      </c>
      <c r="J51" s="1675" t="n">
        <f aca="false">IF(Assm!$L$75=0,J50,IF($A51&gt;=J$16,IF(MONTH($A51)=MONTH(J$16),AVERAGE(E39:E50),J50),J50))</f>
        <v>1.09396176255212</v>
      </c>
      <c r="K51" s="1624" t="n">
        <f aca="false">K50+1</f>
        <v>39</v>
      </c>
      <c r="L51" s="1667" t="n">
        <f aca="false">HLOOKUP(L$14,Dec_Change,$K51)</f>
        <v>1.02276923076923</v>
      </c>
      <c r="M51" s="1668" t="n">
        <f aca="false">M50</f>
        <v>0</v>
      </c>
      <c r="N51" s="1675" t="n">
        <f aca="false">IF(AND($A51&gt;=N$16,MONTH($A51)=MONTH(N$16)),MAX(L51,M51)*N50,N50)</f>
        <v>1.0374531835206</v>
      </c>
      <c r="P51" s="1667" t="n">
        <f aca="false">HLOOKUP(P$14,Dec_Change,$K51)</f>
        <v>1.08507567830054</v>
      </c>
      <c r="Q51" s="1668" t="n">
        <f aca="false">Q50</f>
        <v>0</v>
      </c>
      <c r="R51" s="1675" t="n">
        <f aca="false">IF(AND($A51&gt;=R$16,MONTH($A51)=MONTH(R$16)),MAX(P51,Q51)*R50,R50)</f>
        <v>1.13477865915154</v>
      </c>
      <c r="T51" s="1667" t="n">
        <f aca="false">HLOOKUP(T$14,Dec_Change,$K51)</f>
        <v>1.02276923076923</v>
      </c>
      <c r="U51" s="1668" t="n">
        <f aca="false">U50</f>
        <v>1.005</v>
      </c>
      <c r="V51" s="1675" t="n">
        <f aca="false">IF(AND($A51&gt;=V$16,MONTH($A51)=MONTH(V$16)),MAX(T51,U51)*V50,V50)</f>
        <v>1.0374531835206</v>
      </c>
      <c r="X51" s="1667" t="n">
        <f aca="false">HLOOKUP(X$14,Dec_Change,$K51)</f>
        <v>1.02026923076923</v>
      </c>
      <c r="Y51" s="1668" t="n">
        <f aca="false">Y50</f>
        <v>1.02</v>
      </c>
      <c r="Z51" s="1675" t="n">
        <f aca="false">IF(AND($A51&gt;=Z$16,MONTH($A51)=MONTH(Z$16)),MAX(X51,Y51)*Z50,Z50)</f>
        <v>1.04067461538462</v>
      </c>
      <c r="AB51" s="1667" t="n">
        <f aca="false">HLOOKUP(AB$14,Dec_Change,$K51)</f>
        <v>1.02026923076923</v>
      </c>
      <c r="AC51" s="1668" t="n">
        <f aca="false">AC50</f>
        <v>1.02</v>
      </c>
      <c r="AD51" s="1675" t="n">
        <f aca="false">IF(AND($A51&gt;=AD$16,MONTH($A51)=MONTH(AD$16)),MAX(AB51,AC51)*AD50,AD50)</f>
        <v>1.04067461538462</v>
      </c>
      <c r="AF51" s="1667" t="n">
        <f aca="false">HLOOKUP(AF$14,Dec_Change,$K51)</f>
        <v>1.08507567830054</v>
      </c>
      <c r="AG51" s="1668" t="n">
        <f aca="false">AG50</f>
        <v>0</v>
      </c>
      <c r="AH51" s="1675" t="n">
        <f aca="false">IF(AND($A51&gt;=AH$16,MONTH($A51)=MONTH(AH$16)),MAX(AF51,AG51)*AH50,AH50)</f>
        <v>1.13477865915154</v>
      </c>
      <c r="AJ51" s="1667" t="n">
        <f aca="false">HLOOKUP(AJ$14,Dec_Change,$K51)</f>
        <v>1.02026923076923</v>
      </c>
      <c r="AK51" s="1668" t="n">
        <f aca="false">AK50</f>
        <v>1.02</v>
      </c>
      <c r="AL51" s="1675" t="n">
        <f aca="false">IF(AND($A51&gt;=AL$16,MONTH($A51)=MONTH(AL$16)),MAX(AJ51,AK51)*AL50,AL50)</f>
        <v>1.04067461538462</v>
      </c>
      <c r="AN51" s="1667" t="n">
        <f aca="false">HLOOKUP(AN$14,Dec_Change,$K51)</f>
        <v>1.02276923076923</v>
      </c>
      <c r="AO51" s="1668" t="n">
        <f aca="false">AO50</f>
        <v>1.005</v>
      </c>
      <c r="AP51" s="1675" t="n">
        <f aca="false">IF(AND($A51&gt;=AP$16,MONTH($A51)=MONTH(AP$16)),MAX(AN51,AO51)*AP50,AP50)</f>
        <v>1.0374531835206</v>
      </c>
      <c r="AR51" s="1670" t="n">
        <f aca="false">$A51</f>
        <v>36373</v>
      </c>
      <c r="AS51" s="1671" t="n">
        <f aca="false">IF(AND($A51&gt;=EDATE(AS$17,12),IF(Assm!$L$74=0,$D51,$E51)/AS50&gt;=1.05),IF(Assm!$L$74=0,$D51,$E51),AS50)</f>
        <v>2.05</v>
      </c>
      <c r="AT51" s="1671" t="n">
        <f aca="false">IF(AS51/AS50=1,AT50,AS51/AS50)</f>
        <v>1.69659852685591</v>
      </c>
      <c r="AU51" s="1671" t="n">
        <f aca="false">F51</f>
        <v>1.08507567830054</v>
      </c>
      <c r="AV51" s="1671" t="n">
        <f aca="false">MAX(AT51,AU51)</f>
        <v>1.69659852685591</v>
      </c>
      <c r="AW51" s="1675" t="n">
        <f aca="false">IF(AV51=AV50,AW50,AV51*AW50)</f>
        <v>1.92488262910798</v>
      </c>
    </row>
    <row r="52" customFormat="false" ht="12.75" hidden="false" customHeight="false" outlineLevel="0" collapsed="false">
      <c r="A52" s="1673" t="n">
        <f aca="false">EDATE(A51,1)</f>
        <v>36404</v>
      </c>
      <c r="B52" s="1659" t="n">
        <f aca="false">'[4]Monthly Curve Calc.'!B55</f>
        <v>167.03</v>
      </c>
      <c r="C52" s="1660" t="n">
        <f aca="false">'[4]Monthly Curve Calc.'!C55</f>
        <v>167.9</v>
      </c>
      <c r="D52" s="1661" t="n">
        <f aca="false">'[4]Monthly Curve Calc.'!F55</f>
        <v>1.9375</v>
      </c>
      <c r="E52" s="1662" t="n">
        <f aca="false">IF($A52&lt;=E$16,D52,(B52/B51)/(C52/C51)*E51)</f>
        <v>1.21231331278</v>
      </c>
      <c r="F52" s="1674" t="n">
        <f aca="false">IF(Assm!$L$75=0,F51,IF(AND($A52&gt;F$16,MONTH($A52)=MONTH(F$16)),B51/B39,F51))</f>
        <v>1.08507567830054</v>
      </c>
      <c r="G52" s="1668" t="n">
        <f aca="false">IF(Assm!$L$75=0,G51,IF(AND($A52&gt;G$16,MONTH($A52)=MONTH(G$16)),C51/C39,G51))</f>
        <v>1.02276923076923</v>
      </c>
      <c r="H52" s="1668" t="n">
        <f aca="false">IF(Assm!$L$75=0,H51,IF(AND($A52&gt;H$16,MONTH($A52)=MONTH(H$16)),C51/C39-H$18,H51))</f>
        <v>1.02026923076923</v>
      </c>
      <c r="I52" s="1668" t="n">
        <f aca="false">IF(Assm!$L$75=0,I51,IF($A52&gt;=I$16,IF(MONTH($A52)=MONTH(I$16),AVERAGE(D40:D51),I51),I51))</f>
        <v>1.164025</v>
      </c>
      <c r="J52" s="1675" t="n">
        <f aca="false">IF(Assm!$L$75=0,J51,IF($A52&gt;=J$16,IF(MONTH($A52)=MONTH(J$16),AVERAGE(E40:E51),J51),J51))</f>
        <v>1.09396176255212</v>
      </c>
      <c r="K52" s="1624" t="n">
        <f aca="false">K51+1</f>
        <v>40</v>
      </c>
      <c r="L52" s="1667" t="n">
        <f aca="false">HLOOKUP(L$14,Dec_Change,$K52)</f>
        <v>1.02276923076923</v>
      </c>
      <c r="M52" s="1668" t="n">
        <f aca="false">M51</f>
        <v>0</v>
      </c>
      <c r="N52" s="1675" t="n">
        <f aca="false">IF(AND($A52&gt;=N$16,MONTH($A52)=MONTH(N$16)),MAX(L52,M52)*N51,N51)</f>
        <v>1.0374531835206</v>
      </c>
      <c r="P52" s="1667" t="n">
        <f aca="false">HLOOKUP(P$14,Dec_Change,$K52)</f>
        <v>1.08507567830054</v>
      </c>
      <c r="Q52" s="1668" t="n">
        <f aca="false">Q51</f>
        <v>0</v>
      </c>
      <c r="R52" s="1675" t="n">
        <f aca="false">IF(AND($A52&gt;=R$16,MONTH($A52)=MONTH(R$16)),MAX(P52,Q52)*R51,R51)</f>
        <v>1.13477865915154</v>
      </c>
      <c r="T52" s="1667" t="n">
        <f aca="false">HLOOKUP(T$14,Dec_Change,$K52)</f>
        <v>1.02276923076923</v>
      </c>
      <c r="U52" s="1668" t="n">
        <f aca="false">U51</f>
        <v>1.005</v>
      </c>
      <c r="V52" s="1675" t="n">
        <f aca="false">IF(AND($A52&gt;=V$16,MONTH($A52)=MONTH(V$16)),MAX(T52,U52)*V51,V51)</f>
        <v>1.0374531835206</v>
      </c>
      <c r="X52" s="1667" t="n">
        <f aca="false">HLOOKUP(X$14,Dec_Change,$K52)</f>
        <v>1.02026923076923</v>
      </c>
      <c r="Y52" s="1668" t="n">
        <f aca="false">Y51</f>
        <v>1.02</v>
      </c>
      <c r="Z52" s="1675" t="n">
        <f aca="false">IF(AND($A52&gt;=Z$16,MONTH($A52)=MONTH(Z$16)),MAX(X52,Y52)*Z51,Z51)</f>
        <v>1.04067461538462</v>
      </c>
      <c r="AB52" s="1667" t="n">
        <f aca="false">HLOOKUP(AB$14,Dec_Change,$K52)</f>
        <v>1.02026923076923</v>
      </c>
      <c r="AC52" s="1668" t="n">
        <f aca="false">AC51</f>
        <v>1.02</v>
      </c>
      <c r="AD52" s="1675" t="n">
        <f aca="false">IF(AND($A52&gt;=AD$16,MONTH($A52)=MONTH(AD$16)),MAX(AB52,AC52)*AD51,AD51)</f>
        <v>1.04067461538462</v>
      </c>
      <c r="AF52" s="1667" t="n">
        <f aca="false">HLOOKUP(AF$14,Dec_Change,$K52)</f>
        <v>1.08507567830054</v>
      </c>
      <c r="AG52" s="1668" t="n">
        <f aca="false">AG51</f>
        <v>0</v>
      </c>
      <c r="AH52" s="1675" t="n">
        <f aca="false">IF(AND($A52&gt;=AH$16,MONTH($A52)=MONTH(AH$16)),MAX(AF52,AG52)*AH51,AH51)</f>
        <v>1.13477865915154</v>
      </c>
      <c r="AJ52" s="1667" t="n">
        <f aca="false">HLOOKUP(AJ$14,Dec_Change,$K52)</f>
        <v>1.02026923076923</v>
      </c>
      <c r="AK52" s="1668" t="n">
        <f aca="false">AK51</f>
        <v>1.02</v>
      </c>
      <c r="AL52" s="1675" t="n">
        <f aca="false">IF(AND($A52&gt;=AL$16,MONTH($A52)=MONTH(AL$16)),MAX(AJ52,AK52)*AL51,AL51)</f>
        <v>1.04067461538462</v>
      </c>
      <c r="AN52" s="1667" t="n">
        <f aca="false">HLOOKUP(AN$14,Dec_Change,$K52)</f>
        <v>1.02276923076923</v>
      </c>
      <c r="AO52" s="1668" t="n">
        <f aca="false">AO51</f>
        <v>1.005</v>
      </c>
      <c r="AP52" s="1675" t="n">
        <f aca="false">IF(AND($A52&gt;=AP$16,MONTH($A52)=MONTH(AP$16)),MAX(AN52,AO52)*AP51,AP51)</f>
        <v>1.0374531835206</v>
      </c>
      <c r="AR52" s="1670" t="n">
        <f aca="false">$A52</f>
        <v>36404</v>
      </c>
      <c r="AS52" s="1671" t="n">
        <f aca="false">IF(AND($A52&gt;=EDATE(AS$17,12),IF(Assm!$L$74=0,$D52,$E52)/AS51&gt;=1.05),IF(Assm!$L$74=0,$D52,$E52),AS51)</f>
        <v>2.05</v>
      </c>
      <c r="AT52" s="1671" t="n">
        <f aca="false">IF(AS52/AS51=1,AT51,AS52/AS51)</f>
        <v>1.69659852685591</v>
      </c>
      <c r="AU52" s="1671" t="n">
        <f aca="false">F52</f>
        <v>1.08507567830054</v>
      </c>
      <c r="AV52" s="1671" t="n">
        <f aca="false">MAX(AT52,AU52)</f>
        <v>1.69659852685591</v>
      </c>
      <c r="AW52" s="1675" t="n">
        <f aca="false">IF(AV52=AV51,AW51,AV52*AW51)</f>
        <v>1.92488262910798</v>
      </c>
    </row>
    <row r="53" customFormat="false" ht="12.75" hidden="false" customHeight="false" outlineLevel="0" collapsed="false">
      <c r="A53" s="1673" t="n">
        <f aca="false">EDATE(A52,1)</f>
        <v>36434</v>
      </c>
      <c r="B53" s="1659" t="n">
        <f aca="false">'[4]Monthly Curve Calc.'!B56</f>
        <v>170.18</v>
      </c>
      <c r="C53" s="1660" t="n">
        <f aca="false">'[4]Monthly Curve Calc.'!C56</f>
        <v>168.2</v>
      </c>
      <c r="D53" s="1661" t="n">
        <f aca="false">'[4]Monthly Curve Calc.'!F56</f>
        <v>1.949</v>
      </c>
      <c r="E53" s="1662" t="n">
        <f aca="false">IF($A53&lt;=E$16,D53,(B53/B52)/(C53/C52)*E52)</f>
        <v>1.23297314421571</v>
      </c>
      <c r="F53" s="1674" t="n">
        <f aca="false">IF(Assm!$L$75=0,F52,IF(AND($A53&gt;F$16,MONTH($A53)=MONTH(F$16)),B52/B40,F52))</f>
        <v>1.08507567830054</v>
      </c>
      <c r="G53" s="1668" t="n">
        <f aca="false">IF(Assm!$L$75=0,G52,IF(AND($A53&gt;G$16,MONTH($A53)=MONTH(G$16)),C52/C40,G52))</f>
        <v>1.02276923076923</v>
      </c>
      <c r="H53" s="1668" t="n">
        <f aca="false">IF(Assm!$L$75=0,H52,IF(AND($A53&gt;H$16,MONTH($A53)=MONTH(H$16)),C52/C40-H$18,H52))</f>
        <v>1.02026923076923</v>
      </c>
      <c r="I53" s="1668" t="n">
        <f aca="false">IF(Assm!$L$75=0,I52,IF($A53&gt;=I$16,IF(MONTH($A53)=MONTH(I$16),AVERAGE(D41:D52),I52),I52))</f>
        <v>1.164025</v>
      </c>
      <c r="J53" s="1675" t="n">
        <f aca="false">IF(Assm!$L$75=0,J52,IF($A53&gt;=J$16,IF(MONTH($A53)=MONTH(J$16),AVERAGE(E41:E52),J52),J52))</f>
        <v>1.09396176255212</v>
      </c>
      <c r="K53" s="1624" t="n">
        <f aca="false">K52+1</f>
        <v>41</v>
      </c>
      <c r="L53" s="1667" t="n">
        <f aca="false">HLOOKUP(L$14,Dec_Change,$K53)</f>
        <v>1.02276923076923</v>
      </c>
      <c r="M53" s="1668" t="n">
        <f aca="false">M52</f>
        <v>0</v>
      </c>
      <c r="N53" s="1675" t="n">
        <f aca="false">IF(AND($A53&gt;=N$16,MONTH($A53)=MONTH(N$16)),MAX(L53,M53)*N52,N52)</f>
        <v>1.0374531835206</v>
      </c>
      <c r="P53" s="1667" t="n">
        <f aca="false">HLOOKUP(P$14,Dec_Change,$K53)</f>
        <v>1.08507567830054</v>
      </c>
      <c r="Q53" s="1668" t="n">
        <f aca="false">Q52</f>
        <v>0</v>
      </c>
      <c r="R53" s="1675" t="n">
        <f aca="false">IF(AND($A53&gt;=R$16,MONTH($A53)=MONTH(R$16)),MAX(P53,Q53)*R52,R52)</f>
        <v>1.13477865915154</v>
      </c>
      <c r="T53" s="1667" t="n">
        <f aca="false">HLOOKUP(T$14,Dec_Change,$K53)</f>
        <v>1.02276923076923</v>
      </c>
      <c r="U53" s="1668" t="n">
        <f aca="false">U52</f>
        <v>1.005</v>
      </c>
      <c r="V53" s="1675" t="n">
        <f aca="false">IF(AND($A53&gt;=V$16,MONTH($A53)=MONTH(V$16)),MAX(T53,U53)*V52,V52)</f>
        <v>1.0374531835206</v>
      </c>
      <c r="X53" s="1667" t="n">
        <f aca="false">HLOOKUP(X$14,Dec_Change,$K53)</f>
        <v>1.02026923076923</v>
      </c>
      <c r="Y53" s="1668" t="n">
        <f aca="false">Y52</f>
        <v>1.02</v>
      </c>
      <c r="Z53" s="1675" t="n">
        <f aca="false">IF(AND($A53&gt;=Z$16,MONTH($A53)=MONTH(Z$16)),MAX(X53,Y53)*Z52,Z52)</f>
        <v>1.04067461538462</v>
      </c>
      <c r="AB53" s="1667" t="n">
        <f aca="false">HLOOKUP(AB$14,Dec_Change,$K53)</f>
        <v>1.02026923076923</v>
      </c>
      <c r="AC53" s="1668" t="n">
        <f aca="false">AC52</f>
        <v>1.02</v>
      </c>
      <c r="AD53" s="1675" t="n">
        <f aca="false">IF(AND($A53&gt;=AD$16,MONTH($A53)=MONTH(AD$16)),MAX(AB53,AC53)*AD52,AD52)</f>
        <v>1.04067461538462</v>
      </c>
      <c r="AF53" s="1667" t="n">
        <f aca="false">HLOOKUP(AF$14,Dec_Change,$K53)</f>
        <v>1.08507567830054</v>
      </c>
      <c r="AG53" s="1668" t="n">
        <f aca="false">AG52</f>
        <v>0</v>
      </c>
      <c r="AH53" s="1675" t="n">
        <f aca="false">IF(AND($A53&gt;=AH$16,MONTH($A53)=MONTH(AH$16)),MAX(AF53,AG53)*AH52,AH52)</f>
        <v>1.13477865915154</v>
      </c>
      <c r="AJ53" s="1667" t="n">
        <f aca="false">HLOOKUP(AJ$14,Dec_Change,$K53)</f>
        <v>1.02026923076923</v>
      </c>
      <c r="AK53" s="1668" t="n">
        <f aca="false">AK52</f>
        <v>1.02</v>
      </c>
      <c r="AL53" s="1675" t="n">
        <f aca="false">IF(AND($A53&gt;=AL$16,MONTH($A53)=MONTH(AL$16)),MAX(AJ53,AK53)*AL52,AL52)</f>
        <v>1.04067461538462</v>
      </c>
      <c r="AN53" s="1667" t="n">
        <f aca="false">HLOOKUP(AN$14,Dec_Change,$K53)</f>
        <v>1.02276923076923</v>
      </c>
      <c r="AO53" s="1668" t="n">
        <f aca="false">AO52</f>
        <v>1.005</v>
      </c>
      <c r="AP53" s="1675" t="n">
        <f aca="false">IF(AND($A53&gt;=AP$16,MONTH($A53)=MONTH(AP$16)),MAX(AN53,AO53)*AP52,AP52)</f>
        <v>1.0374531835206</v>
      </c>
      <c r="AR53" s="1670" t="n">
        <f aca="false">$A53</f>
        <v>36434</v>
      </c>
      <c r="AS53" s="1671" t="n">
        <f aca="false">IF(AND($A53&gt;=EDATE(AS$17,12),IF(Assm!$L$74=0,$D53,$E53)/AS52&gt;=1.05),IF(Assm!$L$74=0,$D53,$E53),AS52)</f>
        <v>2.05</v>
      </c>
      <c r="AT53" s="1671" t="n">
        <f aca="false">IF(AS53/AS52=1,AT52,AS53/AS52)</f>
        <v>1.69659852685591</v>
      </c>
      <c r="AU53" s="1671" t="n">
        <f aca="false">F53</f>
        <v>1.08507567830054</v>
      </c>
      <c r="AV53" s="1671" t="n">
        <f aca="false">MAX(AT53,AU53)</f>
        <v>1.69659852685591</v>
      </c>
      <c r="AW53" s="1675" t="n">
        <f aca="false">IF(AV53=AV52,AW52,AV53*AW52)</f>
        <v>1.92488262910798</v>
      </c>
    </row>
    <row r="54" customFormat="false" ht="12.75" hidden="false" customHeight="false" outlineLevel="0" collapsed="false">
      <c r="A54" s="1673" t="n">
        <f aca="false">EDATE(A53,1)</f>
        <v>36465</v>
      </c>
      <c r="B54" s="1659" t="n">
        <f aca="false">'[4]Monthly Curve Calc.'!B57</f>
        <v>174.5</v>
      </c>
      <c r="C54" s="1660" t="n">
        <f aca="false">'[4]Monthly Curve Calc.'!C57</f>
        <v>168.3</v>
      </c>
      <c r="D54" s="1661" t="n">
        <f aca="false">'[4]Monthly Curve Calc.'!F57</f>
        <v>1.923</v>
      </c>
      <c r="E54" s="1662" t="n">
        <f aca="false">IF($A54&lt;=E$16,D54,(B54/B53)/(C54/C53)*E53)</f>
        <v>1.26352082620851</v>
      </c>
      <c r="F54" s="1674" t="n">
        <f aca="false">IF(Assm!$L$75=0,F53,IF(AND($A54&gt;F$16,MONTH($A54)=MONTH(F$16)),B53/B41,F53))</f>
        <v>1.08507567830054</v>
      </c>
      <c r="G54" s="1668" t="n">
        <f aca="false">IF(Assm!$L$75=0,G53,IF(AND($A54&gt;G$16,MONTH($A54)=MONTH(G$16)),C53/C41,G53))</f>
        <v>1.02276923076923</v>
      </c>
      <c r="H54" s="1668" t="n">
        <f aca="false">IF(Assm!$L$75=0,H53,IF(AND($A54&gt;H$16,MONTH($A54)=MONTH(H$16)),C53/C41-H$18,H53))</f>
        <v>1.02026923076923</v>
      </c>
      <c r="I54" s="1668" t="n">
        <f aca="false">IF(Assm!$L$75=0,I53,IF($A54&gt;=I$16,IF(MONTH($A54)=MONTH(I$16),AVERAGE(D42:D53),I53),I53))</f>
        <v>1.164025</v>
      </c>
      <c r="J54" s="1675" t="n">
        <f aca="false">IF(Assm!$L$75=0,J53,IF($A54&gt;=J$16,IF(MONTH($A54)=MONTH(J$16),AVERAGE(E42:E53),J53),J53))</f>
        <v>1.09396176255212</v>
      </c>
      <c r="K54" s="1624" t="n">
        <f aca="false">K53+1</f>
        <v>42</v>
      </c>
      <c r="L54" s="1667" t="n">
        <f aca="false">HLOOKUP(L$14,Dec_Change,$K54)</f>
        <v>1.02276923076923</v>
      </c>
      <c r="M54" s="1668" t="n">
        <f aca="false">M53</f>
        <v>0</v>
      </c>
      <c r="N54" s="1675" t="n">
        <f aca="false">IF(AND($A54&gt;=N$16,MONTH($A54)=MONTH(N$16)),MAX(L54,M54)*N53,N53)</f>
        <v>1.0374531835206</v>
      </c>
      <c r="P54" s="1667" t="n">
        <f aca="false">HLOOKUP(P$14,Dec_Change,$K54)</f>
        <v>1.08507567830054</v>
      </c>
      <c r="Q54" s="1668" t="n">
        <f aca="false">Q53</f>
        <v>0</v>
      </c>
      <c r="R54" s="1675" t="n">
        <f aca="false">IF(AND($A54&gt;=R$16,MONTH($A54)=MONTH(R$16)),MAX(P54,Q54)*R53,R53)</f>
        <v>1.13477865915154</v>
      </c>
      <c r="T54" s="1667" t="n">
        <f aca="false">HLOOKUP(T$14,Dec_Change,$K54)</f>
        <v>1.02276923076923</v>
      </c>
      <c r="U54" s="1668" t="n">
        <f aca="false">U53</f>
        <v>1.005</v>
      </c>
      <c r="V54" s="1675" t="n">
        <f aca="false">IF(AND($A54&gt;=V$16,MONTH($A54)=MONTH(V$16)),MAX(T54,U54)*V53,V53)</f>
        <v>1.0374531835206</v>
      </c>
      <c r="X54" s="1667" t="n">
        <f aca="false">HLOOKUP(X$14,Dec_Change,$K54)</f>
        <v>1.02026923076923</v>
      </c>
      <c r="Y54" s="1668" t="n">
        <f aca="false">Y53</f>
        <v>1.02</v>
      </c>
      <c r="Z54" s="1675" t="n">
        <f aca="false">IF(AND($A54&gt;=Z$16,MONTH($A54)=MONTH(Z$16)),MAX(X54,Y54)*Z53,Z53)</f>
        <v>1.04067461538462</v>
      </c>
      <c r="AB54" s="1667" t="n">
        <f aca="false">HLOOKUP(AB$14,Dec_Change,$K54)</f>
        <v>1.02026923076923</v>
      </c>
      <c r="AC54" s="1668" t="n">
        <f aca="false">AC53</f>
        <v>1.02</v>
      </c>
      <c r="AD54" s="1675" t="n">
        <f aca="false">IF(AND($A54&gt;=AD$16,MONTH($A54)=MONTH(AD$16)),MAX(AB54,AC54)*AD53,AD53)</f>
        <v>1.04067461538462</v>
      </c>
      <c r="AF54" s="1667" t="n">
        <f aca="false">HLOOKUP(AF$14,Dec_Change,$K54)</f>
        <v>1.08507567830054</v>
      </c>
      <c r="AG54" s="1668" t="n">
        <f aca="false">AG53</f>
        <v>0</v>
      </c>
      <c r="AH54" s="1675" t="n">
        <f aca="false">IF(AND($A54&gt;=AH$16,MONTH($A54)=MONTH(AH$16)),MAX(AF54,AG54)*AH53,AH53)</f>
        <v>1.13477865915154</v>
      </c>
      <c r="AJ54" s="1667" t="n">
        <f aca="false">HLOOKUP(AJ$14,Dec_Change,$K54)</f>
        <v>1.02026923076923</v>
      </c>
      <c r="AK54" s="1668" t="n">
        <f aca="false">AK53</f>
        <v>1.02</v>
      </c>
      <c r="AL54" s="1675" t="n">
        <f aca="false">IF(AND($A54&gt;=AL$16,MONTH($A54)=MONTH(AL$16)),MAX(AJ54,AK54)*AL53,AL53)</f>
        <v>1.04067461538462</v>
      </c>
      <c r="AN54" s="1667" t="n">
        <f aca="false">HLOOKUP(AN$14,Dec_Change,$K54)</f>
        <v>1.02276923076923</v>
      </c>
      <c r="AO54" s="1668" t="n">
        <f aca="false">AO53</f>
        <v>1.005</v>
      </c>
      <c r="AP54" s="1675" t="n">
        <f aca="false">IF(AND($A54&gt;=AP$16,MONTH($A54)=MONTH(AP$16)),MAX(AN54,AO54)*AP53,AP53)</f>
        <v>1.0374531835206</v>
      </c>
      <c r="AR54" s="1670" t="n">
        <f aca="false">$A54</f>
        <v>36465</v>
      </c>
      <c r="AS54" s="1671" t="n">
        <f aca="false">IF(AND($A54&gt;=EDATE(AS$17,12),IF(Assm!$L$74=0,$D54,$E54)/AS53&gt;=1.05),IF(Assm!$L$74=0,$D54,$E54),AS53)</f>
        <v>2.05</v>
      </c>
      <c r="AT54" s="1671" t="n">
        <f aca="false">IF(AS54/AS53=1,AT53,AS54/AS53)</f>
        <v>1.69659852685591</v>
      </c>
      <c r="AU54" s="1671" t="n">
        <f aca="false">F54</f>
        <v>1.08507567830054</v>
      </c>
      <c r="AV54" s="1671" t="n">
        <f aca="false">MAX(AT54,AU54)</f>
        <v>1.69659852685591</v>
      </c>
      <c r="AW54" s="1675" t="n">
        <f aca="false">IF(AV54=AV53,AW53,AV54*AW53)</f>
        <v>1.92488262910798</v>
      </c>
    </row>
    <row r="55" customFormat="false" ht="12.75" hidden="false" customHeight="false" outlineLevel="0" collapsed="false">
      <c r="A55" s="1673" t="n">
        <f aca="false">EDATE(A54,1)</f>
        <v>36495</v>
      </c>
      <c r="B55" s="1659" t="n">
        <f aca="false">'[4]Monthly Curve Calc.'!B58</f>
        <v>176.65</v>
      </c>
      <c r="C55" s="1660" t="n">
        <f aca="false">'[4]Monthly Curve Calc.'!C58</f>
        <v>168.3</v>
      </c>
      <c r="D55" s="1661" t="n">
        <f aca="false">'[4]Monthly Curve Calc.'!F58</f>
        <v>1.799</v>
      </c>
      <c r="E55" s="1662" t="n">
        <f aca="false">IF($A55&lt;=E$16,D55,(B55/B54)/(C55/C54)*E54)</f>
        <v>1.27908856131652</v>
      </c>
      <c r="F55" s="1674" t="n">
        <f aca="false">IF(Assm!$L$75=0,F54,IF(AND($A55&gt;F$16,MONTH($A55)=MONTH(F$16)),B54/B42,F54))</f>
        <v>1.08507567830054</v>
      </c>
      <c r="G55" s="1668" t="n">
        <f aca="false">IF(Assm!$L$75=0,G54,IF(AND($A55&gt;G$16,MONTH($A55)=MONTH(G$16)),C54/C42,G54))</f>
        <v>1.02276923076923</v>
      </c>
      <c r="H55" s="1668" t="n">
        <f aca="false">IF(Assm!$L$75=0,H54,IF(AND($A55&gt;H$16,MONTH($A55)=MONTH(H$16)),C54/C42-H$18,H54))</f>
        <v>1.02026923076923</v>
      </c>
      <c r="I55" s="1668" t="n">
        <f aca="false">IF(Assm!$L$75=0,I54,IF($A55&gt;=I$16,IF(MONTH($A55)=MONTH(I$16),AVERAGE(D43:D54),I54),I54))</f>
        <v>1.164025</v>
      </c>
      <c r="J55" s="1675" t="n">
        <f aca="false">IF(Assm!$L$75=0,J54,IF($A55&gt;=J$16,IF(MONTH($A55)=MONTH(J$16),AVERAGE(E43:E54),J54),J54))</f>
        <v>1.09396176255212</v>
      </c>
      <c r="K55" s="1624" t="n">
        <f aca="false">K54+1</f>
        <v>43</v>
      </c>
      <c r="L55" s="1667" t="n">
        <f aca="false">HLOOKUP(L$14,Dec_Change,$K55)</f>
        <v>1.02276923076923</v>
      </c>
      <c r="M55" s="1668" t="n">
        <f aca="false">M54</f>
        <v>0</v>
      </c>
      <c r="N55" s="1675" t="n">
        <f aca="false">IF(AND($A55&gt;=N$16,MONTH($A55)=MONTH(N$16)),MAX(L55,M55)*N54,N54)</f>
        <v>1.0374531835206</v>
      </c>
      <c r="P55" s="1667" t="n">
        <f aca="false">HLOOKUP(P$14,Dec_Change,$K55)</f>
        <v>1.08507567830054</v>
      </c>
      <c r="Q55" s="1668" t="n">
        <f aca="false">Q54</f>
        <v>0</v>
      </c>
      <c r="R55" s="1675" t="n">
        <f aca="false">IF(AND($A55&gt;=R$16,MONTH($A55)=MONTH(R$16)),MAX(P55,Q55)*R54,R54)</f>
        <v>1.13477865915154</v>
      </c>
      <c r="T55" s="1667" t="n">
        <f aca="false">HLOOKUP(T$14,Dec_Change,$K55)</f>
        <v>1.02276923076923</v>
      </c>
      <c r="U55" s="1668" t="n">
        <f aca="false">U54</f>
        <v>1.005</v>
      </c>
      <c r="V55" s="1675" t="n">
        <f aca="false">IF(AND($A55&gt;=V$16,MONTH($A55)=MONTH(V$16)),MAX(T55,U55)*V54,V54)</f>
        <v>1.0374531835206</v>
      </c>
      <c r="X55" s="1667" t="n">
        <f aca="false">HLOOKUP(X$14,Dec_Change,$K55)</f>
        <v>1.02026923076923</v>
      </c>
      <c r="Y55" s="1668" t="n">
        <f aca="false">Y54</f>
        <v>1.02</v>
      </c>
      <c r="Z55" s="1675" t="n">
        <f aca="false">IF(AND($A55&gt;=Z$16,MONTH($A55)=MONTH(Z$16)),MAX(X55,Y55)*Z54,Z54)</f>
        <v>1.04067461538462</v>
      </c>
      <c r="AB55" s="1667" t="n">
        <f aca="false">HLOOKUP(AB$14,Dec_Change,$K55)</f>
        <v>1.02026923076923</v>
      </c>
      <c r="AC55" s="1668" t="n">
        <f aca="false">AC54</f>
        <v>1.02</v>
      </c>
      <c r="AD55" s="1675" t="n">
        <f aca="false">IF(AND($A55&gt;=AD$16,MONTH($A55)=MONTH(AD$16)),MAX(AB55,AC55)*AD54,AD54)</f>
        <v>1.04067461538462</v>
      </c>
      <c r="AF55" s="1667" t="n">
        <f aca="false">HLOOKUP(AF$14,Dec_Change,$K55)</f>
        <v>1.08507567830054</v>
      </c>
      <c r="AG55" s="1668" t="n">
        <f aca="false">AG54</f>
        <v>0</v>
      </c>
      <c r="AH55" s="1675" t="n">
        <f aca="false">IF(AND($A55&gt;=AH$16,MONTH($A55)=MONTH(AH$16)),MAX(AF55,AG55)*AH54,AH54)</f>
        <v>1.13477865915154</v>
      </c>
      <c r="AJ55" s="1667" t="n">
        <f aca="false">HLOOKUP(AJ$14,Dec_Change,$K55)</f>
        <v>1.02026923076923</v>
      </c>
      <c r="AK55" s="1668" t="n">
        <f aca="false">AK54</f>
        <v>1.02</v>
      </c>
      <c r="AL55" s="1675" t="n">
        <f aca="false">IF(AND($A55&gt;=AL$16,MONTH($A55)=MONTH(AL$16)),MAX(AJ55,AK55)*AL54,AL54)</f>
        <v>1.04067461538462</v>
      </c>
      <c r="AN55" s="1667" t="n">
        <f aca="false">HLOOKUP(AN$14,Dec_Change,$K55)</f>
        <v>1.02276923076923</v>
      </c>
      <c r="AO55" s="1668" t="n">
        <f aca="false">AO54</f>
        <v>1.005</v>
      </c>
      <c r="AP55" s="1675" t="n">
        <f aca="false">IF(AND($A55&gt;=AP$16,MONTH($A55)=MONTH(AP$16)),MAX(AN55,AO55)*AP54,AP54)</f>
        <v>1.0374531835206</v>
      </c>
      <c r="AR55" s="1670" t="n">
        <f aca="false">$A55</f>
        <v>36495</v>
      </c>
      <c r="AS55" s="1671" t="n">
        <f aca="false">IF(AND($A55&gt;=EDATE(AS$17,12),IF(Assm!$L$74=0,$D55,$E55)/AS54&gt;=1.05),IF(Assm!$L$74=0,$D55,$E55),AS54)</f>
        <v>2.05</v>
      </c>
      <c r="AT55" s="1671" t="n">
        <f aca="false">IF(AS55/AS54=1,AT54,AS55/AS54)</f>
        <v>1.69659852685591</v>
      </c>
      <c r="AU55" s="1671" t="n">
        <f aca="false">F55</f>
        <v>1.08507567830054</v>
      </c>
      <c r="AV55" s="1671" t="n">
        <f aca="false">MAX(AT55,AU55)</f>
        <v>1.69659852685591</v>
      </c>
      <c r="AW55" s="1675" t="n">
        <f aca="false">IF(AV55=AV54,AW54,AV55*AW54)</f>
        <v>1.92488262910798</v>
      </c>
    </row>
    <row r="56" customFormat="false" ht="12.75" hidden="false" customHeight="false" outlineLevel="0" collapsed="false">
      <c r="A56" s="1673" t="n">
        <f aca="false">EDATE(A55,1)</f>
        <v>36526</v>
      </c>
      <c r="B56" s="1659" t="n">
        <f aca="false">'[4]Monthly Curve Calc.'!B59</f>
        <v>177.962667619927</v>
      </c>
      <c r="C56" s="1660" t="n">
        <f aca="false">'[4]Monthly Curve Calc.'!C59</f>
        <v>168.759419216569</v>
      </c>
      <c r="D56" s="1661" t="n">
        <f aca="false">'[4]Monthly Curve Calc.'!F59</f>
        <v>1.79475064868979</v>
      </c>
      <c r="E56" s="1662" t="n">
        <f aca="false">IF($A56&lt;=E$16,D56,(B56/B55)/(C56/C55)*E55)</f>
        <v>1.28508535499749</v>
      </c>
      <c r="F56" s="1674" t="n">
        <f aca="false">IF(Assm!$L$75=0,F55,IF(AND($A56&gt;F$16,MONTH($A56)=MONTH(F$16)),B55/B43,F55))</f>
        <v>1.08507567830054</v>
      </c>
      <c r="G56" s="1668" t="n">
        <f aca="false">IF(Assm!$L$75=0,G55,IF(AND($A56&gt;G$16,MONTH($A56)=MONTH(G$16)),C55/C43,G55))</f>
        <v>1.02276923076923</v>
      </c>
      <c r="H56" s="1668" t="n">
        <f aca="false">IF(Assm!$L$75=0,H55,IF(AND($A56&gt;H$16,MONTH($A56)=MONTH(H$16)),C55/C43-H$18,H55))</f>
        <v>1.02026923076923</v>
      </c>
      <c r="I56" s="1668" t="n">
        <f aca="false">IF(Assm!$L$75=0,I55,IF($A56&gt;=I$16,IF(MONTH($A56)=MONTH(I$16),AVERAGE(D44:D55),I55),I55))</f>
        <v>1.85579166666667</v>
      </c>
      <c r="J56" s="1675" t="n">
        <f aca="false">IF(Assm!$L$75=0,J55,IF($A56&gt;=J$16,IF(MONTH($A56)=MONTH(J$16),AVERAGE(E44:E55),J55),J55))</f>
        <v>1.19134151567081</v>
      </c>
      <c r="K56" s="1624" t="n">
        <f aca="false">K55+1</f>
        <v>44</v>
      </c>
      <c r="L56" s="1667" t="n">
        <f aca="false">HLOOKUP(L$14,Dec_Change,$K56)</f>
        <v>1.02276923076923</v>
      </c>
      <c r="M56" s="1668" t="n">
        <f aca="false">M55</f>
        <v>0</v>
      </c>
      <c r="N56" s="1675" t="n">
        <f aca="false">IF(AND($A56&gt;=N$16,MONTH($A56)=MONTH(N$16)),MAX(L56,M56)*N55,N55)</f>
        <v>1.0374531835206</v>
      </c>
      <c r="P56" s="1667" t="n">
        <f aca="false">HLOOKUP(P$14,Dec_Change,$K56)</f>
        <v>1.08507567830054</v>
      </c>
      <c r="Q56" s="1668" t="n">
        <f aca="false">Q55</f>
        <v>0</v>
      </c>
      <c r="R56" s="1675" t="n">
        <f aca="false">IF(AND($A56&gt;=R$16,MONTH($A56)=MONTH(R$16)),MAX(P56,Q56)*R55,R55)</f>
        <v>1.13477865915154</v>
      </c>
      <c r="T56" s="1667" t="n">
        <f aca="false">HLOOKUP(T$14,Dec_Change,$K56)</f>
        <v>1.02276923076923</v>
      </c>
      <c r="U56" s="1668" t="n">
        <f aca="false">U55</f>
        <v>1.005</v>
      </c>
      <c r="V56" s="1675" t="n">
        <f aca="false">IF(AND($A56&gt;=V$16,MONTH($A56)=MONTH(V$16)),MAX(T56,U56)*V55,V55)</f>
        <v>1.0374531835206</v>
      </c>
      <c r="X56" s="1667" t="n">
        <f aca="false">HLOOKUP(X$14,Dec_Change,$K56)</f>
        <v>1.02026923076923</v>
      </c>
      <c r="Y56" s="1668" t="n">
        <f aca="false">Y55</f>
        <v>1.02</v>
      </c>
      <c r="Z56" s="1675" t="n">
        <f aca="false">IF(AND($A56&gt;=Z$16,MONTH($A56)=MONTH(Z$16)),MAX(X56,Y56)*Z55,Z55)</f>
        <v>1.04067461538462</v>
      </c>
      <c r="AB56" s="1667" t="n">
        <f aca="false">HLOOKUP(AB$14,Dec_Change,$K56)</f>
        <v>1.02026923076923</v>
      </c>
      <c r="AC56" s="1668" t="n">
        <f aca="false">AC55</f>
        <v>1.02</v>
      </c>
      <c r="AD56" s="1675" t="n">
        <f aca="false">IF(AND($A56&gt;=AD$16,MONTH($A56)=MONTH(AD$16)),MAX(AB56,AC56)*AD55,AD55)</f>
        <v>1.04067461538462</v>
      </c>
      <c r="AF56" s="1667" t="n">
        <f aca="false">HLOOKUP(AF$14,Dec_Change,$K56)</f>
        <v>1.08507567830054</v>
      </c>
      <c r="AG56" s="1668" t="n">
        <f aca="false">AG55</f>
        <v>0</v>
      </c>
      <c r="AH56" s="1675" t="n">
        <f aca="false">IF(AND($A56&gt;=AH$16,MONTH($A56)=MONTH(AH$16)),MAX(AF56,AG56)*AH55,AH55)</f>
        <v>1.13477865915154</v>
      </c>
      <c r="AJ56" s="1667" t="n">
        <f aca="false">HLOOKUP(AJ$14,Dec_Change,$K56)</f>
        <v>1.02026923076923</v>
      </c>
      <c r="AK56" s="1668" t="n">
        <f aca="false">AK55</f>
        <v>1.02</v>
      </c>
      <c r="AL56" s="1675" t="n">
        <f aca="false">IF(AND($A56&gt;=AL$16,MONTH($A56)=MONTH(AL$16)),MAX(AJ56,AK56)*AL55,AL55)</f>
        <v>1.04067461538462</v>
      </c>
      <c r="AN56" s="1667" t="n">
        <f aca="false">HLOOKUP(AN$14,Dec_Change,$K56)</f>
        <v>1.02276923076923</v>
      </c>
      <c r="AO56" s="1668" t="n">
        <f aca="false">AO55</f>
        <v>1.005</v>
      </c>
      <c r="AP56" s="1675" t="n">
        <f aca="false">IF(AND($A56&gt;=AP$16,MONTH($A56)=MONTH(AP$16)),MAX(AN56,AO56)*AP55,AP55)</f>
        <v>1.0374531835206</v>
      </c>
      <c r="AR56" s="1670" t="n">
        <f aca="false">$A56</f>
        <v>36526</v>
      </c>
      <c r="AS56" s="1671" t="n">
        <f aca="false">IF(AND($A56&gt;=EDATE(AS$17,12),IF(Assm!$L$74=0,$D56,$E56)/AS55&gt;=1.05),IF(Assm!$L$74=0,$D56,$E56),AS55)</f>
        <v>2.05</v>
      </c>
      <c r="AT56" s="1671" t="n">
        <f aca="false">IF(AS56/AS55=1,AT55,AS56/AS55)</f>
        <v>1.69659852685591</v>
      </c>
      <c r="AU56" s="1671" t="n">
        <f aca="false">F56</f>
        <v>1.08507567830054</v>
      </c>
      <c r="AV56" s="1671" t="n">
        <f aca="false">MAX(AT56,AU56)</f>
        <v>1.69659852685591</v>
      </c>
      <c r="AW56" s="1675" t="n">
        <f aca="false">IF(AV56=AV55,AW55,AV56*AW55)</f>
        <v>1.92488262910798</v>
      </c>
    </row>
    <row r="57" customFormat="false" ht="12.75" hidden="false" customHeight="false" outlineLevel="0" collapsed="false">
      <c r="A57" s="1673" t="n">
        <f aca="false">EDATE(A56,1)</f>
        <v>36557</v>
      </c>
      <c r="B57" s="1659" t="n">
        <f aca="false">'[4]Monthly Curve Calc.'!B60</f>
        <v>179.285089535243</v>
      </c>
      <c r="C57" s="1660" t="n">
        <f aca="false">'[4]Monthly Curve Calc.'!C60</f>
        <v>169.220092538999</v>
      </c>
      <c r="D57" s="1661" t="n">
        <f aca="false">'[4]Monthly Curve Calc.'!F60</f>
        <v>1.79051133461502</v>
      </c>
      <c r="E57" s="1662" t="n">
        <f aca="false">IF($A57&lt;=E$16,D57,(B57/B56)/(C57/C56)*E56)</f>
        <v>1.29111026364683</v>
      </c>
      <c r="F57" s="1674" t="n">
        <f aca="false">IF(Assm!$L$75=0,F56,IF(AND($A57&gt;F$16,MONTH($A57)=MONTH(F$16)),B56/B44,F56))</f>
        <v>1.08507567830054</v>
      </c>
      <c r="G57" s="1668" t="n">
        <f aca="false">IF(Assm!$L$75=0,G56,IF(AND($A57&gt;G$16,MONTH($A57)=MONTH(G$16)),C56/C44,G56))</f>
        <v>1.02276923076923</v>
      </c>
      <c r="H57" s="1668" t="n">
        <f aca="false">IF(Assm!$L$75=0,H56,IF(AND($A57&gt;H$16,MONTH($A57)=MONTH(H$16)),C56/C44-H$18,H56))</f>
        <v>1.02026923076923</v>
      </c>
      <c r="I57" s="1668" t="n">
        <f aca="false">IF(Assm!$L$75=0,I56,IF($A57&gt;=I$16,IF(MONTH($A57)=MONTH(I$16),AVERAGE(D45:D56),I56),I56))</f>
        <v>1.85579166666667</v>
      </c>
      <c r="J57" s="1675" t="n">
        <f aca="false">IF(Assm!$L$75=0,J56,IF($A57&gt;=J$16,IF(MONTH($A57)=MONTH(J$16),AVERAGE(E45:E56),J56),J56))</f>
        <v>1.19134151567081</v>
      </c>
      <c r="K57" s="1624" t="n">
        <f aca="false">K56+1</f>
        <v>45</v>
      </c>
      <c r="L57" s="1667" t="n">
        <f aca="false">HLOOKUP(L$14,Dec_Change,$K57)</f>
        <v>1.02276923076923</v>
      </c>
      <c r="M57" s="1668" t="n">
        <f aca="false">M56</f>
        <v>0</v>
      </c>
      <c r="N57" s="1675" t="n">
        <f aca="false">IF(AND($A57&gt;=N$16,MONTH($A57)=MONTH(N$16)),MAX(L57,M57)*N56,N56)</f>
        <v>1.0374531835206</v>
      </c>
      <c r="P57" s="1667" t="n">
        <f aca="false">HLOOKUP(P$14,Dec_Change,$K57)</f>
        <v>1.08507567830054</v>
      </c>
      <c r="Q57" s="1668" t="n">
        <f aca="false">Q56</f>
        <v>0</v>
      </c>
      <c r="R57" s="1675" t="n">
        <f aca="false">IF(AND($A57&gt;=R$16,MONTH($A57)=MONTH(R$16)),MAX(P57,Q57)*R56,R56)</f>
        <v>1.13477865915154</v>
      </c>
      <c r="T57" s="1667" t="n">
        <f aca="false">HLOOKUP(T$14,Dec_Change,$K57)</f>
        <v>1.02276923076923</v>
      </c>
      <c r="U57" s="1668" t="n">
        <f aca="false">U56</f>
        <v>1.005</v>
      </c>
      <c r="V57" s="1675" t="n">
        <f aca="false">IF(AND($A57&gt;=V$16,MONTH($A57)=MONTH(V$16)),MAX(T57,U57)*V56,V56)</f>
        <v>1.0374531835206</v>
      </c>
      <c r="X57" s="1667" t="n">
        <f aca="false">HLOOKUP(X$14,Dec_Change,$K57)</f>
        <v>1.02026923076923</v>
      </c>
      <c r="Y57" s="1668" t="n">
        <f aca="false">Y56</f>
        <v>1.02</v>
      </c>
      <c r="Z57" s="1675" t="n">
        <f aca="false">IF(AND($A57&gt;=Z$16,MONTH($A57)=MONTH(Z$16)),MAX(X57,Y57)*Z56,Z56)</f>
        <v>1.04067461538462</v>
      </c>
      <c r="AB57" s="1667" t="n">
        <f aca="false">HLOOKUP(AB$14,Dec_Change,$K57)</f>
        <v>1.02026923076923</v>
      </c>
      <c r="AC57" s="1668" t="n">
        <f aca="false">AC56</f>
        <v>1.02</v>
      </c>
      <c r="AD57" s="1675" t="n">
        <f aca="false">IF(AND($A57&gt;=AD$16,MONTH($A57)=MONTH(AD$16)),MAX(AB57,AC57)*AD56,AD56)</f>
        <v>1.04067461538462</v>
      </c>
      <c r="AF57" s="1667" t="n">
        <f aca="false">HLOOKUP(AF$14,Dec_Change,$K57)</f>
        <v>1.08507567830054</v>
      </c>
      <c r="AG57" s="1668" t="n">
        <f aca="false">AG56</f>
        <v>0</v>
      </c>
      <c r="AH57" s="1675" t="n">
        <f aca="false">IF(AND($A57&gt;=AH$16,MONTH($A57)=MONTH(AH$16)),MAX(AF57,AG57)*AH56,AH56)</f>
        <v>1.13477865915154</v>
      </c>
      <c r="AJ57" s="1667" t="n">
        <f aca="false">HLOOKUP(AJ$14,Dec_Change,$K57)</f>
        <v>1.02026923076923</v>
      </c>
      <c r="AK57" s="1668" t="n">
        <f aca="false">AK56</f>
        <v>1.02</v>
      </c>
      <c r="AL57" s="1675" t="n">
        <f aca="false">IF(AND($A57&gt;=AL$16,MONTH($A57)=MONTH(AL$16)),MAX(AJ57,AK57)*AL56,AL56)</f>
        <v>1.04067461538462</v>
      </c>
      <c r="AN57" s="1667" t="n">
        <f aca="false">HLOOKUP(AN$14,Dec_Change,$K57)</f>
        <v>1.02276923076923</v>
      </c>
      <c r="AO57" s="1668" t="n">
        <f aca="false">AO56</f>
        <v>1.005</v>
      </c>
      <c r="AP57" s="1675" t="n">
        <f aca="false">IF(AND($A57&gt;=AP$16,MONTH($A57)=MONTH(AP$16)),MAX(AN57,AO57)*AP56,AP56)</f>
        <v>1.0374531835206</v>
      </c>
      <c r="AR57" s="1670" t="n">
        <f aca="false">$A57</f>
        <v>36557</v>
      </c>
      <c r="AS57" s="1671" t="n">
        <f aca="false">IF(AND($A57&gt;=EDATE(AS$17,12),IF(Assm!$L$74=0,$D57,$E57)/AS56&gt;=1.05),IF(Assm!$L$74=0,$D57,$E57),AS56)</f>
        <v>2.05</v>
      </c>
      <c r="AT57" s="1671" t="n">
        <f aca="false">IF(AS57/AS56=1,AT56,AS57/AS56)</f>
        <v>1.69659852685591</v>
      </c>
      <c r="AU57" s="1671" t="n">
        <f aca="false">F57</f>
        <v>1.08507567830054</v>
      </c>
      <c r="AV57" s="1671" t="n">
        <f aca="false">MAX(AT57,AU57)</f>
        <v>1.69659852685591</v>
      </c>
      <c r="AW57" s="1675" t="n">
        <f aca="false">IF(AV57=AV56,AW56,AV57*AW56)</f>
        <v>1.92488262910798</v>
      </c>
    </row>
    <row r="58" customFormat="false" ht="12.75" hidden="false" customHeight="false" outlineLevel="0" collapsed="false">
      <c r="A58" s="1673" t="n">
        <f aca="false">EDATE(A57,1)</f>
        <v>36586</v>
      </c>
      <c r="B58" s="1659" t="n">
        <f aca="false">'[4]Monthly Curve Calc.'!B61</f>
        <v>180.617338229093</v>
      </c>
      <c r="C58" s="1660" t="n">
        <f aca="false">'[4]Monthly Curve Calc.'!C61</f>
        <v>169.682023390704</v>
      </c>
      <c r="D58" s="1661" t="n">
        <f aca="false">'[4]Monthly Curve Calc.'!F61</f>
        <v>1.78628203406711</v>
      </c>
      <c r="E58" s="1662" t="n">
        <f aca="false">IF($A58&lt;=E$16,D58,(B58/B57)/(C58/C57)*E57)</f>
        <v>1.29716341907689</v>
      </c>
      <c r="F58" s="1674" t="n">
        <f aca="false">IF(Assm!$L$75=0,F57,IF(AND($A58&gt;F$16,MONTH($A58)=MONTH(F$16)),B57/B45,F57))</f>
        <v>1.08507567830054</v>
      </c>
      <c r="G58" s="1668" t="n">
        <f aca="false">IF(Assm!$L$75=0,G57,IF(AND($A58&gt;G$16,MONTH($A58)=MONTH(G$16)),C57/C45,G57))</f>
        <v>1.02276923076923</v>
      </c>
      <c r="H58" s="1668" t="n">
        <f aca="false">IF(Assm!$L$75=0,H57,IF(AND($A58&gt;H$16,MONTH($A58)=MONTH(H$16)),C57/C45-H$18,H57))</f>
        <v>1.02026923076923</v>
      </c>
      <c r="I58" s="1668" t="n">
        <f aca="false">IF(Assm!$L$75=0,I57,IF($A58&gt;=I$16,IF(MONTH($A58)=MONTH(I$16),AVERAGE(D46:D57),I57),I57))</f>
        <v>1.85579166666667</v>
      </c>
      <c r="J58" s="1675" t="n">
        <f aca="false">IF(Assm!$L$75=0,J57,IF($A58&gt;=J$16,IF(MONTH($A58)=MONTH(J$16),AVERAGE(E46:E57),J57),J57))</f>
        <v>1.19134151567081</v>
      </c>
      <c r="K58" s="1624" t="n">
        <f aca="false">K57+1</f>
        <v>46</v>
      </c>
      <c r="L58" s="1667" t="n">
        <f aca="false">HLOOKUP(L$14,Dec_Change,$K58)</f>
        <v>1.02276923076923</v>
      </c>
      <c r="M58" s="1668" t="n">
        <f aca="false">M57</f>
        <v>0</v>
      </c>
      <c r="N58" s="1675" t="n">
        <f aca="false">IF(AND($A58&gt;=N$16,MONTH($A58)=MONTH(N$16)),MAX(L58,M58)*N57,N57)</f>
        <v>1.0374531835206</v>
      </c>
      <c r="P58" s="1667" t="n">
        <f aca="false">HLOOKUP(P$14,Dec_Change,$K58)</f>
        <v>1.08507567830054</v>
      </c>
      <c r="Q58" s="1668" t="n">
        <f aca="false">Q57</f>
        <v>0</v>
      </c>
      <c r="R58" s="1675" t="n">
        <f aca="false">IF(AND($A58&gt;=R$16,MONTH($A58)=MONTH(R$16)),MAX(P58,Q58)*R57,R57)</f>
        <v>1.13477865915154</v>
      </c>
      <c r="T58" s="1667" t="n">
        <f aca="false">HLOOKUP(T$14,Dec_Change,$K58)</f>
        <v>1.02276923076923</v>
      </c>
      <c r="U58" s="1668" t="n">
        <f aca="false">U57</f>
        <v>1.005</v>
      </c>
      <c r="V58" s="1675" t="n">
        <f aca="false">IF(AND($A58&gt;=V$16,MONTH($A58)=MONTH(V$16)),MAX(T58,U58)*V57,V57)</f>
        <v>1.0374531835206</v>
      </c>
      <c r="X58" s="1667" t="n">
        <f aca="false">HLOOKUP(X$14,Dec_Change,$K58)</f>
        <v>1.02026923076923</v>
      </c>
      <c r="Y58" s="1668" t="n">
        <f aca="false">Y57</f>
        <v>1.02</v>
      </c>
      <c r="Z58" s="1675" t="n">
        <f aca="false">IF(AND($A58&gt;=Z$16,MONTH($A58)=MONTH(Z$16)),MAX(X58,Y58)*Z57,Z57)</f>
        <v>1.04067461538462</v>
      </c>
      <c r="AB58" s="1667" t="n">
        <f aca="false">HLOOKUP(AB$14,Dec_Change,$K58)</f>
        <v>1.02026923076923</v>
      </c>
      <c r="AC58" s="1668" t="n">
        <f aca="false">AC57</f>
        <v>1.02</v>
      </c>
      <c r="AD58" s="1675" t="n">
        <f aca="false">IF(AND($A58&gt;=AD$16,MONTH($A58)=MONTH(AD$16)),MAX(AB58,AC58)*AD57,AD57)</f>
        <v>1.04067461538462</v>
      </c>
      <c r="AF58" s="1667" t="n">
        <f aca="false">HLOOKUP(AF$14,Dec_Change,$K58)</f>
        <v>1.08507567830054</v>
      </c>
      <c r="AG58" s="1668" t="n">
        <f aca="false">AG57</f>
        <v>0</v>
      </c>
      <c r="AH58" s="1675" t="n">
        <f aca="false">IF(AND($A58&gt;=AH$16,MONTH($A58)=MONTH(AH$16)),MAX(AF58,AG58)*AH57,AH57)</f>
        <v>1.13477865915154</v>
      </c>
      <c r="AJ58" s="1667" t="n">
        <f aca="false">HLOOKUP(AJ$14,Dec_Change,$K58)</f>
        <v>1.02026923076923</v>
      </c>
      <c r="AK58" s="1668" t="n">
        <f aca="false">AK57</f>
        <v>1.02</v>
      </c>
      <c r="AL58" s="1675" t="n">
        <f aca="false">IF(AND($A58&gt;=AL$16,MONTH($A58)=MONTH(AL$16)),MAX(AJ58,AK58)*AL57,AL57)</f>
        <v>1.04067461538462</v>
      </c>
      <c r="AN58" s="1667" t="n">
        <f aca="false">HLOOKUP(AN$14,Dec_Change,$K58)</f>
        <v>1.02276923076923</v>
      </c>
      <c r="AO58" s="1668" t="n">
        <f aca="false">AO57</f>
        <v>1.005</v>
      </c>
      <c r="AP58" s="1675" t="n">
        <f aca="false">IF(AND($A58&gt;=AP$16,MONTH($A58)=MONTH(AP$16)),MAX(AN58,AO58)*AP57,AP57)</f>
        <v>1.0374531835206</v>
      </c>
      <c r="AR58" s="1670" t="n">
        <f aca="false">$A58</f>
        <v>36586</v>
      </c>
      <c r="AS58" s="1671" t="n">
        <f aca="false">IF(AND($A58&gt;=EDATE(AS$17,12),IF(Assm!$L$74=0,$D58,$E58)/AS57&gt;=1.05),IF(Assm!$L$74=0,$D58,$E58),AS57)</f>
        <v>2.05</v>
      </c>
      <c r="AT58" s="1671" t="n">
        <f aca="false">IF(AS58/AS57=1,AT57,AS58/AS57)</f>
        <v>1.69659852685591</v>
      </c>
      <c r="AU58" s="1671" t="n">
        <f aca="false">F58</f>
        <v>1.08507567830054</v>
      </c>
      <c r="AV58" s="1671" t="n">
        <f aca="false">MAX(AT58,AU58)</f>
        <v>1.69659852685591</v>
      </c>
      <c r="AW58" s="1675" t="n">
        <f aca="false">IF(AV58=AV57,AW57,AV58*AW57)</f>
        <v>1.92488262910798</v>
      </c>
    </row>
    <row r="59" customFormat="false" ht="12.75" hidden="false" customHeight="false" outlineLevel="0" collapsed="false">
      <c r="A59" s="1673" t="n">
        <f aca="false">EDATE(A58,1)</f>
        <v>36617</v>
      </c>
      <c r="B59" s="1659" t="n">
        <f aca="false">'[4]Monthly Curve Calc.'!B62</f>
        <v>181.959486723239</v>
      </c>
      <c r="C59" s="1660" t="n">
        <f aca="false">'[4]Monthly Curve Calc.'!C62</f>
        <v>170.145215204442</v>
      </c>
      <c r="D59" s="1661" t="n">
        <f aca="false">'[4]Monthly Curve Calc.'!F62</f>
        <v>1.78206272339347</v>
      </c>
      <c r="E59" s="1662" t="n">
        <f aca="false">IF($A59&lt;=E$16,D59,(B59/B58)/(C59/C58)*E58)</f>
        <v>1.30324495371801</v>
      </c>
      <c r="F59" s="1674" t="n">
        <f aca="false">IF(Assm!$L$75=0,F58,IF(AND($A59&gt;F$16,MONTH($A59)=MONTH(F$16)),B58/B46,F58))</f>
        <v>1.08507567830054</v>
      </c>
      <c r="G59" s="1668" t="n">
        <f aca="false">IF(Assm!$L$75=0,G58,IF(AND($A59&gt;G$16,MONTH($A59)=MONTH(G$16)),C58/C46,G58))</f>
        <v>1.02276923076923</v>
      </c>
      <c r="H59" s="1668" t="n">
        <f aca="false">IF(Assm!$L$75=0,H58,IF(AND($A59&gt;H$16,MONTH($A59)=MONTH(H$16)),C58/C46-H$18,H58))</f>
        <v>1.02026923076923</v>
      </c>
      <c r="I59" s="1668" t="n">
        <f aca="false">IF(Assm!$L$75=0,I58,IF($A59&gt;=I$16,IF(MONTH($A59)=MONTH(I$16),AVERAGE(D47:D58),I58),I58))</f>
        <v>1.85579166666667</v>
      </c>
      <c r="J59" s="1675" t="n">
        <f aca="false">IF(Assm!$L$75=0,J58,IF($A59&gt;=J$16,IF(MONTH($A59)=MONTH(J$16),AVERAGE(E47:E58),J58),J58))</f>
        <v>1.19134151567081</v>
      </c>
      <c r="K59" s="1624" t="n">
        <f aca="false">K58+1</f>
        <v>47</v>
      </c>
      <c r="L59" s="1667" t="n">
        <f aca="false">HLOOKUP(L$14,Dec_Change,$K59)</f>
        <v>1.02276923076923</v>
      </c>
      <c r="M59" s="1668" t="n">
        <f aca="false">M58</f>
        <v>0</v>
      </c>
      <c r="N59" s="1675" t="n">
        <f aca="false">IF(AND($A59&gt;=N$16,MONTH($A59)=MONTH(N$16)),MAX(L59,M59)*N58,N58)</f>
        <v>1.0374531835206</v>
      </c>
      <c r="P59" s="1667" t="n">
        <f aca="false">HLOOKUP(P$14,Dec_Change,$K59)</f>
        <v>1.08507567830054</v>
      </c>
      <c r="Q59" s="1668" t="n">
        <f aca="false">Q58</f>
        <v>0</v>
      </c>
      <c r="R59" s="1675" t="n">
        <f aca="false">IF(AND($A59&gt;=R$16,MONTH($A59)=MONTH(R$16)),MAX(P59,Q59)*R58,R58)</f>
        <v>1.13477865915154</v>
      </c>
      <c r="T59" s="1667" t="n">
        <f aca="false">HLOOKUP(T$14,Dec_Change,$K59)</f>
        <v>1.02276923076923</v>
      </c>
      <c r="U59" s="1668" t="n">
        <f aca="false">U58</f>
        <v>1.005</v>
      </c>
      <c r="V59" s="1675" t="n">
        <f aca="false">IF(AND($A59&gt;=V$16,MONTH($A59)=MONTH(V$16)),MAX(T59,U59)*V58,V58)</f>
        <v>1.0374531835206</v>
      </c>
      <c r="X59" s="1667" t="n">
        <f aca="false">HLOOKUP(X$14,Dec_Change,$K59)</f>
        <v>1.02026923076923</v>
      </c>
      <c r="Y59" s="1668" t="n">
        <f aca="false">Y58</f>
        <v>1.02</v>
      </c>
      <c r="Z59" s="1675" t="n">
        <f aca="false">IF(AND($A59&gt;=Z$16,MONTH($A59)=MONTH(Z$16)),MAX(X59,Y59)*Z58,Z58)</f>
        <v>1.04067461538462</v>
      </c>
      <c r="AB59" s="1667" t="n">
        <f aca="false">HLOOKUP(AB$14,Dec_Change,$K59)</f>
        <v>1.02026923076923</v>
      </c>
      <c r="AC59" s="1668" t="n">
        <f aca="false">AC58</f>
        <v>1.02</v>
      </c>
      <c r="AD59" s="1675" t="n">
        <f aca="false">IF(AND($A59&gt;=AD$16,MONTH($A59)=MONTH(AD$16)),MAX(AB59,AC59)*AD58,AD58)</f>
        <v>1.04067461538462</v>
      </c>
      <c r="AF59" s="1667" t="n">
        <f aca="false">HLOOKUP(AF$14,Dec_Change,$K59)</f>
        <v>1.08507567830054</v>
      </c>
      <c r="AG59" s="1668" t="n">
        <f aca="false">AG58</f>
        <v>0</v>
      </c>
      <c r="AH59" s="1675" t="n">
        <f aca="false">IF(AND($A59&gt;=AH$16,MONTH($A59)=MONTH(AH$16)),MAX(AF59,AG59)*AH58,AH58)</f>
        <v>1.13477865915154</v>
      </c>
      <c r="AJ59" s="1667" t="n">
        <f aca="false">HLOOKUP(AJ$14,Dec_Change,$K59)</f>
        <v>1.02026923076923</v>
      </c>
      <c r="AK59" s="1668" t="n">
        <f aca="false">AK58</f>
        <v>1.02</v>
      </c>
      <c r="AL59" s="1675" t="n">
        <f aca="false">IF(AND($A59&gt;=AL$16,MONTH($A59)=MONTH(AL$16)),MAX(AJ59,AK59)*AL58,AL58)</f>
        <v>1.04067461538462</v>
      </c>
      <c r="AN59" s="1667" t="n">
        <f aca="false">HLOOKUP(AN$14,Dec_Change,$K59)</f>
        <v>1.02276923076923</v>
      </c>
      <c r="AO59" s="1668" t="n">
        <f aca="false">AO58</f>
        <v>1.005</v>
      </c>
      <c r="AP59" s="1675" t="n">
        <f aca="false">IF(AND($A59&gt;=AP$16,MONTH($A59)=MONTH(AP$16)),MAX(AN59,AO59)*AP58,AP58)</f>
        <v>1.0374531835206</v>
      </c>
      <c r="AR59" s="1670" t="n">
        <f aca="false">$A59</f>
        <v>36617</v>
      </c>
      <c r="AS59" s="1671" t="n">
        <f aca="false">IF(AND($A59&gt;=EDATE(AS$17,12),IF(Assm!$L$74=0,$D59,$E59)/AS58&gt;=1.05),IF(Assm!$L$74=0,$D59,$E59),AS58)</f>
        <v>2.05</v>
      </c>
      <c r="AT59" s="1671" t="n">
        <f aca="false">IF(AS59/AS58=1,AT58,AS59/AS58)</f>
        <v>1.69659852685591</v>
      </c>
      <c r="AU59" s="1671" t="n">
        <f aca="false">F59</f>
        <v>1.08507567830054</v>
      </c>
      <c r="AV59" s="1671" t="n">
        <f aca="false">MAX(AT59,AU59)</f>
        <v>1.69659852685591</v>
      </c>
      <c r="AW59" s="1675" t="n">
        <f aca="false">IF(AV59=AV58,AW58,AV59*AW58)</f>
        <v>1.92488262910798</v>
      </c>
    </row>
    <row r="60" customFormat="false" ht="12.75" hidden="false" customHeight="false" outlineLevel="0" collapsed="false">
      <c r="A60" s="1673" t="n">
        <f aca="false">EDATE(A59,1)</f>
        <v>36647</v>
      </c>
      <c r="B60" s="1659" t="n">
        <f aca="false">'[4]Monthly Curve Calc.'!B63</f>
        <v>183.311608582057</v>
      </c>
      <c r="C60" s="1660" t="n">
        <f aca="false">'[4]Monthly Curve Calc.'!C63</f>
        <v>170.609671422339</v>
      </c>
      <c r="D60" s="1661" t="n">
        <f aca="false">'[4]Monthly Curve Calc.'!F63</f>
        <v>1.7778533789974</v>
      </c>
      <c r="E60" s="1662" t="n">
        <f aca="false">IF($A60&lt;=E$16,D60,(B60/B59)/(C60/C59)*E59)</f>
        <v>1.30935500062138</v>
      </c>
      <c r="F60" s="1674" t="n">
        <f aca="false">IF(Assm!$L$75=0,F59,IF(AND($A60&gt;F$16,MONTH($A60)=MONTH(F$16)),B59/B47,F59))</f>
        <v>1.1469239629577</v>
      </c>
      <c r="G60" s="1668" t="n">
        <f aca="false">IF(Assm!$L$75=0,G59,IF(AND($A60&gt;G$16,MONTH($A60)=MONTH(G$16)),C59/C47,G59))</f>
        <v>1.0237377569461</v>
      </c>
      <c r="H60" s="1668" t="n">
        <f aca="false">IF(Assm!$L$75=0,H59,IF(AND($A60&gt;H$16,MONTH($A60)=MONTH(H$16)),C59/C47-H$18,H59))</f>
        <v>1.0212377569461</v>
      </c>
      <c r="I60" s="1668" t="n">
        <f aca="false">IF(Assm!$L$75=0,I59,IF($A60&gt;=I$16,IF(MONTH($A60)=MONTH(I$16),AVERAGE(D48:D59),I59),I59))</f>
        <v>1.85579166666667</v>
      </c>
      <c r="J60" s="1675" t="n">
        <f aca="false">IF(Assm!$L$75=0,J59,IF($A60&gt;=J$16,IF(MONTH($A60)=MONTH(J$16),AVERAGE(E48:E59),J59),J59))</f>
        <v>1.19134151567081</v>
      </c>
      <c r="K60" s="1624" t="n">
        <f aca="false">K59+1</f>
        <v>48</v>
      </c>
      <c r="L60" s="1667" t="n">
        <f aca="false">HLOOKUP(L$14,Dec_Change,$K60)</f>
        <v>1.0237377569461</v>
      </c>
      <c r="M60" s="1668" t="n">
        <f aca="false">M59</f>
        <v>0</v>
      </c>
      <c r="N60" s="1675" t="n">
        <f aca="false">IF(AND($A60&gt;=N$16,MONTH($A60)=MONTH(N$16)),MAX(L60,M60)*N59,N59)</f>
        <v>1.06207999503397</v>
      </c>
      <c r="P60" s="1667" t="n">
        <f aca="false">HLOOKUP(P$14,Dec_Change,$K60)</f>
        <v>1.1469239629577</v>
      </c>
      <c r="Q60" s="1668" t="n">
        <f aca="false">Q59</f>
        <v>0</v>
      </c>
      <c r="R60" s="1675" t="n">
        <f aca="false">IF(AND($A60&gt;=R$16,MONTH($A60)=MONTH(R$16)),MAX(P60,Q60)*R59,R59)</f>
        <v>1.30150483683391</v>
      </c>
      <c r="T60" s="1667" t="n">
        <f aca="false">HLOOKUP(T$14,Dec_Change,$K60)</f>
        <v>1.0237377569461</v>
      </c>
      <c r="U60" s="1668" t="n">
        <f aca="false">U59</f>
        <v>1.005</v>
      </c>
      <c r="V60" s="1675" t="n">
        <f aca="false">IF(AND($A60&gt;=V$16,MONTH($A60)=MONTH(V$16)),MAX(T60,U60)*V59,V59)</f>
        <v>1.06207999503397</v>
      </c>
      <c r="X60" s="1667" t="n">
        <f aca="false">HLOOKUP(X$14,Dec_Change,$K60)</f>
        <v>1.0212377569461</v>
      </c>
      <c r="Y60" s="1668" t="n">
        <f aca="false">Y59</f>
        <v>1.02</v>
      </c>
      <c r="Z60" s="1675" t="n">
        <f aca="false">IF(AND($A60&gt;=Z$16,MONTH($A60)=MONTH(Z$16)),MAX(X60,Y60)*Z59,Z59)</f>
        <v>1.06277620992613</v>
      </c>
      <c r="AB60" s="1667" t="n">
        <f aca="false">HLOOKUP(AB$14,Dec_Change,$K60)</f>
        <v>1.0212377569461</v>
      </c>
      <c r="AC60" s="1668" t="n">
        <f aca="false">AC59</f>
        <v>1.02</v>
      </c>
      <c r="AD60" s="1675" t="n">
        <f aca="false">IF(AND($A60&gt;=AD$16,MONTH($A60)=MONTH(AD$16)),MAX(AB60,AC60)*AD59,AD59)</f>
        <v>1.06277620992613</v>
      </c>
      <c r="AF60" s="1667" t="n">
        <f aca="false">HLOOKUP(AF$14,Dec_Change,$K60)</f>
        <v>1.1469239629577</v>
      </c>
      <c r="AG60" s="1668" t="n">
        <f aca="false">AG59</f>
        <v>0</v>
      </c>
      <c r="AH60" s="1675" t="n">
        <f aca="false">IF(AND($A60&gt;=AH$16,MONTH($A60)=MONTH(AH$16)),MAX(AF60,AG60)*AH59,AH59)</f>
        <v>1.30150483683391</v>
      </c>
      <c r="AJ60" s="1667" t="n">
        <f aca="false">HLOOKUP(AJ$14,Dec_Change,$K60)</f>
        <v>1.0212377569461</v>
      </c>
      <c r="AK60" s="1668" t="n">
        <f aca="false">AK59</f>
        <v>1.02</v>
      </c>
      <c r="AL60" s="1675" t="n">
        <f aca="false">IF(AND($A60&gt;=AL$16,MONTH($A60)=MONTH(AL$16)),MAX(AJ60,AK60)*AL59,AL59)</f>
        <v>1.06277620992613</v>
      </c>
      <c r="AN60" s="1667" t="n">
        <f aca="false">HLOOKUP(AN$14,Dec_Change,$K60)</f>
        <v>1.0237377569461</v>
      </c>
      <c r="AO60" s="1668" t="n">
        <f aca="false">AO59</f>
        <v>1.005</v>
      </c>
      <c r="AP60" s="1675" t="n">
        <f aca="false">IF(AND($A60&gt;=AP$16,MONTH($A60)=MONTH(AP$16)),MAX(AN60,AO60)*AP59,AP59)</f>
        <v>1.06207999503397</v>
      </c>
      <c r="AR60" s="1670" t="n">
        <f aca="false">$A60</f>
        <v>36647</v>
      </c>
      <c r="AS60" s="1671" t="n">
        <f aca="false">IF(AND($A60&gt;=EDATE(AS$17,12),IF(Assm!$L$74=0,$D60,$E60)/AS59&gt;=1.05),IF(Assm!$L$74=0,$D60,$E60),AS59)</f>
        <v>2.05</v>
      </c>
      <c r="AT60" s="1671" t="n">
        <f aca="false">IF(AS60/AS59=1,AT59,AS60/AS59)</f>
        <v>1.69659852685591</v>
      </c>
      <c r="AU60" s="1671" t="n">
        <f aca="false">F60</f>
        <v>1.1469239629577</v>
      </c>
      <c r="AV60" s="1671" t="n">
        <f aca="false">MAX(AT60,AU60)</f>
        <v>1.69659852685591</v>
      </c>
      <c r="AW60" s="1675" t="n">
        <f aca="false">IF(AV60=AV59,AW59,AV60*AW59)</f>
        <v>1.92488262910798</v>
      </c>
    </row>
    <row r="61" customFormat="false" ht="12.75" hidden="false" customHeight="false" outlineLevel="0" collapsed="false">
      <c r="A61" s="1673" t="n">
        <f aca="false">EDATE(A60,1)</f>
        <v>36678</v>
      </c>
      <c r="B61" s="1659" t="n">
        <f aca="false">'[4]Monthly Curve Calc.'!B64</f>
        <v>184.673777916574</v>
      </c>
      <c r="C61" s="1660" t="n">
        <f aca="false">'[4]Monthly Curve Calc.'!C64</f>
        <v>171.075395495921</v>
      </c>
      <c r="D61" s="1661" t="n">
        <f aca="false">'[4]Monthly Curve Calc.'!F64</f>
        <v>1.77365397733792</v>
      </c>
      <c r="E61" s="1662" t="n">
        <f aca="false">IF($A61&lt;=E$16,D61,(B61/B60)/(C61/C60)*E60)</f>
        <v>1.31549369346199</v>
      </c>
      <c r="F61" s="1674" t="n">
        <f aca="false">IF(Assm!$L$75=0,F60,IF(AND($A61&gt;F$16,MONTH($A61)=MONTH(F$16)),B60/B48,F60))</f>
        <v>1.1469239629577</v>
      </c>
      <c r="G61" s="1668" t="n">
        <f aca="false">IF(Assm!$L$75=0,G60,IF(AND($A61&gt;G$16,MONTH($A61)=MONTH(G$16)),C60/C48,G60))</f>
        <v>1.0237377569461</v>
      </c>
      <c r="H61" s="1668" t="n">
        <f aca="false">IF(Assm!$L$75=0,H60,IF(AND($A61&gt;H$16,MONTH($A61)=MONTH(H$16)),C60/C48-H$18,H60))</f>
        <v>1.0212377569461</v>
      </c>
      <c r="I61" s="1668" t="n">
        <f aca="false">IF(Assm!$L$75=0,I60,IF($A61&gt;=I$16,IF(MONTH($A61)=MONTH(I$16),AVERAGE(D49:D60),I60),I60))</f>
        <v>1.85579166666667</v>
      </c>
      <c r="J61" s="1675" t="n">
        <f aca="false">IF(Assm!$L$75=0,J60,IF($A61&gt;=J$16,IF(MONTH($A61)=MONTH(J$16),AVERAGE(E49:E60),J60),J60))</f>
        <v>1.19134151567081</v>
      </c>
      <c r="K61" s="1624" t="n">
        <f aca="false">K60+1</f>
        <v>49</v>
      </c>
      <c r="L61" s="1667" t="n">
        <f aca="false">HLOOKUP(L$14,Dec_Change,$K61)</f>
        <v>1.0237377569461</v>
      </c>
      <c r="M61" s="1668" t="n">
        <f aca="false">M60</f>
        <v>0</v>
      </c>
      <c r="N61" s="1675" t="n">
        <f aca="false">IF(AND($A61&gt;=N$16,MONTH($A61)=MONTH(N$16)),MAX(L61,M61)*N60,N60)</f>
        <v>1.06207999503397</v>
      </c>
      <c r="P61" s="1667" t="n">
        <f aca="false">HLOOKUP(P$14,Dec_Change,$K61)</f>
        <v>1.1469239629577</v>
      </c>
      <c r="Q61" s="1668" t="n">
        <f aca="false">Q60</f>
        <v>0</v>
      </c>
      <c r="R61" s="1675" t="n">
        <f aca="false">IF(AND($A61&gt;=R$16,MONTH($A61)=MONTH(R$16)),MAX(P61,Q61)*R60,R60)</f>
        <v>1.30150483683391</v>
      </c>
      <c r="T61" s="1667" t="n">
        <f aca="false">HLOOKUP(T$14,Dec_Change,$K61)</f>
        <v>1.0237377569461</v>
      </c>
      <c r="U61" s="1668" t="n">
        <f aca="false">U60</f>
        <v>1.005</v>
      </c>
      <c r="V61" s="1675" t="n">
        <f aca="false">IF(AND($A61&gt;=V$16,MONTH($A61)=MONTH(V$16)),MAX(T61,U61)*V60,V60)</f>
        <v>1.06207999503397</v>
      </c>
      <c r="X61" s="1667" t="n">
        <f aca="false">HLOOKUP(X$14,Dec_Change,$K61)</f>
        <v>1.0212377569461</v>
      </c>
      <c r="Y61" s="1668" t="n">
        <f aca="false">Y60</f>
        <v>1.02</v>
      </c>
      <c r="Z61" s="1675" t="n">
        <f aca="false">IF(AND($A61&gt;=Z$16,MONTH($A61)=MONTH(Z$16)),MAX(X61,Y61)*Z60,Z60)</f>
        <v>1.06277620992613</v>
      </c>
      <c r="AB61" s="1667" t="n">
        <f aca="false">HLOOKUP(AB$14,Dec_Change,$K61)</f>
        <v>1.0212377569461</v>
      </c>
      <c r="AC61" s="1668" t="n">
        <f aca="false">AC60</f>
        <v>1.02</v>
      </c>
      <c r="AD61" s="1675" t="n">
        <f aca="false">IF(AND($A61&gt;=AD$16,MONTH($A61)=MONTH(AD$16)),MAX(AB61,AC61)*AD60,AD60)</f>
        <v>1.06277620992613</v>
      </c>
      <c r="AF61" s="1667" t="n">
        <f aca="false">HLOOKUP(AF$14,Dec_Change,$K61)</f>
        <v>1.1469239629577</v>
      </c>
      <c r="AG61" s="1668" t="n">
        <f aca="false">AG60</f>
        <v>0</v>
      </c>
      <c r="AH61" s="1675" t="n">
        <f aca="false">IF(AND($A61&gt;=AH$16,MONTH($A61)=MONTH(AH$16)),MAX(AF61,AG61)*AH60,AH60)</f>
        <v>1.30150483683391</v>
      </c>
      <c r="AJ61" s="1667" t="n">
        <f aca="false">HLOOKUP(AJ$14,Dec_Change,$K61)</f>
        <v>1.0212377569461</v>
      </c>
      <c r="AK61" s="1668" t="n">
        <f aca="false">AK60</f>
        <v>1.02</v>
      </c>
      <c r="AL61" s="1675" t="n">
        <f aca="false">IF(AND($A61&gt;=AL$16,MONTH($A61)=MONTH(AL$16)),MAX(AJ61,AK61)*AL60,AL60)</f>
        <v>1.06277620992613</v>
      </c>
      <c r="AN61" s="1667" t="n">
        <f aca="false">HLOOKUP(AN$14,Dec_Change,$K61)</f>
        <v>1.0237377569461</v>
      </c>
      <c r="AO61" s="1668" t="n">
        <f aca="false">AO60</f>
        <v>1.005</v>
      </c>
      <c r="AP61" s="1675" t="n">
        <f aca="false">IF(AND($A61&gt;=AP$16,MONTH($A61)=MONTH(AP$16)),MAX(AN61,AO61)*AP60,AP60)</f>
        <v>1.06207999503397</v>
      </c>
      <c r="AR61" s="1670" t="n">
        <f aca="false">$A61</f>
        <v>36678</v>
      </c>
      <c r="AS61" s="1671" t="n">
        <f aca="false">IF(AND($A61&gt;=EDATE(AS$17,12),IF(Assm!$L$74=0,$D61,$E61)/AS60&gt;=1.05),IF(Assm!$L$74=0,$D61,$E61),AS60)</f>
        <v>2.05</v>
      </c>
      <c r="AT61" s="1671" t="n">
        <f aca="false">IF(AS61/AS60=1,AT60,AS61/AS60)</f>
        <v>1.69659852685591</v>
      </c>
      <c r="AU61" s="1671" t="n">
        <f aca="false">F61</f>
        <v>1.1469239629577</v>
      </c>
      <c r="AV61" s="1671" t="n">
        <f aca="false">MAX(AT61,AU61)</f>
        <v>1.69659852685591</v>
      </c>
      <c r="AW61" s="1675" t="n">
        <f aca="false">IF(AV61=AV60,AW60,AV61*AW60)</f>
        <v>1.92488262910798</v>
      </c>
    </row>
    <row r="62" customFormat="false" ht="12.75" hidden="false" customHeight="false" outlineLevel="0" collapsed="false">
      <c r="A62" s="1673" t="n">
        <f aca="false">EDATE(A61,1)</f>
        <v>36708</v>
      </c>
      <c r="B62" s="1659" t="n">
        <f aca="false">'[4]Monthly Curve Calc.'!B65</f>
        <v>186.046069388528</v>
      </c>
      <c r="C62" s="1660" t="n">
        <f aca="false">'[4]Monthly Curve Calc.'!C65</f>
        <v>171.542390886135</v>
      </c>
      <c r="D62" s="1661" t="n">
        <f aca="false">'[4]Monthly Curve Calc.'!F65</f>
        <v>1.76946449492966</v>
      </c>
      <c r="E62" s="1662" t="n">
        <f aca="false">IF($A62&lt;=E$16,D62,(B62/B61)/(C62/C61)*E61)</f>
        <v>1.32166116654156</v>
      </c>
      <c r="F62" s="1674" t="n">
        <f aca="false">IF(Assm!$L$75=0,F61,IF(AND($A62&gt;F$16,MONTH($A62)=MONTH(F$16)),B61/B49,F61))</f>
        <v>1.1469239629577</v>
      </c>
      <c r="G62" s="1668" t="n">
        <f aca="false">IF(Assm!$L$75=0,G61,IF(AND($A62&gt;G$16,MONTH($A62)=MONTH(G$16)),C61/C49,G61))</f>
        <v>1.0237377569461</v>
      </c>
      <c r="H62" s="1668" t="n">
        <f aca="false">IF(Assm!$L$75=0,H61,IF(AND($A62&gt;H$16,MONTH($A62)=MONTH(H$16)),C61/C49-H$18,H61))</f>
        <v>1.0212377569461</v>
      </c>
      <c r="I62" s="1668" t="n">
        <f aca="false">IF(Assm!$L$75=0,I61,IF($A62&gt;=I$16,IF(MONTH($A62)=MONTH(I$16),AVERAGE(D50:D61),I61),I61))</f>
        <v>1.85579166666667</v>
      </c>
      <c r="J62" s="1675" t="n">
        <f aca="false">IF(Assm!$L$75=0,J61,IF($A62&gt;=J$16,IF(MONTH($A62)=MONTH(J$16),AVERAGE(E50:E61),J61),J61))</f>
        <v>1.19134151567081</v>
      </c>
      <c r="K62" s="1624" t="n">
        <f aca="false">K61+1</f>
        <v>50</v>
      </c>
      <c r="L62" s="1667" t="n">
        <f aca="false">HLOOKUP(L$14,Dec_Change,$K62)</f>
        <v>1.0237377569461</v>
      </c>
      <c r="M62" s="1668" t="n">
        <f aca="false">M61</f>
        <v>0</v>
      </c>
      <c r="N62" s="1675" t="n">
        <f aca="false">IF(AND($A62&gt;=N$16,MONTH($A62)=MONTH(N$16)),MAX(L62,M62)*N61,N61)</f>
        <v>1.06207999503397</v>
      </c>
      <c r="P62" s="1667" t="n">
        <f aca="false">HLOOKUP(P$14,Dec_Change,$K62)</f>
        <v>1.1469239629577</v>
      </c>
      <c r="Q62" s="1668" t="n">
        <f aca="false">Q61</f>
        <v>0</v>
      </c>
      <c r="R62" s="1675" t="n">
        <f aca="false">IF(AND($A62&gt;=R$16,MONTH($A62)=MONTH(R$16)),MAX(P62,Q62)*R61,R61)</f>
        <v>1.30150483683391</v>
      </c>
      <c r="T62" s="1667" t="n">
        <f aca="false">HLOOKUP(T$14,Dec_Change,$K62)</f>
        <v>1.0237377569461</v>
      </c>
      <c r="U62" s="1668" t="n">
        <f aca="false">U61</f>
        <v>1.005</v>
      </c>
      <c r="V62" s="1675" t="n">
        <f aca="false">IF(AND($A62&gt;=V$16,MONTH($A62)=MONTH(V$16)),MAX(T62,U62)*V61,V61)</f>
        <v>1.06207999503397</v>
      </c>
      <c r="X62" s="1667" t="n">
        <f aca="false">HLOOKUP(X$14,Dec_Change,$K62)</f>
        <v>1.0212377569461</v>
      </c>
      <c r="Y62" s="1668" t="n">
        <f aca="false">Y61</f>
        <v>1.02</v>
      </c>
      <c r="Z62" s="1675" t="n">
        <f aca="false">IF(AND($A62&gt;=Z$16,MONTH($A62)=MONTH(Z$16)),MAX(X62,Y62)*Z61,Z61)</f>
        <v>1.06277620992613</v>
      </c>
      <c r="AB62" s="1667" t="n">
        <f aca="false">HLOOKUP(AB$14,Dec_Change,$K62)</f>
        <v>1.0212377569461</v>
      </c>
      <c r="AC62" s="1668" t="n">
        <f aca="false">AC61</f>
        <v>1.02</v>
      </c>
      <c r="AD62" s="1675" t="n">
        <f aca="false">IF(AND($A62&gt;=AD$16,MONTH($A62)=MONTH(AD$16)),MAX(AB62,AC62)*AD61,AD61)</f>
        <v>1.06277620992613</v>
      </c>
      <c r="AF62" s="1667" t="n">
        <f aca="false">HLOOKUP(AF$14,Dec_Change,$K62)</f>
        <v>1.1469239629577</v>
      </c>
      <c r="AG62" s="1668" t="n">
        <f aca="false">AG61</f>
        <v>0</v>
      </c>
      <c r="AH62" s="1675" t="n">
        <f aca="false">IF(AND($A62&gt;=AH$16,MONTH($A62)=MONTH(AH$16)),MAX(AF62,AG62)*AH61,AH61)</f>
        <v>1.30150483683391</v>
      </c>
      <c r="AJ62" s="1667" t="n">
        <f aca="false">HLOOKUP(AJ$14,Dec_Change,$K62)</f>
        <v>1.0212377569461</v>
      </c>
      <c r="AK62" s="1668" t="n">
        <f aca="false">AK61</f>
        <v>1.02</v>
      </c>
      <c r="AL62" s="1675" t="n">
        <f aca="false">IF(AND($A62&gt;=AL$16,MONTH($A62)=MONTH(AL$16)),MAX(AJ62,AK62)*AL61,AL61)</f>
        <v>1.06277620992613</v>
      </c>
      <c r="AN62" s="1667" t="n">
        <f aca="false">HLOOKUP(AN$14,Dec_Change,$K62)</f>
        <v>1.0237377569461</v>
      </c>
      <c r="AO62" s="1668" t="n">
        <f aca="false">AO61</f>
        <v>1.005</v>
      </c>
      <c r="AP62" s="1675" t="n">
        <f aca="false">IF(AND($A62&gt;=AP$16,MONTH($A62)=MONTH(AP$16)),MAX(AN62,AO62)*AP61,AP61)</f>
        <v>1.06207999503397</v>
      </c>
      <c r="AR62" s="1670" t="n">
        <f aca="false">$A62</f>
        <v>36708</v>
      </c>
      <c r="AS62" s="1671" t="n">
        <f aca="false">IF(AND($A62&gt;=EDATE(AS$17,12),IF(Assm!$L$74=0,$D62,$E62)/AS61&gt;=1.05),IF(Assm!$L$74=0,$D62,$E62),AS61)</f>
        <v>2.05</v>
      </c>
      <c r="AT62" s="1671" t="n">
        <f aca="false">IF(AS62/AS61=1,AT61,AS62/AS61)</f>
        <v>1.69659852685591</v>
      </c>
      <c r="AU62" s="1671" t="n">
        <f aca="false">F62</f>
        <v>1.1469239629577</v>
      </c>
      <c r="AV62" s="1671" t="n">
        <f aca="false">MAX(AT62,AU62)</f>
        <v>1.69659852685591</v>
      </c>
      <c r="AW62" s="1675" t="n">
        <f aca="false">IF(AV62=AV61,AW61,AV62*AW61)</f>
        <v>1.92488262910798</v>
      </c>
    </row>
    <row r="63" customFormat="false" ht="12.75" hidden="false" customHeight="false" outlineLevel="0" collapsed="false">
      <c r="A63" s="1673" t="n">
        <f aca="false">EDATE(A62,1)</f>
        <v>36739</v>
      </c>
      <c r="B63" s="1659" t="n">
        <f aca="false">'[4]Monthly Curve Calc.'!B66</f>
        <v>187.428558214461</v>
      </c>
      <c r="C63" s="1660" t="n">
        <f aca="false">'[4]Monthly Curve Calc.'!C66</f>
        <v>172.010661063373</v>
      </c>
      <c r="D63" s="1661" t="n">
        <f aca="false">'[4]Monthly Curve Calc.'!F66</f>
        <v>1.76528490834273</v>
      </c>
      <c r="E63" s="1662" t="n">
        <f aca="false">IF($A63&lt;=E$16,D63,(B63/B62)/(C63/C62)*E62)</f>
        <v>1.32785755479144</v>
      </c>
      <c r="F63" s="1674" t="n">
        <f aca="false">IF(Assm!$L$75=0,F62,IF(AND($A63&gt;F$16,MONTH($A63)=MONTH(F$16)),B62/B50,F62))</f>
        <v>1.1469239629577</v>
      </c>
      <c r="G63" s="1668" t="n">
        <f aca="false">IF(Assm!$L$75=0,G62,IF(AND($A63&gt;G$16,MONTH($A63)=MONTH(G$16)),C62/C50,G62))</f>
        <v>1.0237377569461</v>
      </c>
      <c r="H63" s="1668" t="n">
        <f aca="false">IF(Assm!$L$75=0,H62,IF(AND($A63&gt;H$16,MONTH($A63)=MONTH(H$16)),C62/C50-H$18,H62))</f>
        <v>1.0212377569461</v>
      </c>
      <c r="I63" s="1668" t="n">
        <f aca="false">IF(Assm!$L$75=0,I62,IF($A63&gt;=I$16,IF(MONTH($A63)=MONTH(I$16),AVERAGE(D51:D62),I62),I62))</f>
        <v>1.85579166666667</v>
      </c>
      <c r="J63" s="1675" t="n">
        <f aca="false">IF(Assm!$L$75=0,J62,IF($A63&gt;=J$16,IF(MONTH($A63)=MONTH(J$16),AVERAGE(E51:E62),J62),J62))</f>
        <v>1.19134151567081</v>
      </c>
      <c r="K63" s="1624" t="n">
        <f aca="false">K62+1</f>
        <v>51</v>
      </c>
      <c r="L63" s="1667" t="n">
        <f aca="false">HLOOKUP(L$14,Dec_Change,$K63)</f>
        <v>1.0237377569461</v>
      </c>
      <c r="M63" s="1668" t="n">
        <f aca="false">M62</f>
        <v>0</v>
      </c>
      <c r="N63" s="1675" t="n">
        <f aca="false">IF(AND($A63&gt;=N$16,MONTH($A63)=MONTH(N$16)),MAX(L63,M63)*N62,N62)</f>
        <v>1.06207999503397</v>
      </c>
      <c r="P63" s="1667" t="n">
        <f aca="false">HLOOKUP(P$14,Dec_Change,$K63)</f>
        <v>1.1469239629577</v>
      </c>
      <c r="Q63" s="1668" t="n">
        <f aca="false">Q62</f>
        <v>0</v>
      </c>
      <c r="R63" s="1675" t="n">
        <f aca="false">IF(AND($A63&gt;=R$16,MONTH($A63)=MONTH(R$16)),MAX(P63,Q63)*R62,R62)</f>
        <v>1.30150483683391</v>
      </c>
      <c r="T63" s="1667" t="n">
        <f aca="false">HLOOKUP(T$14,Dec_Change,$K63)</f>
        <v>1.0237377569461</v>
      </c>
      <c r="U63" s="1668" t="n">
        <f aca="false">U62</f>
        <v>1.005</v>
      </c>
      <c r="V63" s="1675" t="n">
        <f aca="false">IF(AND($A63&gt;=V$16,MONTH($A63)=MONTH(V$16)),MAX(T63,U63)*V62,V62)</f>
        <v>1.06207999503397</v>
      </c>
      <c r="X63" s="1667" t="n">
        <f aca="false">HLOOKUP(X$14,Dec_Change,$K63)</f>
        <v>1.0212377569461</v>
      </c>
      <c r="Y63" s="1668" t="n">
        <f aca="false">Y62</f>
        <v>1.02</v>
      </c>
      <c r="Z63" s="1675" t="n">
        <f aca="false">IF(AND($A63&gt;=Z$16,MONTH($A63)=MONTH(Z$16)),MAX(X63,Y63)*Z62,Z62)</f>
        <v>1.06277620992613</v>
      </c>
      <c r="AB63" s="1667" t="n">
        <f aca="false">HLOOKUP(AB$14,Dec_Change,$K63)</f>
        <v>1.0212377569461</v>
      </c>
      <c r="AC63" s="1668" t="n">
        <f aca="false">AC62</f>
        <v>1.02</v>
      </c>
      <c r="AD63" s="1675" t="n">
        <f aca="false">IF(AND($A63&gt;=AD$16,MONTH($A63)=MONTH(AD$16)),MAX(AB63,AC63)*AD62,AD62)</f>
        <v>1.06277620992613</v>
      </c>
      <c r="AF63" s="1667" t="n">
        <f aca="false">HLOOKUP(AF$14,Dec_Change,$K63)</f>
        <v>1.1469239629577</v>
      </c>
      <c r="AG63" s="1668" t="n">
        <f aca="false">AG62</f>
        <v>0</v>
      </c>
      <c r="AH63" s="1675" t="n">
        <f aca="false">IF(AND($A63&gt;=AH$16,MONTH($A63)=MONTH(AH$16)),MAX(AF63,AG63)*AH62,AH62)</f>
        <v>1.30150483683391</v>
      </c>
      <c r="AJ63" s="1667" t="n">
        <f aca="false">HLOOKUP(AJ$14,Dec_Change,$K63)</f>
        <v>1.0212377569461</v>
      </c>
      <c r="AK63" s="1668" t="n">
        <f aca="false">AK62</f>
        <v>1.02</v>
      </c>
      <c r="AL63" s="1675" t="n">
        <f aca="false">IF(AND($A63&gt;=AL$16,MONTH($A63)=MONTH(AL$16)),MAX(AJ63,AK63)*AL62,AL62)</f>
        <v>1.06277620992613</v>
      </c>
      <c r="AN63" s="1667" t="n">
        <f aca="false">HLOOKUP(AN$14,Dec_Change,$K63)</f>
        <v>1.0237377569461</v>
      </c>
      <c r="AO63" s="1668" t="n">
        <f aca="false">AO62</f>
        <v>1.005</v>
      </c>
      <c r="AP63" s="1675" t="n">
        <f aca="false">IF(AND($A63&gt;=AP$16,MONTH($A63)=MONTH(AP$16)),MAX(AN63,AO63)*AP62,AP62)</f>
        <v>1.06207999503397</v>
      </c>
      <c r="AR63" s="1670" t="n">
        <f aca="false">$A63</f>
        <v>36739</v>
      </c>
      <c r="AS63" s="1671" t="n">
        <f aca="false">IF(AND($A63&gt;=EDATE(AS$17,12),IF(Assm!$L$74=0,$D63,$E63)/AS62&gt;=1.05),IF(Assm!$L$74=0,$D63,$E63),AS62)</f>
        <v>2.05</v>
      </c>
      <c r="AT63" s="1671" t="n">
        <f aca="false">IF(AS63/AS62=1,AT62,AS63/AS62)</f>
        <v>1.69659852685591</v>
      </c>
      <c r="AU63" s="1671" t="n">
        <f aca="false">F63</f>
        <v>1.1469239629577</v>
      </c>
      <c r="AV63" s="1671" t="n">
        <f aca="false">MAX(AT63,AU63)</f>
        <v>1.69659852685591</v>
      </c>
      <c r="AW63" s="1675" t="n">
        <f aca="false">IF(AV63=AV62,AW62,AV63*AW62)</f>
        <v>1.92488262910798</v>
      </c>
    </row>
    <row r="64" customFormat="false" ht="12.75" hidden="false" customHeight="false" outlineLevel="0" collapsed="false">
      <c r="A64" s="1673" t="n">
        <f aca="false">EDATE(A63,1)</f>
        <v>36770</v>
      </c>
      <c r="B64" s="1659" t="n">
        <f aca="false">'[4]Monthly Curve Calc.'!B67</f>
        <v>188.82132016984</v>
      </c>
      <c r="C64" s="1660" t="n">
        <f aca="false">'[4]Monthly Curve Calc.'!C67</f>
        <v>172.480209507504</v>
      </c>
      <c r="D64" s="1661" t="n">
        <f aca="false">'[4]Monthly Curve Calc.'!F67</f>
        <v>1.76111519420256</v>
      </c>
      <c r="E64" s="1662" t="n">
        <f aca="false">IF($A64&lt;=E$16,D64,(B64/B63)/(C64/C63)*E63)</f>
        <v>1.33408299377559</v>
      </c>
      <c r="F64" s="1674" t="n">
        <f aca="false">IF(Assm!$L$75=0,F63,IF(AND($A64&gt;F$16,MONTH($A64)=MONTH(F$16)),B63/B51,F63))</f>
        <v>1.1469239629577</v>
      </c>
      <c r="G64" s="1668" t="n">
        <f aca="false">IF(Assm!$L$75=0,G63,IF(AND($A64&gt;G$16,MONTH($A64)=MONTH(G$16)),C63/C51,G63))</f>
        <v>1.0237377569461</v>
      </c>
      <c r="H64" s="1668" t="n">
        <f aca="false">IF(Assm!$L$75=0,H63,IF(AND($A64&gt;H$16,MONTH($A64)=MONTH(H$16)),C63/C51-H$18,H63))</f>
        <v>1.0212377569461</v>
      </c>
      <c r="I64" s="1668" t="n">
        <f aca="false">IF(Assm!$L$75=0,I63,IF($A64&gt;=I$16,IF(MONTH($A64)=MONTH(I$16),AVERAGE(D52:D63),I63),I63))</f>
        <v>1.85579166666667</v>
      </c>
      <c r="J64" s="1675" t="n">
        <f aca="false">IF(Assm!$L$75=0,J63,IF($A64&gt;=J$16,IF(MONTH($A64)=MONTH(J$16),AVERAGE(E52:E63),J63),J63))</f>
        <v>1.19134151567081</v>
      </c>
      <c r="K64" s="1624" t="n">
        <f aca="false">K63+1</f>
        <v>52</v>
      </c>
      <c r="L64" s="1667" t="n">
        <f aca="false">HLOOKUP(L$14,Dec_Change,$K64)</f>
        <v>1.0237377569461</v>
      </c>
      <c r="M64" s="1668" t="n">
        <f aca="false">M63</f>
        <v>0</v>
      </c>
      <c r="N64" s="1675" t="n">
        <f aca="false">IF(AND($A64&gt;=N$16,MONTH($A64)=MONTH(N$16)),MAX(L64,M64)*N63,N63)</f>
        <v>1.06207999503397</v>
      </c>
      <c r="P64" s="1667" t="n">
        <f aca="false">HLOOKUP(P$14,Dec_Change,$K64)</f>
        <v>1.1469239629577</v>
      </c>
      <c r="Q64" s="1668" t="n">
        <f aca="false">Q63</f>
        <v>0</v>
      </c>
      <c r="R64" s="1675" t="n">
        <f aca="false">IF(AND($A64&gt;=R$16,MONTH($A64)=MONTH(R$16)),MAX(P64,Q64)*R63,R63)</f>
        <v>1.30150483683391</v>
      </c>
      <c r="T64" s="1667" t="n">
        <f aca="false">HLOOKUP(T$14,Dec_Change,$K64)</f>
        <v>1.0237377569461</v>
      </c>
      <c r="U64" s="1668" t="n">
        <f aca="false">U63</f>
        <v>1.005</v>
      </c>
      <c r="V64" s="1675" t="n">
        <f aca="false">IF(AND($A64&gt;=V$16,MONTH($A64)=MONTH(V$16)),MAX(T64,U64)*V63,V63)</f>
        <v>1.06207999503397</v>
      </c>
      <c r="X64" s="1667" t="n">
        <f aca="false">HLOOKUP(X$14,Dec_Change,$K64)</f>
        <v>1.0212377569461</v>
      </c>
      <c r="Y64" s="1668" t="n">
        <f aca="false">Y63</f>
        <v>1.02</v>
      </c>
      <c r="Z64" s="1675" t="n">
        <f aca="false">IF(AND($A64&gt;=Z$16,MONTH($A64)=MONTH(Z$16)),MAX(X64,Y64)*Z63,Z63)</f>
        <v>1.06277620992613</v>
      </c>
      <c r="AB64" s="1667" t="n">
        <f aca="false">HLOOKUP(AB$14,Dec_Change,$K64)</f>
        <v>1.0212377569461</v>
      </c>
      <c r="AC64" s="1668" t="n">
        <f aca="false">AC63</f>
        <v>1.02</v>
      </c>
      <c r="AD64" s="1675" t="n">
        <f aca="false">IF(AND($A64&gt;=AD$16,MONTH($A64)=MONTH(AD$16)),MAX(AB64,AC64)*AD63,AD63)</f>
        <v>1.06277620992613</v>
      </c>
      <c r="AF64" s="1667" t="n">
        <f aca="false">HLOOKUP(AF$14,Dec_Change,$K64)</f>
        <v>1.1469239629577</v>
      </c>
      <c r="AG64" s="1668" t="n">
        <f aca="false">AG63</f>
        <v>0</v>
      </c>
      <c r="AH64" s="1675" t="n">
        <f aca="false">IF(AND($A64&gt;=AH$16,MONTH($A64)=MONTH(AH$16)),MAX(AF64,AG64)*AH63,AH63)</f>
        <v>1.30150483683391</v>
      </c>
      <c r="AJ64" s="1667" t="n">
        <f aca="false">HLOOKUP(AJ$14,Dec_Change,$K64)</f>
        <v>1.0212377569461</v>
      </c>
      <c r="AK64" s="1668" t="n">
        <f aca="false">AK63</f>
        <v>1.02</v>
      </c>
      <c r="AL64" s="1675" t="n">
        <f aca="false">IF(AND($A64&gt;=AL$16,MONTH($A64)=MONTH(AL$16)),MAX(AJ64,AK64)*AL63,AL63)</f>
        <v>1.06277620992613</v>
      </c>
      <c r="AN64" s="1667" t="n">
        <f aca="false">HLOOKUP(AN$14,Dec_Change,$K64)</f>
        <v>1.0237377569461</v>
      </c>
      <c r="AO64" s="1668" t="n">
        <f aca="false">AO63</f>
        <v>1.005</v>
      </c>
      <c r="AP64" s="1675" t="n">
        <f aca="false">IF(AND($A64&gt;=AP$16,MONTH($A64)=MONTH(AP$16)),MAX(AN64,AO64)*AP63,AP63)</f>
        <v>1.06207999503397</v>
      </c>
      <c r="AR64" s="1670" t="n">
        <f aca="false">$A64</f>
        <v>36770</v>
      </c>
      <c r="AS64" s="1671" t="n">
        <f aca="false">IF(AND($A64&gt;=EDATE(AS$17,12),IF(Assm!$L$74=0,$D64,$E64)/AS63&gt;=1.05),IF(Assm!$L$74=0,$D64,$E64),AS63)</f>
        <v>2.05</v>
      </c>
      <c r="AT64" s="1671" t="n">
        <f aca="false">IF(AS64/AS63=1,AT63,AS64/AS63)</f>
        <v>1.69659852685591</v>
      </c>
      <c r="AU64" s="1671" t="n">
        <f aca="false">F64</f>
        <v>1.1469239629577</v>
      </c>
      <c r="AV64" s="1671" t="n">
        <f aca="false">MAX(AT64,AU64)</f>
        <v>1.69659852685591</v>
      </c>
      <c r="AW64" s="1675" t="n">
        <f aca="false">IF(AV64=AV63,AW63,AV64*AW63)</f>
        <v>1.92488262910798</v>
      </c>
    </row>
    <row r="65" customFormat="false" ht="12.75" hidden="false" customHeight="false" outlineLevel="0" collapsed="false">
      <c r="A65" s="1673" t="n">
        <f aca="false">EDATE(A64,1)</f>
        <v>36800</v>
      </c>
      <c r="B65" s="1659" t="n">
        <f aca="false">'[4]Monthly Curve Calc.'!B68</f>
        <v>190.224431593213</v>
      </c>
      <c r="C65" s="1660" t="n">
        <f aca="false">'[4]Monthly Curve Calc.'!C68</f>
        <v>172.951039707894</v>
      </c>
      <c r="D65" s="1661" t="n">
        <f aca="false">'[4]Monthly Curve Calc.'!F68</f>
        <v>1.75695532918982</v>
      </c>
      <c r="E65" s="1662" t="n">
        <f aca="false">IF($A65&lt;=E$16,D65,(B65/B64)/(C65/C64)*E64)</f>
        <v>1.34033761969353</v>
      </c>
      <c r="F65" s="1674" t="n">
        <f aca="false">IF(Assm!$L$75=0,F64,IF(AND($A65&gt;F$16,MONTH($A65)=MONTH(F$16)),B64/B52,F64))</f>
        <v>1.1469239629577</v>
      </c>
      <c r="G65" s="1668" t="n">
        <f aca="false">IF(Assm!$L$75=0,G64,IF(AND($A65&gt;G$16,MONTH($A65)=MONTH(G$16)),C64/C52,G64))</f>
        <v>1.0237377569461</v>
      </c>
      <c r="H65" s="1668" t="n">
        <f aca="false">IF(Assm!$L$75=0,H64,IF(AND($A65&gt;H$16,MONTH($A65)=MONTH(H$16)),C64/C52-H$18,H64))</f>
        <v>1.0212377569461</v>
      </c>
      <c r="I65" s="1668" t="n">
        <f aca="false">IF(Assm!$L$75=0,I64,IF($A65&gt;=I$16,IF(MONTH($A65)=MONTH(I$16),AVERAGE(D53:D64),I64),I64))</f>
        <v>1.85579166666667</v>
      </c>
      <c r="J65" s="1675" t="n">
        <f aca="false">IF(Assm!$L$75=0,J64,IF($A65&gt;=J$16,IF(MONTH($A65)=MONTH(J$16),AVERAGE(E53:E64),J64),J64))</f>
        <v>1.19134151567081</v>
      </c>
      <c r="K65" s="1624" t="n">
        <f aca="false">K64+1</f>
        <v>53</v>
      </c>
      <c r="L65" s="1667" t="n">
        <f aca="false">HLOOKUP(L$14,Dec_Change,$K65)</f>
        <v>1.0237377569461</v>
      </c>
      <c r="M65" s="1668" t="n">
        <f aca="false">M64</f>
        <v>0</v>
      </c>
      <c r="N65" s="1675" t="n">
        <f aca="false">IF(AND($A65&gt;=N$16,MONTH($A65)=MONTH(N$16)),MAX(L65,M65)*N64,N64)</f>
        <v>1.06207999503397</v>
      </c>
      <c r="P65" s="1667" t="n">
        <f aca="false">HLOOKUP(P$14,Dec_Change,$K65)</f>
        <v>1.1469239629577</v>
      </c>
      <c r="Q65" s="1668" t="n">
        <f aca="false">Q64</f>
        <v>0</v>
      </c>
      <c r="R65" s="1675" t="n">
        <f aca="false">IF(AND($A65&gt;=R$16,MONTH($A65)=MONTH(R$16)),MAX(P65,Q65)*R64,R64)</f>
        <v>1.30150483683391</v>
      </c>
      <c r="T65" s="1667" t="n">
        <f aca="false">HLOOKUP(T$14,Dec_Change,$K65)</f>
        <v>1.0237377569461</v>
      </c>
      <c r="U65" s="1668" t="n">
        <f aca="false">U64</f>
        <v>1.005</v>
      </c>
      <c r="V65" s="1675" t="n">
        <f aca="false">IF(AND($A65&gt;=V$16,MONTH($A65)=MONTH(V$16)),MAX(T65,U65)*V64,V64)</f>
        <v>1.06207999503397</v>
      </c>
      <c r="X65" s="1667" t="n">
        <f aca="false">HLOOKUP(X$14,Dec_Change,$K65)</f>
        <v>1.0212377569461</v>
      </c>
      <c r="Y65" s="1668" t="n">
        <f aca="false">Y64</f>
        <v>1.02</v>
      </c>
      <c r="Z65" s="1675" t="n">
        <f aca="false">IF(AND($A65&gt;=Z$16,MONTH($A65)=MONTH(Z$16)),MAX(X65,Y65)*Z64,Z64)</f>
        <v>1.06277620992613</v>
      </c>
      <c r="AB65" s="1667" t="n">
        <f aca="false">HLOOKUP(AB$14,Dec_Change,$K65)</f>
        <v>1.0212377569461</v>
      </c>
      <c r="AC65" s="1668" t="n">
        <f aca="false">AC64</f>
        <v>1.02</v>
      </c>
      <c r="AD65" s="1675" t="n">
        <f aca="false">IF(AND($A65&gt;=AD$16,MONTH($A65)=MONTH(AD$16)),MAX(AB65,AC65)*AD64,AD64)</f>
        <v>1.06277620992613</v>
      </c>
      <c r="AF65" s="1667" t="n">
        <f aca="false">HLOOKUP(AF$14,Dec_Change,$K65)</f>
        <v>1.1469239629577</v>
      </c>
      <c r="AG65" s="1668" t="n">
        <f aca="false">AG64</f>
        <v>0</v>
      </c>
      <c r="AH65" s="1675" t="n">
        <f aca="false">IF(AND($A65&gt;=AH$16,MONTH($A65)=MONTH(AH$16)),MAX(AF65,AG65)*AH64,AH64)</f>
        <v>1.30150483683391</v>
      </c>
      <c r="AJ65" s="1667" t="n">
        <f aca="false">HLOOKUP(AJ$14,Dec_Change,$K65)</f>
        <v>1.0212377569461</v>
      </c>
      <c r="AK65" s="1668" t="n">
        <f aca="false">AK64</f>
        <v>1.02</v>
      </c>
      <c r="AL65" s="1675" t="n">
        <f aca="false">IF(AND($A65&gt;=AL$16,MONTH($A65)=MONTH(AL$16)),MAX(AJ65,AK65)*AL64,AL64)</f>
        <v>1.06277620992613</v>
      </c>
      <c r="AN65" s="1667" t="n">
        <f aca="false">HLOOKUP(AN$14,Dec_Change,$K65)</f>
        <v>1.0237377569461</v>
      </c>
      <c r="AO65" s="1668" t="n">
        <f aca="false">AO64</f>
        <v>1.005</v>
      </c>
      <c r="AP65" s="1675" t="n">
        <f aca="false">IF(AND($A65&gt;=AP$16,MONTH($A65)=MONTH(AP$16)),MAX(AN65,AO65)*AP64,AP64)</f>
        <v>1.06207999503397</v>
      </c>
      <c r="AR65" s="1670" t="n">
        <f aca="false">$A65</f>
        <v>36800</v>
      </c>
      <c r="AS65" s="1671" t="n">
        <f aca="false">IF(AND($A65&gt;=EDATE(AS$17,12),IF(Assm!$L$74=0,$D65,$E65)/AS64&gt;=1.05),IF(Assm!$L$74=0,$D65,$E65),AS64)</f>
        <v>2.05</v>
      </c>
      <c r="AT65" s="1671" t="n">
        <f aca="false">IF(AS65/AS64=1,AT64,AS65/AS64)</f>
        <v>1.69659852685591</v>
      </c>
      <c r="AU65" s="1671" t="n">
        <f aca="false">F65</f>
        <v>1.1469239629577</v>
      </c>
      <c r="AV65" s="1671" t="n">
        <f aca="false">MAX(AT65,AU65)</f>
        <v>1.69659852685591</v>
      </c>
      <c r="AW65" s="1675" t="n">
        <f aca="false">IF(AV65=AV64,AW64,AV65*AW64)</f>
        <v>1.92488262910798</v>
      </c>
    </row>
    <row r="66" customFormat="false" ht="12.75" hidden="false" customHeight="false" outlineLevel="0" collapsed="false">
      <c r="A66" s="1673" t="n">
        <f aca="false">EDATE(A65,1)</f>
        <v>36831</v>
      </c>
      <c r="B66" s="1659" t="n">
        <f aca="false">'[4]Monthly Curve Calc.'!B69</f>
        <v>191.637969390391</v>
      </c>
      <c r="C66" s="1660" t="n">
        <f aca="false">'[4]Monthly Curve Calc.'!C69</f>
        <v>173.423155163434</v>
      </c>
      <c r="D66" s="1661" t="n">
        <f aca="false">'[4]Monthly Curve Calc.'!F69</f>
        <v>1.75280529004025</v>
      </c>
      <c r="E66" s="1662" t="n">
        <f aca="false">IF($A66&lt;=E$16,D66,(B66/B65)/(C66/C65)*E65)</f>
        <v>1.34662156938335</v>
      </c>
      <c r="F66" s="1674" t="n">
        <f aca="false">IF(Assm!$L$75=0,F65,IF(AND($A66&gt;F$16,MONTH($A66)=MONTH(F$16)),B65/B53,F65))</f>
        <v>1.1469239629577</v>
      </c>
      <c r="G66" s="1668" t="n">
        <f aca="false">IF(Assm!$L$75=0,G65,IF(AND($A66&gt;G$16,MONTH($A66)=MONTH(G$16)),C65/C53,G65))</f>
        <v>1.0237377569461</v>
      </c>
      <c r="H66" s="1668" t="n">
        <f aca="false">IF(Assm!$L$75=0,H65,IF(AND($A66&gt;H$16,MONTH($A66)=MONTH(H$16)),C65/C53-H$18,H65))</f>
        <v>1.0212377569461</v>
      </c>
      <c r="I66" s="1668" t="n">
        <f aca="false">IF(Assm!$L$75=0,I65,IF($A66&gt;=I$16,IF(MONTH($A66)=MONTH(I$16),AVERAGE(D54:D65),I65),I65))</f>
        <v>1.85579166666667</v>
      </c>
      <c r="J66" s="1675" t="n">
        <f aca="false">IF(Assm!$L$75=0,J65,IF($A66&gt;=J$16,IF(MONTH($A66)=MONTH(J$16),AVERAGE(E54:E65),J65),J65))</f>
        <v>1.19134151567081</v>
      </c>
      <c r="K66" s="1624" t="n">
        <f aca="false">K65+1</f>
        <v>54</v>
      </c>
      <c r="L66" s="1667" t="n">
        <f aca="false">HLOOKUP(L$14,Dec_Change,$K66)</f>
        <v>1.0237377569461</v>
      </c>
      <c r="M66" s="1668" t="n">
        <f aca="false">M65</f>
        <v>0</v>
      </c>
      <c r="N66" s="1675" t="n">
        <f aca="false">IF(AND($A66&gt;=N$16,MONTH($A66)=MONTH(N$16)),MAX(L66,M66)*N65,N65)</f>
        <v>1.06207999503397</v>
      </c>
      <c r="P66" s="1667" t="n">
        <f aca="false">HLOOKUP(P$14,Dec_Change,$K66)</f>
        <v>1.1469239629577</v>
      </c>
      <c r="Q66" s="1668" t="n">
        <f aca="false">Q65</f>
        <v>0</v>
      </c>
      <c r="R66" s="1675" t="n">
        <f aca="false">IF(AND($A66&gt;=R$16,MONTH($A66)=MONTH(R$16)),MAX(P66,Q66)*R65,R65)</f>
        <v>1.30150483683391</v>
      </c>
      <c r="T66" s="1667" t="n">
        <f aca="false">HLOOKUP(T$14,Dec_Change,$K66)</f>
        <v>1.0237377569461</v>
      </c>
      <c r="U66" s="1668" t="n">
        <f aca="false">U65</f>
        <v>1.005</v>
      </c>
      <c r="V66" s="1675" t="n">
        <f aca="false">IF(AND($A66&gt;=V$16,MONTH($A66)=MONTH(V$16)),MAX(T66,U66)*V65,V65)</f>
        <v>1.06207999503397</v>
      </c>
      <c r="X66" s="1667" t="n">
        <f aca="false">HLOOKUP(X$14,Dec_Change,$K66)</f>
        <v>1.0212377569461</v>
      </c>
      <c r="Y66" s="1668" t="n">
        <f aca="false">Y65</f>
        <v>1.02</v>
      </c>
      <c r="Z66" s="1675" t="n">
        <f aca="false">IF(AND($A66&gt;=Z$16,MONTH($A66)=MONTH(Z$16)),MAX(X66,Y66)*Z65,Z65)</f>
        <v>1.06277620992613</v>
      </c>
      <c r="AB66" s="1667" t="n">
        <f aca="false">HLOOKUP(AB$14,Dec_Change,$K66)</f>
        <v>1.0212377569461</v>
      </c>
      <c r="AC66" s="1668" t="n">
        <f aca="false">AC65</f>
        <v>1.02</v>
      </c>
      <c r="AD66" s="1675" t="n">
        <f aca="false">IF(AND($A66&gt;=AD$16,MONTH($A66)=MONTH(AD$16)),MAX(AB66,AC66)*AD65,AD65)</f>
        <v>1.06277620992613</v>
      </c>
      <c r="AF66" s="1667" t="n">
        <f aca="false">HLOOKUP(AF$14,Dec_Change,$K66)</f>
        <v>1.1469239629577</v>
      </c>
      <c r="AG66" s="1668" t="n">
        <f aca="false">AG65</f>
        <v>0</v>
      </c>
      <c r="AH66" s="1675" t="n">
        <f aca="false">IF(AND($A66&gt;=AH$16,MONTH($A66)=MONTH(AH$16)),MAX(AF66,AG66)*AH65,AH65)</f>
        <v>1.30150483683391</v>
      </c>
      <c r="AJ66" s="1667" t="n">
        <f aca="false">HLOOKUP(AJ$14,Dec_Change,$K66)</f>
        <v>1.0212377569461</v>
      </c>
      <c r="AK66" s="1668" t="n">
        <f aca="false">AK65</f>
        <v>1.02</v>
      </c>
      <c r="AL66" s="1675" t="n">
        <f aca="false">IF(AND($A66&gt;=AL$16,MONTH($A66)=MONTH(AL$16)),MAX(AJ66,AK66)*AL65,AL65)</f>
        <v>1.06277620992613</v>
      </c>
      <c r="AN66" s="1667" t="n">
        <f aca="false">HLOOKUP(AN$14,Dec_Change,$K66)</f>
        <v>1.0237377569461</v>
      </c>
      <c r="AO66" s="1668" t="n">
        <f aca="false">AO65</f>
        <v>1.005</v>
      </c>
      <c r="AP66" s="1675" t="n">
        <f aca="false">IF(AND($A66&gt;=AP$16,MONTH($A66)=MONTH(AP$16)),MAX(AN66,AO66)*AP65,AP65)</f>
        <v>1.06207999503397</v>
      </c>
      <c r="AR66" s="1670" t="n">
        <f aca="false">$A66</f>
        <v>36831</v>
      </c>
      <c r="AS66" s="1671" t="n">
        <f aca="false">IF(AND($A66&gt;=EDATE(AS$17,12),IF(Assm!$L$74=0,$D66,$E66)/AS65&gt;=1.05),IF(Assm!$L$74=0,$D66,$E66),AS65)</f>
        <v>2.05</v>
      </c>
      <c r="AT66" s="1671" t="n">
        <f aca="false">IF(AS66/AS65=1,AT65,AS66/AS65)</f>
        <v>1.69659852685591</v>
      </c>
      <c r="AU66" s="1671" t="n">
        <f aca="false">F66</f>
        <v>1.1469239629577</v>
      </c>
      <c r="AV66" s="1671" t="n">
        <f aca="false">MAX(AT66,AU66)</f>
        <v>1.69659852685591</v>
      </c>
      <c r="AW66" s="1675" t="n">
        <f aca="false">IF(AV66=AV65,AW65,AV66*AW65)</f>
        <v>1.92488262910798</v>
      </c>
    </row>
    <row r="67" customFormat="false" ht="12.75" hidden="false" customHeight="false" outlineLevel="0" collapsed="false">
      <c r="A67" s="1673" t="n">
        <f aca="false">EDATE(A66,1)</f>
        <v>36861</v>
      </c>
      <c r="B67" s="1659" t="n">
        <f aca="false">'[4]Monthly Curve Calc.'!B70</f>
        <v>193.062011038664</v>
      </c>
      <c r="C67" s="1660" t="n">
        <f aca="false">'[4]Monthly Curve Calc.'!C70</f>
        <v>173.896559382566</v>
      </c>
      <c r="D67" s="1661" t="n">
        <f aca="false">'[4]Monthly Curve Calc.'!F70</f>
        <v>1.80386772326803</v>
      </c>
      <c r="E67" s="1662" t="n">
        <f aca="false">IF($A67&lt;=E$16,D67,(B67/B66)/(C67/C66)*E66)</f>
        <v>1.35293498032467</v>
      </c>
      <c r="F67" s="1674" t="n">
        <f aca="false">IF(Assm!$L$75=0,F66,IF(AND($A67&gt;F$16,MONTH($A67)=MONTH(F$16)),B66/B54,F66))</f>
        <v>1.1469239629577</v>
      </c>
      <c r="G67" s="1668" t="n">
        <f aca="false">IF(Assm!$L$75=0,G66,IF(AND($A67&gt;G$16,MONTH($A67)=MONTH(G$16)),C66/C54,G66))</f>
        <v>1.0237377569461</v>
      </c>
      <c r="H67" s="1668" t="n">
        <f aca="false">IF(Assm!$L$75=0,H66,IF(AND($A67&gt;H$16,MONTH($A67)=MONTH(H$16)),C66/C54-H$18,H66))</f>
        <v>1.0212377569461</v>
      </c>
      <c r="I67" s="1668" t="n">
        <f aca="false">IF(Assm!$L$75=0,I66,IF($A67&gt;=I$16,IF(MONTH($A67)=MONTH(I$16),AVERAGE(D55:D66),I66),I66))</f>
        <v>1.85579166666667</v>
      </c>
      <c r="J67" s="1675" t="n">
        <f aca="false">IF(Assm!$L$75=0,J66,IF($A67&gt;=J$16,IF(MONTH($A67)=MONTH(J$16),AVERAGE(E55:E66),J66),J66))</f>
        <v>1.19134151567081</v>
      </c>
      <c r="K67" s="1624" t="n">
        <f aca="false">K66+1</f>
        <v>55</v>
      </c>
      <c r="L67" s="1667" t="n">
        <f aca="false">HLOOKUP(L$14,Dec_Change,$K67)</f>
        <v>1.0237377569461</v>
      </c>
      <c r="M67" s="1668" t="n">
        <f aca="false">M66</f>
        <v>0</v>
      </c>
      <c r="N67" s="1675" t="n">
        <f aca="false">IF(AND($A67&gt;=N$16,MONTH($A67)=MONTH(N$16)),MAX(L67,M67)*N66,N66)</f>
        <v>1.06207999503397</v>
      </c>
      <c r="P67" s="1667" t="n">
        <f aca="false">HLOOKUP(P$14,Dec_Change,$K67)</f>
        <v>1.1469239629577</v>
      </c>
      <c r="Q67" s="1668" t="n">
        <f aca="false">Q66</f>
        <v>0</v>
      </c>
      <c r="R67" s="1675" t="n">
        <f aca="false">IF(AND($A67&gt;=R$16,MONTH($A67)=MONTH(R$16)),MAX(P67,Q67)*R66,R66)</f>
        <v>1.30150483683391</v>
      </c>
      <c r="T67" s="1667" t="n">
        <f aca="false">HLOOKUP(T$14,Dec_Change,$K67)</f>
        <v>1.0237377569461</v>
      </c>
      <c r="U67" s="1668" t="n">
        <f aca="false">U66</f>
        <v>1.005</v>
      </c>
      <c r="V67" s="1675" t="n">
        <f aca="false">IF(AND($A67&gt;=V$16,MONTH($A67)=MONTH(V$16)),MAX(T67,U67)*V66,V66)</f>
        <v>1.06207999503397</v>
      </c>
      <c r="X67" s="1667" t="n">
        <f aca="false">HLOOKUP(X$14,Dec_Change,$K67)</f>
        <v>1.0212377569461</v>
      </c>
      <c r="Y67" s="1668" t="n">
        <f aca="false">Y66</f>
        <v>1.02</v>
      </c>
      <c r="Z67" s="1675" t="n">
        <f aca="false">IF(AND($A67&gt;=Z$16,MONTH($A67)=MONTH(Z$16)),MAX(X67,Y67)*Z66,Z66)</f>
        <v>1.06277620992613</v>
      </c>
      <c r="AB67" s="1667" t="n">
        <f aca="false">HLOOKUP(AB$14,Dec_Change,$K67)</f>
        <v>1.0212377569461</v>
      </c>
      <c r="AC67" s="1668" t="n">
        <f aca="false">AC66</f>
        <v>1.02</v>
      </c>
      <c r="AD67" s="1675" t="n">
        <f aca="false">IF(AND($A67&gt;=AD$16,MONTH($A67)=MONTH(AD$16)),MAX(AB67,AC67)*AD66,AD66)</f>
        <v>1.06277620992613</v>
      </c>
      <c r="AF67" s="1667" t="n">
        <f aca="false">HLOOKUP(AF$14,Dec_Change,$K67)</f>
        <v>1.1469239629577</v>
      </c>
      <c r="AG67" s="1668" t="n">
        <f aca="false">AG66</f>
        <v>0</v>
      </c>
      <c r="AH67" s="1675" t="n">
        <f aca="false">IF(AND($A67&gt;=AH$16,MONTH($A67)=MONTH(AH$16)),MAX(AF67,AG67)*AH66,AH66)</f>
        <v>1.30150483683391</v>
      </c>
      <c r="AJ67" s="1667" t="n">
        <f aca="false">HLOOKUP(AJ$14,Dec_Change,$K67)</f>
        <v>1.0212377569461</v>
      </c>
      <c r="AK67" s="1668" t="n">
        <f aca="false">AK66</f>
        <v>1.02</v>
      </c>
      <c r="AL67" s="1675" t="n">
        <f aca="false">IF(AND($A67&gt;=AL$16,MONTH($A67)=MONTH(AL$16)),MAX(AJ67,AK67)*AL66,AL66)</f>
        <v>1.06277620992613</v>
      </c>
      <c r="AN67" s="1667" t="n">
        <f aca="false">HLOOKUP(AN$14,Dec_Change,$K67)</f>
        <v>1.0237377569461</v>
      </c>
      <c r="AO67" s="1668" t="n">
        <f aca="false">AO66</f>
        <v>1.005</v>
      </c>
      <c r="AP67" s="1675" t="n">
        <f aca="false">IF(AND($A67&gt;=AP$16,MONTH($A67)=MONTH(AP$16)),MAX(AN67,AO67)*AP66,AP66)</f>
        <v>1.06207999503397</v>
      </c>
      <c r="AR67" s="1670" t="n">
        <f aca="false">$A67</f>
        <v>36861</v>
      </c>
      <c r="AS67" s="1671" t="n">
        <f aca="false">IF(AND($A67&gt;=EDATE(AS$17,12),IF(Assm!$L$74=0,$D67,$E67)/AS66&gt;=1.05),IF(Assm!$L$74=0,$D67,$E67),AS66)</f>
        <v>2.05</v>
      </c>
      <c r="AT67" s="1671" t="n">
        <f aca="false">IF(AS67/AS66=1,AT66,AS67/AS66)</f>
        <v>1.69659852685591</v>
      </c>
      <c r="AU67" s="1671" t="n">
        <f aca="false">F67</f>
        <v>1.1469239629577</v>
      </c>
      <c r="AV67" s="1671" t="n">
        <f aca="false">MAX(AT67,AU67)</f>
        <v>1.69659852685591</v>
      </c>
      <c r="AW67" s="1675" t="n">
        <f aca="false">IF(AV67=AV66,AW66,AV67*AW66)</f>
        <v>1.92488262910798</v>
      </c>
    </row>
    <row r="68" customFormat="false" ht="12.75" hidden="false" customHeight="false" outlineLevel="0" collapsed="false">
      <c r="A68" s="1673" t="n">
        <f aca="false">EDATE(A67,1)</f>
        <v>36892</v>
      </c>
      <c r="B68" s="1659" t="n">
        <f aca="false">'[4]Monthly Curve Calc.'!B71</f>
        <v>194.453471372283</v>
      </c>
      <c r="C68" s="1660" t="n">
        <f aca="false">'[4]Monthly Curve Calc.'!C71</f>
        <v>174.362626231407</v>
      </c>
      <c r="D68" s="1661" t="n">
        <f aca="false">'[4]Monthly Curve Calc.'!F71</f>
        <v>1.81882126905259</v>
      </c>
      <c r="E68" s="1662" t="n">
        <f aca="false">IF($A68&lt;=E$16,D68,(B68/B67)/(C68/C67)*E67)</f>
        <v>1.35904359520794</v>
      </c>
      <c r="F68" s="1674" t="n">
        <f aca="false">IF(Assm!$L$75=0,F67,IF(AND($A68&gt;F$16,MONTH($A68)=MONTH(F$16)),B67/B55,F67))</f>
        <v>1.1469239629577</v>
      </c>
      <c r="G68" s="1668" t="n">
        <f aca="false">IF(Assm!$L$75=0,G67,IF(AND($A68&gt;G$16,MONTH($A68)=MONTH(G$16)),C67/C55,G67))</f>
        <v>1.0237377569461</v>
      </c>
      <c r="H68" s="1668" t="n">
        <f aca="false">IF(Assm!$L$75=0,H67,IF(AND($A68&gt;H$16,MONTH($A68)=MONTH(H$16)),C67/C55-H$18,H67))</f>
        <v>1.0212377569461</v>
      </c>
      <c r="I68" s="1668" t="n">
        <f aca="false">IF(Assm!$L$75=0,I67,IF($A68&gt;=I$16,IF(MONTH($A68)=MONTH(I$16),AVERAGE(D56:D67),I67),I67))</f>
        <v>1.77621725308948</v>
      </c>
      <c r="J68" s="1675" t="n">
        <f aca="false">IF(Assm!$L$75=0,J67,IF($A68&gt;=J$16,IF(MONTH($A68)=MONTH(J$16),AVERAGE(E56:E67),J67),J67))</f>
        <v>1.31874571416939</v>
      </c>
      <c r="K68" s="1624" t="n">
        <f aca="false">K67+1</f>
        <v>56</v>
      </c>
      <c r="L68" s="1667" t="n">
        <f aca="false">HLOOKUP(L$14,Dec_Change,$K68)</f>
        <v>1.0237377569461</v>
      </c>
      <c r="M68" s="1668" t="n">
        <f aca="false">M67</f>
        <v>0</v>
      </c>
      <c r="N68" s="1675" t="n">
        <f aca="false">IF(AND($A68&gt;=N$16,MONTH($A68)=MONTH(N$16)),MAX(L68,M68)*N67,N67)</f>
        <v>1.06207999503397</v>
      </c>
      <c r="P68" s="1667" t="n">
        <f aca="false">HLOOKUP(P$14,Dec_Change,$K68)</f>
        <v>1.1469239629577</v>
      </c>
      <c r="Q68" s="1668" t="n">
        <f aca="false">Q67</f>
        <v>0</v>
      </c>
      <c r="R68" s="1675" t="n">
        <f aca="false">IF(AND($A68&gt;=R$16,MONTH($A68)=MONTH(R$16)),MAX(P68,Q68)*R67,R67)</f>
        <v>1.30150483683391</v>
      </c>
      <c r="T68" s="1667" t="n">
        <f aca="false">HLOOKUP(T$14,Dec_Change,$K68)</f>
        <v>1.0237377569461</v>
      </c>
      <c r="U68" s="1668" t="n">
        <f aca="false">U67</f>
        <v>1.005</v>
      </c>
      <c r="V68" s="1675" t="n">
        <f aca="false">IF(AND($A68&gt;=V$16,MONTH($A68)=MONTH(V$16)),MAX(T68,U68)*V67,V67)</f>
        <v>1.06207999503397</v>
      </c>
      <c r="X68" s="1667" t="n">
        <f aca="false">HLOOKUP(X$14,Dec_Change,$K68)</f>
        <v>1.0212377569461</v>
      </c>
      <c r="Y68" s="1668" t="n">
        <f aca="false">Y67</f>
        <v>1.02</v>
      </c>
      <c r="Z68" s="1675" t="n">
        <f aca="false">IF(AND($A68&gt;=Z$16,MONTH($A68)=MONTH(Z$16)),MAX(X68,Y68)*Z67,Z67)</f>
        <v>1.06277620992613</v>
      </c>
      <c r="AB68" s="1667" t="n">
        <f aca="false">HLOOKUP(AB$14,Dec_Change,$K68)</f>
        <v>1.0212377569461</v>
      </c>
      <c r="AC68" s="1668" t="n">
        <f aca="false">AC67</f>
        <v>1.02</v>
      </c>
      <c r="AD68" s="1675" t="n">
        <f aca="false">IF(AND($A68&gt;=AD$16,MONTH($A68)=MONTH(AD$16)),MAX(AB68,AC68)*AD67,AD67)</f>
        <v>1.06277620992613</v>
      </c>
      <c r="AF68" s="1667" t="n">
        <f aca="false">HLOOKUP(AF$14,Dec_Change,$K68)</f>
        <v>1.1469239629577</v>
      </c>
      <c r="AG68" s="1668" t="n">
        <f aca="false">AG67</f>
        <v>0</v>
      </c>
      <c r="AH68" s="1675" t="n">
        <f aca="false">IF(AND($A68&gt;=AH$16,MONTH($A68)=MONTH(AH$16)),MAX(AF68,AG68)*AH67,AH67)</f>
        <v>1.30150483683391</v>
      </c>
      <c r="AJ68" s="1667" t="n">
        <f aca="false">HLOOKUP(AJ$14,Dec_Change,$K68)</f>
        <v>1.0212377569461</v>
      </c>
      <c r="AK68" s="1668" t="n">
        <f aca="false">AK67</f>
        <v>1.02</v>
      </c>
      <c r="AL68" s="1675" t="n">
        <f aca="false">IF(AND($A68&gt;=AL$16,MONTH($A68)=MONTH(AL$16)),MAX(AJ68,AK68)*AL67,AL67)</f>
        <v>1.06277620992613</v>
      </c>
      <c r="AN68" s="1667" t="n">
        <f aca="false">HLOOKUP(AN$14,Dec_Change,$K68)</f>
        <v>1.0237377569461</v>
      </c>
      <c r="AO68" s="1668" t="n">
        <f aca="false">AO67</f>
        <v>1.005</v>
      </c>
      <c r="AP68" s="1675" t="n">
        <f aca="false">IF(AND($A68&gt;=AP$16,MONTH($A68)=MONTH(AP$16)),MAX(AN68,AO68)*AP67,AP67)</f>
        <v>1.06207999503397</v>
      </c>
      <c r="AR68" s="1670" t="n">
        <f aca="false">$A68</f>
        <v>36892</v>
      </c>
      <c r="AS68" s="1671" t="n">
        <f aca="false">IF(AND($A68&gt;=EDATE(AS$17,12),IF(Assm!$L$74=0,$D68,$E68)/AS67&gt;=1.05),IF(Assm!$L$74=0,$D68,$E68),AS67)</f>
        <v>2.05</v>
      </c>
      <c r="AT68" s="1671" t="n">
        <f aca="false">IF(AS68/AS67=1,AT67,AS68/AS67)</f>
        <v>1.69659852685591</v>
      </c>
      <c r="AU68" s="1671" t="n">
        <f aca="false">F68</f>
        <v>1.1469239629577</v>
      </c>
      <c r="AV68" s="1671" t="n">
        <f aca="false">MAX(AT68,AU68)</f>
        <v>1.69659852685591</v>
      </c>
      <c r="AW68" s="1675" t="n">
        <f aca="false">IF(AV68=AV67,AW67,AV68*AW67)</f>
        <v>1.92488262910798</v>
      </c>
    </row>
    <row r="69" customFormat="false" ht="12.75" hidden="false" customHeight="false" outlineLevel="0" collapsed="false">
      <c r="A69" s="1673" t="n">
        <f aca="false">EDATE(A68,1)</f>
        <v>36923</v>
      </c>
      <c r="B69" s="1659" t="n">
        <f aca="false">'[4]Monthly Curve Calc.'!B72</f>
        <v>195.854960410408</v>
      </c>
      <c r="C69" s="1660" t="n">
        <f aca="false">'[4]Monthly Curve Calc.'!C72</f>
        <v>174.829942203913</v>
      </c>
      <c r="D69" s="1661" t="n">
        <f aca="false">'[4]Monthly Curve Calc.'!F72</f>
        <v>1.8338987754406</v>
      </c>
      <c r="E69" s="1662" t="n">
        <f aca="false">IF($A69&lt;=E$16,D69,(B69/B68)/(C69/C68)*E68)</f>
        <v>1.36517979099963</v>
      </c>
      <c r="F69" s="1674" t="n">
        <f aca="false">IF(Assm!$L$75=0,F68,IF(AND($A69&gt;F$16,MONTH($A69)=MONTH(F$16)),B68/B56,F68))</f>
        <v>1.1469239629577</v>
      </c>
      <c r="G69" s="1668" t="n">
        <f aca="false">IF(Assm!$L$75=0,G68,IF(AND($A69&gt;G$16,MONTH($A69)=MONTH(G$16)),C68/C56,G68))</f>
        <v>1.0237377569461</v>
      </c>
      <c r="H69" s="1668" t="n">
        <f aca="false">IF(Assm!$L$75=0,H68,IF(AND($A69&gt;H$16,MONTH($A69)=MONTH(H$16)),C68/C56-H$18,H68))</f>
        <v>1.0212377569461</v>
      </c>
      <c r="I69" s="1668" t="n">
        <f aca="false">IF(Assm!$L$75=0,I68,IF($A69&gt;=I$16,IF(MONTH($A69)=MONTH(I$16),AVERAGE(D57:D68),I68),I68))</f>
        <v>1.77621725308948</v>
      </c>
      <c r="J69" s="1675" t="n">
        <f aca="false">IF(Assm!$L$75=0,J68,IF($A69&gt;=J$16,IF(MONTH($A69)=MONTH(J$16),AVERAGE(E57:E68),J68),J68))</f>
        <v>1.31874571416939</v>
      </c>
      <c r="K69" s="1624" t="n">
        <f aca="false">K68+1</f>
        <v>57</v>
      </c>
      <c r="L69" s="1667" t="n">
        <f aca="false">HLOOKUP(L$14,Dec_Change,$K69)</f>
        <v>1.0237377569461</v>
      </c>
      <c r="M69" s="1668" t="n">
        <f aca="false">M68</f>
        <v>0</v>
      </c>
      <c r="N69" s="1675" t="n">
        <f aca="false">IF(AND($A69&gt;=N$16,MONTH($A69)=MONTH(N$16)),MAX(L69,M69)*N68,N68)</f>
        <v>1.06207999503397</v>
      </c>
      <c r="P69" s="1667" t="n">
        <f aca="false">HLOOKUP(P$14,Dec_Change,$K69)</f>
        <v>1.1469239629577</v>
      </c>
      <c r="Q69" s="1668" t="n">
        <f aca="false">Q68</f>
        <v>0</v>
      </c>
      <c r="R69" s="1675" t="n">
        <f aca="false">IF(AND($A69&gt;=R$16,MONTH($A69)=MONTH(R$16)),MAX(P69,Q69)*R68,R68)</f>
        <v>1.30150483683391</v>
      </c>
      <c r="T69" s="1667" t="n">
        <f aca="false">HLOOKUP(T$14,Dec_Change,$K69)</f>
        <v>1.0237377569461</v>
      </c>
      <c r="U69" s="1668" t="n">
        <f aca="false">U68</f>
        <v>1.005</v>
      </c>
      <c r="V69" s="1675" t="n">
        <f aca="false">IF(AND($A69&gt;=V$16,MONTH($A69)=MONTH(V$16)),MAX(T69,U69)*V68,V68)</f>
        <v>1.06207999503397</v>
      </c>
      <c r="X69" s="1667" t="n">
        <f aca="false">HLOOKUP(X$14,Dec_Change,$K69)</f>
        <v>1.0212377569461</v>
      </c>
      <c r="Y69" s="1668" t="n">
        <f aca="false">Y68</f>
        <v>1.02</v>
      </c>
      <c r="Z69" s="1675" t="n">
        <f aca="false">IF(AND($A69&gt;=Z$16,MONTH($A69)=MONTH(Z$16)),MAX(X69,Y69)*Z68,Z68)</f>
        <v>1.06277620992613</v>
      </c>
      <c r="AB69" s="1667" t="n">
        <f aca="false">HLOOKUP(AB$14,Dec_Change,$K69)</f>
        <v>1.0212377569461</v>
      </c>
      <c r="AC69" s="1668" t="n">
        <f aca="false">AC68</f>
        <v>1.02</v>
      </c>
      <c r="AD69" s="1675" t="n">
        <f aca="false">IF(AND($A69&gt;=AD$16,MONTH($A69)=MONTH(AD$16)),MAX(AB69,AC69)*AD68,AD68)</f>
        <v>1.06277620992613</v>
      </c>
      <c r="AF69" s="1667" t="n">
        <f aca="false">HLOOKUP(AF$14,Dec_Change,$K69)</f>
        <v>1.1469239629577</v>
      </c>
      <c r="AG69" s="1668" t="n">
        <f aca="false">AG68</f>
        <v>0</v>
      </c>
      <c r="AH69" s="1675" t="n">
        <f aca="false">IF(AND($A69&gt;=AH$16,MONTH($A69)=MONTH(AH$16)),MAX(AF69,AG69)*AH68,AH68)</f>
        <v>1.30150483683391</v>
      </c>
      <c r="AJ69" s="1667" t="n">
        <f aca="false">HLOOKUP(AJ$14,Dec_Change,$K69)</f>
        <v>1.0212377569461</v>
      </c>
      <c r="AK69" s="1668" t="n">
        <f aca="false">AK68</f>
        <v>1.02</v>
      </c>
      <c r="AL69" s="1675" t="n">
        <f aca="false">IF(AND($A69&gt;=AL$16,MONTH($A69)=MONTH(AL$16)),MAX(AJ69,AK69)*AL68,AL68)</f>
        <v>1.06277620992613</v>
      </c>
      <c r="AN69" s="1667" t="n">
        <f aca="false">HLOOKUP(AN$14,Dec_Change,$K69)</f>
        <v>1.0237377569461</v>
      </c>
      <c r="AO69" s="1668" t="n">
        <f aca="false">AO68</f>
        <v>1.005</v>
      </c>
      <c r="AP69" s="1675" t="n">
        <f aca="false">IF(AND($A69&gt;=AP$16,MONTH($A69)=MONTH(AP$16)),MAX(AN69,AO69)*AP68,AP68)</f>
        <v>1.06207999503397</v>
      </c>
      <c r="AR69" s="1670" t="n">
        <f aca="false">$A69</f>
        <v>36923</v>
      </c>
      <c r="AS69" s="1671" t="n">
        <f aca="false">IF(AND($A69&gt;=EDATE(AS$17,12),IF(Assm!$L$74=0,$D69,$E69)/AS68&gt;=1.05),IF(Assm!$L$74=0,$D69,$E69),AS68)</f>
        <v>2.05</v>
      </c>
      <c r="AT69" s="1671" t="n">
        <f aca="false">IF(AS69/AS68=1,AT68,AS69/AS68)</f>
        <v>1.69659852685591</v>
      </c>
      <c r="AU69" s="1671" t="n">
        <f aca="false">F69</f>
        <v>1.1469239629577</v>
      </c>
      <c r="AV69" s="1671" t="n">
        <f aca="false">MAX(AT69,AU69)</f>
        <v>1.69659852685591</v>
      </c>
      <c r="AW69" s="1675" t="n">
        <f aca="false">IF(AV69=AV68,AW68,AV69*AW68)</f>
        <v>1.92488262910798</v>
      </c>
    </row>
    <row r="70" customFormat="false" ht="12.75" hidden="false" customHeight="false" outlineLevel="0" collapsed="false">
      <c r="A70" s="1673" t="n">
        <f aca="false">EDATE(A69,1)</f>
        <v>36951</v>
      </c>
      <c r="B70" s="1659" t="n">
        <f aca="false">'[4]Monthly Curve Calc.'!B73</f>
        <v>197.266550433155</v>
      </c>
      <c r="C70" s="1660" t="n">
        <f aca="false">'[4]Monthly Curve Calc.'!C73</f>
        <v>175.298510647909</v>
      </c>
      <c r="D70" s="1661" t="n">
        <f aca="false">'[4]Monthly Curve Calc.'!F73</f>
        <v>1.84910127002989</v>
      </c>
      <c r="E70" s="1662" t="n">
        <f aca="false">IF($A70&lt;=E$16,D70,(B70/B69)/(C70/C69)*E69)</f>
        <v>1.37134369222986</v>
      </c>
      <c r="F70" s="1674" t="n">
        <f aca="false">IF(Assm!$L$75=0,F69,IF(AND($A70&gt;F$16,MONTH($A70)=MONTH(F$16)),B69/B57,F69))</f>
        <v>1.1469239629577</v>
      </c>
      <c r="G70" s="1668" t="n">
        <f aca="false">IF(Assm!$L$75=0,G69,IF(AND($A70&gt;G$16,MONTH($A70)=MONTH(G$16)),C69/C57,G69))</f>
        <v>1.0237377569461</v>
      </c>
      <c r="H70" s="1668" t="n">
        <f aca="false">IF(Assm!$L$75=0,H69,IF(AND($A70&gt;H$16,MONTH($A70)=MONTH(H$16)),C69/C57-H$18,H69))</f>
        <v>1.0212377569461</v>
      </c>
      <c r="I70" s="1668" t="n">
        <f aca="false">IF(Assm!$L$75=0,I69,IF($A70&gt;=I$16,IF(MONTH($A70)=MONTH(I$16),AVERAGE(D58:D69),I69),I69))</f>
        <v>1.77621725308948</v>
      </c>
      <c r="J70" s="1675" t="n">
        <f aca="false">IF(Assm!$L$75=0,J69,IF($A70&gt;=J$16,IF(MONTH($A70)=MONTH(J$16),AVERAGE(E58:E69),J69),J69))</f>
        <v>1.31874571416939</v>
      </c>
      <c r="K70" s="1624" t="n">
        <f aca="false">K69+1</f>
        <v>58</v>
      </c>
      <c r="L70" s="1667" t="n">
        <f aca="false">HLOOKUP(L$14,Dec_Change,$K70)</f>
        <v>1.0237377569461</v>
      </c>
      <c r="M70" s="1668" t="n">
        <f aca="false">M69</f>
        <v>0</v>
      </c>
      <c r="N70" s="1675" t="n">
        <f aca="false">IF(AND($A70&gt;=N$16,MONTH($A70)=MONTH(N$16)),MAX(L70,M70)*N69,N69)</f>
        <v>1.06207999503397</v>
      </c>
      <c r="P70" s="1667" t="n">
        <f aca="false">HLOOKUP(P$14,Dec_Change,$K70)</f>
        <v>1.1469239629577</v>
      </c>
      <c r="Q70" s="1668" t="n">
        <f aca="false">Q69</f>
        <v>0</v>
      </c>
      <c r="R70" s="1675" t="n">
        <f aca="false">IF(AND($A70&gt;=R$16,MONTH($A70)=MONTH(R$16)),MAX(P70,Q70)*R69,R69)</f>
        <v>1.30150483683391</v>
      </c>
      <c r="T70" s="1667" t="n">
        <f aca="false">HLOOKUP(T$14,Dec_Change,$K70)</f>
        <v>1.0237377569461</v>
      </c>
      <c r="U70" s="1668" t="n">
        <f aca="false">U69</f>
        <v>1.005</v>
      </c>
      <c r="V70" s="1675" t="n">
        <f aca="false">IF(AND($A70&gt;=V$16,MONTH($A70)=MONTH(V$16)),MAX(T70,U70)*V69,V69)</f>
        <v>1.06207999503397</v>
      </c>
      <c r="X70" s="1667" t="n">
        <f aca="false">HLOOKUP(X$14,Dec_Change,$K70)</f>
        <v>1.0212377569461</v>
      </c>
      <c r="Y70" s="1668" t="n">
        <f aca="false">Y69</f>
        <v>1.02</v>
      </c>
      <c r="Z70" s="1675" t="n">
        <f aca="false">IF(AND($A70&gt;=Z$16,MONTH($A70)=MONTH(Z$16)),MAX(X70,Y70)*Z69,Z69)</f>
        <v>1.06277620992613</v>
      </c>
      <c r="AB70" s="1667" t="n">
        <f aca="false">HLOOKUP(AB$14,Dec_Change,$K70)</f>
        <v>1.0212377569461</v>
      </c>
      <c r="AC70" s="1668" t="n">
        <f aca="false">AC69</f>
        <v>1.02</v>
      </c>
      <c r="AD70" s="1675" t="n">
        <f aca="false">IF(AND($A70&gt;=AD$16,MONTH($A70)=MONTH(AD$16)),MAX(AB70,AC70)*AD69,AD69)</f>
        <v>1.06277620992613</v>
      </c>
      <c r="AF70" s="1667" t="n">
        <f aca="false">HLOOKUP(AF$14,Dec_Change,$K70)</f>
        <v>1.1469239629577</v>
      </c>
      <c r="AG70" s="1668" t="n">
        <f aca="false">AG69</f>
        <v>0</v>
      </c>
      <c r="AH70" s="1675" t="n">
        <f aca="false">IF(AND($A70&gt;=AH$16,MONTH($A70)=MONTH(AH$16)),MAX(AF70,AG70)*AH69,AH69)</f>
        <v>1.30150483683391</v>
      </c>
      <c r="AJ70" s="1667" t="n">
        <f aca="false">HLOOKUP(AJ$14,Dec_Change,$K70)</f>
        <v>1.0212377569461</v>
      </c>
      <c r="AK70" s="1668" t="n">
        <f aca="false">AK69</f>
        <v>1.02</v>
      </c>
      <c r="AL70" s="1675" t="n">
        <f aca="false">IF(AND($A70&gt;=AL$16,MONTH($A70)=MONTH(AL$16)),MAX(AJ70,AK70)*AL69,AL69)</f>
        <v>1.06277620992613</v>
      </c>
      <c r="AN70" s="1667" t="n">
        <f aca="false">HLOOKUP(AN$14,Dec_Change,$K70)</f>
        <v>1.0237377569461</v>
      </c>
      <c r="AO70" s="1668" t="n">
        <f aca="false">AO69</f>
        <v>1.005</v>
      </c>
      <c r="AP70" s="1675" t="n">
        <f aca="false">IF(AND($A70&gt;=AP$16,MONTH($A70)=MONTH(AP$16)),MAX(AN70,AO70)*AP69,AP69)</f>
        <v>1.06207999503397</v>
      </c>
      <c r="AR70" s="1670" t="n">
        <f aca="false">$A70</f>
        <v>36951</v>
      </c>
      <c r="AS70" s="1671" t="n">
        <f aca="false">IF(AND($A70&gt;=EDATE(AS$17,12),IF(Assm!$L$74=0,$D70,$E70)/AS69&gt;=1.05),IF(Assm!$L$74=0,$D70,$E70),AS69)</f>
        <v>2.05</v>
      </c>
      <c r="AT70" s="1671" t="n">
        <f aca="false">IF(AS70/AS69=1,AT69,AS70/AS69)</f>
        <v>1.69659852685591</v>
      </c>
      <c r="AU70" s="1671" t="n">
        <f aca="false">F70</f>
        <v>1.1469239629577</v>
      </c>
      <c r="AV70" s="1671" t="n">
        <f aca="false">MAX(AT70,AU70)</f>
        <v>1.69659852685591</v>
      </c>
      <c r="AW70" s="1675" t="n">
        <f aca="false">IF(AV70=AV69,AW69,AV70*AW69)</f>
        <v>1.92488262910798</v>
      </c>
    </row>
    <row r="71" customFormat="false" ht="12.75" hidden="false" customHeight="false" outlineLevel="0" collapsed="false">
      <c r="A71" s="1673" t="n">
        <f aca="false">EDATE(A70,1)</f>
        <v>36982</v>
      </c>
      <c r="B71" s="1659" t="n">
        <f aca="false">'[4]Monthly Curve Calc.'!B74</f>
        <v>198.688314241586</v>
      </c>
      <c r="C71" s="1660" t="n">
        <f aca="false">'[4]Monthly Curve Calc.'!C74</f>
        <v>175.76833492019</v>
      </c>
      <c r="D71" s="1661" t="n">
        <f aca="false">'[4]Monthly Curve Calc.'!F74</f>
        <v>1.8644297889368</v>
      </c>
      <c r="E71" s="1662" t="n">
        <f aca="false">IF($A71&lt;=E$16,D71,(B71/B70)/(C71/C70)*E70)</f>
        <v>1.377535423991</v>
      </c>
      <c r="F71" s="1674" t="n">
        <f aca="false">IF(Assm!$L$75=0,F70,IF(AND($A71&gt;F$16,MONTH($A71)=MONTH(F$16)),B70/B58,F70))</f>
        <v>1.1469239629577</v>
      </c>
      <c r="G71" s="1668" t="n">
        <f aca="false">IF(Assm!$L$75=0,G70,IF(AND($A71&gt;G$16,MONTH($A71)=MONTH(G$16)),C70/C58,G70))</f>
        <v>1.0237377569461</v>
      </c>
      <c r="H71" s="1668" t="n">
        <f aca="false">IF(Assm!$L$75=0,H70,IF(AND($A71&gt;H$16,MONTH($A71)=MONTH(H$16)),C70/C58-H$18,H70))</f>
        <v>1.0212377569461</v>
      </c>
      <c r="I71" s="1668" t="n">
        <f aca="false">IF(Assm!$L$75=0,I70,IF($A71&gt;=I$16,IF(MONTH($A71)=MONTH(I$16),AVERAGE(D59:D70),I70),I70))</f>
        <v>1.77621725308948</v>
      </c>
      <c r="J71" s="1675" t="n">
        <f aca="false">IF(Assm!$L$75=0,J70,IF($A71&gt;=J$16,IF(MONTH($A71)=MONTH(J$16),AVERAGE(E59:E70),J70),J70))</f>
        <v>1.31874571416939</v>
      </c>
      <c r="K71" s="1624" t="n">
        <f aca="false">K70+1</f>
        <v>59</v>
      </c>
      <c r="L71" s="1667" t="n">
        <f aca="false">HLOOKUP(L$14,Dec_Change,$K71)</f>
        <v>1.0237377569461</v>
      </c>
      <c r="M71" s="1668" t="n">
        <f aca="false">M70</f>
        <v>0</v>
      </c>
      <c r="N71" s="1675" t="n">
        <f aca="false">IF(AND($A71&gt;=N$16,MONTH($A71)=MONTH(N$16)),MAX(L71,M71)*N70,N70)</f>
        <v>1.06207999503397</v>
      </c>
      <c r="P71" s="1667" t="n">
        <f aca="false">HLOOKUP(P$14,Dec_Change,$K71)</f>
        <v>1.1469239629577</v>
      </c>
      <c r="Q71" s="1668" t="n">
        <f aca="false">Q70</f>
        <v>0</v>
      </c>
      <c r="R71" s="1675" t="n">
        <f aca="false">IF(AND($A71&gt;=R$16,MONTH($A71)=MONTH(R$16)),MAX(P71,Q71)*R70,R70)</f>
        <v>1.30150483683391</v>
      </c>
      <c r="T71" s="1667" t="n">
        <f aca="false">HLOOKUP(T$14,Dec_Change,$K71)</f>
        <v>1.0237377569461</v>
      </c>
      <c r="U71" s="1668" t="n">
        <f aca="false">U70</f>
        <v>1.005</v>
      </c>
      <c r="V71" s="1675" t="n">
        <f aca="false">IF(AND($A71&gt;=V$16,MONTH($A71)=MONTH(V$16)),MAX(T71,U71)*V70,V70)</f>
        <v>1.06207999503397</v>
      </c>
      <c r="X71" s="1667" t="n">
        <f aca="false">HLOOKUP(X$14,Dec_Change,$K71)</f>
        <v>1.0212377569461</v>
      </c>
      <c r="Y71" s="1668" t="n">
        <f aca="false">Y70</f>
        <v>1.02</v>
      </c>
      <c r="Z71" s="1675" t="n">
        <f aca="false">IF(AND($A71&gt;=Z$16,MONTH($A71)=MONTH(Z$16)),MAX(X71,Y71)*Z70,Z70)</f>
        <v>1.06277620992613</v>
      </c>
      <c r="AB71" s="1667" t="n">
        <f aca="false">HLOOKUP(AB$14,Dec_Change,$K71)</f>
        <v>1.0212377569461</v>
      </c>
      <c r="AC71" s="1668" t="n">
        <f aca="false">AC70</f>
        <v>1.02</v>
      </c>
      <c r="AD71" s="1675" t="n">
        <f aca="false">IF(AND($A71&gt;=AD$16,MONTH($A71)=MONTH(AD$16)),MAX(AB71,AC71)*AD70,AD70)</f>
        <v>1.06277620992613</v>
      </c>
      <c r="AF71" s="1667" t="n">
        <f aca="false">HLOOKUP(AF$14,Dec_Change,$K71)</f>
        <v>1.1469239629577</v>
      </c>
      <c r="AG71" s="1668" t="n">
        <f aca="false">AG70</f>
        <v>0</v>
      </c>
      <c r="AH71" s="1675" t="n">
        <f aca="false">IF(AND($A71&gt;=AH$16,MONTH($A71)=MONTH(AH$16)),MAX(AF71,AG71)*AH70,AH70)</f>
        <v>1.30150483683391</v>
      </c>
      <c r="AJ71" s="1667" t="n">
        <f aca="false">HLOOKUP(AJ$14,Dec_Change,$K71)</f>
        <v>1.0212377569461</v>
      </c>
      <c r="AK71" s="1668" t="n">
        <f aca="false">AK70</f>
        <v>1.02</v>
      </c>
      <c r="AL71" s="1675" t="n">
        <f aca="false">IF(AND($A71&gt;=AL$16,MONTH($A71)=MONTH(AL$16)),MAX(AJ71,AK71)*AL70,AL70)</f>
        <v>1.06277620992613</v>
      </c>
      <c r="AN71" s="1667" t="n">
        <f aca="false">HLOOKUP(AN$14,Dec_Change,$K71)</f>
        <v>1.0237377569461</v>
      </c>
      <c r="AO71" s="1668" t="n">
        <f aca="false">AO70</f>
        <v>1.005</v>
      </c>
      <c r="AP71" s="1675" t="n">
        <f aca="false">IF(AND($A71&gt;=AP$16,MONTH($A71)=MONTH(AP$16)),MAX(AN71,AO71)*AP70,AP70)</f>
        <v>1.06207999503397</v>
      </c>
      <c r="AR71" s="1670" t="n">
        <f aca="false">$A71</f>
        <v>36982</v>
      </c>
      <c r="AS71" s="1671" t="n">
        <f aca="false">IF(AND($A71&gt;=EDATE(AS$17,12),IF(Assm!$L$74=0,$D71,$E71)/AS70&gt;=1.05),IF(Assm!$L$74=0,$D71,$E71),AS70)</f>
        <v>2.05</v>
      </c>
      <c r="AT71" s="1671" t="n">
        <f aca="false">IF(AS71/AS70=1,AT70,AS71/AS70)</f>
        <v>1.69659852685591</v>
      </c>
      <c r="AU71" s="1671" t="n">
        <f aca="false">F71</f>
        <v>1.1469239629577</v>
      </c>
      <c r="AV71" s="1671" t="n">
        <f aca="false">MAX(AT71,AU71)</f>
        <v>1.69659852685591</v>
      </c>
      <c r="AW71" s="1675" t="n">
        <f aca="false">IF(AV71=AV70,AW70,AV71*AW70)</f>
        <v>1.92488262910798</v>
      </c>
    </row>
    <row r="72" customFormat="false" ht="12.75" hidden="false" customHeight="false" outlineLevel="0" collapsed="false">
      <c r="A72" s="1673" t="n">
        <f aca="false">EDATE(A71,1)</f>
        <v>37012</v>
      </c>
      <c r="B72" s="1659" t="n">
        <f aca="false">'[4]Monthly Curve Calc.'!B75</f>
        <v>200.120325161463</v>
      </c>
      <c r="C72" s="1660" t="n">
        <f aca="false">'[4]Monthly Curve Calc.'!C75</f>
        <v>176.239418386552</v>
      </c>
      <c r="D72" s="1661" t="n">
        <f aca="false">'[4]Monthly Curve Calc.'!F75</f>
        <v>1.87988537686674</v>
      </c>
      <c r="E72" s="1662" t="n">
        <f aca="false">IF($A72&lt;=E$16,D72,(B72/B71)/(C72/C71)*E71)</f>
        <v>1.38375511194024</v>
      </c>
      <c r="F72" s="1674" t="n">
        <f aca="false">IF(Assm!$L$75=0,F71,IF(AND($A72&gt;F$16,MONTH($A72)=MONTH(F$16)),B71/B59,F71))</f>
        <v>1.09193709995342</v>
      </c>
      <c r="G72" s="1668" t="n">
        <f aca="false">IF(Assm!$L$75=0,G71,IF(AND($A72&gt;G$16,MONTH($A72)=MONTH(G$16)),C71/C59,G71))</f>
        <v>1.03304894415627</v>
      </c>
      <c r="H72" s="1668" t="n">
        <f aca="false">IF(Assm!$L$75=0,H71,IF(AND($A72&gt;H$16,MONTH($A72)=MONTH(H$16)),C71/C59-H$18,H71))</f>
        <v>1.03054894415627</v>
      </c>
      <c r="I72" s="1668" t="n">
        <f aca="false">IF(Assm!$L$75=0,I71,IF($A72&gt;=I$16,IF(MONTH($A72)=MONTH(I$16),AVERAGE(D60:D71),I71),I71))</f>
        <v>1.77621725308948</v>
      </c>
      <c r="J72" s="1675" t="n">
        <f aca="false">IF(Assm!$L$75=0,J71,IF($A72&gt;=J$16,IF(MONTH($A72)=MONTH(J$16),AVERAGE(E60:E71),J71),J71))</f>
        <v>1.31874571416939</v>
      </c>
      <c r="K72" s="1624" t="n">
        <f aca="false">K71+1</f>
        <v>60</v>
      </c>
      <c r="L72" s="1667" t="n">
        <f aca="false">HLOOKUP(L$14,Dec_Change,$K72)</f>
        <v>1.03304894415627</v>
      </c>
      <c r="M72" s="1668" t="n">
        <f aca="false">M71</f>
        <v>0</v>
      </c>
      <c r="N72" s="1675" t="n">
        <f aca="false">IF(AND($A72&gt;=N$16,MONTH($A72)=MONTH(N$16)),MAX(L72,M72)*N71,N71)</f>
        <v>1.09718061747934</v>
      </c>
      <c r="P72" s="1667" t="n">
        <f aca="false">HLOOKUP(P$14,Dec_Change,$K72)</f>
        <v>1.09193709995342</v>
      </c>
      <c r="Q72" s="1668" t="n">
        <f aca="false">Q71</f>
        <v>0</v>
      </c>
      <c r="R72" s="1675" t="n">
        <f aca="false">IF(AND($A72&gt;=R$16,MONTH($A72)=MONTH(R$16)),MAX(P72,Q72)*R71,R71)</f>
        <v>1.42116141710777</v>
      </c>
      <c r="T72" s="1667" t="n">
        <f aca="false">HLOOKUP(T$14,Dec_Change,$K72)</f>
        <v>1.03304894415627</v>
      </c>
      <c r="U72" s="1668" t="n">
        <f aca="false">U71</f>
        <v>1.005</v>
      </c>
      <c r="V72" s="1675" t="n">
        <f aca="false">IF(AND($A72&gt;=V$16,MONTH($A72)=MONTH(V$16)),MAX(T72,U72)*V71,V71)</f>
        <v>1.09718061747934</v>
      </c>
      <c r="X72" s="1667" t="n">
        <f aca="false">HLOOKUP(X$14,Dec_Change,$K72)</f>
        <v>1.03054894415627</v>
      </c>
      <c r="Y72" s="1668" t="n">
        <f aca="false">Y71</f>
        <v>1.02</v>
      </c>
      <c r="Z72" s="1675" t="n">
        <f aca="false">IF(AND($A72&gt;=Z$16,MONTH($A72)=MONTH(Z$16)),MAX(X72,Y72)*Z71,Z71)</f>
        <v>1.09524290101378</v>
      </c>
      <c r="AB72" s="1667" t="n">
        <f aca="false">HLOOKUP(AB$14,Dec_Change,$K72)</f>
        <v>1.03054894415627</v>
      </c>
      <c r="AC72" s="1668" t="n">
        <f aca="false">AC71</f>
        <v>1.02</v>
      </c>
      <c r="AD72" s="1675" t="n">
        <f aca="false">IF(AND($A72&gt;=AD$16,MONTH($A72)=MONTH(AD$16)),MAX(AB72,AC72)*AD71,AD71)</f>
        <v>1.09524290101378</v>
      </c>
      <c r="AF72" s="1667" t="n">
        <f aca="false">HLOOKUP(AF$14,Dec_Change,$K72)</f>
        <v>1.09193709995342</v>
      </c>
      <c r="AG72" s="1668" t="n">
        <f aca="false">AG71</f>
        <v>0</v>
      </c>
      <c r="AH72" s="1675" t="n">
        <f aca="false">IF(AND($A72&gt;=AH$16,MONTH($A72)=MONTH(AH$16)),MAX(AF72,AG72)*AH71,AH71)</f>
        <v>1.42116141710777</v>
      </c>
      <c r="AJ72" s="1667" t="n">
        <f aca="false">HLOOKUP(AJ$14,Dec_Change,$K72)</f>
        <v>1.03054894415627</v>
      </c>
      <c r="AK72" s="1668" t="n">
        <f aca="false">AK71</f>
        <v>1.02</v>
      </c>
      <c r="AL72" s="1675" t="n">
        <f aca="false">IF(AND($A72&gt;=AL$16,MONTH($A72)=MONTH(AL$16)),MAX(AJ72,AK72)*AL71,AL71)</f>
        <v>1.09524290101378</v>
      </c>
      <c r="AN72" s="1667" t="n">
        <f aca="false">HLOOKUP(AN$14,Dec_Change,$K72)</f>
        <v>1.03304894415627</v>
      </c>
      <c r="AO72" s="1668" t="n">
        <f aca="false">AO71</f>
        <v>1.005</v>
      </c>
      <c r="AP72" s="1675" t="n">
        <f aca="false">IF(AND($A72&gt;=AP$16,MONTH($A72)=MONTH(AP$16)),MAX(AN72,AO72)*AP71,AP71)</f>
        <v>1.09718061747934</v>
      </c>
      <c r="AR72" s="1670" t="n">
        <f aca="false">$A72</f>
        <v>37012</v>
      </c>
      <c r="AS72" s="1671" t="n">
        <f aca="false">IF(AND($A72&gt;=EDATE(AS$17,12),IF(Assm!$L$74=0,$D72,$E72)/AS71&gt;=1.05),IF(Assm!$L$74=0,$D72,$E72),AS71)</f>
        <v>2.05</v>
      </c>
      <c r="AT72" s="1671" t="n">
        <f aca="false">IF(AS72/AS71=1,AT71,AS72/AS71)</f>
        <v>1.69659852685591</v>
      </c>
      <c r="AU72" s="1671" t="n">
        <f aca="false">F72</f>
        <v>1.09193709995342</v>
      </c>
      <c r="AV72" s="1671" t="n">
        <f aca="false">MAX(AT72,AU72)</f>
        <v>1.69659852685591</v>
      </c>
      <c r="AW72" s="1675" t="n">
        <f aca="false">IF(AV72=AV71,AW71,AV72*AW71)</f>
        <v>1.92488262910798</v>
      </c>
    </row>
    <row r="73" customFormat="false" ht="12.75" hidden="false" customHeight="false" outlineLevel="0" collapsed="false">
      <c r="A73" s="1673" t="n">
        <f aca="false">EDATE(A72,1)</f>
        <v>37043</v>
      </c>
      <c r="B73" s="1659" t="n">
        <f aca="false">'[4]Monthly Curve Calc.'!B76</f>
        <v>201.562657047032</v>
      </c>
      <c r="C73" s="1660" t="n">
        <f aca="false">'[4]Monthly Curve Calc.'!C76</f>
        <v>176.711764421808</v>
      </c>
      <c r="D73" s="1661" t="n">
        <f aca="false">'[4]Monthly Curve Calc.'!F76</f>
        <v>1.89546908718545</v>
      </c>
      <c r="E73" s="1662" t="n">
        <f aca="false">IF($A73&lt;=E$16,D73,(B73/B72)/(C73/C72)*E72)</f>
        <v>1.3900028823021</v>
      </c>
      <c r="F73" s="1674" t="n">
        <f aca="false">IF(Assm!$L$75=0,F72,IF(AND($A73&gt;F$16,MONTH($A73)=MONTH(F$16)),B72/B60,F72))</f>
        <v>1.09193709995342</v>
      </c>
      <c r="G73" s="1668" t="n">
        <f aca="false">IF(Assm!$L$75=0,G72,IF(AND($A73&gt;G$16,MONTH($A73)=MONTH(G$16)),C72/C60,G72))</f>
        <v>1.03304894415627</v>
      </c>
      <c r="H73" s="1668" t="n">
        <f aca="false">IF(Assm!$L$75=0,H72,IF(AND($A73&gt;H$16,MONTH($A73)=MONTH(H$16)),C72/C60-H$18,H72))</f>
        <v>1.03054894415627</v>
      </c>
      <c r="I73" s="1668" t="n">
        <f aca="false">IF(Assm!$L$75=0,I72,IF($A73&gt;=I$16,IF(MONTH($A73)=MONTH(I$16),AVERAGE(D61:D72),I72),I72))</f>
        <v>1.77621725308948</v>
      </c>
      <c r="J73" s="1675" t="n">
        <f aca="false">IF(Assm!$L$75=0,J72,IF($A73&gt;=J$16,IF(MONTH($A73)=MONTH(J$16),AVERAGE(E61:E72),J72),J72))</f>
        <v>1.31874571416939</v>
      </c>
      <c r="K73" s="1624" t="n">
        <f aca="false">K72+1</f>
        <v>61</v>
      </c>
      <c r="L73" s="1667" t="n">
        <f aca="false">HLOOKUP(L$14,Dec_Change,$K73)</f>
        <v>1.03304894415627</v>
      </c>
      <c r="M73" s="1668" t="n">
        <f aca="false">M72</f>
        <v>0</v>
      </c>
      <c r="N73" s="1675" t="n">
        <f aca="false">IF(AND($A73&gt;=N$16,MONTH($A73)=MONTH(N$16)),MAX(L73,M73)*N72,N72)</f>
        <v>1.09718061747934</v>
      </c>
      <c r="P73" s="1667" t="n">
        <f aca="false">HLOOKUP(P$14,Dec_Change,$K73)</f>
        <v>1.09193709995342</v>
      </c>
      <c r="Q73" s="1668" t="n">
        <f aca="false">Q72</f>
        <v>0</v>
      </c>
      <c r="R73" s="1675" t="n">
        <f aca="false">IF(AND($A73&gt;=R$16,MONTH($A73)=MONTH(R$16)),MAX(P73,Q73)*R72,R72)</f>
        <v>1.42116141710777</v>
      </c>
      <c r="T73" s="1667" t="n">
        <f aca="false">HLOOKUP(T$14,Dec_Change,$K73)</f>
        <v>1.03304894415627</v>
      </c>
      <c r="U73" s="1668" t="n">
        <f aca="false">U72</f>
        <v>1.005</v>
      </c>
      <c r="V73" s="1675" t="n">
        <f aca="false">IF(AND($A73&gt;=V$16,MONTH($A73)=MONTH(V$16)),MAX(T73,U73)*V72,V72)</f>
        <v>1.09718061747934</v>
      </c>
      <c r="X73" s="1667" t="n">
        <f aca="false">HLOOKUP(X$14,Dec_Change,$K73)</f>
        <v>1.03054894415627</v>
      </c>
      <c r="Y73" s="1668" t="n">
        <f aca="false">Y72</f>
        <v>1.02</v>
      </c>
      <c r="Z73" s="1675" t="n">
        <f aca="false">IF(AND($A73&gt;=Z$16,MONTH($A73)=MONTH(Z$16)),MAX(X73,Y73)*Z72,Z72)</f>
        <v>1.09524290101378</v>
      </c>
      <c r="AB73" s="1667" t="n">
        <f aca="false">HLOOKUP(AB$14,Dec_Change,$K73)</f>
        <v>1.03054894415627</v>
      </c>
      <c r="AC73" s="1668" t="n">
        <f aca="false">AC72</f>
        <v>1.02</v>
      </c>
      <c r="AD73" s="1675" t="n">
        <f aca="false">IF(AND($A73&gt;=AD$16,MONTH($A73)=MONTH(AD$16)),MAX(AB73,AC73)*AD72,AD72)</f>
        <v>1.09524290101378</v>
      </c>
      <c r="AF73" s="1667" t="n">
        <f aca="false">HLOOKUP(AF$14,Dec_Change,$K73)</f>
        <v>1.09193709995342</v>
      </c>
      <c r="AG73" s="1668" t="n">
        <f aca="false">AG72</f>
        <v>0</v>
      </c>
      <c r="AH73" s="1675" t="n">
        <f aca="false">IF(AND($A73&gt;=AH$16,MONTH($A73)=MONTH(AH$16)),MAX(AF73,AG73)*AH72,AH72)</f>
        <v>1.42116141710777</v>
      </c>
      <c r="AJ73" s="1667" t="n">
        <f aca="false">HLOOKUP(AJ$14,Dec_Change,$K73)</f>
        <v>1.03054894415627</v>
      </c>
      <c r="AK73" s="1668" t="n">
        <f aca="false">AK72</f>
        <v>1.02</v>
      </c>
      <c r="AL73" s="1675" t="n">
        <f aca="false">IF(AND($A73&gt;=AL$16,MONTH($A73)=MONTH(AL$16)),MAX(AJ73,AK73)*AL72,AL72)</f>
        <v>1.09524290101378</v>
      </c>
      <c r="AN73" s="1667" t="n">
        <f aca="false">HLOOKUP(AN$14,Dec_Change,$K73)</f>
        <v>1.03304894415627</v>
      </c>
      <c r="AO73" s="1668" t="n">
        <f aca="false">AO72</f>
        <v>1.005</v>
      </c>
      <c r="AP73" s="1675" t="n">
        <f aca="false">IF(AND($A73&gt;=AP$16,MONTH($A73)=MONTH(AP$16)),MAX(AN73,AO73)*AP72,AP72)</f>
        <v>1.09718061747934</v>
      </c>
      <c r="AR73" s="1670" t="n">
        <f aca="false">$A73</f>
        <v>37043</v>
      </c>
      <c r="AS73" s="1671" t="n">
        <f aca="false">IF(AND($A73&gt;=EDATE(AS$17,12),IF(Assm!$L$74=0,$D73,$E73)/AS72&gt;=1.05),IF(Assm!$L$74=0,$D73,$E73),AS72)</f>
        <v>2.05</v>
      </c>
      <c r="AT73" s="1671" t="n">
        <f aca="false">IF(AS73/AS72=1,AT72,AS73/AS72)</f>
        <v>1.69659852685591</v>
      </c>
      <c r="AU73" s="1671" t="n">
        <f aca="false">F73</f>
        <v>1.09193709995342</v>
      </c>
      <c r="AV73" s="1671" t="n">
        <f aca="false">MAX(AT73,AU73)</f>
        <v>1.69659852685591</v>
      </c>
      <c r="AW73" s="1675" t="n">
        <f aca="false">IF(AV73=AV72,AW72,AV73*AW72)</f>
        <v>1.92488262910798</v>
      </c>
    </row>
    <row r="74" customFormat="false" ht="12.75" hidden="false" customHeight="false" outlineLevel="0" collapsed="false">
      <c r="A74" s="1673" t="n">
        <f aca="false">EDATE(A73,1)</f>
        <v>37073</v>
      </c>
      <c r="B74" s="1659" t="n">
        <f aca="false">'[4]Monthly Curve Calc.'!B77</f>
        <v>203.01538428483</v>
      </c>
      <c r="C74" s="1660" t="n">
        <f aca="false">'[4]Monthly Curve Calc.'!C77</f>
        <v>177.185376409817</v>
      </c>
      <c r="D74" s="1661" t="n">
        <f aca="false">'[4]Monthly Curve Calc.'!F77</f>
        <v>1.91118198199078</v>
      </c>
      <c r="E74" s="1662" t="n">
        <f aca="false">IF($A74&lt;=E$16,D74,(B74/B73)/(C74/C73)*E73)</f>
        <v>1.39627886187104</v>
      </c>
      <c r="F74" s="1674" t="n">
        <f aca="false">IF(Assm!$L$75=0,F73,IF(AND($A74&gt;F$16,MONTH($A74)=MONTH(F$16)),B73/B61,F73))</f>
        <v>1.09193709995342</v>
      </c>
      <c r="G74" s="1668" t="n">
        <f aca="false">IF(Assm!$L$75=0,G73,IF(AND($A74&gt;G$16,MONTH($A74)=MONTH(G$16)),C73/C61,G73))</f>
        <v>1.03304894415627</v>
      </c>
      <c r="H74" s="1668" t="n">
        <f aca="false">IF(Assm!$L$75=0,H73,IF(AND($A74&gt;H$16,MONTH($A74)=MONTH(H$16)),C73/C61-H$18,H73))</f>
        <v>1.03054894415627</v>
      </c>
      <c r="I74" s="1668" t="n">
        <f aca="false">IF(Assm!$L$75=0,I73,IF($A74&gt;=I$16,IF(MONTH($A74)=MONTH(I$16),AVERAGE(D62:D73),I73),I73))</f>
        <v>1.77621725308948</v>
      </c>
      <c r="J74" s="1675" t="n">
        <f aca="false">IF(Assm!$L$75=0,J73,IF($A74&gt;=J$16,IF(MONTH($A74)=MONTH(J$16),AVERAGE(E62:E73),J73),J73))</f>
        <v>1.31874571416939</v>
      </c>
      <c r="K74" s="1624" t="n">
        <f aca="false">K73+1</f>
        <v>62</v>
      </c>
      <c r="L74" s="1667" t="n">
        <f aca="false">HLOOKUP(L$14,Dec_Change,$K74)</f>
        <v>1.03304894415627</v>
      </c>
      <c r="M74" s="1668" t="n">
        <f aca="false">M73</f>
        <v>0</v>
      </c>
      <c r="N74" s="1675" t="n">
        <f aca="false">IF(AND($A74&gt;=N$16,MONTH($A74)=MONTH(N$16)),MAX(L74,M74)*N73,N73)</f>
        <v>1.09718061747934</v>
      </c>
      <c r="P74" s="1667" t="n">
        <f aca="false">HLOOKUP(P$14,Dec_Change,$K74)</f>
        <v>1.09193709995342</v>
      </c>
      <c r="Q74" s="1668" t="n">
        <f aca="false">Q73</f>
        <v>0</v>
      </c>
      <c r="R74" s="1675" t="n">
        <f aca="false">IF(AND($A74&gt;=R$16,MONTH($A74)=MONTH(R$16)),MAX(P74,Q74)*R73,R73)</f>
        <v>1.42116141710777</v>
      </c>
      <c r="T74" s="1667" t="n">
        <f aca="false">HLOOKUP(T$14,Dec_Change,$K74)</f>
        <v>1.03304894415627</v>
      </c>
      <c r="U74" s="1668" t="n">
        <f aca="false">U73</f>
        <v>1.005</v>
      </c>
      <c r="V74" s="1675" t="n">
        <f aca="false">IF(AND($A74&gt;=V$16,MONTH($A74)=MONTH(V$16)),MAX(T74,U74)*V73,V73)</f>
        <v>1.09718061747934</v>
      </c>
      <c r="X74" s="1667" t="n">
        <f aca="false">HLOOKUP(X$14,Dec_Change,$K74)</f>
        <v>1.03054894415627</v>
      </c>
      <c r="Y74" s="1668" t="n">
        <f aca="false">Y73</f>
        <v>1.02</v>
      </c>
      <c r="Z74" s="1675" t="n">
        <f aca="false">IF(AND($A74&gt;=Z$16,MONTH($A74)=MONTH(Z$16)),MAX(X74,Y74)*Z73,Z73)</f>
        <v>1.09524290101378</v>
      </c>
      <c r="AB74" s="1667" t="n">
        <f aca="false">HLOOKUP(AB$14,Dec_Change,$K74)</f>
        <v>1.03054894415627</v>
      </c>
      <c r="AC74" s="1668" t="n">
        <f aca="false">AC73</f>
        <v>1.02</v>
      </c>
      <c r="AD74" s="1675" t="n">
        <f aca="false">IF(AND($A74&gt;=AD$16,MONTH($A74)=MONTH(AD$16)),MAX(AB74,AC74)*AD73,AD73)</f>
        <v>1.09524290101378</v>
      </c>
      <c r="AF74" s="1667" t="n">
        <f aca="false">HLOOKUP(AF$14,Dec_Change,$K74)</f>
        <v>1.09193709995342</v>
      </c>
      <c r="AG74" s="1668" t="n">
        <f aca="false">AG73</f>
        <v>0</v>
      </c>
      <c r="AH74" s="1675" t="n">
        <f aca="false">IF(AND($A74&gt;=AH$16,MONTH($A74)=MONTH(AH$16)),MAX(AF74,AG74)*AH73,AH73)</f>
        <v>1.42116141710777</v>
      </c>
      <c r="AJ74" s="1667" t="n">
        <f aca="false">HLOOKUP(AJ$14,Dec_Change,$K74)</f>
        <v>1.03054894415627</v>
      </c>
      <c r="AK74" s="1668" t="n">
        <f aca="false">AK73</f>
        <v>1.02</v>
      </c>
      <c r="AL74" s="1675" t="n">
        <f aca="false">IF(AND($A74&gt;=AL$16,MONTH($A74)=MONTH(AL$16)),MAX(AJ74,AK74)*AL73,AL73)</f>
        <v>1.09524290101378</v>
      </c>
      <c r="AN74" s="1667" t="n">
        <f aca="false">HLOOKUP(AN$14,Dec_Change,$K74)</f>
        <v>1.03304894415627</v>
      </c>
      <c r="AO74" s="1668" t="n">
        <f aca="false">AO73</f>
        <v>1.005</v>
      </c>
      <c r="AP74" s="1675" t="n">
        <f aca="false">IF(AND($A74&gt;=AP$16,MONTH($A74)=MONTH(AP$16)),MAX(AN74,AO74)*AP73,AP73)</f>
        <v>1.09718061747934</v>
      </c>
      <c r="AR74" s="1670" t="n">
        <f aca="false">$A74</f>
        <v>37073</v>
      </c>
      <c r="AS74" s="1671" t="n">
        <f aca="false">IF(AND($A74&gt;=EDATE(AS$17,12),IF(Assm!$L$74=0,$D74,$E74)/AS73&gt;=1.05),IF(Assm!$L$74=0,$D74,$E74),AS73)</f>
        <v>2.05</v>
      </c>
      <c r="AT74" s="1671" t="n">
        <f aca="false">IF(AS74/AS73=1,AT73,AS74/AS73)</f>
        <v>1.69659852685591</v>
      </c>
      <c r="AU74" s="1671" t="n">
        <f aca="false">F74</f>
        <v>1.09193709995342</v>
      </c>
      <c r="AV74" s="1671" t="n">
        <f aca="false">MAX(AT74,AU74)</f>
        <v>1.69659852685591</v>
      </c>
      <c r="AW74" s="1675" t="n">
        <f aca="false">IF(AV74=AV73,AW73,AV74*AW73)</f>
        <v>1.92488262910798</v>
      </c>
    </row>
    <row r="75" customFormat="false" ht="12.75" hidden="false" customHeight="false" outlineLevel="0" collapsed="false">
      <c r="A75" s="1673" t="n">
        <f aca="false">EDATE(A74,1)</f>
        <v>37104</v>
      </c>
      <c r="B75" s="1659" t="n">
        <f aca="false">'[4]Monthly Curve Calc.'!B78</f>
        <v>204.47858179752</v>
      </c>
      <c r="C75" s="1660" t="n">
        <f aca="false">'[4]Monthly Curve Calc.'!C78</f>
        <v>177.660257743509</v>
      </c>
      <c r="D75" s="1661" t="n">
        <f aca="false">'[4]Monthly Curve Calc.'!F78</f>
        <v>1.92702513218504</v>
      </c>
      <c r="E75" s="1662" t="n">
        <f aca="false">IF($A75&lt;=E$16,D75,(B75/B74)/(C75/C74)*E74)</f>
        <v>1.40258317801399</v>
      </c>
      <c r="F75" s="1674" t="n">
        <f aca="false">IF(Assm!$L$75=0,F74,IF(AND($A75&gt;F$16,MONTH($A75)=MONTH(F$16)),B74/B62,F74))</f>
        <v>1.09193709995342</v>
      </c>
      <c r="G75" s="1668" t="n">
        <f aca="false">IF(Assm!$L$75=0,G74,IF(AND($A75&gt;G$16,MONTH($A75)=MONTH(G$16)),C74/C62,G74))</f>
        <v>1.03304894415627</v>
      </c>
      <c r="H75" s="1668" t="n">
        <f aca="false">IF(Assm!$L$75=0,H74,IF(AND($A75&gt;H$16,MONTH($A75)=MONTH(H$16)),C74/C62-H$18,H74))</f>
        <v>1.03054894415627</v>
      </c>
      <c r="I75" s="1668" t="n">
        <f aca="false">IF(Assm!$L$75=0,I74,IF($A75&gt;=I$16,IF(MONTH($A75)=MONTH(I$16),AVERAGE(D63:D74),I74),I74))</f>
        <v>1.77621725308948</v>
      </c>
      <c r="J75" s="1675" t="n">
        <f aca="false">IF(Assm!$L$75=0,J74,IF($A75&gt;=J$16,IF(MONTH($A75)=MONTH(J$16),AVERAGE(E63:E74),J74),J74))</f>
        <v>1.31874571416939</v>
      </c>
      <c r="K75" s="1624" t="n">
        <f aca="false">K74+1</f>
        <v>63</v>
      </c>
      <c r="L75" s="1667" t="n">
        <f aca="false">HLOOKUP(L$14,Dec_Change,$K75)</f>
        <v>1.03304894415627</v>
      </c>
      <c r="M75" s="1668" t="n">
        <f aca="false">M74</f>
        <v>0</v>
      </c>
      <c r="N75" s="1675" t="n">
        <f aca="false">IF(AND($A75&gt;=N$16,MONTH($A75)=MONTH(N$16)),MAX(L75,M75)*N74,N74)</f>
        <v>1.09718061747934</v>
      </c>
      <c r="P75" s="1667" t="n">
        <f aca="false">HLOOKUP(P$14,Dec_Change,$K75)</f>
        <v>1.09193709995342</v>
      </c>
      <c r="Q75" s="1668" t="n">
        <f aca="false">Q74</f>
        <v>0</v>
      </c>
      <c r="R75" s="1675" t="n">
        <f aca="false">IF(AND($A75&gt;=R$16,MONTH($A75)=MONTH(R$16)),MAX(P75,Q75)*R74,R74)</f>
        <v>1.42116141710777</v>
      </c>
      <c r="T75" s="1667" t="n">
        <f aca="false">HLOOKUP(T$14,Dec_Change,$K75)</f>
        <v>1.03304894415627</v>
      </c>
      <c r="U75" s="1668" t="n">
        <f aca="false">U74</f>
        <v>1.005</v>
      </c>
      <c r="V75" s="1675" t="n">
        <f aca="false">IF(AND($A75&gt;=V$16,MONTH($A75)=MONTH(V$16)),MAX(T75,U75)*V74,V74)</f>
        <v>1.09718061747934</v>
      </c>
      <c r="X75" s="1667" t="n">
        <f aca="false">HLOOKUP(X$14,Dec_Change,$K75)</f>
        <v>1.03054894415627</v>
      </c>
      <c r="Y75" s="1668" t="n">
        <f aca="false">Y74</f>
        <v>1.02</v>
      </c>
      <c r="Z75" s="1675" t="n">
        <f aca="false">IF(AND($A75&gt;=Z$16,MONTH($A75)=MONTH(Z$16)),MAX(X75,Y75)*Z74,Z74)</f>
        <v>1.09524290101378</v>
      </c>
      <c r="AB75" s="1667" t="n">
        <f aca="false">HLOOKUP(AB$14,Dec_Change,$K75)</f>
        <v>1.03054894415627</v>
      </c>
      <c r="AC75" s="1668" t="n">
        <f aca="false">AC74</f>
        <v>1.02</v>
      </c>
      <c r="AD75" s="1675" t="n">
        <f aca="false">IF(AND($A75&gt;=AD$16,MONTH($A75)=MONTH(AD$16)),MAX(AB75,AC75)*AD74,AD74)</f>
        <v>1.09524290101378</v>
      </c>
      <c r="AF75" s="1667" t="n">
        <f aca="false">HLOOKUP(AF$14,Dec_Change,$K75)</f>
        <v>1.09193709995342</v>
      </c>
      <c r="AG75" s="1668" t="n">
        <f aca="false">AG74</f>
        <v>0</v>
      </c>
      <c r="AH75" s="1675" t="n">
        <f aca="false">IF(AND($A75&gt;=AH$16,MONTH($A75)=MONTH(AH$16)),MAX(AF75,AG75)*AH74,AH74)</f>
        <v>1.42116141710777</v>
      </c>
      <c r="AJ75" s="1667" t="n">
        <f aca="false">HLOOKUP(AJ$14,Dec_Change,$K75)</f>
        <v>1.03054894415627</v>
      </c>
      <c r="AK75" s="1668" t="n">
        <f aca="false">AK74</f>
        <v>1.02</v>
      </c>
      <c r="AL75" s="1675" t="n">
        <f aca="false">IF(AND($A75&gt;=AL$16,MONTH($A75)=MONTH(AL$16)),MAX(AJ75,AK75)*AL74,AL74)</f>
        <v>1.09524290101378</v>
      </c>
      <c r="AN75" s="1667" t="n">
        <f aca="false">HLOOKUP(AN$14,Dec_Change,$K75)</f>
        <v>1.03304894415627</v>
      </c>
      <c r="AO75" s="1668" t="n">
        <f aca="false">AO74</f>
        <v>1.005</v>
      </c>
      <c r="AP75" s="1675" t="n">
        <f aca="false">IF(AND($A75&gt;=AP$16,MONTH($A75)=MONTH(AP$16)),MAX(AN75,AO75)*AP74,AP74)</f>
        <v>1.09718061747934</v>
      </c>
      <c r="AR75" s="1670" t="n">
        <f aca="false">$A75</f>
        <v>37104</v>
      </c>
      <c r="AS75" s="1671" t="n">
        <f aca="false">IF(AND($A75&gt;=EDATE(AS$17,12),IF(Assm!$L$74=0,$D75,$E75)/AS74&gt;=1.05),IF(Assm!$L$74=0,$D75,$E75),AS74)</f>
        <v>2.05</v>
      </c>
      <c r="AT75" s="1671" t="n">
        <f aca="false">IF(AS75/AS74=1,AT74,AS75/AS74)</f>
        <v>1.69659852685591</v>
      </c>
      <c r="AU75" s="1671" t="n">
        <f aca="false">F75</f>
        <v>1.09193709995342</v>
      </c>
      <c r="AV75" s="1671" t="n">
        <f aca="false">MAX(AT75,AU75)</f>
        <v>1.69659852685591</v>
      </c>
      <c r="AW75" s="1675" t="n">
        <f aca="false">IF(AV75=AV74,AW74,AV75*AW74)</f>
        <v>1.92488262910798</v>
      </c>
    </row>
    <row r="76" customFormat="false" ht="12.75" hidden="false" customHeight="false" outlineLevel="0" collapsed="false">
      <c r="A76" s="1673" t="n">
        <f aca="false">EDATE(A75,1)</f>
        <v>37135</v>
      </c>
      <c r="B76" s="1659" t="n">
        <f aca="false">'[4]Monthly Curve Calc.'!B79</f>
        <v>205.95232504776</v>
      </c>
      <c r="C76" s="1660" t="n">
        <f aca="false">'[4]Monthly Curve Calc.'!C79</f>
        <v>178.136411824906</v>
      </c>
      <c r="D76" s="1661" t="n">
        <f aca="false">'[4]Monthly Curve Calc.'!F79</f>
        <v>1.94299961754803</v>
      </c>
      <c r="E76" s="1662" t="n">
        <f aca="false">IF($A76&lt;=E$16,D76,(B76/B75)/(C76/C75)*E75)</f>
        <v>1.40891595867295</v>
      </c>
      <c r="F76" s="1674" t="n">
        <f aca="false">IF(Assm!$L$75=0,F75,IF(AND($A76&gt;F$16,MONTH($A76)=MONTH(F$16)),B75/B63,F75))</f>
        <v>1.09193709995342</v>
      </c>
      <c r="G76" s="1668" t="n">
        <f aca="false">IF(Assm!$L$75=0,G75,IF(AND($A76&gt;G$16,MONTH($A76)=MONTH(G$16)),C75/C63,G75))</f>
        <v>1.03304894415627</v>
      </c>
      <c r="H76" s="1668" t="n">
        <f aca="false">IF(Assm!$L$75=0,H75,IF(AND($A76&gt;H$16,MONTH($A76)=MONTH(H$16)),C75/C63-H$18,H75))</f>
        <v>1.03054894415627</v>
      </c>
      <c r="I76" s="1668" t="n">
        <f aca="false">IF(Assm!$L$75=0,I75,IF($A76&gt;=I$16,IF(MONTH($A76)=MONTH(I$16),AVERAGE(D64:D75),I75),I75))</f>
        <v>1.77621725308948</v>
      </c>
      <c r="J76" s="1675" t="n">
        <f aca="false">IF(Assm!$L$75=0,J75,IF($A76&gt;=J$16,IF(MONTH($A76)=MONTH(J$16),AVERAGE(E64:E75),J75),J75))</f>
        <v>1.31874571416939</v>
      </c>
      <c r="K76" s="1624" t="n">
        <f aca="false">K75+1</f>
        <v>64</v>
      </c>
      <c r="L76" s="1667" t="n">
        <f aca="false">HLOOKUP(L$14,Dec_Change,$K76)</f>
        <v>1.03304894415627</v>
      </c>
      <c r="M76" s="1668" t="n">
        <f aca="false">M75</f>
        <v>0</v>
      </c>
      <c r="N76" s="1675" t="n">
        <f aca="false">IF(AND($A76&gt;=N$16,MONTH($A76)=MONTH(N$16)),MAX(L76,M76)*N75,N75)</f>
        <v>1.09718061747934</v>
      </c>
      <c r="P76" s="1667" t="n">
        <f aca="false">HLOOKUP(P$14,Dec_Change,$K76)</f>
        <v>1.09193709995342</v>
      </c>
      <c r="Q76" s="1668" t="n">
        <f aca="false">Q75</f>
        <v>0</v>
      </c>
      <c r="R76" s="1675" t="n">
        <f aca="false">IF(AND($A76&gt;=R$16,MONTH($A76)=MONTH(R$16)),MAX(P76,Q76)*R75,R75)</f>
        <v>1.42116141710777</v>
      </c>
      <c r="T76" s="1667" t="n">
        <f aca="false">HLOOKUP(T$14,Dec_Change,$K76)</f>
        <v>1.03304894415627</v>
      </c>
      <c r="U76" s="1668" t="n">
        <f aca="false">U75</f>
        <v>1.005</v>
      </c>
      <c r="V76" s="1675" t="n">
        <f aca="false">IF(AND($A76&gt;=V$16,MONTH($A76)=MONTH(V$16)),MAX(T76,U76)*V75,V75)</f>
        <v>1.09718061747934</v>
      </c>
      <c r="X76" s="1667" t="n">
        <f aca="false">HLOOKUP(X$14,Dec_Change,$K76)</f>
        <v>1.03054894415627</v>
      </c>
      <c r="Y76" s="1668" t="n">
        <f aca="false">Y75</f>
        <v>1.02</v>
      </c>
      <c r="Z76" s="1675" t="n">
        <f aca="false">IF(AND($A76&gt;=Z$16,MONTH($A76)=MONTH(Z$16)),MAX(X76,Y76)*Z75,Z75)</f>
        <v>1.09524290101378</v>
      </c>
      <c r="AB76" s="1667" t="n">
        <f aca="false">HLOOKUP(AB$14,Dec_Change,$K76)</f>
        <v>1.03054894415627</v>
      </c>
      <c r="AC76" s="1668" t="n">
        <f aca="false">AC75</f>
        <v>1.02</v>
      </c>
      <c r="AD76" s="1675" t="n">
        <f aca="false">IF(AND($A76&gt;=AD$16,MONTH($A76)=MONTH(AD$16)),MAX(AB76,AC76)*AD75,AD75)</f>
        <v>1.09524290101378</v>
      </c>
      <c r="AF76" s="1667" t="n">
        <f aca="false">HLOOKUP(AF$14,Dec_Change,$K76)</f>
        <v>1.09193709995342</v>
      </c>
      <c r="AG76" s="1668" t="n">
        <f aca="false">AG75</f>
        <v>0</v>
      </c>
      <c r="AH76" s="1675" t="n">
        <f aca="false">IF(AND($A76&gt;=AH$16,MONTH($A76)=MONTH(AH$16)),MAX(AF76,AG76)*AH75,AH75)</f>
        <v>1.42116141710777</v>
      </c>
      <c r="AJ76" s="1667" t="n">
        <f aca="false">HLOOKUP(AJ$14,Dec_Change,$K76)</f>
        <v>1.03054894415627</v>
      </c>
      <c r="AK76" s="1668" t="n">
        <f aca="false">AK75</f>
        <v>1.02</v>
      </c>
      <c r="AL76" s="1675" t="n">
        <f aca="false">IF(AND($A76&gt;=AL$16,MONTH($A76)=MONTH(AL$16)),MAX(AJ76,AK76)*AL75,AL75)</f>
        <v>1.09524290101378</v>
      </c>
      <c r="AN76" s="1667" t="n">
        <f aca="false">HLOOKUP(AN$14,Dec_Change,$K76)</f>
        <v>1.03304894415627</v>
      </c>
      <c r="AO76" s="1668" t="n">
        <f aca="false">AO75</f>
        <v>1.005</v>
      </c>
      <c r="AP76" s="1675" t="n">
        <f aca="false">IF(AND($A76&gt;=AP$16,MONTH($A76)=MONTH(AP$16)),MAX(AN76,AO76)*AP75,AP75)</f>
        <v>1.09718061747934</v>
      </c>
      <c r="AR76" s="1670" t="n">
        <f aca="false">$A76</f>
        <v>37135</v>
      </c>
      <c r="AS76" s="1671" t="n">
        <f aca="false">IF(AND($A76&gt;=EDATE(AS$17,12),IF(Assm!$L$74=0,$D76,$E76)/AS75&gt;=1.05),IF(Assm!$L$74=0,$D76,$E76),AS75)</f>
        <v>2.05</v>
      </c>
      <c r="AT76" s="1671" t="n">
        <f aca="false">IF(AS76/AS75=1,AT75,AS76/AS75)</f>
        <v>1.69659852685591</v>
      </c>
      <c r="AU76" s="1671" t="n">
        <f aca="false">F76</f>
        <v>1.09193709995342</v>
      </c>
      <c r="AV76" s="1671" t="n">
        <f aca="false">MAX(AT76,AU76)</f>
        <v>1.69659852685591</v>
      </c>
      <c r="AW76" s="1675" t="n">
        <f aca="false">IF(AV76=AV75,AW75,AV76*AW75)</f>
        <v>1.92488262910798</v>
      </c>
    </row>
    <row r="77" customFormat="false" ht="12.75" hidden="false" customHeight="false" outlineLevel="0" collapsed="false">
      <c r="A77" s="1673" t="n">
        <f aca="false">EDATE(A76,1)</f>
        <v>37165</v>
      </c>
      <c r="B77" s="1659" t="n">
        <f aca="false">'[4]Monthly Curve Calc.'!B80</f>
        <v>207.43669004209</v>
      </c>
      <c r="C77" s="1660" t="n">
        <f aca="false">'[4]Monthly Curve Calc.'!C80</f>
        <v>178.613842065146</v>
      </c>
      <c r="D77" s="1661" t="n">
        <f aca="false">'[4]Monthly Curve Calc.'!F80</f>
        <v>1.95910652681061</v>
      </c>
      <c r="E77" s="1662" t="n">
        <f aca="false">IF($A77&lt;=E$16,D77,(B77/B76)/(C77/C76)*E76)</f>
        <v>1.41527733236762</v>
      </c>
      <c r="F77" s="1674" t="n">
        <f aca="false">IF(Assm!$L$75=0,F76,IF(AND($A77&gt;F$16,MONTH($A77)=MONTH(F$16)),B76/B64,F76))</f>
        <v>1.09193709995342</v>
      </c>
      <c r="G77" s="1668" t="n">
        <f aca="false">IF(Assm!$L$75=0,G76,IF(AND($A77&gt;G$16,MONTH($A77)=MONTH(G$16)),C76/C64,G76))</f>
        <v>1.03304894415627</v>
      </c>
      <c r="H77" s="1668" t="n">
        <f aca="false">IF(Assm!$L$75=0,H76,IF(AND($A77&gt;H$16,MONTH($A77)=MONTH(H$16)),C76/C64-H$18,H76))</f>
        <v>1.03054894415627</v>
      </c>
      <c r="I77" s="1668" t="n">
        <f aca="false">IF(Assm!$L$75=0,I76,IF($A77&gt;=I$16,IF(MONTH($A77)=MONTH(I$16),AVERAGE(D65:D76),I76),I76))</f>
        <v>1.77621725308948</v>
      </c>
      <c r="J77" s="1675" t="n">
        <f aca="false">IF(Assm!$L$75=0,J76,IF($A77&gt;=J$16,IF(MONTH($A77)=MONTH(J$16),AVERAGE(E65:E76),J76),J76))</f>
        <v>1.31874571416939</v>
      </c>
      <c r="K77" s="1624" t="n">
        <f aca="false">K76+1</f>
        <v>65</v>
      </c>
      <c r="L77" s="1667" t="n">
        <f aca="false">HLOOKUP(L$14,Dec_Change,$K77)</f>
        <v>1.03304894415627</v>
      </c>
      <c r="M77" s="1668" t="n">
        <f aca="false">M76</f>
        <v>0</v>
      </c>
      <c r="N77" s="1675" t="n">
        <f aca="false">IF(AND($A77&gt;=N$16,MONTH($A77)=MONTH(N$16)),MAX(L77,M77)*N76,N76)</f>
        <v>1.09718061747934</v>
      </c>
      <c r="P77" s="1667" t="n">
        <f aca="false">HLOOKUP(P$14,Dec_Change,$K77)</f>
        <v>1.09193709995342</v>
      </c>
      <c r="Q77" s="1668" t="n">
        <f aca="false">Q76</f>
        <v>0</v>
      </c>
      <c r="R77" s="1675" t="n">
        <f aca="false">IF(AND($A77&gt;=R$16,MONTH($A77)=MONTH(R$16)),MAX(P77,Q77)*R76,R76)</f>
        <v>1.42116141710777</v>
      </c>
      <c r="T77" s="1667" t="n">
        <f aca="false">HLOOKUP(T$14,Dec_Change,$K77)</f>
        <v>1.03304894415627</v>
      </c>
      <c r="U77" s="1668" t="n">
        <f aca="false">U76</f>
        <v>1.005</v>
      </c>
      <c r="V77" s="1675" t="n">
        <f aca="false">IF(AND($A77&gt;=V$16,MONTH($A77)=MONTH(V$16)),MAX(T77,U77)*V76,V76)</f>
        <v>1.09718061747934</v>
      </c>
      <c r="X77" s="1667" t="n">
        <f aca="false">HLOOKUP(X$14,Dec_Change,$K77)</f>
        <v>1.03054894415627</v>
      </c>
      <c r="Y77" s="1668" t="n">
        <f aca="false">Y76</f>
        <v>1.02</v>
      </c>
      <c r="Z77" s="1675" t="n">
        <f aca="false">IF(AND($A77&gt;=Z$16,MONTH($A77)=MONTH(Z$16)),MAX(X77,Y77)*Z76,Z76)</f>
        <v>1.09524290101378</v>
      </c>
      <c r="AB77" s="1667" t="n">
        <f aca="false">HLOOKUP(AB$14,Dec_Change,$K77)</f>
        <v>1.03054894415627</v>
      </c>
      <c r="AC77" s="1668" t="n">
        <f aca="false">AC76</f>
        <v>1.02</v>
      </c>
      <c r="AD77" s="1675" t="n">
        <f aca="false">IF(AND($A77&gt;=AD$16,MONTH($A77)=MONTH(AD$16)),MAX(AB77,AC77)*AD76,AD76)</f>
        <v>1.09524290101378</v>
      </c>
      <c r="AF77" s="1667" t="n">
        <f aca="false">HLOOKUP(AF$14,Dec_Change,$K77)</f>
        <v>1.09193709995342</v>
      </c>
      <c r="AG77" s="1668" t="n">
        <f aca="false">AG76</f>
        <v>0</v>
      </c>
      <c r="AH77" s="1675" t="n">
        <f aca="false">IF(AND($A77&gt;=AH$16,MONTH($A77)=MONTH(AH$16)),MAX(AF77,AG77)*AH76,AH76)</f>
        <v>1.42116141710777</v>
      </c>
      <c r="AJ77" s="1667" t="n">
        <f aca="false">HLOOKUP(AJ$14,Dec_Change,$K77)</f>
        <v>1.03054894415627</v>
      </c>
      <c r="AK77" s="1668" t="n">
        <f aca="false">AK76</f>
        <v>1.02</v>
      </c>
      <c r="AL77" s="1675" t="n">
        <f aca="false">IF(AND($A77&gt;=AL$16,MONTH($A77)=MONTH(AL$16)),MAX(AJ77,AK77)*AL76,AL76)</f>
        <v>1.09524290101378</v>
      </c>
      <c r="AN77" s="1667" t="n">
        <f aca="false">HLOOKUP(AN$14,Dec_Change,$K77)</f>
        <v>1.03304894415627</v>
      </c>
      <c r="AO77" s="1668" t="n">
        <f aca="false">AO76</f>
        <v>1.005</v>
      </c>
      <c r="AP77" s="1675" t="n">
        <f aca="false">IF(AND($A77&gt;=AP$16,MONTH($A77)=MONTH(AP$16)),MAX(AN77,AO77)*AP76,AP76)</f>
        <v>1.09718061747934</v>
      </c>
      <c r="AR77" s="1670" t="n">
        <f aca="false">$A77</f>
        <v>37165</v>
      </c>
      <c r="AS77" s="1671" t="n">
        <f aca="false">IF(AND($A77&gt;=EDATE(AS$17,12),IF(Assm!$L$74=0,$D77,$E77)/AS76&gt;=1.05),IF(Assm!$L$74=0,$D77,$E77),AS76)</f>
        <v>2.05</v>
      </c>
      <c r="AT77" s="1671" t="n">
        <f aca="false">IF(AS77/AS76=1,AT76,AS77/AS76)</f>
        <v>1.69659852685591</v>
      </c>
      <c r="AU77" s="1671" t="n">
        <f aca="false">F77</f>
        <v>1.09193709995342</v>
      </c>
      <c r="AV77" s="1671" t="n">
        <f aca="false">MAX(AT77,AU77)</f>
        <v>1.69659852685591</v>
      </c>
      <c r="AW77" s="1675" t="n">
        <f aca="false">IF(AV77=AV76,AW76,AV77*AW76)</f>
        <v>1.92488262910798</v>
      </c>
    </row>
    <row r="78" customFormat="false" ht="12.75" hidden="false" customHeight="false" outlineLevel="0" collapsed="false">
      <c r="A78" s="1673" t="n">
        <f aca="false">EDATE(A77,1)</f>
        <v>37196</v>
      </c>
      <c r="B78" s="1659" t="n">
        <f aca="false">'[4]Monthly Curve Calc.'!B81</f>
        <v>208.931753334852</v>
      </c>
      <c r="C78" s="1660" t="n">
        <f aca="false">'[4]Monthly Curve Calc.'!C81</f>
        <v>179.092551884514</v>
      </c>
      <c r="D78" s="1661" t="n">
        <f aca="false">'[4]Monthly Curve Calc.'!F81</f>
        <v>1.97534695772891</v>
      </c>
      <c r="E78" s="1662" t="n">
        <f aca="false">IF($A78&lt;=E$16,D78,(B78/B77)/(C78/C77)*E77)</f>
        <v>1.42166742819793</v>
      </c>
      <c r="F78" s="1674" t="n">
        <f aca="false">IF(Assm!$L$75=0,F77,IF(AND($A78&gt;F$16,MONTH($A78)=MONTH(F$16)),B77/B65,F77))</f>
        <v>1.09193709995342</v>
      </c>
      <c r="G78" s="1668" t="n">
        <f aca="false">IF(Assm!$L$75=0,G77,IF(AND($A78&gt;G$16,MONTH($A78)=MONTH(G$16)),C77/C65,G77))</f>
        <v>1.03304894415627</v>
      </c>
      <c r="H78" s="1668" t="n">
        <f aca="false">IF(Assm!$L$75=0,H77,IF(AND($A78&gt;H$16,MONTH($A78)=MONTH(H$16)),C77/C65-H$18,H77))</f>
        <v>1.03054894415627</v>
      </c>
      <c r="I78" s="1668" t="n">
        <f aca="false">IF(Assm!$L$75=0,I77,IF($A78&gt;=I$16,IF(MONTH($A78)=MONTH(I$16),AVERAGE(D66:D77),I77),I77))</f>
        <v>1.77621725308948</v>
      </c>
      <c r="J78" s="1675" t="n">
        <f aca="false">IF(Assm!$L$75=0,J77,IF($A78&gt;=J$16,IF(MONTH($A78)=MONTH(J$16),AVERAGE(E66:E77),J77),J77))</f>
        <v>1.31874571416939</v>
      </c>
      <c r="K78" s="1624" t="n">
        <f aca="false">K77+1</f>
        <v>66</v>
      </c>
      <c r="L78" s="1667" t="n">
        <f aca="false">HLOOKUP(L$14,Dec_Change,$K78)</f>
        <v>1.03304894415627</v>
      </c>
      <c r="M78" s="1668" t="n">
        <f aca="false">M77</f>
        <v>0</v>
      </c>
      <c r="N78" s="1675" t="n">
        <f aca="false">IF(AND($A78&gt;=N$16,MONTH($A78)=MONTH(N$16)),MAX(L78,M78)*N77,N77)</f>
        <v>1.09718061747934</v>
      </c>
      <c r="P78" s="1667" t="n">
        <f aca="false">HLOOKUP(P$14,Dec_Change,$K78)</f>
        <v>1.09193709995342</v>
      </c>
      <c r="Q78" s="1668" t="n">
        <f aca="false">Q77</f>
        <v>0</v>
      </c>
      <c r="R78" s="1675" t="n">
        <f aca="false">IF(AND($A78&gt;=R$16,MONTH($A78)=MONTH(R$16)),MAX(P78,Q78)*R77,R77)</f>
        <v>1.42116141710777</v>
      </c>
      <c r="T78" s="1667" t="n">
        <f aca="false">HLOOKUP(T$14,Dec_Change,$K78)</f>
        <v>1.03304894415627</v>
      </c>
      <c r="U78" s="1668" t="n">
        <f aca="false">U77</f>
        <v>1.005</v>
      </c>
      <c r="V78" s="1675" t="n">
        <f aca="false">IF(AND($A78&gt;=V$16,MONTH($A78)=MONTH(V$16)),MAX(T78,U78)*V77,V77)</f>
        <v>1.09718061747934</v>
      </c>
      <c r="X78" s="1667" t="n">
        <f aca="false">HLOOKUP(X$14,Dec_Change,$K78)</f>
        <v>1.03054894415627</v>
      </c>
      <c r="Y78" s="1668" t="n">
        <f aca="false">Y77</f>
        <v>1.02</v>
      </c>
      <c r="Z78" s="1675" t="n">
        <f aca="false">IF(AND($A78&gt;=Z$16,MONTH($A78)=MONTH(Z$16)),MAX(X78,Y78)*Z77,Z77)</f>
        <v>1.09524290101378</v>
      </c>
      <c r="AB78" s="1667" t="n">
        <f aca="false">HLOOKUP(AB$14,Dec_Change,$K78)</f>
        <v>1.03054894415627</v>
      </c>
      <c r="AC78" s="1668" t="n">
        <f aca="false">AC77</f>
        <v>1.02</v>
      </c>
      <c r="AD78" s="1675" t="n">
        <f aca="false">IF(AND($A78&gt;=AD$16,MONTH($A78)=MONTH(AD$16)),MAX(AB78,AC78)*AD77,AD77)</f>
        <v>1.09524290101378</v>
      </c>
      <c r="AF78" s="1667" t="n">
        <f aca="false">HLOOKUP(AF$14,Dec_Change,$K78)</f>
        <v>1.09193709995342</v>
      </c>
      <c r="AG78" s="1668" t="n">
        <f aca="false">AG77</f>
        <v>0</v>
      </c>
      <c r="AH78" s="1675" t="n">
        <f aca="false">IF(AND($A78&gt;=AH$16,MONTH($A78)=MONTH(AH$16)),MAX(AF78,AG78)*AH77,AH77)</f>
        <v>1.42116141710777</v>
      </c>
      <c r="AJ78" s="1667" t="n">
        <f aca="false">HLOOKUP(AJ$14,Dec_Change,$K78)</f>
        <v>1.03054894415627</v>
      </c>
      <c r="AK78" s="1668" t="n">
        <f aca="false">AK77</f>
        <v>1.02</v>
      </c>
      <c r="AL78" s="1675" t="n">
        <f aca="false">IF(AND($A78&gt;=AL$16,MONTH($A78)=MONTH(AL$16)),MAX(AJ78,AK78)*AL77,AL77)</f>
        <v>1.09524290101378</v>
      </c>
      <c r="AN78" s="1667" t="n">
        <f aca="false">HLOOKUP(AN$14,Dec_Change,$K78)</f>
        <v>1.03304894415627</v>
      </c>
      <c r="AO78" s="1668" t="n">
        <f aca="false">AO77</f>
        <v>1.005</v>
      </c>
      <c r="AP78" s="1675" t="n">
        <f aca="false">IF(AND($A78&gt;=AP$16,MONTH($A78)=MONTH(AP$16)),MAX(AN78,AO78)*AP77,AP77)</f>
        <v>1.09718061747934</v>
      </c>
      <c r="AR78" s="1670" t="n">
        <f aca="false">$A78</f>
        <v>37196</v>
      </c>
      <c r="AS78" s="1671" t="n">
        <f aca="false">IF(AND($A78&gt;=EDATE(AS$17,12),IF(Assm!$L$74=0,$D78,$E78)/AS77&gt;=1.05),IF(Assm!$L$74=0,$D78,$E78),AS77)</f>
        <v>2.05</v>
      </c>
      <c r="AT78" s="1671" t="n">
        <f aca="false">IF(AS78/AS77=1,AT77,AS78/AS77)</f>
        <v>1.69659852685591</v>
      </c>
      <c r="AU78" s="1671" t="n">
        <f aca="false">F78</f>
        <v>1.09193709995342</v>
      </c>
      <c r="AV78" s="1671" t="n">
        <f aca="false">MAX(AT78,AU78)</f>
        <v>1.69659852685591</v>
      </c>
      <c r="AW78" s="1675" t="n">
        <f aca="false">IF(AV78=AV77,AW77,AV78*AW77)</f>
        <v>1.92488262910798</v>
      </c>
    </row>
    <row r="79" customFormat="false" ht="12.75" hidden="false" customHeight="false" outlineLevel="0" collapsed="false">
      <c r="A79" s="1673" t="n">
        <f aca="false">EDATE(A78,1)</f>
        <v>37226</v>
      </c>
      <c r="B79" s="1659" t="n">
        <f aca="false">'[4]Monthly Curve Calc.'!B82</f>
        <v>210.437592032144</v>
      </c>
      <c r="C79" s="1660" t="n">
        <f aca="false">'[4]Monthly Curve Calc.'!C82</f>
        <v>179.572544712458</v>
      </c>
      <c r="D79" s="1661" t="n">
        <f aca="false">'[4]Monthly Curve Calc.'!F82</f>
        <v>1.99172201715913</v>
      </c>
      <c r="E79" s="1662" t="n">
        <f aca="false">IF($A79&lt;=E$16,D79,(B79/B78)/(C79/C78)*E78)</f>
        <v>1.42808637584674</v>
      </c>
      <c r="F79" s="1674" t="n">
        <f aca="false">IF(Assm!$L$75=0,F78,IF(AND($A79&gt;F$16,MONTH($A79)=MONTH(F$16)),B78/B66,F78))</f>
        <v>1.09193709995342</v>
      </c>
      <c r="G79" s="1668" t="n">
        <f aca="false">IF(Assm!$L$75=0,G78,IF(AND($A79&gt;G$16,MONTH($A79)=MONTH(G$16)),C78/C66,G78))</f>
        <v>1.03304894415627</v>
      </c>
      <c r="H79" s="1668" t="n">
        <f aca="false">IF(Assm!$L$75=0,H78,IF(AND($A79&gt;H$16,MONTH($A79)=MONTH(H$16)),C78/C66-H$18,H78))</f>
        <v>1.03054894415627</v>
      </c>
      <c r="I79" s="1668" t="n">
        <f aca="false">IF(Assm!$L$75=0,I78,IF($A79&gt;=I$16,IF(MONTH($A79)=MONTH(I$16),AVERAGE(D67:D78),I78),I78))</f>
        <v>1.77621725308948</v>
      </c>
      <c r="J79" s="1675" t="n">
        <f aca="false">IF(Assm!$L$75=0,J78,IF($A79&gt;=J$16,IF(MONTH($A79)=MONTH(J$16),AVERAGE(E67:E78),J78),J78))</f>
        <v>1.31874571416939</v>
      </c>
      <c r="K79" s="1624" t="n">
        <f aca="false">K78+1</f>
        <v>67</v>
      </c>
      <c r="L79" s="1667" t="n">
        <f aca="false">HLOOKUP(L$14,Dec_Change,$K79)</f>
        <v>1.03304894415627</v>
      </c>
      <c r="M79" s="1668" t="n">
        <f aca="false">M78</f>
        <v>0</v>
      </c>
      <c r="N79" s="1675" t="n">
        <f aca="false">IF(AND($A79&gt;=N$16,MONTH($A79)=MONTH(N$16)),MAX(L79,M79)*N78,N78)</f>
        <v>1.09718061747934</v>
      </c>
      <c r="P79" s="1667" t="n">
        <f aca="false">HLOOKUP(P$14,Dec_Change,$K79)</f>
        <v>1.09193709995342</v>
      </c>
      <c r="Q79" s="1668" t="n">
        <f aca="false">Q78</f>
        <v>0</v>
      </c>
      <c r="R79" s="1675" t="n">
        <f aca="false">IF(AND($A79&gt;=R$16,MONTH($A79)=MONTH(R$16)),MAX(P79,Q79)*R78,R78)</f>
        <v>1.42116141710777</v>
      </c>
      <c r="T79" s="1667" t="n">
        <f aca="false">HLOOKUP(T$14,Dec_Change,$K79)</f>
        <v>1.03304894415627</v>
      </c>
      <c r="U79" s="1668" t="n">
        <f aca="false">U78</f>
        <v>1.005</v>
      </c>
      <c r="V79" s="1675" t="n">
        <f aca="false">IF(AND($A79&gt;=V$16,MONTH($A79)=MONTH(V$16)),MAX(T79,U79)*V78,V78)</f>
        <v>1.09718061747934</v>
      </c>
      <c r="X79" s="1667" t="n">
        <f aca="false">HLOOKUP(X$14,Dec_Change,$K79)</f>
        <v>1.03054894415627</v>
      </c>
      <c r="Y79" s="1668" t="n">
        <f aca="false">Y78</f>
        <v>1.02</v>
      </c>
      <c r="Z79" s="1675" t="n">
        <f aca="false">IF(AND($A79&gt;=Z$16,MONTH($A79)=MONTH(Z$16)),MAX(X79,Y79)*Z78,Z78)</f>
        <v>1.09524290101378</v>
      </c>
      <c r="AB79" s="1667" t="n">
        <f aca="false">HLOOKUP(AB$14,Dec_Change,$K79)</f>
        <v>1.03054894415627</v>
      </c>
      <c r="AC79" s="1668" t="n">
        <f aca="false">AC78</f>
        <v>1.02</v>
      </c>
      <c r="AD79" s="1675" t="n">
        <f aca="false">IF(AND($A79&gt;=AD$16,MONTH($A79)=MONTH(AD$16)),MAX(AB79,AC79)*AD78,AD78)</f>
        <v>1.09524290101378</v>
      </c>
      <c r="AF79" s="1667" t="n">
        <f aca="false">HLOOKUP(AF$14,Dec_Change,$K79)</f>
        <v>1.09193709995342</v>
      </c>
      <c r="AG79" s="1668" t="n">
        <f aca="false">AG78</f>
        <v>0</v>
      </c>
      <c r="AH79" s="1675" t="n">
        <f aca="false">IF(AND($A79&gt;=AH$16,MONTH($A79)=MONTH(AH$16)),MAX(AF79,AG79)*AH78,AH78)</f>
        <v>1.42116141710777</v>
      </c>
      <c r="AJ79" s="1667" t="n">
        <f aca="false">HLOOKUP(AJ$14,Dec_Change,$K79)</f>
        <v>1.03054894415627</v>
      </c>
      <c r="AK79" s="1668" t="n">
        <f aca="false">AK78</f>
        <v>1.02</v>
      </c>
      <c r="AL79" s="1675" t="n">
        <f aca="false">IF(AND($A79&gt;=AL$16,MONTH($A79)=MONTH(AL$16)),MAX(AJ79,AK79)*AL78,AL78)</f>
        <v>1.09524290101378</v>
      </c>
      <c r="AN79" s="1667" t="n">
        <f aca="false">HLOOKUP(AN$14,Dec_Change,$K79)</f>
        <v>1.03304894415627</v>
      </c>
      <c r="AO79" s="1668" t="n">
        <f aca="false">AO78</f>
        <v>1.005</v>
      </c>
      <c r="AP79" s="1675" t="n">
        <f aca="false">IF(AND($A79&gt;=AP$16,MONTH($A79)=MONTH(AP$16)),MAX(AN79,AO79)*AP78,AP78)</f>
        <v>1.09718061747934</v>
      </c>
      <c r="AR79" s="1670" t="n">
        <f aca="false">$A79</f>
        <v>37226</v>
      </c>
      <c r="AS79" s="1671" t="n">
        <f aca="false">IF(AND($A79&gt;=EDATE(AS$17,12),IF(Assm!$L$74=0,$D79,$E79)/AS78&gt;=1.05),IF(Assm!$L$74=0,$D79,$E79),AS78)</f>
        <v>2.05</v>
      </c>
      <c r="AT79" s="1671" t="n">
        <f aca="false">IF(AS79/AS78=1,AT78,AS79/AS78)</f>
        <v>1.69659852685591</v>
      </c>
      <c r="AU79" s="1671" t="n">
        <f aca="false">F79</f>
        <v>1.09193709995342</v>
      </c>
      <c r="AV79" s="1671" t="n">
        <f aca="false">MAX(AT79,AU79)</f>
        <v>1.69659852685591</v>
      </c>
      <c r="AW79" s="1675" t="n">
        <f aca="false">IF(AV79=AV78,AW78,AV79*AW78)</f>
        <v>1.92488262910798</v>
      </c>
    </row>
    <row r="80" customFormat="false" ht="12.75" hidden="false" customHeight="false" outlineLevel="0" collapsed="false">
      <c r="A80" s="1673" t="n">
        <f aca="false">EDATE(A79,1)</f>
        <v>37257</v>
      </c>
      <c r="B80" s="1659" t="n">
        <f aca="false">'[4]Monthly Curve Calc.'!B83</f>
        <v>211.87309067014</v>
      </c>
      <c r="C80" s="1660" t="n">
        <f aca="false">'[4]Monthly Curve Calc.'!C83</f>
        <v>180.021954839391</v>
      </c>
      <c r="D80" s="1661" t="n">
        <f aca="false">'[4]Monthly Curve Calc.'!F83</f>
        <v>2.00248656102165</v>
      </c>
      <c r="E80" s="1662" t="n">
        <f aca="false">IF($A80&lt;=E$16,D80,(B80/B79)/(C80/C79)*E79)</f>
        <v>1.43423863711494</v>
      </c>
      <c r="F80" s="1674" t="n">
        <f aca="false">IF(Assm!$L$75=0,F79,IF(AND($A80&gt;F$16,MONTH($A80)=MONTH(F$16)),B79/B67,F79))</f>
        <v>1.09193709995342</v>
      </c>
      <c r="G80" s="1668" t="n">
        <f aca="false">IF(Assm!$L$75=0,G79,IF(AND($A80&gt;G$16,MONTH($A80)=MONTH(G$16)),C79/C67,G79))</f>
        <v>1.03304894415627</v>
      </c>
      <c r="H80" s="1668" t="n">
        <f aca="false">IF(Assm!$L$75=0,H79,IF(AND($A80&gt;H$16,MONTH($A80)=MONTH(H$16)),C79/C67-H$18,H79))</f>
        <v>1.03054894415627</v>
      </c>
      <c r="I80" s="1668" t="n">
        <f aca="false">IF(Assm!$L$75=0,I79,IF($A80&gt;=I$16,IF(MONTH($A80)=MONTH(I$16),AVERAGE(D68:D79),I79),I79))</f>
        <v>1.90408231674455</v>
      </c>
      <c r="J80" s="1675" t="n">
        <f aca="false">IF(Assm!$L$75=0,J79,IF($A80&gt;=J$16,IF(MONTH($A80)=MONTH(J$16),AVERAGE(E68:E79),J79),J79))</f>
        <v>1.39330580263675</v>
      </c>
      <c r="K80" s="1624" t="n">
        <f aca="false">K79+1</f>
        <v>68</v>
      </c>
      <c r="L80" s="1667" t="n">
        <f aca="false">HLOOKUP(L$14,Dec_Change,$K80)</f>
        <v>1.03304894415627</v>
      </c>
      <c r="M80" s="1668" t="n">
        <f aca="false">M79</f>
        <v>0</v>
      </c>
      <c r="N80" s="1675" t="n">
        <f aca="false">IF(AND($A80&gt;=N$16,MONTH($A80)=MONTH(N$16)),MAX(L80,M80)*N79,N79)</f>
        <v>1.09718061747934</v>
      </c>
      <c r="P80" s="1667" t="n">
        <f aca="false">HLOOKUP(P$14,Dec_Change,$K80)</f>
        <v>1.09193709995342</v>
      </c>
      <c r="Q80" s="1668" t="n">
        <f aca="false">Q79</f>
        <v>0</v>
      </c>
      <c r="R80" s="1675" t="n">
        <f aca="false">IF(AND($A80&gt;=R$16,MONTH($A80)=MONTH(R$16)),MAX(P80,Q80)*R79,R79)</f>
        <v>1.42116141710777</v>
      </c>
      <c r="T80" s="1667" t="n">
        <f aca="false">HLOOKUP(T$14,Dec_Change,$K80)</f>
        <v>1.03304894415627</v>
      </c>
      <c r="U80" s="1668" t="n">
        <f aca="false">U79</f>
        <v>1.005</v>
      </c>
      <c r="V80" s="1675" t="n">
        <f aca="false">IF(AND($A80&gt;=V$16,MONTH($A80)=MONTH(V$16)),MAX(T80,U80)*V79,V79)</f>
        <v>1.09718061747934</v>
      </c>
      <c r="X80" s="1667" t="n">
        <f aca="false">HLOOKUP(X$14,Dec_Change,$K80)</f>
        <v>1.03054894415627</v>
      </c>
      <c r="Y80" s="1668" t="n">
        <f aca="false">Y79</f>
        <v>1.02</v>
      </c>
      <c r="Z80" s="1675" t="n">
        <f aca="false">IF(AND($A80&gt;=Z$16,MONTH($A80)=MONTH(Z$16)),MAX(X80,Y80)*Z79,Z79)</f>
        <v>1.09524290101378</v>
      </c>
      <c r="AB80" s="1667" t="n">
        <f aca="false">HLOOKUP(AB$14,Dec_Change,$K80)</f>
        <v>1.03054894415627</v>
      </c>
      <c r="AC80" s="1668" t="n">
        <f aca="false">AC79</f>
        <v>1.02</v>
      </c>
      <c r="AD80" s="1675" t="n">
        <f aca="false">IF(AND($A80&gt;=AD$16,MONTH($A80)=MONTH(AD$16)),MAX(AB80,AC80)*AD79,AD79)</f>
        <v>1.09524290101378</v>
      </c>
      <c r="AF80" s="1667" t="n">
        <f aca="false">HLOOKUP(AF$14,Dec_Change,$K80)</f>
        <v>1.09193709995342</v>
      </c>
      <c r="AG80" s="1668" t="n">
        <f aca="false">AG79</f>
        <v>0</v>
      </c>
      <c r="AH80" s="1675" t="n">
        <f aca="false">IF(AND($A80&gt;=AH$16,MONTH($A80)=MONTH(AH$16)),MAX(AF80,AG80)*AH79,AH79)</f>
        <v>1.42116141710777</v>
      </c>
      <c r="AJ80" s="1667" t="n">
        <f aca="false">HLOOKUP(AJ$14,Dec_Change,$K80)</f>
        <v>1.03054894415627</v>
      </c>
      <c r="AK80" s="1668" t="n">
        <f aca="false">AK79</f>
        <v>1.02</v>
      </c>
      <c r="AL80" s="1675" t="n">
        <f aca="false">IF(AND($A80&gt;=AL$16,MONTH($A80)=MONTH(AL$16)),MAX(AJ80,AK80)*AL79,AL79)</f>
        <v>1.09524290101378</v>
      </c>
      <c r="AN80" s="1667" t="n">
        <f aca="false">HLOOKUP(AN$14,Dec_Change,$K80)</f>
        <v>1.03304894415627</v>
      </c>
      <c r="AO80" s="1668" t="n">
        <f aca="false">AO79</f>
        <v>1.005</v>
      </c>
      <c r="AP80" s="1675" t="n">
        <f aca="false">IF(AND($A80&gt;=AP$16,MONTH($A80)=MONTH(AP$16)),MAX(AN80,AO80)*AP79,AP79)</f>
        <v>1.09718061747934</v>
      </c>
      <c r="AR80" s="1670" t="n">
        <f aca="false">$A80</f>
        <v>37257</v>
      </c>
      <c r="AS80" s="1671" t="n">
        <f aca="false">IF(AND($A80&gt;=EDATE(AS$17,12),IF(Assm!$L$74=0,$D80,$E80)/AS79&gt;=1.05),IF(Assm!$L$74=0,$D80,$E80),AS79)</f>
        <v>2.05</v>
      </c>
      <c r="AT80" s="1671" t="n">
        <f aca="false">IF(AS80/AS79=1,AT79,AS80/AS79)</f>
        <v>1.69659852685591</v>
      </c>
      <c r="AU80" s="1671" t="n">
        <f aca="false">F80</f>
        <v>1.09193709995342</v>
      </c>
      <c r="AV80" s="1671" t="n">
        <f aca="false">MAX(AT80,AU80)</f>
        <v>1.69659852685591</v>
      </c>
      <c r="AW80" s="1675" t="n">
        <f aca="false">IF(AV80=AV79,AW79,AV80*AW79)</f>
        <v>1.92488262910798</v>
      </c>
    </row>
    <row r="81" customFormat="false" ht="12.75" hidden="false" customHeight="false" outlineLevel="0" collapsed="false">
      <c r="A81" s="1673" t="n">
        <f aca="false">EDATE(A80,1)</f>
        <v>37288</v>
      </c>
      <c r="B81" s="1659" t="n">
        <f aca="false">'[4]Monthly Curve Calc.'!B84</f>
        <v>213.318381552572</v>
      </c>
      <c r="C81" s="1660" t="n">
        <f aca="false">'[4]Monthly Curve Calc.'!C84</f>
        <v>180.472489689831</v>
      </c>
      <c r="D81" s="1661" t="n">
        <f aca="false">'[4]Monthly Curve Calc.'!F84</f>
        <v>2.01330928338677</v>
      </c>
      <c r="E81" s="1662" t="n">
        <f aca="false">IF($A81&lt;=E$16,D81,(B81/B80)/(C81/C80)*E80)</f>
        <v>1.44041740260541</v>
      </c>
      <c r="F81" s="1674" t="n">
        <f aca="false">IF(Assm!$L$75=0,F80,IF(AND($A81&gt;F$16,MONTH($A81)=MONTH(F$16)),B80/B68,F80))</f>
        <v>1.09193709995342</v>
      </c>
      <c r="G81" s="1668" t="n">
        <f aca="false">IF(Assm!$L$75=0,G80,IF(AND($A81&gt;G$16,MONTH($A81)=MONTH(G$16)),C80/C68,G80))</f>
        <v>1.03304894415627</v>
      </c>
      <c r="H81" s="1668" t="n">
        <f aca="false">IF(Assm!$L$75=0,H80,IF(AND($A81&gt;H$16,MONTH($A81)=MONTH(H$16)),C80/C68-H$18,H80))</f>
        <v>1.03054894415627</v>
      </c>
      <c r="I81" s="1668" t="n">
        <f aca="false">IF(Assm!$L$75=0,I80,IF($A81&gt;=I$16,IF(MONTH($A81)=MONTH(I$16),AVERAGE(D69:D80),I80),I80))</f>
        <v>1.90408231674455</v>
      </c>
      <c r="J81" s="1675" t="n">
        <f aca="false">IF(Assm!$L$75=0,J80,IF($A81&gt;=J$16,IF(MONTH($A81)=MONTH(J$16),AVERAGE(E69:E80),J80),J80))</f>
        <v>1.39330580263675</v>
      </c>
      <c r="K81" s="1624" t="n">
        <f aca="false">K80+1</f>
        <v>69</v>
      </c>
      <c r="L81" s="1667" t="n">
        <f aca="false">HLOOKUP(L$14,Dec_Change,$K81)</f>
        <v>1.03304894415627</v>
      </c>
      <c r="M81" s="1668" t="n">
        <f aca="false">M80</f>
        <v>0</v>
      </c>
      <c r="N81" s="1675" t="n">
        <f aca="false">IF(AND($A81&gt;=N$16,MONTH($A81)=MONTH(N$16)),MAX(L81,M81)*N80,N80)</f>
        <v>1.09718061747934</v>
      </c>
      <c r="P81" s="1667" t="n">
        <f aca="false">HLOOKUP(P$14,Dec_Change,$K81)</f>
        <v>1.09193709995342</v>
      </c>
      <c r="Q81" s="1668" t="n">
        <f aca="false">Q80</f>
        <v>0</v>
      </c>
      <c r="R81" s="1675" t="n">
        <f aca="false">IF(AND($A81&gt;=R$16,MONTH($A81)=MONTH(R$16)),MAX(P81,Q81)*R80,R80)</f>
        <v>1.42116141710777</v>
      </c>
      <c r="T81" s="1667" t="n">
        <f aca="false">HLOOKUP(T$14,Dec_Change,$K81)</f>
        <v>1.03304894415627</v>
      </c>
      <c r="U81" s="1668" t="n">
        <f aca="false">U80</f>
        <v>1.005</v>
      </c>
      <c r="V81" s="1675" t="n">
        <f aca="false">IF(AND($A81&gt;=V$16,MONTH($A81)=MONTH(V$16)),MAX(T81,U81)*V80,V80)</f>
        <v>1.09718061747934</v>
      </c>
      <c r="X81" s="1667" t="n">
        <f aca="false">HLOOKUP(X$14,Dec_Change,$K81)</f>
        <v>1.03054894415627</v>
      </c>
      <c r="Y81" s="1668" t="n">
        <f aca="false">Y80</f>
        <v>1.02</v>
      </c>
      <c r="Z81" s="1675" t="n">
        <f aca="false">IF(AND($A81&gt;=Z$16,MONTH($A81)=MONTH(Z$16)),MAX(X81,Y81)*Z80,Z80)</f>
        <v>1.09524290101378</v>
      </c>
      <c r="AB81" s="1667" t="n">
        <f aca="false">HLOOKUP(AB$14,Dec_Change,$K81)</f>
        <v>1.03054894415627</v>
      </c>
      <c r="AC81" s="1668" t="n">
        <f aca="false">AC80</f>
        <v>1.02</v>
      </c>
      <c r="AD81" s="1675" t="n">
        <f aca="false">IF(AND($A81&gt;=AD$16,MONTH($A81)=MONTH(AD$16)),MAX(AB81,AC81)*AD80,AD80)</f>
        <v>1.09524290101378</v>
      </c>
      <c r="AF81" s="1667" t="n">
        <f aca="false">HLOOKUP(AF$14,Dec_Change,$K81)</f>
        <v>1.09193709995342</v>
      </c>
      <c r="AG81" s="1668" t="n">
        <f aca="false">AG80</f>
        <v>0</v>
      </c>
      <c r="AH81" s="1675" t="n">
        <f aca="false">IF(AND($A81&gt;=AH$16,MONTH($A81)=MONTH(AH$16)),MAX(AF81,AG81)*AH80,AH80)</f>
        <v>1.42116141710777</v>
      </c>
      <c r="AJ81" s="1667" t="n">
        <f aca="false">HLOOKUP(AJ$14,Dec_Change,$K81)</f>
        <v>1.03054894415627</v>
      </c>
      <c r="AK81" s="1668" t="n">
        <f aca="false">AK80</f>
        <v>1.02</v>
      </c>
      <c r="AL81" s="1675" t="n">
        <f aca="false">IF(AND($A81&gt;=AL$16,MONTH($A81)=MONTH(AL$16)),MAX(AJ81,AK81)*AL80,AL80)</f>
        <v>1.09524290101378</v>
      </c>
      <c r="AN81" s="1667" t="n">
        <f aca="false">HLOOKUP(AN$14,Dec_Change,$K81)</f>
        <v>1.03304894415627</v>
      </c>
      <c r="AO81" s="1668" t="n">
        <f aca="false">AO80</f>
        <v>1.005</v>
      </c>
      <c r="AP81" s="1675" t="n">
        <f aca="false">IF(AND($A81&gt;=AP$16,MONTH($A81)=MONTH(AP$16)),MAX(AN81,AO81)*AP80,AP80)</f>
        <v>1.09718061747934</v>
      </c>
      <c r="AR81" s="1670" t="n">
        <f aca="false">$A81</f>
        <v>37288</v>
      </c>
      <c r="AS81" s="1671" t="n">
        <f aca="false">IF(AND($A81&gt;=EDATE(AS$17,12),IF(Assm!$L$74=0,$D81,$E81)/AS80&gt;=1.05),IF(Assm!$L$74=0,$D81,$E81),AS80)</f>
        <v>2.05</v>
      </c>
      <c r="AT81" s="1671" t="n">
        <f aca="false">IF(AS81/AS80=1,AT80,AS81/AS80)</f>
        <v>1.69659852685591</v>
      </c>
      <c r="AU81" s="1671" t="n">
        <f aca="false">F81</f>
        <v>1.09193709995342</v>
      </c>
      <c r="AV81" s="1671" t="n">
        <f aca="false">MAX(AT81,AU81)</f>
        <v>1.69659852685591</v>
      </c>
      <c r="AW81" s="1675" t="n">
        <f aca="false">IF(AV81=AV80,AW80,AV81*AW80)</f>
        <v>1.92488262910798</v>
      </c>
    </row>
    <row r="82" customFormat="false" ht="12.75" hidden="false" customHeight="false" outlineLevel="0" collapsed="false">
      <c r="A82" s="1673" t="n">
        <f aca="false">EDATE(A81,1)</f>
        <v>37316</v>
      </c>
      <c r="B82" s="1659" t="n">
        <f aca="false">'[4]Monthly Curve Calc.'!B85</f>
        <v>214.773531477171</v>
      </c>
      <c r="C82" s="1660" t="n">
        <f aca="false">'[4]Monthly Curve Calc.'!C85</f>
        <v>180.924152078586</v>
      </c>
      <c r="D82" s="1661" t="n">
        <f aca="false">'[4]Monthly Curve Calc.'!F85</f>
        <v>2.02419049868846</v>
      </c>
      <c r="E82" s="1662" t="n">
        <f aca="false">IF($A82&lt;=E$16,D82,(B82/B81)/(C82/C81)*E81)</f>
        <v>1.44662278649953</v>
      </c>
      <c r="F82" s="1674" t="n">
        <f aca="false">IF(Assm!$L$75=0,F81,IF(AND($A82&gt;F$16,MONTH($A82)=MONTH(F$16)),B81/B69,F81))</f>
        <v>1.09193709995342</v>
      </c>
      <c r="G82" s="1668" t="n">
        <f aca="false">IF(Assm!$L$75=0,G81,IF(AND($A82&gt;G$16,MONTH($A82)=MONTH(G$16)),C81/C69,G81))</f>
        <v>1.03304894415627</v>
      </c>
      <c r="H82" s="1668" t="n">
        <f aca="false">IF(Assm!$L$75=0,H81,IF(AND($A82&gt;H$16,MONTH($A82)=MONTH(H$16)),C81/C69-H$18,H81))</f>
        <v>1.03054894415627</v>
      </c>
      <c r="I82" s="1668" t="n">
        <f aca="false">IF(Assm!$L$75=0,I81,IF($A82&gt;=I$16,IF(MONTH($A82)=MONTH(I$16),AVERAGE(D70:D81),I81),I81))</f>
        <v>1.90408231674455</v>
      </c>
      <c r="J82" s="1675" t="n">
        <f aca="false">IF(Assm!$L$75=0,J81,IF($A82&gt;=J$16,IF(MONTH($A82)=MONTH(J$16),AVERAGE(E70:E81),J81),J81))</f>
        <v>1.39330580263675</v>
      </c>
      <c r="K82" s="1624" t="n">
        <f aca="false">K81+1</f>
        <v>70</v>
      </c>
      <c r="L82" s="1667" t="n">
        <f aca="false">HLOOKUP(L$14,Dec_Change,$K82)</f>
        <v>1.03304894415627</v>
      </c>
      <c r="M82" s="1668" t="n">
        <f aca="false">M81</f>
        <v>0</v>
      </c>
      <c r="N82" s="1675" t="n">
        <f aca="false">IF(AND($A82&gt;=N$16,MONTH($A82)=MONTH(N$16)),MAX(L82,M82)*N81,N81)</f>
        <v>1.09718061747934</v>
      </c>
      <c r="P82" s="1667" t="n">
        <f aca="false">HLOOKUP(P$14,Dec_Change,$K82)</f>
        <v>1.09193709995342</v>
      </c>
      <c r="Q82" s="1668" t="n">
        <f aca="false">Q81</f>
        <v>0</v>
      </c>
      <c r="R82" s="1675" t="n">
        <f aca="false">IF(AND($A82&gt;=R$16,MONTH($A82)=MONTH(R$16)),MAX(P82,Q82)*R81,R81)</f>
        <v>1.42116141710777</v>
      </c>
      <c r="T82" s="1667" t="n">
        <f aca="false">HLOOKUP(T$14,Dec_Change,$K82)</f>
        <v>1.03304894415627</v>
      </c>
      <c r="U82" s="1668" t="n">
        <f aca="false">U81</f>
        <v>1.005</v>
      </c>
      <c r="V82" s="1675" t="n">
        <f aca="false">IF(AND($A82&gt;=V$16,MONTH($A82)=MONTH(V$16)),MAX(T82,U82)*V81,V81)</f>
        <v>1.09718061747934</v>
      </c>
      <c r="X82" s="1667" t="n">
        <f aca="false">HLOOKUP(X$14,Dec_Change,$K82)</f>
        <v>1.03054894415627</v>
      </c>
      <c r="Y82" s="1668" t="n">
        <f aca="false">Y81</f>
        <v>1.02</v>
      </c>
      <c r="Z82" s="1675" t="n">
        <f aca="false">IF(AND($A82&gt;=Z$16,MONTH($A82)=MONTH(Z$16)),MAX(X82,Y82)*Z81,Z81)</f>
        <v>1.09524290101378</v>
      </c>
      <c r="AB82" s="1667" t="n">
        <f aca="false">HLOOKUP(AB$14,Dec_Change,$K82)</f>
        <v>1.03054894415627</v>
      </c>
      <c r="AC82" s="1668" t="n">
        <f aca="false">AC81</f>
        <v>1.02</v>
      </c>
      <c r="AD82" s="1675" t="n">
        <f aca="false">IF(AND($A82&gt;=AD$16,MONTH($A82)=MONTH(AD$16)),MAX(AB82,AC82)*AD81,AD81)</f>
        <v>1.09524290101378</v>
      </c>
      <c r="AF82" s="1667" t="n">
        <f aca="false">HLOOKUP(AF$14,Dec_Change,$K82)</f>
        <v>1.09193709995342</v>
      </c>
      <c r="AG82" s="1668" t="n">
        <f aca="false">AG81</f>
        <v>0</v>
      </c>
      <c r="AH82" s="1675" t="n">
        <f aca="false">IF(AND($A82&gt;=AH$16,MONTH($A82)=MONTH(AH$16)),MAX(AF82,AG82)*AH81,AH81)</f>
        <v>1.42116141710777</v>
      </c>
      <c r="AJ82" s="1667" t="n">
        <f aca="false">HLOOKUP(AJ$14,Dec_Change,$K82)</f>
        <v>1.03054894415627</v>
      </c>
      <c r="AK82" s="1668" t="n">
        <f aca="false">AK81</f>
        <v>1.02</v>
      </c>
      <c r="AL82" s="1675" t="n">
        <f aca="false">IF(AND($A82&gt;=AL$16,MONTH($A82)=MONTH(AL$16)),MAX(AJ82,AK82)*AL81,AL81)</f>
        <v>1.09524290101378</v>
      </c>
      <c r="AN82" s="1667" t="n">
        <f aca="false">HLOOKUP(AN$14,Dec_Change,$K82)</f>
        <v>1.03304894415627</v>
      </c>
      <c r="AO82" s="1668" t="n">
        <f aca="false">AO81</f>
        <v>1.005</v>
      </c>
      <c r="AP82" s="1675" t="n">
        <f aca="false">IF(AND($A82&gt;=AP$16,MONTH($A82)=MONTH(AP$16)),MAX(AN82,AO82)*AP81,AP81)</f>
        <v>1.09718061747934</v>
      </c>
      <c r="AR82" s="1670" t="n">
        <f aca="false">$A82</f>
        <v>37316</v>
      </c>
      <c r="AS82" s="1671" t="n">
        <f aca="false">IF(AND($A82&gt;=EDATE(AS$17,12),IF(Assm!$L$74=0,$D82,$E82)/AS81&gt;=1.05),IF(Assm!$L$74=0,$D82,$E82),AS81)</f>
        <v>2.05</v>
      </c>
      <c r="AT82" s="1671" t="n">
        <f aca="false">IF(AS82/AS81=1,AT81,AS82/AS81)</f>
        <v>1.69659852685591</v>
      </c>
      <c r="AU82" s="1671" t="n">
        <f aca="false">F82</f>
        <v>1.09193709995342</v>
      </c>
      <c r="AV82" s="1671" t="n">
        <f aca="false">MAX(AT82,AU82)</f>
        <v>1.69659852685591</v>
      </c>
      <c r="AW82" s="1675" t="n">
        <f aca="false">IF(AV82=AV81,AW81,AV82*AW81)</f>
        <v>1.92488262910798</v>
      </c>
    </row>
    <row r="83" customFormat="false" ht="12.75" hidden="false" customHeight="false" outlineLevel="0" collapsed="false">
      <c r="A83" s="1673" t="n">
        <f aca="false">EDATE(A82,1)</f>
        <v>37347</v>
      </c>
      <c r="B83" s="1659" t="n">
        <f aca="false">'[4]Monthly Curve Calc.'!B86</f>
        <v>216.238607697327</v>
      </c>
      <c r="C83" s="1660" t="n">
        <f aca="false">'[4]Monthly Curve Calc.'!C86</f>
        <v>181.376944827506</v>
      </c>
      <c r="D83" s="1661" t="n">
        <f aca="false">'[4]Monthly Curve Calc.'!F86</f>
        <v>2.03513052306008</v>
      </c>
      <c r="E83" s="1662" t="n">
        <f aca="false">IF($A83&lt;=E$16,D83,(B83/B82)/(C83/C82)*E82)</f>
        <v>1.45285490347061</v>
      </c>
      <c r="F83" s="1674" t="n">
        <f aca="false">IF(Assm!$L$75=0,F82,IF(AND($A83&gt;F$16,MONTH($A83)=MONTH(F$16)),B82/B70,F82))</f>
        <v>1.09193709995342</v>
      </c>
      <c r="G83" s="1668" t="n">
        <f aca="false">IF(Assm!$L$75=0,G82,IF(AND($A83&gt;G$16,MONTH($A83)=MONTH(G$16)),C82/C70,G82))</f>
        <v>1.03304894415627</v>
      </c>
      <c r="H83" s="1668" t="n">
        <f aca="false">IF(Assm!$L$75=0,H82,IF(AND($A83&gt;H$16,MONTH($A83)=MONTH(H$16)),C82/C70-H$18,H82))</f>
        <v>1.03054894415627</v>
      </c>
      <c r="I83" s="1668" t="n">
        <f aca="false">IF(Assm!$L$75=0,I82,IF($A83&gt;=I$16,IF(MONTH($A83)=MONTH(I$16),AVERAGE(D71:D82),I82),I82))</f>
        <v>1.90408231674455</v>
      </c>
      <c r="J83" s="1675" t="n">
        <f aca="false">IF(Assm!$L$75=0,J82,IF($A83&gt;=J$16,IF(MONTH($A83)=MONTH(J$16),AVERAGE(E71:E82),J82),J82))</f>
        <v>1.39330580263675</v>
      </c>
      <c r="K83" s="1624" t="n">
        <f aca="false">K82+1</f>
        <v>71</v>
      </c>
      <c r="L83" s="1667" t="n">
        <f aca="false">HLOOKUP(L$14,Dec_Change,$K83)</f>
        <v>1.03304894415627</v>
      </c>
      <c r="M83" s="1668" t="n">
        <f aca="false">M82</f>
        <v>0</v>
      </c>
      <c r="N83" s="1675" t="n">
        <f aca="false">IF(AND($A83&gt;=N$16,MONTH($A83)=MONTH(N$16)),MAX(L83,M83)*N82,N82)</f>
        <v>1.09718061747934</v>
      </c>
      <c r="P83" s="1667" t="n">
        <f aca="false">HLOOKUP(P$14,Dec_Change,$K83)</f>
        <v>1.09193709995342</v>
      </c>
      <c r="Q83" s="1668" t="n">
        <f aca="false">Q82</f>
        <v>0</v>
      </c>
      <c r="R83" s="1675" t="n">
        <f aca="false">IF(AND($A83&gt;=R$16,MONTH($A83)=MONTH(R$16)),MAX(P83,Q83)*R82,R82)</f>
        <v>1.42116141710777</v>
      </c>
      <c r="T83" s="1667" t="n">
        <f aca="false">HLOOKUP(T$14,Dec_Change,$K83)</f>
        <v>1.03304894415627</v>
      </c>
      <c r="U83" s="1668" t="n">
        <f aca="false">U82</f>
        <v>1.005</v>
      </c>
      <c r="V83" s="1675" t="n">
        <f aca="false">IF(AND($A83&gt;=V$16,MONTH($A83)=MONTH(V$16)),MAX(T83,U83)*V82,V82)</f>
        <v>1.09718061747934</v>
      </c>
      <c r="X83" s="1667" t="n">
        <f aca="false">HLOOKUP(X$14,Dec_Change,$K83)</f>
        <v>1.03054894415627</v>
      </c>
      <c r="Y83" s="1668" t="n">
        <f aca="false">Y82</f>
        <v>1.02</v>
      </c>
      <c r="Z83" s="1675" t="n">
        <f aca="false">IF(AND($A83&gt;=Z$16,MONTH($A83)=MONTH(Z$16)),MAX(X83,Y83)*Z82,Z82)</f>
        <v>1.09524290101378</v>
      </c>
      <c r="AB83" s="1667" t="n">
        <f aca="false">HLOOKUP(AB$14,Dec_Change,$K83)</f>
        <v>1.03054894415627</v>
      </c>
      <c r="AC83" s="1668" t="n">
        <f aca="false">AC82</f>
        <v>1.02</v>
      </c>
      <c r="AD83" s="1675" t="n">
        <f aca="false">IF(AND($A83&gt;=AD$16,MONTH($A83)=MONTH(AD$16)),MAX(AB83,AC83)*AD82,AD82)</f>
        <v>1.09524290101378</v>
      </c>
      <c r="AF83" s="1667" t="n">
        <f aca="false">HLOOKUP(AF$14,Dec_Change,$K83)</f>
        <v>1.09193709995342</v>
      </c>
      <c r="AG83" s="1668" t="n">
        <f aca="false">AG82</f>
        <v>0</v>
      </c>
      <c r="AH83" s="1675" t="n">
        <f aca="false">IF(AND($A83&gt;=AH$16,MONTH($A83)=MONTH(AH$16)),MAX(AF83,AG83)*AH82,AH82)</f>
        <v>1.42116141710777</v>
      </c>
      <c r="AJ83" s="1667" t="n">
        <f aca="false">HLOOKUP(AJ$14,Dec_Change,$K83)</f>
        <v>1.03054894415627</v>
      </c>
      <c r="AK83" s="1668" t="n">
        <f aca="false">AK82</f>
        <v>1.02</v>
      </c>
      <c r="AL83" s="1675" t="n">
        <f aca="false">IF(AND($A83&gt;=AL$16,MONTH($A83)=MONTH(AL$16)),MAX(AJ83,AK83)*AL82,AL82)</f>
        <v>1.09524290101378</v>
      </c>
      <c r="AN83" s="1667" t="n">
        <f aca="false">HLOOKUP(AN$14,Dec_Change,$K83)</f>
        <v>1.03304894415627</v>
      </c>
      <c r="AO83" s="1668" t="n">
        <f aca="false">AO82</f>
        <v>1.005</v>
      </c>
      <c r="AP83" s="1675" t="n">
        <f aca="false">IF(AND($A83&gt;=AP$16,MONTH($A83)=MONTH(AP$16)),MAX(AN83,AO83)*AP82,AP82)</f>
        <v>1.09718061747934</v>
      </c>
      <c r="AR83" s="1670" t="n">
        <f aca="false">$A83</f>
        <v>37347</v>
      </c>
      <c r="AS83" s="1671" t="n">
        <f aca="false">IF(AND($A83&gt;=EDATE(AS$17,12),IF(Assm!$L$74=0,$D83,$E83)/AS82&gt;=1.05),IF(Assm!$L$74=0,$D83,$E83),AS82)</f>
        <v>2.05</v>
      </c>
      <c r="AT83" s="1671" t="n">
        <f aca="false">IF(AS83/AS82=1,AT82,AS83/AS82)</f>
        <v>1.69659852685591</v>
      </c>
      <c r="AU83" s="1671" t="n">
        <f aca="false">F83</f>
        <v>1.09193709995342</v>
      </c>
      <c r="AV83" s="1671" t="n">
        <f aca="false">MAX(AT83,AU83)</f>
        <v>1.69659852685591</v>
      </c>
      <c r="AW83" s="1675" t="n">
        <f aca="false">IF(AV83=AV82,AW82,AV83*AW82)</f>
        <v>1.92488262910798</v>
      </c>
    </row>
    <row r="84" customFormat="false" ht="12.75" hidden="false" customHeight="false" outlineLevel="0" collapsed="false">
      <c r="A84" s="1673" t="n">
        <f aca="false">EDATE(A83,1)</f>
        <v>37377</v>
      </c>
      <c r="B84" s="1659" t="n">
        <f aca="false">'[4]Monthly Curve Calc.'!B87</f>
        <v>217.713677925199</v>
      </c>
      <c r="C84" s="1660" t="n">
        <f aca="false">'[4]Monthly Curve Calc.'!C87</f>
        <v>181.830870765507</v>
      </c>
      <c r="D84" s="1661" t="n">
        <f aca="false">'[4]Monthly Curve Calc.'!F87</f>
        <v>2.04612967434359</v>
      </c>
      <c r="E84" s="1662" t="n">
        <f aca="false">IF($A84&lt;=E$16,D84,(B84/B83)/(C84/C83)*E83)</f>
        <v>1.45911386868596</v>
      </c>
      <c r="F84" s="1674" t="n">
        <f aca="false">IF(Assm!$L$75=0,F83,IF(AND($A84&gt;F$16,MONTH($A84)=MONTH(F$16)),B83/B71,F83))</f>
        <v>1.08833077839898</v>
      </c>
      <c r="G84" s="1668" t="n">
        <f aca="false">IF(Assm!$L$75=0,G83,IF(AND($A84&gt;G$16,MONTH($A84)=MONTH(G$16)),C83/C71,G83))</f>
        <v>1.03190910302395</v>
      </c>
      <c r="H84" s="1668" t="n">
        <f aca="false">IF(Assm!$L$75=0,H83,IF(AND($A84&gt;H$16,MONTH($A84)=MONTH(H$16)),C83/C71-H$18,H83))</f>
        <v>1.02940910302395</v>
      </c>
      <c r="I84" s="1668" t="n">
        <f aca="false">IF(Assm!$L$75=0,I83,IF($A84&gt;=I$16,IF(MONTH($A84)=MONTH(I$16),AVERAGE(D72:D83),I83),I83))</f>
        <v>1.90408231674455</v>
      </c>
      <c r="J84" s="1675" t="n">
        <f aca="false">IF(Assm!$L$75=0,J83,IF($A84&gt;=J$16,IF(MONTH($A84)=MONTH(J$16),AVERAGE(E72:E83),J83),J83))</f>
        <v>1.39330580263675</v>
      </c>
      <c r="K84" s="1624" t="n">
        <f aca="false">K83+1</f>
        <v>72</v>
      </c>
      <c r="L84" s="1667" t="n">
        <f aca="false">HLOOKUP(L$14,Dec_Change,$K84)</f>
        <v>1.03190910302395</v>
      </c>
      <c r="M84" s="1668" t="n">
        <f aca="false">M83</f>
        <v>0</v>
      </c>
      <c r="N84" s="1675" t="n">
        <f aca="false">IF(AND($A84&gt;=N$16,MONTH($A84)=MONTH(N$16)),MAX(L84,M84)*N83,N83)</f>
        <v>1.13219066683837</v>
      </c>
      <c r="P84" s="1667" t="n">
        <f aca="false">HLOOKUP(P$14,Dec_Change,$K84)</f>
        <v>1.08833077839898</v>
      </c>
      <c r="Q84" s="1668" t="n">
        <f aca="false">Q83</f>
        <v>0</v>
      </c>
      <c r="R84" s="1675" t="n">
        <f aca="false">IF(AND($A84&gt;=R$16,MONTH($A84)=MONTH(R$16)),MAX(P84,Q84)*R83,R83)</f>
        <v>1.5466937113115</v>
      </c>
      <c r="T84" s="1667" t="n">
        <f aca="false">HLOOKUP(T$14,Dec_Change,$K84)</f>
        <v>1.03190910302395</v>
      </c>
      <c r="U84" s="1668" t="n">
        <f aca="false">U83</f>
        <v>1.005</v>
      </c>
      <c r="V84" s="1675" t="n">
        <f aca="false">IF(AND($A84&gt;=V$16,MONTH($A84)=MONTH(V$16)),MAX(T84,U84)*V83,V83)</f>
        <v>1.13219066683837</v>
      </c>
      <c r="X84" s="1667" t="n">
        <f aca="false">HLOOKUP(X$14,Dec_Change,$K84)</f>
        <v>1.02940910302395</v>
      </c>
      <c r="Y84" s="1668" t="n">
        <f aca="false">Y83</f>
        <v>1.02</v>
      </c>
      <c r="Z84" s="1675" t="n">
        <f aca="false">IF(AND($A84&gt;=Z$16,MONTH($A84)=MONTH(Z$16)),MAX(X84,Y84)*Z83,Z83)</f>
        <v>1.12745301232594</v>
      </c>
      <c r="AB84" s="1667" t="n">
        <f aca="false">HLOOKUP(AB$14,Dec_Change,$K84)</f>
        <v>1.02940910302395</v>
      </c>
      <c r="AC84" s="1668" t="n">
        <f aca="false">AC83</f>
        <v>1.02</v>
      </c>
      <c r="AD84" s="1675" t="n">
        <f aca="false">IF(AND($A84&gt;=AD$16,MONTH($A84)=MONTH(AD$16)),MAX(AB84,AC84)*AD83,AD83)</f>
        <v>1.12745301232594</v>
      </c>
      <c r="AF84" s="1667" t="n">
        <f aca="false">HLOOKUP(AF$14,Dec_Change,$K84)</f>
        <v>1.08833077839898</v>
      </c>
      <c r="AG84" s="1668" t="n">
        <f aca="false">AG83</f>
        <v>0</v>
      </c>
      <c r="AH84" s="1675" t="n">
        <f aca="false">IF(AND($A84&gt;=AH$16,MONTH($A84)=MONTH(AH$16)),MAX(AF84,AG84)*AH83,AH83)</f>
        <v>1.5466937113115</v>
      </c>
      <c r="AJ84" s="1667" t="n">
        <f aca="false">HLOOKUP(AJ$14,Dec_Change,$K84)</f>
        <v>1.02940910302395</v>
      </c>
      <c r="AK84" s="1668" t="n">
        <f aca="false">AK83</f>
        <v>1.02</v>
      </c>
      <c r="AL84" s="1675" t="n">
        <f aca="false">IF(AND($A84&gt;=AL$16,MONTH($A84)=MONTH(AL$16)),MAX(AJ84,AK84)*AL83,AL83)</f>
        <v>1.12745301232594</v>
      </c>
      <c r="AN84" s="1667" t="n">
        <f aca="false">HLOOKUP(AN$14,Dec_Change,$K84)</f>
        <v>1.03190910302395</v>
      </c>
      <c r="AO84" s="1668" t="n">
        <f aca="false">AO83</f>
        <v>1.005</v>
      </c>
      <c r="AP84" s="1675" t="n">
        <f aca="false">IF(AND($A84&gt;=AP$16,MONTH($A84)=MONTH(AP$16)),MAX(AN84,AO84)*AP83,AP83)</f>
        <v>1.13219066683837</v>
      </c>
      <c r="AR84" s="1670" t="n">
        <f aca="false">$A84</f>
        <v>37377</v>
      </c>
      <c r="AS84" s="1671" t="n">
        <f aca="false">IF(AND($A84&gt;=EDATE(AS$17,12),IF(Assm!$L$74=0,$D84,$E84)/AS83&gt;=1.05),IF(Assm!$L$74=0,$D84,$E84),AS83)</f>
        <v>2.05</v>
      </c>
      <c r="AT84" s="1671" t="n">
        <f aca="false">IF(AS84/AS83=1,AT83,AS84/AS83)</f>
        <v>1.69659852685591</v>
      </c>
      <c r="AU84" s="1671" t="n">
        <f aca="false">F84</f>
        <v>1.08833077839898</v>
      </c>
      <c r="AV84" s="1671" t="n">
        <f aca="false">MAX(AT84,AU84)</f>
        <v>1.69659852685591</v>
      </c>
      <c r="AW84" s="1675" t="n">
        <f aca="false">IF(AV84=AV83,AW83,AV84*AW83)</f>
        <v>1.92488262910798</v>
      </c>
    </row>
    <row r="85" customFormat="false" ht="12.75" hidden="false" customHeight="false" outlineLevel="0" collapsed="false">
      <c r="A85" s="1673" t="n">
        <f aca="false">EDATE(A84,1)</f>
        <v>37408</v>
      </c>
      <c r="B85" s="1659" t="n">
        <f aca="false">'[4]Monthly Curve Calc.'!B88</f>
        <v>219.198810334845</v>
      </c>
      <c r="C85" s="1660" t="n">
        <f aca="false">'[4]Monthly Curve Calc.'!C88</f>
        <v>182.285932728581</v>
      </c>
      <c r="D85" s="1661" t="n">
        <f aca="false">'[4]Monthly Curve Calc.'!F88</f>
        <v>2.05718827209876</v>
      </c>
      <c r="E85" s="1662" t="n">
        <f aca="false">IF($A85&lt;=E$16,D85,(B85/B84)/(C85/C84)*E84)</f>
        <v>1.46539979780904</v>
      </c>
      <c r="F85" s="1674" t="n">
        <f aca="false">IF(Assm!$L$75=0,F84,IF(AND($A85&gt;F$16,MONTH($A85)=MONTH(F$16)),B84/B72,F84))</f>
        <v>1.08833077839898</v>
      </c>
      <c r="G85" s="1668" t="n">
        <f aca="false">IF(Assm!$L$75=0,G84,IF(AND($A85&gt;G$16,MONTH($A85)=MONTH(G$16)),C84/C72,G84))</f>
        <v>1.03190910302395</v>
      </c>
      <c r="H85" s="1668" t="n">
        <f aca="false">IF(Assm!$L$75=0,H84,IF(AND($A85&gt;H$16,MONTH($A85)=MONTH(H$16)),C84/C72-H$18,H84))</f>
        <v>1.02940910302395</v>
      </c>
      <c r="I85" s="1668" t="n">
        <f aca="false">IF(Assm!$L$75=0,I84,IF($A85&gt;=I$16,IF(MONTH($A85)=MONTH(I$16),AVERAGE(D73:D84),I84),I84))</f>
        <v>1.90408231674455</v>
      </c>
      <c r="J85" s="1675" t="n">
        <f aca="false">IF(Assm!$L$75=0,J84,IF($A85&gt;=J$16,IF(MONTH($A85)=MONTH(J$16),AVERAGE(E73:E84),J84),J84))</f>
        <v>1.39330580263675</v>
      </c>
      <c r="K85" s="1624" t="n">
        <f aca="false">K84+1</f>
        <v>73</v>
      </c>
      <c r="L85" s="1667" t="n">
        <f aca="false">HLOOKUP(L$14,Dec_Change,$K85)</f>
        <v>1.03190910302395</v>
      </c>
      <c r="M85" s="1668" t="n">
        <f aca="false">M84</f>
        <v>0</v>
      </c>
      <c r="N85" s="1675" t="n">
        <f aca="false">IF(AND($A85&gt;=N$16,MONTH($A85)=MONTH(N$16)),MAX(L85,M85)*N84,N84)</f>
        <v>1.13219066683837</v>
      </c>
      <c r="P85" s="1667" t="n">
        <f aca="false">HLOOKUP(P$14,Dec_Change,$K85)</f>
        <v>1.08833077839898</v>
      </c>
      <c r="Q85" s="1668" t="n">
        <f aca="false">Q84</f>
        <v>0</v>
      </c>
      <c r="R85" s="1675" t="n">
        <f aca="false">IF(AND($A85&gt;=R$16,MONTH($A85)=MONTH(R$16)),MAX(P85,Q85)*R84,R84)</f>
        <v>1.5466937113115</v>
      </c>
      <c r="T85" s="1667" t="n">
        <f aca="false">HLOOKUP(T$14,Dec_Change,$K85)</f>
        <v>1.03190910302395</v>
      </c>
      <c r="U85" s="1668" t="n">
        <f aca="false">U84</f>
        <v>1.005</v>
      </c>
      <c r="V85" s="1675" t="n">
        <f aca="false">IF(AND($A85&gt;=V$16,MONTH($A85)=MONTH(V$16)),MAX(T85,U85)*V84,V84)</f>
        <v>1.13219066683837</v>
      </c>
      <c r="X85" s="1667" t="n">
        <f aca="false">HLOOKUP(X$14,Dec_Change,$K85)</f>
        <v>1.02940910302395</v>
      </c>
      <c r="Y85" s="1668" t="n">
        <f aca="false">Y84</f>
        <v>1.02</v>
      </c>
      <c r="Z85" s="1675" t="n">
        <f aca="false">IF(AND($A85&gt;=Z$16,MONTH($A85)=MONTH(Z$16)),MAX(X85,Y85)*Z84,Z84)</f>
        <v>1.12745301232594</v>
      </c>
      <c r="AB85" s="1667" t="n">
        <f aca="false">HLOOKUP(AB$14,Dec_Change,$K85)</f>
        <v>1.02940910302395</v>
      </c>
      <c r="AC85" s="1668" t="n">
        <f aca="false">AC84</f>
        <v>1.02</v>
      </c>
      <c r="AD85" s="1675" t="n">
        <f aca="false">IF(AND($A85&gt;=AD$16,MONTH($A85)=MONTH(AD$16)),MAX(AB85,AC85)*AD84,AD84)</f>
        <v>1.12745301232594</v>
      </c>
      <c r="AF85" s="1667" t="n">
        <f aca="false">HLOOKUP(AF$14,Dec_Change,$K85)</f>
        <v>1.08833077839898</v>
      </c>
      <c r="AG85" s="1668" t="n">
        <f aca="false">AG84</f>
        <v>0</v>
      </c>
      <c r="AH85" s="1675" t="n">
        <f aca="false">IF(AND($A85&gt;=AH$16,MONTH($A85)=MONTH(AH$16)),MAX(AF85,AG85)*AH84,AH84)</f>
        <v>1.5466937113115</v>
      </c>
      <c r="AJ85" s="1667" t="n">
        <f aca="false">HLOOKUP(AJ$14,Dec_Change,$K85)</f>
        <v>1.02940910302395</v>
      </c>
      <c r="AK85" s="1668" t="n">
        <f aca="false">AK84</f>
        <v>1.02</v>
      </c>
      <c r="AL85" s="1675" t="n">
        <f aca="false">IF(AND($A85&gt;=AL$16,MONTH($A85)=MONTH(AL$16)),MAX(AJ85,AK85)*AL84,AL84)</f>
        <v>1.12745301232594</v>
      </c>
      <c r="AN85" s="1667" t="n">
        <f aca="false">HLOOKUP(AN$14,Dec_Change,$K85)</f>
        <v>1.03190910302395</v>
      </c>
      <c r="AO85" s="1668" t="n">
        <f aca="false">AO84</f>
        <v>1.005</v>
      </c>
      <c r="AP85" s="1675" t="n">
        <f aca="false">IF(AND($A85&gt;=AP$16,MONTH($A85)=MONTH(AP$16)),MAX(AN85,AO85)*AP84,AP84)</f>
        <v>1.13219066683837</v>
      </c>
      <c r="AR85" s="1670" t="n">
        <f aca="false">$A85</f>
        <v>37408</v>
      </c>
      <c r="AS85" s="1671" t="n">
        <f aca="false">IF(AND($A85&gt;=EDATE(AS$17,12),IF(Assm!$L$74=0,$D85,$E85)/AS84&gt;=1.05),IF(Assm!$L$74=0,$D85,$E85),AS84)</f>
        <v>2.05</v>
      </c>
      <c r="AT85" s="1671" t="n">
        <f aca="false">IF(AS85/AS84=1,AT84,AS85/AS84)</f>
        <v>1.69659852685591</v>
      </c>
      <c r="AU85" s="1671" t="n">
        <f aca="false">F85</f>
        <v>1.08833077839898</v>
      </c>
      <c r="AV85" s="1671" t="n">
        <f aca="false">MAX(AT85,AU85)</f>
        <v>1.69659852685591</v>
      </c>
      <c r="AW85" s="1675" t="n">
        <f aca="false">IF(AV85=AV84,AW84,AV85*AW84)</f>
        <v>1.92488262910798</v>
      </c>
    </row>
    <row r="86" customFormat="false" ht="12.75" hidden="false" customHeight="false" outlineLevel="0" collapsed="false">
      <c r="A86" s="1673" t="n">
        <f aca="false">EDATE(A85,1)</f>
        <v>37438</v>
      </c>
      <c r="B86" s="1659" t="n">
        <f aca="false">'[4]Monthly Curve Calc.'!B89</f>
        <v>220.694073565371</v>
      </c>
      <c r="C86" s="1660" t="n">
        <f aca="false">'[4]Monthly Curve Calc.'!C89</f>
        <v>182.742133559822</v>
      </c>
      <c r="D86" s="1661" t="n">
        <f aca="false">'[4]Monthly Curve Calc.'!F89</f>
        <v>2.06830663761246</v>
      </c>
      <c r="E86" s="1662" t="n">
        <f aca="false">IF($A86&lt;=E$16,D86,(B86/B85)/(C86/C85)*E85)</f>
        <v>1.47171280700161</v>
      </c>
      <c r="F86" s="1674" t="n">
        <f aca="false">IF(Assm!$L$75=0,F85,IF(AND($A86&gt;F$16,MONTH($A86)=MONTH(F$16)),B85/B73,F85))</f>
        <v>1.08833077839898</v>
      </c>
      <c r="G86" s="1668" t="n">
        <f aca="false">IF(Assm!$L$75=0,G85,IF(AND($A86&gt;G$16,MONTH($A86)=MONTH(G$16)),C85/C73,G85))</f>
        <v>1.03190910302395</v>
      </c>
      <c r="H86" s="1668" t="n">
        <f aca="false">IF(Assm!$L$75=0,H85,IF(AND($A86&gt;H$16,MONTH($A86)=MONTH(H$16)),C85/C73-H$18,H85))</f>
        <v>1.02940910302395</v>
      </c>
      <c r="I86" s="1668" t="n">
        <f aca="false">IF(Assm!$L$75=0,I85,IF($A86&gt;=I$16,IF(MONTH($A86)=MONTH(I$16),AVERAGE(D74:D85),I85),I85))</f>
        <v>1.90408231674455</v>
      </c>
      <c r="J86" s="1675" t="n">
        <f aca="false">IF(Assm!$L$75=0,J85,IF($A86&gt;=J$16,IF(MONTH($A86)=MONTH(J$16),AVERAGE(E74:E85),J85),J85))</f>
        <v>1.39330580263675</v>
      </c>
      <c r="K86" s="1624" t="n">
        <f aca="false">K85+1</f>
        <v>74</v>
      </c>
      <c r="L86" s="1667" t="n">
        <f aca="false">HLOOKUP(L$14,Dec_Change,$K86)</f>
        <v>1.03190910302395</v>
      </c>
      <c r="M86" s="1668" t="n">
        <f aca="false">M85</f>
        <v>0</v>
      </c>
      <c r="N86" s="1675" t="n">
        <f aca="false">IF(AND($A86&gt;=N$16,MONTH($A86)=MONTH(N$16)),MAX(L86,M86)*N85,N85)</f>
        <v>1.13219066683837</v>
      </c>
      <c r="P86" s="1667" t="n">
        <f aca="false">HLOOKUP(P$14,Dec_Change,$K86)</f>
        <v>1.08833077839898</v>
      </c>
      <c r="Q86" s="1668" t="n">
        <f aca="false">Q85</f>
        <v>0</v>
      </c>
      <c r="R86" s="1675" t="n">
        <f aca="false">IF(AND($A86&gt;=R$16,MONTH($A86)=MONTH(R$16)),MAX(P86,Q86)*R85,R85)</f>
        <v>1.5466937113115</v>
      </c>
      <c r="T86" s="1667" t="n">
        <f aca="false">HLOOKUP(T$14,Dec_Change,$K86)</f>
        <v>1.03190910302395</v>
      </c>
      <c r="U86" s="1668" t="n">
        <f aca="false">U85</f>
        <v>1.005</v>
      </c>
      <c r="V86" s="1675" t="n">
        <f aca="false">IF(AND($A86&gt;=V$16,MONTH($A86)=MONTH(V$16)),MAX(T86,U86)*V85,V85)</f>
        <v>1.13219066683837</v>
      </c>
      <c r="X86" s="1667" t="n">
        <f aca="false">HLOOKUP(X$14,Dec_Change,$K86)</f>
        <v>1.02940910302395</v>
      </c>
      <c r="Y86" s="1668" t="n">
        <f aca="false">Y85</f>
        <v>1.02</v>
      </c>
      <c r="Z86" s="1675" t="n">
        <f aca="false">IF(AND($A86&gt;=Z$16,MONTH($A86)=MONTH(Z$16)),MAX(X86,Y86)*Z85,Z85)</f>
        <v>1.12745301232594</v>
      </c>
      <c r="AB86" s="1667" t="n">
        <f aca="false">HLOOKUP(AB$14,Dec_Change,$K86)</f>
        <v>1.02940910302395</v>
      </c>
      <c r="AC86" s="1668" t="n">
        <f aca="false">AC85</f>
        <v>1.02</v>
      </c>
      <c r="AD86" s="1675" t="n">
        <f aca="false">IF(AND($A86&gt;=AD$16,MONTH($A86)=MONTH(AD$16)),MAX(AB86,AC86)*AD85,AD85)</f>
        <v>1.12745301232594</v>
      </c>
      <c r="AF86" s="1667" t="n">
        <f aca="false">HLOOKUP(AF$14,Dec_Change,$K86)</f>
        <v>1.08833077839898</v>
      </c>
      <c r="AG86" s="1668" t="n">
        <f aca="false">AG85</f>
        <v>0</v>
      </c>
      <c r="AH86" s="1675" t="n">
        <f aca="false">IF(AND($A86&gt;=AH$16,MONTH($A86)=MONTH(AH$16)),MAX(AF86,AG86)*AH85,AH85)</f>
        <v>1.5466937113115</v>
      </c>
      <c r="AJ86" s="1667" t="n">
        <f aca="false">HLOOKUP(AJ$14,Dec_Change,$K86)</f>
        <v>1.02940910302395</v>
      </c>
      <c r="AK86" s="1668" t="n">
        <f aca="false">AK85</f>
        <v>1.02</v>
      </c>
      <c r="AL86" s="1675" t="n">
        <f aca="false">IF(AND($A86&gt;=AL$16,MONTH($A86)=MONTH(AL$16)),MAX(AJ86,AK86)*AL85,AL85)</f>
        <v>1.12745301232594</v>
      </c>
      <c r="AN86" s="1667" t="n">
        <f aca="false">HLOOKUP(AN$14,Dec_Change,$K86)</f>
        <v>1.03190910302395</v>
      </c>
      <c r="AO86" s="1668" t="n">
        <f aca="false">AO85</f>
        <v>1.005</v>
      </c>
      <c r="AP86" s="1675" t="n">
        <f aca="false">IF(AND($A86&gt;=AP$16,MONTH($A86)=MONTH(AP$16)),MAX(AN86,AO86)*AP85,AP85)</f>
        <v>1.13219066683837</v>
      </c>
      <c r="AR86" s="1670" t="n">
        <f aca="false">$A86</f>
        <v>37438</v>
      </c>
      <c r="AS86" s="1671" t="n">
        <f aca="false">IF(AND($A86&gt;=EDATE(AS$17,12),IF(Assm!$L$74=0,$D86,$E86)/AS85&gt;=1.05),IF(Assm!$L$74=0,$D86,$E86),AS85)</f>
        <v>2.05</v>
      </c>
      <c r="AT86" s="1671" t="n">
        <f aca="false">IF(AS86/AS85=1,AT85,AS86/AS85)</f>
        <v>1.69659852685591</v>
      </c>
      <c r="AU86" s="1671" t="n">
        <f aca="false">F86</f>
        <v>1.08833077839898</v>
      </c>
      <c r="AV86" s="1671" t="n">
        <f aca="false">MAX(AT86,AU86)</f>
        <v>1.69659852685591</v>
      </c>
      <c r="AW86" s="1675" t="n">
        <f aca="false">IF(AV86=AV85,AW85,AV86*AW85)</f>
        <v>1.92488262910798</v>
      </c>
    </row>
    <row r="87" customFormat="false" ht="12.75" hidden="false" customHeight="false" outlineLevel="0" collapsed="false">
      <c r="A87" s="1673" t="n">
        <f aca="false">EDATE(A86,1)</f>
        <v>37469</v>
      </c>
      <c r="B87" s="1659" t="n">
        <f aca="false">'[4]Monthly Curve Calc.'!B90</f>
        <v>222.199536724104</v>
      </c>
      <c r="C87" s="1660" t="n">
        <f aca="false">'[4]Monthly Curve Calc.'!C90</f>
        <v>183.199476109434</v>
      </c>
      <c r="D87" s="1661" t="n">
        <f aca="false">'[4]Monthly Curve Calc.'!F90</f>
        <v>2.07948509390801</v>
      </c>
      <c r="E87" s="1662" t="n">
        <f aca="false">IF($A87&lt;=E$16,D87,(B87/B86)/(C87/C86)*E86)</f>
        <v>1.47805301292582</v>
      </c>
      <c r="F87" s="1674" t="n">
        <f aca="false">IF(Assm!$L$75=0,F86,IF(AND($A87&gt;F$16,MONTH($A87)=MONTH(F$16)),B86/B74,F86))</f>
        <v>1.08833077839898</v>
      </c>
      <c r="G87" s="1668" t="n">
        <f aca="false">IF(Assm!$L$75=0,G86,IF(AND($A87&gt;G$16,MONTH($A87)=MONTH(G$16)),C86/C74,G86))</f>
        <v>1.03190910302395</v>
      </c>
      <c r="H87" s="1668" t="n">
        <f aca="false">IF(Assm!$L$75=0,H86,IF(AND($A87&gt;H$16,MONTH($A87)=MONTH(H$16)),C86/C74-H$18,H86))</f>
        <v>1.02940910302395</v>
      </c>
      <c r="I87" s="1668" t="n">
        <f aca="false">IF(Assm!$L$75=0,I86,IF($A87&gt;=I$16,IF(MONTH($A87)=MONTH(I$16),AVERAGE(D75:D86),I86),I86))</f>
        <v>1.90408231674455</v>
      </c>
      <c r="J87" s="1675" t="n">
        <f aca="false">IF(Assm!$L$75=0,J86,IF($A87&gt;=J$16,IF(MONTH($A87)=MONTH(J$16),AVERAGE(E75:E86),J86),J86))</f>
        <v>1.39330580263675</v>
      </c>
      <c r="K87" s="1624" t="n">
        <f aca="false">K86+1</f>
        <v>75</v>
      </c>
      <c r="L87" s="1667" t="n">
        <f aca="false">HLOOKUP(L$14,Dec_Change,$K87)</f>
        <v>1.03190910302395</v>
      </c>
      <c r="M87" s="1668" t="n">
        <f aca="false">M86</f>
        <v>0</v>
      </c>
      <c r="N87" s="1675" t="n">
        <f aca="false">IF(AND($A87&gt;=N$16,MONTH($A87)=MONTH(N$16)),MAX(L87,M87)*N86,N86)</f>
        <v>1.13219066683837</v>
      </c>
      <c r="P87" s="1667" t="n">
        <f aca="false">HLOOKUP(P$14,Dec_Change,$K87)</f>
        <v>1.08833077839898</v>
      </c>
      <c r="Q87" s="1668" t="n">
        <f aca="false">Q86</f>
        <v>0</v>
      </c>
      <c r="R87" s="1675" t="n">
        <f aca="false">IF(AND($A87&gt;=R$16,MONTH($A87)=MONTH(R$16)),MAX(P87,Q87)*R86,R86)</f>
        <v>1.5466937113115</v>
      </c>
      <c r="T87" s="1667" t="n">
        <f aca="false">HLOOKUP(T$14,Dec_Change,$K87)</f>
        <v>1.03190910302395</v>
      </c>
      <c r="U87" s="1668" t="n">
        <f aca="false">U86</f>
        <v>1.005</v>
      </c>
      <c r="V87" s="1675" t="n">
        <f aca="false">IF(AND($A87&gt;=V$16,MONTH($A87)=MONTH(V$16)),MAX(T87,U87)*V86,V86)</f>
        <v>1.13219066683837</v>
      </c>
      <c r="X87" s="1667" t="n">
        <f aca="false">HLOOKUP(X$14,Dec_Change,$K87)</f>
        <v>1.02940910302395</v>
      </c>
      <c r="Y87" s="1668" t="n">
        <f aca="false">Y86</f>
        <v>1.02</v>
      </c>
      <c r="Z87" s="1675" t="n">
        <f aca="false">IF(AND($A87&gt;=Z$16,MONTH($A87)=MONTH(Z$16)),MAX(X87,Y87)*Z86,Z86)</f>
        <v>1.12745301232594</v>
      </c>
      <c r="AB87" s="1667" t="n">
        <f aca="false">HLOOKUP(AB$14,Dec_Change,$K87)</f>
        <v>1.02940910302395</v>
      </c>
      <c r="AC87" s="1668" t="n">
        <f aca="false">AC86</f>
        <v>1.02</v>
      </c>
      <c r="AD87" s="1675" t="n">
        <f aca="false">IF(AND($A87&gt;=AD$16,MONTH($A87)=MONTH(AD$16)),MAX(AB87,AC87)*AD86,AD86)</f>
        <v>1.12745301232594</v>
      </c>
      <c r="AF87" s="1667" t="n">
        <f aca="false">HLOOKUP(AF$14,Dec_Change,$K87)</f>
        <v>1.08833077839898</v>
      </c>
      <c r="AG87" s="1668" t="n">
        <f aca="false">AG86</f>
        <v>0</v>
      </c>
      <c r="AH87" s="1675" t="n">
        <f aca="false">IF(AND($A87&gt;=AH$16,MONTH($A87)=MONTH(AH$16)),MAX(AF87,AG87)*AH86,AH86)</f>
        <v>1.5466937113115</v>
      </c>
      <c r="AJ87" s="1667" t="n">
        <f aca="false">HLOOKUP(AJ$14,Dec_Change,$K87)</f>
        <v>1.02940910302395</v>
      </c>
      <c r="AK87" s="1668" t="n">
        <f aca="false">AK86</f>
        <v>1.02</v>
      </c>
      <c r="AL87" s="1675" t="n">
        <f aca="false">IF(AND($A87&gt;=AL$16,MONTH($A87)=MONTH(AL$16)),MAX(AJ87,AK87)*AL86,AL86)</f>
        <v>1.12745301232594</v>
      </c>
      <c r="AN87" s="1667" t="n">
        <f aca="false">HLOOKUP(AN$14,Dec_Change,$K87)</f>
        <v>1.03190910302395</v>
      </c>
      <c r="AO87" s="1668" t="n">
        <f aca="false">AO86</f>
        <v>1.005</v>
      </c>
      <c r="AP87" s="1675" t="n">
        <f aca="false">IF(AND($A87&gt;=AP$16,MONTH($A87)=MONTH(AP$16)),MAX(AN87,AO87)*AP86,AP86)</f>
        <v>1.13219066683837</v>
      </c>
      <c r="AR87" s="1670" t="n">
        <f aca="false">$A87</f>
        <v>37469</v>
      </c>
      <c r="AS87" s="1671" t="n">
        <f aca="false">IF(AND($A87&gt;=EDATE(AS$17,12),IF(Assm!$L$74=0,$D87,$E87)/AS86&gt;=1.05),IF(Assm!$L$74=0,$D87,$E87),AS86)</f>
        <v>2.05</v>
      </c>
      <c r="AT87" s="1671" t="n">
        <f aca="false">IF(AS87/AS86=1,AT86,AS87/AS86)</f>
        <v>1.69659852685591</v>
      </c>
      <c r="AU87" s="1671" t="n">
        <f aca="false">F87</f>
        <v>1.08833077839898</v>
      </c>
      <c r="AV87" s="1671" t="n">
        <f aca="false">MAX(AT87,AU87)</f>
        <v>1.69659852685591</v>
      </c>
      <c r="AW87" s="1675" t="n">
        <f aca="false">IF(AV87=AV86,AW86,AV87*AW86)</f>
        <v>1.92488262910798</v>
      </c>
    </row>
    <row r="88" customFormat="false" ht="12.75" hidden="false" customHeight="false" outlineLevel="0" collapsed="false">
      <c r="A88" s="1673" t="n">
        <f aca="false">EDATE(A87,1)</f>
        <v>37500</v>
      </c>
      <c r="B88" s="1659" t="n">
        <f aca="false">'[4]Monthly Curve Calc.'!B91</f>
        <v>223.715269389788</v>
      </c>
      <c r="C88" s="1660" t="n">
        <f aca="false">'[4]Monthly Curve Calc.'!C91</f>
        <v>183.657963234759</v>
      </c>
      <c r="D88" s="1661" t="n">
        <f aca="false">'[4]Monthly Curve Calc.'!F91</f>
        <v>2.09072396575457</v>
      </c>
      <c r="E88" s="1662" t="n">
        <f aca="false">IF($A88&lt;=E$16,D88,(B88/B87)/(C88/C87)*E87)</f>
        <v>1.48442053274645</v>
      </c>
      <c r="F88" s="1674" t="n">
        <f aca="false">IF(Assm!$L$75=0,F87,IF(AND($A88&gt;F$16,MONTH($A88)=MONTH(F$16)),B87/B75,F87))</f>
        <v>1.08833077839898</v>
      </c>
      <c r="G88" s="1668" t="n">
        <f aca="false">IF(Assm!$L$75=0,G87,IF(AND($A88&gt;G$16,MONTH($A88)=MONTH(G$16)),C87/C75,G87))</f>
        <v>1.03190910302395</v>
      </c>
      <c r="H88" s="1668" t="n">
        <f aca="false">IF(Assm!$L$75=0,H87,IF(AND($A88&gt;H$16,MONTH($A88)=MONTH(H$16)),C87/C75-H$18,H87))</f>
        <v>1.02940910302395</v>
      </c>
      <c r="I88" s="1668" t="n">
        <f aca="false">IF(Assm!$L$75=0,I87,IF($A88&gt;=I$16,IF(MONTH($A88)=MONTH(I$16),AVERAGE(D76:D87),I87),I87))</f>
        <v>1.90408231674455</v>
      </c>
      <c r="J88" s="1675" t="n">
        <f aca="false">IF(Assm!$L$75=0,J87,IF($A88&gt;=J$16,IF(MONTH($A88)=MONTH(J$16),AVERAGE(E76:E87),J87),J87))</f>
        <v>1.39330580263675</v>
      </c>
      <c r="K88" s="1624" t="n">
        <f aca="false">K87+1</f>
        <v>76</v>
      </c>
      <c r="L88" s="1667" t="n">
        <f aca="false">HLOOKUP(L$14,Dec_Change,$K88)</f>
        <v>1.03190910302395</v>
      </c>
      <c r="M88" s="1668" t="n">
        <f aca="false">M87</f>
        <v>0</v>
      </c>
      <c r="N88" s="1675" t="n">
        <f aca="false">IF(AND($A88&gt;=N$16,MONTH($A88)=MONTH(N$16)),MAX(L88,M88)*N87,N87)</f>
        <v>1.13219066683837</v>
      </c>
      <c r="P88" s="1667" t="n">
        <f aca="false">HLOOKUP(P$14,Dec_Change,$K88)</f>
        <v>1.08833077839898</v>
      </c>
      <c r="Q88" s="1668" t="n">
        <f aca="false">Q87</f>
        <v>0</v>
      </c>
      <c r="R88" s="1675" t="n">
        <f aca="false">IF(AND($A88&gt;=R$16,MONTH($A88)=MONTH(R$16)),MAX(P88,Q88)*R87,R87)</f>
        <v>1.5466937113115</v>
      </c>
      <c r="T88" s="1667" t="n">
        <f aca="false">HLOOKUP(T$14,Dec_Change,$K88)</f>
        <v>1.03190910302395</v>
      </c>
      <c r="U88" s="1668" t="n">
        <f aca="false">U87</f>
        <v>1.005</v>
      </c>
      <c r="V88" s="1675" t="n">
        <f aca="false">IF(AND($A88&gt;=V$16,MONTH($A88)=MONTH(V$16)),MAX(T88,U88)*V87,V87)</f>
        <v>1.13219066683837</v>
      </c>
      <c r="X88" s="1667" t="n">
        <f aca="false">HLOOKUP(X$14,Dec_Change,$K88)</f>
        <v>1.02940910302395</v>
      </c>
      <c r="Y88" s="1668" t="n">
        <f aca="false">Y87</f>
        <v>1.02</v>
      </c>
      <c r="Z88" s="1675" t="n">
        <f aca="false">IF(AND($A88&gt;=Z$16,MONTH($A88)=MONTH(Z$16)),MAX(X88,Y88)*Z87,Z87)</f>
        <v>1.12745301232594</v>
      </c>
      <c r="AB88" s="1667" t="n">
        <f aca="false">HLOOKUP(AB$14,Dec_Change,$K88)</f>
        <v>1.02940910302395</v>
      </c>
      <c r="AC88" s="1668" t="n">
        <f aca="false">AC87</f>
        <v>1.02</v>
      </c>
      <c r="AD88" s="1675" t="n">
        <f aca="false">IF(AND($A88&gt;=AD$16,MONTH($A88)=MONTH(AD$16)),MAX(AB88,AC88)*AD87,AD87)</f>
        <v>1.12745301232594</v>
      </c>
      <c r="AF88" s="1667" t="n">
        <f aca="false">HLOOKUP(AF$14,Dec_Change,$K88)</f>
        <v>1.08833077839898</v>
      </c>
      <c r="AG88" s="1668" t="n">
        <f aca="false">AG87</f>
        <v>0</v>
      </c>
      <c r="AH88" s="1675" t="n">
        <f aca="false">IF(AND($A88&gt;=AH$16,MONTH($A88)=MONTH(AH$16)),MAX(AF88,AG88)*AH87,AH87)</f>
        <v>1.5466937113115</v>
      </c>
      <c r="AJ88" s="1667" t="n">
        <f aca="false">HLOOKUP(AJ$14,Dec_Change,$K88)</f>
        <v>1.02940910302395</v>
      </c>
      <c r="AK88" s="1668" t="n">
        <f aca="false">AK87</f>
        <v>1.02</v>
      </c>
      <c r="AL88" s="1675" t="n">
        <f aca="false">IF(AND($A88&gt;=AL$16,MONTH($A88)=MONTH(AL$16)),MAX(AJ88,AK88)*AL87,AL87)</f>
        <v>1.12745301232594</v>
      </c>
      <c r="AN88" s="1667" t="n">
        <f aca="false">HLOOKUP(AN$14,Dec_Change,$K88)</f>
        <v>1.03190910302395</v>
      </c>
      <c r="AO88" s="1668" t="n">
        <f aca="false">AO87</f>
        <v>1.005</v>
      </c>
      <c r="AP88" s="1675" t="n">
        <f aca="false">IF(AND($A88&gt;=AP$16,MONTH($A88)=MONTH(AP$16)),MAX(AN88,AO88)*AP87,AP87)</f>
        <v>1.13219066683837</v>
      </c>
      <c r="AR88" s="1670" t="n">
        <f aca="false">$A88</f>
        <v>37500</v>
      </c>
      <c r="AS88" s="1671" t="n">
        <f aca="false">IF(AND($A88&gt;=EDATE(AS$17,12),IF(Assm!$L$74=0,$D88,$E88)/AS87&gt;=1.05),IF(Assm!$L$74=0,$D88,$E88),AS87)</f>
        <v>2.05</v>
      </c>
      <c r="AT88" s="1671" t="n">
        <f aca="false">IF(AS88/AS87=1,AT87,AS88/AS87)</f>
        <v>1.69659852685591</v>
      </c>
      <c r="AU88" s="1671" t="n">
        <f aca="false">F88</f>
        <v>1.08833077839898</v>
      </c>
      <c r="AV88" s="1671" t="n">
        <f aca="false">MAX(AT88,AU88)</f>
        <v>1.69659852685591</v>
      </c>
      <c r="AW88" s="1675" t="n">
        <f aca="false">IF(AV88=AV87,AW87,AV88*AW87)</f>
        <v>1.92488262910798</v>
      </c>
    </row>
    <row r="89" customFormat="false" ht="12.75" hidden="false" customHeight="false" outlineLevel="0" collapsed="false">
      <c r="A89" s="1673" t="n">
        <f aca="false">EDATE(A88,1)</f>
        <v>37530</v>
      </c>
      <c r="B89" s="1659" t="n">
        <f aca="false">'[4]Monthly Curve Calc.'!B92</f>
        <v>225.241341615795</v>
      </c>
      <c r="C89" s="1660" t="n">
        <f aca="false">'[4]Monthly Curve Calc.'!C92</f>
        <v>184.117597800287</v>
      </c>
      <c r="D89" s="1661" t="n">
        <f aca="false">'[4]Monthly Curve Calc.'!F92</f>
        <v>2.10202357967654</v>
      </c>
      <c r="E89" s="1662" t="n">
        <f aca="false">IF($A89&lt;=E$16,D89,(B89/B88)/(C89/C88)*E88)</f>
        <v>1.49081548413301</v>
      </c>
      <c r="F89" s="1674" t="n">
        <f aca="false">IF(Assm!$L$75=0,F88,IF(AND($A89&gt;F$16,MONTH($A89)=MONTH(F$16)),B88/B76,F88))</f>
        <v>1.08833077839898</v>
      </c>
      <c r="G89" s="1668" t="n">
        <f aca="false">IF(Assm!$L$75=0,G88,IF(AND($A89&gt;G$16,MONTH($A89)=MONTH(G$16)),C88/C76,G88))</f>
        <v>1.03190910302395</v>
      </c>
      <c r="H89" s="1668" t="n">
        <f aca="false">IF(Assm!$L$75=0,H88,IF(AND($A89&gt;H$16,MONTH($A89)=MONTH(H$16)),C88/C76-H$18,H88))</f>
        <v>1.02940910302395</v>
      </c>
      <c r="I89" s="1668" t="n">
        <f aca="false">IF(Assm!$L$75=0,I88,IF($A89&gt;=I$16,IF(MONTH($A89)=MONTH(I$16),AVERAGE(D77:D88),I88),I88))</f>
        <v>1.90408231674455</v>
      </c>
      <c r="J89" s="1675" t="n">
        <f aca="false">IF(Assm!$L$75=0,J88,IF($A89&gt;=J$16,IF(MONTH($A89)=MONTH(J$16),AVERAGE(E77:E88),J88),J88))</f>
        <v>1.39330580263675</v>
      </c>
      <c r="K89" s="1624" t="n">
        <f aca="false">K88+1</f>
        <v>77</v>
      </c>
      <c r="L89" s="1667" t="n">
        <f aca="false">HLOOKUP(L$14,Dec_Change,$K89)</f>
        <v>1.03190910302395</v>
      </c>
      <c r="M89" s="1668" t="n">
        <f aca="false">M88</f>
        <v>0</v>
      </c>
      <c r="N89" s="1675" t="n">
        <f aca="false">IF(AND($A89&gt;=N$16,MONTH($A89)=MONTH(N$16)),MAX(L89,M89)*N88,N88)</f>
        <v>1.13219066683837</v>
      </c>
      <c r="P89" s="1667" t="n">
        <f aca="false">HLOOKUP(P$14,Dec_Change,$K89)</f>
        <v>1.08833077839898</v>
      </c>
      <c r="Q89" s="1668" t="n">
        <f aca="false">Q88</f>
        <v>0</v>
      </c>
      <c r="R89" s="1675" t="n">
        <f aca="false">IF(AND($A89&gt;=R$16,MONTH($A89)=MONTH(R$16)),MAX(P89,Q89)*R88,R88)</f>
        <v>1.5466937113115</v>
      </c>
      <c r="T89" s="1667" t="n">
        <f aca="false">HLOOKUP(T$14,Dec_Change,$K89)</f>
        <v>1.03190910302395</v>
      </c>
      <c r="U89" s="1668" t="n">
        <f aca="false">U88</f>
        <v>1.005</v>
      </c>
      <c r="V89" s="1675" t="n">
        <f aca="false">IF(AND($A89&gt;=V$16,MONTH($A89)=MONTH(V$16)),MAX(T89,U89)*V88,V88)</f>
        <v>1.13219066683837</v>
      </c>
      <c r="X89" s="1667" t="n">
        <f aca="false">HLOOKUP(X$14,Dec_Change,$K89)</f>
        <v>1.02940910302395</v>
      </c>
      <c r="Y89" s="1668" t="n">
        <f aca="false">Y88</f>
        <v>1.02</v>
      </c>
      <c r="Z89" s="1675" t="n">
        <f aca="false">IF(AND($A89&gt;=Z$16,MONTH($A89)=MONTH(Z$16)),MAX(X89,Y89)*Z88,Z88)</f>
        <v>1.12745301232594</v>
      </c>
      <c r="AB89" s="1667" t="n">
        <f aca="false">HLOOKUP(AB$14,Dec_Change,$K89)</f>
        <v>1.02940910302395</v>
      </c>
      <c r="AC89" s="1668" t="n">
        <f aca="false">AC88</f>
        <v>1.02</v>
      </c>
      <c r="AD89" s="1675" t="n">
        <f aca="false">IF(AND($A89&gt;=AD$16,MONTH($A89)=MONTH(AD$16)),MAX(AB89,AC89)*AD88,AD88)</f>
        <v>1.12745301232594</v>
      </c>
      <c r="AF89" s="1667" t="n">
        <f aca="false">HLOOKUP(AF$14,Dec_Change,$K89)</f>
        <v>1.08833077839898</v>
      </c>
      <c r="AG89" s="1668" t="n">
        <f aca="false">AG88</f>
        <v>0</v>
      </c>
      <c r="AH89" s="1675" t="n">
        <f aca="false">IF(AND($A89&gt;=AH$16,MONTH($A89)=MONTH(AH$16)),MAX(AF89,AG89)*AH88,AH88)</f>
        <v>1.5466937113115</v>
      </c>
      <c r="AJ89" s="1667" t="n">
        <f aca="false">HLOOKUP(AJ$14,Dec_Change,$K89)</f>
        <v>1.02940910302395</v>
      </c>
      <c r="AK89" s="1668" t="n">
        <f aca="false">AK88</f>
        <v>1.02</v>
      </c>
      <c r="AL89" s="1675" t="n">
        <f aca="false">IF(AND($A89&gt;=AL$16,MONTH($A89)=MONTH(AL$16)),MAX(AJ89,AK89)*AL88,AL88)</f>
        <v>1.12745301232594</v>
      </c>
      <c r="AN89" s="1667" t="n">
        <f aca="false">HLOOKUP(AN$14,Dec_Change,$K89)</f>
        <v>1.03190910302395</v>
      </c>
      <c r="AO89" s="1668" t="n">
        <f aca="false">AO88</f>
        <v>1.005</v>
      </c>
      <c r="AP89" s="1675" t="n">
        <f aca="false">IF(AND($A89&gt;=AP$16,MONTH($A89)=MONTH(AP$16)),MAX(AN89,AO89)*AP88,AP88)</f>
        <v>1.13219066683837</v>
      </c>
      <c r="AR89" s="1670" t="n">
        <f aca="false">$A89</f>
        <v>37530</v>
      </c>
      <c r="AS89" s="1671" t="n">
        <f aca="false">IF(AND($A89&gt;=EDATE(AS$17,12),IF(Assm!$L$74=0,$D89,$E89)/AS88&gt;=1.05),IF(Assm!$L$74=0,$D89,$E89),AS88)</f>
        <v>2.05</v>
      </c>
      <c r="AT89" s="1671" t="n">
        <f aca="false">IF(AS89/AS88=1,AT88,AS89/AS88)</f>
        <v>1.69659852685591</v>
      </c>
      <c r="AU89" s="1671" t="n">
        <f aca="false">F89</f>
        <v>1.08833077839898</v>
      </c>
      <c r="AV89" s="1671" t="n">
        <f aca="false">MAX(AT89,AU89)</f>
        <v>1.69659852685591</v>
      </c>
      <c r="AW89" s="1675" t="n">
        <f aca="false">IF(AV89=AV88,AW88,AV89*AW88)</f>
        <v>1.92488262910798</v>
      </c>
    </row>
    <row r="90" customFormat="false" ht="12.75" hidden="false" customHeight="false" outlineLevel="0" collapsed="false">
      <c r="A90" s="1673" t="n">
        <f aca="false">EDATE(A89,1)</f>
        <v>37561</v>
      </c>
      <c r="B90" s="1659" t="n">
        <f aca="false">'[4]Monthly Curve Calc.'!B93</f>
        <v>226.777823933367</v>
      </c>
      <c r="C90" s="1660" t="n">
        <f aca="false">'[4]Monthly Curve Calc.'!C93</f>
        <v>184.578382677678</v>
      </c>
      <c r="D90" s="1661" t="n">
        <f aca="false">'[4]Monthly Curve Calc.'!F93</f>
        <v>2.11338426396307</v>
      </c>
      <c r="E90" s="1662" t="n">
        <f aca="false">IF($A90&lt;=E$16,D90,(B90/B89)/(C90/C89)*E89)</f>
        <v>1.49723798526192</v>
      </c>
      <c r="F90" s="1674" t="n">
        <f aca="false">IF(Assm!$L$75=0,F89,IF(AND($A90&gt;F$16,MONTH($A90)=MONTH(F$16)),B89/B77,F89))</f>
        <v>1.08833077839898</v>
      </c>
      <c r="G90" s="1668" t="n">
        <f aca="false">IF(Assm!$L$75=0,G89,IF(AND($A90&gt;G$16,MONTH($A90)=MONTH(G$16)),C89/C77,G89))</f>
        <v>1.03190910302395</v>
      </c>
      <c r="H90" s="1668" t="n">
        <f aca="false">IF(Assm!$L$75=0,H89,IF(AND($A90&gt;H$16,MONTH($A90)=MONTH(H$16)),C89/C77-H$18,H89))</f>
        <v>1.02940910302395</v>
      </c>
      <c r="I90" s="1668" t="n">
        <f aca="false">IF(Assm!$L$75=0,I89,IF($A90&gt;=I$16,IF(MONTH($A90)=MONTH(I$16),AVERAGE(D78:D89),I89),I89))</f>
        <v>1.90408231674455</v>
      </c>
      <c r="J90" s="1675" t="n">
        <f aca="false">IF(Assm!$L$75=0,J89,IF($A90&gt;=J$16,IF(MONTH($A90)=MONTH(J$16),AVERAGE(E78:E89),J89),J89))</f>
        <v>1.39330580263675</v>
      </c>
      <c r="K90" s="1624" t="n">
        <f aca="false">K89+1</f>
        <v>78</v>
      </c>
      <c r="L90" s="1667" t="n">
        <f aca="false">HLOOKUP(L$14,Dec_Change,$K90)</f>
        <v>1.03190910302395</v>
      </c>
      <c r="M90" s="1668" t="n">
        <f aca="false">M89</f>
        <v>0</v>
      </c>
      <c r="N90" s="1675" t="n">
        <f aca="false">IF(AND($A90&gt;=N$16,MONTH($A90)=MONTH(N$16)),MAX(L90,M90)*N89,N89)</f>
        <v>1.13219066683837</v>
      </c>
      <c r="P90" s="1667" t="n">
        <f aca="false">HLOOKUP(P$14,Dec_Change,$K90)</f>
        <v>1.08833077839898</v>
      </c>
      <c r="Q90" s="1668" t="n">
        <f aca="false">Q89</f>
        <v>0</v>
      </c>
      <c r="R90" s="1675" t="n">
        <f aca="false">IF(AND($A90&gt;=R$16,MONTH($A90)=MONTH(R$16)),MAX(P90,Q90)*R89,R89)</f>
        <v>1.5466937113115</v>
      </c>
      <c r="T90" s="1667" t="n">
        <f aca="false">HLOOKUP(T$14,Dec_Change,$K90)</f>
        <v>1.03190910302395</v>
      </c>
      <c r="U90" s="1668" t="n">
        <f aca="false">U89</f>
        <v>1.005</v>
      </c>
      <c r="V90" s="1675" t="n">
        <f aca="false">IF(AND($A90&gt;=V$16,MONTH($A90)=MONTH(V$16)),MAX(T90,U90)*V89,V89)</f>
        <v>1.13219066683837</v>
      </c>
      <c r="X90" s="1667" t="n">
        <f aca="false">HLOOKUP(X$14,Dec_Change,$K90)</f>
        <v>1.02940910302395</v>
      </c>
      <c r="Y90" s="1668" t="n">
        <f aca="false">Y89</f>
        <v>1.02</v>
      </c>
      <c r="Z90" s="1675" t="n">
        <f aca="false">IF(AND($A90&gt;=Z$16,MONTH($A90)=MONTH(Z$16)),MAX(X90,Y90)*Z89,Z89)</f>
        <v>1.12745301232594</v>
      </c>
      <c r="AB90" s="1667" t="n">
        <f aca="false">HLOOKUP(AB$14,Dec_Change,$K90)</f>
        <v>1.02940910302395</v>
      </c>
      <c r="AC90" s="1668" t="n">
        <f aca="false">AC89</f>
        <v>1.02</v>
      </c>
      <c r="AD90" s="1675" t="n">
        <f aca="false">IF(AND($A90&gt;=AD$16,MONTH($A90)=MONTH(AD$16)),MAX(AB90,AC90)*AD89,AD89)</f>
        <v>1.12745301232594</v>
      </c>
      <c r="AF90" s="1667" t="n">
        <f aca="false">HLOOKUP(AF$14,Dec_Change,$K90)</f>
        <v>1.08833077839898</v>
      </c>
      <c r="AG90" s="1668" t="n">
        <f aca="false">AG89</f>
        <v>0</v>
      </c>
      <c r="AH90" s="1675" t="n">
        <f aca="false">IF(AND($A90&gt;=AH$16,MONTH($A90)=MONTH(AH$16)),MAX(AF90,AG90)*AH89,AH89)</f>
        <v>1.5466937113115</v>
      </c>
      <c r="AJ90" s="1667" t="n">
        <f aca="false">HLOOKUP(AJ$14,Dec_Change,$K90)</f>
        <v>1.02940910302395</v>
      </c>
      <c r="AK90" s="1668" t="n">
        <f aca="false">AK89</f>
        <v>1.02</v>
      </c>
      <c r="AL90" s="1675" t="n">
        <f aca="false">IF(AND($A90&gt;=AL$16,MONTH($A90)=MONTH(AL$16)),MAX(AJ90,AK90)*AL89,AL89)</f>
        <v>1.12745301232594</v>
      </c>
      <c r="AN90" s="1667" t="n">
        <f aca="false">HLOOKUP(AN$14,Dec_Change,$K90)</f>
        <v>1.03190910302395</v>
      </c>
      <c r="AO90" s="1668" t="n">
        <f aca="false">AO89</f>
        <v>1.005</v>
      </c>
      <c r="AP90" s="1675" t="n">
        <f aca="false">IF(AND($A90&gt;=AP$16,MONTH($A90)=MONTH(AP$16)),MAX(AN90,AO90)*AP89,AP89)</f>
        <v>1.13219066683837</v>
      </c>
      <c r="AR90" s="1670" t="n">
        <f aca="false">$A90</f>
        <v>37561</v>
      </c>
      <c r="AS90" s="1671" t="n">
        <f aca="false">IF(AND($A90&gt;=EDATE(AS$17,12),IF(Assm!$L$74=0,$D90,$E90)/AS89&gt;=1.05),IF(Assm!$L$74=0,$D90,$E90),AS89)</f>
        <v>2.05</v>
      </c>
      <c r="AT90" s="1671" t="n">
        <f aca="false">IF(AS90/AS89=1,AT89,AS90/AS89)</f>
        <v>1.69659852685591</v>
      </c>
      <c r="AU90" s="1671" t="n">
        <f aca="false">F90</f>
        <v>1.08833077839898</v>
      </c>
      <c r="AV90" s="1671" t="n">
        <f aca="false">MAX(AT90,AU90)</f>
        <v>1.69659852685591</v>
      </c>
      <c r="AW90" s="1675" t="n">
        <f aca="false">IF(AV90=AV89,AW89,AV90*AW89)</f>
        <v>1.92488262910798</v>
      </c>
    </row>
    <row r="91" customFormat="false" ht="12.75" hidden="false" customHeight="false" outlineLevel="0" collapsed="false">
      <c r="A91" s="1673" t="n">
        <f aca="false">EDATE(A90,1)</f>
        <v>37591</v>
      </c>
      <c r="B91" s="1659" t="n">
        <f aca="false">'[4]Monthly Curve Calc.'!B94</f>
        <v>228.324787354876</v>
      </c>
      <c r="C91" s="1660" t="n">
        <f aca="false">'[4]Monthly Curve Calc.'!C94</f>
        <v>185.040320745779</v>
      </c>
      <c r="D91" s="1661" t="n">
        <f aca="false">'[4]Monthly Curve Calc.'!F94</f>
        <v>2.12480634867759</v>
      </c>
      <c r="E91" s="1662" t="n">
        <f aca="false">IF($A91&lt;=E$16,D91,(B91/B90)/(C91/C90)*E90)</f>
        <v>1.50368815481875</v>
      </c>
      <c r="F91" s="1674" t="n">
        <f aca="false">IF(Assm!$L$75=0,F90,IF(AND($A91&gt;F$16,MONTH($A91)=MONTH(F$16)),B90/B78,F90))</f>
        <v>1.08833077839898</v>
      </c>
      <c r="G91" s="1668" t="n">
        <f aca="false">IF(Assm!$L$75=0,G90,IF(AND($A91&gt;G$16,MONTH($A91)=MONTH(G$16)),C90/C78,G90))</f>
        <v>1.03190910302395</v>
      </c>
      <c r="H91" s="1668" t="n">
        <f aca="false">IF(Assm!$L$75=0,H90,IF(AND($A91&gt;H$16,MONTH($A91)=MONTH(H$16)),C90/C78-H$18,H90))</f>
        <v>1.02940910302395</v>
      </c>
      <c r="I91" s="1668" t="n">
        <f aca="false">IF(Assm!$L$75=0,I90,IF($A91&gt;=I$16,IF(MONTH($A91)=MONTH(I$16),AVERAGE(D79:D90),I90),I90))</f>
        <v>1.90408231674455</v>
      </c>
      <c r="J91" s="1675" t="n">
        <f aca="false">IF(Assm!$L$75=0,J90,IF($A91&gt;=J$16,IF(MONTH($A91)=MONTH(J$16),AVERAGE(E79:E90),J90),J90))</f>
        <v>1.39330580263675</v>
      </c>
      <c r="K91" s="1624" t="n">
        <f aca="false">K90+1</f>
        <v>79</v>
      </c>
      <c r="L91" s="1667" t="n">
        <f aca="false">HLOOKUP(L$14,Dec_Change,$K91)</f>
        <v>1.03190910302395</v>
      </c>
      <c r="M91" s="1668" t="n">
        <f aca="false">M90</f>
        <v>0</v>
      </c>
      <c r="N91" s="1675" t="n">
        <f aca="false">IF(AND($A91&gt;=N$16,MONTH($A91)=MONTH(N$16)),MAX(L91,M91)*N90,N90)</f>
        <v>1.13219066683837</v>
      </c>
      <c r="P91" s="1667" t="n">
        <f aca="false">HLOOKUP(P$14,Dec_Change,$K91)</f>
        <v>1.08833077839898</v>
      </c>
      <c r="Q91" s="1668" t="n">
        <f aca="false">Q90</f>
        <v>0</v>
      </c>
      <c r="R91" s="1675" t="n">
        <f aca="false">IF(AND($A91&gt;=R$16,MONTH($A91)=MONTH(R$16)),MAX(P91,Q91)*R90,R90)</f>
        <v>1.5466937113115</v>
      </c>
      <c r="T91" s="1667" t="n">
        <f aca="false">HLOOKUP(T$14,Dec_Change,$K91)</f>
        <v>1.03190910302395</v>
      </c>
      <c r="U91" s="1668" t="n">
        <f aca="false">U90</f>
        <v>1.005</v>
      </c>
      <c r="V91" s="1675" t="n">
        <f aca="false">IF(AND($A91&gt;=V$16,MONTH($A91)=MONTH(V$16)),MAX(T91,U91)*V90,V90)</f>
        <v>1.13219066683837</v>
      </c>
      <c r="X91" s="1667" t="n">
        <f aca="false">HLOOKUP(X$14,Dec_Change,$K91)</f>
        <v>1.02940910302395</v>
      </c>
      <c r="Y91" s="1668" t="n">
        <f aca="false">Y90</f>
        <v>1.02</v>
      </c>
      <c r="Z91" s="1675" t="n">
        <f aca="false">IF(AND($A91&gt;=Z$16,MONTH($A91)=MONTH(Z$16)),MAX(X91,Y91)*Z90,Z90)</f>
        <v>1.12745301232594</v>
      </c>
      <c r="AB91" s="1667" t="n">
        <f aca="false">HLOOKUP(AB$14,Dec_Change,$K91)</f>
        <v>1.02940910302395</v>
      </c>
      <c r="AC91" s="1668" t="n">
        <f aca="false">AC90</f>
        <v>1.02</v>
      </c>
      <c r="AD91" s="1675" t="n">
        <f aca="false">IF(AND($A91&gt;=AD$16,MONTH($A91)=MONTH(AD$16)),MAX(AB91,AC91)*AD90,AD90)</f>
        <v>1.12745301232594</v>
      </c>
      <c r="AF91" s="1667" t="n">
        <f aca="false">HLOOKUP(AF$14,Dec_Change,$K91)</f>
        <v>1.08833077839898</v>
      </c>
      <c r="AG91" s="1668" t="n">
        <f aca="false">AG90</f>
        <v>0</v>
      </c>
      <c r="AH91" s="1675" t="n">
        <f aca="false">IF(AND($A91&gt;=AH$16,MONTH($A91)=MONTH(AH$16)),MAX(AF91,AG91)*AH90,AH90)</f>
        <v>1.5466937113115</v>
      </c>
      <c r="AJ91" s="1667" t="n">
        <f aca="false">HLOOKUP(AJ$14,Dec_Change,$K91)</f>
        <v>1.02940910302395</v>
      </c>
      <c r="AK91" s="1668" t="n">
        <f aca="false">AK90</f>
        <v>1.02</v>
      </c>
      <c r="AL91" s="1675" t="n">
        <f aca="false">IF(AND($A91&gt;=AL$16,MONTH($A91)=MONTH(AL$16)),MAX(AJ91,AK91)*AL90,AL90)</f>
        <v>1.12745301232594</v>
      </c>
      <c r="AN91" s="1667" t="n">
        <f aca="false">HLOOKUP(AN$14,Dec_Change,$K91)</f>
        <v>1.03190910302395</v>
      </c>
      <c r="AO91" s="1668" t="n">
        <f aca="false">AO90</f>
        <v>1.005</v>
      </c>
      <c r="AP91" s="1675" t="n">
        <f aca="false">IF(AND($A91&gt;=AP$16,MONTH($A91)=MONTH(AP$16)),MAX(AN91,AO91)*AP90,AP90)</f>
        <v>1.13219066683837</v>
      </c>
      <c r="AR91" s="1670" t="n">
        <f aca="false">$A91</f>
        <v>37591</v>
      </c>
      <c r="AS91" s="1671" t="n">
        <f aca="false">IF(AND($A91&gt;=EDATE(AS$17,12),IF(Assm!$L$74=0,$D91,$E91)/AS90&gt;=1.05),IF(Assm!$L$74=0,$D91,$E91),AS90)</f>
        <v>2.05</v>
      </c>
      <c r="AT91" s="1671" t="n">
        <f aca="false">IF(AS91/AS90=1,AT90,AS91/AS90)</f>
        <v>1.69659852685591</v>
      </c>
      <c r="AU91" s="1671" t="n">
        <f aca="false">F91</f>
        <v>1.08833077839898</v>
      </c>
      <c r="AV91" s="1671" t="n">
        <f aca="false">MAX(AT91,AU91)</f>
        <v>1.69659852685591</v>
      </c>
      <c r="AW91" s="1675" t="n">
        <f aca="false">IF(AV91=AV90,AW90,AV91*AW90)</f>
        <v>1.92488262910798</v>
      </c>
    </row>
    <row r="92" customFormat="false" ht="12.75" hidden="false" customHeight="false" outlineLevel="0" collapsed="false">
      <c r="A92" s="1673" t="n">
        <f aca="false">EDATE(A91,1)</f>
        <v>37622</v>
      </c>
      <c r="B92" s="1659" t="n">
        <f aca="false">'[4]Monthly Curve Calc.'!B95</f>
        <v>229.793835911578</v>
      </c>
      <c r="C92" s="1660" t="n">
        <f aca="false">'[4]Monthly Curve Calc.'!C95</f>
        <v>185.488406521398</v>
      </c>
      <c r="D92" s="1661" t="n">
        <f aca="false">'[4]Monthly Curve Calc.'!F95</f>
        <v>2.13087787834043</v>
      </c>
      <c r="E92" s="1662" t="n">
        <f aca="false">IF($A92&lt;=E$16,D92,(B92/B91)/(C92/C91)*E91)</f>
        <v>1.50970708717039</v>
      </c>
      <c r="F92" s="1674" t="n">
        <f aca="false">IF(Assm!$L$75=0,F91,IF(AND($A92&gt;F$16,MONTH($A92)=MONTH(F$16)),B91/B79,F91))</f>
        <v>1.08833077839898</v>
      </c>
      <c r="G92" s="1668" t="n">
        <f aca="false">IF(Assm!$L$75=0,G91,IF(AND($A92&gt;G$16,MONTH($A92)=MONTH(G$16)),C91/C79,G91))</f>
        <v>1.03190910302395</v>
      </c>
      <c r="H92" s="1668" t="n">
        <f aca="false">IF(Assm!$L$75=0,H91,IF(AND($A92&gt;H$16,MONTH($A92)=MONTH(H$16)),C91/C79-H$18,H91))</f>
        <v>1.02940910302395</v>
      </c>
      <c r="I92" s="1668" t="n">
        <f aca="false">IF(Assm!$L$75=0,I91,IF($A92&gt;=I$16,IF(MONTH($A92)=MONTH(I$16),AVERAGE(D80:D91),I91),I91))</f>
        <v>2.06309705851596</v>
      </c>
      <c r="J92" s="1675" t="n">
        <f aca="false">IF(Assm!$L$75=0,J91,IF($A92&gt;=J$16,IF(MONTH($A92)=MONTH(J$16),AVERAGE(E80:E91),J91),J91))</f>
        <v>1.46871461442275</v>
      </c>
      <c r="K92" s="1624" t="n">
        <f aca="false">K91+1</f>
        <v>80</v>
      </c>
      <c r="L92" s="1667" t="n">
        <f aca="false">HLOOKUP(L$14,Dec_Change,$K92)</f>
        <v>1.03190910302395</v>
      </c>
      <c r="M92" s="1668" t="n">
        <f aca="false">M91</f>
        <v>0</v>
      </c>
      <c r="N92" s="1675" t="n">
        <f aca="false">IF(AND($A92&gt;=N$16,MONTH($A92)=MONTH(N$16)),MAX(L92,M92)*N91,N91)</f>
        <v>1.13219066683837</v>
      </c>
      <c r="P92" s="1667" t="n">
        <f aca="false">HLOOKUP(P$14,Dec_Change,$K92)</f>
        <v>1.08833077839898</v>
      </c>
      <c r="Q92" s="1668" t="n">
        <f aca="false">Q91</f>
        <v>0</v>
      </c>
      <c r="R92" s="1675" t="n">
        <f aca="false">IF(AND($A92&gt;=R$16,MONTH($A92)=MONTH(R$16)),MAX(P92,Q92)*R91,R91)</f>
        <v>1.5466937113115</v>
      </c>
      <c r="T92" s="1667" t="n">
        <f aca="false">HLOOKUP(T$14,Dec_Change,$K92)</f>
        <v>1.03190910302395</v>
      </c>
      <c r="U92" s="1668" t="n">
        <f aca="false">U91</f>
        <v>1.005</v>
      </c>
      <c r="V92" s="1675" t="n">
        <f aca="false">IF(AND($A92&gt;=V$16,MONTH($A92)=MONTH(V$16)),MAX(T92,U92)*V91,V91)</f>
        <v>1.13219066683837</v>
      </c>
      <c r="X92" s="1667" t="n">
        <f aca="false">HLOOKUP(X$14,Dec_Change,$K92)</f>
        <v>1.02940910302395</v>
      </c>
      <c r="Y92" s="1668" t="n">
        <f aca="false">Y91</f>
        <v>1.02</v>
      </c>
      <c r="Z92" s="1675" t="n">
        <f aca="false">IF(AND($A92&gt;=Z$16,MONTH($A92)=MONTH(Z$16)),MAX(X92,Y92)*Z91,Z91)</f>
        <v>1.12745301232594</v>
      </c>
      <c r="AB92" s="1667" t="n">
        <f aca="false">HLOOKUP(AB$14,Dec_Change,$K92)</f>
        <v>1.02940910302395</v>
      </c>
      <c r="AC92" s="1668" t="n">
        <f aca="false">AC91</f>
        <v>1.02</v>
      </c>
      <c r="AD92" s="1675" t="n">
        <f aca="false">IF(AND($A92&gt;=AD$16,MONTH($A92)=MONTH(AD$16)),MAX(AB92,AC92)*AD91,AD91)</f>
        <v>1.12745301232594</v>
      </c>
      <c r="AF92" s="1667" t="n">
        <f aca="false">HLOOKUP(AF$14,Dec_Change,$K92)</f>
        <v>1.08833077839898</v>
      </c>
      <c r="AG92" s="1668" t="n">
        <f aca="false">AG91</f>
        <v>0</v>
      </c>
      <c r="AH92" s="1675" t="n">
        <f aca="false">IF(AND($A92&gt;=AH$16,MONTH($A92)=MONTH(AH$16)),MAX(AF92,AG92)*AH91,AH91)</f>
        <v>1.5466937113115</v>
      </c>
      <c r="AJ92" s="1667" t="n">
        <f aca="false">HLOOKUP(AJ$14,Dec_Change,$K92)</f>
        <v>1.02940910302395</v>
      </c>
      <c r="AK92" s="1668" t="n">
        <f aca="false">AK91</f>
        <v>1.02</v>
      </c>
      <c r="AL92" s="1675" t="n">
        <f aca="false">IF(AND($A92&gt;=AL$16,MONTH($A92)=MONTH(AL$16)),MAX(AJ92,AK92)*AL91,AL91)</f>
        <v>1.12745301232594</v>
      </c>
      <c r="AN92" s="1667" t="n">
        <f aca="false">HLOOKUP(AN$14,Dec_Change,$K92)</f>
        <v>1.03190910302395</v>
      </c>
      <c r="AO92" s="1668" t="n">
        <f aca="false">AO91</f>
        <v>1.005</v>
      </c>
      <c r="AP92" s="1675" t="n">
        <f aca="false">IF(AND($A92&gt;=AP$16,MONTH($A92)=MONTH(AP$16)),MAX(AN92,AO92)*AP91,AP91)</f>
        <v>1.13219066683837</v>
      </c>
      <c r="AR92" s="1670" t="n">
        <f aca="false">$A92</f>
        <v>37622</v>
      </c>
      <c r="AS92" s="1671" t="n">
        <f aca="false">IF(AND($A92&gt;=EDATE(AS$17,12),IF(Assm!$L$74=0,$D92,$E92)/AS91&gt;=1.05),IF(Assm!$L$74=0,$D92,$E92),AS91)</f>
        <v>2.05</v>
      </c>
      <c r="AT92" s="1671" t="n">
        <f aca="false">IF(AS92/AS91=1,AT91,AS92/AS91)</f>
        <v>1.69659852685591</v>
      </c>
      <c r="AU92" s="1671" t="n">
        <f aca="false">F92</f>
        <v>1.08833077839898</v>
      </c>
      <c r="AV92" s="1671" t="n">
        <f aca="false">MAX(AT92,AU92)</f>
        <v>1.69659852685591</v>
      </c>
      <c r="AW92" s="1675" t="n">
        <f aca="false">IF(AV92=AV91,AW91,AV92*AW91)</f>
        <v>1.92488262910798</v>
      </c>
    </row>
    <row r="93" customFormat="false" ht="12.75" hidden="false" customHeight="false" outlineLevel="0" collapsed="false">
      <c r="A93" s="1673" t="n">
        <f aca="false">EDATE(A92,1)</f>
        <v>37653</v>
      </c>
      <c r="B93" s="1659" t="n">
        <f aca="false">'[4]Monthly Curve Calc.'!B96</f>
        <v>231.272336370926</v>
      </c>
      <c r="C93" s="1660" t="n">
        <f aca="false">'[4]Monthly Curve Calc.'!C96</f>
        <v>185.937577362486</v>
      </c>
      <c r="D93" s="1661" t="n">
        <f aca="false">'[4]Monthly Curve Calc.'!F96</f>
        <v>2.13696675710073</v>
      </c>
      <c r="E93" s="1662" t="n">
        <f aca="false">IF($A93&lt;=E$16,D93,(B93/B92)/(C93/C92)*E92)</f>
        <v>1.51575011198199</v>
      </c>
      <c r="F93" s="1674" t="n">
        <f aca="false">IF(Assm!$L$75=0,F92,IF(AND($A93&gt;F$16,MONTH($A93)=MONTH(F$16)),B92/B80,F92))</f>
        <v>1.08833077839898</v>
      </c>
      <c r="G93" s="1668" t="n">
        <f aca="false">IF(Assm!$L$75=0,G92,IF(AND($A93&gt;G$16,MONTH($A93)=MONTH(G$16)),C92/C80,G92))</f>
        <v>1.03190910302395</v>
      </c>
      <c r="H93" s="1668" t="n">
        <f aca="false">IF(Assm!$L$75=0,H92,IF(AND($A93&gt;H$16,MONTH($A93)=MONTH(H$16)),C92/C80-H$18,H92))</f>
        <v>1.02940910302395</v>
      </c>
      <c r="I93" s="1668" t="n">
        <f aca="false">IF(Assm!$L$75=0,I92,IF($A93&gt;=I$16,IF(MONTH($A93)=MONTH(I$16),AVERAGE(D81:D92),I92),I92))</f>
        <v>2.06309705851596</v>
      </c>
      <c r="J93" s="1675" t="n">
        <f aca="false">IF(Assm!$L$75=0,J92,IF($A93&gt;=J$16,IF(MONTH($A93)=MONTH(J$16),AVERAGE(E81:E92),J92),J92))</f>
        <v>1.46871461442275</v>
      </c>
      <c r="K93" s="1624" t="n">
        <f aca="false">K92+1</f>
        <v>81</v>
      </c>
      <c r="L93" s="1667" t="n">
        <f aca="false">HLOOKUP(L$14,Dec_Change,$K93)</f>
        <v>1.03190910302395</v>
      </c>
      <c r="M93" s="1668" t="n">
        <f aca="false">M92</f>
        <v>0</v>
      </c>
      <c r="N93" s="1675" t="n">
        <f aca="false">IF(AND($A93&gt;=N$16,MONTH($A93)=MONTH(N$16)),MAX(L93,M93)*N92,N92)</f>
        <v>1.13219066683837</v>
      </c>
      <c r="P93" s="1667" t="n">
        <f aca="false">HLOOKUP(P$14,Dec_Change,$K93)</f>
        <v>1.08833077839898</v>
      </c>
      <c r="Q93" s="1668" t="n">
        <f aca="false">Q92</f>
        <v>0</v>
      </c>
      <c r="R93" s="1675" t="n">
        <f aca="false">IF(AND($A93&gt;=R$16,MONTH($A93)=MONTH(R$16)),MAX(P93,Q93)*R92,R92)</f>
        <v>1.5466937113115</v>
      </c>
      <c r="T93" s="1667" t="n">
        <f aca="false">HLOOKUP(T$14,Dec_Change,$K93)</f>
        <v>1.03190910302395</v>
      </c>
      <c r="U93" s="1668" t="n">
        <f aca="false">U92</f>
        <v>1.005</v>
      </c>
      <c r="V93" s="1675" t="n">
        <f aca="false">IF(AND($A93&gt;=V$16,MONTH($A93)=MONTH(V$16)),MAX(T93,U93)*V92,V92)</f>
        <v>1.13219066683837</v>
      </c>
      <c r="X93" s="1667" t="n">
        <f aca="false">HLOOKUP(X$14,Dec_Change,$K93)</f>
        <v>1.02940910302395</v>
      </c>
      <c r="Y93" s="1668" t="n">
        <f aca="false">Y92</f>
        <v>1.02</v>
      </c>
      <c r="Z93" s="1675" t="n">
        <f aca="false">IF(AND($A93&gt;=Z$16,MONTH($A93)=MONTH(Z$16)),MAX(X93,Y93)*Z92,Z92)</f>
        <v>1.12745301232594</v>
      </c>
      <c r="AB93" s="1667" t="n">
        <f aca="false">HLOOKUP(AB$14,Dec_Change,$K93)</f>
        <v>1.02940910302395</v>
      </c>
      <c r="AC93" s="1668" t="n">
        <f aca="false">AC92</f>
        <v>1.02</v>
      </c>
      <c r="AD93" s="1675" t="n">
        <f aca="false">IF(AND($A93&gt;=AD$16,MONTH($A93)=MONTH(AD$16)),MAX(AB93,AC93)*AD92,AD92)</f>
        <v>1.12745301232594</v>
      </c>
      <c r="AF93" s="1667" t="n">
        <f aca="false">HLOOKUP(AF$14,Dec_Change,$K93)</f>
        <v>1.08833077839898</v>
      </c>
      <c r="AG93" s="1668" t="n">
        <f aca="false">AG92</f>
        <v>0</v>
      </c>
      <c r="AH93" s="1675" t="n">
        <f aca="false">IF(AND($A93&gt;=AH$16,MONTH($A93)=MONTH(AH$16)),MAX(AF93,AG93)*AH92,AH92)</f>
        <v>1.5466937113115</v>
      </c>
      <c r="AJ93" s="1667" t="n">
        <f aca="false">HLOOKUP(AJ$14,Dec_Change,$K93)</f>
        <v>1.02940910302395</v>
      </c>
      <c r="AK93" s="1668" t="n">
        <f aca="false">AK92</f>
        <v>1.02</v>
      </c>
      <c r="AL93" s="1675" t="n">
        <f aca="false">IF(AND($A93&gt;=AL$16,MONTH($A93)=MONTH(AL$16)),MAX(AJ93,AK93)*AL92,AL92)</f>
        <v>1.12745301232594</v>
      </c>
      <c r="AN93" s="1667" t="n">
        <f aca="false">HLOOKUP(AN$14,Dec_Change,$K93)</f>
        <v>1.03190910302395</v>
      </c>
      <c r="AO93" s="1668" t="n">
        <f aca="false">AO92</f>
        <v>1.005</v>
      </c>
      <c r="AP93" s="1675" t="n">
        <f aca="false">IF(AND($A93&gt;=AP$16,MONTH($A93)=MONTH(AP$16)),MAX(AN93,AO93)*AP92,AP92)</f>
        <v>1.13219066683837</v>
      </c>
      <c r="AR93" s="1670" t="n">
        <f aca="false">$A93</f>
        <v>37653</v>
      </c>
      <c r="AS93" s="1671" t="n">
        <f aca="false">IF(AND($A93&gt;=EDATE(AS$17,12),IF(Assm!$L$74=0,$D93,$E93)/AS92&gt;=1.05),IF(Assm!$L$74=0,$D93,$E93),AS92)</f>
        <v>2.05</v>
      </c>
      <c r="AT93" s="1671" t="n">
        <f aca="false">IF(AS93/AS92=1,AT92,AS93/AS92)</f>
        <v>1.69659852685591</v>
      </c>
      <c r="AU93" s="1671" t="n">
        <f aca="false">F93</f>
        <v>1.08833077839898</v>
      </c>
      <c r="AV93" s="1671" t="n">
        <f aca="false">MAX(AT93,AU93)</f>
        <v>1.69659852685591</v>
      </c>
      <c r="AW93" s="1675" t="n">
        <f aca="false">IF(AV93=AV92,AW92,AV93*AW92)</f>
        <v>1.92488262910798</v>
      </c>
    </row>
    <row r="94" customFormat="false" ht="12.75" hidden="false" customHeight="false" outlineLevel="0" collapsed="false">
      <c r="A94" s="1673" t="n">
        <f aca="false">EDATE(A93,1)</f>
        <v>37681</v>
      </c>
      <c r="B94" s="1659" t="n">
        <f aca="false">'[4]Monthly Curve Calc.'!B97</f>
        <v>232.760349546747</v>
      </c>
      <c r="C94" s="1660" t="n">
        <f aca="false">'[4]Monthly Curve Calc.'!C97</f>
        <v>186.38783589659</v>
      </c>
      <c r="D94" s="1661" t="n">
        <f aca="false">'[4]Monthly Curve Calc.'!F97</f>
        <v>2.14307303453269</v>
      </c>
      <c r="E94" s="1662" t="n">
        <f aca="false">IF($A94&lt;=E$16,D94,(B94/B93)/(C94/C93)*E93)</f>
        <v>1.52181732569034</v>
      </c>
      <c r="F94" s="1674" t="n">
        <f aca="false">IF(Assm!$L$75=0,F93,IF(AND($A94&gt;F$16,MONTH($A94)=MONTH(F$16)),B93/B81,F93))</f>
        <v>1.08833077839898</v>
      </c>
      <c r="G94" s="1668" t="n">
        <f aca="false">IF(Assm!$L$75=0,G93,IF(AND($A94&gt;G$16,MONTH($A94)=MONTH(G$16)),C93/C81,G93))</f>
        <v>1.03190910302395</v>
      </c>
      <c r="H94" s="1668" t="n">
        <f aca="false">IF(Assm!$L$75=0,H93,IF(AND($A94&gt;H$16,MONTH($A94)=MONTH(H$16)),C93/C81-H$18,H93))</f>
        <v>1.02940910302395</v>
      </c>
      <c r="I94" s="1668" t="n">
        <f aca="false">IF(Assm!$L$75=0,I93,IF($A94&gt;=I$16,IF(MONTH($A94)=MONTH(I$16),AVERAGE(D82:D93),I93),I93))</f>
        <v>2.06309705851596</v>
      </c>
      <c r="J94" s="1675" t="n">
        <f aca="false">IF(Assm!$L$75=0,J93,IF($A94&gt;=J$16,IF(MONTH($A94)=MONTH(J$16),AVERAGE(E82:E93),J93),J93))</f>
        <v>1.46871461442275</v>
      </c>
      <c r="K94" s="1624" t="n">
        <f aca="false">K93+1</f>
        <v>82</v>
      </c>
      <c r="L94" s="1667" t="n">
        <f aca="false">HLOOKUP(L$14,Dec_Change,$K94)</f>
        <v>1.03190910302395</v>
      </c>
      <c r="M94" s="1668" t="n">
        <f aca="false">M93</f>
        <v>0</v>
      </c>
      <c r="N94" s="1675" t="n">
        <f aca="false">IF(AND($A94&gt;=N$16,MONTH($A94)=MONTH(N$16)),MAX(L94,M94)*N93,N93)</f>
        <v>1.13219066683837</v>
      </c>
      <c r="P94" s="1667" t="n">
        <f aca="false">HLOOKUP(P$14,Dec_Change,$K94)</f>
        <v>1.08833077839898</v>
      </c>
      <c r="Q94" s="1668" t="n">
        <f aca="false">Q93</f>
        <v>0</v>
      </c>
      <c r="R94" s="1675" t="n">
        <f aca="false">IF(AND($A94&gt;=R$16,MONTH($A94)=MONTH(R$16)),MAX(P94,Q94)*R93,R93)</f>
        <v>1.5466937113115</v>
      </c>
      <c r="T94" s="1667" t="n">
        <f aca="false">HLOOKUP(T$14,Dec_Change,$K94)</f>
        <v>1.03190910302395</v>
      </c>
      <c r="U94" s="1668" t="n">
        <f aca="false">U93</f>
        <v>1.005</v>
      </c>
      <c r="V94" s="1675" t="n">
        <f aca="false">IF(AND($A94&gt;=V$16,MONTH($A94)=MONTH(V$16)),MAX(T94,U94)*V93,V93)</f>
        <v>1.13219066683837</v>
      </c>
      <c r="X94" s="1667" t="n">
        <f aca="false">HLOOKUP(X$14,Dec_Change,$K94)</f>
        <v>1.02940910302395</v>
      </c>
      <c r="Y94" s="1668" t="n">
        <f aca="false">Y93</f>
        <v>1.02</v>
      </c>
      <c r="Z94" s="1675" t="n">
        <f aca="false">IF(AND($A94&gt;=Z$16,MONTH($A94)=MONTH(Z$16)),MAX(X94,Y94)*Z93,Z93)</f>
        <v>1.12745301232594</v>
      </c>
      <c r="AB94" s="1667" t="n">
        <f aca="false">HLOOKUP(AB$14,Dec_Change,$K94)</f>
        <v>1.02940910302395</v>
      </c>
      <c r="AC94" s="1668" t="n">
        <f aca="false">AC93</f>
        <v>1.02</v>
      </c>
      <c r="AD94" s="1675" t="n">
        <f aca="false">IF(AND($A94&gt;=AD$16,MONTH($A94)=MONTH(AD$16)),MAX(AB94,AC94)*AD93,AD93)</f>
        <v>1.12745301232594</v>
      </c>
      <c r="AF94" s="1667" t="n">
        <f aca="false">HLOOKUP(AF$14,Dec_Change,$K94)</f>
        <v>1.08833077839898</v>
      </c>
      <c r="AG94" s="1668" t="n">
        <f aca="false">AG93</f>
        <v>0</v>
      </c>
      <c r="AH94" s="1675" t="n">
        <f aca="false">IF(AND($A94&gt;=AH$16,MONTH($A94)=MONTH(AH$16)),MAX(AF94,AG94)*AH93,AH93)</f>
        <v>1.5466937113115</v>
      </c>
      <c r="AJ94" s="1667" t="n">
        <f aca="false">HLOOKUP(AJ$14,Dec_Change,$K94)</f>
        <v>1.02940910302395</v>
      </c>
      <c r="AK94" s="1668" t="n">
        <f aca="false">AK93</f>
        <v>1.02</v>
      </c>
      <c r="AL94" s="1675" t="n">
        <f aca="false">IF(AND($A94&gt;=AL$16,MONTH($A94)=MONTH(AL$16)),MAX(AJ94,AK94)*AL93,AL93)</f>
        <v>1.12745301232594</v>
      </c>
      <c r="AN94" s="1667" t="n">
        <f aca="false">HLOOKUP(AN$14,Dec_Change,$K94)</f>
        <v>1.03190910302395</v>
      </c>
      <c r="AO94" s="1668" t="n">
        <f aca="false">AO93</f>
        <v>1.005</v>
      </c>
      <c r="AP94" s="1675" t="n">
        <f aca="false">IF(AND($A94&gt;=AP$16,MONTH($A94)=MONTH(AP$16)),MAX(AN94,AO94)*AP93,AP93)</f>
        <v>1.13219066683837</v>
      </c>
      <c r="AR94" s="1670" t="n">
        <f aca="false">$A94</f>
        <v>37681</v>
      </c>
      <c r="AS94" s="1671" t="n">
        <f aca="false">IF(AND($A94&gt;=EDATE(AS$17,12),IF(Assm!$L$74=0,$D94,$E94)/AS93&gt;=1.05),IF(Assm!$L$74=0,$D94,$E94),AS93)</f>
        <v>2.05</v>
      </c>
      <c r="AT94" s="1671" t="n">
        <f aca="false">IF(AS94/AS93=1,AT93,AS94/AS93)</f>
        <v>1.69659852685591</v>
      </c>
      <c r="AU94" s="1671" t="n">
        <f aca="false">F94</f>
        <v>1.08833077839898</v>
      </c>
      <c r="AV94" s="1671" t="n">
        <f aca="false">MAX(AT94,AU94)</f>
        <v>1.69659852685591</v>
      </c>
      <c r="AW94" s="1675" t="n">
        <f aca="false">IF(AV94=AV93,AW93,AV94*AW93)</f>
        <v>1.92488262910798</v>
      </c>
    </row>
    <row r="95" customFormat="false" ht="12.75" hidden="false" customHeight="false" outlineLevel="0" collapsed="false">
      <c r="A95" s="1673" t="n">
        <f aca="false">EDATE(A94,1)</f>
        <v>37712</v>
      </c>
      <c r="B95" s="1659" t="n">
        <f aca="false">'[4]Monthly Curve Calc.'!B98</f>
        <v>234.257936644146</v>
      </c>
      <c r="C95" s="1660" t="n">
        <f aca="false">'[4]Monthly Curve Calc.'!C98</f>
        <v>186.839184757623</v>
      </c>
      <c r="D95" s="1661" t="n">
        <f aca="false">'[4]Monthly Curve Calc.'!F98</f>
        <v>2.14919676035217</v>
      </c>
      <c r="E95" s="1662" t="n">
        <f aca="false">IF($A95&lt;=E$16,D95,(B95/B94)/(C95/C94)*E94)</f>
        <v>1.52790882511829</v>
      </c>
      <c r="F95" s="1674" t="n">
        <f aca="false">IF(Assm!$L$75=0,F94,IF(AND($A95&gt;F$16,MONTH($A95)=MONTH(F$16)),B94/B82,F94))</f>
        <v>1.08833077839898</v>
      </c>
      <c r="G95" s="1668" t="n">
        <f aca="false">IF(Assm!$L$75=0,G94,IF(AND($A95&gt;G$16,MONTH($A95)=MONTH(G$16)),C94/C82,G94))</f>
        <v>1.03190910302395</v>
      </c>
      <c r="H95" s="1668" t="n">
        <f aca="false">IF(Assm!$L$75=0,H94,IF(AND($A95&gt;H$16,MONTH($A95)=MONTH(H$16)),C94/C82-H$18,H94))</f>
        <v>1.02940910302395</v>
      </c>
      <c r="I95" s="1668" t="n">
        <f aca="false">IF(Assm!$L$75=0,I94,IF($A95&gt;=I$16,IF(MONTH($A95)=MONTH(I$16),AVERAGE(D83:D94),I94),I94))</f>
        <v>2.06309705851596</v>
      </c>
      <c r="J95" s="1675" t="n">
        <f aca="false">IF(Assm!$L$75=0,J94,IF($A95&gt;=J$16,IF(MONTH($A95)=MONTH(J$16),AVERAGE(E83:E94),J94),J94))</f>
        <v>1.46871461442275</v>
      </c>
      <c r="K95" s="1624" t="n">
        <f aca="false">K94+1</f>
        <v>83</v>
      </c>
      <c r="L95" s="1667" t="n">
        <f aca="false">HLOOKUP(L$14,Dec_Change,$K95)</f>
        <v>1.03190910302395</v>
      </c>
      <c r="M95" s="1668" t="n">
        <f aca="false">M94</f>
        <v>0</v>
      </c>
      <c r="N95" s="1675" t="n">
        <f aca="false">IF(AND($A95&gt;=N$16,MONTH($A95)=MONTH(N$16)),MAX(L95,M95)*N94,N94)</f>
        <v>1.13219066683837</v>
      </c>
      <c r="P95" s="1667" t="n">
        <f aca="false">HLOOKUP(P$14,Dec_Change,$K95)</f>
        <v>1.08833077839898</v>
      </c>
      <c r="Q95" s="1668" t="n">
        <f aca="false">Q94</f>
        <v>0</v>
      </c>
      <c r="R95" s="1675" t="n">
        <f aca="false">IF(AND($A95&gt;=R$16,MONTH($A95)=MONTH(R$16)),MAX(P95,Q95)*R94,R94)</f>
        <v>1.5466937113115</v>
      </c>
      <c r="T95" s="1667" t="n">
        <f aca="false">HLOOKUP(T$14,Dec_Change,$K95)</f>
        <v>1.03190910302395</v>
      </c>
      <c r="U95" s="1668" t="n">
        <f aca="false">U94</f>
        <v>1.005</v>
      </c>
      <c r="V95" s="1675" t="n">
        <f aca="false">IF(AND($A95&gt;=V$16,MONTH($A95)=MONTH(V$16)),MAX(T95,U95)*V94,V94)</f>
        <v>1.13219066683837</v>
      </c>
      <c r="X95" s="1667" t="n">
        <f aca="false">HLOOKUP(X$14,Dec_Change,$K95)</f>
        <v>1.02940910302395</v>
      </c>
      <c r="Y95" s="1668" t="n">
        <f aca="false">Y94</f>
        <v>1.02</v>
      </c>
      <c r="Z95" s="1675" t="n">
        <f aca="false">IF(AND($A95&gt;=Z$16,MONTH($A95)=MONTH(Z$16)),MAX(X95,Y95)*Z94,Z94)</f>
        <v>1.12745301232594</v>
      </c>
      <c r="AB95" s="1667" t="n">
        <f aca="false">HLOOKUP(AB$14,Dec_Change,$K95)</f>
        <v>1.02940910302395</v>
      </c>
      <c r="AC95" s="1668" t="n">
        <f aca="false">AC94</f>
        <v>1.02</v>
      </c>
      <c r="AD95" s="1675" t="n">
        <f aca="false">IF(AND($A95&gt;=AD$16,MONTH($A95)=MONTH(AD$16)),MAX(AB95,AC95)*AD94,AD94)</f>
        <v>1.12745301232594</v>
      </c>
      <c r="AF95" s="1667" t="n">
        <f aca="false">HLOOKUP(AF$14,Dec_Change,$K95)</f>
        <v>1.08833077839898</v>
      </c>
      <c r="AG95" s="1668" t="n">
        <f aca="false">AG94</f>
        <v>0</v>
      </c>
      <c r="AH95" s="1675" t="n">
        <f aca="false">IF(AND($A95&gt;=AH$16,MONTH($A95)=MONTH(AH$16)),MAX(AF95,AG95)*AH94,AH94)</f>
        <v>1.5466937113115</v>
      </c>
      <c r="AJ95" s="1667" t="n">
        <f aca="false">HLOOKUP(AJ$14,Dec_Change,$K95)</f>
        <v>1.02940910302395</v>
      </c>
      <c r="AK95" s="1668" t="n">
        <f aca="false">AK94</f>
        <v>1.02</v>
      </c>
      <c r="AL95" s="1675" t="n">
        <f aca="false">IF(AND($A95&gt;=AL$16,MONTH($A95)=MONTH(AL$16)),MAX(AJ95,AK95)*AL94,AL94)</f>
        <v>1.12745301232594</v>
      </c>
      <c r="AN95" s="1667" t="n">
        <f aca="false">HLOOKUP(AN$14,Dec_Change,$K95)</f>
        <v>1.03190910302395</v>
      </c>
      <c r="AO95" s="1668" t="n">
        <f aca="false">AO94</f>
        <v>1.005</v>
      </c>
      <c r="AP95" s="1675" t="n">
        <f aca="false">IF(AND($A95&gt;=AP$16,MONTH($A95)=MONTH(AP$16)),MAX(AN95,AO95)*AP94,AP94)</f>
        <v>1.13219066683837</v>
      </c>
      <c r="AR95" s="1670" t="n">
        <f aca="false">$A95</f>
        <v>37712</v>
      </c>
      <c r="AS95" s="1671" t="n">
        <f aca="false">IF(AND($A95&gt;=EDATE(AS$17,12),IF(Assm!$L$74=0,$D95,$E95)/AS94&gt;=1.05),IF(Assm!$L$74=0,$D95,$E95),AS94)</f>
        <v>2.05</v>
      </c>
      <c r="AT95" s="1671" t="n">
        <f aca="false">IF(AS95/AS94=1,AT94,AS95/AS94)</f>
        <v>1.69659852685591</v>
      </c>
      <c r="AU95" s="1671" t="n">
        <f aca="false">F95</f>
        <v>1.08833077839898</v>
      </c>
      <c r="AV95" s="1671" t="n">
        <f aca="false">MAX(AT95,AU95)</f>
        <v>1.69659852685591</v>
      </c>
      <c r="AW95" s="1675" t="n">
        <f aca="false">IF(AV95=AV94,AW94,AV95*AW94)</f>
        <v>1.92488262910798</v>
      </c>
    </row>
    <row r="96" customFormat="false" ht="12.75" hidden="false" customHeight="false" outlineLevel="0" collapsed="false">
      <c r="A96" s="1673" t="n">
        <f aca="false">EDATE(A95,1)</f>
        <v>37742</v>
      </c>
      <c r="B96" s="1659" t="n">
        <f aca="false">'[4]Monthly Curve Calc.'!B99</f>
        <v>235.765159262022</v>
      </c>
      <c r="C96" s="1660" t="n">
        <f aca="false">'[4]Monthly Curve Calc.'!C99</f>
        <v>187.291626585873</v>
      </c>
      <c r="D96" s="1661" t="n">
        <f aca="false">'[4]Monthly Curve Calc.'!F99</f>
        <v>2.15533798441706</v>
      </c>
      <c r="E96" s="1662" t="n">
        <f aca="false">IF($A96&lt;=E$16,D96,(B96/B95)/(C96/C95)*E95)</f>
        <v>1.5340247074762</v>
      </c>
      <c r="F96" s="1674" t="n">
        <f aca="false">IF(Assm!$L$75=0,F95,IF(AND($A96&gt;F$16,MONTH($A96)=MONTH(F$16)),B95/B83,F95))</f>
        <v>1.08333076659484</v>
      </c>
      <c r="G96" s="1668" t="n">
        <f aca="false">IF(Assm!$L$75=0,G95,IF(AND($A96&gt;G$16,MONTH($A96)=MONTH(G$16)),C95/C83,G95))</f>
        <v>1.0301154037814</v>
      </c>
      <c r="H96" s="1668" t="n">
        <f aca="false">IF(Assm!$L$75=0,H95,IF(AND($A96&gt;H$16,MONTH($A96)=MONTH(H$16)),C95/C83-H$18,H95))</f>
        <v>1.0276154037814</v>
      </c>
      <c r="I96" s="1668" t="n">
        <f aca="false">IF(Assm!$L$75=0,I95,IF($A96&gt;=I$16,IF(MONTH($A96)=MONTH(I$16),AVERAGE(D84:D95),I95),I95))</f>
        <v>2.06309705851596</v>
      </c>
      <c r="J96" s="1675" t="n">
        <f aca="false">IF(Assm!$L$75=0,J95,IF($A96&gt;=J$16,IF(MONTH($A96)=MONTH(J$16),AVERAGE(E84:E95),J95),J95))</f>
        <v>1.46871461442275</v>
      </c>
      <c r="K96" s="1624" t="n">
        <f aca="false">K95+1</f>
        <v>84</v>
      </c>
      <c r="L96" s="1667" t="n">
        <f aca="false">HLOOKUP(L$14,Dec_Change,$K96)</f>
        <v>1.0301154037814</v>
      </c>
      <c r="M96" s="1668" t="n">
        <f aca="false">M95</f>
        <v>0</v>
      </c>
      <c r="N96" s="1675" t="n">
        <f aca="false">IF(AND($A96&gt;=N$16,MONTH($A96)=MONTH(N$16)),MAX(L96,M96)*N95,N95)</f>
        <v>1.16628704592773</v>
      </c>
      <c r="P96" s="1667" t="n">
        <f aca="false">HLOOKUP(P$14,Dec_Change,$K96)</f>
        <v>1.08333076659484</v>
      </c>
      <c r="Q96" s="1668" t="n">
        <f aca="false">Q95</f>
        <v>0</v>
      </c>
      <c r="R96" s="1675" t="n">
        <f aca="false">IF(AND($A96&gt;=R$16,MONTH($A96)=MONTH(R$16)),MAX(P96,Q96)*R95,R95)</f>
        <v>1.6755808839625</v>
      </c>
      <c r="T96" s="1667" t="n">
        <f aca="false">HLOOKUP(T$14,Dec_Change,$K96)</f>
        <v>1.0301154037814</v>
      </c>
      <c r="U96" s="1668" t="n">
        <f aca="false">U95</f>
        <v>1.005</v>
      </c>
      <c r="V96" s="1675" t="n">
        <f aca="false">IF(AND($A96&gt;=V$16,MONTH($A96)=MONTH(V$16)),MAX(T96,U96)*V95,V95)</f>
        <v>1.16628704592773</v>
      </c>
      <c r="X96" s="1667" t="n">
        <f aca="false">HLOOKUP(X$14,Dec_Change,$K96)</f>
        <v>1.0276154037814</v>
      </c>
      <c r="Y96" s="1668" t="n">
        <f aca="false">Y95</f>
        <v>1.02</v>
      </c>
      <c r="Z96" s="1675" t="n">
        <f aca="false">IF(AND($A96&gt;=Z$16,MONTH($A96)=MONTH(Z$16)),MAX(X96,Y96)*Z95,Z95)</f>
        <v>1.15858808250587</v>
      </c>
      <c r="AB96" s="1667" t="n">
        <f aca="false">HLOOKUP(AB$14,Dec_Change,$K96)</f>
        <v>1.0276154037814</v>
      </c>
      <c r="AC96" s="1668" t="n">
        <f aca="false">AC95</f>
        <v>1.02</v>
      </c>
      <c r="AD96" s="1675" t="n">
        <f aca="false">IF(AND($A96&gt;=AD$16,MONTH($A96)=MONTH(AD$16)),MAX(AB96,AC96)*AD95,AD95)</f>
        <v>1.15858808250587</v>
      </c>
      <c r="AF96" s="1667" t="n">
        <f aca="false">HLOOKUP(AF$14,Dec_Change,$K96)</f>
        <v>1.08333076659484</v>
      </c>
      <c r="AG96" s="1668" t="n">
        <f aca="false">AG95</f>
        <v>0</v>
      </c>
      <c r="AH96" s="1675" t="n">
        <f aca="false">IF(AND($A96&gt;=AH$16,MONTH($A96)=MONTH(AH$16)),MAX(AF96,AG96)*AH95,AH95)</f>
        <v>1.6755808839625</v>
      </c>
      <c r="AJ96" s="1667" t="n">
        <f aca="false">HLOOKUP(AJ$14,Dec_Change,$K96)</f>
        <v>1.0276154037814</v>
      </c>
      <c r="AK96" s="1668" t="n">
        <f aca="false">AK95</f>
        <v>1.02</v>
      </c>
      <c r="AL96" s="1675" t="n">
        <f aca="false">IF(AND($A96&gt;=AL$16,MONTH($A96)=MONTH(AL$16)),MAX(AJ96,AK96)*AL95,AL95)</f>
        <v>1.15858808250587</v>
      </c>
      <c r="AN96" s="1667" t="n">
        <f aca="false">HLOOKUP(AN$14,Dec_Change,$K96)</f>
        <v>1.0301154037814</v>
      </c>
      <c r="AO96" s="1668" t="n">
        <f aca="false">AO95</f>
        <v>1.005</v>
      </c>
      <c r="AP96" s="1675" t="n">
        <f aca="false">IF(AND($A96&gt;=AP$16,MONTH($A96)=MONTH(AP$16)),MAX(AN96,AO96)*AP95,AP95)</f>
        <v>1.16628704592773</v>
      </c>
      <c r="AR96" s="1670" t="n">
        <f aca="false">$A96</f>
        <v>37742</v>
      </c>
      <c r="AS96" s="1671" t="n">
        <f aca="false">IF(AND($A96&gt;=EDATE(AS$17,12),IF(Assm!$L$74=0,$D96,$E96)/AS95&gt;=1.05),IF(Assm!$L$74=0,$D96,$E96),AS95)</f>
        <v>2.15533798441706</v>
      </c>
      <c r="AT96" s="1671" t="n">
        <f aca="false">IF(AS96/AS95=1,AT95,AS96/AS95)</f>
        <v>1.05138438264247</v>
      </c>
      <c r="AU96" s="1671" t="n">
        <f aca="false">F96</f>
        <v>1.08333076659484</v>
      </c>
      <c r="AV96" s="1671" t="n">
        <f aca="false">MAX(AT96,AU96)</f>
        <v>1.08333076659484</v>
      </c>
      <c r="AW96" s="1675" t="n">
        <f aca="false">IF(AV96=AV95,AW95,AV96*AW95)</f>
        <v>2.08528457419664</v>
      </c>
    </row>
    <row r="97" customFormat="false" ht="12.75" hidden="false" customHeight="false" outlineLevel="0" collapsed="false">
      <c r="A97" s="1673" t="n">
        <f aca="false">EDATE(A96,1)</f>
        <v>37773</v>
      </c>
      <c r="B97" s="1659" t="n">
        <f aca="false">'[4]Monthly Curve Calc.'!B100</f>
        <v>237.282079395603</v>
      </c>
      <c r="C97" s="1660" t="n">
        <f aca="false">'[4]Monthly Curve Calc.'!C100</f>
        <v>187.745164028023</v>
      </c>
      <c r="D97" s="1661" t="n">
        <f aca="false">'[4]Monthly Curve Calc.'!F100</f>
        <v>2.16149675672775</v>
      </c>
      <c r="E97" s="1662" t="n">
        <f aca="false">IF($A97&lt;=E$16,D97,(B97/B96)/(C97/C96)*E96)</f>
        <v>1.54016507036358</v>
      </c>
      <c r="F97" s="1674" t="n">
        <f aca="false">IF(Assm!$L$75=0,F96,IF(AND($A97&gt;F$16,MONTH($A97)=MONTH(F$16)),B96/B84,F96))</f>
        <v>1.08333076659484</v>
      </c>
      <c r="G97" s="1668" t="n">
        <f aca="false">IF(Assm!$L$75=0,G96,IF(AND($A97&gt;G$16,MONTH($A97)=MONTH(G$16)),C96/C84,G96))</f>
        <v>1.0301154037814</v>
      </c>
      <c r="H97" s="1668" t="n">
        <f aca="false">IF(Assm!$L$75=0,H96,IF(AND($A97&gt;H$16,MONTH($A97)=MONTH(H$16)),C96/C84-H$18,H96))</f>
        <v>1.0276154037814</v>
      </c>
      <c r="I97" s="1668" t="n">
        <f aca="false">IF(Assm!$L$75=0,I96,IF($A97&gt;=I$16,IF(MONTH($A97)=MONTH(I$16),AVERAGE(D85:D96),I96),I96))</f>
        <v>2.06309705851596</v>
      </c>
      <c r="J97" s="1675" t="n">
        <f aca="false">IF(Assm!$L$75=0,J96,IF($A97&gt;=J$16,IF(MONTH($A97)=MONTH(J$16),AVERAGE(E85:E96),J96),J96))</f>
        <v>1.46871461442275</v>
      </c>
      <c r="K97" s="1624" t="n">
        <f aca="false">K96+1</f>
        <v>85</v>
      </c>
      <c r="L97" s="1667" t="n">
        <f aca="false">HLOOKUP(L$14,Dec_Change,$K97)</f>
        <v>1.0301154037814</v>
      </c>
      <c r="M97" s="1668" t="n">
        <f aca="false">M96</f>
        <v>0</v>
      </c>
      <c r="N97" s="1675" t="n">
        <f aca="false">IF(AND($A97&gt;=N$16,MONTH($A97)=MONTH(N$16)),MAX(L97,M97)*N96,N96)</f>
        <v>1.16628704592773</v>
      </c>
      <c r="P97" s="1667" t="n">
        <f aca="false">HLOOKUP(P$14,Dec_Change,$K97)</f>
        <v>1.08333076659484</v>
      </c>
      <c r="Q97" s="1668" t="n">
        <f aca="false">Q96</f>
        <v>0</v>
      </c>
      <c r="R97" s="1675" t="n">
        <f aca="false">IF(AND($A97&gt;=R$16,MONTH($A97)=MONTH(R$16)),MAX(P97,Q97)*R96,R96)</f>
        <v>1.6755808839625</v>
      </c>
      <c r="T97" s="1667" t="n">
        <f aca="false">HLOOKUP(T$14,Dec_Change,$K97)</f>
        <v>1.0301154037814</v>
      </c>
      <c r="U97" s="1668" t="n">
        <f aca="false">U96</f>
        <v>1.005</v>
      </c>
      <c r="V97" s="1675" t="n">
        <f aca="false">IF(AND($A97&gt;=V$16,MONTH($A97)=MONTH(V$16)),MAX(T97,U97)*V96,V96)</f>
        <v>1.16628704592773</v>
      </c>
      <c r="X97" s="1667" t="n">
        <f aca="false">HLOOKUP(X$14,Dec_Change,$K97)</f>
        <v>1.0276154037814</v>
      </c>
      <c r="Y97" s="1668" t="n">
        <f aca="false">Y96</f>
        <v>1.02</v>
      </c>
      <c r="Z97" s="1675" t="n">
        <f aca="false">IF(AND($A97&gt;=Z$16,MONTH($A97)=MONTH(Z$16)),MAX(X97,Y97)*Z96,Z96)</f>
        <v>1.15858808250587</v>
      </c>
      <c r="AB97" s="1667" t="n">
        <f aca="false">HLOOKUP(AB$14,Dec_Change,$K97)</f>
        <v>1.0276154037814</v>
      </c>
      <c r="AC97" s="1668" t="n">
        <f aca="false">AC96</f>
        <v>1.02</v>
      </c>
      <c r="AD97" s="1675" t="n">
        <f aca="false">IF(AND($A97&gt;=AD$16,MONTH($A97)=MONTH(AD$16)),MAX(AB97,AC97)*AD96,AD96)</f>
        <v>1.15858808250587</v>
      </c>
      <c r="AF97" s="1667" t="n">
        <f aca="false">HLOOKUP(AF$14,Dec_Change,$K97)</f>
        <v>1.08333076659484</v>
      </c>
      <c r="AG97" s="1668" t="n">
        <f aca="false">AG96</f>
        <v>0</v>
      </c>
      <c r="AH97" s="1675" t="n">
        <f aca="false">IF(AND($A97&gt;=AH$16,MONTH($A97)=MONTH(AH$16)),MAX(AF97,AG97)*AH96,AH96)</f>
        <v>1.6755808839625</v>
      </c>
      <c r="AJ97" s="1667" t="n">
        <f aca="false">HLOOKUP(AJ$14,Dec_Change,$K97)</f>
        <v>1.0276154037814</v>
      </c>
      <c r="AK97" s="1668" t="n">
        <f aca="false">AK96</f>
        <v>1.02</v>
      </c>
      <c r="AL97" s="1675" t="n">
        <f aca="false">IF(AND($A97&gt;=AL$16,MONTH($A97)=MONTH(AL$16)),MAX(AJ97,AK97)*AL96,AL96)</f>
        <v>1.15858808250587</v>
      </c>
      <c r="AN97" s="1667" t="n">
        <f aca="false">HLOOKUP(AN$14,Dec_Change,$K97)</f>
        <v>1.0301154037814</v>
      </c>
      <c r="AO97" s="1668" t="n">
        <f aca="false">AO96</f>
        <v>1.005</v>
      </c>
      <c r="AP97" s="1675" t="n">
        <f aca="false">IF(AND($A97&gt;=AP$16,MONTH($A97)=MONTH(AP$16)),MAX(AN97,AO97)*AP96,AP96)</f>
        <v>1.16628704592773</v>
      </c>
      <c r="AR97" s="1670" t="n">
        <f aca="false">$A97</f>
        <v>37773</v>
      </c>
      <c r="AS97" s="1671" t="n">
        <f aca="false">IF(AND($A97&gt;=EDATE(AS$17,12),IF(Assm!$L$74=0,$D97,$E97)/AS96&gt;=1.05),IF(Assm!$L$74=0,$D97,$E97),AS96)</f>
        <v>2.15533798441706</v>
      </c>
      <c r="AT97" s="1671" t="n">
        <f aca="false">IF(AS97/AS96=1,AT96,AS97/AS96)</f>
        <v>1.05138438264247</v>
      </c>
      <c r="AU97" s="1671" t="n">
        <f aca="false">F97</f>
        <v>1.08333076659484</v>
      </c>
      <c r="AV97" s="1671" t="n">
        <f aca="false">MAX(AT97,AU97)</f>
        <v>1.08333076659484</v>
      </c>
      <c r="AW97" s="1675" t="n">
        <f aca="false">IF(AV97=AV96,AW96,AV97*AW96)</f>
        <v>2.08528457419664</v>
      </c>
    </row>
    <row r="98" customFormat="false" ht="12.75" hidden="false" customHeight="false" outlineLevel="0" collapsed="false">
      <c r="A98" s="1673" t="n">
        <f aca="false">EDATE(A97,1)</f>
        <v>37803</v>
      </c>
      <c r="B98" s="1659" t="n">
        <f aca="false">'[4]Monthly Curve Calc.'!B101</f>
        <v>238.808759438999</v>
      </c>
      <c r="C98" s="1660" t="n">
        <f aca="false">'[4]Monthly Curve Calc.'!C101</f>
        <v>188.199799737166</v>
      </c>
      <c r="D98" s="1661" t="n">
        <f aca="false">'[4]Monthly Curve Calc.'!F101</f>
        <v>2.16767312742749</v>
      </c>
      <c r="E98" s="1662" t="n">
        <f aca="false">IF($A98&lt;=E$16,D98,(B98/B97)/(C98/C97)*E97)</f>
        <v>1.5463300117706</v>
      </c>
      <c r="F98" s="1674" t="n">
        <f aca="false">IF(Assm!$L$75=0,F97,IF(AND($A98&gt;F$16,MONTH($A98)=MONTH(F$16)),B97/B85,F97))</f>
        <v>1.08333076659484</v>
      </c>
      <c r="G98" s="1668" t="n">
        <f aca="false">IF(Assm!$L$75=0,G97,IF(AND($A98&gt;G$16,MONTH($A98)=MONTH(G$16)),C97/C85,G97))</f>
        <v>1.0301154037814</v>
      </c>
      <c r="H98" s="1668" t="n">
        <f aca="false">IF(Assm!$L$75=0,H97,IF(AND($A98&gt;H$16,MONTH($A98)=MONTH(H$16)),C97/C85-H$18,H97))</f>
        <v>1.0276154037814</v>
      </c>
      <c r="I98" s="1668" t="n">
        <f aca="false">IF(Assm!$L$75=0,I97,IF($A98&gt;=I$16,IF(MONTH($A98)=MONTH(I$16),AVERAGE(D86:D97),I97),I97))</f>
        <v>2.06309705851596</v>
      </c>
      <c r="J98" s="1675" t="n">
        <f aca="false">IF(Assm!$L$75=0,J97,IF($A98&gt;=J$16,IF(MONTH($A98)=MONTH(J$16),AVERAGE(E86:E97),J97),J97))</f>
        <v>1.46871461442275</v>
      </c>
      <c r="K98" s="1624" t="n">
        <f aca="false">K97+1</f>
        <v>86</v>
      </c>
      <c r="L98" s="1667" t="n">
        <f aca="false">HLOOKUP(L$14,Dec_Change,$K98)</f>
        <v>1.0301154037814</v>
      </c>
      <c r="M98" s="1668" t="n">
        <f aca="false">M97</f>
        <v>0</v>
      </c>
      <c r="N98" s="1675" t="n">
        <f aca="false">IF(AND($A98&gt;=N$16,MONTH($A98)=MONTH(N$16)),MAX(L98,M98)*N97,N97)</f>
        <v>1.16628704592773</v>
      </c>
      <c r="P98" s="1667" t="n">
        <f aca="false">HLOOKUP(P$14,Dec_Change,$K98)</f>
        <v>1.08333076659484</v>
      </c>
      <c r="Q98" s="1668" t="n">
        <f aca="false">Q97</f>
        <v>0</v>
      </c>
      <c r="R98" s="1675" t="n">
        <f aca="false">IF(AND($A98&gt;=R$16,MONTH($A98)=MONTH(R$16)),MAX(P98,Q98)*R97,R97)</f>
        <v>1.6755808839625</v>
      </c>
      <c r="T98" s="1667" t="n">
        <f aca="false">HLOOKUP(T$14,Dec_Change,$K98)</f>
        <v>1.0301154037814</v>
      </c>
      <c r="U98" s="1668" t="n">
        <f aca="false">U97</f>
        <v>1.005</v>
      </c>
      <c r="V98" s="1675" t="n">
        <f aca="false">IF(AND($A98&gt;=V$16,MONTH($A98)=MONTH(V$16)),MAX(T98,U98)*V97,V97)</f>
        <v>1.16628704592773</v>
      </c>
      <c r="X98" s="1667" t="n">
        <f aca="false">HLOOKUP(X$14,Dec_Change,$K98)</f>
        <v>1.0276154037814</v>
      </c>
      <c r="Y98" s="1668" t="n">
        <f aca="false">Y97</f>
        <v>1.02</v>
      </c>
      <c r="Z98" s="1675" t="n">
        <f aca="false">IF(AND($A98&gt;=Z$16,MONTH($A98)=MONTH(Z$16)),MAX(X98,Y98)*Z97,Z97)</f>
        <v>1.15858808250587</v>
      </c>
      <c r="AB98" s="1667" t="n">
        <f aca="false">HLOOKUP(AB$14,Dec_Change,$K98)</f>
        <v>1.0276154037814</v>
      </c>
      <c r="AC98" s="1668" t="n">
        <f aca="false">AC97</f>
        <v>1.02</v>
      </c>
      <c r="AD98" s="1675" t="n">
        <f aca="false">IF(AND($A98&gt;=AD$16,MONTH($A98)=MONTH(AD$16)),MAX(AB98,AC98)*AD97,AD97)</f>
        <v>1.15858808250587</v>
      </c>
      <c r="AF98" s="1667" t="n">
        <f aca="false">HLOOKUP(AF$14,Dec_Change,$K98)</f>
        <v>1.08333076659484</v>
      </c>
      <c r="AG98" s="1668" t="n">
        <f aca="false">AG97</f>
        <v>0</v>
      </c>
      <c r="AH98" s="1675" t="n">
        <f aca="false">IF(AND($A98&gt;=AH$16,MONTH($A98)=MONTH(AH$16)),MAX(AF98,AG98)*AH97,AH97)</f>
        <v>1.6755808839625</v>
      </c>
      <c r="AJ98" s="1667" t="n">
        <f aca="false">HLOOKUP(AJ$14,Dec_Change,$K98)</f>
        <v>1.0276154037814</v>
      </c>
      <c r="AK98" s="1668" t="n">
        <f aca="false">AK97</f>
        <v>1.02</v>
      </c>
      <c r="AL98" s="1675" t="n">
        <f aca="false">IF(AND($A98&gt;=AL$16,MONTH($A98)=MONTH(AL$16)),MAX(AJ98,AK98)*AL97,AL97)</f>
        <v>1.15858808250587</v>
      </c>
      <c r="AN98" s="1667" t="n">
        <f aca="false">HLOOKUP(AN$14,Dec_Change,$K98)</f>
        <v>1.0301154037814</v>
      </c>
      <c r="AO98" s="1668" t="n">
        <f aca="false">AO97</f>
        <v>1.005</v>
      </c>
      <c r="AP98" s="1675" t="n">
        <f aca="false">IF(AND($A98&gt;=AP$16,MONTH($A98)=MONTH(AP$16)),MAX(AN98,AO98)*AP97,AP97)</f>
        <v>1.16628704592773</v>
      </c>
      <c r="AR98" s="1670" t="n">
        <f aca="false">$A98</f>
        <v>37803</v>
      </c>
      <c r="AS98" s="1671" t="n">
        <f aca="false">IF(AND($A98&gt;=EDATE(AS$17,12),IF(Assm!$L$74=0,$D98,$E98)/AS97&gt;=1.05),IF(Assm!$L$74=0,$D98,$E98),AS97)</f>
        <v>2.15533798441706</v>
      </c>
      <c r="AT98" s="1671" t="n">
        <f aca="false">IF(AS98/AS97=1,AT97,AS98/AS97)</f>
        <v>1.05138438264247</v>
      </c>
      <c r="AU98" s="1671" t="n">
        <f aca="false">F98</f>
        <v>1.08333076659484</v>
      </c>
      <c r="AV98" s="1671" t="n">
        <f aca="false">MAX(AT98,AU98)</f>
        <v>1.08333076659484</v>
      </c>
      <c r="AW98" s="1675" t="n">
        <f aca="false">IF(AV98=AV97,AW97,AV98*AW97)</f>
        <v>2.08528457419664</v>
      </c>
    </row>
    <row r="99" customFormat="false" ht="12.75" hidden="false" customHeight="false" outlineLevel="0" collapsed="false">
      <c r="A99" s="1673" t="n">
        <f aca="false">EDATE(A98,1)</f>
        <v>37834</v>
      </c>
      <c r="B99" s="1659" t="n">
        <f aca="false">'[4]Monthly Curve Calc.'!B102</f>
        <v>240.345262187762</v>
      </c>
      <c r="C99" s="1660" t="n">
        <f aca="false">'[4]Monthly Curve Calc.'!C102</f>
        <v>188.655536372818</v>
      </c>
      <c r="D99" s="1661" t="n">
        <f aca="false">'[4]Monthly Curve Calc.'!F102</f>
        <v>2.17386714680281</v>
      </c>
      <c r="E99" s="1662" t="n">
        <f aca="false">IF($A99&lt;=E$16,D99,(B99/B98)/(C99/C98)*E98)</f>
        <v>1.55251963007964</v>
      </c>
      <c r="F99" s="1674" t="n">
        <f aca="false">IF(Assm!$L$75=0,F98,IF(AND($A99&gt;F$16,MONTH($A99)=MONTH(F$16)),B98/B86,F98))</f>
        <v>1.08333076659484</v>
      </c>
      <c r="G99" s="1668" t="n">
        <f aca="false">IF(Assm!$L$75=0,G98,IF(AND($A99&gt;G$16,MONTH($A99)=MONTH(G$16)),C98/C86,G98))</f>
        <v>1.0301154037814</v>
      </c>
      <c r="H99" s="1668" t="n">
        <f aca="false">IF(Assm!$L$75=0,H98,IF(AND($A99&gt;H$16,MONTH($A99)=MONTH(H$16)),C98/C86-H$18,H98))</f>
        <v>1.0276154037814</v>
      </c>
      <c r="I99" s="1668" t="n">
        <f aca="false">IF(Assm!$L$75=0,I98,IF($A99&gt;=I$16,IF(MONTH($A99)=MONTH(I$16),AVERAGE(D87:D98),I98),I98))</f>
        <v>2.06309705851596</v>
      </c>
      <c r="J99" s="1675" t="n">
        <f aca="false">IF(Assm!$L$75=0,J98,IF($A99&gt;=J$16,IF(MONTH($A99)=MONTH(J$16),AVERAGE(E87:E98),J98),J98))</f>
        <v>1.46871461442275</v>
      </c>
      <c r="K99" s="1624" t="n">
        <f aca="false">K98+1</f>
        <v>87</v>
      </c>
      <c r="L99" s="1667" t="n">
        <f aca="false">HLOOKUP(L$14,Dec_Change,$K99)</f>
        <v>1.0301154037814</v>
      </c>
      <c r="M99" s="1668" t="n">
        <f aca="false">M98</f>
        <v>0</v>
      </c>
      <c r="N99" s="1675" t="n">
        <f aca="false">IF(AND($A99&gt;=N$16,MONTH($A99)=MONTH(N$16)),MAX(L99,M99)*N98,N98)</f>
        <v>1.16628704592773</v>
      </c>
      <c r="P99" s="1667" t="n">
        <f aca="false">HLOOKUP(P$14,Dec_Change,$K99)</f>
        <v>1.08333076659484</v>
      </c>
      <c r="Q99" s="1668" t="n">
        <f aca="false">Q98</f>
        <v>0</v>
      </c>
      <c r="R99" s="1675" t="n">
        <f aca="false">IF(AND($A99&gt;=R$16,MONTH($A99)=MONTH(R$16)),MAX(P99,Q99)*R98,R98)</f>
        <v>1.6755808839625</v>
      </c>
      <c r="T99" s="1667" t="n">
        <f aca="false">HLOOKUP(T$14,Dec_Change,$K99)</f>
        <v>1.0301154037814</v>
      </c>
      <c r="U99" s="1668" t="n">
        <f aca="false">U98</f>
        <v>1.005</v>
      </c>
      <c r="V99" s="1675" t="n">
        <f aca="false">IF(AND($A99&gt;=V$16,MONTH($A99)=MONTH(V$16)),MAX(T99,U99)*V98,V98)</f>
        <v>1.16628704592773</v>
      </c>
      <c r="X99" s="1667" t="n">
        <f aca="false">HLOOKUP(X$14,Dec_Change,$K99)</f>
        <v>1.0276154037814</v>
      </c>
      <c r="Y99" s="1668" t="n">
        <f aca="false">Y98</f>
        <v>1.02</v>
      </c>
      <c r="Z99" s="1675" t="n">
        <f aca="false">IF(AND($A99&gt;=Z$16,MONTH($A99)=MONTH(Z$16)),MAX(X99,Y99)*Z98,Z98)</f>
        <v>1.15858808250587</v>
      </c>
      <c r="AB99" s="1667" t="n">
        <f aca="false">HLOOKUP(AB$14,Dec_Change,$K99)</f>
        <v>1.0276154037814</v>
      </c>
      <c r="AC99" s="1668" t="n">
        <f aca="false">AC98</f>
        <v>1.02</v>
      </c>
      <c r="AD99" s="1675" t="n">
        <f aca="false">IF(AND($A99&gt;=AD$16,MONTH($A99)=MONTH(AD$16)),MAX(AB99,AC99)*AD98,AD98)</f>
        <v>1.15858808250587</v>
      </c>
      <c r="AF99" s="1667" t="n">
        <f aca="false">HLOOKUP(AF$14,Dec_Change,$K99)</f>
        <v>1.08333076659484</v>
      </c>
      <c r="AG99" s="1668" t="n">
        <f aca="false">AG98</f>
        <v>0</v>
      </c>
      <c r="AH99" s="1675" t="n">
        <f aca="false">IF(AND($A99&gt;=AH$16,MONTH($A99)=MONTH(AH$16)),MAX(AF99,AG99)*AH98,AH98)</f>
        <v>1.6755808839625</v>
      </c>
      <c r="AJ99" s="1667" t="n">
        <f aca="false">HLOOKUP(AJ$14,Dec_Change,$K99)</f>
        <v>1.0276154037814</v>
      </c>
      <c r="AK99" s="1668" t="n">
        <f aca="false">AK98</f>
        <v>1.02</v>
      </c>
      <c r="AL99" s="1675" t="n">
        <f aca="false">IF(AND($A99&gt;=AL$16,MONTH($A99)=MONTH(AL$16)),MAX(AJ99,AK99)*AL98,AL98)</f>
        <v>1.15858808250587</v>
      </c>
      <c r="AN99" s="1667" t="n">
        <f aca="false">HLOOKUP(AN$14,Dec_Change,$K99)</f>
        <v>1.0301154037814</v>
      </c>
      <c r="AO99" s="1668" t="n">
        <f aca="false">AO98</f>
        <v>1.005</v>
      </c>
      <c r="AP99" s="1675" t="n">
        <f aca="false">IF(AND($A99&gt;=AP$16,MONTH($A99)=MONTH(AP$16)),MAX(AN99,AO99)*AP98,AP98)</f>
        <v>1.16628704592773</v>
      </c>
      <c r="AR99" s="1670" t="n">
        <f aca="false">$A99</f>
        <v>37834</v>
      </c>
      <c r="AS99" s="1671" t="n">
        <f aca="false">IF(AND($A99&gt;=EDATE(AS$17,12),IF(Assm!$L$74=0,$D99,$E99)/AS98&gt;=1.05),IF(Assm!$L$74=0,$D99,$E99),AS98)</f>
        <v>2.15533798441706</v>
      </c>
      <c r="AT99" s="1671" t="n">
        <f aca="false">IF(AS99/AS98=1,AT98,AS99/AS98)</f>
        <v>1.05138438264247</v>
      </c>
      <c r="AU99" s="1671" t="n">
        <f aca="false">F99</f>
        <v>1.08333076659484</v>
      </c>
      <c r="AV99" s="1671" t="n">
        <f aca="false">MAX(AT99,AU99)</f>
        <v>1.08333076659484</v>
      </c>
      <c r="AW99" s="1675" t="n">
        <f aca="false">IF(AV99=AV98,AW98,AV99*AW98)</f>
        <v>2.08528457419664</v>
      </c>
    </row>
    <row r="100" customFormat="false" ht="12.75" hidden="false" customHeight="false" outlineLevel="0" collapsed="false">
      <c r="A100" s="1673" t="n">
        <f aca="false">EDATE(A99,1)</f>
        <v>37865</v>
      </c>
      <c r="B100" s="1659" t="n">
        <f aca="false">'[4]Monthly Curve Calc.'!B103</f>
        <v>241.891650841475</v>
      </c>
      <c r="C100" s="1660" t="n">
        <f aca="false">'[4]Monthly Curve Calc.'!C103</f>
        <v>189.112376600935</v>
      </c>
      <c r="D100" s="1661" t="n">
        <f aca="false">'[4]Monthly Curve Calc.'!F103</f>
        <v>2.18007886528392</v>
      </c>
      <c r="E100" s="1662" t="n">
        <f aca="false">IF($A100&lt;=E$16,D100,(B100/B99)/(C100/C99)*E99)</f>
        <v>1.55873402406692</v>
      </c>
      <c r="F100" s="1674" t="n">
        <f aca="false">IF(Assm!$L$75=0,F99,IF(AND($A100&gt;F$16,MONTH($A100)=MONTH(F$16)),B99/B87,F99))</f>
        <v>1.08333076659484</v>
      </c>
      <c r="G100" s="1668" t="n">
        <f aca="false">IF(Assm!$L$75=0,G99,IF(AND($A100&gt;G$16,MONTH($A100)=MONTH(G$16)),C99/C87,G99))</f>
        <v>1.0301154037814</v>
      </c>
      <c r="H100" s="1668" t="n">
        <f aca="false">IF(Assm!$L$75=0,H99,IF(AND($A100&gt;H$16,MONTH($A100)=MONTH(H$16)),C99/C87-H$18,H99))</f>
        <v>1.0276154037814</v>
      </c>
      <c r="I100" s="1668" t="n">
        <f aca="false">IF(Assm!$L$75=0,I99,IF($A100&gt;=I$16,IF(MONTH($A100)=MONTH(I$16),AVERAGE(D88:D99),I99),I99))</f>
        <v>2.06309705851596</v>
      </c>
      <c r="J100" s="1675" t="n">
        <f aca="false">IF(Assm!$L$75=0,J99,IF($A100&gt;=J$16,IF(MONTH($A100)=MONTH(J$16),AVERAGE(E88:E99),J99),J99))</f>
        <v>1.46871461442275</v>
      </c>
      <c r="K100" s="1624" t="n">
        <f aca="false">K99+1</f>
        <v>88</v>
      </c>
      <c r="L100" s="1667" t="n">
        <f aca="false">HLOOKUP(L$14,Dec_Change,$K100)</f>
        <v>1.0301154037814</v>
      </c>
      <c r="M100" s="1668" t="n">
        <f aca="false">M99</f>
        <v>0</v>
      </c>
      <c r="N100" s="1675" t="n">
        <f aca="false">IF(AND($A100&gt;=N$16,MONTH($A100)=MONTH(N$16)),MAX(L100,M100)*N99,N99)</f>
        <v>1.16628704592773</v>
      </c>
      <c r="P100" s="1667" t="n">
        <f aca="false">HLOOKUP(P$14,Dec_Change,$K100)</f>
        <v>1.08333076659484</v>
      </c>
      <c r="Q100" s="1668" t="n">
        <f aca="false">Q99</f>
        <v>0</v>
      </c>
      <c r="R100" s="1675" t="n">
        <f aca="false">IF(AND($A100&gt;=R$16,MONTH($A100)=MONTH(R$16)),MAX(P100,Q100)*R99,R99)</f>
        <v>1.6755808839625</v>
      </c>
      <c r="T100" s="1667" t="n">
        <f aca="false">HLOOKUP(T$14,Dec_Change,$K100)</f>
        <v>1.0301154037814</v>
      </c>
      <c r="U100" s="1668" t="n">
        <f aca="false">U99</f>
        <v>1.005</v>
      </c>
      <c r="V100" s="1675" t="n">
        <f aca="false">IF(AND($A100&gt;=V$16,MONTH($A100)=MONTH(V$16)),MAX(T100,U100)*V99,V99)</f>
        <v>1.16628704592773</v>
      </c>
      <c r="X100" s="1667" t="n">
        <f aca="false">HLOOKUP(X$14,Dec_Change,$K100)</f>
        <v>1.0276154037814</v>
      </c>
      <c r="Y100" s="1668" t="n">
        <f aca="false">Y99</f>
        <v>1.02</v>
      </c>
      <c r="Z100" s="1675" t="n">
        <f aca="false">IF(AND($A100&gt;=Z$16,MONTH($A100)=MONTH(Z$16)),MAX(X100,Y100)*Z99,Z99)</f>
        <v>1.15858808250587</v>
      </c>
      <c r="AB100" s="1667" t="n">
        <f aca="false">HLOOKUP(AB$14,Dec_Change,$K100)</f>
        <v>1.0276154037814</v>
      </c>
      <c r="AC100" s="1668" t="n">
        <f aca="false">AC99</f>
        <v>1.02</v>
      </c>
      <c r="AD100" s="1675" t="n">
        <f aca="false">IF(AND($A100&gt;=AD$16,MONTH($A100)=MONTH(AD$16)),MAX(AB100,AC100)*AD99,AD99)</f>
        <v>1.15858808250587</v>
      </c>
      <c r="AF100" s="1667" t="n">
        <f aca="false">HLOOKUP(AF$14,Dec_Change,$K100)</f>
        <v>1.08333076659484</v>
      </c>
      <c r="AG100" s="1668" t="n">
        <f aca="false">AG99</f>
        <v>0</v>
      </c>
      <c r="AH100" s="1675" t="n">
        <f aca="false">IF(AND($A100&gt;=AH$16,MONTH($A100)=MONTH(AH$16)),MAX(AF100,AG100)*AH99,AH99)</f>
        <v>1.6755808839625</v>
      </c>
      <c r="AJ100" s="1667" t="n">
        <f aca="false">HLOOKUP(AJ$14,Dec_Change,$K100)</f>
        <v>1.0276154037814</v>
      </c>
      <c r="AK100" s="1668" t="n">
        <f aca="false">AK99</f>
        <v>1.02</v>
      </c>
      <c r="AL100" s="1675" t="n">
        <f aca="false">IF(AND($A100&gt;=AL$16,MONTH($A100)=MONTH(AL$16)),MAX(AJ100,AK100)*AL99,AL99)</f>
        <v>1.15858808250587</v>
      </c>
      <c r="AN100" s="1667" t="n">
        <f aca="false">HLOOKUP(AN$14,Dec_Change,$K100)</f>
        <v>1.0301154037814</v>
      </c>
      <c r="AO100" s="1668" t="n">
        <f aca="false">AO99</f>
        <v>1.005</v>
      </c>
      <c r="AP100" s="1675" t="n">
        <f aca="false">IF(AND($A100&gt;=AP$16,MONTH($A100)=MONTH(AP$16)),MAX(AN100,AO100)*AP99,AP99)</f>
        <v>1.16628704592773</v>
      </c>
      <c r="AR100" s="1670" t="n">
        <f aca="false">$A100</f>
        <v>37865</v>
      </c>
      <c r="AS100" s="1671" t="n">
        <f aca="false">IF(AND($A100&gt;=EDATE(AS$17,12),IF(Assm!$L$74=0,$D100,$E100)/AS99&gt;=1.05),IF(Assm!$L$74=0,$D100,$E100),AS99)</f>
        <v>2.15533798441706</v>
      </c>
      <c r="AT100" s="1671" t="n">
        <f aca="false">IF(AS100/AS99=1,AT99,AS100/AS99)</f>
        <v>1.05138438264247</v>
      </c>
      <c r="AU100" s="1671" t="n">
        <f aca="false">F100</f>
        <v>1.08333076659484</v>
      </c>
      <c r="AV100" s="1671" t="n">
        <f aca="false">MAX(AT100,AU100)</f>
        <v>1.08333076659484</v>
      </c>
      <c r="AW100" s="1675" t="n">
        <f aca="false">IF(AV100=AV99,AW99,AV100*AW99)</f>
        <v>2.08528457419664</v>
      </c>
    </row>
    <row r="101" customFormat="false" ht="12.75" hidden="false" customHeight="false" outlineLevel="0" collapsed="false">
      <c r="A101" s="1673" t="n">
        <f aca="false">EDATE(A100,1)</f>
        <v>37895</v>
      </c>
      <c r="B101" s="1659" t="n">
        <f aca="false">'[4]Monthly Curve Calc.'!B104</f>
        <v>243.447989006347</v>
      </c>
      <c r="C101" s="1660" t="n">
        <f aca="false">'[4]Monthly Curve Calc.'!C104</f>
        <v>189.570323093932</v>
      </c>
      <c r="D101" s="1661" t="n">
        <f aca="false">'[4]Monthly Curve Calc.'!F104</f>
        <v>2.18630833344516</v>
      </c>
      <c r="E101" s="1662" t="n">
        <f aca="false">IF($A101&lt;=E$16,D101,(B101/B100)/(C101/C100)*E100)</f>
        <v>1.564973292904</v>
      </c>
      <c r="F101" s="1674" t="n">
        <f aca="false">IF(Assm!$L$75=0,F100,IF(AND($A101&gt;F$16,MONTH($A101)=MONTH(F$16)),B100/B88,F100))</f>
        <v>1.08333076659484</v>
      </c>
      <c r="G101" s="1668" t="n">
        <f aca="false">IF(Assm!$L$75=0,G100,IF(AND($A101&gt;G$16,MONTH($A101)=MONTH(G$16)),C100/C88,G100))</f>
        <v>1.0301154037814</v>
      </c>
      <c r="H101" s="1668" t="n">
        <f aca="false">IF(Assm!$L$75=0,H100,IF(AND($A101&gt;H$16,MONTH($A101)=MONTH(H$16)),C100/C88-H$18,H100))</f>
        <v>1.0276154037814</v>
      </c>
      <c r="I101" s="1668" t="n">
        <f aca="false">IF(Assm!$L$75=0,I100,IF($A101&gt;=I$16,IF(MONTH($A101)=MONTH(I$16),AVERAGE(D89:D100),I100),I100))</f>
        <v>2.06309705851596</v>
      </c>
      <c r="J101" s="1675" t="n">
        <f aca="false">IF(Assm!$L$75=0,J100,IF($A101&gt;=J$16,IF(MONTH($A101)=MONTH(J$16),AVERAGE(E89:E100),J100),J100))</f>
        <v>1.46871461442275</v>
      </c>
      <c r="K101" s="1624" t="n">
        <f aca="false">K100+1</f>
        <v>89</v>
      </c>
      <c r="L101" s="1667" t="n">
        <f aca="false">HLOOKUP(L$14,Dec_Change,$K101)</f>
        <v>1.0301154037814</v>
      </c>
      <c r="M101" s="1668" t="n">
        <f aca="false">M100</f>
        <v>0</v>
      </c>
      <c r="N101" s="1675" t="n">
        <f aca="false">IF(AND($A101&gt;=N$16,MONTH($A101)=MONTH(N$16)),MAX(L101,M101)*N100,N100)</f>
        <v>1.16628704592773</v>
      </c>
      <c r="P101" s="1667" t="n">
        <f aca="false">HLOOKUP(P$14,Dec_Change,$K101)</f>
        <v>1.08333076659484</v>
      </c>
      <c r="Q101" s="1668" t="n">
        <f aca="false">Q100</f>
        <v>0</v>
      </c>
      <c r="R101" s="1675" t="n">
        <f aca="false">IF(AND($A101&gt;=R$16,MONTH($A101)=MONTH(R$16)),MAX(P101,Q101)*R100,R100)</f>
        <v>1.6755808839625</v>
      </c>
      <c r="T101" s="1667" t="n">
        <f aca="false">HLOOKUP(T$14,Dec_Change,$K101)</f>
        <v>1.0301154037814</v>
      </c>
      <c r="U101" s="1668" t="n">
        <f aca="false">U100</f>
        <v>1.005</v>
      </c>
      <c r="V101" s="1675" t="n">
        <f aca="false">IF(AND($A101&gt;=V$16,MONTH($A101)=MONTH(V$16)),MAX(T101,U101)*V100,V100)</f>
        <v>1.16628704592773</v>
      </c>
      <c r="X101" s="1667" t="n">
        <f aca="false">HLOOKUP(X$14,Dec_Change,$K101)</f>
        <v>1.0276154037814</v>
      </c>
      <c r="Y101" s="1668" t="n">
        <f aca="false">Y100</f>
        <v>1.02</v>
      </c>
      <c r="Z101" s="1675" t="n">
        <f aca="false">IF(AND($A101&gt;=Z$16,MONTH($A101)=MONTH(Z$16)),MAX(X101,Y101)*Z100,Z100)</f>
        <v>1.15858808250587</v>
      </c>
      <c r="AB101" s="1667" t="n">
        <f aca="false">HLOOKUP(AB$14,Dec_Change,$K101)</f>
        <v>1.0276154037814</v>
      </c>
      <c r="AC101" s="1668" t="n">
        <f aca="false">AC100</f>
        <v>1.02</v>
      </c>
      <c r="AD101" s="1675" t="n">
        <f aca="false">IF(AND($A101&gt;=AD$16,MONTH($A101)=MONTH(AD$16)),MAX(AB101,AC101)*AD100,AD100)</f>
        <v>1.15858808250587</v>
      </c>
      <c r="AF101" s="1667" t="n">
        <f aca="false">HLOOKUP(AF$14,Dec_Change,$K101)</f>
        <v>1.08333076659484</v>
      </c>
      <c r="AG101" s="1668" t="n">
        <f aca="false">AG100</f>
        <v>0</v>
      </c>
      <c r="AH101" s="1675" t="n">
        <f aca="false">IF(AND($A101&gt;=AH$16,MONTH($A101)=MONTH(AH$16)),MAX(AF101,AG101)*AH100,AH100)</f>
        <v>1.6755808839625</v>
      </c>
      <c r="AJ101" s="1667" t="n">
        <f aca="false">HLOOKUP(AJ$14,Dec_Change,$K101)</f>
        <v>1.0276154037814</v>
      </c>
      <c r="AK101" s="1668" t="n">
        <f aca="false">AK100</f>
        <v>1.02</v>
      </c>
      <c r="AL101" s="1675" t="n">
        <f aca="false">IF(AND($A101&gt;=AL$16,MONTH($A101)=MONTH(AL$16)),MAX(AJ101,AK101)*AL100,AL100)</f>
        <v>1.15858808250587</v>
      </c>
      <c r="AN101" s="1667" t="n">
        <f aca="false">HLOOKUP(AN$14,Dec_Change,$K101)</f>
        <v>1.0301154037814</v>
      </c>
      <c r="AO101" s="1668" t="n">
        <f aca="false">AO100</f>
        <v>1.005</v>
      </c>
      <c r="AP101" s="1675" t="n">
        <f aca="false">IF(AND($A101&gt;=AP$16,MONTH($A101)=MONTH(AP$16)),MAX(AN101,AO101)*AP100,AP100)</f>
        <v>1.16628704592773</v>
      </c>
      <c r="AR101" s="1670" t="n">
        <f aca="false">$A101</f>
        <v>37895</v>
      </c>
      <c r="AS101" s="1671" t="n">
        <f aca="false">IF(AND($A101&gt;=EDATE(AS$17,12),IF(Assm!$L$74=0,$D101,$E101)/AS100&gt;=1.05),IF(Assm!$L$74=0,$D101,$E101),AS100)</f>
        <v>2.15533798441706</v>
      </c>
      <c r="AT101" s="1671" t="n">
        <f aca="false">IF(AS101/AS100=1,AT100,AS101/AS100)</f>
        <v>1.05138438264247</v>
      </c>
      <c r="AU101" s="1671" t="n">
        <f aca="false">F101</f>
        <v>1.08333076659484</v>
      </c>
      <c r="AV101" s="1671" t="n">
        <f aca="false">MAX(AT101,AU101)</f>
        <v>1.08333076659484</v>
      </c>
      <c r="AW101" s="1675" t="n">
        <f aca="false">IF(AV101=AV100,AW100,AV101*AW100)</f>
        <v>2.08528457419664</v>
      </c>
    </row>
    <row r="102" customFormat="false" ht="12.75" hidden="false" customHeight="false" outlineLevel="0" collapsed="false">
      <c r="A102" s="1673" t="n">
        <f aca="false">EDATE(A101,1)</f>
        <v>37926</v>
      </c>
      <c r="B102" s="1659" t="n">
        <f aca="false">'[4]Monthly Curve Calc.'!B105</f>
        <v>245.014340697834</v>
      </c>
      <c r="C102" s="1660" t="n">
        <f aca="false">'[4]Monthly Curve Calc.'!C105</f>
        <v>190.02937853069</v>
      </c>
      <c r="D102" s="1661" t="n">
        <f aca="false">'[4]Monthly Curve Calc.'!F105</f>
        <v>2.19255560200536</v>
      </c>
      <c r="E102" s="1662" t="n">
        <f aca="false">IF($A102&lt;=E$16,D102,(B102/B101)/(C102/C101)*E101)</f>
        <v>1.57123753615945</v>
      </c>
      <c r="F102" s="1674" t="n">
        <f aca="false">IF(Assm!$L$75=0,F101,IF(AND($A102&gt;F$16,MONTH($A102)=MONTH(F$16)),B101/B89,F101))</f>
        <v>1.08333076659484</v>
      </c>
      <c r="G102" s="1668" t="n">
        <f aca="false">IF(Assm!$L$75=0,G101,IF(AND($A102&gt;G$16,MONTH($A102)=MONTH(G$16)),C101/C89,G101))</f>
        <v>1.0301154037814</v>
      </c>
      <c r="H102" s="1668" t="n">
        <f aca="false">IF(Assm!$L$75=0,H101,IF(AND($A102&gt;H$16,MONTH($A102)=MONTH(H$16)),C101/C89-H$18,H101))</f>
        <v>1.0276154037814</v>
      </c>
      <c r="I102" s="1668" t="n">
        <f aca="false">IF(Assm!$L$75=0,I101,IF($A102&gt;=I$16,IF(MONTH($A102)=MONTH(I$16),AVERAGE(D90:D101),I101),I101))</f>
        <v>2.06309705851596</v>
      </c>
      <c r="J102" s="1675" t="n">
        <f aca="false">IF(Assm!$L$75=0,J101,IF($A102&gt;=J$16,IF(MONTH($A102)=MONTH(J$16),AVERAGE(E90:E101),J101),J101))</f>
        <v>1.46871461442275</v>
      </c>
      <c r="K102" s="1624" t="n">
        <f aca="false">K101+1</f>
        <v>90</v>
      </c>
      <c r="L102" s="1667" t="n">
        <f aca="false">HLOOKUP(L$14,Dec_Change,$K102)</f>
        <v>1.0301154037814</v>
      </c>
      <c r="M102" s="1668" t="n">
        <f aca="false">M101</f>
        <v>0</v>
      </c>
      <c r="N102" s="1675" t="n">
        <f aca="false">IF(AND($A102&gt;=N$16,MONTH($A102)=MONTH(N$16)),MAX(L102,M102)*N101,N101)</f>
        <v>1.16628704592773</v>
      </c>
      <c r="P102" s="1667" t="n">
        <f aca="false">HLOOKUP(P$14,Dec_Change,$K102)</f>
        <v>1.08333076659484</v>
      </c>
      <c r="Q102" s="1668" t="n">
        <f aca="false">Q101</f>
        <v>0</v>
      </c>
      <c r="R102" s="1675" t="n">
        <f aca="false">IF(AND($A102&gt;=R$16,MONTH($A102)=MONTH(R$16)),MAX(P102,Q102)*R101,R101)</f>
        <v>1.6755808839625</v>
      </c>
      <c r="T102" s="1667" t="n">
        <f aca="false">HLOOKUP(T$14,Dec_Change,$K102)</f>
        <v>1.0301154037814</v>
      </c>
      <c r="U102" s="1668" t="n">
        <f aca="false">U101</f>
        <v>1.005</v>
      </c>
      <c r="V102" s="1675" t="n">
        <f aca="false">IF(AND($A102&gt;=V$16,MONTH($A102)=MONTH(V$16)),MAX(T102,U102)*V101,V101)</f>
        <v>1.16628704592773</v>
      </c>
      <c r="X102" s="1667" t="n">
        <f aca="false">HLOOKUP(X$14,Dec_Change,$K102)</f>
        <v>1.0276154037814</v>
      </c>
      <c r="Y102" s="1668" t="n">
        <f aca="false">Y101</f>
        <v>1.02</v>
      </c>
      <c r="Z102" s="1675" t="n">
        <f aca="false">IF(AND($A102&gt;=Z$16,MONTH($A102)=MONTH(Z$16)),MAX(X102,Y102)*Z101,Z101)</f>
        <v>1.15858808250587</v>
      </c>
      <c r="AB102" s="1667" t="n">
        <f aca="false">HLOOKUP(AB$14,Dec_Change,$K102)</f>
        <v>1.0276154037814</v>
      </c>
      <c r="AC102" s="1668" t="n">
        <f aca="false">AC101</f>
        <v>1.02</v>
      </c>
      <c r="AD102" s="1675" t="n">
        <f aca="false">IF(AND($A102&gt;=AD$16,MONTH($A102)=MONTH(AD$16)),MAX(AB102,AC102)*AD101,AD101)</f>
        <v>1.15858808250587</v>
      </c>
      <c r="AF102" s="1667" t="n">
        <f aca="false">HLOOKUP(AF$14,Dec_Change,$K102)</f>
        <v>1.08333076659484</v>
      </c>
      <c r="AG102" s="1668" t="n">
        <f aca="false">AG101</f>
        <v>0</v>
      </c>
      <c r="AH102" s="1675" t="n">
        <f aca="false">IF(AND($A102&gt;=AH$16,MONTH($A102)=MONTH(AH$16)),MAX(AF102,AG102)*AH101,AH101)</f>
        <v>1.6755808839625</v>
      </c>
      <c r="AJ102" s="1667" t="n">
        <f aca="false">HLOOKUP(AJ$14,Dec_Change,$K102)</f>
        <v>1.0276154037814</v>
      </c>
      <c r="AK102" s="1668" t="n">
        <f aca="false">AK101</f>
        <v>1.02</v>
      </c>
      <c r="AL102" s="1675" t="n">
        <f aca="false">IF(AND($A102&gt;=AL$16,MONTH($A102)=MONTH(AL$16)),MAX(AJ102,AK102)*AL101,AL101)</f>
        <v>1.15858808250587</v>
      </c>
      <c r="AN102" s="1667" t="n">
        <f aca="false">HLOOKUP(AN$14,Dec_Change,$K102)</f>
        <v>1.0301154037814</v>
      </c>
      <c r="AO102" s="1668" t="n">
        <f aca="false">AO101</f>
        <v>1.005</v>
      </c>
      <c r="AP102" s="1675" t="n">
        <f aca="false">IF(AND($A102&gt;=AP$16,MONTH($A102)=MONTH(AP$16)),MAX(AN102,AO102)*AP101,AP101)</f>
        <v>1.16628704592773</v>
      </c>
      <c r="AR102" s="1670" t="n">
        <f aca="false">$A102</f>
        <v>37926</v>
      </c>
      <c r="AS102" s="1671" t="n">
        <f aca="false">IF(AND($A102&gt;=EDATE(AS$17,12),IF(Assm!$L$74=0,$D102,$E102)/AS101&gt;=1.05),IF(Assm!$L$74=0,$D102,$E102),AS101)</f>
        <v>2.15533798441706</v>
      </c>
      <c r="AT102" s="1671" t="n">
        <f aca="false">IF(AS102/AS101=1,AT101,AS102/AS101)</f>
        <v>1.05138438264247</v>
      </c>
      <c r="AU102" s="1671" t="n">
        <f aca="false">F102</f>
        <v>1.08333076659484</v>
      </c>
      <c r="AV102" s="1671" t="n">
        <f aca="false">MAX(AT102,AU102)</f>
        <v>1.08333076659484</v>
      </c>
      <c r="AW102" s="1675" t="n">
        <f aca="false">IF(AV102=AV101,AW101,AV102*AW101)</f>
        <v>2.08528457419664</v>
      </c>
    </row>
    <row r="103" customFormat="false" ht="12.75" hidden="false" customHeight="false" outlineLevel="0" collapsed="false">
      <c r="A103" s="1673" t="n">
        <f aca="false">EDATE(A102,1)</f>
        <v>37956</v>
      </c>
      <c r="B103" s="1659" t="n">
        <f aca="false">'[4]Monthly Curve Calc.'!B106</f>
        <v>246.590770343266</v>
      </c>
      <c r="C103" s="1660" t="n">
        <f aca="false">'[4]Monthly Curve Calc.'!C106</f>
        <v>190.489545596583</v>
      </c>
      <c r="D103" s="1661" t="n">
        <f aca="false">'[4]Monthly Curve Calc.'!F106</f>
        <v>2.19882072182829</v>
      </c>
      <c r="E103" s="1662" t="n">
        <f aca="false">IF($A103&lt;=E$16,D103,(B103/B102)/(C103/C102)*E102)</f>
        <v>1.57752685380034</v>
      </c>
      <c r="F103" s="1674" t="n">
        <f aca="false">IF(Assm!$L$75=0,F102,IF(AND($A103&gt;F$16,MONTH($A103)=MONTH(F$16)),B102/B90,F102))</f>
        <v>1.08333076659484</v>
      </c>
      <c r="G103" s="1668" t="n">
        <f aca="false">IF(Assm!$L$75=0,G102,IF(AND($A103&gt;G$16,MONTH($A103)=MONTH(G$16)),C102/C90,G102))</f>
        <v>1.0301154037814</v>
      </c>
      <c r="H103" s="1668" t="n">
        <f aca="false">IF(Assm!$L$75=0,H102,IF(AND($A103&gt;H$16,MONTH($A103)=MONTH(H$16)),C102/C90-H$18,H102))</f>
        <v>1.0276154037814</v>
      </c>
      <c r="I103" s="1668" t="n">
        <f aca="false">IF(Assm!$L$75=0,I102,IF($A103&gt;=I$16,IF(MONTH($A103)=MONTH(I$16),AVERAGE(D91:D102),I102),I102))</f>
        <v>2.06309705851596</v>
      </c>
      <c r="J103" s="1675" t="n">
        <f aca="false">IF(Assm!$L$75=0,J102,IF($A103&gt;=J$16,IF(MONTH($A103)=MONTH(J$16),AVERAGE(E91:E102),J102),J102))</f>
        <v>1.46871461442275</v>
      </c>
      <c r="K103" s="1624" t="n">
        <f aca="false">K102+1</f>
        <v>91</v>
      </c>
      <c r="L103" s="1667" t="n">
        <f aca="false">HLOOKUP(L$14,Dec_Change,$K103)</f>
        <v>1.0301154037814</v>
      </c>
      <c r="M103" s="1668" t="n">
        <f aca="false">M102</f>
        <v>0</v>
      </c>
      <c r="N103" s="1675" t="n">
        <f aca="false">IF(AND($A103&gt;=N$16,MONTH($A103)=MONTH(N$16)),MAX(L103,M103)*N102,N102)</f>
        <v>1.16628704592773</v>
      </c>
      <c r="P103" s="1667" t="n">
        <f aca="false">HLOOKUP(P$14,Dec_Change,$K103)</f>
        <v>1.08333076659484</v>
      </c>
      <c r="Q103" s="1668" t="n">
        <f aca="false">Q102</f>
        <v>0</v>
      </c>
      <c r="R103" s="1675" t="n">
        <f aca="false">IF(AND($A103&gt;=R$16,MONTH($A103)=MONTH(R$16)),MAX(P103,Q103)*R102,R102)</f>
        <v>1.6755808839625</v>
      </c>
      <c r="T103" s="1667" t="n">
        <f aca="false">HLOOKUP(T$14,Dec_Change,$K103)</f>
        <v>1.0301154037814</v>
      </c>
      <c r="U103" s="1668" t="n">
        <f aca="false">U102</f>
        <v>1.005</v>
      </c>
      <c r="V103" s="1675" t="n">
        <f aca="false">IF(AND($A103&gt;=V$16,MONTH($A103)=MONTH(V$16)),MAX(T103,U103)*V102,V102)</f>
        <v>1.16628704592773</v>
      </c>
      <c r="X103" s="1667" t="n">
        <f aca="false">HLOOKUP(X$14,Dec_Change,$K103)</f>
        <v>1.0276154037814</v>
      </c>
      <c r="Y103" s="1668" t="n">
        <f aca="false">Y102</f>
        <v>1.02</v>
      </c>
      <c r="Z103" s="1675" t="n">
        <f aca="false">IF(AND($A103&gt;=Z$16,MONTH($A103)=MONTH(Z$16)),MAX(X103,Y103)*Z102,Z102)</f>
        <v>1.15858808250587</v>
      </c>
      <c r="AB103" s="1667" t="n">
        <f aca="false">HLOOKUP(AB$14,Dec_Change,$K103)</f>
        <v>1.0276154037814</v>
      </c>
      <c r="AC103" s="1668" t="n">
        <f aca="false">AC102</f>
        <v>1.02</v>
      </c>
      <c r="AD103" s="1675" t="n">
        <f aca="false">IF(AND($A103&gt;=AD$16,MONTH($A103)=MONTH(AD$16)),MAX(AB103,AC103)*AD102,AD102)</f>
        <v>1.15858808250587</v>
      </c>
      <c r="AF103" s="1667" t="n">
        <f aca="false">HLOOKUP(AF$14,Dec_Change,$K103)</f>
        <v>1.08333076659484</v>
      </c>
      <c r="AG103" s="1668" t="n">
        <f aca="false">AG102</f>
        <v>0</v>
      </c>
      <c r="AH103" s="1675" t="n">
        <f aca="false">IF(AND($A103&gt;=AH$16,MONTH($A103)=MONTH(AH$16)),MAX(AF103,AG103)*AH102,AH102)</f>
        <v>1.6755808839625</v>
      </c>
      <c r="AJ103" s="1667" t="n">
        <f aca="false">HLOOKUP(AJ$14,Dec_Change,$K103)</f>
        <v>1.0276154037814</v>
      </c>
      <c r="AK103" s="1668" t="n">
        <f aca="false">AK102</f>
        <v>1.02</v>
      </c>
      <c r="AL103" s="1675" t="n">
        <f aca="false">IF(AND($A103&gt;=AL$16,MONTH($A103)=MONTH(AL$16)),MAX(AJ103,AK103)*AL102,AL102)</f>
        <v>1.15858808250587</v>
      </c>
      <c r="AN103" s="1667" t="n">
        <f aca="false">HLOOKUP(AN$14,Dec_Change,$K103)</f>
        <v>1.0301154037814</v>
      </c>
      <c r="AO103" s="1668" t="n">
        <f aca="false">AO102</f>
        <v>1.005</v>
      </c>
      <c r="AP103" s="1675" t="n">
        <f aca="false">IF(AND($A103&gt;=AP$16,MONTH($A103)=MONTH(AP$16)),MAX(AN103,AO103)*AP102,AP102)</f>
        <v>1.16628704592773</v>
      </c>
      <c r="AR103" s="1670" t="n">
        <f aca="false">$A103</f>
        <v>37956</v>
      </c>
      <c r="AS103" s="1671" t="n">
        <f aca="false">IF(AND($A103&gt;=EDATE(AS$17,12),IF(Assm!$L$74=0,$D103,$E103)/AS102&gt;=1.05),IF(Assm!$L$74=0,$D103,$E103),AS102)</f>
        <v>2.15533798441706</v>
      </c>
      <c r="AT103" s="1671" t="n">
        <f aca="false">IF(AS103/AS102=1,AT102,AS103/AS102)</f>
        <v>1.05138438264247</v>
      </c>
      <c r="AU103" s="1671" t="n">
        <f aca="false">F103</f>
        <v>1.08333076659484</v>
      </c>
      <c r="AV103" s="1671" t="n">
        <f aca="false">MAX(AT103,AU103)</f>
        <v>1.08333076659484</v>
      </c>
      <c r="AW103" s="1675" t="n">
        <f aca="false">IF(AV103=AV102,AW102,AV103*AW102)</f>
        <v>2.08528457419664</v>
      </c>
    </row>
    <row r="104" customFormat="false" ht="12.75" hidden="false" customHeight="false" outlineLevel="0" collapsed="false">
      <c r="A104" s="1673" t="n">
        <f aca="false">EDATE(A103,1)</f>
        <v>37987</v>
      </c>
      <c r="B104" s="1659" t="n">
        <f aca="false">'[4]Monthly Curve Calc.'!B107</f>
        <v>248.177342784504</v>
      </c>
      <c r="C104" s="1660" t="n">
        <f aca="false">'[4]Monthly Curve Calc.'!C107</f>
        <v>190.939552895467</v>
      </c>
      <c r="D104" s="1661" t="n">
        <f aca="false">'[4]Monthly Curve Calc.'!F107</f>
        <v>2.20450306493358</v>
      </c>
      <c r="E104" s="1662" t="n">
        <f aca="false">IF($A104&lt;=E$16,D104,(B104/B103)/(C104/C103)*E103)</f>
        <v>1.58393486462145</v>
      </c>
      <c r="F104" s="1674" t="n">
        <f aca="false">IF(Assm!$L$75=0,F103,IF(AND($A104&gt;F$16,MONTH($A104)=MONTH(F$16)),B103/B91,F103))</f>
        <v>1.08333076659484</v>
      </c>
      <c r="G104" s="1668" t="n">
        <f aca="false">IF(Assm!$L$75=0,G103,IF(AND($A104&gt;G$16,MONTH($A104)=MONTH(G$16)),C103/C91,G103))</f>
        <v>1.0301154037814</v>
      </c>
      <c r="H104" s="1668" t="n">
        <f aca="false">IF(Assm!$L$75=0,H103,IF(AND($A104&gt;H$16,MONTH($A104)=MONTH(H$16)),C103/C91-H$18,H103))</f>
        <v>1.0276154037814</v>
      </c>
      <c r="I104" s="1668" t="n">
        <f aca="false">IF(Assm!$L$75=0,I103,IF($A104&gt;=I$16,IF(MONTH($A104)=MONTH(I$16),AVERAGE(D92:D103),I103),I103))</f>
        <v>2.16468774735532</v>
      </c>
      <c r="J104" s="1675" t="n">
        <f aca="false">IF(Assm!$L$75=0,J103,IF($A104&gt;=J$16,IF(MONTH($A104)=MONTH(J$16),AVERAGE(E92:E103),J103),J103))</f>
        <v>1.54339120638181</v>
      </c>
      <c r="K104" s="1624" t="n">
        <f aca="false">K103+1</f>
        <v>92</v>
      </c>
      <c r="L104" s="1667" t="n">
        <f aca="false">HLOOKUP(L$14,Dec_Change,$K104)</f>
        <v>1.0301154037814</v>
      </c>
      <c r="M104" s="1668" t="n">
        <f aca="false">M103</f>
        <v>0</v>
      </c>
      <c r="N104" s="1675" t="n">
        <f aca="false">IF(AND($A104&gt;=N$16,MONTH($A104)=MONTH(N$16)),MAX(L104,M104)*N103,N103)</f>
        <v>1.16628704592773</v>
      </c>
      <c r="P104" s="1667" t="n">
        <f aca="false">HLOOKUP(P$14,Dec_Change,$K104)</f>
        <v>1.08333076659484</v>
      </c>
      <c r="Q104" s="1668" t="n">
        <f aca="false">Q103</f>
        <v>0</v>
      </c>
      <c r="R104" s="1675" t="n">
        <f aca="false">IF(AND($A104&gt;=R$16,MONTH($A104)=MONTH(R$16)),MAX(P104,Q104)*R103,R103)</f>
        <v>1.6755808839625</v>
      </c>
      <c r="T104" s="1667" t="n">
        <f aca="false">HLOOKUP(T$14,Dec_Change,$K104)</f>
        <v>1.0301154037814</v>
      </c>
      <c r="U104" s="1668" t="n">
        <f aca="false">U103</f>
        <v>1.005</v>
      </c>
      <c r="V104" s="1675" t="n">
        <f aca="false">IF(AND($A104&gt;=V$16,MONTH($A104)=MONTH(V$16)),MAX(T104,U104)*V103,V103)</f>
        <v>1.16628704592773</v>
      </c>
      <c r="X104" s="1667" t="n">
        <f aca="false">HLOOKUP(X$14,Dec_Change,$K104)</f>
        <v>1.0276154037814</v>
      </c>
      <c r="Y104" s="1668" t="n">
        <f aca="false">Y103</f>
        <v>1.02</v>
      </c>
      <c r="Z104" s="1675" t="n">
        <f aca="false">IF(AND($A104&gt;=Z$16,MONTH($A104)=MONTH(Z$16)),MAX(X104,Y104)*Z103,Z103)</f>
        <v>1.15858808250587</v>
      </c>
      <c r="AB104" s="1667" t="n">
        <f aca="false">HLOOKUP(AB$14,Dec_Change,$K104)</f>
        <v>1.0276154037814</v>
      </c>
      <c r="AC104" s="1668" t="n">
        <f aca="false">AC103</f>
        <v>1.02</v>
      </c>
      <c r="AD104" s="1675" t="n">
        <f aca="false">IF(AND($A104&gt;=AD$16,MONTH($A104)=MONTH(AD$16)),MAX(AB104,AC104)*AD103,AD103)</f>
        <v>1.15858808250587</v>
      </c>
      <c r="AF104" s="1667" t="n">
        <f aca="false">HLOOKUP(AF$14,Dec_Change,$K104)</f>
        <v>1.08333076659484</v>
      </c>
      <c r="AG104" s="1668" t="n">
        <f aca="false">AG103</f>
        <v>0</v>
      </c>
      <c r="AH104" s="1675" t="n">
        <f aca="false">IF(AND($A104&gt;=AH$16,MONTH($A104)=MONTH(AH$16)),MAX(AF104,AG104)*AH103,AH103)</f>
        <v>1.6755808839625</v>
      </c>
      <c r="AJ104" s="1667" t="n">
        <f aca="false">HLOOKUP(AJ$14,Dec_Change,$K104)</f>
        <v>1.0276154037814</v>
      </c>
      <c r="AK104" s="1668" t="n">
        <f aca="false">AK103</f>
        <v>1.02</v>
      </c>
      <c r="AL104" s="1675" t="n">
        <f aca="false">IF(AND($A104&gt;=AL$16,MONTH($A104)=MONTH(AL$16)),MAX(AJ104,AK104)*AL103,AL103)</f>
        <v>1.15858808250587</v>
      </c>
      <c r="AN104" s="1667" t="n">
        <f aca="false">HLOOKUP(AN$14,Dec_Change,$K104)</f>
        <v>1.0301154037814</v>
      </c>
      <c r="AO104" s="1668" t="n">
        <f aca="false">AO103</f>
        <v>1.005</v>
      </c>
      <c r="AP104" s="1675" t="n">
        <f aca="false">IF(AND($A104&gt;=AP$16,MONTH($A104)=MONTH(AP$16)),MAX(AN104,AO104)*AP103,AP103)</f>
        <v>1.16628704592773</v>
      </c>
      <c r="AR104" s="1670" t="n">
        <f aca="false">$A104</f>
        <v>37987</v>
      </c>
      <c r="AS104" s="1671" t="n">
        <f aca="false">IF(AND($A104&gt;=EDATE(AS$17,12),IF(Assm!$L$74=0,$D104,$E104)/AS103&gt;=1.05),IF(Assm!$L$74=0,$D104,$E104),AS103)</f>
        <v>2.15533798441706</v>
      </c>
      <c r="AT104" s="1671" t="n">
        <f aca="false">IF(AS104/AS103=1,AT103,AS104/AS103)</f>
        <v>1.05138438264247</v>
      </c>
      <c r="AU104" s="1671" t="n">
        <f aca="false">F104</f>
        <v>1.08333076659484</v>
      </c>
      <c r="AV104" s="1671" t="n">
        <f aca="false">MAX(AT104,AU104)</f>
        <v>1.08333076659484</v>
      </c>
      <c r="AW104" s="1675" t="n">
        <f aca="false">IF(AV104=AV103,AW103,AV104*AW103)</f>
        <v>2.08528457419664</v>
      </c>
    </row>
    <row r="105" customFormat="false" ht="12.75" hidden="false" customHeight="false" outlineLevel="0" collapsed="false">
      <c r="A105" s="1673" t="n">
        <f aca="false">EDATE(A104,1)</f>
        <v>38018</v>
      </c>
      <c r="B105" s="1659" t="n">
        <f aca="false">'[4]Monthly Curve Calc.'!B108</f>
        <v>249.7741232806</v>
      </c>
      <c r="C105" s="1660" t="n">
        <f aca="false">'[4]Monthly Curve Calc.'!C108</f>
        <v>191.3906232793</v>
      </c>
      <c r="D105" s="1661" t="n">
        <f aca="false">'[4]Monthly Curve Calc.'!F108</f>
        <v>2.21020009273911</v>
      </c>
      <c r="E105" s="1662" t="n">
        <f aca="false">IF($A105&lt;=E$16,D105,(B105/B104)/(C105/C104)*E104)</f>
        <v>1.59036890517548</v>
      </c>
      <c r="F105" s="1674" t="n">
        <f aca="false">IF(Assm!$L$75=0,F104,IF(AND($A105&gt;F$16,MONTH($A105)=MONTH(F$16)),B104/B92,F104))</f>
        <v>1.08333076659484</v>
      </c>
      <c r="G105" s="1668" t="n">
        <f aca="false">IF(Assm!$L$75=0,G104,IF(AND($A105&gt;G$16,MONTH($A105)=MONTH(G$16)),C104/C92,G104))</f>
        <v>1.0301154037814</v>
      </c>
      <c r="H105" s="1668" t="n">
        <f aca="false">IF(Assm!$L$75=0,H104,IF(AND($A105&gt;H$16,MONTH($A105)=MONTH(H$16)),C104/C92-H$18,H104))</f>
        <v>1.0276154037814</v>
      </c>
      <c r="I105" s="1668" t="n">
        <f aca="false">IF(Assm!$L$75=0,I104,IF($A105&gt;=I$16,IF(MONTH($A105)=MONTH(I$16),AVERAGE(D93:D104),I104),I104))</f>
        <v>2.16468774735532</v>
      </c>
      <c r="J105" s="1675" t="n">
        <f aca="false">IF(Assm!$L$75=0,J104,IF($A105&gt;=J$16,IF(MONTH($A105)=MONTH(J$16),AVERAGE(E93:E104),J104),J104))</f>
        <v>1.54339120638181</v>
      </c>
      <c r="K105" s="1624" t="n">
        <f aca="false">K104+1</f>
        <v>93</v>
      </c>
      <c r="L105" s="1667" t="n">
        <f aca="false">HLOOKUP(L$14,Dec_Change,$K105)</f>
        <v>1.0301154037814</v>
      </c>
      <c r="M105" s="1668" t="n">
        <f aca="false">M104</f>
        <v>0</v>
      </c>
      <c r="N105" s="1675" t="n">
        <f aca="false">IF(AND($A105&gt;=N$16,MONTH($A105)=MONTH(N$16)),MAX(L105,M105)*N104,N104)</f>
        <v>1.16628704592773</v>
      </c>
      <c r="P105" s="1667" t="n">
        <f aca="false">HLOOKUP(P$14,Dec_Change,$K105)</f>
        <v>1.08333076659484</v>
      </c>
      <c r="Q105" s="1668" t="n">
        <f aca="false">Q104</f>
        <v>0</v>
      </c>
      <c r="R105" s="1675" t="n">
        <f aca="false">IF(AND($A105&gt;=R$16,MONTH($A105)=MONTH(R$16)),MAX(P105,Q105)*R104,R104)</f>
        <v>1.6755808839625</v>
      </c>
      <c r="T105" s="1667" t="n">
        <f aca="false">HLOOKUP(T$14,Dec_Change,$K105)</f>
        <v>1.0301154037814</v>
      </c>
      <c r="U105" s="1668" t="n">
        <f aca="false">U104</f>
        <v>1.005</v>
      </c>
      <c r="V105" s="1675" t="n">
        <f aca="false">IF(AND($A105&gt;=V$16,MONTH($A105)=MONTH(V$16)),MAX(T105,U105)*V104,V104)</f>
        <v>1.16628704592773</v>
      </c>
      <c r="X105" s="1667" t="n">
        <f aca="false">HLOOKUP(X$14,Dec_Change,$K105)</f>
        <v>1.0276154037814</v>
      </c>
      <c r="Y105" s="1668" t="n">
        <f aca="false">Y104</f>
        <v>1.02</v>
      </c>
      <c r="Z105" s="1675" t="n">
        <f aca="false">IF(AND($A105&gt;=Z$16,MONTH($A105)=MONTH(Z$16)),MAX(X105,Y105)*Z104,Z104)</f>
        <v>1.15858808250587</v>
      </c>
      <c r="AB105" s="1667" t="n">
        <f aca="false">HLOOKUP(AB$14,Dec_Change,$K105)</f>
        <v>1.0276154037814</v>
      </c>
      <c r="AC105" s="1668" t="n">
        <f aca="false">AC104</f>
        <v>1.02</v>
      </c>
      <c r="AD105" s="1675" t="n">
        <f aca="false">IF(AND($A105&gt;=AD$16,MONTH($A105)=MONTH(AD$16)),MAX(AB105,AC105)*AD104,AD104)</f>
        <v>1.15858808250587</v>
      </c>
      <c r="AF105" s="1667" t="n">
        <f aca="false">HLOOKUP(AF$14,Dec_Change,$K105)</f>
        <v>1.08333076659484</v>
      </c>
      <c r="AG105" s="1668" t="n">
        <f aca="false">AG104</f>
        <v>0</v>
      </c>
      <c r="AH105" s="1675" t="n">
        <f aca="false">IF(AND($A105&gt;=AH$16,MONTH($A105)=MONTH(AH$16)),MAX(AF105,AG105)*AH104,AH104)</f>
        <v>1.6755808839625</v>
      </c>
      <c r="AJ105" s="1667" t="n">
        <f aca="false">HLOOKUP(AJ$14,Dec_Change,$K105)</f>
        <v>1.0276154037814</v>
      </c>
      <c r="AK105" s="1668" t="n">
        <f aca="false">AK104</f>
        <v>1.02</v>
      </c>
      <c r="AL105" s="1675" t="n">
        <f aca="false">IF(AND($A105&gt;=AL$16,MONTH($A105)=MONTH(AL$16)),MAX(AJ105,AK105)*AL104,AL104)</f>
        <v>1.15858808250587</v>
      </c>
      <c r="AN105" s="1667" t="n">
        <f aca="false">HLOOKUP(AN$14,Dec_Change,$K105)</f>
        <v>1.0301154037814</v>
      </c>
      <c r="AO105" s="1668" t="n">
        <f aca="false">AO104</f>
        <v>1.005</v>
      </c>
      <c r="AP105" s="1675" t="n">
        <f aca="false">IF(AND($A105&gt;=AP$16,MONTH($A105)=MONTH(AP$16)),MAX(AN105,AO105)*AP104,AP104)</f>
        <v>1.16628704592773</v>
      </c>
      <c r="AR105" s="1670" t="n">
        <f aca="false">$A105</f>
        <v>38018</v>
      </c>
      <c r="AS105" s="1671" t="n">
        <f aca="false">IF(AND($A105&gt;=EDATE(AS$17,12),IF(Assm!$L$74=0,$D105,$E105)/AS104&gt;=1.05),IF(Assm!$L$74=0,$D105,$E105),AS104)</f>
        <v>2.15533798441706</v>
      </c>
      <c r="AT105" s="1671" t="n">
        <f aca="false">IF(AS105/AS104=1,AT104,AS105/AS104)</f>
        <v>1.05138438264247</v>
      </c>
      <c r="AU105" s="1671" t="n">
        <f aca="false">F105</f>
        <v>1.08333076659484</v>
      </c>
      <c r="AV105" s="1671" t="n">
        <f aca="false">MAX(AT105,AU105)</f>
        <v>1.08333076659484</v>
      </c>
      <c r="AW105" s="1675" t="n">
        <f aca="false">IF(AV105=AV104,AW104,AV105*AW104)</f>
        <v>2.08528457419664</v>
      </c>
    </row>
    <row r="106" customFormat="false" ht="12.75" hidden="false" customHeight="false" outlineLevel="0" collapsed="false">
      <c r="A106" s="1673" t="n">
        <f aca="false">EDATE(A105,1)</f>
        <v>38047</v>
      </c>
      <c r="B106" s="1659" t="n">
        <f aca="false">'[4]Monthly Curve Calc.'!B109</f>
        <v>251.381177510487</v>
      </c>
      <c r="C106" s="1660" t="n">
        <f aca="false">'[4]Monthly Curve Calc.'!C109</f>
        <v>191.842759259487</v>
      </c>
      <c r="D106" s="1661" t="n">
        <f aca="false">'[4]Monthly Curve Calc.'!F109</f>
        <v>2.21591184319408</v>
      </c>
      <c r="E106" s="1662" t="n">
        <f aca="false">IF($A106&lt;=E$16,D106,(B106/B105)/(C106/C105)*E105)</f>
        <v>1.59682908119681</v>
      </c>
      <c r="F106" s="1674" t="n">
        <f aca="false">IF(Assm!$L$75=0,F105,IF(AND($A106&gt;F$16,MONTH($A106)=MONTH(F$16)),B105/B93,F105))</f>
        <v>1.08333076659484</v>
      </c>
      <c r="G106" s="1668" t="n">
        <f aca="false">IF(Assm!$L$75=0,G105,IF(AND($A106&gt;G$16,MONTH($A106)=MONTH(G$16)),C105/C93,G105))</f>
        <v>1.0301154037814</v>
      </c>
      <c r="H106" s="1668" t="n">
        <f aca="false">IF(Assm!$L$75=0,H105,IF(AND($A106&gt;H$16,MONTH($A106)=MONTH(H$16)),C105/C93-H$18,H105))</f>
        <v>1.0276154037814</v>
      </c>
      <c r="I106" s="1668" t="n">
        <f aca="false">IF(Assm!$L$75=0,I105,IF($A106&gt;=I$16,IF(MONTH($A106)=MONTH(I$16),AVERAGE(D94:D105),I105),I105))</f>
        <v>2.16468774735532</v>
      </c>
      <c r="J106" s="1675" t="n">
        <f aca="false">IF(Assm!$L$75=0,J105,IF($A106&gt;=J$16,IF(MONTH($A106)=MONTH(J$16),AVERAGE(E94:E105),J105),J105))</f>
        <v>1.54339120638181</v>
      </c>
      <c r="K106" s="1624" t="n">
        <f aca="false">K105+1</f>
        <v>94</v>
      </c>
      <c r="L106" s="1667" t="n">
        <f aca="false">HLOOKUP(L$14,Dec_Change,$K106)</f>
        <v>1.0301154037814</v>
      </c>
      <c r="M106" s="1668" t="n">
        <f aca="false">M105</f>
        <v>0</v>
      </c>
      <c r="N106" s="1675" t="n">
        <f aca="false">IF(AND($A106&gt;=N$16,MONTH($A106)=MONTH(N$16)),MAX(L106,M106)*N105,N105)</f>
        <v>1.16628704592773</v>
      </c>
      <c r="P106" s="1667" t="n">
        <f aca="false">HLOOKUP(P$14,Dec_Change,$K106)</f>
        <v>1.08333076659484</v>
      </c>
      <c r="Q106" s="1668" t="n">
        <f aca="false">Q105</f>
        <v>0</v>
      </c>
      <c r="R106" s="1675" t="n">
        <f aca="false">IF(AND($A106&gt;=R$16,MONTH($A106)=MONTH(R$16)),MAX(P106,Q106)*R105,R105)</f>
        <v>1.6755808839625</v>
      </c>
      <c r="T106" s="1667" t="n">
        <f aca="false">HLOOKUP(T$14,Dec_Change,$K106)</f>
        <v>1.0301154037814</v>
      </c>
      <c r="U106" s="1668" t="n">
        <f aca="false">U105</f>
        <v>1.005</v>
      </c>
      <c r="V106" s="1675" t="n">
        <f aca="false">IF(AND($A106&gt;=V$16,MONTH($A106)=MONTH(V$16)),MAX(T106,U106)*V105,V105)</f>
        <v>1.16628704592773</v>
      </c>
      <c r="X106" s="1667" t="n">
        <f aca="false">HLOOKUP(X$14,Dec_Change,$K106)</f>
        <v>1.0276154037814</v>
      </c>
      <c r="Y106" s="1668" t="n">
        <f aca="false">Y105</f>
        <v>1.02</v>
      </c>
      <c r="Z106" s="1675" t="n">
        <f aca="false">IF(AND($A106&gt;=Z$16,MONTH($A106)=MONTH(Z$16)),MAX(X106,Y106)*Z105,Z105)</f>
        <v>1.15858808250587</v>
      </c>
      <c r="AB106" s="1667" t="n">
        <f aca="false">HLOOKUP(AB$14,Dec_Change,$K106)</f>
        <v>1.0276154037814</v>
      </c>
      <c r="AC106" s="1668" t="n">
        <f aca="false">AC105</f>
        <v>1.02</v>
      </c>
      <c r="AD106" s="1675" t="n">
        <f aca="false">IF(AND($A106&gt;=AD$16,MONTH($A106)=MONTH(AD$16)),MAX(AB106,AC106)*AD105,AD105)</f>
        <v>1.15858808250587</v>
      </c>
      <c r="AF106" s="1667" t="n">
        <f aca="false">HLOOKUP(AF$14,Dec_Change,$K106)</f>
        <v>1.08333076659484</v>
      </c>
      <c r="AG106" s="1668" t="n">
        <f aca="false">AG105</f>
        <v>0</v>
      </c>
      <c r="AH106" s="1675" t="n">
        <f aca="false">IF(AND($A106&gt;=AH$16,MONTH($A106)=MONTH(AH$16)),MAX(AF106,AG106)*AH105,AH105)</f>
        <v>1.6755808839625</v>
      </c>
      <c r="AJ106" s="1667" t="n">
        <f aca="false">HLOOKUP(AJ$14,Dec_Change,$K106)</f>
        <v>1.0276154037814</v>
      </c>
      <c r="AK106" s="1668" t="n">
        <f aca="false">AK105</f>
        <v>1.02</v>
      </c>
      <c r="AL106" s="1675" t="n">
        <f aca="false">IF(AND($A106&gt;=AL$16,MONTH($A106)=MONTH(AL$16)),MAX(AJ106,AK106)*AL105,AL105)</f>
        <v>1.15858808250587</v>
      </c>
      <c r="AN106" s="1667" t="n">
        <f aca="false">HLOOKUP(AN$14,Dec_Change,$K106)</f>
        <v>1.0301154037814</v>
      </c>
      <c r="AO106" s="1668" t="n">
        <f aca="false">AO105</f>
        <v>1.005</v>
      </c>
      <c r="AP106" s="1675" t="n">
        <f aca="false">IF(AND($A106&gt;=AP$16,MONTH($A106)=MONTH(AP$16)),MAX(AN106,AO106)*AP105,AP105)</f>
        <v>1.16628704592773</v>
      </c>
      <c r="AR106" s="1670" t="n">
        <f aca="false">$A106</f>
        <v>38047</v>
      </c>
      <c r="AS106" s="1671" t="n">
        <f aca="false">IF(AND($A106&gt;=EDATE(AS$17,12),IF(Assm!$L$74=0,$D106,$E106)/AS105&gt;=1.05),IF(Assm!$L$74=0,$D106,$E106),AS105)</f>
        <v>2.15533798441706</v>
      </c>
      <c r="AT106" s="1671" t="n">
        <f aca="false">IF(AS106/AS105=1,AT105,AS106/AS105)</f>
        <v>1.05138438264247</v>
      </c>
      <c r="AU106" s="1671" t="n">
        <f aca="false">F106</f>
        <v>1.08333076659484</v>
      </c>
      <c r="AV106" s="1671" t="n">
        <f aca="false">MAX(AT106,AU106)</f>
        <v>1.08333076659484</v>
      </c>
      <c r="AW106" s="1675" t="n">
        <f aca="false">IF(AV106=AV105,AW105,AV106*AW105)</f>
        <v>2.08528457419664</v>
      </c>
    </row>
    <row r="107" customFormat="false" ht="12.75" hidden="false" customHeight="false" outlineLevel="0" collapsed="false">
      <c r="A107" s="1673" t="n">
        <f aca="false">EDATE(A106,1)</f>
        <v>38078</v>
      </c>
      <c r="B107" s="1659" t="n">
        <f aca="false">'[4]Monthly Curve Calc.'!B110</f>
        <v>252.998571575677</v>
      </c>
      <c r="C107" s="1660" t="n">
        <f aca="false">'[4]Monthly Curve Calc.'!C110</f>
        <v>192.295963353362</v>
      </c>
      <c r="D107" s="1661" t="n">
        <f aca="false">'[4]Monthly Curve Calc.'!F110</f>
        <v>2.22163835434577</v>
      </c>
      <c r="E107" s="1662" t="n">
        <f aca="false">IF($A107&lt;=E$16,D107,(B107/B106)/(C107/C106)*E106)</f>
        <v>1.60331549884931</v>
      </c>
      <c r="F107" s="1674" t="n">
        <f aca="false">IF(Assm!$L$75=0,F106,IF(AND($A107&gt;F$16,MONTH($A107)=MONTH(F$16)),B106/B94,F106))</f>
        <v>1.08333076659484</v>
      </c>
      <c r="G107" s="1668" t="n">
        <f aca="false">IF(Assm!$L$75=0,G106,IF(AND($A107&gt;G$16,MONTH($A107)=MONTH(G$16)),C106/C94,G106))</f>
        <v>1.0301154037814</v>
      </c>
      <c r="H107" s="1668" t="n">
        <f aca="false">IF(Assm!$L$75=0,H106,IF(AND($A107&gt;H$16,MONTH($A107)=MONTH(H$16)),C106/C94-H$18,H106))</f>
        <v>1.0276154037814</v>
      </c>
      <c r="I107" s="1668" t="n">
        <f aca="false">IF(Assm!$L$75=0,I106,IF($A107&gt;=I$16,IF(MONTH($A107)=MONTH(I$16),AVERAGE(D95:D106),I106),I106))</f>
        <v>2.16468774735532</v>
      </c>
      <c r="J107" s="1675" t="n">
        <f aca="false">IF(Assm!$L$75=0,J106,IF($A107&gt;=J$16,IF(MONTH($A107)=MONTH(J$16),AVERAGE(E95:E106),J106),J106))</f>
        <v>1.54339120638181</v>
      </c>
      <c r="K107" s="1624" t="n">
        <f aca="false">K106+1</f>
        <v>95</v>
      </c>
      <c r="L107" s="1667" t="n">
        <f aca="false">HLOOKUP(L$14,Dec_Change,$K107)</f>
        <v>1.0301154037814</v>
      </c>
      <c r="M107" s="1668" t="n">
        <f aca="false">M106</f>
        <v>0</v>
      </c>
      <c r="N107" s="1675" t="n">
        <f aca="false">IF(AND($A107&gt;=N$16,MONTH($A107)=MONTH(N$16)),MAX(L107,M107)*N106,N106)</f>
        <v>1.16628704592773</v>
      </c>
      <c r="P107" s="1667" t="n">
        <f aca="false">HLOOKUP(P$14,Dec_Change,$K107)</f>
        <v>1.08333076659484</v>
      </c>
      <c r="Q107" s="1668" t="n">
        <f aca="false">Q106</f>
        <v>0</v>
      </c>
      <c r="R107" s="1675" t="n">
        <f aca="false">IF(AND($A107&gt;=R$16,MONTH($A107)=MONTH(R$16)),MAX(P107,Q107)*R106,R106)</f>
        <v>1.6755808839625</v>
      </c>
      <c r="T107" s="1667" t="n">
        <f aca="false">HLOOKUP(T$14,Dec_Change,$K107)</f>
        <v>1.0301154037814</v>
      </c>
      <c r="U107" s="1668" t="n">
        <f aca="false">U106</f>
        <v>1.005</v>
      </c>
      <c r="V107" s="1675" t="n">
        <f aca="false">IF(AND($A107&gt;=V$16,MONTH($A107)=MONTH(V$16)),MAX(T107,U107)*V106,V106)</f>
        <v>1.16628704592773</v>
      </c>
      <c r="X107" s="1667" t="n">
        <f aca="false">HLOOKUP(X$14,Dec_Change,$K107)</f>
        <v>1.0276154037814</v>
      </c>
      <c r="Y107" s="1668" t="n">
        <f aca="false">Y106</f>
        <v>1.02</v>
      </c>
      <c r="Z107" s="1675" t="n">
        <f aca="false">IF(AND($A107&gt;=Z$16,MONTH($A107)=MONTH(Z$16)),MAX(X107,Y107)*Z106,Z106)</f>
        <v>1.15858808250587</v>
      </c>
      <c r="AB107" s="1667" t="n">
        <f aca="false">HLOOKUP(AB$14,Dec_Change,$K107)</f>
        <v>1.0276154037814</v>
      </c>
      <c r="AC107" s="1668" t="n">
        <f aca="false">AC106</f>
        <v>1.02</v>
      </c>
      <c r="AD107" s="1675" t="n">
        <f aca="false">IF(AND($A107&gt;=AD$16,MONTH($A107)=MONTH(AD$16)),MAX(AB107,AC107)*AD106,AD106)</f>
        <v>1.15858808250587</v>
      </c>
      <c r="AF107" s="1667" t="n">
        <f aca="false">HLOOKUP(AF$14,Dec_Change,$K107)</f>
        <v>1.08333076659484</v>
      </c>
      <c r="AG107" s="1668" t="n">
        <f aca="false">AG106</f>
        <v>0</v>
      </c>
      <c r="AH107" s="1675" t="n">
        <f aca="false">IF(AND($A107&gt;=AH$16,MONTH($A107)=MONTH(AH$16)),MAX(AF107,AG107)*AH106,AH106)</f>
        <v>1.6755808839625</v>
      </c>
      <c r="AJ107" s="1667" t="n">
        <f aca="false">HLOOKUP(AJ$14,Dec_Change,$K107)</f>
        <v>1.0276154037814</v>
      </c>
      <c r="AK107" s="1668" t="n">
        <f aca="false">AK106</f>
        <v>1.02</v>
      </c>
      <c r="AL107" s="1675" t="n">
        <f aca="false">IF(AND($A107&gt;=AL$16,MONTH($A107)=MONTH(AL$16)),MAX(AJ107,AK107)*AL106,AL106)</f>
        <v>1.15858808250587</v>
      </c>
      <c r="AN107" s="1667" t="n">
        <f aca="false">HLOOKUP(AN$14,Dec_Change,$K107)</f>
        <v>1.0301154037814</v>
      </c>
      <c r="AO107" s="1668" t="n">
        <f aca="false">AO106</f>
        <v>1.005</v>
      </c>
      <c r="AP107" s="1675" t="n">
        <f aca="false">IF(AND($A107&gt;=AP$16,MONTH($A107)=MONTH(AP$16)),MAX(AN107,AO107)*AP106,AP106)</f>
        <v>1.16628704592773</v>
      </c>
      <c r="AR107" s="1670" t="n">
        <f aca="false">$A107</f>
        <v>38078</v>
      </c>
      <c r="AS107" s="1671" t="n">
        <f aca="false">IF(AND($A107&gt;=EDATE(AS$17,12),IF(Assm!$L$74=0,$D107,$E107)/AS106&gt;=1.05),IF(Assm!$L$74=0,$D107,$E107),AS106)</f>
        <v>2.15533798441706</v>
      </c>
      <c r="AT107" s="1671" t="n">
        <f aca="false">IF(AS107/AS106=1,AT106,AS107/AS106)</f>
        <v>1.05138438264247</v>
      </c>
      <c r="AU107" s="1671" t="n">
        <f aca="false">F107</f>
        <v>1.08333076659484</v>
      </c>
      <c r="AV107" s="1671" t="n">
        <f aca="false">MAX(AT107,AU107)</f>
        <v>1.08333076659484</v>
      </c>
      <c r="AW107" s="1675" t="n">
        <f aca="false">IF(AV107=AV106,AW106,AV107*AW106)</f>
        <v>2.08528457419664</v>
      </c>
    </row>
    <row r="108" customFormat="false" ht="12.75" hidden="false" customHeight="false" outlineLevel="0" collapsed="false">
      <c r="A108" s="1673" t="n">
        <f aca="false">EDATE(A107,1)</f>
        <v>38108</v>
      </c>
      <c r="B108" s="1659" t="n">
        <f aca="false">'[4]Monthly Curve Calc.'!B111</f>
        <v>254.626372002983</v>
      </c>
      <c r="C108" s="1660" t="n">
        <f aca="false">'[4]Monthly Curve Calc.'!C111</f>
        <v>192.750238084208</v>
      </c>
      <c r="D108" s="1661" t="n">
        <f aca="false">'[4]Monthly Curve Calc.'!F111</f>
        <v>2.22737966433978</v>
      </c>
      <c r="E108" s="1662" t="n">
        <f aca="false">IF($A108&lt;=E$16,D108,(B108/B107)/(C108/C107)*E107)</f>
        <v>1.60982826472808</v>
      </c>
      <c r="F108" s="1674" t="n">
        <f aca="false">IF(Assm!$L$75=0,F107,IF(AND($A108&gt;F$16,MONTH($A108)=MONTH(F$16)),B107/B95,F107))</f>
        <v>1.08</v>
      </c>
      <c r="G108" s="1668" t="n">
        <f aca="false">IF(Assm!$L$75=0,G107,IF(AND($A108&gt;G$16,MONTH($A108)=MONTH(G$16)),C107/C95,G107))</f>
        <v>1.02920575040411</v>
      </c>
      <c r="H108" s="1668" t="n">
        <f aca="false">IF(Assm!$L$75=0,H107,IF(AND($A108&gt;H$16,MONTH($A108)=MONTH(H$16)),C107/C95-H$18,H107))</f>
        <v>1.02670575040411</v>
      </c>
      <c r="I108" s="1668" t="n">
        <f aca="false">IF(Assm!$L$75=0,I107,IF($A108&gt;=I$16,IF(MONTH($A108)=MONTH(I$16),AVERAGE(D96:D107),I107),I107))</f>
        <v>2.16468774735532</v>
      </c>
      <c r="J108" s="1675" t="n">
        <f aca="false">IF(Assm!$L$75=0,J107,IF($A108&gt;=J$16,IF(MONTH($A108)=MONTH(J$16),AVERAGE(E96:E107),J107),J107))</f>
        <v>1.54339120638181</v>
      </c>
      <c r="K108" s="1624" t="n">
        <f aca="false">K107+1</f>
        <v>96</v>
      </c>
      <c r="L108" s="1667" t="n">
        <f aca="false">HLOOKUP(L$14,Dec_Change,$K108)</f>
        <v>1.02920575040411</v>
      </c>
      <c r="M108" s="1668" t="n">
        <f aca="false">M107</f>
        <v>0</v>
      </c>
      <c r="N108" s="1675" t="n">
        <f aca="false">IF(AND($A108&gt;=N$16,MONTH($A108)=MONTH(N$16)),MAX(L108,M108)*N107,N107)</f>
        <v>1.20034933429065</v>
      </c>
      <c r="P108" s="1667" t="n">
        <f aca="false">HLOOKUP(P$14,Dec_Change,$K108)</f>
        <v>1.08</v>
      </c>
      <c r="Q108" s="1668" t="n">
        <f aca="false">Q107</f>
        <v>0</v>
      </c>
      <c r="R108" s="1675" t="n">
        <f aca="false">IF(AND($A108&gt;=R$16,MONTH($A108)=MONTH(R$16)),MAX(P108,Q108)*R107,R107)</f>
        <v>1.8096273546795</v>
      </c>
      <c r="T108" s="1667" t="n">
        <f aca="false">HLOOKUP(T$14,Dec_Change,$K108)</f>
        <v>1.02920575040411</v>
      </c>
      <c r="U108" s="1668" t="n">
        <f aca="false">U107</f>
        <v>1.005</v>
      </c>
      <c r="V108" s="1675" t="n">
        <f aca="false">IF(AND($A108&gt;=V$16,MONTH($A108)=MONTH(V$16)),MAX(T108,U108)*V107,V107)</f>
        <v>1.20034933429065</v>
      </c>
      <c r="X108" s="1667" t="n">
        <f aca="false">HLOOKUP(X$14,Dec_Change,$K108)</f>
        <v>1.02670575040411</v>
      </c>
      <c r="Y108" s="1668" t="n">
        <f aca="false">Y107</f>
        <v>1.02</v>
      </c>
      <c r="Z108" s="1675" t="n">
        <f aca="false">IF(AND($A108&gt;=Z$16,MONTH($A108)=MONTH(Z$16)),MAX(X108,Y108)*Z107,Z107)</f>
        <v>1.18952904665845</v>
      </c>
      <c r="AB108" s="1667" t="n">
        <f aca="false">HLOOKUP(AB$14,Dec_Change,$K108)</f>
        <v>1.02670575040411</v>
      </c>
      <c r="AC108" s="1668" t="n">
        <f aca="false">AC107</f>
        <v>1.02</v>
      </c>
      <c r="AD108" s="1675" t="n">
        <f aca="false">IF(AND($A108&gt;=AD$16,MONTH($A108)=MONTH(AD$16)),MAX(AB108,AC108)*AD107,AD107)</f>
        <v>1.18952904665845</v>
      </c>
      <c r="AF108" s="1667" t="n">
        <f aca="false">HLOOKUP(AF$14,Dec_Change,$K108)</f>
        <v>1.08</v>
      </c>
      <c r="AG108" s="1668" t="n">
        <f aca="false">AG107</f>
        <v>0</v>
      </c>
      <c r="AH108" s="1675" t="n">
        <f aca="false">IF(AND($A108&gt;=AH$16,MONTH($A108)=MONTH(AH$16)),MAX(AF108,AG108)*AH107,AH107)</f>
        <v>1.8096273546795</v>
      </c>
      <c r="AJ108" s="1667" t="n">
        <f aca="false">HLOOKUP(AJ$14,Dec_Change,$K108)</f>
        <v>1.02670575040411</v>
      </c>
      <c r="AK108" s="1668" t="n">
        <f aca="false">AK107</f>
        <v>1.02</v>
      </c>
      <c r="AL108" s="1675" t="n">
        <f aca="false">IF(AND($A108&gt;=AL$16,MONTH($A108)=MONTH(AL$16)),MAX(AJ108,AK108)*AL107,AL107)</f>
        <v>1.18952904665845</v>
      </c>
      <c r="AN108" s="1667" t="n">
        <f aca="false">HLOOKUP(AN$14,Dec_Change,$K108)</f>
        <v>1.02920575040411</v>
      </c>
      <c r="AO108" s="1668" t="n">
        <f aca="false">AO107</f>
        <v>1.005</v>
      </c>
      <c r="AP108" s="1675" t="n">
        <f aca="false">IF(AND($A108&gt;=AP$16,MONTH($A108)=MONTH(AP$16)),MAX(AN108,AO108)*AP107,AP107)</f>
        <v>1.20034933429065</v>
      </c>
      <c r="AR108" s="1670" t="n">
        <f aca="false">$A108</f>
        <v>38108</v>
      </c>
      <c r="AS108" s="1671" t="n">
        <f aca="false">IF(AND($A108&gt;=EDATE(AS$17,12),IF(Assm!$L$74=0,$D108,$E108)/AS107&gt;=1.05),IF(Assm!$L$74=0,$D108,$E108),AS107)</f>
        <v>2.15533798441706</v>
      </c>
      <c r="AT108" s="1671" t="n">
        <f aca="false">IF(AS108/AS107=1,AT107,AS108/AS107)</f>
        <v>1.05138438264247</v>
      </c>
      <c r="AU108" s="1671" t="n">
        <f aca="false">F108</f>
        <v>1.08</v>
      </c>
      <c r="AV108" s="1671" t="n">
        <f aca="false">MAX(AT108,AU108)</f>
        <v>1.08</v>
      </c>
      <c r="AW108" s="1675" t="n">
        <f aca="false">IF(AV108=AV107,AW107,AV108*AW107)</f>
        <v>2.25210734013237</v>
      </c>
    </row>
    <row r="109" customFormat="false" ht="12.75" hidden="false" customHeight="false" outlineLevel="0" collapsed="false">
      <c r="A109" s="1673" t="n">
        <f aca="false">EDATE(A108,1)</f>
        <v>38139</v>
      </c>
      <c r="B109" s="1659" t="n">
        <f aca="false">'[4]Monthly Curve Calc.'!B112</f>
        <v>256.264645747251</v>
      </c>
      <c r="C109" s="1660" t="n">
        <f aca="false">'[4]Monthly Curve Calc.'!C112</f>
        <v>193.205585981269</v>
      </c>
      <c r="D109" s="1661" t="n">
        <f aca="false">'[4]Monthly Curve Calc.'!F112</f>
        <v>2.23313581142029</v>
      </c>
      <c r="E109" s="1662" t="n">
        <f aca="false">IF($A109&lt;=E$16,D109,(B109/B108)/(C109/C108)*E108)</f>
        <v>1.61636748586125</v>
      </c>
      <c r="F109" s="1674" t="n">
        <f aca="false">IF(Assm!$L$75=0,F108,IF(AND($A109&gt;F$16,MONTH($A109)=MONTH(F$16)),B108/B96,F108))</f>
        <v>1.08</v>
      </c>
      <c r="G109" s="1668" t="n">
        <f aca="false">IF(Assm!$L$75=0,G108,IF(AND($A109&gt;G$16,MONTH($A109)=MONTH(G$16)),C108/C96,G108))</f>
        <v>1.02920575040411</v>
      </c>
      <c r="H109" s="1668" t="n">
        <f aca="false">IF(Assm!$L$75=0,H108,IF(AND($A109&gt;H$16,MONTH($A109)=MONTH(H$16)),C108/C96-H$18,H108))</f>
        <v>1.02670575040411</v>
      </c>
      <c r="I109" s="1668" t="n">
        <f aca="false">IF(Assm!$L$75=0,I108,IF($A109&gt;=I$16,IF(MONTH($A109)=MONTH(I$16),AVERAGE(D97:D108),I108),I108))</f>
        <v>2.16468774735532</v>
      </c>
      <c r="J109" s="1675" t="n">
        <f aca="false">IF(Assm!$L$75=0,J108,IF($A109&gt;=J$16,IF(MONTH($A109)=MONTH(J$16),AVERAGE(E97:E108),J108),J108))</f>
        <v>1.54339120638181</v>
      </c>
      <c r="K109" s="1624" t="n">
        <f aca="false">K108+1</f>
        <v>97</v>
      </c>
      <c r="L109" s="1667" t="n">
        <f aca="false">HLOOKUP(L$14,Dec_Change,$K109)</f>
        <v>1.02920575040411</v>
      </c>
      <c r="M109" s="1668" t="n">
        <f aca="false">M108</f>
        <v>0</v>
      </c>
      <c r="N109" s="1675" t="n">
        <f aca="false">IF(AND($A109&gt;=N$16,MONTH($A109)=MONTH(N$16)),MAX(L109,M109)*N108,N108)</f>
        <v>1.20034933429065</v>
      </c>
      <c r="P109" s="1667" t="n">
        <f aca="false">HLOOKUP(P$14,Dec_Change,$K109)</f>
        <v>1.08</v>
      </c>
      <c r="Q109" s="1668" t="n">
        <f aca="false">Q108</f>
        <v>0</v>
      </c>
      <c r="R109" s="1675" t="n">
        <f aca="false">IF(AND($A109&gt;=R$16,MONTH($A109)=MONTH(R$16)),MAX(P109,Q109)*R108,R108)</f>
        <v>1.8096273546795</v>
      </c>
      <c r="T109" s="1667" t="n">
        <f aca="false">HLOOKUP(T$14,Dec_Change,$K109)</f>
        <v>1.02920575040411</v>
      </c>
      <c r="U109" s="1668" t="n">
        <f aca="false">U108</f>
        <v>1.005</v>
      </c>
      <c r="V109" s="1675" t="n">
        <f aca="false">IF(AND($A109&gt;=V$16,MONTH($A109)=MONTH(V$16)),MAX(T109,U109)*V108,V108)</f>
        <v>1.20034933429065</v>
      </c>
      <c r="X109" s="1667" t="n">
        <f aca="false">HLOOKUP(X$14,Dec_Change,$K109)</f>
        <v>1.02670575040411</v>
      </c>
      <c r="Y109" s="1668" t="n">
        <f aca="false">Y108</f>
        <v>1.02</v>
      </c>
      <c r="Z109" s="1675" t="n">
        <f aca="false">IF(AND($A109&gt;=Z$16,MONTH($A109)=MONTH(Z$16)),MAX(X109,Y109)*Z108,Z108)</f>
        <v>1.18952904665845</v>
      </c>
      <c r="AB109" s="1667" t="n">
        <f aca="false">HLOOKUP(AB$14,Dec_Change,$K109)</f>
        <v>1.02670575040411</v>
      </c>
      <c r="AC109" s="1668" t="n">
        <f aca="false">AC108</f>
        <v>1.02</v>
      </c>
      <c r="AD109" s="1675" t="n">
        <f aca="false">IF(AND($A109&gt;=AD$16,MONTH($A109)=MONTH(AD$16)),MAX(AB109,AC109)*AD108,AD108)</f>
        <v>1.18952904665845</v>
      </c>
      <c r="AF109" s="1667" t="n">
        <f aca="false">HLOOKUP(AF$14,Dec_Change,$K109)</f>
        <v>1.08</v>
      </c>
      <c r="AG109" s="1668" t="n">
        <f aca="false">AG108</f>
        <v>0</v>
      </c>
      <c r="AH109" s="1675" t="n">
        <f aca="false">IF(AND($A109&gt;=AH$16,MONTH($A109)=MONTH(AH$16)),MAX(AF109,AG109)*AH108,AH108)</f>
        <v>1.8096273546795</v>
      </c>
      <c r="AJ109" s="1667" t="n">
        <f aca="false">HLOOKUP(AJ$14,Dec_Change,$K109)</f>
        <v>1.02670575040411</v>
      </c>
      <c r="AK109" s="1668" t="n">
        <f aca="false">AK108</f>
        <v>1.02</v>
      </c>
      <c r="AL109" s="1675" t="n">
        <f aca="false">IF(AND($A109&gt;=AL$16,MONTH($A109)=MONTH(AL$16)),MAX(AJ109,AK109)*AL108,AL108)</f>
        <v>1.18952904665845</v>
      </c>
      <c r="AN109" s="1667" t="n">
        <f aca="false">HLOOKUP(AN$14,Dec_Change,$K109)</f>
        <v>1.02920575040411</v>
      </c>
      <c r="AO109" s="1668" t="n">
        <f aca="false">AO108</f>
        <v>1.005</v>
      </c>
      <c r="AP109" s="1675" t="n">
        <f aca="false">IF(AND($A109&gt;=AP$16,MONTH($A109)=MONTH(AP$16)),MAX(AN109,AO109)*AP108,AP108)</f>
        <v>1.20034933429065</v>
      </c>
      <c r="AR109" s="1670" t="n">
        <f aca="false">$A109</f>
        <v>38139</v>
      </c>
      <c r="AS109" s="1671" t="n">
        <f aca="false">IF(AND($A109&gt;=EDATE(AS$17,12),IF(Assm!$L$74=0,$D109,$E109)/AS108&gt;=1.05),IF(Assm!$L$74=0,$D109,$E109),AS108)</f>
        <v>2.15533798441706</v>
      </c>
      <c r="AT109" s="1671" t="n">
        <f aca="false">IF(AS109/AS108=1,AT108,AS109/AS108)</f>
        <v>1.05138438264247</v>
      </c>
      <c r="AU109" s="1671" t="n">
        <f aca="false">F109</f>
        <v>1.08</v>
      </c>
      <c r="AV109" s="1671" t="n">
        <f aca="false">MAX(AT109,AU109)</f>
        <v>1.08</v>
      </c>
      <c r="AW109" s="1675" t="n">
        <f aca="false">IF(AV109=AV108,AW108,AV109*AW108)</f>
        <v>2.25210734013237</v>
      </c>
    </row>
    <row r="110" customFormat="false" ht="12.75" hidden="false" customHeight="false" outlineLevel="0" collapsed="false">
      <c r="A110" s="1673" t="n">
        <f aca="false">EDATE(A109,1)</f>
        <v>38169</v>
      </c>
      <c r="B110" s="1659" t="n">
        <f aca="false">'[4]Monthly Curve Calc.'!B113</f>
        <v>257.913460194119</v>
      </c>
      <c r="C110" s="1660" t="n">
        <f aca="false">'[4]Monthly Curve Calc.'!C113</f>
        <v>193.662009579763</v>
      </c>
      <c r="D110" s="1661" t="n">
        <f aca="false">'[4]Monthly Curve Calc.'!F113</f>
        <v>2.23890683393033</v>
      </c>
      <c r="E110" s="1662" t="n">
        <f aca="false">IF($A110&lt;=E$16,D110,(B110/B109)/(C110/C109)*E109)</f>
        <v>1.62293326971168</v>
      </c>
      <c r="F110" s="1674" t="n">
        <f aca="false">IF(Assm!$L$75=0,F109,IF(AND($A110&gt;F$16,MONTH($A110)=MONTH(F$16)),B109/B97,F109))</f>
        <v>1.08</v>
      </c>
      <c r="G110" s="1668" t="n">
        <f aca="false">IF(Assm!$L$75=0,G109,IF(AND($A110&gt;G$16,MONTH($A110)=MONTH(G$16)),C109/C97,G109))</f>
        <v>1.02920575040411</v>
      </c>
      <c r="H110" s="1668" t="n">
        <f aca="false">IF(Assm!$L$75=0,H109,IF(AND($A110&gt;H$16,MONTH($A110)=MONTH(H$16)),C109/C97-H$18,H109))</f>
        <v>1.02670575040411</v>
      </c>
      <c r="I110" s="1668" t="n">
        <f aca="false">IF(Assm!$L$75=0,I109,IF($A110&gt;=I$16,IF(MONTH($A110)=MONTH(I$16),AVERAGE(D98:D109),I109),I109))</f>
        <v>2.16468774735532</v>
      </c>
      <c r="J110" s="1675" t="n">
        <f aca="false">IF(Assm!$L$75=0,J109,IF($A110&gt;=J$16,IF(MONTH($A110)=MONTH(J$16),AVERAGE(E98:E109),J109),J109))</f>
        <v>1.54339120638181</v>
      </c>
      <c r="K110" s="1624" t="n">
        <f aca="false">K109+1</f>
        <v>98</v>
      </c>
      <c r="L110" s="1667" t="n">
        <f aca="false">HLOOKUP(L$14,Dec_Change,$K110)</f>
        <v>1.02920575040411</v>
      </c>
      <c r="M110" s="1668" t="n">
        <f aca="false">M109</f>
        <v>0</v>
      </c>
      <c r="N110" s="1675" t="n">
        <f aca="false">IF(AND($A110&gt;=N$16,MONTH($A110)=MONTH(N$16)),MAX(L110,M110)*N109,N109)</f>
        <v>1.20034933429065</v>
      </c>
      <c r="P110" s="1667" t="n">
        <f aca="false">HLOOKUP(P$14,Dec_Change,$K110)</f>
        <v>1.08</v>
      </c>
      <c r="Q110" s="1668" t="n">
        <f aca="false">Q109</f>
        <v>0</v>
      </c>
      <c r="R110" s="1675" t="n">
        <f aca="false">IF(AND($A110&gt;=R$16,MONTH($A110)=MONTH(R$16)),MAX(P110,Q110)*R109,R109)</f>
        <v>1.8096273546795</v>
      </c>
      <c r="T110" s="1667" t="n">
        <f aca="false">HLOOKUP(T$14,Dec_Change,$K110)</f>
        <v>1.02920575040411</v>
      </c>
      <c r="U110" s="1668" t="n">
        <f aca="false">U109</f>
        <v>1.005</v>
      </c>
      <c r="V110" s="1675" t="n">
        <f aca="false">IF(AND($A110&gt;=V$16,MONTH($A110)=MONTH(V$16)),MAX(T110,U110)*V109,V109)</f>
        <v>1.20034933429065</v>
      </c>
      <c r="X110" s="1667" t="n">
        <f aca="false">HLOOKUP(X$14,Dec_Change,$K110)</f>
        <v>1.02670575040411</v>
      </c>
      <c r="Y110" s="1668" t="n">
        <f aca="false">Y109</f>
        <v>1.02</v>
      </c>
      <c r="Z110" s="1675" t="n">
        <f aca="false">IF(AND($A110&gt;=Z$16,MONTH($A110)=MONTH(Z$16)),MAX(X110,Y110)*Z109,Z109)</f>
        <v>1.18952904665845</v>
      </c>
      <c r="AB110" s="1667" t="n">
        <f aca="false">HLOOKUP(AB$14,Dec_Change,$K110)</f>
        <v>1.02670575040411</v>
      </c>
      <c r="AC110" s="1668" t="n">
        <f aca="false">AC109</f>
        <v>1.02</v>
      </c>
      <c r="AD110" s="1675" t="n">
        <f aca="false">IF(AND($A110&gt;=AD$16,MONTH($A110)=MONTH(AD$16)),MAX(AB110,AC110)*AD109,AD109)</f>
        <v>1.18952904665845</v>
      </c>
      <c r="AF110" s="1667" t="n">
        <f aca="false">HLOOKUP(AF$14,Dec_Change,$K110)</f>
        <v>1.08</v>
      </c>
      <c r="AG110" s="1668" t="n">
        <f aca="false">AG109</f>
        <v>0</v>
      </c>
      <c r="AH110" s="1675" t="n">
        <f aca="false">IF(AND($A110&gt;=AH$16,MONTH($A110)=MONTH(AH$16)),MAX(AF110,AG110)*AH109,AH109)</f>
        <v>1.8096273546795</v>
      </c>
      <c r="AJ110" s="1667" t="n">
        <f aca="false">HLOOKUP(AJ$14,Dec_Change,$K110)</f>
        <v>1.02670575040411</v>
      </c>
      <c r="AK110" s="1668" t="n">
        <f aca="false">AK109</f>
        <v>1.02</v>
      </c>
      <c r="AL110" s="1675" t="n">
        <f aca="false">IF(AND($A110&gt;=AL$16,MONTH($A110)=MONTH(AL$16)),MAX(AJ110,AK110)*AL109,AL109)</f>
        <v>1.18952904665845</v>
      </c>
      <c r="AN110" s="1667" t="n">
        <f aca="false">HLOOKUP(AN$14,Dec_Change,$K110)</f>
        <v>1.02920575040411</v>
      </c>
      <c r="AO110" s="1668" t="n">
        <f aca="false">AO109</f>
        <v>1.005</v>
      </c>
      <c r="AP110" s="1675" t="n">
        <f aca="false">IF(AND($A110&gt;=AP$16,MONTH($A110)=MONTH(AP$16)),MAX(AN110,AO110)*AP109,AP109)</f>
        <v>1.20034933429065</v>
      </c>
      <c r="AR110" s="1670" t="n">
        <f aca="false">$A110</f>
        <v>38169</v>
      </c>
      <c r="AS110" s="1671" t="n">
        <f aca="false">IF(AND($A110&gt;=EDATE(AS$17,12),IF(Assm!$L$74=0,$D110,$E110)/AS109&gt;=1.05),IF(Assm!$L$74=0,$D110,$E110),AS109)</f>
        <v>2.15533798441706</v>
      </c>
      <c r="AT110" s="1671" t="n">
        <f aca="false">IF(AS110/AS109=1,AT109,AS110/AS109)</f>
        <v>1.05138438264247</v>
      </c>
      <c r="AU110" s="1671" t="n">
        <f aca="false">F110</f>
        <v>1.08</v>
      </c>
      <c r="AV110" s="1671" t="n">
        <f aca="false">MAX(AT110,AU110)</f>
        <v>1.08</v>
      </c>
      <c r="AW110" s="1675" t="n">
        <f aca="false">IF(AV110=AV109,AW109,AV110*AW109)</f>
        <v>2.25210734013237</v>
      </c>
    </row>
    <row r="111" customFormat="false" ht="12.75" hidden="false" customHeight="false" outlineLevel="0" collapsed="false">
      <c r="A111" s="1673" t="n">
        <f aca="false">EDATE(A110,1)</f>
        <v>38200</v>
      </c>
      <c r="B111" s="1659" t="n">
        <f aca="false">'[4]Monthly Curve Calc.'!B114</f>
        <v>259.572883162783</v>
      </c>
      <c r="C111" s="1660" t="n">
        <f aca="false">'[4]Monthly Curve Calc.'!C114</f>
        <v>194.119511420898</v>
      </c>
      <c r="D111" s="1661" t="n">
        <f aca="false">'[4]Monthly Curve Calc.'!F114</f>
        <v>2.24469277031199</v>
      </c>
      <c r="E111" s="1662" t="n">
        <f aca="false">IF($A111&lt;=E$16,D111,(B111/B110)/(C111/C110)*E110)</f>
        <v>1.62952572417874</v>
      </c>
      <c r="F111" s="1674" t="n">
        <f aca="false">IF(Assm!$L$75=0,F110,IF(AND($A111&gt;F$16,MONTH($A111)=MONTH(F$16)),B110/B98,F110))</f>
        <v>1.08</v>
      </c>
      <c r="G111" s="1668" t="n">
        <f aca="false">IF(Assm!$L$75=0,G110,IF(AND($A111&gt;G$16,MONTH($A111)=MONTH(G$16)),C110/C98,G110))</f>
        <v>1.02920575040411</v>
      </c>
      <c r="H111" s="1668" t="n">
        <f aca="false">IF(Assm!$L$75=0,H110,IF(AND($A111&gt;H$16,MONTH($A111)=MONTH(H$16)),C110/C98-H$18,H110))</f>
        <v>1.02670575040411</v>
      </c>
      <c r="I111" s="1668" t="n">
        <f aca="false">IF(Assm!$L$75=0,I110,IF($A111&gt;=I$16,IF(MONTH($A111)=MONTH(I$16),AVERAGE(D99:D110),I110),I110))</f>
        <v>2.16468774735532</v>
      </c>
      <c r="J111" s="1675" t="n">
        <f aca="false">IF(Assm!$L$75=0,J110,IF($A111&gt;=J$16,IF(MONTH($A111)=MONTH(J$16),AVERAGE(E99:E110),J110),J110))</f>
        <v>1.54339120638181</v>
      </c>
      <c r="K111" s="1624" t="n">
        <f aca="false">K110+1</f>
        <v>99</v>
      </c>
      <c r="L111" s="1667" t="n">
        <f aca="false">HLOOKUP(L$14,Dec_Change,$K111)</f>
        <v>1.02920575040411</v>
      </c>
      <c r="M111" s="1668" t="n">
        <f aca="false">M110</f>
        <v>0</v>
      </c>
      <c r="N111" s="1675" t="n">
        <f aca="false">IF(AND($A111&gt;=N$16,MONTH($A111)=MONTH(N$16)),MAX(L111,M111)*N110,N110)</f>
        <v>1.20034933429065</v>
      </c>
      <c r="P111" s="1667" t="n">
        <f aca="false">HLOOKUP(P$14,Dec_Change,$K111)</f>
        <v>1.08</v>
      </c>
      <c r="Q111" s="1668" t="n">
        <f aca="false">Q110</f>
        <v>0</v>
      </c>
      <c r="R111" s="1675" t="n">
        <f aca="false">IF(AND($A111&gt;=R$16,MONTH($A111)=MONTH(R$16)),MAX(P111,Q111)*R110,R110)</f>
        <v>1.8096273546795</v>
      </c>
      <c r="T111" s="1667" t="n">
        <f aca="false">HLOOKUP(T$14,Dec_Change,$K111)</f>
        <v>1.02920575040411</v>
      </c>
      <c r="U111" s="1668" t="n">
        <f aca="false">U110</f>
        <v>1.005</v>
      </c>
      <c r="V111" s="1675" t="n">
        <f aca="false">IF(AND($A111&gt;=V$16,MONTH($A111)=MONTH(V$16)),MAX(T111,U111)*V110,V110)</f>
        <v>1.20034933429065</v>
      </c>
      <c r="X111" s="1667" t="n">
        <f aca="false">HLOOKUP(X$14,Dec_Change,$K111)</f>
        <v>1.02670575040411</v>
      </c>
      <c r="Y111" s="1668" t="n">
        <f aca="false">Y110</f>
        <v>1.02</v>
      </c>
      <c r="Z111" s="1675" t="n">
        <f aca="false">IF(AND($A111&gt;=Z$16,MONTH($A111)=MONTH(Z$16)),MAX(X111,Y111)*Z110,Z110)</f>
        <v>1.18952904665845</v>
      </c>
      <c r="AB111" s="1667" t="n">
        <f aca="false">HLOOKUP(AB$14,Dec_Change,$K111)</f>
        <v>1.02670575040411</v>
      </c>
      <c r="AC111" s="1668" t="n">
        <f aca="false">AC110</f>
        <v>1.02</v>
      </c>
      <c r="AD111" s="1675" t="n">
        <f aca="false">IF(AND($A111&gt;=AD$16,MONTH($A111)=MONTH(AD$16)),MAX(AB111,AC111)*AD110,AD110)</f>
        <v>1.18952904665845</v>
      </c>
      <c r="AF111" s="1667" t="n">
        <f aca="false">HLOOKUP(AF$14,Dec_Change,$K111)</f>
        <v>1.08</v>
      </c>
      <c r="AG111" s="1668" t="n">
        <f aca="false">AG110</f>
        <v>0</v>
      </c>
      <c r="AH111" s="1675" t="n">
        <f aca="false">IF(AND($A111&gt;=AH$16,MONTH($A111)=MONTH(AH$16)),MAX(AF111,AG111)*AH110,AH110)</f>
        <v>1.8096273546795</v>
      </c>
      <c r="AJ111" s="1667" t="n">
        <f aca="false">HLOOKUP(AJ$14,Dec_Change,$K111)</f>
        <v>1.02670575040411</v>
      </c>
      <c r="AK111" s="1668" t="n">
        <f aca="false">AK110</f>
        <v>1.02</v>
      </c>
      <c r="AL111" s="1675" t="n">
        <f aca="false">IF(AND($A111&gt;=AL$16,MONTH($A111)=MONTH(AL$16)),MAX(AJ111,AK111)*AL110,AL110)</f>
        <v>1.18952904665845</v>
      </c>
      <c r="AN111" s="1667" t="n">
        <f aca="false">HLOOKUP(AN$14,Dec_Change,$K111)</f>
        <v>1.02920575040411</v>
      </c>
      <c r="AO111" s="1668" t="n">
        <f aca="false">AO110</f>
        <v>1.005</v>
      </c>
      <c r="AP111" s="1675" t="n">
        <f aca="false">IF(AND($A111&gt;=AP$16,MONTH($A111)=MONTH(AP$16)),MAX(AN111,AO111)*AP110,AP110)</f>
        <v>1.20034933429065</v>
      </c>
      <c r="AR111" s="1670" t="n">
        <f aca="false">$A111</f>
        <v>38200</v>
      </c>
      <c r="AS111" s="1671" t="n">
        <f aca="false">IF(AND($A111&gt;=EDATE(AS$17,12),IF(Assm!$L$74=0,$D111,$E111)/AS110&gt;=1.05),IF(Assm!$L$74=0,$D111,$E111),AS110)</f>
        <v>2.15533798441706</v>
      </c>
      <c r="AT111" s="1671" t="n">
        <f aca="false">IF(AS111/AS110=1,AT110,AS111/AS110)</f>
        <v>1.05138438264247</v>
      </c>
      <c r="AU111" s="1671" t="n">
        <f aca="false">F111</f>
        <v>1.08</v>
      </c>
      <c r="AV111" s="1671" t="n">
        <f aca="false">MAX(AT111,AU111)</f>
        <v>1.08</v>
      </c>
      <c r="AW111" s="1675" t="n">
        <f aca="false">IF(AV111=AV110,AW110,AV111*AW110)</f>
        <v>2.25210734013237</v>
      </c>
    </row>
    <row r="112" customFormat="false" ht="12.75" hidden="false" customHeight="false" outlineLevel="0" collapsed="false">
      <c r="A112" s="1673" t="n">
        <f aca="false">EDATE(A111,1)</f>
        <v>38231</v>
      </c>
      <c r="B112" s="1659" t="n">
        <f aca="false">'[4]Monthly Curve Calc.'!B115</f>
        <v>261.242982908792</v>
      </c>
      <c r="C112" s="1660" t="n">
        <f aca="false">'[4]Monthly Curve Calc.'!C115</f>
        <v>194.578094051885</v>
      </c>
      <c r="D112" s="1661" t="n">
        <f aca="false">'[4]Monthly Curve Calc.'!F115</f>
        <v>2.25049365910673</v>
      </c>
      <c r="E112" s="1662" t="n">
        <f aca="false">IF($A112&lt;=E$16,D112,(B112/B111)/(C112/C111)*E111)</f>
        <v>1.63614495760013</v>
      </c>
      <c r="F112" s="1674" t="n">
        <f aca="false">IF(Assm!$L$75=0,F111,IF(AND($A112&gt;F$16,MONTH($A112)=MONTH(F$16)),B111/B99,F111))</f>
        <v>1.08</v>
      </c>
      <c r="G112" s="1668" t="n">
        <f aca="false">IF(Assm!$L$75=0,G111,IF(AND($A112&gt;G$16,MONTH($A112)=MONTH(G$16)),C111/C99,G111))</f>
        <v>1.02920575040411</v>
      </c>
      <c r="H112" s="1668" t="n">
        <f aca="false">IF(Assm!$L$75=0,H111,IF(AND($A112&gt;H$16,MONTH($A112)=MONTH(H$16)),C111/C99-H$18,H111))</f>
        <v>1.02670575040411</v>
      </c>
      <c r="I112" s="1668" t="n">
        <f aca="false">IF(Assm!$L$75=0,I111,IF($A112&gt;=I$16,IF(MONTH($A112)=MONTH(I$16),AVERAGE(D100:D111),I111),I111))</f>
        <v>2.16468774735532</v>
      </c>
      <c r="J112" s="1675" t="n">
        <f aca="false">IF(Assm!$L$75=0,J111,IF($A112&gt;=J$16,IF(MONTH($A112)=MONTH(J$16),AVERAGE(E100:E111),J111),J111))</f>
        <v>1.54339120638181</v>
      </c>
      <c r="K112" s="1624" t="n">
        <f aca="false">K111+1</f>
        <v>100</v>
      </c>
      <c r="L112" s="1667" t="n">
        <f aca="false">HLOOKUP(L$14,Dec_Change,$K112)</f>
        <v>1.02920575040411</v>
      </c>
      <c r="M112" s="1668" t="n">
        <f aca="false">M111</f>
        <v>0</v>
      </c>
      <c r="N112" s="1675" t="n">
        <f aca="false">IF(AND($A112&gt;=N$16,MONTH($A112)=MONTH(N$16)),MAX(L112,M112)*N111,N111)</f>
        <v>1.20034933429065</v>
      </c>
      <c r="P112" s="1667" t="n">
        <f aca="false">HLOOKUP(P$14,Dec_Change,$K112)</f>
        <v>1.08</v>
      </c>
      <c r="Q112" s="1668" t="n">
        <f aca="false">Q111</f>
        <v>0</v>
      </c>
      <c r="R112" s="1675" t="n">
        <f aca="false">IF(AND($A112&gt;=R$16,MONTH($A112)=MONTH(R$16)),MAX(P112,Q112)*R111,R111)</f>
        <v>1.8096273546795</v>
      </c>
      <c r="T112" s="1667" t="n">
        <f aca="false">HLOOKUP(T$14,Dec_Change,$K112)</f>
        <v>1.02920575040411</v>
      </c>
      <c r="U112" s="1668" t="n">
        <f aca="false">U111</f>
        <v>1.005</v>
      </c>
      <c r="V112" s="1675" t="n">
        <f aca="false">IF(AND($A112&gt;=V$16,MONTH($A112)=MONTH(V$16)),MAX(T112,U112)*V111,V111)</f>
        <v>1.20034933429065</v>
      </c>
      <c r="X112" s="1667" t="n">
        <f aca="false">HLOOKUP(X$14,Dec_Change,$K112)</f>
        <v>1.02670575040411</v>
      </c>
      <c r="Y112" s="1668" t="n">
        <f aca="false">Y111</f>
        <v>1.02</v>
      </c>
      <c r="Z112" s="1675" t="n">
        <f aca="false">IF(AND($A112&gt;=Z$16,MONTH($A112)=MONTH(Z$16)),MAX(X112,Y112)*Z111,Z111)</f>
        <v>1.18952904665845</v>
      </c>
      <c r="AB112" s="1667" t="n">
        <f aca="false">HLOOKUP(AB$14,Dec_Change,$K112)</f>
        <v>1.02670575040411</v>
      </c>
      <c r="AC112" s="1668" t="n">
        <f aca="false">AC111</f>
        <v>1.02</v>
      </c>
      <c r="AD112" s="1675" t="n">
        <f aca="false">IF(AND($A112&gt;=AD$16,MONTH($A112)=MONTH(AD$16)),MAX(AB112,AC112)*AD111,AD111)</f>
        <v>1.18952904665845</v>
      </c>
      <c r="AF112" s="1667" t="n">
        <f aca="false">HLOOKUP(AF$14,Dec_Change,$K112)</f>
        <v>1.08</v>
      </c>
      <c r="AG112" s="1668" t="n">
        <f aca="false">AG111</f>
        <v>0</v>
      </c>
      <c r="AH112" s="1675" t="n">
        <f aca="false">IF(AND($A112&gt;=AH$16,MONTH($A112)=MONTH(AH$16)),MAX(AF112,AG112)*AH111,AH111)</f>
        <v>1.8096273546795</v>
      </c>
      <c r="AJ112" s="1667" t="n">
        <f aca="false">HLOOKUP(AJ$14,Dec_Change,$K112)</f>
        <v>1.02670575040411</v>
      </c>
      <c r="AK112" s="1668" t="n">
        <f aca="false">AK111</f>
        <v>1.02</v>
      </c>
      <c r="AL112" s="1675" t="n">
        <f aca="false">IF(AND($A112&gt;=AL$16,MONTH($A112)=MONTH(AL$16)),MAX(AJ112,AK112)*AL111,AL111)</f>
        <v>1.18952904665845</v>
      </c>
      <c r="AN112" s="1667" t="n">
        <f aca="false">HLOOKUP(AN$14,Dec_Change,$K112)</f>
        <v>1.02920575040411</v>
      </c>
      <c r="AO112" s="1668" t="n">
        <f aca="false">AO111</f>
        <v>1.005</v>
      </c>
      <c r="AP112" s="1675" t="n">
        <f aca="false">IF(AND($A112&gt;=AP$16,MONTH($A112)=MONTH(AP$16)),MAX(AN112,AO112)*AP111,AP111)</f>
        <v>1.20034933429065</v>
      </c>
      <c r="AR112" s="1670" t="n">
        <f aca="false">$A112</f>
        <v>38231</v>
      </c>
      <c r="AS112" s="1671" t="n">
        <f aca="false">IF(AND($A112&gt;=EDATE(AS$17,12),IF(Assm!$L$74=0,$D112,$E112)/AS111&gt;=1.05),IF(Assm!$L$74=0,$D112,$E112),AS111)</f>
        <v>2.15533798441706</v>
      </c>
      <c r="AT112" s="1671" t="n">
        <f aca="false">IF(AS112/AS111=1,AT111,AS112/AS111)</f>
        <v>1.05138438264247</v>
      </c>
      <c r="AU112" s="1671" t="n">
        <f aca="false">F112</f>
        <v>1.08</v>
      </c>
      <c r="AV112" s="1671" t="n">
        <f aca="false">MAX(AT112,AU112)</f>
        <v>1.08</v>
      </c>
      <c r="AW112" s="1675" t="n">
        <f aca="false">IF(AV112=AV111,AW111,AV112*AW111)</f>
        <v>2.25210734013237</v>
      </c>
    </row>
    <row r="113" customFormat="false" ht="12.75" hidden="false" customHeight="false" outlineLevel="0" collapsed="false">
      <c r="A113" s="1673" t="n">
        <f aca="false">EDATE(A112,1)</f>
        <v>38261</v>
      </c>
      <c r="B113" s="1659" t="n">
        <f aca="false">'[4]Monthly Curve Calc.'!B116</f>
        <v>262.923828126855</v>
      </c>
      <c r="C113" s="1660" t="n">
        <f aca="false">'[4]Monthly Curve Calc.'!C116</f>
        <v>195.037760025952</v>
      </c>
      <c r="D113" s="1661" t="n">
        <f aca="false">'[4]Monthly Curve Calc.'!F116</f>
        <v>2.25630953895558</v>
      </c>
      <c r="E113" s="1662" t="n">
        <f aca="false">IF($A113&lt;=E$16,D113,(B113/B112)/(C113/C112)*E112)</f>
        <v>1.6427910787536</v>
      </c>
      <c r="F113" s="1674" t="n">
        <f aca="false">IF(Assm!$L$75=0,F112,IF(AND($A113&gt;F$16,MONTH($A113)=MONTH(F$16)),B112/B100,F112))</f>
        <v>1.08</v>
      </c>
      <c r="G113" s="1668" t="n">
        <f aca="false">IF(Assm!$L$75=0,G112,IF(AND($A113&gt;G$16,MONTH($A113)=MONTH(G$16)),C112/C100,G112))</f>
        <v>1.02920575040411</v>
      </c>
      <c r="H113" s="1668" t="n">
        <f aca="false">IF(Assm!$L$75=0,H112,IF(AND($A113&gt;H$16,MONTH($A113)=MONTH(H$16)),C112/C100-H$18,H112))</f>
        <v>1.02670575040411</v>
      </c>
      <c r="I113" s="1668" t="n">
        <f aca="false">IF(Assm!$L$75=0,I112,IF($A113&gt;=I$16,IF(MONTH($A113)=MONTH(I$16),AVERAGE(D101:D112),I112),I112))</f>
        <v>2.16468774735532</v>
      </c>
      <c r="J113" s="1675" t="n">
        <f aca="false">IF(Assm!$L$75=0,J112,IF($A113&gt;=J$16,IF(MONTH($A113)=MONTH(J$16),AVERAGE(E101:E112),J112),J112))</f>
        <v>1.54339120638181</v>
      </c>
      <c r="K113" s="1624" t="n">
        <f aca="false">K112+1</f>
        <v>101</v>
      </c>
      <c r="L113" s="1667" t="n">
        <f aca="false">HLOOKUP(L$14,Dec_Change,$K113)</f>
        <v>1.02920575040411</v>
      </c>
      <c r="M113" s="1668" t="n">
        <f aca="false">M112</f>
        <v>0</v>
      </c>
      <c r="N113" s="1675" t="n">
        <f aca="false">IF(AND($A113&gt;=N$16,MONTH($A113)=MONTH(N$16)),MAX(L113,M113)*N112,N112)</f>
        <v>1.20034933429065</v>
      </c>
      <c r="P113" s="1667" t="n">
        <f aca="false">HLOOKUP(P$14,Dec_Change,$K113)</f>
        <v>1.08</v>
      </c>
      <c r="Q113" s="1668" t="n">
        <f aca="false">Q112</f>
        <v>0</v>
      </c>
      <c r="R113" s="1675" t="n">
        <f aca="false">IF(AND($A113&gt;=R$16,MONTH($A113)=MONTH(R$16)),MAX(P113,Q113)*R112,R112)</f>
        <v>1.8096273546795</v>
      </c>
      <c r="T113" s="1667" t="n">
        <f aca="false">HLOOKUP(T$14,Dec_Change,$K113)</f>
        <v>1.02920575040411</v>
      </c>
      <c r="U113" s="1668" t="n">
        <f aca="false">U112</f>
        <v>1.005</v>
      </c>
      <c r="V113" s="1675" t="n">
        <f aca="false">IF(AND($A113&gt;=V$16,MONTH($A113)=MONTH(V$16)),MAX(T113,U113)*V112,V112)</f>
        <v>1.20034933429065</v>
      </c>
      <c r="X113" s="1667" t="n">
        <f aca="false">HLOOKUP(X$14,Dec_Change,$K113)</f>
        <v>1.02670575040411</v>
      </c>
      <c r="Y113" s="1668" t="n">
        <f aca="false">Y112</f>
        <v>1.02</v>
      </c>
      <c r="Z113" s="1675" t="n">
        <f aca="false">IF(AND($A113&gt;=Z$16,MONTH($A113)=MONTH(Z$16)),MAX(X113,Y113)*Z112,Z112)</f>
        <v>1.18952904665845</v>
      </c>
      <c r="AB113" s="1667" t="n">
        <f aca="false">HLOOKUP(AB$14,Dec_Change,$K113)</f>
        <v>1.02670575040411</v>
      </c>
      <c r="AC113" s="1668" t="n">
        <f aca="false">AC112</f>
        <v>1.02</v>
      </c>
      <c r="AD113" s="1675" t="n">
        <f aca="false">IF(AND($A113&gt;=AD$16,MONTH($A113)=MONTH(AD$16)),MAX(AB113,AC113)*AD112,AD112)</f>
        <v>1.18952904665845</v>
      </c>
      <c r="AF113" s="1667" t="n">
        <f aca="false">HLOOKUP(AF$14,Dec_Change,$K113)</f>
        <v>1.08</v>
      </c>
      <c r="AG113" s="1668" t="n">
        <f aca="false">AG112</f>
        <v>0</v>
      </c>
      <c r="AH113" s="1675" t="n">
        <f aca="false">IF(AND($A113&gt;=AH$16,MONTH($A113)=MONTH(AH$16)),MAX(AF113,AG113)*AH112,AH112)</f>
        <v>1.8096273546795</v>
      </c>
      <c r="AJ113" s="1667" t="n">
        <f aca="false">HLOOKUP(AJ$14,Dec_Change,$K113)</f>
        <v>1.02670575040411</v>
      </c>
      <c r="AK113" s="1668" t="n">
        <f aca="false">AK112</f>
        <v>1.02</v>
      </c>
      <c r="AL113" s="1675" t="n">
        <f aca="false">IF(AND($A113&gt;=AL$16,MONTH($A113)=MONTH(AL$16)),MAX(AJ113,AK113)*AL112,AL112)</f>
        <v>1.18952904665845</v>
      </c>
      <c r="AN113" s="1667" t="n">
        <f aca="false">HLOOKUP(AN$14,Dec_Change,$K113)</f>
        <v>1.02920575040411</v>
      </c>
      <c r="AO113" s="1668" t="n">
        <f aca="false">AO112</f>
        <v>1.005</v>
      </c>
      <c r="AP113" s="1675" t="n">
        <f aca="false">IF(AND($A113&gt;=AP$16,MONTH($A113)=MONTH(AP$16)),MAX(AN113,AO113)*AP112,AP112)</f>
        <v>1.20034933429065</v>
      </c>
      <c r="AR113" s="1670" t="n">
        <f aca="false">$A113</f>
        <v>38261</v>
      </c>
      <c r="AS113" s="1671" t="n">
        <f aca="false">IF(AND($A113&gt;=EDATE(AS$17,12),IF(Assm!$L$74=0,$D113,$E113)/AS112&gt;=1.05),IF(Assm!$L$74=0,$D113,$E113),AS112)</f>
        <v>2.15533798441706</v>
      </c>
      <c r="AT113" s="1671" t="n">
        <f aca="false">IF(AS113/AS112=1,AT112,AS113/AS112)</f>
        <v>1.05138438264247</v>
      </c>
      <c r="AU113" s="1671" t="n">
        <f aca="false">F113</f>
        <v>1.08</v>
      </c>
      <c r="AV113" s="1671" t="n">
        <f aca="false">MAX(AT113,AU113)</f>
        <v>1.08</v>
      </c>
      <c r="AW113" s="1675" t="n">
        <f aca="false">IF(AV113=AV112,AW112,AV113*AW112)</f>
        <v>2.25210734013237</v>
      </c>
    </row>
    <row r="114" customFormat="false" ht="12.75" hidden="false" customHeight="false" outlineLevel="0" collapsed="false">
      <c r="A114" s="1673" t="n">
        <f aca="false">EDATE(A113,1)</f>
        <v>38292</v>
      </c>
      <c r="B114" s="1659" t="n">
        <f aca="false">'[4]Monthly Curve Calc.'!B117</f>
        <v>264.61548795366</v>
      </c>
      <c r="C114" s="1660" t="n">
        <f aca="false">'[4]Monthly Curve Calc.'!C117</f>
        <v>195.49851190236</v>
      </c>
      <c r="D114" s="1661" t="n">
        <f aca="false">'[4]Monthly Curve Calc.'!F117</f>
        <v>2.26214044859947</v>
      </c>
      <c r="E114" s="1662" t="n">
        <f aca="false">IF($A114&lt;=E$16,D114,(B114/B113)/(C114/C113)*E113)</f>
        <v>1.64946419685877</v>
      </c>
      <c r="F114" s="1674" t="n">
        <f aca="false">IF(Assm!$L$75=0,F113,IF(AND($A114&gt;F$16,MONTH($A114)=MONTH(F$16)),B113/B101,F113))</f>
        <v>1.08</v>
      </c>
      <c r="G114" s="1668" t="n">
        <f aca="false">IF(Assm!$L$75=0,G113,IF(AND($A114&gt;G$16,MONTH($A114)=MONTH(G$16)),C113/C101,G113))</f>
        <v>1.02920575040411</v>
      </c>
      <c r="H114" s="1668" t="n">
        <f aca="false">IF(Assm!$L$75=0,H113,IF(AND($A114&gt;H$16,MONTH($A114)=MONTH(H$16)),C113/C101-H$18,H113))</f>
        <v>1.02670575040411</v>
      </c>
      <c r="I114" s="1668" t="n">
        <f aca="false">IF(Assm!$L$75=0,I113,IF($A114&gt;=I$16,IF(MONTH($A114)=MONTH(I$16),AVERAGE(D102:D113),I113),I113))</f>
        <v>2.16468774735532</v>
      </c>
      <c r="J114" s="1675" t="n">
        <f aca="false">IF(Assm!$L$75=0,J113,IF($A114&gt;=J$16,IF(MONTH($A114)=MONTH(J$16),AVERAGE(E102:E113),J113),J113))</f>
        <v>1.54339120638181</v>
      </c>
      <c r="K114" s="1624" t="n">
        <f aca="false">K113+1</f>
        <v>102</v>
      </c>
      <c r="L114" s="1667" t="n">
        <f aca="false">HLOOKUP(L$14,Dec_Change,$K114)</f>
        <v>1.02920575040411</v>
      </c>
      <c r="M114" s="1668" t="n">
        <f aca="false">M113</f>
        <v>0</v>
      </c>
      <c r="N114" s="1675" t="n">
        <f aca="false">IF(AND($A114&gt;=N$16,MONTH($A114)=MONTH(N$16)),MAX(L114,M114)*N113,N113)</f>
        <v>1.20034933429065</v>
      </c>
      <c r="P114" s="1667" t="n">
        <f aca="false">HLOOKUP(P$14,Dec_Change,$K114)</f>
        <v>1.08</v>
      </c>
      <c r="Q114" s="1668" t="n">
        <f aca="false">Q113</f>
        <v>0</v>
      </c>
      <c r="R114" s="1675" t="n">
        <f aca="false">IF(AND($A114&gt;=R$16,MONTH($A114)=MONTH(R$16)),MAX(P114,Q114)*R113,R113)</f>
        <v>1.8096273546795</v>
      </c>
      <c r="T114" s="1667" t="n">
        <f aca="false">HLOOKUP(T$14,Dec_Change,$K114)</f>
        <v>1.02920575040411</v>
      </c>
      <c r="U114" s="1668" t="n">
        <f aca="false">U113</f>
        <v>1.005</v>
      </c>
      <c r="V114" s="1675" t="n">
        <f aca="false">IF(AND($A114&gt;=V$16,MONTH($A114)=MONTH(V$16)),MAX(T114,U114)*V113,V113)</f>
        <v>1.20034933429065</v>
      </c>
      <c r="X114" s="1667" t="n">
        <f aca="false">HLOOKUP(X$14,Dec_Change,$K114)</f>
        <v>1.02670575040411</v>
      </c>
      <c r="Y114" s="1668" t="n">
        <f aca="false">Y113</f>
        <v>1.02</v>
      </c>
      <c r="Z114" s="1675" t="n">
        <f aca="false">IF(AND($A114&gt;=Z$16,MONTH($A114)=MONTH(Z$16)),MAX(X114,Y114)*Z113,Z113)</f>
        <v>1.18952904665845</v>
      </c>
      <c r="AB114" s="1667" t="n">
        <f aca="false">HLOOKUP(AB$14,Dec_Change,$K114)</f>
        <v>1.02670575040411</v>
      </c>
      <c r="AC114" s="1668" t="n">
        <f aca="false">AC113</f>
        <v>1.02</v>
      </c>
      <c r="AD114" s="1675" t="n">
        <f aca="false">IF(AND($A114&gt;=AD$16,MONTH($A114)=MONTH(AD$16)),MAX(AB114,AC114)*AD113,AD113)</f>
        <v>1.18952904665845</v>
      </c>
      <c r="AF114" s="1667" t="n">
        <f aca="false">HLOOKUP(AF$14,Dec_Change,$K114)</f>
        <v>1.08</v>
      </c>
      <c r="AG114" s="1668" t="n">
        <f aca="false">AG113</f>
        <v>0</v>
      </c>
      <c r="AH114" s="1675" t="n">
        <f aca="false">IF(AND($A114&gt;=AH$16,MONTH($A114)=MONTH(AH$16)),MAX(AF114,AG114)*AH113,AH113)</f>
        <v>1.8096273546795</v>
      </c>
      <c r="AJ114" s="1667" t="n">
        <f aca="false">HLOOKUP(AJ$14,Dec_Change,$K114)</f>
        <v>1.02670575040411</v>
      </c>
      <c r="AK114" s="1668" t="n">
        <f aca="false">AK113</f>
        <v>1.02</v>
      </c>
      <c r="AL114" s="1675" t="n">
        <f aca="false">IF(AND($A114&gt;=AL$16,MONTH($A114)=MONTH(AL$16)),MAX(AJ114,AK114)*AL113,AL113)</f>
        <v>1.18952904665845</v>
      </c>
      <c r="AN114" s="1667" t="n">
        <f aca="false">HLOOKUP(AN$14,Dec_Change,$K114)</f>
        <v>1.02920575040411</v>
      </c>
      <c r="AO114" s="1668" t="n">
        <f aca="false">AO113</f>
        <v>1.005</v>
      </c>
      <c r="AP114" s="1675" t="n">
        <f aca="false">IF(AND($A114&gt;=AP$16,MONTH($A114)=MONTH(AP$16)),MAX(AN114,AO114)*AP113,AP113)</f>
        <v>1.20034933429065</v>
      </c>
      <c r="AR114" s="1670" t="n">
        <f aca="false">$A114</f>
        <v>38292</v>
      </c>
      <c r="AS114" s="1671" t="n">
        <f aca="false">IF(AND($A114&gt;=EDATE(AS$17,12),IF(Assm!$L$74=0,$D114,$E114)/AS113&gt;=1.05),IF(Assm!$L$74=0,$D114,$E114),AS113)</f>
        <v>2.15533798441706</v>
      </c>
      <c r="AT114" s="1671" t="n">
        <f aca="false">IF(AS114/AS113=1,AT113,AS114/AS113)</f>
        <v>1.05138438264247</v>
      </c>
      <c r="AU114" s="1671" t="n">
        <f aca="false">F114</f>
        <v>1.08</v>
      </c>
      <c r="AV114" s="1671" t="n">
        <f aca="false">MAX(AT114,AU114)</f>
        <v>1.08</v>
      </c>
      <c r="AW114" s="1675" t="n">
        <f aca="false">IF(AV114=AV113,AW113,AV114*AW113)</f>
        <v>2.25210734013237</v>
      </c>
    </row>
    <row r="115" customFormat="false" ht="12.75" hidden="false" customHeight="false" outlineLevel="0" collapsed="false">
      <c r="A115" s="1673" t="n">
        <f aca="false">EDATE(A114,1)</f>
        <v>38322</v>
      </c>
      <c r="B115" s="1659" t="n">
        <f aca="false">'[4]Monthly Curve Calc.'!B118</f>
        <v>266.318031970727</v>
      </c>
      <c r="C115" s="1660" t="n">
        <f aca="false">'[4]Monthly Curve Calc.'!C118</f>
        <v>195.960352246414</v>
      </c>
      <c r="D115" s="1661" t="n">
        <f aca="false">'[4]Monthly Curve Calc.'!F118</f>
        <v>2.26798642687942</v>
      </c>
      <c r="E115" s="1662" t="n">
        <f aca="false">IF($A115&lt;=E$16,D115,(B115/B114)/(C115/C114)*E114)</f>
        <v>1.6561644215789</v>
      </c>
      <c r="F115" s="1674" t="n">
        <f aca="false">IF(Assm!$L$75=0,F114,IF(AND($A115&gt;F$16,MONTH($A115)=MONTH(F$16)),B114/B102,F114))</f>
        <v>1.08</v>
      </c>
      <c r="G115" s="1668" t="n">
        <f aca="false">IF(Assm!$L$75=0,G114,IF(AND($A115&gt;G$16,MONTH($A115)=MONTH(G$16)),C114/C102,G114))</f>
        <v>1.02920575040411</v>
      </c>
      <c r="H115" s="1668" t="n">
        <f aca="false">IF(Assm!$L$75=0,H114,IF(AND($A115&gt;H$16,MONTH($A115)=MONTH(H$16)),C114/C102-H$18,H114))</f>
        <v>1.02670575040411</v>
      </c>
      <c r="I115" s="1668" t="n">
        <f aca="false">IF(Assm!$L$75=0,I114,IF($A115&gt;=I$16,IF(MONTH($A115)=MONTH(I$16),AVERAGE(D103:D114),I114),I114))</f>
        <v>2.16468774735532</v>
      </c>
      <c r="J115" s="1675" t="n">
        <f aca="false">IF(Assm!$L$75=0,J114,IF($A115&gt;=J$16,IF(MONTH($A115)=MONTH(J$16),AVERAGE(E103:E114),J114),J114))</f>
        <v>1.54339120638181</v>
      </c>
      <c r="K115" s="1624" t="n">
        <f aca="false">K114+1</f>
        <v>103</v>
      </c>
      <c r="L115" s="1667" t="n">
        <f aca="false">HLOOKUP(L$14,Dec_Change,$K115)</f>
        <v>1.02920575040411</v>
      </c>
      <c r="M115" s="1668" t="n">
        <f aca="false">M114</f>
        <v>0</v>
      </c>
      <c r="N115" s="1675" t="n">
        <f aca="false">IF(AND($A115&gt;=N$16,MONTH($A115)=MONTH(N$16)),MAX(L115,M115)*N114,N114)</f>
        <v>1.20034933429065</v>
      </c>
      <c r="P115" s="1667" t="n">
        <f aca="false">HLOOKUP(P$14,Dec_Change,$K115)</f>
        <v>1.08</v>
      </c>
      <c r="Q115" s="1668" t="n">
        <f aca="false">Q114</f>
        <v>0</v>
      </c>
      <c r="R115" s="1675" t="n">
        <f aca="false">IF(AND($A115&gt;=R$16,MONTH($A115)=MONTH(R$16)),MAX(P115,Q115)*R114,R114)</f>
        <v>1.8096273546795</v>
      </c>
      <c r="T115" s="1667" t="n">
        <f aca="false">HLOOKUP(T$14,Dec_Change,$K115)</f>
        <v>1.02920575040411</v>
      </c>
      <c r="U115" s="1668" t="n">
        <f aca="false">U114</f>
        <v>1.005</v>
      </c>
      <c r="V115" s="1675" t="n">
        <f aca="false">IF(AND($A115&gt;=V$16,MONTH($A115)=MONTH(V$16)),MAX(T115,U115)*V114,V114)</f>
        <v>1.20034933429065</v>
      </c>
      <c r="X115" s="1667" t="n">
        <f aca="false">HLOOKUP(X$14,Dec_Change,$K115)</f>
        <v>1.02670575040411</v>
      </c>
      <c r="Y115" s="1668" t="n">
        <f aca="false">Y114</f>
        <v>1.02</v>
      </c>
      <c r="Z115" s="1675" t="n">
        <f aca="false">IF(AND($A115&gt;=Z$16,MONTH($A115)=MONTH(Z$16)),MAX(X115,Y115)*Z114,Z114)</f>
        <v>1.18952904665845</v>
      </c>
      <c r="AB115" s="1667" t="n">
        <f aca="false">HLOOKUP(AB$14,Dec_Change,$K115)</f>
        <v>1.02670575040411</v>
      </c>
      <c r="AC115" s="1668" t="n">
        <f aca="false">AC114</f>
        <v>1.02</v>
      </c>
      <c r="AD115" s="1675" t="n">
        <f aca="false">IF(AND($A115&gt;=AD$16,MONTH($A115)=MONTH(AD$16)),MAX(AB115,AC115)*AD114,AD114)</f>
        <v>1.18952904665845</v>
      </c>
      <c r="AF115" s="1667" t="n">
        <f aca="false">HLOOKUP(AF$14,Dec_Change,$K115)</f>
        <v>1.08</v>
      </c>
      <c r="AG115" s="1668" t="n">
        <f aca="false">AG114</f>
        <v>0</v>
      </c>
      <c r="AH115" s="1675" t="n">
        <f aca="false">IF(AND($A115&gt;=AH$16,MONTH($A115)=MONTH(AH$16)),MAX(AF115,AG115)*AH114,AH114)</f>
        <v>1.8096273546795</v>
      </c>
      <c r="AJ115" s="1667" t="n">
        <f aca="false">HLOOKUP(AJ$14,Dec_Change,$K115)</f>
        <v>1.02670575040411</v>
      </c>
      <c r="AK115" s="1668" t="n">
        <f aca="false">AK114</f>
        <v>1.02</v>
      </c>
      <c r="AL115" s="1675" t="n">
        <f aca="false">IF(AND($A115&gt;=AL$16,MONTH($A115)=MONTH(AL$16)),MAX(AJ115,AK115)*AL114,AL114)</f>
        <v>1.18952904665845</v>
      </c>
      <c r="AN115" s="1667" t="n">
        <f aca="false">HLOOKUP(AN$14,Dec_Change,$K115)</f>
        <v>1.02920575040411</v>
      </c>
      <c r="AO115" s="1668" t="n">
        <f aca="false">AO114</f>
        <v>1.005</v>
      </c>
      <c r="AP115" s="1675" t="n">
        <f aca="false">IF(AND($A115&gt;=AP$16,MONTH($A115)=MONTH(AP$16)),MAX(AN115,AO115)*AP114,AP114)</f>
        <v>1.20034933429065</v>
      </c>
      <c r="AR115" s="1670" t="n">
        <f aca="false">$A115</f>
        <v>38322</v>
      </c>
      <c r="AS115" s="1671" t="n">
        <f aca="false">IF(AND($A115&gt;=EDATE(AS$17,12),IF(Assm!$L$74=0,$D115,$E115)/AS114&gt;=1.05),IF(Assm!$L$74=0,$D115,$E115),AS114)</f>
        <v>2.26798642687942</v>
      </c>
      <c r="AT115" s="1671" t="n">
        <f aca="false">IF(AS115/AS114=1,AT114,AS115/AS114)</f>
        <v>1.05226486206655</v>
      </c>
      <c r="AU115" s="1671" t="n">
        <f aca="false">F115</f>
        <v>1.08</v>
      </c>
      <c r="AV115" s="1671" t="n">
        <f aca="false">MAX(AT115,AU115)</f>
        <v>1.08</v>
      </c>
      <c r="AW115" s="1675" t="n">
        <f aca="false">IF(AV115=AV114,AW114,AV115*AW114)</f>
        <v>2.25210734013237</v>
      </c>
    </row>
    <row r="116" customFormat="false" ht="12.75" hidden="false" customHeight="false" outlineLevel="0" collapsed="false">
      <c r="A116" s="1673" t="n">
        <f aca="false">EDATE(A115,1)</f>
        <v>38353</v>
      </c>
      <c r="B116" s="1659" t="n">
        <f aca="false">'[4]Monthly Curve Calc.'!B119</f>
        <v>267.927902908699</v>
      </c>
      <c r="C116" s="1660" t="n">
        <f aca="false">'[4]Monthly Curve Calc.'!C119</f>
        <v>196.415326114842</v>
      </c>
      <c r="D116" s="1661" t="n">
        <f aca="false">'[4]Monthly Curve Calc.'!F119</f>
        <v>2.27329442304836</v>
      </c>
      <c r="E116" s="1662" t="n">
        <f aca="false">IF($A116&lt;=E$16,D116,(B116/B115)/(C116/C115)*E115)</f>
        <v>1.66231629376798</v>
      </c>
      <c r="F116" s="1674" t="n">
        <f aca="false">IF(Assm!$L$75=0,F115,IF(AND($A116&gt;F$16,MONTH($A116)=MONTH(F$16)),B115/B103,F115))</f>
        <v>1.08</v>
      </c>
      <c r="G116" s="1668" t="n">
        <f aca="false">IF(Assm!$L$75=0,G115,IF(AND($A116&gt;G$16,MONTH($A116)=MONTH(G$16)),C115/C103,G115))</f>
        <v>1.02920575040411</v>
      </c>
      <c r="H116" s="1668" t="n">
        <f aca="false">IF(Assm!$L$75=0,H115,IF(AND($A116&gt;H$16,MONTH($A116)=MONTH(H$16)),C115/C103-H$18,H115))</f>
        <v>1.02670575040411</v>
      </c>
      <c r="I116" s="1668" t="n">
        <f aca="false">IF(Assm!$L$75=0,I115,IF($A116&gt;=I$16,IF(MONTH($A116)=MONTH(I$16),AVERAGE(D104:D115),I115),I115))</f>
        <v>2.23610820906301</v>
      </c>
      <c r="J116" s="1675" t="n">
        <f aca="false">IF(Assm!$L$75=0,J115,IF($A116&gt;=J$16,IF(MONTH($A116)=MONTH(J$16),AVERAGE(E104:E115),J115),J115))</f>
        <v>1.61980564575952</v>
      </c>
      <c r="K116" s="1624" t="n">
        <f aca="false">K115+1</f>
        <v>104</v>
      </c>
      <c r="L116" s="1667" t="n">
        <f aca="false">HLOOKUP(L$14,Dec_Change,$K116)</f>
        <v>1.02920575040411</v>
      </c>
      <c r="M116" s="1668" t="n">
        <f aca="false">M115</f>
        <v>0</v>
      </c>
      <c r="N116" s="1675" t="n">
        <f aca="false">IF(AND($A116&gt;=N$16,MONTH($A116)=MONTH(N$16)),MAX(L116,M116)*N115,N115)</f>
        <v>1.20034933429065</v>
      </c>
      <c r="P116" s="1667" t="n">
        <f aca="false">HLOOKUP(P$14,Dec_Change,$K116)</f>
        <v>1.08</v>
      </c>
      <c r="Q116" s="1668" t="n">
        <f aca="false">Q115</f>
        <v>0</v>
      </c>
      <c r="R116" s="1675" t="n">
        <f aca="false">IF(AND($A116&gt;=R$16,MONTH($A116)=MONTH(R$16)),MAX(P116,Q116)*R115,R115)</f>
        <v>1.8096273546795</v>
      </c>
      <c r="T116" s="1667" t="n">
        <f aca="false">HLOOKUP(T$14,Dec_Change,$K116)</f>
        <v>1.02920575040411</v>
      </c>
      <c r="U116" s="1668" t="n">
        <f aca="false">U115</f>
        <v>1.005</v>
      </c>
      <c r="V116" s="1675" t="n">
        <f aca="false">IF(AND($A116&gt;=V$16,MONTH($A116)=MONTH(V$16)),MAX(T116,U116)*V115,V115)</f>
        <v>1.20034933429065</v>
      </c>
      <c r="X116" s="1667" t="n">
        <f aca="false">HLOOKUP(X$14,Dec_Change,$K116)</f>
        <v>1.02670575040411</v>
      </c>
      <c r="Y116" s="1668" t="n">
        <f aca="false">Y115</f>
        <v>1.02</v>
      </c>
      <c r="Z116" s="1675" t="n">
        <f aca="false">IF(AND($A116&gt;=Z$16,MONTH($A116)=MONTH(Z$16)),MAX(X116,Y116)*Z115,Z115)</f>
        <v>1.18952904665845</v>
      </c>
      <c r="AB116" s="1667" t="n">
        <f aca="false">HLOOKUP(AB$14,Dec_Change,$K116)</f>
        <v>1.02670575040411</v>
      </c>
      <c r="AC116" s="1668" t="n">
        <f aca="false">AC115</f>
        <v>1.02</v>
      </c>
      <c r="AD116" s="1675" t="n">
        <f aca="false">IF(AND($A116&gt;=AD$16,MONTH($A116)=MONTH(AD$16)),MAX(AB116,AC116)*AD115,AD115)</f>
        <v>1.18952904665845</v>
      </c>
      <c r="AF116" s="1667" t="n">
        <f aca="false">HLOOKUP(AF$14,Dec_Change,$K116)</f>
        <v>1.08</v>
      </c>
      <c r="AG116" s="1668" t="n">
        <f aca="false">AG115</f>
        <v>0</v>
      </c>
      <c r="AH116" s="1675" t="n">
        <f aca="false">IF(AND($A116&gt;=AH$16,MONTH($A116)=MONTH(AH$16)),MAX(AF116,AG116)*AH115,AH115)</f>
        <v>1.8096273546795</v>
      </c>
      <c r="AJ116" s="1667" t="n">
        <f aca="false">HLOOKUP(AJ$14,Dec_Change,$K116)</f>
        <v>1.02670575040411</v>
      </c>
      <c r="AK116" s="1668" t="n">
        <f aca="false">AK115</f>
        <v>1.02</v>
      </c>
      <c r="AL116" s="1675" t="n">
        <f aca="false">IF(AND($A116&gt;=AL$16,MONTH($A116)=MONTH(AL$16)),MAX(AJ116,AK116)*AL115,AL115)</f>
        <v>1.18952904665845</v>
      </c>
      <c r="AN116" s="1667" t="n">
        <f aca="false">HLOOKUP(AN$14,Dec_Change,$K116)</f>
        <v>1.02920575040411</v>
      </c>
      <c r="AO116" s="1668" t="n">
        <f aca="false">AO115</f>
        <v>1.005</v>
      </c>
      <c r="AP116" s="1675" t="n">
        <f aca="false">IF(AND($A116&gt;=AP$16,MONTH($A116)=MONTH(AP$16)),MAX(AN116,AO116)*AP115,AP115)</f>
        <v>1.20034933429065</v>
      </c>
      <c r="AR116" s="1670" t="n">
        <f aca="false">$A116</f>
        <v>38353</v>
      </c>
      <c r="AS116" s="1671" t="n">
        <f aca="false">IF(AND($A116&gt;=EDATE(AS$17,12),IF(Assm!$L$74=0,$D116,$E116)/AS115&gt;=1.05),IF(Assm!$L$74=0,$D116,$E116),AS115)</f>
        <v>2.26798642687942</v>
      </c>
      <c r="AT116" s="1671" t="n">
        <f aca="false">IF(AS116/AS115=1,AT115,AS116/AS115)</f>
        <v>1.05226486206655</v>
      </c>
      <c r="AU116" s="1671" t="n">
        <f aca="false">F116</f>
        <v>1.08</v>
      </c>
      <c r="AV116" s="1671" t="n">
        <f aca="false">MAX(AT116,AU116)</f>
        <v>1.08</v>
      </c>
      <c r="AW116" s="1675" t="n">
        <f aca="false">IF(AV116=AV115,AW115,AV116*AW115)</f>
        <v>2.25210734013237</v>
      </c>
    </row>
    <row r="117" customFormat="false" ht="12.75" hidden="false" customHeight="false" outlineLevel="0" collapsed="false">
      <c r="A117" s="1673" t="n">
        <f aca="false">EDATE(A116,1)</f>
        <v>38384</v>
      </c>
      <c r="B117" s="1659" t="n">
        <f aca="false">'[4]Monthly Curve Calc.'!B120</f>
        <v>269.54750538613</v>
      </c>
      <c r="C117" s="1660" t="n">
        <f aca="false">'[4]Monthly Curve Calc.'!C120</f>
        <v>196.871356325631</v>
      </c>
      <c r="D117" s="1661" t="n">
        <f aca="false">'[4]Monthly Curve Calc.'!F120</f>
        <v>2.27861484205326</v>
      </c>
      <c r="E117" s="1662" t="n">
        <f aca="false">IF($A117&lt;=E$16,D117,(B117/B116)/(C117/C116)*E116)</f>
        <v>1.66849101726996</v>
      </c>
      <c r="F117" s="1674" t="n">
        <f aca="false">IF(Assm!$L$75=0,F116,IF(AND($A117&gt;F$16,MONTH($A117)=MONTH(F$16)),B116/B104,F116))</f>
        <v>1.08</v>
      </c>
      <c r="G117" s="1668" t="n">
        <f aca="false">IF(Assm!$L$75=0,G116,IF(AND($A117&gt;G$16,MONTH($A117)=MONTH(G$16)),C116/C104,G116))</f>
        <v>1.02920575040411</v>
      </c>
      <c r="H117" s="1668" t="n">
        <f aca="false">IF(Assm!$L$75=0,H116,IF(AND($A117&gt;H$16,MONTH($A117)=MONTH(H$16)),C116/C104-H$18,H116))</f>
        <v>1.02670575040411</v>
      </c>
      <c r="I117" s="1668" t="n">
        <f aca="false">IF(Assm!$L$75=0,I116,IF($A117&gt;=I$16,IF(MONTH($A117)=MONTH(I$16),AVERAGE(D105:D116),I116),I116))</f>
        <v>2.23610820906301</v>
      </c>
      <c r="J117" s="1675" t="n">
        <f aca="false">IF(Assm!$L$75=0,J116,IF($A117&gt;=J$16,IF(MONTH($A117)=MONTH(J$16),AVERAGE(E105:E116),J116),J116))</f>
        <v>1.61980564575952</v>
      </c>
      <c r="K117" s="1624" t="n">
        <f aca="false">K116+1</f>
        <v>105</v>
      </c>
      <c r="L117" s="1667" t="n">
        <f aca="false">HLOOKUP(L$14,Dec_Change,$K117)</f>
        <v>1.02920575040411</v>
      </c>
      <c r="M117" s="1668" t="n">
        <f aca="false">M116</f>
        <v>0</v>
      </c>
      <c r="N117" s="1675" t="n">
        <f aca="false">IF(AND($A117&gt;=N$16,MONTH($A117)=MONTH(N$16)),MAX(L117,M117)*N116,N116)</f>
        <v>1.20034933429065</v>
      </c>
      <c r="P117" s="1667" t="n">
        <f aca="false">HLOOKUP(P$14,Dec_Change,$K117)</f>
        <v>1.08</v>
      </c>
      <c r="Q117" s="1668" t="n">
        <f aca="false">Q116</f>
        <v>0</v>
      </c>
      <c r="R117" s="1675" t="n">
        <f aca="false">IF(AND($A117&gt;=R$16,MONTH($A117)=MONTH(R$16)),MAX(P117,Q117)*R116,R116)</f>
        <v>1.8096273546795</v>
      </c>
      <c r="T117" s="1667" t="n">
        <f aca="false">HLOOKUP(T$14,Dec_Change,$K117)</f>
        <v>1.02920575040411</v>
      </c>
      <c r="U117" s="1668" t="n">
        <f aca="false">U116</f>
        <v>1.005</v>
      </c>
      <c r="V117" s="1675" t="n">
        <f aca="false">IF(AND($A117&gt;=V$16,MONTH($A117)=MONTH(V$16)),MAX(T117,U117)*V116,V116)</f>
        <v>1.20034933429065</v>
      </c>
      <c r="X117" s="1667" t="n">
        <f aca="false">HLOOKUP(X$14,Dec_Change,$K117)</f>
        <v>1.02670575040411</v>
      </c>
      <c r="Y117" s="1668" t="n">
        <f aca="false">Y116</f>
        <v>1.02</v>
      </c>
      <c r="Z117" s="1675" t="n">
        <f aca="false">IF(AND($A117&gt;=Z$16,MONTH($A117)=MONTH(Z$16)),MAX(X117,Y117)*Z116,Z116)</f>
        <v>1.18952904665845</v>
      </c>
      <c r="AB117" s="1667" t="n">
        <f aca="false">HLOOKUP(AB$14,Dec_Change,$K117)</f>
        <v>1.02670575040411</v>
      </c>
      <c r="AC117" s="1668" t="n">
        <f aca="false">AC116</f>
        <v>1.02</v>
      </c>
      <c r="AD117" s="1675" t="n">
        <f aca="false">IF(AND($A117&gt;=AD$16,MONTH($A117)=MONTH(AD$16)),MAX(AB117,AC117)*AD116,AD116)</f>
        <v>1.18952904665845</v>
      </c>
      <c r="AF117" s="1667" t="n">
        <f aca="false">HLOOKUP(AF$14,Dec_Change,$K117)</f>
        <v>1.08</v>
      </c>
      <c r="AG117" s="1668" t="n">
        <f aca="false">AG116</f>
        <v>0</v>
      </c>
      <c r="AH117" s="1675" t="n">
        <f aca="false">IF(AND($A117&gt;=AH$16,MONTH($A117)=MONTH(AH$16)),MAX(AF117,AG117)*AH116,AH116)</f>
        <v>1.8096273546795</v>
      </c>
      <c r="AJ117" s="1667" t="n">
        <f aca="false">HLOOKUP(AJ$14,Dec_Change,$K117)</f>
        <v>1.02670575040411</v>
      </c>
      <c r="AK117" s="1668" t="n">
        <f aca="false">AK116</f>
        <v>1.02</v>
      </c>
      <c r="AL117" s="1675" t="n">
        <f aca="false">IF(AND($A117&gt;=AL$16,MONTH($A117)=MONTH(AL$16)),MAX(AJ117,AK117)*AL116,AL116)</f>
        <v>1.18952904665845</v>
      </c>
      <c r="AN117" s="1667" t="n">
        <f aca="false">HLOOKUP(AN$14,Dec_Change,$K117)</f>
        <v>1.02920575040411</v>
      </c>
      <c r="AO117" s="1668" t="n">
        <f aca="false">AO116</f>
        <v>1.005</v>
      </c>
      <c r="AP117" s="1675" t="n">
        <f aca="false">IF(AND($A117&gt;=AP$16,MONTH($A117)=MONTH(AP$16)),MAX(AN117,AO117)*AP116,AP116)</f>
        <v>1.20034933429065</v>
      </c>
      <c r="AR117" s="1670" t="n">
        <f aca="false">$A117</f>
        <v>38384</v>
      </c>
      <c r="AS117" s="1671" t="n">
        <f aca="false">IF(AND($A117&gt;=EDATE(AS$17,12),IF(Assm!$L$74=0,$D117,$E117)/AS116&gt;=1.05),IF(Assm!$L$74=0,$D117,$E117),AS116)</f>
        <v>2.26798642687942</v>
      </c>
      <c r="AT117" s="1671" t="n">
        <f aca="false">IF(AS117/AS116=1,AT116,AS117/AS116)</f>
        <v>1.05226486206655</v>
      </c>
      <c r="AU117" s="1671" t="n">
        <f aca="false">F117</f>
        <v>1.08</v>
      </c>
      <c r="AV117" s="1671" t="n">
        <f aca="false">MAX(AT117,AU117)</f>
        <v>1.08</v>
      </c>
      <c r="AW117" s="1675" t="n">
        <f aca="false">IF(AV117=AV116,AW116,AV117*AW116)</f>
        <v>2.25210734013237</v>
      </c>
    </row>
    <row r="118" customFormat="false" ht="12.75" hidden="false" customHeight="false" outlineLevel="0" collapsed="false">
      <c r="A118" s="1673" t="n">
        <f aca="false">EDATE(A117,1)</f>
        <v>38412</v>
      </c>
      <c r="B118" s="1659" t="n">
        <f aca="false">'[4]Monthly Curve Calc.'!B121</f>
        <v>271.176898229389</v>
      </c>
      <c r="C118" s="1660" t="n">
        <f aca="false">'[4]Monthly Curve Calc.'!C121</f>
        <v>197.328445331359</v>
      </c>
      <c r="D118" s="1661" t="n">
        <f aca="false">'[4]Monthly Curve Calc.'!F121</f>
        <v>2.28394771296852</v>
      </c>
      <c r="E118" s="1662" t="n">
        <f aca="false">IF($A118&lt;=E$16,D118,(B118/B117)/(C118/C117)*E117)</f>
        <v>1.67468867696674</v>
      </c>
      <c r="F118" s="1674" t="n">
        <f aca="false">IF(Assm!$L$75=0,F117,IF(AND($A118&gt;F$16,MONTH($A118)=MONTH(F$16)),B117/B105,F117))</f>
        <v>1.08</v>
      </c>
      <c r="G118" s="1668" t="n">
        <f aca="false">IF(Assm!$L$75=0,G117,IF(AND($A118&gt;G$16,MONTH($A118)=MONTH(G$16)),C117/C105,G117))</f>
        <v>1.02920575040411</v>
      </c>
      <c r="H118" s="1668" t="n">
        <f aca="false">IF(Assm!$L$75=0,H117,IF(AND($A118&gt;H$16,MONTH($A118)=MONTH(H$16)),C117/C105-H$18,H117))</f>
        <v>1.02670575040411</v>
      </c>
      <c r="I118" s="1668" t="n">
        <f aca="false">IF(Assm!$L$75=0,I117,IF($A118&gt;=I$16,IF(MONTH($A118)=MONTH(I$16),AVERAGE(D106:D117),I117),I117))</f>
        <v>2.23610820906301</v>
      </c>
      <c r="J118" s="1675" t="n">
        <f aca="false">IF(Assm!$L$75=0,J117,IF($A118&gt;=J$16,IF(MONTH($A118)=MONTH(J$16),AVERAGE(E106:E117),J117),J117))</f>
        <v>1.61980564575952</v>
      </c>
      <c r="K118" s="1624" t="n">
        <f aca="false">K117+1</f>
        <v>106</v>
      </c>
      <c r="L118" s="1667" t="n">
        <f aca="false">HLOOKUP(L$14,Dec_Change,$K118)</f>
        <v>1.02920575040411</v>
      </c>
      <c r="M118" s="1668" t="n">
        <f aca="false">M117</f>
        <v>0</v>
      </c>
      <c r="N118" s="1675" t="n">
        <f aca="false">IF(AND($A118&gt;=N$16,MONTH($A118)=MONTH(N$16)),MAX(L118,M118)*N117,N117)</f>
        <v>1.20034933429065</v>
      </c>
      <c r="P118" s="1667" t="n">
        <f aca="false">HLOOKUP(P$14,Dec_Change,$K118)</f>
        <v>1.08</v>
      </c>
      <c r="Q118" s="1668" t="n">
        <f aca="false">Q117</f>
        <v>0</v>
      </c>
      <c r="R118" s="1675" t="n">
        <f aca="false">IF(AND($A118&gt;=R$16,MONTH($A118)=MONTH(R$16)),MAX(P118,Q118)*R117,R117)</f>
        <v>1.8096273546795</v>
      </c>
      <c r="T118" s="1667" t="n">
        <f aca="false">HLOOKUP(T$14,Dec_Change,$K118)</f>
        <v>1.02920575040411</v>
      </c>
      <c r="U118" s="1668" t="n">
        <f aca="false">U117</f>
        <v>1.005</v>
      </c>
      <c r="V118" s="1675" t="n">
        <f aca="false">IF(AND($A118&gt;=V$16,MONTH($A118)=MONTH(V$16)),MAX(T118,U118)*V117,V117)</f>
        <v>1.20034933429065</v>
      </c>
      <c r="X118" s="1667" t="n">
        <f aca="false">HLOOKUP(X$14,Dec_Change,$K118)</f>
        <v>1.02670575040411</v>
      </c>
      <c r="Y118" s="1668" t="n">
        <f aca="false">Y117</f>
        <v>1.02</v>
      </c>
      <c r="Z118" s="1675" t="n">
        <f aca="false">IF(AND($A118&gt;=Z$16,MONTH($A118)=MONTH(Z$16)),MAX(X118,Y118)*Z117,Z117)</f>
        <v>1.18952904665845</v>
      </c>
      <c r="AB118" s="1667" t="n">
        <f aca="false">HLOOKUP(AB$14,Dec_Change,$K118)</f>
        <v>1.02670575040411</v>
      </c>
      <c r="AC118" s="1668" t="n">
        <f aca="false">AC117</f>
        <v>1.02</v>
      </c>
      <c r="AD118" s="1675" t="n">
        <f aca="false">IF(AND($A118&gt;=AD$16,MONTH($A118)=MONTH(AD$16)),MAX(AB118,AC118)*AD117,AD117)</f>
        <v>1.18952904665845</v>
      </c>
      <c r="AF118" s="1667" t="n">
        <f aca="false">HLOOKUP(AF$14,Dec_Change,$K118)</f>
        <v>1.08</v>
      </c>
      <c r="AG118" s="1668" t="n">
        <f aca="false">AG117</f>
        <v>0</v>
      </c>
      <c r="AH118" s="1675" t="n">
        <f aca="false">IF(AND($A118&gt;=AH$16,MONTH($A118)=MONTH(AH$16)),MAX(AF118,AG118)*AH117,AH117)</f>
        <v>1.8096273546795</v>
      </c>
      <c r="AJ118" s="1667" t="n">
        <f aca="false">HLOOKUP(AJ$14,Dec_Change,$K118)</f>
        <v>1.02670575040411</v>
      </c>
      <c r="AK118" s="1668" t="n">
        <f aca="false">AK117</f>
        <v>1.02</v>
      </c>
      <c r="AL118" s="1675" t="n">
        <f aca="false">IF(AND($A118&gt;=AL$16,MONTH($A118)=MONTH(AL$16)),MAX(AJ118,AK118)*AL117,AL117)</f>
        <v>1.18952904665845</v>
      </c>
      <c r="AN118" s="1667" t="n">
        <f aca="false">HLOOKUP(AN$14,Dec_Change,$K118)</f>
        <v>1.02920575040411</v>
      </c>
      <c r="AO118" s="1668" t="n">
        <f aca="false">AO117</f>
        <v>1.005</v>
      </c>
      <c r="AP118" s="1675" t="n">
        <f aca="false">IF(AND($A118&gt;=AP$16,MONTH($A118)=MONTH(AP$16)),MAX(AN118,AO118)*AP117,AP117)</f>
        <v>1.20034933429065</v>
      </c>
      <c r="AR118" s="1670" t="n">
        <f aca="false">$A118</f>
        <v>38412</v>
      </c>
      <c r="AS118" s="1671" t="n">
        <f aca="false">IF(AND($A118&gt;=EDATE(AS$17,12),IF(Assm!$L$74=0,$D118,$E118)/AS117&gt;=1.05),IF(Assm!$L$74=0,$D118,$E118),AS117)</f>
        <v>2.26798642687942</v>
      </c>
      <c r="AT118" s="1671" t="n">
        <f aca="false">IF(AS118/AS117=1,AT117,AS118/AS117)</f>
        <v>1.05226486206655</v>
      </c>
      <c r="AU118" s="1671" t="n">
        <f aca="false">F118</f>
        <v>1.08</v>
      </c>
      <c r="AV118" s="1671" t="n">
        <f aca="false">MAX(AT118,AU118)</f>
        <v>1.08</v>
      </c>
      <c r="AW118" s="1675" t="n">
        <f aca="false">IF(AV118=AV117,AW117,AV118*AW117)</f>
        <v>2.25210734013237</v>
      </c>
    </row>
    <row r="119" customFormat="false" ht="12.75" hidden="false" customHeight="false" outlineLevel="0" collapsed="false">
      <c r="A119" s="1673" t="n">
        <f aca="false">EDATE(A118,1)</f>
        <v>38443</v>
      </c>
      <c r="B119" s="1659" t="n">
        <f aca="false">'[4]Monthly Curve Calc.'!B122</f>
        <v>272.816140620445</v>
      </c>
      <c r="C119" s="1660" t="n">
        <f aca="false">'[4]Monthly Curve Calc.'!C122</f>
        <v>197.786595590298</v>
      </c>
      <c r="D119" s="1661" t="n">
        <f aca="false">'[4]Monthly Curve Calc.'!F122</f>
        <v>2.2892930649366</v>
      </c>
      <c r="E119" s="1662" t="n">
        <f aca="false">IF($A119&lt;=E$16,D119,(B119/B118)/(C119/C118)*E118)</f>
        <v>1.6809093580555</v>
      </c>
      <c r="F119" s="1674" t="n">
        <f aca="false">IF(Assm!$L$75=0,F118,IF(AND($A119&gt;F$16,MONTH($A119)=MONTH(F$16)),B118/B106,F118))</f>
        <v>1.08</v>
      </c>
      <c r="G119" s="1668" t="n">
        <f aca="false">IF(Assm!$L$75=0,G118,IF(AND($A119&gt;G$16,MONTH($A119)=MONTH(G$16)),C118/C106,G118))</f>
        <v>1.02920575040411</v>
      </c>
      <c r="H119" s="1668" t="n">
        <f aca="false">IF(Assm!$L$75=0,H118,IF(AND($A119&gt;H$16,MONTH($A119)=MONTH(H$16)),C118/C106-H$18,H118))</f>
        <v>1.02670575040411</v>
      </c>
      <c r="I119" s="1668" t="n">
        <f aca="false">IF(Assm!$L$75=0,I118,IF($A119&gt;=I$16,IF(MONTH($A119)=MONTH(I$16),AVERAGE(D107:D118),I118),I118))</f>
        <v>2.23610820906301</v>
      </c>
      <c r="J119" s="1675" t="n">
        <f aca="false">IF(Assm!$L$75=0,J118,IF($A119&gt;=J$16,IF(MONTH($A119)=MONTH(J$16),AVERAGE(E107:E118),J118),J118))</f>
        <v>1.61980564575952</v>
      </c>
      <c r="K119" s="1624" t="n">
        <f aca="false">K118+1</f>
        <v>107</v>
      </c>
      <c r="L119" s="1667" t="n">
        <f aca="false">HLOOKUP(L$14,Dec_Change,$K119)</f>
        <v>1.02920575040411</v>
      </c>
      <c r="M119" s="1668" t="n">
        <f aca="false">M118</f>
        <v>0</v>
      </c>
      <c r="N119" s="1675" t="n">
        <f aca="false">IF(AND($A119&gt;=N$16,MONTH($A119)=MONTH(N$16)),MAX(L119,M119)*N118,N118)</f>
        <v>1.20034933429065</v>
      </c>
      <c r="P119" s="1667" t="n">
        <f aca="false">HLOOKUP(P$14,Dec_Change,$K119)</f>
        <v>1.08</v>
      </c>
      <c r="Q119" s="1668" t="n">
        <f aca="false">Q118</f>
        <v>0</v>
      </c>
      <c r="R119" s="1675" t="n">
        <f aca="false">IF(AND($A119&gt;=R$16,MONTH($A119)=MONTH(R$16)),MAX(P119,Q119)*R118,R118)</f>
        <v>1.8096273546795</v>
      </c>
      <c r="T119" s="1667" t="n">
        <f aca="false">HLOOKUP(T$14,Dec_Change,$K119)</f>
        <v>1.02920575040411</v>
      </c>
      <c r="U119" s="1668" t="n">
        <f aca="false">U118</f>
        <v>1.005</v>
      </c>
      <c r="V119" s="1675" t="n">
        <f aca="false">IF(AND($A119&gt;=V$16,MONTH($A119)=MONTH(V$16)),MAX(T119,U119)*V118,V118)</f>
        <v>1.20034933429065</v>
      </c>
      <c r="X119" s="1667" t="n">
        <f aca="false">HLOOKUP(X$14,Dec_Change,$K119)</f>
        <v>1.02670575040411</v>
      </c>
      <c r="Y119" s="1668" t="n">
        <f aca="false">Y118</f>
        <v>1.02</v>
      </c>
      <c r="Z119" s="1675" t="n">
        <f aca="false">IF(AND($A119&gt;=Z$16,MONTH($A119)=MONTH(Z$16)),MAX(X119,Y119)*Z118,Z118)</f>
        <v>1.18952904665845</v>
      </c>
      <c r="AB119" s="1667" t="n">
        <f aca="false">HLOOKUP(AB$14,Dec_Change,$K119)</f>
        <v>1.02670575040411</v>
      </c>
      <c r="AC119" s="1668" t="n">
        <f aca="false">AC118</f>
        <v>1.02</v>
      </c>
      <c r="AD119" s="1675" t="n">
        <f aca="false">IF(AND($A119&gt;=AD$16,MONTH($A119)=MONTH(AD$16)),MAX(AB119,AC119)*AD118,AD118)</f>
        <v>1.18952904665845</v>
      </c>
      <c r="AF119" s="1667" t="n">
        <f aca="false">HLOOKUP(AF$14,Dec_Change,$K119)</f>
        <v>1.08</v>
      </c>
      <c r="AG119" s="1668" t="n">
        <f aca="false">AG118</f>
        <v>0</v>
      </c>
      <c r="AH119" s="1675" t="n">
        <f aca="false">IF(AND($A119&gt;=AH$16,MONTH($A119)=MONTH(AH$16)),MAX(AF119,AG119)*AH118,AH118)</f>
        <v>1.8096273546795</v>
      </c>
      <c r="AJ119" s="1667" t="n">
        <f aca="false">HLOOKUP(AJ$14,Dec_Change,$K119)</f>
        <v>1.02670575040411</v>
      </c>
      <c r="AK119" s="1668" t="n">
        <f aca="false">AK118</f>
        <v>1.02</v>
      </c>
      <c r="AL119" s="1675" t="n">
        <f aca="false">IF(AND($A119&gt;=AL$16,MONTH($A119)=MONTH(AL$16)),MAX(AJ119,AK119)*AL118,AL118)</f>
        <v>1.18952904665845</v>
      </c>
      <c r="AN119" s="1667" t="n">
        <f aca="false">HLOOKUP(AN$14,Dec_Change,$K119)</f>
        <v>1.02920575040411</v>
      </c>
      <c r="AO119" s="1668" t="n">
        <f aca="false">AO118</f>
        <v>1.005</v>
      </c>
      <c r="AP119" s="1675" t="n">
        <f aca="false">IF(AND($A119&gt;=AP$16,MONTH($A119)=MONTH(AP$16)),MAX(AN119,AO119)*AP118,AP118)</f>
        <v>1.20034933429065</v>
      </c>
      <c r="AR119" s="1670" t="n">
        <f aca="false">$A119</f>
        <v>38443</v>
      </c>
      <c r="AS119" s="1671" t="n">
        <f aca="false">IF(AND($A119&gt;=EDATE(AS$17,12),IF(Assm!$L$74=0,$D119,$E119)/AS118&gt;=1.05),IF(Assm!$L$74=0,$D119,$E119),AS118)</f>
        <v>2.26798642687942</v>
      </c>
      <c r="AT119" s="1671" t="n">
        <f aca="false">IF(AS119/AS118=1,AT118,AS119/AS118)</f>
        <v>1.05226486206655</v>
      </c>
      <c r="AU119" s="1671" t="n">
        <f aca="false">F119</f>
        <v>1.08</v>
      </c>
      <c r="AV119" s="1671" t="n">
        <f aca="false">MAX(AT119,AU119)</f>
        <v>1.08</v>
      </c>
      <c r="AW119" s="1675" t="n">
        <f aca="false">IF(AV119=AV118,AW118,AV119*AW118)</f>
        <v>2.25210734013237</v>
      </c>
    </row>
    <row r="120" customFormat="false" ht="12.75" hidden="false" customHeight="false" outlineLevel="0" collapsed="false">
      <c r="A120" s="1673" t="n">
        <f aca="false">EDATE(A119,1)</f>
        <v>38473</v>
      </c>
      <c r="B120" s="1659" t="n">
        <f aca="false">'[4]Monthly Curve Calc.'!B123</f>
        <v>274.465292099015</v>
      </c>
      <c r="C120" s="1660" t="n">
        <f aca="false">'[4]Monthly Curve Calc.'!C123</f>
        <v>198.245809566429</v>
      </c>
      <c r="D120" s="1661" t="n">
        <f aca="false">'[4]Monthly Curve Calc.'!F123</f>
        <v>2.29465092716816</v>
      </c>
      <c r="E120" s="1662" t="n">
        <f aca="false">IF($A120&lt;=E$16,D120,(B120/B119)/(C120/C119)*E119)</f>
        <v>1.68715314604988</v>
      </c>
      <c r="F120" s="1674" t="n">
        <f aca="false">IF(Assm!$L$75=0,F119,IF(AND($A120&gt;F$16,MONTH($A120)=MONTH(F$16)),B119/B107,F119))</f>
        <v>1.07833075468112</v>
      </c>
      <c r="G120" s="1668" t="n">
        <f aca="false">IF(Assm!$L$75=0,G119,IF(AND($A120&gt;G$16,MONTH($A120)=MONTH(G$16)),C119/C107,G119))</f>
        <v>1.02855302909737</v>
      </c>
      <c r="H120" s="1668" t="n">
        <f aca="false">IF(Assm!$L$75=0,H119,IF(AND($A120&gt;H$16,MONTH($A120)=MONTH(H$16)),C119/C107-H$18,H119))</f>
        <v>1.02605302909737</v>
      </c>
      <c r="I120" s="1668" t="n">
        <f aca="false">IF(Assm!$L$75=0,I119,IF($A120&gt;=I$16,IF(MONTH($A120)=MONTH(I$16),AVERAGE(D108:D119),I119),I119))</f>
        <v>2.23610820906301</v>
      </c>
      <c r="J120" s="1675" t="n">
        <f aca="false">IF(Assm!$L$75=0,J119,IF($A120&gt;=J$16,IF(MONTH($A120)=MONTH(J$16),AVERAGE(E108:E119),J119),J119))</f>
        <v>1.61980564575952</v>
      </c>
      <c r="K120" s="1624" t="n">
        <f aca="false">K119+1</f>
        <v>108</v>
      </c>
      <c r="L120" s="1667" t="n">
        <f aca="false">HLOOKUP(L$14,Dec_Change,$K120)</f>
        <v>1.02855302909737</v>
      </c>
      <c r="M120" s="1668" t="n">
        <f aca="false">M119</f>
        <v>0</v>
      </c>
      <c r="N120" s="1675" t="n">
        <f aca="false">IF(AND($A120&gt;=N$16,MONTH($A120)=MONTH(N$16)),MAX(L120,M120)*N119,N119)</f>
        <v>1.23462294375966</v>
      </c>
      <c r="P120" s="1667" t="n">
        <f aca="false">HLOOKUP(P$14,Dec_Change,$K120)</f>
        <v>1.07833075468112</v>
      </c>
      <c r="Q120" s="1668" t="n">
        <f aca="false">Q119</f>
        <v>0</v>
      </c>
      <c r="R120" s="1675" t="n">
        <f aca="false">IF(AND($A120&gt;=R$16,MONTH($A120)=MONTH(R$16)),MAX(P120,Q120)*R119,R119)</f>
        <v>1.95137683106314</v>
      </c>
      <c r="T120" s="1667" t="n">
        <f aca="false">HLOOKUP(T$14,Dec_Change,$K120)</f>
        <v>1.02855302909737</v>
      </c>
      <c r="U120" s="1668" t="n">
        <f aca="false">U119</f>
        <v>1.005</v>
      </c>
      <c r="V120" s="1675" t="n">
        <f aca="false">IF(AND($A120&gt;=V$16,MONTH($A120)=MONTH(V$16)),MAX(T120,U120)*V119,V119)</f>
        <v>1.23462294375966</v>
      </c>
      <c r="X120" s="1667" t="n">
        <f aca="false">HLOOKUP(X$14,Dec_Change,$K120)</f>
        <v>1.02605302909737</v>
      </c>
      <c r="Y120" s="1668" t="n">
        <f aca="false">Y119</f>
        <v>1.02</v>
      </c>
      <c r="Z120" s="1675" t="n">
        <f aca="false">IF(AND($A120&gt;=Z$16,MONTH($A120)=MONTH(Z$16)),MAX(X120,Y120)*Z119,Z119)</f>
        <v>1.22051988152322</v>
      </c>
      <c r="AB120" s="1667" t="n">
        <f aca="false">HLOOKUP(AB$14,Dec_Change,$K120)</f>
        <v>1.02605302909737</v>
      </c>
      <c r="AC120" s="1668" t="n">
        <f aca="false">AC119</f>
        <v>1.02</v>
      </c>
      <c r="AD120" s="1675" t="n">
        <f aca="false">IF(AND($A120&gt;=AD$16,MONTH($A120)=MONTH(AD$16)),MAX(AB120,AC120)*AD119,AD119)</f>
        <v>1.22051988152322</v>
      </c>
      <c r="AF120" s="1667" t="n">
        <f aca="false">HLOOKUP(AF$14,Dec_Change,$K120)</f>
        <v>1.07833075468112</v>
      </c>
      <c r="AG120" s="1668" t="n">
        <f aca="false">AG119</f>
        <v>0</v>
      </c>
      <c r="AH120" s="1675" t="n">
        <f aca="false">IF(AND($A120&gt;=AH$16,MONTH($A120)=MONTH(AH$16)),MAX(AF120,AG120)*AH119,AH119)</f>
        <v>1.95137683106314</v>
      </c>
      <c r="AJ120" s="1667" t="n">
        <f aca="false">HLOOKUP(AJ$14,Dec_Change,$K120)</f>
        <v>1.02605302909737</v>
      </c>
      <c r="AK120" s="1668" t="n">
        <f aca="false">AK119</f>
        <v>1.02</v>
      </c>
      <c r="AL120" s="1675" t="n">
        <f aca="false">IF(AND($A120&gt;=AL$16,MONTH($A120)=MONTH(AL$16)),MAX(AJ120,AK120)*AL119,AL119)</f>
        <v>1.22051988152322</v>
      </c>
      <c r="AN120" s="1667" t="n">
        <f aca="false">HLOOKUP(AN$14,Dec_Change,$K120)</f>
        <v>1.02855302909737</v>
      </c>
      <c r="AO120" s="1668" t="n">
        <f aca="false">AO119</f>
        <v>1.005</v>
      </c>
      <c r="AP120" s="1675" t="n">
        <f aca="false">IF(AND($A120&gt;=AP$16,MONTH($A120)=MONTH(AP$16)),MAX(AN120,AO120)*AP119,AP119)</f>
        <v>1.23462294375966</v>
      </c>
      <c r="AR120" s="1670" t="n">
        <f aca="false">$A120</f>
        <v>38473</v>
      </c>
      <c r="AS120" s="1671" t="n">
        <f aca="false">IF(AND($A120&gt;=EDATE(AS$17,12),IF(Assm!$L$74=0,$D120,$E120)/AS119&gt;=1.05),IF(Assm!$L$74=0,$D120,$E120),AS119)</f>
        <v>2.26798642687942</v>
      </c>
      <c r="AT120" s="1671" t="n">
        <f aca="false">IF(AS120/AS119=1,AT119,AS120/AS119)</f>
        <v>1.05226486206655</v>
      </c>
      <c r="AU120" s="1671" t="n">
        <f aca="false">F120</f>
        <v>1.07833075468112</v>
      </c>
      <c r="AV120" s="1671" t="n">
        <f aca="false">MAX(AT120,AU120)</f>
        <v>1.07833075468112</v>
      </c>
      <c r="AW120" s="1675" t="n">
        <f aca="false">IF(AV120=AV119,AW119,AV120*AW119)</f>
        <v>2.42851660770782</v>
      </c>
    </row>
    <row r="121" customFormat="false" ht="12.75" hidden="false" customHeight="false" outlineLevel="0" collapsed="false">
      <c r="A121" s="1673" t="n">
        <f aca="false">EDATE(A120,1)</f>
        <v>38504</v>
      </c>
      <c r="B121" s="1659" t="n">
        <f aca="false">'[4]Monthly Curve Calc.'!B124</f>
        <v>276.124412564732</v>
      </c>
      <c r="C121" s="1660" t="n">
        <f aca="false">'[4]Monthly Curve Calc.'!C124</f>
        <v>198.706089729453</v>
      </c>
      <c r="D121" s="1661" t="n">
        <f aca="false">'[4]Monthly Curve Calc.'!F124</f>
        <v>2.30002132894223</v>
      </c>
      <c r="E121" s="1662" t="n">
        <f aca="false">IF($A121&lt;=E$16,D121,(B121/B120)/(C121/C120)*E120)</f>
        <v>1.69342012678118</v>
      </c>
      <c r="F121" s="1674" t="n">
        <f aca="false">IF(Assm!$L$75=0,F120,IF(AND($A121&gt;F$16,MONTH($A121)=MONTH(F$16)),B120/B108,F120))</f>
        <v>1.07833075468112</v>
      </c>
      <c r="G121" s="1668" t="n">
        <f aca="false">IF(Assm!$L$75=0,G120,IF(AND($A121&gt;G$16,MONTH($A121)=MONTH(G$16)),C120/C108,G120))</f>
        <v>1.02855302909737</v>
      </c>
      <c r="H121" s="1668" t="n">
        <f aca="false">IF(Assm!$L$75=0,H120,IF(AND($A121&gt;H$16,MONTH($A121)=MONTH(H$16)),C120/C108-H$18,H120))</f>
        <v>1.02605302909737</v>
      </c>
      <c r="I121" s="1668" t="n">
        <f aca="false">IF(Assm!$L$75=0,I120,IF($A121&gt;=I$16,IF(MONTH($A121)=MONTH(I$16),AVERAGE(D109:D120),I120),I120))</f>
        <v>2.23610820906301</v>
      </c>
      <c r="J121" s="1675" t="n">
        <f aca="false">IF(Assm!$L$75=0,J120,IF($A121&gt;=J$16,IF(MONTH($A121)=MONTH(J$16),AVERAGE(E109:E120),J120),J120))</f>
        <v>1.61980564575952</v>
      </c>
      <c r="K121" s="1624" t="n">
        <f aca="false">K120+1</f>
        <v>109</v>
      </c>
      <c r="L121" s="1667" t="n">
        <f aca="false">HLOOKUP(L$14,Dec_Change,$K121)</f>
        <v>1.02855302909737</v>
      </c>
      <c r="M121" s="1668" t="n">
        <f aca="false">M120</f>
        <v>0</v>
      </c>
      <c r="N121" s="1675" t="n">
        <f aca="false">IF(AND($A121&gt;=N$16,MONTH($A121)=MONTH(N$16)),MAX(L121,M121)*N120,N120)</f>
        <v>1.23462294375966</v>
      </c>
      <c r="P121" s="1667" t="n">
        <f aca="false">HLOOKUP(P$14,Dec_Change,$K121)</f>
        <v>1.07833075468112</v>
      </c>
      <c r="Q121" s="1668" t="n">
        <f aca="false">Q120</f>
        <v>0</v>
      </c>
      <c r="R121" s="1675" t="n">
        <f aca="false">IF(AND($A121&gt;=R$16,MONTH($A121)=MONTH(R$16)),MAX(P121,Q121)*R120,R120)</f>
        <v>1.95137683106314</v>
      </c>
      <c r="T121" s="1667" t="n">
        <f aca="false">HLOOKUP(T$14,Dec_Change,$K121)</f>
        <v>1.02855302909737</v>
      </c>
      <c r="U121" s="1668" t="n">
        <f aca="false">U120</f>
        <v>1.005</v>
      </c>
      <c r="V121" s="1675" t="n">
        <f aca="false">IF(AND($A121&gt;=V$16,MONTH($A121)=MONTH(V$16)),MAX(T121,U121)*V120,V120)</f>
        <v>1.23462294375966</v>
      </c>
      <c r="X121" s="1667" t="n">
        <f aca="false">HLOOKUP(X$14,Dec_Change,$K121)</f>
        <v>1.02605302909737</v>
      </c>
      <c r="Y121" s="1668" t="n">
        <f aca="false">Y120</f>
        <v>1.02</v>
      </c>
      <c r="Z121" s="1675" t="n">
        <f aca="false">IF(AND($A121&gt;=Z$16,MONTH($A121)=MONTH(Z$16)),MAX(X121,Y121)*Z120,Z120)</f>
        <v>1.22051988152322</v>
      </c>
      <c r="AB121" s="1667" t="n">
        <f aca="false">HLOOKUP(AB$14,Dec_Change,$K121)</f>
        <v>1.02605302909737</v>
      </c>
      <c r="AC121" s="1668" t="n">
        <f aca="false">AC120</f>
        <v>1.02</v>
      </c>
      <c r="AD121" s="1675" t="n">
        <f aca="false">IF(AND($A121&gt;=AD$16,MONTH($A121)=MONTH(AD$16)),MAX(AB121,AC121)*AD120,AD120)</f>
        <v>1.22051988152322</v>
      </c>
      <c r="AF121" s="1667" t="n">
        <f aca="false">HLOOKUP(AF$14,Dec_Change,$K121)</f>
        <v>1.07833075468112</v>
      </c>
      <c r="AG121" s="1668" t="n">
        <f aca="false">AG120</f>
        <v>0</v>
      </c>
      <c r="AH121" s="1675" t="n">
        <f aca="false">IF(AND($A121&gt;=AH$16,MONTH($A121)=MONTH(AH$16)),MAX(AF121,AG121)*AH120,AH120)</f>
        <v>1.95137683106314</v>
      </c>
      <c r="AJ121" s="1667" t="n">
        <f aca="false">HLOOKUP(AJ$14,Dec_Change,$K121)</f>
        <v>1.02605302909737</v>
      </c>
      <c r="AK121" s="1668" t="n">
        <f aca="false">AK120</f>
        <v>1.02</v>
      </c>
      <c r="AL121" s="1675" t="n">
        <f aca="false">IF(AND($A121&gt;=AL$16,MONTH($A121)=MONTH(AL$16)),MAX(AJ121,AK121)*AL120,AL120)</f>
        <v>1.22051988152322</v>
      </c>
      <c r="AN121" s="1667" t="n">
        <f aca="false">HLOOKUP(AN$14,Dec_Change,$K121)</f>
        <v>1.02855302909737</v>
      </c>
      <c r="AO121" s="1668" t="n">
        <f aca="false">AO120</f>
        <v>1.005</v>
      </c>
      <c r="AP121" s="1675" t="n">
        <f aca="false">IF(AND($A121&gt;=AP$16,MONTH($A121)=MONTH(AP$16)),MAX(AN121,AO121)*AP120,AP120)</f>
        <v>1.23462294375966</v>
      </c>
      <c r="AR121" s="1670" t="n">
        <f aca="false">$A121</f>
        <v>38504</v>
      </c>
      <c r="AS121" s="1671" t="n">
        <f aca="false">IF(AND($A121&gt;=EDATE(AS$17,12),IF(Assm!$L$74=0,$D121,$E121)/AS120&gt;=1.05),IF(Assm!$L$74=0,$D121,$E121),AS120)</f>
        <v>2.26798642687942</v>
      </c>
      <c r="AT121" s="1671" t="n">
        <f aca="false">IF(AS121/AS120=1,AT120,AS121/AS120)</f>
        <v>1.05226486206655</v>
      </c>
      <c r="AU121" s="1671" t="n">
        <f aca="false">F121</f>
        <v>1.07833075468112</v>
      </c>
      <c r="AV121" s="1671" t="n">
        <f aca="false">MAX(AT121,AU121)</f>
        <v>1.07833075468112</v>
      </c>
      <c r="AW121" s="1675" t="n">
        <f aca="false">IF(AV121=AV120,AW120,AV121*AW120)</f>
        <v>2.42851660770782</v>
      </c>
    </row>
    <row r="122" customFormat="false" ht="12.75" hidden="false" customHeight="false" outlineLevel="0" collapsed="false">
      <c r="A122" s="1673" t="n">
        <f aca="false">EDATE(A121,1)</f>
        <v>38534</v>
      </c>
      <c r="B122" s="1659" t="n">
        <f aca="false">'[4]Monthly Curve Calc.'!B125</f>
        <v>277.793562279316</v>
      </c>
      <c r="C122" s="1660" t="n">
        <f aca="false">'[4]Monthly Curve Calc.'!C125</f>
        <v>199.167438554806</v>
      </c>
      <c r="D122" s="1661" t="n">
        <f aca="false">'[4]Monthly Curve Calc.'!F125</f>
        <v>2.30540429960635</v>
      </c>
      <c r="E122" s="1662" t="n">
        <f aca="false">IF($A122&lt;=E$16,D122,(B122/B121)/(C122/C121)*E121)</f>
        <v>1.6997103863995</v>
      </c>
      <c r="F122" s="1674" t="n">
        <f aca="false">IF(Assm!$L$75=0,F121,IF(AND($A122&gt;F$16,MONTH($A122)=MONTH(F$16)),B121/B109,F121))</f>
        <v>1.07833075468112</v>
      </c>
      <c r="G122" s="1668" t="n">
        <f aca="false">IF(Assm!$L$75=0,G121,IF(AND($A122&gt;G$16,MONTH($A122)=MONTH(G$16)),C121/C109,G121))</f>
        <v>1.02855302909737</v>
      </c>
      <c r="H122" s="1668" t="n">
        <f aca="false">IF(Assm!$L$75=0,H121,IF(AND($A122&gt;H$16,MONTH($A122)=MONTH(H$16)),C121/C109-H$18,H121))</f>
        <v>1.02605302909737</v>
      </c>
      <c r="I122" s="1668" t="n">
        <f aca="false">IF(Assm!$L$75=0,I121,IF($A122&gt;=I$16,IF(MONTH($A122)=MONTH(I$16),AVERAGE(D110:D121),I121),I121))</f>
        <v>2.23610820906301</v>
      </c>
      <c r="J122" s="1675" t="n">
        <f aca="false">IF(Assm!$L$75=0,J121,IF($A122&gt;=J$16,IF(MONTH($A122)=MONTH(J$16),AVERAGE(E110:E121),J121),J121))</f>
        <v>1.61980564575952</v>
      </c>
      <c r="K122" s="1624" t="n">
        <f aca="false">K121+1</f>
        <v>110</v>
      </c>
      <c r="L122" s="1667" t="n">
        <f aca="false">HLOOKUP(L$14,Dec_Change,$K122)</f>
        <v>1.02855302909737</v>
      </c>
      <c r="M122" s="1668" t="n">
        <f aca="false">M121</f>
        <v>0</v>
      </c>
      <c r="N122" s="1675" t="n">
        <f aca="false">IF(AND($A122&gt;=N$16,MONTH($A122)=MONTH(N$16)),MAX(L122,M122)*N121,N121)</f>
        <v>1.23462294375966</v>
      </c>
      <c r="P122" s="1667" t="n">
        <f aca="false">HLOOKUP(P$14,Dec_Change,$K122)</f>
        <v>1.07833075468112</v>
      </c>
      <c r="Q122" s="1668" t="n">
        <f aca="false">Q121</f>
        <v>0</v>
      </c>
      <c r="R122" s="1675" t="n">
        <f aca="false">IF(AND($A122&gt;=R$16,MONTH($A122)=MONTH(R$16)),MAX(P122,Q122)*R121,R121)</f>
        <v>1.95137683106314</v>
      </c>
      <c r="T122" s="1667" t="n">
        <f aca="false">HLOOKUP(T$14,Dec_Change,$K122)</f>
        <v>1.02855302909737</v>
      </c>
      <c r="U122" s="1668" t="n">
        <f aca="false">U121</f>
        <v>1.005</v>
      </c>
      <c r="V122" s="1675" t="n">
        <f aca="false">IF(AND($A122&gt;=V$16,MONTH($A122)=MONTH(V$16)),MAX(T122,U122)*V121,V121)</f>
        <v>1.23462294375966</v>
      </c>
      <c r="X122" s="1667" t="n">
        <f aca="false">HLOOKUP(X$14,Dec_Change,$K122)</f>
        <v>1.02605302909737</v>
      </c>
      <c r="Y122" s="1668" t="n">
        <f aca="false">Y121</f>
        <v>1.02</v>
      </c>
      <c r="Z122" s="1675" t="n">
        <f aca="false">IF(AND($A122&gt;=Z$16,MONTH($A122)=MONTH(Z$16)),MAX(X122,Y122)*Z121,Z121)</f>
        <v>1.22051988152322</v>
      </c>
      <c r="AB122" s="1667" t="n">
        <f aca="false">HLOOKUP(AB$14,Dec_Change,$K122)</f>
        <v>1.02605302909737</v>
      </c>
      <c r="AC122" s="1668" t="n">
        <f aca="false">AC121</f>
        <v>1.02</v>
      </c>
      <c r="AD122" s="1675" t="n">
        <f aca="false">IF(AND($A122&gt;=AD$16,MONTH($A122)=MONTH(AD$16)),MAX(AB122,AC122)*AD121,AD121)</f>
        <v>1.22051988152322</v>
      </c>
      <c r="AF122" s="1667" t="n">
        <f aca="false">HLOOKUP(AF$14,Dec_Change,$K122)</f>
        <v>1.07833075468112</v>
      </c>
      <c r="AG122" s="1668" t="n">
        <f aca="false">AG121</f>
        <v>0</v>
      </c>
      <c r="AH122" s="1675" t="n">
        <f aca="false">IF(AND($A122&gt;=AH$16,MONTH($A122)=MONTH(AH$16)),MAX(AF122,AG122)*AH121,AH121)</f>
        <v>1.95137683106314</v>
      </c>
      <c r="AJ122" s="1667" t="n">
        <f aca="false">HLOOKUP(AJ$14,Dec_Change,$K122)</f>
        <v>1.02605302909737</v>
      </c>
      <c r="AK122" s="1668" t="n">
        <f aca="false">AK121</f>
        <v>1.02</v>
      </c>
      <c r="AL122" s="1675" t="n">
        <f aca="false">IF(AND($A122&gt;=AL$16,MONTH($A122)=MONTH(AL$16)),MAX(AJ122,AK122)*AL121,AL121)</f>
        <v>1.22051988152322</v>
      </c>
      <c r="AN122" s="1667" t="n">
        <f aca="false">HLOOKUP(AN$14,Dec_Change,$K122)</f>
        <v>1.02855302909737</v>
      </c>
      <c r="AO122" s="1668" t="n">
        <f aca="false">AO121</f>
        <v>1.005</v>
      </c>
      <c r="AP122" s="1675" t="n">
        <f aca="false">IF(AND($A122&gt;=AP$16,MONTH($A122)=MONTH(AP$16)),MAX(AN122,AO122)*AP121,AP121)</f>
        <v>1.23462294375966</v>
      </c>
      <c r="AR122" s="1670" t="n">
        <f aca="false">$A122</f>
        <v>38534</v>
      </c>
      <c r="AS122" s="1671" t="n">
        <f aca="false">IF(AND($A122&gt;=EDATE(AS$17,12),IF(Assm!$L$74=0,$D122,$E122)/AS121&gt;=1.05),IF(Assm!$L$74=0,$D122,$E122),AS121)</f>
        <v>2.26798642687942</v>
      </c>
      <c r="AT122" s="1671" t="n">
        <f aca="false">IF(AS122/AS121=1,AT121,AS122/AS121)</f>
        <v>1.05226486206655</v>
      </c>
      <c r="AU122" s="1671" t="n">
        <f aca="false">F122</f>
        <v>1.07833075468112</v>
      </c>
      <c r="AV122" s="1671" t="n">
        <f aca="false">MAX(AT122,AU122)</f>
        <v>1.07833075468112</v>
      </c>
      <c r="AW122" s="1675" t="n">
        <f aca="false">IF(AV122=AV121,AW121,AV122*AW121)</f>
        <v>2.42851660770782</v>
      </c>
    </row>
    <row r="123" customFormat="false" ht="12.75" hidden="false" customHeight="false" outlineLevel="0" collapsed="false">
      <c r="A123" s="1673" t="n">
        <f aca="false">EDATE(A122,1)</f>
        <v>38565</v>
      </c>
      <c r="B123" s="1659" t="n">
        <f aca="false">'[4]Monthly Curve Calc.'!B126</f>
        <v>279.472801868764</v>
      </c>
      <c r="C123" s="1660" t="n">
        <f aca="false">'[4]Monthly Curve Calc.'!C126</f>
        <v>199.62985852367</v>
      </c>
      <c r="D123" s="1661" t="n">
        <f aca="false">'[4]Monthly Curve Calc.'!F126</f>
        <v>2.31079986857675</v>
      </c>
      <c r="E123" s="1662" t="n">
        <f aca="false">IF($A123&lt;=E$16,D123,(B123/B122)/(C123/C122)*E122)</f>
        <v>1.70602401137498</v>
      </c>
      <c r="F123" s="1674" t="n">
        <f aca="false">IF(Assm!$L$75=0,F122,IF(AND($A123&gt;F$16,MONTH($A123)=MONTH(F$16)),B122/B110,F122))</f>
        <v>1.07833075468112</v>
      </c>
      <c r="G123" s="1668" t="n">
        <f aca="false">IF(Assm!$L$75=0,G122,IF(AND($A123&gt;G$16,MONTH($A123)=MONTH(G$16)),C122/C110,G122))</f>
        <v>1.02855302909737</v>
      </c>
      <c r="H123" s="1668" t="n">
        <f aca="false">IF(Assm!$L$75=0,H122,IF(AND($A123&gt;H$16,MONTH($A123)=MONTH(H$16)),C122/C110-H$18,H122))</f>
        <v>1.02605302909737</v>
      </c>
      <c r="I123" s="1668" t="n">
        <f aca="false">IF(Assm!$L$75=0,I122,IF($A123&gt;=I$16,IF(MONTH($A123)=MONTH(I$16),AVERAGE(D111:D122),I122),I122))</f>
        <v>2.23610820906301</v>
      </c>
      <c r="J123" s="1675" t="n">
        <f aca="false">IF(Assm!$L$75=0,J122,IF($A123&gt;=J$16,IF(MONTH($A123)=MONTH(J$16),AVERAGE(E111:E122),J122),J122))</f>
        <v>1.61980564575952</v>
      </c>
      <c r="K123" s="1624" t="n">
        <f aca="false">K122+1</f>
        <v>111</v>
      </c>
      <c r="L123" s="1667" t="n">
        <f aca="false">HLOOKUP(L$14,Dec_Change,$K123)</f>
        <v>1.02855302909737</v>
      </c>
      <c r="M123" s="1668" t="n">
        <f aca="false">M122</f>
        <v>0</v>
      </c>
      <c r="N123" s="1675" t="n">
        <f aca="false">IF(AND($A123&gt;=N$16,MONTH($A123)=MONTH(N$16)),MAX(L123,M123)*N122,N122)</f>
        <v>1.23462294375966</v>
      </c>
      <c r="P123" s="1667" t="n">
        <f aca="false">HLOOKUP(P$14,Dec_Change,$K123)</f>
        <v>1.07833075468112</v>
      </c>
      <c r="Q123" s="1668" t="n">
        <f aca="false">Q122</f>
        <v>0</v>
      </c>
      <c r="R123" s="1675" t="n">
        <f aca="false">IF(AND($A123&gt;=R$16,MONTH($A123)=MONTH(R$16)),MAX(P123,Q123)*R122,R122)</f>
        <v>1.95137683106314</v>
      </c>
      <c r="T123" s="1667" t="n">
        <f aca="false">HLOOKUP(T$14,Dec_Change,$K123)</f>
        <v>1.02855302909737</v>
      </c>
      <c r="U123" s="1668" t="n">
        <f aca="false">U122</f>
        <v>1.005</v>
      </c>
      <c r="V123" s="1675" t="n">
        <f aca="false">IF(AND($A123&gt;=V$16,MONTH($A123)=MONTH(V$16)),MAX(T123,U123)*V122,V122)</f>
        <v>1.23462294375966</v>
      </c>
      <c r="X123" s="1667" t="n">
        <f aca="false">HLOOKUP(X$14,Dec_Change,$K123)</f>
        <v>1.02605302909737</v>
      </c>
      <c r="Y123" s="1668" t="n">
        <f aca="false">Y122</f>
        <v>1.02</v>
      </c>
      <c r="Z123" s="1675" t="n">
        <f aca="false">IF(AND($A123&gt;=Z$16,MONTH($A123)=MONTH(Z$16)),MAX(X123,Y123)*Z122,Z122)</f>
        <v>1.22051988152322</v>
      </c>
      <c r="AB123" s="1667" t="n">
        <f aca="false">HLOOKUP(AB$14,Dec_Change,$K123)</f>
        <v>1.02605302909737</v>
      </c>
      <c r="AC123" s="1668" t="n">
        <f aca="false">AC122</f>
        <v>1.02</v>
      </c>
      <c r="AD123" s="1675" t="n">
        <f aca="false">IF(AND($A123&gt;=AD$16,MONTH($A123)=MONTH(AD$16)),MAX(AB123,AC123)*AD122,AD122)</f>
        <v>1.22051988152322</v>
      </c>
      <c r="AF123" s="1667" t="n">
        <f aca="false">HLOOKUP(AF$14,Dec_Change,$K123)</f>
        <v>1.07833075468112</v>
      </c>
      <c r="AG123" s="1668" t="n">
        <f aca="false">AG122</f>
        <v>0</v>
      </c>
      <c r="AH123" s="1675" t="n">
        <f aca="false">IF(AND($A123&gt;=AH$16,MONTH($A123)=MONTH(AH$16)),MAX(AF123,AG123)*AH122,AH122)</f>
        <v>1.95137683106314</v>
      </c>
      <c r="AJ123" s="1667" t="n">
        <f aca="false">HLOOKUP(AJ$14,Dec_Change,$K123)</f>
        <v>1.02605302909737</v>
      </c>
      <c r="AK123" s="1668" t="n">
        <f aca="false">AK122</f>
        <v>1.02</v>
      </c>
      <c r="AL123" s="1675" t="n">
        <f aca="false">IF(AND($A123&gt;=AL$16,MONTH($A123)=MONTH(AL$16)),MAX(AJ123,AK123)*AL122,AL122)</f>
        <v>1.22051988152322</v>
      </c>
      <c r="AN123" s="1667" t="n">
        <f aca="false">HLOOKUP(AN$14,Dec_Change,$K123)</f>
        <v>1.02855302909737</v>
      </c>
      <c r="AO123" s="1668" t="n">
        <f aca="false">AO122</f>
        <v>1.005</v>
      </c>
      <c r="AP123" s="1675" t="n">
        <f aca="false">IF(AND($A123&gt;=AP$16,MONTH($A123)=MONTH(AP$16)),MAX(AN123,AO123)*AP122,AP122)</f>
        <v>1.23462294375966</v>
      </c>
      <c r="AR123" s="1670" t="n">
        <f aca="false">$A123</f>
        <v>38565</v>
      </c>
      <c r="AS123" s="1671" t="n">
        <f aca="false">IF(AND($A123&gt;=EDATE(AS$17,12),IF(Assm!$L$74=0,$D123,$E123)/AS122&gt;=1.05),IF(Assm!$L$74=0,$D123,$E123),AS122)</f>
        <v>2.26798642687942</v>
      </c>
      <c r="AT123" s="1671" t="n">
        <f aca="false">IF(AS123/AS122=1,AT122,AS123/AS122)</f>
        <v>1.05226486206655</v>
      </c>
      <c r="AU123" s="1671" t="n">
        <f aca="false">F123</f>
        <v>1.07833075468112</v>
      </c>
      <c r="AV123" s="1671" t="n">
        <f aca="false">MAX(AT123,AU123)</f>
        <v>1.07833075468112</v>
      </c>
      <c r="AW123" s="1675" t="n">
        <f aca="false">IF(AV123=AV122,AW122,AV123*AW122)</f>
        <v>2.42851660770782</v>
      </c>
    </row>
    <row r="124" customFormat="false" ht="12.75" hidden="false" customHeight="false" outlineLevel="0" collapsed="false">
      <c r="A124" s="1673" t="n">
        <f aca="false">EDATE(A123,1)</f>
        <v>38596</v>
      </c>
      <c r="B124" s="1659" t="n">
        <f aca="false">'[4]Monthly Curve Calc.'!B127</f>
        <v>281.162192325553</v>
      </c>
      <c r="C124" s="1660" t="n">
        <f aca="false">'[4]Monthly Curve Calc.'!C127</f>
        <v>200.093352122988</v>
      </c>
      <c r="D124" s="1661" t="n">
        <f aca="false">'[4]Monthly Curve Calc.'!F127</f>
        <v>2.31620806533853</v>
      </c>
      <c r="E124" s="1662" t="n">
        <f aca="false">IF($A124&lt;=E$16,D124,(B124/B123)/(C124/C123)*E123)</f>
        <v>1.71236108849892</v>
      </c>
      <c r="F124" s="1674" t="n">
        <f aca="false">IF(Assm!$L$75=0,F123,IF(AND($A124&gt;F$16,MONTH($A124)=MONTH(F$16)),B123/B111,F123))</f>
        <v>1.07833075468112</v>
      </c>
      <c r="G124" s="1668" t="n">
        <f aca="false">IF(Assm!$L$75=0,G123,IF(AND($A124&gt;G$16,MONTH($A124)=MONTH(G$16)),C123/C111,G123))</f>
        <v>1.02855302909737</v>
      </c>
      <c r="H124" s="1668" t="n">
        <f aca="false">IF(Assm!$L$75=0,H123,IF(AND($A124&gt;H$16,MONTH($A124)=MONTH(H$16)),C123/C111-H$18,H123))</f>
        <v>1.02605302909737</v>
      </c>
      <c r="I124" s="1668" t="n">
        <f aca="false">IF(Assm!$L$75=0,I123,IF($A124&gt;=I$16,IF(MONTH($A124)=MONTH(I$16),AVERAGE(D112:D123),I123),I123))</f>
        <v>2.23610820906301</v>
      </c>
      <c r="J124" s="1675" t="n">
        <f aca="false">IF(Assm!$L$75=0,J123,IF($A124&gt;=J$16,IF(MONTH($A124)=MONTH(J$16),AVERAGE(E112:E123),J123),J123))</f>
        <v>1.61980564575952</v>
      </c>
      <c r="K124" s="1624" t="n">
        <f aca="false">K123+1</f>
        <v>112</v>
      </c>
      <c r="L124" s="1667" t="n">
        <f aca="false">HLOOKUP(L$14,Dec_Change,$K124)</f>
        <v>1.02855302909737</v>
      </c>
      <c r="M124" s="1668" t="n">
        <f aca="false">M123</f>
        <v>0</v>
      </c>
      <c r="N124" s="1675" t="n">
        <f aca="false">IF(AND($A124&gt;=N$16,MONTH($A124)=MONTH(N$16)),MAX(L124,M124)*N123,N123)</f>
        <v>1.23462294375966</v>
      </c>
      <c r="P124" s="1667" t="n">
        <f aca="false">HLOOKUP(P$14,Dec_Change,$K124)</f>
        <v>1.07833075468112</v>
      </c>
      <c r="Q124" s="1668" t="n">
        <f aca="false">Q123</f>
        <v>0</v>
      </c>
      <c r="R124" s="1675" t="n">
        <f aca="false">IF(AND($A124&gt;=R$16,MONTH($A124)=MONTH(R$16)),MAX(P124,Q124)*R123,R123)</f>
        <v>1.95137683106314</v>
      </c>
      <c r="T124" s="1667" t="n">
        <f aca="false">HLOOKUP(T$14,Dec_Change,$K124)</f>
        <v>1.02855302909737</v>
      </c>
      <c r="U124" s="1668" t="n">
        <f aca="false">U123</f>
        <v>1.005</v>
      </c>
      <c r="V124" s="1675" t="n">
        <f aca="false">IF(AND($A124&gt;=V$16,MONTH($A124)=MONTH(V$16)),MAX(T124,U124)*V123,V123)</f>
        <v>1.23462294375966</v>
      </c>
      <c r="X124" s="1667" t="n">
        <f aca="false">HLOOKUP(X$14,Dec_Change,$K124)</f>
        <v>1.02605302909737</v>
      </c>
      <c r="Y124" s="1668" t="n">
        <f aca="false">Y123</f>
        <v>1.02</v>
      </c>
      <c r="Z124" s="1675" t="n">
        <f aca="false">IF(AND($A124&gt;=Z$16,MONTH($A124)=MONTH(Z$16)),MAX(X124,Y124)*Z123,Z123)</f>
        <v>1.22051988152322</v>
      </c>
      <c r="AB124" s="1667" t="n">
        <f aca="false">HLOOKUP(AB$14,Dec_Change,$K124)</f>
        <v>1.02605302909737</v>
      </c>
      <c r="AC124" s="1668" t="n">
        <f aca="false">AC123</f>
        <v>1.02</v>
      </c>
      <c r="AD124" s="1675" t="n">
        <f aca="false">IF(AND($A124&gt;=AD$16,MONTH($A124)=MONTH(AD$16)),MAX(AB124,AC124)*AD123,AD123)</f>
        <v>1.22051988152322</v>
      </c>
      <c r="AF124" s="1667" t="n">
        <f aca="false">HLOOKUP(AF$14,Dec_Change,$K124)</f>
        <v>1.07833075468112</v>
      </c>
      <c r="AG124" s="1668" t="n">
        <f aca="false">AG123</f>
        <v>0</v>
      </c>
      <c r="AH124" s="1675" t="n">
        <f aca="false">IF(AND($A124&gt;=AH$16,MONTH($A124)=MONTH(AH$16)),MAX(AF124,AG124)*AH123,AH123)</f>
        <v>1.95137683106314</v>
      </c>
      <c r="AJ124" s="1667" t="n">
        <f aca="false">HLOOKUP(AJ$14,Dec_Change,$K124)</f>
        <v>1.02605302909737</v>
      </c>
      <c r="AK124" s="1668" t="n">
        <f aca="false">AK123</f>
        <v>1.02</v>
      </c>
      <c r="AL124" s="1675" t="n">
        <f aca="false">IF(AND($A124&gt;=AL$16,MONTH($A124)=MONTH(AL$16)),MAX(AJ124,AK124)*AL123,AL123)</f>
        <v>1.22051988152322</v>
      </c>
      <c r="AN124" s="1667" t="n">
        <f aca="false">HLOOKUP(AN$14,Dec_Change,$K124)</f>
        <v>1.02855302909737</v>
      </c>
      <c r="AO124" s="1668" t="n">
        <f aca="false">AO123</f>
        <v>1.005</v>
      </c>
      <c r="AP124" s="1675" t="n">
        <f aca="false">IF(AND($A124&gt;=AP$16,MONTH($A124)=MONTH(AP$16)),MAX(AN124,AO124)*AP123,AP123)</f>
        <v>1.23462294375966</v>
      </c>
      <c r="AR124" s="1670" t="n">
        <f aca="false">$A124</f>
        <v>38596</v>
      </c>
      <c r="AS124" s="1671" t="n">
        <f aca="false">IF(AND($A124&gt;=EDATE(AS$17,12),IF(Assm!$L$74=0,$D124,$E124)/AS123&gt;=1.05),IF(Assm!$L$74=0,$D124,$E124),AS123)</f>
        <v>2.26798642687942</v>
      </c>
      <c r="AT124" s="1671" t="n">
        <f aca="false">IF(AS124/AS123=1,AT123,AS124/AS123)</f>
        <v>1.05226486206655</v>
      </c>
      <c r="AU124" s="1671" t="n">
        <f aca="false">F124</f>
        <v>1.07833075468112</v>
      </c>
      <c r="AV124" s="1671" t="n">
        <f aca="false">MAX(AT124,AU124)</f>
        <v>1.07833075468112</v>
      </c>
      <c r="AW124" s="1675" t="n">
        <f aca="false">IF(AV124=AV123,AW123,AV124*AW123)</f>
        <v>2.42851660770782</v>
      </c>
    </row>
    <row r="125" customFormat="false" ht="12.75" hidden="false" customHeight="false" outlineLevel="0" collapsed="false">
      <c r="A125" s="1673" t="n">
        <f aca="false">EDATE(A124,1)</f>
        <v>38626</v>
      </c>
      <c r="B125" s="1659" t="n">
        <f aca="false">'[4]Monthly Curve Calc.'!B128</f>
        <v>282.861795010853</v>
      </c>
      <c r="C125" s="1660" t="n">
        <f aca="false">'[4]Monthly Curve Calc.'!C128</f>
        <v>200.557921845479</v>
      </c>
      <c r="D125" s="1661" t="n">
        <f aca="false">'[4]Monthly Curve Calc.'!F128</f>
        <v>2.32162891944576</v>
      </c>
      <c r="E125" s="1662" t="n">
        <f aca="false">IF($A125&lt;=E$16,D125,(B125/B124)/(C125/C124)*E124)</f>
        <v>1.71872170488503</v>
      </c>
      <c r="F125" s="1674" t="n">
        <f aca="false">IF(Assm!$L$75=0,F124,IF(AND($A125&gt;F$16,MONTH($A125)=MONTH(F$16)),B124/B112,F124))</f>
        <v>1.07833075468112</v>
      </c>
      <c r="G125" s="1668" t="n">
        <f aca="false">IF(Assm!$L$75=0,G124,IF(AND($A125&gt;G$16,MONTH($A125)=MONTH(G$16)),C124/C112,G124))</f>
        <v>1.02855302909737</v>
      </c>
      <c r="H125" s="1668" t="n">
        <f aca="false">IF(Assm!$L$75=0,H124,IF(AND($A125&gt;H$16,MONTH($A125)=MONTH(H$16)),C124/C112-H$18,H124))</f>
        <v>1.02605302909737</v>
      </c>
      <c r="I125" s="1668" t="n">
        <f aca="false">IF(Assm!$L$75=0,I124,IF($A125&gt;=I$16,IF(MONTH($A125)=MONTH(I$16),AVERAGE(D113:D124),I124),I124))</f>
        <v>2.23610820906301</v>
      </c>
      <c r="J125" s="1675" t="n">
        <f aca="false">IF(Assm!$L$75=0,J124,IF($A125&gt;=J$16,IF(MONTH($A125)=MONTH(J$16),AVERAGE(E113:E124),J124),J124))</f>
        <v>1.61980564575952</v>
      </c>
      <c r="K125" s="1624" t="n">
        <f aca="false">K124+1</f>
        <v>113</v>
      </c>
      <c r="L125" s="1667" t="n">
        <f aca="false">HLOOKUP(L$14,Dec_Change,$K125)</f>
        <v>1.02855302909737</v>
      </c>
      <c r="M125" s="1668" t="n">
        <f aca="false">M124</f>
        <v>0</v>
      </c>
      <c r="N125" s="1675" t="n">
        <f aca="false">IF(AND($A125&gt;=N$16,MONTH($A125)=MONTH(N$16)),MAX(L125,M125)*N124,N124)</f>
        <v>1.23462294375966</v>
      </c>
      <c r="P125" s="1667" t="n">
        <f aca="false">HLOOKUP(P$14,Dec_Change,$K125)</f>
        <v>1.07833075468112</v>
      </c>
      <c r="Q125" s="1668" t="n">
        <f aca="false">Q124</f>
        <v>0</v>
      </c>
      <c r="R125" s="1675" t="n">
        <f aca="false">IF(AND($A125&gt;=R$16,MONTH($A125)=MONTH(R$16)),MAX(P125,Q125)*R124,R124)</f>
        <v>1.95137683106314</v>
      </c>
      <c r="T125" s="1667" t="n">
        <f aca="false">HLOOKUP(T$14,Dec_Change,$K125)</f>
        <v>1.02855302909737</v>
      </c>
      <c r="U125" s="1668" t="n">
        <f aca="false">U124</f>
        <v>1.005</v>
      </c>
      <c r="V125" s="1675" t="n">
        <f aca="false">IF(AND($A125&gt;=V$16,MONTH($A125)=MONTH(V$16)),MAX(T125,U125)*V124,V124)</f>
        <v>1.23462294375966</v>
      </c>
      <c r="X125" s="1667" t="n">
        <f aca="false">HLOOKUP(X$14,Dec_Change,$K125)</f>
        <v>1.02605302909737</v>
      </c>
      <c r="Y125" s="1668" t="n">
        <f aca="false">Y124</f>
        <v>1.02</v>
      </c>
      <c r="Z125" s="1675" t="n">
        <f aca="false">IF(AND($A125&gt;=Z$16,MONTH($A125)=MONTH(Z$16)),MAX(X125,Y125)*Z124,Z124)</f>
        <v>1.22051988152322</v>
      </c>
      <c r="AB125" s="1667" t="n">
        <f aca="false">HLOOKUP(AB$14,Dec_Change,$K125)</f>
        <v>1.02605302909737</v>
      </c>
      <c r="AC125" s="1668" t="n">
        <f aca="false">AC124</f>
        <v>1.02</v>
      </c>
      <c r="AD125" s="1675" t="n">
        <f aca="false">IF(AND($A125&gt;=AD$16,MONTH($A125)=MONTH(AD$16)),MAX(AB125,AC125)*AD124,AD124)</f>
        <v>1.22051988152322</v>
      </c>
      <c r="AF125" s="1667" t="n">
        <f aca="false">HLOOKUP(AF$14,Dec_Change,$K125)</f>
        <v>1.07833075468112</v>
      </c>
      <c r="AG125" s="1668" t="n">
        <f aca="false">AG124</f>
        <v>0</v>
      </c>
      <c r="AH125" s="1675" t="n">
        <f aca="false">IF(AND($A125&gt;=AH$16,MONTH($A125)=MONTH(AH$16)),MAX(AF125,AG125)*AH124,AH124)</f>
        <v>1.95137683106314</v>
      </c>
      <c r="AJ125" s="1667" t="n">
        <f aca="false">HLOOKUP(AJ$14,Dec_Change,$K125)</f>
        <v>1.02605302909737</v>
      </c>
      <c r="AK125" s="1668" t="n">
        <f aca="false">AK124</f>
        <v>1.02</v>
      </c>
      <c r="AL125" s="1675" t="n">
        <f aca="false">IF(AND($A125&gt;=AL$16,MONTH($A125)=MONTH(AL$16)),MAX(AJ125,AK125)*AL124,AL124)</f>
        <v>1.22051988152322</v>
      </c>
      <c r="AN125" s="1667" t="n">
        <f aca="false">HLOOKUP(AN$14,Dec_Change,$K125)</f>
        <v>1.02855302909737</v>
      </c>
      <c r="AO125" s="1668" t="n">
        <f aca="false">AO124</f>
        <v>1.005</v>
      </c>
      <c r="AP125" s="1675" t="n">
        <f aca="false">IF(AND($A125&gt;=AP$16,MONTH($A125)=MONTH(AP$16)),MAX(AN125,AO125)*AP124,AP124)</f>
        <v>1.23462294375966</v>
      </c>
      <c r="AR125" s="1670" t="n">
        <f aca="false">$A125</f>
        <v>38626</v>
      </c>
      <c r="AS125" s="1671" t="n">
        <f aca="false">IF(AND($A125&gt;=EDATE(AS$17,12),IF(Assm!$L$74=0,$D125,$E125)/AS124&gt;=1.05),IF(Assm!$L$74=0,$D125,$E125),AS124)</f>
        <v>2.26798642687942</v>
      </c>
      <c r="AT125" s="1671" t="n">
        <f aca="false">IF(AS125/AS124=1,AT124,AS125/AS124)</f>
        <v>1.05226486206655</v>
      </c>
      <c r="AU125" s="1671" t="n">
        <f aca="false">F125</f>
        <v>1.07833075468112</v>
      </c>
      <c r="AV125" s="1671" t="n">
        <f aca="false">MAX(AT125,AU125)</f>
        <v>1.07833075468112</v>
      </c>
      <c r="AW125" s="1675" t="n">
        <f aca="false">IF(AV125=AV124,AW124,AV125*AW124)</f>
        <v>2.42851660770782</v>
      </c>
    </row>
    <row r="126" customFormat="false" ht="12.75" hidden="false" customHeight="false" outlineLevel="0" collapsed="false">
      <c r="A126" s="1673" t="n">
        <f aca="false">EDATE(A125,1)</f>
        <v>38657</v>
      </c>
      <c r="B126" s="1659" t="n">
        <f aca="false">'[4]Monthly Curve Calc.'!B129</f>
        <v>284.571671656759</v>
      </c>
      <c r="C126" s="1660" t="n">
        <f aca="false">'[4]Monthly Curve Calc.'!C129</f>
        <v>201.023570189647</v>
      </c>
      <c r="D126" s="1661" t="n">
        <f aca="false">'[4]Monthly Curve Calc.'!F129</f>
        <v>2.3270624605217</v>
      </c>
      <c r="E126" s="1662" t="n">
        <f aca="false">IF($A126&lt;=E$16,D126,(B126/B125)/(C126/C125)*E125)</f>
        <v>1.7251059479706</v>
      </c>
      <c r="F126" s="1674" t="n">
        <f aca="false">IF(Assm!$L$75=0,F125,IF(AND($A126&gt;F$16,MONTH($A126)=MONTH(F$16)),B125/B113,F125))</f>
        <v>1.07833075468112</v>
      </c>
      <c r="G126" s="1668" t="n">
        <f aca="false">IF(Assm!$L$75=0,G125,IF(AND($A126&gt;G$16,MONTH($A126)=MONTH(G$16)),C125/C113,G125))</f>
        <v>1.02855302909737</v>
      </c>
      <c r="H126" s="1668" t="n">
        <f aca="false">IF(Assm!$L$75=0,H125,IF(AND($A126&gt;H$16,MONTH($A126)=MONTH(H$16)),C125/C113-H$18,H125))</f>
        <v>1.02605302909737</v>
      </c>
      <c r="I126" s="1668" t="n">
        <f aca="false">IF(Assm!$L$75=0,I125,IF($A126&gt;=I$16,IF(MONTH($A126)=MONTH(I$16),AVERAGE(D114:D125),I125),I125))</f>
        <v>2.23610820906301</v>
      </c>
      <c r="J126" s="1675" t="n">
        <f aca="false">IF(Assm!$L$75=0,J125,IF($A126&gt;=J$16,IF(MONTH($A126)=MONTH(J$16),AVERAGE(E114:E125),J125),J125))</f>
        <v>1.61980564575952</v>
      </c>
      <c r="K126" s="1624" t="n">
        <f aca="false">K125+1</f>
        <v>114</v>
      </c>
      <c r="L126" s="1667" t="n">
        <f aca="false">HLOOKUP(L$14,Dec_Change,$K126)</f>
        <v>1.02855302909737</v>
      </c>
      <c r="M126" s="1668" t="n">
        <f aca="false">M125</f>
        <v>0</v>
      </c>
      <c r="N126" s="1675" t="n">
        <f aca="false">IF(AND($A126&gt;=N$16,MONTH($A126)=MONTH(N$16)),MAX(L126,M126)*N125,N125)</f>
        <v>1.23462294375966</v>
      </c>
      <c r="P126" s="1667" t="n">
        <f aca="false">HLOOKUP(P$14,Dec_Change,$K126)</f>
        <v>1.07833075468112</v>
      </c>
      <c r="Q126" s="1668" t="n">
        <f aca="false">Q125</f>
        <v>0</v>
      </c>
      <c r="R126" s="1675" t="n">
        <f aca="false">IF(AND($A126&gt;=R$16,MONTH($A126)=MONTH(R$16)),MAX(P126,Q126)*R125,R125)</f>
        <v>1.95137683106314</v>
      </c>
      <c r="T126" s="1667" t="n">
        <f aca="false">HLOOKUP(T$14,Dec_Change,$K126)</f>
        <v>1.02855302909737</v>
      </c>
      <c r="U126" s="1668" t="n">
        <f aca="false">U125</f>
        <v>1.005</v>
      </c>
      <c r="V126" s="1675" t="n">
        <f aca="false">IF(AND($A126&gt;=V$16,MONTH($A126)=MONTH(V$16)),MAX(T126,U126)*V125,V125)</f>
        <v>1.23462294375966</v>
      </c>
      <c r="X126" s="1667" t="n">
        <f aca="false">HLOOKUP(X$14,Dec_Change,$K126)</f>
        <v>1.02605302909737</v>
      </c>
      <c r="Y126" s="1668" t="n">
        <f aca="false">Y125</f>
        <v>1.02</v>
      </c>
      <c r="Z126" s="1675" t="n">
        <f aca="false">IF(AND($A126&gt;=Z$16,MONTH($A126)=MONTH(Z$16)),MAX(X126,Y126)*Z125,Z125)</f>
        <v>1.22051988152322</v>
      </c>
      <c r="AB126" s="1667" t="n">
        <f aca="false">HLOOKUP(AB$14,Dec_Change,$K126)</f>
        <v>1.02605302909737</v>
      </c>
      <c r="AC126" s="1668" t="n">
        <f aca="false">AC125</f>
        <v>1.02</v>
      </c>
      <c r="AD126" s="1675" t="n">
        <f aca="false">IF(AND($A126&gt;=AD$16,MONTH($A126)=MONTH(AD$16)),MAX(AB126,AC126)*AD125,AD125)</f>
        <v>1.22051988152322</v>
      </c>
      <c r="AF126" s="1667" t="n">
        <f aca="false">HLOOKUP(AF$14,Dec_Change,$K126)</f>
        <v>1.07833075468112</v>
      </c>
      <c r="AG126" s="1668" t="n">
        <f aca="false">AG125</f>
        <v>0</v>
      </c>
      <c r="AH126" s="1675" t="n">
        <f aca="false">IF(AND($A126&gt;=AH$16,MONTH($A126)=MONTH(AH$16)),MAX(AF126,AG126)*AH125,AH125)</f>
        <v>1.95137683106314</v>
      </c>
      <c r="AJ126" s="1667" t="n">
        <f aca="false">HLOOKUP(AJ$14,Dec_Change,$K126)</f>
        <v>1.02605302909737</v>
      </c>
      <c r="AK126" s="1668" t="n">
        <f aca="false">AK125</f>
        <v>1.02</v>
      </c>
      <c r="AL126" s="1675" t="n">
        <f aca="false">IF(AND($A126&gt;=AL$16,MONTH($A126)=MONTH(AL$16)),MAX(AJ126,AK126)*AL125,AL125)</f>
        <v>1.22051988152322</v>
      </c>
      <c r="AN126" s="1667" t="n">
        <f aca="false">HLOOKUP(AN$14,Dec_Change,$K126)</f>
        <v>1.02855302909737</v>
      </c>
      <c r="AO126" s="1668" t="n">
        <f aca="false">AO125</f>
        <v>1.005</v>
      </c>
      <c r="AP126" s="1675" t="n">
        <f aca="false">IF(AND($A126&gt;=AP$16,MONTH($A126)=MONTH(AP$16)),MAX(AN126,AO126)*AP125,AP125)</f>
        <v>1.23462294375966</v>
      </c>
      <c r="AR126" s="1670" t="n">
        <f aca="false">$A126</f>
        <v>38657</v>
      </c>
      <c r="AS126" s="1671" t="n">
        <f aca="false">IF(AND($A126&gt;=EDATE(AS$17,12),IF(Assm!$L$74=0,$D126,$E126)/AS125&gt;=1.05),IF(Assm!$L$74=0,$D126,$E126),AS125)</f>
        <v>2.26798642687942</v>
      </c>
      <c r="AT126" s="1671" t="n">
        <f aca="false">IF(AS126/AS125=1,AT125,AS126/AS125)</f>
        <v>1.05226486206655</v>
      </c>
      <c r="AU126" s="1671" t="n">
        <f aca="false">F126</f>
        <v>1.07833075468112</v>
      </c>
      <c r="AV126" s="1671" t="n">
        <f aca="false">MAX(AT126,AU126)</f>
        <v>1.07833075468112</v>
      </c>
      <c r="AW126" s="1675" t="n">
        <f aca="false">IF(AV126=AV125,AW125,AV126*AW125)</f>
        <v>2.42851660770782</v>
      </c>
    </row>
    <row r="127" customFormat="false" ht="12.75" hidden="false" customHeight="false" outlineLevel="0" collapsed="false">
      <c r="A127" s="1673" t="n">
        <f aca="false">EDATE(A126,1)</f>
        <v>38687</v>
      </c>
      <c r="B127" s="1659" t="n">
        <f aca="false">'[4]Monthly Curve Calc.'!B130</f>
        <v>286.291884368532</v>
      </c>
      <c r="C127" s="1660" t="n">
        <f aca="false">'[4]Monthly Curve Calc.'!C130</f>
        <v>201.490299659798</v>
      </c>
      <c r="D127" s="1661" t="n">
        <f aca="false">'[4]Monthly Curve Calc.'!F130</f>
        <v>2.33250871825894</v>
      </c>
      <c r="E127" s="1662" t="n">
        <f aca="false">IF($A127&lt;=E$16,D127,(B127/B126)/(C127/C126)*E126)</f>
        <v>1.73151390551772</v>
      </c>
      <c r="F127" s="1674" t="n">
        <f aca="false">IF(Assm!$L$75=0,F126,IF(AND($A127&gt;F$16,MONTH($A127)=MONTH(F$16)),B126/B114,F126))</f>
        <v>1.07833075468112</v>
      </c>
      <c r="G127" s="1668" t="n">
        <f aca="false">IF(Assm!$L$75=0,G126,IF(AND($A127&gt;G$16,MONTH($A127)=MONTH(G$16)),C126/C114,G126))</f>
        <v>1.02855302909737</v>
      </c>
      <c r="H127" s="1668" t="n">
        <f aca="false">IF(Assm!$L$75=0,H126,IF(AND($A127&gt;H$16,MONTH($A127)=MONTH(H$16)),C126/C114-H$18,H126))</f>
        <v>1.02605302909737</v>
      </c>
      <c r="I127" s="1668" t="n">
        <f aca="false">IF(Assm!$L$75=0,I126,IF($A127&gt;=I$16,IF(MONTH($A127)=MONTH(I$16),AVERAGE(D115:D126),I126),I126))</f>
        <v>2.23610820906301</v>
      </c>
      <c r="J127" s="1675" t="n">
        <f aca="false">IF(Assm!$L$75=0,J126,IF($A127&gt;=J$16,IF(MONTH($A127)=MONTH(J$16),AVERAGE(E115:E126),J126),J126))</f>
        <v>1.61980564575952</v>
      </c>
      <c r="K127" s="1624" t="n">
        <f aca="false">K126+1</f>
        <v>115</v>
      </c>
      <c r="L127" s="1667" t="n">
        <f aca="false">HLOOKUP(L$14,Dec_Change,$K127)</f>
        <v>1.02855302909737</v>
      </c>
      <c r="M127" s="1668" t="n">
        <f aca="false">M126</f>
        <v>0</v>
      </c>
      <c r="N127" s="1675" t="n">
        <f aca="false">IF(AND($A127&gt;=N$16,MONTH($A127)=MONTH(N$16)),MAX(L127,M127)*N126,N126)</f>
        <v>1.23462294375966</v>
      </c>
      <c r="P127" s="1667" t="n">
        <f aca="false">HLOOKUP(P$14,Dec_Change,$K127)</f>
        <v>1.07833075468112</v>
      </c>
      <c r="Q127" s="1668" t="n">
        <f aca="false">Q126</f>
        <v>0</v>
      </c>
      <c r="R127" s="1675" t="n">
        <f aca="false">IF(AND($A127&gt;=R$16,MONTH($A127)=MONTH(R$16)),MAX(P127,Q127)*R126,R126)</f>
        <v>1.95137683106314</v>
      </c>
      <c r="T127" s="1667" t="n">
        <f aca="false">HLOOKUP(T$14,Dec_Change,$K127)</f>
        <v>1.02855302909737</v>
      </c>
      <c r="U127" s="1668" t="n">
        <f aca="false">U126</f>
        <v>1.005</v>
      </c>
      <c r="V127" s="1675" t="n">
        <f aca="false">IF(AND($A127&gt;=V$16,MONTH($A127)=MONTH(V$16)),MAX(T127,U127)*V126,V126)</f>
        <v>1.23462294375966</v>
      </c>
      <c r="X127" s="1667" t="n">
        <f aca="false">HLOOKUP(X$14,Dec_Change,$K127)</f>
        <v>1.02605302909737</v>
      </c>
      <c r="Y127" s="1668" t="n">
        <f aca="false">Y126</f>
        <v>1.02</v>
      </c>
      <c r="Z127" s="1675" t="n">
        <f aca="false">IF(AND($A127&gt;=Z$16,MONTH($A127)=MONTH(Z$16)),MAX(X127,Y127)*Z126,Z126)</f>
        <v>1.22051988152322</v>
      </c>
      <c r="AB127" s="1667" t="n">
        <f aca="false">HLOOKUP(AB$14,Dec_Change,$K127)</f>
        <v>1.02605302909737</v>
      </c>
      <c r="AC127" s="1668" t="n">
        <f aca="false">AC126</f>
        <v>1.02</v>
      </c>
      <c r="AD127" s="1675" t="n">
        <f aca="false">IF(AND($A127&gt;=AD$16,MONTH($A127)=MONTH(AD$16)),MAX(AB127,AC127)*AD126,AD126)</f>
        <v>1.22051988152322</v>
      </c>
      <c r="AF127" s="1667" t="n">
        <f aca="false">HLOOKUP(AF$14,Dec_Change,$K127)</f>
        <v>1.07833075468112</v>
      </c>
      <c r="AG127" s="1668" t="n">
        <f aca="false">AG126</f>
        <v>0</v>
      </c>
      <c r="AH127" s="1675" t="n">
        <f aca="false">IF(AND($A127&gt;=AH$16,MONTH($A127)=MONTH(AH$16)),MAX(AF127,AG127)*AH126,AH126)</f>
        <v>1.95137683106314</v>
      </c>
      <c r="AJ127" s="1667" t="n">
        <f aca="false">HLOOKUP(AJ$14,Dec_Change,$K127)</f>
        <v>1.02605302909737</v>
      </c>
      <c r="AK127" s="1668" t="n">
        <f aca="false">AK126</f>
        <v>1.02</v>
      </c>
      <c r="AL127" s="1675" t="n">
        <f aca="false">IF(AND($A127&gt;=AL$16,MONTH($A127)=MONTH(AL$16)),MAX(AJ127,AK127)*AL126,AL126)</f>
        <v>1.22051988152322</v>
      </c>
      <c r="AN127" s="1667" t="n">
        <f aca="false">HLOOKUP(AN$14,Dec_Change,$K127)</f>
        <v>1.02855302909737</v>
      </c>
      <c r="AO127" s="1668" t="n">
        <f aca="false">AO126</f>
        <v>1.005</v>
      </c>
      <c r="AP127" s="1675" t="n">
        <f aca="false">IF(AND($A127&gt;=AP$16,MONTH($A127)=MONTH(AP$16)),MAX(AN127,AO127)*AP126,AP126)</f>
        <v>1.23462294375966</v>
      </c>
      <c r="AR127" s="1670" t="n">
        <f aca="false">$A127</f>
        <v>38687</v>
      </c>
      <c r="AS127" s="1671" t="n">
        <f aca="false">IF(AND($A127&gt;=EDATE(AS$17,12),IF(Assm!$L$74=0,$D127,$E127)/AS126&gt;=1.05),IF(Assm!$L$74=0,$D127,$E127),AS126)</f>
        <v>2.26798642687942</v>
      </c>
      <c r="AT127" s="1671" t="n">
        <f aca="false">IF(AS127/AS126=1,AT126,AS127/AS126)</f>
        <v>1.05226486206655</v>
      </c>
      <c r="AU127" s="1671" t="n">
        <f aca="false">F127</f>
        <v>1.07833075468112</v>
      </c>
      <c r="AV127" s="1671" t="n">
        <f aca="false">MAX(AT127,AU127)</f>
        <v>1.07833075468112</v>
      </c>
      <c r="AW127" s="1675" t="n">
        <f aca="false">IF(AV127=AV126,AW126,AV127*AW126)</f>
        <v>2.42851660770782</v>
      </c>
    </row>
    <row r="128" customFormat="false" ht="12.75" hidden="false" customHeight="false" outlineLevel="0" collapsed="false">
      <c r="A128" s="1673" t="n">
        <f aca="false">EDATE(A127,1)</f>
        <v>38718</v>
      </c>
      <c r="B128" s="1659" t="n">
        <f aca="false">'[4]Monthly Curve Calc.'!B131</f>
        <v>288.022495626852</v>
      </c>
      <c r="C128" s="1660" t="n">
        <f aca="false">'[4]Monthly Curve Calc.'!C131</f>
        <v>201.947265641857</v>
      </c>
      <c r="D128" s="1661" t="n">
        <f aca="false">'[4]Monthly Curve Calc.'!F131</f>
        <v>2.33788261742251</v>
      </c>
      <c r="E128" s="1662" t="n">
        <f aca="false">IF($A128&lt;=E$16,D128,(B128/B127)/(C128/C127)*E127)</f>
        <v>1.73803901529375</v>
      </c>
      <c r="F128" s="1674" t="n">
        <f aca="false">IF(Assm!$L$75=0,F127,IF(AND($A128&gt;F$16,MONTH($A128)=MONTH(F$16)),B127/B115,F127))</f>
        <v>1.07833075468112</v>
      </c>
      <c r="G128" s="1668" t="n">
        <f aca="false">IF(Assm!$L$75=0,G127,IF(AND($A128&gt;G$16,MONTH($A128)=MONTH(G$16)),C127/C115,G127))</f>
        <v>1.02855302909737</v>
      </c>
      <c r="H128" s="1668" t="n">
        <f aca="false">IF(Assm!$L$75=0,H127,IF(AND($A128&gt;H$16,MONTH($A128)=MONTH(H$16)),C127/C115-H$18,H127))</f>
        <v>1.02605302909737</v>
      </c>
      <c r="I128" s="1668" t="n">
        <f aca="false">IF(Assm!$L$75=0,I127,IF($A128&gt;=I$16,IF(MONTH($A128)=MONTH(I$16),AVERAGE(D116:D127),I127),I127))</f>
        <v>2.30278621923876</v>
      </c>
      <c r="J128" s="1675" t="n">
        <f aca="false">IF(Assm!$L$75=0,J127,IF($A128&gt;=J$16,IF(MONTH($A128)=MONTH(J$16),AVERAGE(E116:E127),J127),J127))</f>
        <v>1.69670130529483</v>
      </c>
      <c r="K128" s="1624" t="n">
        <f aca="false">K127+1</f>
        <v>116</v>
      </c>
      <c r="L128" s="1667" t="n">
        <f aca="false">HLOOKUP(L$14,Dec_Change,$K128)</f>
        <v>1.02855302909737</v>
      </c>
      <c r="M128" s="1668" t="n">
        <f aca="false">M127</f>
        <v>0</v>
      </c>
      <c r="N128" s="1675" t="n">
        <f aca="false">IF(AND($A128&gt;=N$16,MONTH($A128)=MONTH(N$16)),MAX(L128,M128)*N127,N127)</f>
        <v>1.23462294375966</v>
      </c>
      <c r="P128" s="1667" t="n">
        <f aca="false">HLOOKUP(P$14,Dec_Change,$K128)</f>
        <v>1.07833075468112</v>
      </c>
      <c r="Q128" s="1668" t="n">
        <f aca="false">Q127</f>
        <v>0</v>
      </c>
      <c r="R128" s="1675" t="n">
        <f aca="false">IF(AND($A128&gt;=R$16,MONTH($A128)=MONTH(R$16)),MAX(P128,Q128)*R127,R127)</f>
        <v>1.95137683106314</v>
      </c>
      <c r="T128" s="1667" t="n">
        <f aca="false">HLOOKUP(T$14,Dec_Change,$K128)</f>
        <v>1.02855302909737</v>
      </c>
      <c r="U128" s="1668" t="n">
        <f aca="false">U127</f>
        <v>1.005</v>
      </c>
      <c r="V128" s="1675" t="n">
        <f aca="false">IF(AND($A128&gt;=V$16,MONTH($A128)=MONTH(V$16)),MAX(T128,U128)*V127,V127)</f>
        <v>1.23462294375966</v>
      </c>
      <c r="X128" s="1667" t="n">
        <f aca="false">HLOOKUP(X$14,Dec_Change,$K128)</f>
        <v>1.02605302909737</v>
      </c>
      <c r="Y128" s="1668" t="n">
        <f aca="false">Y127</f>
        <v>1.02</v>
      </c>
      <c r="Z128" s="1675" t="n">
        <f aca="false">IF(AND($A128&gt;=Z$16,MONTH($A128)=MONTH(Z$16)),MAX(X128,Y128)*Z127,Z127)</f>
        <v>1.22051988152322</v>
      </c>
      <c r="AB128" s="1667" t="n">
        <f aca="false">HLOOKUP(AB$14,Dec_Change,$K128)</f>
        <v>1.02605302909737</v>
      </c>
      <c r="AC128" s="1668" t="n">
        <f aca="false">AC127</f>
        <v>1.02</v>
      </c>
      <c r="AD128" s="1675" t="n">
        <f aca="false">IF(AND($A128&gt;=AD$16,MONTH($A128)=MONTH(AD$16)),MAX(AB128,AC128)*AD127,AD127)</f>
        <v>1.22051988152322</v>
      </c>
      <c r="AF128" s="1667" t="n">
        <f aca="false">HLOOKUP(AF$14,Dec_Change,$K128)</f>
        <v>1.07833075468112</v>
      </c>
      <c r="AG128" s="1668" t="n">
        <f aca="false">AG127</f>
        <v>0</v>
      </c>
      <c r="AH128" s="1675" t="n">
        <f aca="false">IF(AND($A128&gt;=AH$16,MONTH($A128)=MONTH(AH$16)),MAX(AF128,AG128)*AH127,AH127)</f>
        <v>1.95137683106314</v>
      </c>
      <c r="AJ128" s="1667" t="n">
        <f aca="false">HLOOKUP(AJ$14,Dec_Change,$K128)</f>
        <v>1.02605302909737</v>
      </c>
      <c r="AK128" s="1668" t="n">
        <f aca="false">AK127</f>
        <v>1.02</v>
      </c>
      <c r="AL128" s="1675" t="n">
        <f aca="false">IF(AND($A128&gt;=AL$16,MONTH($A128)=MONTH(AL$16)),MAX(AJ128,AK128)*AL127,AL127)</f>
        <v>1.22051988152322</v>
      </c>
      <c r="AN128" s="1667" t="n">
        <f aca="false">HLOOKUP(AN$14,Dec_Change,$K128)</f>
        <v>1.02855302909737</v>
      </c>
      <c r="AO128" s="1668" t="n">
        <f aca="false">AO127</f>
        <v>1.005</v>
      </c>
      <c r="AP128" s="1675" t="n">
        <f aca="false">IF(AND($A128&gt;=AP$16,MONTH($A128)=MONTH(AP$16)),MAX(AN128,AO128)*AP127,AP127)</f>
        <v>1.23462294375966</v>
      </c>
      <c r="AR128" s="1670" t="n">
        <f aca="false">$A128</f>
        <v>38718</v>
      </c>
      <c r="AS128" s="1671" t="n">
        <f aca="false">IF(AND($A128&gt;=EDATE(AS$17,12),IF(Assm!$L$74=0,$D128,$E128)/AS127&gt;=1.05),IF(Assm!$L$74=0,$D128,$E128),AS127)</f>
        <v>2.26798642687942</v>
      </c>
      <c r="AT128" s="1671" t="n">
        <f aca="false">IF(AS128/AS127=1,AT127,AS128/AS127)</f>
        <v>1.05226486206655</v>
      </c>
      <c r="AU128" s="1671" t="n">
        <f aca="false">F128</f>
        <v>1.07833075468112</v>
      </c>
      <c r="AV128" s="1671" t="n">
        <f aca="false">MAX(AT128,AU128)</f>
        <v>1.07833075468112</v>
      </c>
      <c r="AW128" s="1675" t="n">
        <f aca="false">IF(AV128=AV127,AW127,AV128*AW127)</f>
        <v>2.42851660770782</v>
      </c>
    </row>
    <row r="129" customFormat="false" ht="12.75" hidden="false" customHeight="false" outlineLevel="0" collapsed="false">
      <c r="A129" s="1673" t="n">
        <f aca="false">EDATE(A128,1)</f>
        <v>38749</v>
      </c>
      <c r="B129" s="1659" t="n">
        <f aca="false">'[4]Monthly Curve Calc.'!B132</f>
        <v>289.76356829009</v>
      </c>
      <c r="C129" s="1660" t="n">
        <f aca="false">'[4]Monthly Curve Calc.'!C132</f>
        <v>202.405267990972</v>
      </c>
      <c r="D129" s="1661" t="n">
        <f aca="false">'[4]Monthly Curve Calc.'!F132</f>
        <v>2.34326889758685</v>
      </c>
      <c r="E129" s="1662" t="n">
        <f aca="false">IF($A129&lt;=E$16,D129,(B129/B128)/(C129/C128)*E128)</f>
        <v>1.7445887145677</v>
      </c>
      <c r="F129" s="1674" t="n">
        <f aca="false">IF(Assm!$L$75=0,F128,IF(AND($A129&gt;F$16,MONTH($A129)=MONTH(F$16)),B128/B116,F128))</f>
        <v>1.07833075468112</v>
      </c>
      <c r="G129" s="1668" t="n">
        <f aca="false">IF(Assm!$L$75=0,G128,IF(AND($A129&gt;G$16,MONTH($A129)=MONTH(G$16)),C128/C116,G128))</f>
        <v>1.02855302909737</v>
      </c>
      <c r="H129" s="1668" t="n">
        <f aca="false">IF(Assm!$L$75=0,H128,IF(AND($A129&gt;H$16,MONTH($A129)=MONTH(H$16)),C128/C116-H$18,H128))</f>
        <v>1.02605302909737</v>
      </c>
      <c r="I129" s="1668" t="n">
        <f aca="false">IF(Assm!$L$75=0,I128,IF($A129&gt;=I$16,IF(MONTH($A129)=MONTH(I$16),AVERAGE(D117:D128),I128),I128))</f>
        <v>2.30278621923876</v>
      </c>
      <c r="J129" s="1675" t="n">
        <f aca="false">IF(Assm!$L$75=0,J128,IF($A129&gt;=J$16,IF(MONTH($A129)=MONTH(J$16),AVERAGE(E117:E128),J128),J128))</f>
        <v>1.69670130529483</v>
      </c>
      <c r="K129" s="1624" t="n">
        <f aca="false">K128+1</f>
        <v>117</v>
      </c>
      <c r="L129" s="1667" t="n">
        <f aca="false">HLOOKUP(L$14,Dec_Change,$K129)</f>
        <v>1.02855302909737</v>
      </c>
      <c r="M129" s="1668" t="n">
        <f aca="false">M128</f>
        <v>0</v>
      </c>
      <c r="N129" s="1675" t="n">
        <f aca="false">IF(AND($A129&gt;=N$16,MONTH($A129)=MONTH(N$16)),MAX(L129,M129)*N128,N128)</f>
        <v>1.23462294375966</v>
      </c>
      <c r="P129" s="1667" t="n">
        <f aca="false">HLOOKUP(P$14,Dec_Change,$K129)</f>
        <v>1.07833075468112</v>
      </c>
      <c r="Q129" s="1668" t="n">
        <f aca="false">Q128</f>
        <v>0</v>
      </c>
      <c r="R129" s="1675" t="n">
        <f aca="false">IF(AND($A129&gt;=R$16,MONTH($A129)=MONTH(R$16)),MAX(P129,Q129)*R128,R128)</f>
        <v>1.95137683106314</v>
      </c>
      <c r="T129" s="1667" t="n">
        <f aca="false">HLOOKUP(T$14,Dec_Change,$K129)</f>
        <v>1.02855302909737</v>
      </c>
      <c r="U129" s="1668" t="n">
        <f aca="false">U128</f>
        <v>1.005</v>
      </c>
      <c r="V129" s="1675" t="n">
        <f aca="false">IF(AND($A129&gt;=V$16,MONTH($A129)=MONTH(V$16)),MAX(T129,U129)*V128,V128)</f>
        <v>1.23462294375966</v>
      </c>
      <c r="X129" s="1667" t="n">
        <f aca="false">HLOOKUP(X$14,Dec_Change,$K129)</f>
        <v>1.02605302909737</v>
      </c>
      <c r="Y129" s="1668" t="n">
        <f aca="false">Y128</f>
        <v>1.02</v>
      </c>
      <c r="Z129" s="1675" t="n">
        <f aca="false">IF(AND($A129&gt;=Z$16,MONTH($A129)=MONTH(Z$16)),MAX(X129,Y129)*Z128,Z128)</f>
        <v>1.22051988152322</v>
      </c>
      <c r="AB129" s="1667" t="n">
        <f aca="false">HLOOKUP(AB$14,Dec_Change,$K129)</f>
        <v>1.02605302909737</v>
      </c>
      <c r="AC129" s="1668" t="n">
        <f aca="false">AC128</f>
        <v>1.02</v>
      </c>
      <c r="AD129" s="1675" t="n">
        <f aca="false">IF(AND($A129&gt;=AD$16,MONTH($A129)=MONTH(AD$16)),MAX(AB129,AC129)*AD128,AD128)</f>
        <v>1.22051988152322</v>
      </c>
      <c r="AF129" s="1667" t="n">
        <f aca="false">HLOOKUP(AF$14,Dec_Change,$K129)</f>
        <v>1.07833075468112</v>
      </c>
      <c r="AG129" s="1668" t="n">
        <f aca="false">AG128</f>
        <v>0</v>
      </c>
      <c r="AH129" s="1675" t="n">
        <f aca="false">IF(AND($A129&gt;=AH$16,MONTH($A129)=MONTH(AH$16)),MAX(AF129,AG129)*AH128,AH128)</f>
        <v>1.95137683106314</v>
      </c>
      <c r="AJ129" s="1667" t="n">
        <f aca="false">HLOOKUP(AJ$14,Dec_Change,$K129)</f>
        <v>1.02605302909737</v>
      </c>
      <c r="AK129" s="1668" t="n">
        <f aca="false">AK128</f>
        <v>1.02</v>
      </c>
      <c r="AL129" s="1675" t="n">
        <f aca="false">IF(AND($A129&gt;=AL$16,MONTH($A129)=MONTH(AL$16)),MAX(AJ129,AK129)*AL128,AL128)</f>
        <v>1.22051988152322</v>
      </c>
      <c r="AN129" s="1667" t="n">
        <f aca="false">HLOOKUP(AN$14,Dec_Change,$K129)</f>
        <v>1.02855302909737</v>
      </c>
      <c r="AO129" s="1668" t="n">
        <f aca="false">AO128</f>
        <v>1.005</v>
      </c>
      <c r="AP129" s="1675" t="n">
        <f aca="false">IF(AND($A129&gt;=AP$16,MONTH($A129)=MONTH(AP$16)),MAX(AN129,AO129)*AP128,AP128)</f>
        <v>1.23462294375966</v>
      </c>
      <c r="AR129" s="1670" t="n">
        <f aca="false">$A129</f>
        <v>38749</v>
      </c>
      <c r="AS129" s="1671" t="n">
        <f aca="false">IF(AND($A129&gt;=EDATE(AS$17,12),IF(Assm!$L$74=0,$D129,$E129)/AS128&gt;=1.05),IF(Assm!$L$74=0,$D129,$E129),AS128)</f>
        <v>2.26798642687942</v>
      </c>
      <c r="AT129" s="1671" t="n">
        <f aca="false">IF(AS129/AS128=1,AT128,AS129/AS128)</f>
        <v>1.05226486206655</v>
      </c>
      <c r="AU129" s="1671" t="n">
        <f aca="false">F129</f>
        <v>1.07833075468112</v>
      </c>
      <c r="AV129" s="1671" t="n">
        <f aca="false">MAX(AT129,AU129)</f>
        <v>1.07833075468112</v>
      </c>
      <c r="AW129" s="1675" t="n">
        <f aca="false">IF(AV129=AV128,AW128,AV129*AW128)</f>
        <v>2.42851660770782</v>
      </c>
    </row>
    <row r="130" customFormat="false" ht="12.75" hidden="false" customHeight="false" outlineLevel="0" collapsed="false">
      <c r="A130" s="1673" t="n">
        <f aca="false">EDATE(A129,1)</f>
        <v>38777</v>
      </c>
      <c r="B130" s="1659" t="n">
        <f aca="false">'[4]Monthly Curve Calc.'!B133</f>
        <v>291.515165596594</v>
      </c>
      <c r="C130" s="1660" t="n">
        <f aca="false">'[4]Monthly Curve Calc.'!C133</f>
        <v>202.864309057552</v>
      </c>
      <c r="D130" s="1661" t="n">
        <f aca="false">'[4]Monthly Curve Calc.'!F133</f>
        <v>2.34866758727671</v>
      </c>
      <c r="E130" s="1662" t="n">
        <f aca="false">IF($A130&lt;=E$16,D130,(B130/B129)/(C130/C129)*E129)</f>
        <v>1.75116309600367</v>
      </c>
      <c r="F130" s="1674" t="n">
        <f aca="false">IF(Assm!$L$75=0,F129,IF(AND($A130&gt;F$16,MONTH($A130)=MONTH(F$16)),B129/B117,F129))</f>
        <v>1.07833075468112</v>
      </c>
      <c r="G130" s="1668" t="n">
        <f aca="false">IF(Assm!$L$75=0,G129,IF(AND($A130&gt;G$16,MONTH($A130)=MONTH(G$16)),C129/C117,G129))</f>
        <v>1.02855302909737</v>
      </c>
      <c r="H130" s="1668" t="n">
        <f aca="false">IF(Assm!$L$75=0,H129,IF(AND($A130&gt;H$16,MONTH($A130)=MONTH(H$16)),C129/C117-H$18,H129))</f>
        <v>1.02605302909737</v>
      </c>
      <c r="I130" s="1668" t="n">
        <f aca="false">IF(Assm!$L$75=0,I129,IF($A130&gt;=I$16,IF(MONTH($A130)=MONTH(I$16),AVERAGE(D118:D129),I129),I129))</f>
        <v>2.30278621923876</v>
      </c>
      <c r="J130" s="1675" t="n">
        <f aca="false">IF(Assm!$L$75=0,J129,IF($A130&gt;=J$16,IF(MONTH($A130)=MONTH(J$16),AVERAGE(E118:E129),J129),J129))</f>
        <v>1.69670130529483</v>
      </c>
      <c r="K130" s="1624" t="n">
        <f aca="false">K129+1</f>
        <v>118</v>
      </c>
      <c r="L130" s="1667" t="n">
        <f aca="false">HLOOKUP(L$14,Dec_Change,$K130)</f>
        <v>1.02855302909737</v>
      </c>
      <c r="M130" s="1668" t="n">
        <f aca="false">M129</f>
        <v>0</v>
      </c>
      <c r="N130" s="1675" t="n">
        <f aca="false">IF(AND($A130&gt;=N$16,MONTH($A130)=MONTH(N$16)),MAX(L130,M130)*N129,N129)</f>
        <v>1.23462294375966</v>
      </c>
      <c r="P130" s="1667" t="n">
        <f aca="false">HLOOKUP(P$14,Dec_Change,$K130)</f>
        <v>1.07833075468112</v>
      </c>
      <c r="Q130" s="1668" t="n">
        <f aca="false">Q129</f>
        <v>0</v>
      </c>
      <c r="R130" s="1675" t="n">
        <f aca="false">IF(AND($A130&gt;=R$16,MONTH($A130)=MONTH(R$16)),MAX(P130,Q130)*R129,R129)</f>
        <v>1.95137683106314</v>
      </c>
      <c r="T130" s="1667" t="n">
        <f aca="false">HLOOKUP(T$14,Dec_Change,$K130)</f>
        <v>1.02855302909737</v>
      </c>
      <c r="U130" s="1668" t="n">
        <f aca="false">U129</f>
        <v>1.005</v>
      </c>
      <c r="V130" s="1675" t="n">
        <f aca="false">IF(AND($A130&gt;=V$16,MONTH($A130)=MONTH(V$16)),MAX(T130,U130)*V129,V129)</f>
        <v>1.23462294375966</v>
      </c>
      <c r="X130" s="1667" t="n">
        <f aca="false">HLOOKUP(X$14,Dec_Change,$K130)</f>
        <v>1.02605302909737</v>
      </c>
      <c r="Y130" s="1668" t="n">
        <f aca="false">Y129</f>
        <v>1.02</v>
      </c>
      <c r="Z130" s="1675" t="n">
        <f aca="false">IF(AND($A130&gt;=Z$16,MONTH($A130)=MONTH(Z$16)),MAX(X130,Y130)*Z129,Z129)</f>
        <v>1.22051988152322</v>
      </c>
      <c r="AB130" s="1667" t="n">
        <f aca="false">HLOOKUP(AB$14,Dec_Change,$K130)</f>
        <v>1.02605302909737</v>
      </c>
      <c r="AC130" s="1668" t="n">
        <f aca="false">AC129</f>
        <v>1.02</v>
      </c>
      <c r="AD130" s="1675" t="n">
        <f aca="false">IF(AND($A130&gt;=AD$16,MONTH($A130)=MONTH(AD$16)),MAX(AB130,AC130)*AD129,AD129)</f>
        <v>1.22051988152322</v>
      </c>
      <c r="AF130" s="1667" t="n">
        <f aca="false">HLOOKUP(AF$14,Dec_Change,$K130)</f>
        <v>1.07833075468112</v>
      </c>
      <c r="AG130" s="1668" t="n">
        <f aca="false">AG129</f>
        <v>0</v>
      </c>
      <c r="AH130" s="1675" t="n">
        <f aca="false">IF(AND($A130&gt;=AH$16,MONTH($A130)=MONTH(AH$16)),MAX(AF130,AG130)*AH129,AH129)</f>
        <v>1.95137683106314</v>
      </c>
      <c r="AJ130" s="1667" t="n">
        <f aca="false">HLOOKUP(AJ$14,Dec_Change,$K130)</f>
        <v>1.02605302909737</v>
      </c>
      <c r="AK130" s="1668" t="n">
        <f aca="false">AK129</f>
        <v>1.02</v>
      </c>
      <c r="AL130" s="1675" t="n">
        <f aca="false">IF(AND($A130&gt;=AL$16,MONTH($A130)=MONTH(AL$16)),MAX(AJ130,AK130)*AL129,AL129)</f>
        <v>1.22051988152322</v>
      </c>
      <c r="AN130" s="1667" t="n">
        <f aca="false">HLOOKUP(AN$14,Dec_Change,$K130)</f>
        <v>1.02855302909737</v>
      </c>
      <c r="AO130" s="1668" t="n">
        <f aca="false">AO129</f>
        <v>1.005</v>
      </c>
      <c r="AP130" s="1675" t="n">
        <f aca="false">IF(AND($A130&gt;=AP$16,MONTH($A130)=MONTH(AP$16)),MAX(AN130,AO130)*AP129,AP129)</f>
        <v>1.23462294375966</v>
      </c>
      <c r="AR130" s="1670" t="n">
        <f aca="false">$A130</f>
        <v>38777</v>
      </c>
      <c r="AS130" s="1671" t="n">
        <f aca="false">IF(AND($A130&gt;=EDATE(AS$17,12),IF(Assm!$L$74=0,$D130,$E130)/AS129&gt;=1.05),IF(Assm!$L$74=0,$D130,$E130),AS129)</f>
        <v>2.26798642687942</v>
      </c>
      <c r="AT130" s="1671" t="n">
        <f aca="false">IF(AS130/AS129=1,AT129,AS130/AS129)</f>
        <v>1.05226486206655</v>
      </c>
      <c r="AU130" s="1671" t="n">
        <f aca="false">F130</f>
        <v>1.07833075468112</v>
      </c>
      <c r="AV130" s="1671" t="n">
        <f aca="false">MAX(AT130,AU130)</f>
        <v>1.07833075468112</v>
      </c>
      <c r="AW130" s="1675" t="n">
        <f aca="false">IF(AV130=AV129,AW129,AV130*AW129)</f>
        <v>2.42851660770782</v>
      </c>
    </row>
    <row r="131" customFormat="false" ht="12.75" hidden="false" customHeight="false" outlineLevel="0" collapsed="false">
      <c r="A131" s="1673" t="n">
        <f aca="false">EDATE(A130,1)</f>
        <v>38808</v>
      </c>
      <c r="B131" s="1659" t="n">
        <f aca="false">'[4]Monthly Curve Calc.'!B134</f>
        <v>293.277351166978</v>
      </c>
      <c r="C131" s="1660" t="n">
        <f aca="false">'[4]Monthly Curve Calc.'!C134</f>
        <v>203.324391197336</v>
      </c>
      <c r="D131" s="1661" t="n">
        <f aca="false">'[4]Monthly Curve Calc.'!F134</f>
        <v>2.35407871508258</v>
      </c>
      <c r="E131" s="1662" t="n">
        <f aca="false">IF($A131&lt;=E$16,D131,(B131/B130)/(C131/C130)*E130)</f>
        <v>1.75776225261497</v>
      </c>
      <c r="F131" s="1674" t="n">
        <f aca="false">IF(Assm!$L$75=0,F130,IF(AND($A131&gt;F$16,MONTH($A131)=MONTH(F$16)),B130/B118,F130))</f>
        <v>1.07833075468112</v>
      </c>
      <c r="G131" s="1668" t="n">
        <f aca="false">IF(Assm!$L$75=0,G130,IF(AND($A131&gt;G$16,MONTH($A131)=MONTH(G$16)),C130/C118,G130))</f>
        <v>1.02855302909737</v>
      </c>
      <c r="H131" s="1668" t="n">
        <f aca="false">IF(Assm!$L$75=0,H130,IF(AND($A131&gt;H$16,MONTH($A131)=MONTH(H$16)),C130/C118-H$18,H130))</f>
        <v>1.02605302909737</v>
      </c>
      <c r="I131" s="1668" t="n">
        <f aca="false">IF(Assm!$L$75=0,I130,IF($A131&gt;=I$16,IF(MONTH($A131)=MONTH(I$16),AVERAGE(D119:D130),I130),I130))</f>
        <v>2.30278621923876</v>
      </c>
      <c r="J131" s="1675" t="n">
        <f aca="false">IF(Assm!$L$75=0,J130,IF($A131&gt;=J$16,IF(MONTH($A131)=MONTH(J$16),AVERAGE(E119:E130),J130),J130))</f>
        <v>1.69670130529483</v>
      </c>
      <c r="K131" s="1624" t="n">
        <f aca="false">K130+1</f>
        <v>119</v>
      </c>
      <c r="L131" s="1667" t="n">
        <f aca="false">HLOOKUP(L$14,Dec_Change,$K131)</f>
        <v>1.02855302909737</v>
      </c>
      <c r="M131" s="1668" t="n">
        <f aca="false">M130</f>
        <v>0</v>
      </c>
      <c r="N131" s="1675" t="n">
        <f aca="false">IF(AND($A131&gt;=N$16,MONTH($A131)=MONTH(N$16)),MAX(L131,M131)*N130,N130)</f>
        <v>1.23462294375966</v>
      </c>
      <c r="P131" s="1667" t="n">
        <f aca="false">HLOOKUP(P$14,Dec_Change,$K131)</f>
        <v>1.07833075468112</v>
      </c>
      <c r="Q131" s="1668" t="n">
        <f aca="false">Q130</f>
        <v>0</v>
      </c>
      <c r="R131" s="1675" t="n">
        <f aca="false">IF(AND($A131&gt;=R$16,MONTH($A131)=MONTH(R$16)),MAX(P131,Q131)*R130,R130)</f>
        <v>1.95137683106314</v>
      </c>
      <c r="T131" s="1667" t="n">
        <f aca="false">HLOOKUP(T$14,Dec_Change,$K131)</f>
        <v>1.02855302909737</v>
      </c>
      <c r="U131" s="1668" t="n">
        <f aca="false">U130</f>
        <v>1.005</v>
      </c>
      <c r="V131" s="1675" t="n">
        <f aca="false">IF(AND($A131&gt;=V$16,MONTH($A131)=MONTH(V$16)),MAX(T131,U131)*V130,V130)</f>
        <v>1.23462294375966</v>
      </c>
      <c r="X131" s="1667" t="n">
        <f aca="false">HLOOKUP(X$14,Dec_Change,$K131)</f>
        <v>1.02605302909737</v>
      </c>
      <c r="Y131" s="1668" t="n">
        <f aca="false">Y130</f>
        <v>1.02</v>
      </c>
      <c r="Z131" s="1675" t="n">
        <f aca="false">IF(AND($A131&gt;=Z$16,MONTH($A131)=MONTH(Z$16)),MAX(X131,Y131)*Z130,Z130)</f>
        <v>1.22051988152322</v>
      </c>
      <c r="AB131" s="1667" t="n">
        <f aca="false">HLOOKUP(AB$14,Dec_Change,$K131)</f>
        <v>1.02605302909737</v>
      </c>
      <c r="AC131" s="1668" t="n">
        <f aca="false">AC130</f>
        <v>1.02</v>
      </c>
      <c r="AD131" s="1675" t="n">
        <f aca="false">IF(AND($A131&gt;=AD$16,MONTH($A131)=MONTH(AD$16)),MAX(AB131,AC131)*AD130,AD130)</f>
        <v>1.22051988152322</v>
      </c>
      <c r="AF131" s="1667" t="n">
        <f aca="false">HLOOKUP(AF$14,Dec_Change,$K131)</f>
        <v>1.07833075468112</v>
      </c>
      <c r="AG131" s="1668" t="n">
        <f aca="false">AG130</f>
        <v>0</v>
      </c>
      <c r="AH131" s="1675" t="n">
        <f aca="false">IF(AND($A131&gt;=AH$16,MONTH($A131)=MONTH(AH$16)),MAX(AF131,AG131)*AH130,AH130)</f>
        <v>1.95137683106314</v>
      </c>
      <c r="AJ131" s="1667" t="n">
        <f aca="false">HLOOKUP(AJ$14,Dec_Change,$K131)</f>
        <v>1.02605302909737</v>
      </c>
      <c r="AK131" s="1668" t="n">
        <f aca="false">AK130</f>
        <v>1.02</v>
      </c>
      <c r="AL131" s="1675" t="n">
        <f aca="false">IF(AND($A131&gt;=AL$16,MONTH($A131)=MONTH(AL$16)),MAX(AJ131,AK131)*AL130,AL130)</f>
        <v>1.22051988152322</v>
      </c>
      <c r="AN131" s="1667" t="n">
        <f aca="false">HLOOKUP(AN$14,Dec_Change,$K131)</f>
        <v>1.02855302909737</v>
      </c>
      <c r="AO131" s="1668" t="n">
        <f aca="false">AO130</f>
        <v>1.005</v>
      </c>
      <c r="AP131" s="1675" t="n">
        <f aca="false">IF(AND($A131&gt;=AP$16,MONTH($A131)=MONTH(AP$16)),MAX(AN131,AO131)*AP130,AP130)</f>
        <v>1.23462294375966</v>
      </c>
      <c r="AR131" s="1670" t="n">
        <f aca="false">$A131</f>
        <v>38808</v>
      </c>
      <c r="AS131" s="1671" t="n">
        <f aca="false">IF(AND($A131&gt;=EDATE(AS$17,12),IF(Assm!$L$74=0,$D131,$E131)/AS130&gt;=1.05),IF(Assm!$L$74=0,$D131,$E131),AS130)</f>
        <v>2.26798642687942</v>
      </c>
      <c r="AT131" s="1671" t="n">
        <f aca="false">IF(AS131/AS130=1,AT130,AS131/AS130)</f>
        <v>1.05226486206655</v>
      </c>
      <c r="AU131" s="1671" t="n">
        <f aca="false">F131</f>
        <v>1.07833075468112</v>
      </c>
      <c r="AV131" s="1671" t="n">
        <f aca="false">MAX(AT131,AU131)</f>
        <v>1.07833075468112</v>
      </c>
      <c r="AW131" s="1675" t="n">
        <f aca="false">IF(AV131=AV130,AW130,AV131*AW130)</f>
        <v>2.42851660770782</v>
      </c>
    </row>
    <row r="132" customFormat="false" ht="12.75" hidden="false" customHeight="false" outlineLevel="0" collapsed="false">
      <c r="A132" s="1673" t="n">
        <f aca="false">EDATE(A131,1)</f>
        <v>38838</v>
      </c>
      <c r="B132" s="1659" t="n">
        <f aca="false">'[4]Monthly Curve Calc.'!B135</f>
        <v>295.050189006441</v>
      </c>
      <c r="C132" s="1660" t="n">
        <f aca="false">'[4]Monthly Curve Calc.'!C135</f>
        <v>203.785516771405</v>
      </c>
      <c r="D132" s="1661" t="n">
        <f aca="false">'[4]Monthly Curve Calc.'!F135</f>
        <v>2.35950230966078</v>
      </c>
      <c r="E132" s="1662" t="n">
        <f aca="false">IF($A132&lt;=E$16,D132,(B132/B131)/(C132/C131)*E131)</f>
        <v>1.7643862777654</v>
      </c>
      <c r="F132" s="1674" t="n">
        <f aca="false">IF(Assm!$L$75=0,F131,IF(AND($A132&gt;F$16,MONTH($A132)=MONTH(F$16)),B131/B119,F131))</f>
        <v>1.075</v>
      </c>
      <c r="G132" s="1668" t="n">
        <f aca="false">IF(Assm!$L$75=0,G131,IF(AND($A132&gt;G$16,MONTH($A132)=MONTH(G$16)),C131/C119,G131))</f>
        <v>1.02799884183511</v>
      </c>
      <c r="H132" s="1668" t="n">
        <f aca="false">IF(Assm!$L$75=0,H131,IF(AND($A132&gt;H$16,MONTH($A132)=MONTH(H$16)),C131/C119-H$18,H131))</f>
        <v>1.02549884183511</v>
      </c>
      <c r="I132" s="1668" t="n">
        <f aca="false">IF(Assm!$L$75=0,I131,IF($A132&gt;=I$16,IF(MONTH($A132)=MONTH(I$16),AVERAGE(D120:D131),I131),I131))</f>
        <v>2.30278621923876</v>
      </c>
      <c r="J132" s="1675" t="n">
        <f aca="false">IF(Assm!$L$75=0,J131,IF($A132&gt;=J$16,IF(MONTH($A132)=MONTH(J$16),AVERAGE(E120:E131),J131),J131))</f>
        <v>1.69670130529483</v>
      </c>
      <c r="K132" s="1624" t="n">
        <f aca="false">K131+1</f>
        <v>120</v>
      </c>
      <c r="L132" s="1667" t="n">
        <f aca="false">HLOOKUP(L$14,Dec_Change,$K132)</f>
        <v>1.02799884183511</v>
      </c>
      <c r="M132" s="1668" t="n">
        <f aca="false">M131</f>
        <v>0</v>
      </c>
      <c r="N132" s="1675" t="n">
        <f aca="false">IF(AND($A132&gt;=N$16,MONTH($A132)=MONTH(N$16)),MAX(L132,M132)*N131,N131)</f>
        <v>1.26919095628799</v>
      </c>
      <c r="P132" s="1667" t="n">
        <f aca="false">HLOOKUP(P$14,Dec_Change,$K132)</f>
        <v>1.075</v>
      </c>
      <c r="Q132" s="1668" t="n">
        <f aca="false">Q131</f>
        <v>0</v>
      </c>
      <c r="R132" s="1675" t="n">
        <f aca="false">IF(AND($A132&gt;=R$16,MONTH($A132)=MONTH(R$16)),MAX(P132,Q132)*R131,R131)</f>
        <v>2.09773009339288</v>
      </c>
      <c r="T132" s="1667" t="n">
        <f aca="false">HLOOKUP(T$14,Dec_Change,$K132)</f>
        <v>1.02799884183511</v>
      </c>
      <c r="U132" s="1668" t="n">
        <f aca="false">U131</f>
        <v>1.005</v>
      </c>
      <c r="V132" s="1675" t="n">
        <f aca="false">IF(AND($A132&gt;=V$16,MONTH($A132)=MONTH(V$16)),MAX(T132,U132)*V131,V131)</f>
        <v>1.26919095628799</v>
      </c>
      <c r="X132" s="1667" t="n">
        <f aca="false">HLOOKUP(X$14,Dec_Change,$K132)</f>
        <v>1.02549884183511</v>
      </c>
      <c r="Y132" s="1668" t="n">
        <f aca="false">Y131</f>
        <v>1.02</v>
      </c>
      <c r="Z132" s="1675" t="n">
        <f aca="false">IF(AND($A132&gt;=Z$16,MONTH($A132)=MONTH(Z$16)),MAX(X132,Y132)*Z131,Z131)</f>
        <v>1.25164172493879</v>
      </c>
      <c r="AB132" s="1667" t="n">
        <f aca="false">HLOOKUP(AB$14,Dec_Change,$K132)</f>
        <v>1.02549884183511</v>
      </c>
      <c r="AC132" s="1668" t="n">
        <f aca="false">AC131</f>
        <v>1.02</v>
      </c>
      <c r="AD132" s="1675" t="n">
        <f aca="false">IF(AND($A132&gt;=AD$16,MONTH($A132)=MONTH(AD$16)),MAX(AB132,AC132)*AD131,AD131)</f>
        <v>1.25164172493879</v>
      </c>
      <c r="AF132" s="1667" t="n">
        <f aca="false">HLOOKUP(AF$14,Dec_Change,$K132)</f>
        <v>1.075</v>
      </c>
      <c r="AG132" s="1668" t="n">
        <f aca="false">AG131</f>
        <v>0</v>
      </c>
      <c r="AH132" s="1675" t="n">
        <f aca="false">IF(AND($A132&gt;=AH$16,MONTH($A132)=MONTH(AH$16)),MAX(AF132,AG132)*AH131,AH131)</f>
        <v>2.09773009339288</v>
      </c>
      <c r="AJ132" s="1667" t="n">
        <f aca="false">HLOOKUP(AJ$14,Dec_Change,$K132)</f>
        <v>1.02549884183511</v>
      </c>
      <c r="AK132" s="1668" t="n">
        <f aca="false">AK131</f>
        <v>1.02</v>
      </c>
      <c r="AL132" s="1675" t="n">
        <f aca="false">IF(AND($A132&gt;=AL$16,MONTH($A132)=MONTH(AL$16)),MAX(AJ132,AK132)*AL131,AL131)</f>
        <v>1.25164172493879</v>
      </c>
      <c r="AN132" s="1667" t="n">
        <f aca="false">HLOOKUP(AN$14,Dec_Change,$K132)</f>
        <v>1.02799884183511</v>
      </c>
      <c r="AO132" s="1668" t="n">
        <f aca="false">AO131</f>
        <v>1.005</v>
      </c>
      <c r="AP132" s="1675" t="n">
        <f aca="false">IF(AND($A132&gt;=AP$16,MONTH($A132)=MONTH(AP$16)),MAX(AN132,AO132)*AP131,AP131)</f>
        <v>1.26919095628799</v>
      </c>
      <c r="AR132" s="1670" t="n">
        <f aca="false">$A132</f>
        <v>38838</v>
      </c>
      <c r="AS132" s="1671" t="n">
        <f aca="false">IF(AND($A132&gt;=EDATE(AS$17,12),IF(Assm!$L$74=0,$D132,$E132)/AS131&gt;=1.05),IF(Assm!$L$74=0,$D132,$E132),AS131)</f>
        <v>2.26798642687942</v>
      </c>
      <c r="AT132" s="1671" t="n">
        <f aca="false">IF(AS132/AS131=1,AT131,AS132/AS131)</f>
        <v>1.05226486206655</v>
      </c>
      <c r="AU132" s="1671" t="n">
        <f aca="false">F132</f>
        <v>1.075</v>
      </c>
      <c r="AV132" s="1671" t="n">
        <f aca="false">MAX(AT132,AU132)</f>
        <v>1.075</v>
      </c>
      <c r="AW132" s="1675" t="n">
        <f aca="false">IF(AV132=AV131,AW131,AV132*AW131)</f>
        <v>2.61065535328591</v>
      </c>
    </row>
    <row r="133" customFormat="false" ht="12.75" hidden="false" customHeight="false" outlineLevel="0" collapsed="false">
      <c r="A133" s="1673" t="n">
        <f aca="false">EDATE(A132,1)</f>
        <v>38869</v>
      </c>
      <c r="B133" s="1659" t="n">
        <f aca="false">'[4]Monthly Curve Calc.'!B136</f>
        <v>296.833743507087</v>
      </c>
      <c r="C133" s="1660" t="n">
        <f aca="false">'[4]Monthly Curve Calc.'!C136</f>
        <v>204.247688146196</v>
      </c>
      <c r="D133" s="1661" t="n">
        <f aca="false">'[4]Monthly Curve Calc.'!F136</f>
        <v>2.36493839973371</v>
      </c>
      <c r="E133" s="1662" t="n">
        <f aca="false">IF($A133&lt;=E$16,D133,(B133/B132)/(C133/C132)*E132)</f>
        <v>1.77103526517061</v>
      </c>
      <c r="F133" s="1674" t="n">
        <f aca="false">IF(Assm!$L$75=0,F132,IF(AND($A133&gt;F$16,MONTH($A133)=MONTH(F$16)),B132/B120,F132))</f>
        <v>1.075</v>
      </c>
      <c r="G133" s="1668" t="n">
        <f aca="false">IF(Assm!$L$75=0,G132,IF(AND($A133&gt;G$16,MONTH($A133)=MONTH(G$16)),C132/C120,G132))</f>
        <v>1.02799884183511</v>
      </c>
      <c r="H133" s="1668" t="n">
        <f aca="false">IF(Assm!$L$75=0,H132,IF(AND($A133&gt;H$16,MONTH($A133)=MONTH(H$16)),C132/C120-H$18,H132))</f>
        <v>1.02549884183511</v>
      </c>
      <c r="I133" s="1668" t="n">
        <f aca="false">IF(Assm!$L$75=0,I132,IF($A133&gt;=I$16,IF(MONTH($A133)=MONTH(I$16),AVERAGE(D121:D132),I132),I132))</f>
        <v>2.30278621923876</v>
      </c>
      <c r="J133" s="1675" t="n">
        <f aca="false">IF(Assm!$L$75=0,J132,IF($A133&gt;=J$16,IF(MONTH($A133)=MONTH(J$16),AVERAGE(E121:E132),J132),J132))</f>
        <v>1.69670130529483</v>
      </c>
      <c r="K133" s="1624" t="n">
        <f aca="false">K132+1</f>
        <v>121</v>
      </c>
      <c r="L133" s="1667" t="n">
        <f aca="false">HLOOKUP(L$14,Dec_Change,$K133)</f>
        <v>1.02799884183511</v>
      </c>
      <c r="M133" s="1668" t="n">
        <f aca="false">M132</f>
        <v>0</v>
      </c>
      <c r="N133" s="1675" t="n">
        <f aca="false">IF(AND($A133&gt;=N$16,MONTH($A133)=MONTH(N$16)),MAX(L133,M133)*N132,N132)</f>
        <v>1.26919095628799</v>
      </c>
      <c r="P133" s="1667" t="n">
        <f aca="false">HLOOKUP(P$14,Dec_Change,$K133)</f>
        <v>1.075</v>
      </c>
      <c r="Q133" s="1668" t="n">
        <f aca="false">Q132</f>
        <v>0</v>
      </c>
      <c r="R133" s="1675" t="n">
        <f aca="false">IF(AND($A133&gt;=R$16,MONTH($A133)=MONTH(R$16)),MAX(P133,Q133)*R132,R132)</f>
        <v>2.09773009339288</v>
      </c>
      <c r="T133" s="1667" t="n">
        <f aca="false">HLOOKUP(T$14,Dec_Change,$K133)</f>
        <v>1.02799884183511</v>
      </c>
      <c r="U133" s="1668" t="n">
        <f aca="false">U132</f>
        <v>1.005</v>
      </c>
      <c r="V133" s="1675" t="n">
        <f aca="false">IF(AND($A133&gt;=V$16,MONTH($A133)=MONTH(V$16)),MAX(T133,U133)*V132,V132)</f>
        <v>1.26919095628799</v>
      </c>
      <c r="X133" s="1667" t="n">
        <f aca="false">HLOOKUP(X$14,Dec_Change,$K133)</f>
        <v>1.02549884183511</v>
      </c>
      <c r="Y133" s="1668" t="n">
        <f aca="false">Y132</f>
        <v>1.02</v>
      </c>
      <c r="Z133" s="1675" t="n">
        <f aca="false">IF(AND($A133&gt;=Z$16,MONTH($A133)=MONTH(Z$16)),MAX(X133,Y133)*Z132,Z132)</f>
        <v>1.25164172493879</v>
      </c>
      <c r="AB133" s="1667" t="n">
        <f aca="false">HLOOKUP(AB$14,Dec_Change,$K133)</f>
        <v>1.02549884183511</v>
      </c>
      <c r="AC133" s="1668" t="n">
        <f aca="false">AC132</f>
        <v>1.02</v>
      </c>
      <c r="AD133" s="1675" t="n">
        <f aca="false">IF(AND($A133&gt;=AD$16,MONTH($A133)=MONTH(AD$16)),MAX(AB133,AC133)*AD132,AD132)</f>
        <v>1.25164172493879</v>
      </c>
      <c r="AF133" s="1667" t="n">
        <f aca="false">HLOOKUP(AF$14,Dec_Change,$K133)</f>
        <v>1.075</v>
      </c>
      <c r="AG133" s="1668" t="n">
        <f aca="false">AG132</f>
        <v>0</v>
      </c>
      <c r="AH133" s="1675" t="n">
        <f aca="false">IF(AND($A133&gt;=AH$16,MONTH($A133)=MONTH(AH$16)),MAX(AF133,AG133)*AH132,AH132)</f>
        <v>2.09773009339288</v>
      </c>
      <c r="AJ133" s="1667" t="n">
        <f aca="false">HLOOKUP(AJ$14,Dec_Change,$K133)</f>
        <v>1.02549884183511</v>
      </c>
      <c r="AK133" s="1668" t="n">
        <f aca="false">AK132</f>
        <v>1.02</v>
      </c>
      <c r="AL133" s="1675" t="n">
        <f aca="false">IF(AND($A133&gt;=AL$16,MONTH($A133)=MONTH(AL$16)),MAX(AJ133,AK133)*AL132,AL132)</f>
        <v>1.25164172493879</v>
      </c>
      <c r="AN133" s="1667" t="n">
        <f aca="false">HLOOKUP(AN$14,Dec_Change,$K133)</f>
        <v>1.02799884183511</v>
      </c>
      <c r="AO133" s="1668" t="n">
        <f aca="false">AO132</f>
        <v>1.005</v>
      </c>
      <c r="AP133" s="1675" t="n">
        <f aca="false">IF(AND($A133&gt;=AP$16,MONTH($A133)=MONTH(AP$16)),MAX(AN133,AO133)*AP132,AP132)</f>
        <v>1.26919095628799</v>
      </c>
      <c r="AR133" s="1670" t="n">
        <f aca="false">$A133</f>
        <v>38869</v>
      </c>
      <c r="AS133" s="1671" t="n">
        <f aca="false">IF(AND($A133&gt;=EDATE(AS$17,12),IF(Assm!$L$74=0,$D133,$E133)/AS132&gt;=1.05),IF(Assm!$L$74=0,$D133,$E133),AS132)</f>
        <v>2.26798642687942</v>
      </c>
      <c r="AT133" s="1671" t="n">
        <f aca="false">IF(AS133/AS132=1,AT132,AS133/AS132)</f>
        <v>1.05226486206655</v>
      </c>
      <c r="AU133" s="1671" t="n">
        <f aca="false">F133</f>
        <v>1.075</v>
      </c>
      <c r="AV133" s="1671" t="n">
        <f aca="false">MAX(AT133,AU133)</f>
        <v>1.075</v>
      </c>
      <c r="AW133" s="1675" t="n">
        <f aca="false">IF(AV133=AV132,AW132,AV133*AW132)</f>
        <v>2.61065535328591</v>
      </c>
    </row>
    <row r="134" customFormat="false" ht="12.75" hidden="false" customHeight="false" outlineLevel="0" collapsed="false">
      <c r="A134" s="1673" t="n">
        <f aca="false">EDATE(A133,1)</f>
        <v>38899</v>
      </c>
      <c r="B134" s="1659" t="n">
        <f aca="false">'[4]Monthly Curve Calc.'!B137</f>
        <v>298.628079450265</v>
      </c>
      <c r="C134" s="1660" t="n">
        <f aca="false">'[4]Monthly Curve Calc.'!C137</f>
        <v>204.710907693511</v>
      </c>
      <c r="D134" s="1661" t="n">
        <f aca="false">'[4]Monthly Curve Calc.'!F137</f>
        <v>2.3703870140899</v>
      </c>
      <c r="E134" s="1662" t="n">
        <f aca="false">IF($A134&lt;=E$16,D134,(B134/B133)/(C134/C133)*E133)</f>
        <v>1.77770930889941</v>
      </c>
      <c r="F134" s="1674" t="n">
        <f aca="false">IF(Assm!$L$75=0,F133,IF(AND($A134&gt;F$16,MONTH($A134)=MONTH(F$16)),B133/B121,F133))</f>
        <v>1.075</v>
      </c>
      <c r="G134" s="1668" t="n">
        <f aca="false">IF(Assm!$L$75=0,G133,IF(AND($A134&gt;G$16,MONTH($A134)=MONTH(G$16)),C133/C121,G133))</f>
        <v>1.02799884183511</v>
      </c>
      <c r="H134" s="1668" t="n">
        <f aca="false">IF(Assm!$L$75=0,H133,IF(AND($A134&gt;H$16,MONTH($A134)=MONTH(H$16)),C133/C121-H$18,H133))</f>
        <v>1.02549884183511</v>
      </c>
      <c r="I134" s="1668" t="n">
        <f aca="false">IF(Assm!$L$75=0,I133,IF($A134&gt;=I$16,IF(MONTH($A134)=MONTH(I$16),AVERAGE(D122:D133),I133),I133))</f>
        <v>2.30278621923876</v>
      </c>
      <c r="J134" s="1675" t="n">
        <f aca="false">IF(Assm!$L$75=0,J133,IF($A134&gt;=J$16,IF(MONTH($A134)=MONTH(J$16),AVERAGE(E122:E133),J133),J133))</f>
        <v>1.69670130529483</v>
      </c>
      <c r="K134" s="1624" t="n">
        <f aca="false">K133+1</f>
        <v>122</v>
      </c>
      <c r="L134" s="1667" t="n">
        <f aca="false">HLOOKUP(L$14,Dec_Change,$K134)</f>
        <v>1.02799884183511</v>
      </c>
      <c r="M134" s="1668" t="n">
        <f aca="false">M133</f>
        <v>0</v>
      </c>
      <c r="N134" s="1675" t="n">
        <f aca="false">IF(AND($A134&gt;=N$16,MONTH($A134)=MONTH(N$16)),MAX(L134,M134)*N133,N133)</f>
        <v>1.26919095628799</v>
      </c>
      <c r="P134" s="1667" t="n">
        <f aca="false">HLOOKUP(P$14,Dec_Change,$K134)</f>
        <v>1.075</v>
      </c>
      <c r="Q134" s="1668" t="n">
        <f aca="false">Q133</f>
        <v>0</v>
      </c>
      <c r="R134" s="1675" t="n">
        <f aca="false">IF(AND($A134&gt;=R$16,MONTH($A134)=MONTH(R$16)),MAX(P134,Q134)*R133,R133)</f>
        <v>2.09773009339288</v>
      </c>
      <c r="T134" s="1667" t="n">
        <f aca="false">HLOOKUP(T$14,Dec_Change,$K134)</f>
        <v>1.02799884183511</v>
      </c>
      <c r="U134" s="1668" t="n">
        <f aca="false">U133</f>
        <v>1.005</v>
      </c>
      <c r="V134" s="1675" t="n">
        <f aca="false">IF(AND($A134&gt;=V$16,MONTH($A134)=MONTH(V$16)),MAX(T134,U134)*V133,V133)</f>
        <v>1.26919095628799</v>
      </c>
      <c r="X134" s="1667" t="n">
        <f aca="false">HLOOKUP(X$14,Dec_Change,$K134)</f>
        <v>1.02549884183511</v>
      </c>
      <c r="Y134" s="1668" t="n">
        <f aca="false">Y133</f>
        <v>1.02</v>
      </c>
      <c r="Z134" s="1675" t="n">
        <f aca="false">IF(AND($A134&gt;=Z$16,MONTH($A134)=MONTH(Z$16)),MAX(X134,Y134)*Z133,Z133)</f>
        <v>1.25164172493879</v>
      </c>
      <c r="AB134" s="1667" t="n">
        <f aca="false">HLOOKUP(AB$14,Dec_Change,$K134)</f>
        <v>1.02549884183511</v>
      </c>
      <c r="AC134" s="1668" t="n">
        <f aca="false">AC133</f>
        <v>1.02</v>
      </c>
      <c r="AD134" s="1675" t="n">
        <f aca="false">IF(AND($A134&gt;=AD$16,MONTH($A134)=MONTH(AD$16)),MAX(AB134,AC134)*AD133,AD133)</f>
        <v>1.25164172493879</v>
      </c>
      <c r="AF134" s="1667" t="n">
        <f aca="false">HLOOKUP(AF$14,Dec_Change,$K134)</f>
        <v>1.075</v>
      </c>
      <c r="AG134" s="1668" t="n">
        <f aca="false">AG133</f>
        <v>0</v>
      </c>
      <c r="AH134" s="1675" t="n">
        <f aca="false">IF(AND($A134&gt;=AH$16,MONTH($A134)=MONTH(AH$16)),MAX(AF134,AG134)*AH133,AH133)</f>
        <v>2.09773009339288</v>
      </c>
      <c r="AJ134" s="1667" t="n">
        <f aca="false">HLOOKUP(AJ$14,Dec_Change,$K134)</f>
        <v>1.02549884183511</v>
      </c>
      <c r="AK134" s="1668" t="n">
        <f aca="false">AK133</f>
        <v>1.02</v>
      </c>
      <c r="AL134" s="1675" t="n">
        <f aca="false">IF(AND($A134&gt;=AL$16,MONTH($A134)=MONTH(AL$16)),MAX(AJ134,AK134)*AL133,AL133)</f>
        <v>1.25164172493879</v>
      </c>
      <c r="AN134" s="1667" t="n">
        <f aca="false">HLOOKUP(AN$14,Dec_Change,$K134)</f>
        <v>1.02799884183511</v>
      </c>
      <c r="AO134" s="1668" t="n">
        <f aca="false">AO133</f>
        <v>1.005</v>
      </c>
      <c r="AP134" s="1675" t="n">
        <f aca="false">IF(AND($A134&gt;=AP$16,MONTH($A134)=MONTH(AP$16)),MAX(AN134,AO134)*AP133,AP133)</f>
        <v>1.26919095628799</v>
      </c>
      <c r="AR134" s="1670" t="n">
        <f aca="false">$A134</f>
        <v>38899</v>
      </c>
      <c r="AS134" s="1671" t="n">
        <f aca="false">IF(AND($A134&gt;=EDATE(AS$17,12),IF(Assm!$L$74=0,$D134,$E134)/AS133&gt;=1.05),IF(Assm!$L$74=0,$D134,$E134),AS133)</f>
        <v>2.26798642687942</v>
      </c>
      <c r="AT134" s="1671" t="n">
        <f aca="false">IF(AS134/AS133=1,AT133,AS134/AS133)</f>
        <v>1.05226486206655</v>
      </c>
      <c r="AU134" s="1671" t="n">
        <f aca="false">F134</f>
        <v>1.075</v>
      </c>
      <c r="AV134" s="1671" t="n">
        <f aca="false">MAX(AT134,AU134)</f>
        <v>1.075</v>
      </c>
      <c r="AW134" s="1675" t="n">
        <f aca="false">IF(AV134=AV133,AW133,AV134*AW133)</f>
        <v>2.61065535328591</v>
      </c>
    </row>
    <row r="135" customFormat="false" ht="12.75" hidden="false" customHeight="false" outlineLevel="0" collapsed="false">
      <c r="A135" s="1673" t="n">
        <f aca="false">EDATE(A134,1)</f>
        <v>38930</v>
      </c>
      <c r="B135" s="1659" t="n">
        <f aca="false">'[4]Monthly Curve Calc.'!B138</f>
        <v>300.433262008922</v>
      </c>
      <c r="C135" s="1660" t="n">
        <f aca="false">'[4]Monthly Curve Calc.'!C138</f>
        <v>205.175177790535</v>
      </c>
      <c r="D135" s="1661" t="n">
        <f aca="false">'[4]Monthly Curve Calc.'!F138</f>
        <v>2.37584818158422</v>
      </c>
      <c r="E135" s="1662" t="n">
        <f aca="false">IF($A135&lt;=E$16,D135,(B135/B134)/(C135/C134)*E134)</f>
        <v>1.7844085033751</v>
      </c>
      <c r="F135" s="1674" t="n">
        <f aca="false">IF(Assm!$L$75=0,F134,IF(AND($A135&gt;F$16,MONTH($A135)=MONTH(F$16)),B134/B122,F134))</f>
        <v>1.075</v>
      </c>
      <c r="G135" s="1668" t="n">
        <f aca="false">IF(Assm!$L$75=0,G134,IF(AND($A135&gt;G$16,MONTH($A135)=MONTH(G$16)),C134/C122,G134))</f>
        <v>1.02799884183511</v>
      </c>
      <c r="H135" s="1668" t="n">
        <f aca="false">IF(Assm!$L$75=0,H134,IF(AND($A135&gt;H$16,MONTH($A135)=MONTH(H$16)),C134/C122-H$18,H134))</f>
        <v>1.02549884183511</v>
      </c>
      <c r="I135" s="1668" t="n">
        <f aca="false">IF(Assm!$L$75=0,I134,IF($A135&gt;=I$16,IF(MONTH($A135)=MONTH(I$16),AVERAGE(D123:D134),I134),I134))</f>
        <v>2.30278621923876</v>
      </c>
      <c r="J135" s="1675" t="n">
        <f aca="false">IF(Assm!$L$75=0,J134,IF($A135&gt;=J$16,IF(MONTH($A135)=MONTH(J$16),AVERAGE(E123:E134),J134),J134))</f>
        <v>1.69670130529483</v>
      </c>
      <c r="K135" s="1624" t="n">
        <f aca="false">K134+1</f>
        <v>123</v>
      </c>
      <c r="L135" s="1667" t="n">
        <f aca="false">HLOOKUP(L$14,Dec_Change,$K135)</f>
        <v>1.02799884183511</v>
      </c>
      <c r="M135" s="1668" t="n">
        <f aca="false">M134</f>
        <v>0</v>
      </c>
      <c r="N135" s="1675" t="n">
        <f aca="false">IF(AND($A135&gt;=N$16,MONTH($A135)=MONTH(N$16)),MAX(L135,M135)*N134,N134)</f>
        <v>1.26919095628799</v>
      </c>
      <c r="P135" s="1667" t="n">
        <f aca="false">HLOOKUP(P$14,Dec_Change,$K135)</f>
        <v>1.075</v>
      </c>
      <c r="Q135" s="1668" t="n">
        <f aca="false">Q134</f>
        <v>0</v>
      </c>
      <c r="R135" s="1675" t="n">
        <f aca="false">IF(AND($A135&gt;=R$16,MONTH($A135)=MONTH(R$16)),MAX(P135,Q135)*R134,R134)</f>
        <v>2.09773009339288</v>
      </c>
      <c r="T135" s="1667" t="n">
        <f aca="false">HLOOKUP(T$14,Dec_Change,$K135)</f>
        <v>1.02799884183511</v>
      </c>
      <c r="U135" s="1668" t="n">
        <f aca="false">U134</f>
        <v>1.005</v>
      </c>
      <c r="V135" s="1675" t="n">
        <f aca="false">IF(AND($A135&gt;=V$16,MONTH($A135)=MONTH(V$16)),MAX(T135,U135)*V134,V134)</f>
        <v>1.26919095628799</v>
      </c>
      <c r="X135" s="1667" t="n">
        <f aca="false">HLOOKUP(X$14,Dec_Change,$K135)</f>
        <v>1.02549884183511</v>
      </c>
      <c r="Y135" s="1668" t="n">
        <f aca="false">Y134</f>
        <v>1.02</v>
      </c>
      <c r="Z135" s="1675" t="n">
        <f aca="false">IF(AND($A135&gt;=Z$16,MONTH($A135)=MONTH(Z$16)),MAX(X135,Y135)*Z134,Z134)</f>
        <v>1.25164172493879</v>
      </c>
      <c r="AB135" s="1667" t="n">
        <f aca="false">HLOOKUP(AB$14,Dec_Change,$K135)</f>
        <v>1.02549884183511</v>
      </c>
      <c r="AC135" s="1668" t="n">
        <f aca="false">AC134</f>
        <v>1.02</v>
      </c>
      <c r="AD135" s="1675" t="n">
        <f aca="false">IF(AND($A135&gt;=AD$16,MONTH($A135)=MONTH(AD$16)),MAX(AB135,AC135)*AD134,AD134)</f>
        <v>1.25164172493879</v>
      </c>
      <c r="AF135" s="1667" t="n">
        <f aca="false">HLOOKUP(AF$14,Dec_Change,$K135)</f>
        <v>1.075</v>
      </c>
      <c r="AG135" s="1668" t="n">
        <f aca="false">AG134</f>
        <v>0</v>
      </c>
      <c r="AH135" s="1675" t="n">
        <f aca="false">IF(AND($A135&gt;=AH$16,MONTH($A135)=MONTH(AH$16)),MAX(AF135,AG135)*AH134,AH134)</f>
        <v>2.09773009339288</v>
      </c>
      <c r="AJ135" s="1667" t="n">
        <f aca="false">HLOOKUP(AJ$14,Dec_Change,$K135)</f>
        <v>1.02549884183511</v>
      </c>
      <c r="AK135" s="1668" t="n">
        <f aca="false">AK134</f>
        <v>1.02</v>
      </c>
      <c r="AL135" s="1675" t="n">
        <f aca="false">IF(AND($A135&gt;=AL$16,MONTH($A135)=MONTH(AL$16)),MAX(AJ135,AK135)*AL134,AL134)</f>
        <v>1.25164172493879</v>
      </c>
      <c r="AN135" s="1667" t="n">
        <f aca="false">HLOOKUP(AN$14,Dec_Change,$K135)</f>
        <v>1.02799884183511</v>
      </c>
      <c r="AO135" s="1668" t="n">
        <f aca="false">AO134</f>
        <v>1.005</v>
      </c>
      <c r="AP135" s="1675" t="n">
        <f aca="false">IF(AND($A135&gt;=AP$16,MONTH($A135)=MONTH(AP$16)),MAX(AN135,AO135)*AP134,AP134)</f>
        <v>1.26919095628799</v>
      </c>
      <c r="AR135" s="1670" t="n">
        <f aca="false">$A135</f>
        <v>38930</v>
      </c>
      <c r="AS135" s="1671" t="n">
        <f aca="false">IF(AND($A135&gt;=EDATE(AS$17,12),IF(Assm!$L$74=0,$D135,$E135)/AS134&gt;=1.05),IF(Assm!$L$74=0,$D135,$E135),AS134)</f>
        <v>2.26798642687942</v>
      </c>
      <c r="AT135" s="1671" t="n">
        <f aca="false">IF(AS135/AS134=1,AT134,AS135/AS134)</f>
        <v>1.05226486206655</v>
      </c>
      <c r="AU135" s="1671" t="n">
        <f aca="false">F135</f>
        <v>1.075</v>
      </c>
      <c r="AV135" s="1671" t="n">
        <f aca="false">MAX(AT135,AU135)</f>
        <v>1.075</v>
      </c>
      <c r="AW135" s="1675" t="n">
        <f aca="false">IF(AV135=AV134,AW134,AV135*AW134)</f>
        <v>2.61065535328591</v>
      </c>
    </row>
    <row r="136" customFormat="false" ht="12.75" hidden="false" customHeight="false" outlineLevel="0" collapsed="false">
      <c r="A136" s="1673" t="n">
        <f aca="false">EDATE(A135,1)</f>
        <v>38961</v>
      </c>
      <c r="B136" s="1659" t="n">
        <f aca="false">'[4]Monthly Curve Calc.'!B139</f>
        <v>302.249356749969</v>
      </c>
      <c r="C136" s="1660" t="n">
        <f aca="false">'[4]Monthly Curve Calc.'!C139</f>
        <v>205.640500819839</v>
      </c>
      <c r="D136" s="1661" t="n">
        <f aca="false">'[4]Monthly Curve Calc.'!F139</f>
        <v>2.38132193113802</v>
      </c>
      <c r="E136" s="1662" t="n">
        <f aca="false">IF($A136&lt;=E$16,D136,(B136/B135)/(C136/C135)*E135)</f>
        <v>1.79113294337682</v>
      </c>
      <c r="F136" s="1674" t="n">
        <f aca="false">IF(Assm!$L$75=0,F135,IF(AND($A136&gt;F$16,MONTH($A136)=MONTH(F$16)),B135/B123,F135))</f>
        <v>1.075</v>
      </c>
      <c r="G136" s="1668" t="n">
        <f aca="false">IF(Assm!$L$75=0,G135,IF(AND($A136&gt;G$16,MONTH($A136)=MONTH(G$16)),C135/C123,G135))</f>
        <v>1.02799884183511</v>
      </c>
      <c r="H136" s="1668" t="n">
        <f aca="false">IF(Assm!$L$75=0,H135,IF(AND($A136&gt;H$16,MONTH($A136)=MONTH(H$16)),C135/C123-H$18,H135))</f>
        <v>1.02549884183511</v>
      </c>
      <c r="I136" s="1668" t="n">
        <f aca="false">IF(Assm!$L$75=0,I135,IF($A136&gt;=I$16,IF(MONTH($A136)=MONTH(I$16),AVERAGE(D124:D135),I135),I135))</f>
        <v>2.30278621923876</v>
      </c>
      <c r="J136" s="1675" t="n">
        <f aca="false">IF(Assm!$L$75=0,J135,IF($A136&gt;=J$16,IF(MONTH($A136)=MONTH(J$16),AVERAGE(E124:E135),J135),J135))</f>
        <v>1.69670130529483</v>
      </c>
      <c r="K136" s="1624" t="n">
        <f aca="false">K135+1</f>
        <v>124</v>
      </c>
      <c r="L136" s="1667" t="n">
        <f aca="false">HLOOKUP(L$14,Dec_Change,$K136)</f>
        <v>1.02799884183511</v>
      </c>
      <c r="M136" s="1668" t="n">
        <f aca="false">M135</f>
        <v>0</v>
      </c>
      <c r="N136" s="1675" t="n">
        <f aca="false">IF(AND($A136&gt;=N$16,MONTH($A136)=MONTH(N$16)),MAX(L136,M136)*N135,N135)</f>
        <v>1.26919095628799</v>
      </c>
      <c r="P136" s="1667" t="n">
        <f aca="false">HLOOKUP(P$14,Dec_Change,$K136)</f>
        <v>1.075</v>
      </c>
      <c r="Q136" s="1668" t="n">
        <f aca="false">Q135</f>
        <v>0</v>
      </c>
      <c r="R136" s="1675" t="n">
        <f aca="false">IF(AND($A136&gt;=R$16,MONTH($A136)=MONTH(R$16)),MAX(P136,Q136)*R135,R135)</f>
        <v>2.09773009339288</v>
      </c>
      <c r="T136" s="1667" t="n">
        <f aca="false">HLOOKUP(T$14,Dec_Change,$K136)</f>
        <v>1.02799884183511</v>
      </c>
      <c r="U136" s="1668" t="n">
        <f aca="false">U135</f>
        <v>1.005</v>
      </c>
      <c r="V136" s="1675" t="n">
        <f aca="false">IF(AND($A136&gt;=V$16,MONTH($A136)=MONTH(V$16)),MAX(T136,U136)*V135,V135)</f>
        <v>1.26919095628799</v>
      </c>
      <c r="X136" s="1667" t="n">
        <f aca="false">HLOOKUP(X$14,Dec_Change,$K136)</f>
        <v>1.02549884183511</v>
      </c>
      <c r="Y136" s="1668" t="n">
        <f aca="false">Y135</f>
        <v>1.02</v>
      </c>
      <c r="Z136" s="1675" t="n">
        <f aca="false">IF(AND($A136&gt;=Z$16,MONTH($A136)=MONTH(Z$16)),MAX(X136,Y136)*Z135,Z135)</f>
        <v>1.25164172493879</v>
      </c>
      <c r="AB136" s="1667" t="n">
        <f aca="false">HLOOKUP(AB$14,Dec_Change,$K136)</f>
        <v>1.02549884183511</v>
      </c>
      <c r="AC136" s="1668" t="n">
        <f aca="false">AC135</f>
        <v>1.02</v>
      </c>
      <c r="AD136" s="1675" t="n">
        <f aca="false">IF(AND($A136&gt;=AD$16,MONTH($A136)=MONTH(AD$16)),MAX(AB136,AC136)*AD135,AD135)</f>
        <v>1.25164172493879</v>
      </c>
      <c r="AF136" s="1667" t="n">
        <f aca="false">HLOOKUP(AF$14,Dec_Change,$K136)</f>
        <v>1.075</v>
      </c>
      <c r="AG136" s="1668" t="n">
        <f aca="false">AG135</f>
        <v>0</v>
      </c>
      <c r="AH136" s="1675" t="n">
        <f aca="false">IF(AND($A136&gt;=AH$16,MONTH($A136)=MONTH(AH$16)),MAX(AF136,AG136)*AH135,AH135)</f>
        <v>2.09773009339288</v>
      </c>
      <c r="AJ136" s="1667" t="n">
        <f aca="false">HLOOKUP(AJ$14,Dec_Change,$K136)</f>
        <v>1.02549884183511</v>
      </c>
      <c r="AK136" s="1668" t="n">
        <f aca="false">AK135</f>
        <v>1.02</v>
      </c>
      <c r="AL136" s="1675" t="n">
        <f aca="false">IF(AND($A136&gt;=AL$16,MONTH($A136)=MONTH(AL$16)),MAX(AJ136,AK136)*AL135,AL135)</f>
        <v>1.25164172493879</v>
      </c>
      <c r="AN136" s="1667" t="n">
        <f aca="false">HLOOKUP(AN$14,Dec_Change,$K136)</f>
        <v>1.02799884183511</v>
      </c>
      <c r="AO136" s="1668" t="n">
        <f aca="false">AO135</f>
        <v>1.005</v>
      </c>
      <c r="AP136" s="1675" t="n">
        <f aca="false">IF(AND($A136&gt;=AP$16,MONTH($A136)=MONTH(AP$16)),MAX(AN136,AO136)*AP135,AP135)</f>
        <v>1.26919095628799</v>
      </c>
      <c r="AR136" s="1670" t="n">
        <f aca="false">$A136</f>
        <v>38961</v>
      </c>
      <c r="AS136" s="1671" t="n">
        <f aca="false">IF(AND($A136&gt;=EDATE(AS$17,12),IF(Assm!$L$74=0,$D136,$E136)/AS135&gt;=1.05),IF(Assm!$L$74=0,$D136,$E136),AS135)</f>
        <v>2.26798642687942</v>
      </c>
      <c r="AT136" s="1671" t="n">
        <f aca="false">IF(AS136/AS135=1,AT135,AS136/AS135)</f>
        <v>1.05226486206655</v>
      </c>
      <c r="AU136" s="1671" t="n">
        <f aca="false">F136</f>
        <v>1.075</v>
      </c>
      <c r="AV136" s="1671" t="n">
        <f aca="false">MAX(AT136,AU136)</f>
        <v>1.075</v>
      </c>
      <c r="AW136" s="1675" t="n">
        <f aca="false">IF(AV136=AV135,AW135,AV136*AW135)</f>
        <v>2.61065535328591</v>
      </c>
    </row>
    <row r="137" customFormat="false" ht="12.75" hidden="false" customHeight="false" outlineLevel="0" collapsed="false">
      <c r="A137" s="1673" t="n">
        <f aca="false">EDATE(A136,1)</f>
        <v>38991</v>
      </c>
      <c r="B137" s="1659" t="n">
        <f aca="false">'[4]Monthly Curve Calc.'!B140</f>
        <v>304.076429636667</v>
      </c>
      <c r="C137" s="1660" t="n">
        <f aca="false">'[4]Monthly Curve Calc.'!C140</f>
        <v>206.106879169401</v>
      </c>
      <c r="D137" s="1661" t="n">
        <f aca="false">'[4]Monthly Curve Calc.'!F140</f>
        <v>2.38680829173927</v>
      </c>
      <c r="E137" s="1662" t="n">
        <f aca="false">IF($A137&lt;=E$16,D137,(B137/B136)/(C137/C136)*E136)</f>
        <v>1.79788272404087</v>
      </c>
      <c r="F137" s="1674" t="n">
        <f aca="false">IF(Assm!$L$75=0,F136,IF(AND($A137&gt;F$16,MONTH($A137)=MONTH(F$16)),B136/B124,F136))</f>
        <v>1.075</v>
      </c>
      <c r="G137" s="1668" t="n">
        <f aca="false">IF(Assm!$L$75=0,G136,IF(AND($A137&gt;G$16,MONTH($A137)=MONTH(G$16)),C136/C124,G136))</f>
        <v>1.02799884183511</v>
      </c>
      <c r="H137" s="1668" t="n">
        <f aca="false">IF(Assm!$L$75=0,H136,IF(AND($A137&gt;H$16,MONTH($A137)=MONTH(H$16)),C136/C124-H$18,H136))</f>
        <v>1.02549884183511</v>
      </c>
      <c r="I137" s="1668" t="n">
        <f aca="false">IF(Assm!$L$75=0,I136,IF($A137&gt;=I$16,IF(MONTH($A137)=MONTH(I$16),AVERAGE(D125:D136),I136),I136))</f>
        <v>2.30278621923876</v>
      </c>
      <c r="J137" s="1675" t="n">
        <f aca="false">IF(Assm!$L$75=0,J136,IF($A137&gt;=J$16,IF(MONTH($A137)=MONTH(J$16),AVERAGE(E125:E136),J136),J136))</f>
        <v>1.69670130529483</v>
      </c>
      <c r="K137" s="1624" t="n">
        <f aca="false">K136+1</f>
        <v>125</v>
      </c>
      <c r="L137" s="1667" t="n">
        <f aca="false">HLOOKUP(L$14,Dec_Change,$K137)</f>
        <v>1.02799884183511</v>
      </c>
      <c r="M137" s="1668" t="n">
        <f aca="false">M136</f>
        <v>0</v>
      </c>
      <c r="N137" s="1675" t="n">
        <f aca="false">IF(AND($A137&gt;=N$16,MONTH($A137)=MONTH(N$16)),MAX(L137,M137)*N136,N136)</f>
        <v>1.26919095628799</v>
      </c>
      <c r="P137" s="1667" t="n">
        <f aca="false">HLOOKUP(P$14,Dec_Change,$K137)</f>
        <v>1.075</v>
      </c>
      <c r="Q137" s="1668" t="n">
        <f aca="false">Q136</f>
        <v>0</v>
      </c>
      <c r="R137" s="1675" t="n">
        <f aca="false">IF(AND($A137&gt;=R$16,MONTH($A137)=MONTH(R$16)),MAX(P137,Q137)*R136,R136)</f>
        <v>2.09773009339288</v>
      </c>
      <c r="T137" s="1667" t="n">
        <f aca="false">HLOOKUP(T$14,Dec_Change,$K137)</f>
        <v>1.02799884183511</v>
      </c>
      <c r="U137" s="1668" t="n">
        <f aca="false">U136</f>
        <v>1.005</v>
      </c>
      <c r="V137" s="1675" t="n">
        <f aca="false">IF(AND($A137&gt;=V$16,MONTH($A137)=MONTH(V$16)),MAX(T137,U137)*V136,V136)</f>
        <v>1.26919095628799</v>
      </c>
      <c r="X137" s="1667" t="n">
        <f aca="false">HLOOKUP(X$14,Dec_Change,$K137)</f>
        <v>1.02549884183511</v>
      </c>
      <c r="Y137" s="1668" t="n">
        <f aca="false">Y136</f>
        <v>1.02</v>
      </c>
      <c r="Z137" s="1675" t="n">
        <f aca="false">IF(AND($A137&gt;=Z$16,MONTH($A137)=MONTH(Z$16)),MAX(X137,Y137)*Z136,Z136)</f>
        <v>1.25164172493879</v>
      </c>
      <c r="AB137" s="1667" t="n">
        <f aca="false">HLOOKUP(AB$14,Dec_Change,$K137)</f>
        <v>1.02549884183511</v>
      </c>
      <c r="AC137" s="1668" t="n">
        <f aca="false">AC136</f>
        <v>1.02</v>
      </c>
      <c r="AD137" s="1675" t="n">
        <f aca="false">IF(AND($A137&gt;=AD$16,MONTH($A137)=MONTH(AD$16)),MAX(AB137,AC137)*AD136,AD136)</f>
        <v>1.25164172493879</v>
      </c>
      <c r="AF137" s="1667" t="n">
        <f aca="false">HLOOKUP(AF$14,Dec_Change,$K137)</f>
        <v>1.075</v>
      </c>
      <c r="AG137" s="1668" t="n">
        <f aca="false">AG136</f>
        <v>0</v>
      </c>
      <c r="AH137" s="1675" t="n">
        <f aca="false">IF(AND($A137&gt;=AH$16,MONTH($A137)=MONTH(AH$16)),MAX(AF137,AG137)*AH136,AH136)</f>
        <v>2.09773009339288</v>
      </c>
      <c r="AJ137" s="1667" t="n">
        <f aca="false">HLOOKUP(AJ$14,Dec_Change,$K137)</f>
        <v>1.02549884183511</v>
      </c>
      <c r="AK137" s="1668" t="n">
        <f aca="false">AK136</f>
        <v>1.02</v>
      </c>
      <c r="AL137" s="1675" t="n">
        <f aca="false">IF(AND($A137&gt;=AL$16,MONTH($A137)=MONTH(AL$16)),MAX(AJ137,AK137)*AL136,AL136)</f>
        <v>1.25164172493879</v>
      </c>
      <c r="AN137" s="1667" t="n">
        <f aca="false">HLOOKUP(AN$14,Dec_Change,$K137)</f>
        <v>1.02799884183511</v>
      </c>
      <c r="AO137" s="1668" t="n">
        <f aca="false">AO136</f>
        <v>1.005</v>
      </c>
      <c r="AP137" s="1675" t="n">
        <f aca="false">IF(AND($A137&gt;=AP$16,MONTH($A137)=MONTH(AP$16)),MAX(AN137,AO137)*AP136,AP136)</f>
        <v>1.26919095628799</v>
      </c>
      <c r="AR137" s="1670" t="n">
        <f aca="false">$A137</f>
        <v>38991</v>
      </c>
      <c r="AS137" s="1671" t="n">
        <f aca="false">IF(AND($A137&gt;=EDATE(AS$17,12),IF(Assm!$L$74=0,$D137,$E137)/AS136&gt;=1.05),IF(Assm!$L$74=0,$D137,$E137),AS136)</f>
        <v>2.38680829173927</v>
      </c>
      <c r="AT137" s="1671" t="n">
        <f aca="false">IF(AS137/AS136=1,AT136,AS137/AS136)</f>
        <v>1.05239090651144</v>
      </c>
      <c r="AU137" s="1671" t="n">
        <f aca="false">F137</f>
        <v>1.075</v>
      </c>
      <c r="AV137" s="1671" t="n">
        <f aca="false">MAX(AT137,AU137)</f>
        <v>1.075</v>
      </c>
      <c r="AW137" s="1675" t="n">
        <f aca="false">IF(AV137=AV136,AW136,AV137*AW136)</f>
        <v>2.61065535328591</v>
      </c>
    </row>
    <row r="138" customFormat="false" ht="12.75" hidden="false" customHeight="false" outlineLevel="0" collapsed="false">
      <c r="A138" s="1673" t="n">
        <f aca="false">EDATE(A137,1)</f>
        <v>39022</v>
      </c>
      <c r="B138" s="1659" t="n">
        <f aca="false">'[4]Monthly Curve Calc.'!B141</f>
        <v>305.914547031016</v>
      </c>
      <c r="C138" s="1660" t="n">
        <f aca="false">'[4]Monthly Curve Calc.'!C141</f>
        <v>206.574315232615</v>
      </c>
      <c r="D138" s="1661" t="n">
        <f aca="false">'[4]Monthly Curve Calc.'!F141</f>
        <v>2.39230729244276</v>
      </c>
      <c r="E138" s="1662" t="n">
        <f aca="false">IF($A138&lt;=E$16,D138,(B138/B137)/(C138/C137)*E137)</f>
        <v>1.80465794086206</v>
      </c>
      <c r="F138" s="1674" t="n">
        <f aca="false">IF(Assm!$L$75=0,F137,IF(AND($A138&gt;F$16,MONTH($A138)=MONTH(F$16)),B137/B125,F137))</f>
        <v>1.075</v>
      </c>
      <c r="G138" s="1668" t="n">
        <f aca="false">IF(Assm!$L$75=0,G137,IF(AND($A138&gt;G$16,MONTH($A138)=MONTH(G$16)),C137/C125,G137))</f>
        <v>1.02799884183511</v>
      </c>
      <c r="H138" s="1668" t="n">
        <f aca="false">IF(Assm!$L$75=0,H137,IF(AND($A138&gt;H$16,MONTH($A138)=MONTH(H$16)),C137/C125-H$18,H137))</f>
        <v>1.02549884183511</v>
      </c>
      <c r="I138" s="1668" t="n">
        <f aca="false">IF(Assm!$L$75=0,I137,IF($A138&gt;=I$16,IF(MONTH($A138)=MONTH(I$16),AVERAGE(D126:D137),I137),I137))</f>
        <v>2.30278621923876</v>
      </c>
      <c r="J138" s="1675" t="n">
        <f aca="false">IF(Assm!$L$75=0,J137,IF($A138&gt;=J$16,IF(MONTH($A138)=MONTH(J$16),AVERAGE(E126:E137),J137),J137))</f>
        <v>1.69670130529483</v>
      </c>
      <c r="K138" s="1624" t="n">
        <f aca="false">K137+1</f>
        <v>126</v>
      </c>
      <c r="L138" s="1667" t="n">
        <f aca="false">HLOOKUP(L$14,Dec_Change,$K138)</f>
        <v>1.02799884183511</v>
      </c>
      <c r="M138" s="1668" t="n">
        <f aca="false">M137</f>
        <v>0</v>
      </c>
      <c r="N138" s="1675" t="n">
        <f aca="false">IF(AND($A138&gt;=N$16,MONTH($A138)=MONTH(N$16)),MAX(L138,M138)*N137,N137)</f>
        <v>1.26919095628799</v>
      </c>
      <c r="P138" s="1667" t="n">
        <f aca="false">HLOOKUP(P$14,Dec_Change,$K138)</f>
        <v>1.075</v>
      </c>
      <c r="Q138" s="1668" t="n">
        <f aca="false">Q137</f>
        <v>0</v>
      </c>
      <c r="R138" s="1675" t="n">
        <f aca="false">IF(AND($A138&gt;=R$16,MONTH($A138)=MONTH(R$16)),MAX(P138,Q138)*R137,R137)</f>
        <v>2.09773009339288</v>
      </c>
      <c r="T138" s="1667" t="n">
        <f aca="false">HLOOKUP(T$14,Dec_Change,$K138)</f>
        <v>1.02799884183511</v>
      </c>
      <c r="U138" s="1668" t="n">
        <f aca="false">U137</f>
        <v>1.005</v>
      </c>
      <c r="V138" s="1675" t="n">
        <f aca="false">IF(AND($A138&gt;=V$16,MONTH($A138)=MONTH(V$16)),MAX(T138,U138)*V137,V137)</f>
        <v>1.26919095628799</v>
      </c>
      <c r="X138" s="1667" t="n">
        <f aca="false">HLOOKUP(X$14,Dec_Change,$K138)</f>
        <v>1.02549884183511</v>
      </c>
      <c r="Y138" s="1668" t="n">
        <f aca="false">Y137</f>
        <v>1.02</v>
      </c>
      <c r="Z138" s="1675" t="n">
        <f aca="false">IF(AND($A138&gt;=Z$16,MONTH($A138)=MONTH(Z$16)),MAX(X138,Y138)*Z137,Z137)</f>
        <v>1.25164172493879</v>
      </c>
      <c r="AB138" s="1667" t="n">
        <f aca="false">HLOOKUP(AB$14,Dec_Change,$K138)</f>
        <v>1.02549884183511</v>
      </c>
      <c r="AC138" s="1668" t="n">
        <f aca="false">AC137</f>
        <v>1.02</v>
      </c>
      <c r="AD138" s="1675" t="n">
        <f aca="false">IF(AND($A138&gt;=AD$16,MONTH($A138)=MONTH(AD$16)),MAX(AB138,AC138)*AD137,AD137)</f>
        <v>1.25164172493879</v>
      </c>
      <c r="AF138" s="1667" t="n">
        <f aca="false">HLOOKUP(AF$14,Dec_Change,$K138)</f>
        <v>1.075</v>
      </c>
      <c r="AG138" s="1668" t="n">
        <f aca="false">AG137</f>
        <v>0</v>
      </c>
      <c r="AH138" s="1675" t="n">
        <f aca="false">IF(AND($A138&gt;=AH$16,MONTH($A138)=MONTH(AH$16)),MAX(AF138,AG138)*AH137,AH137)</f>
        <v>2.09773009339288</v>
      </c>
      <c r="AJ138" s="1667" t="n">
        <f aca="false">HLOOKUP(AJ$14,Dec_Change,$K138)</f>
        <v>1.02549884183511</v>
      </c>
      <c r="AK138" s="1668" t="n">
        <f aca="false">AK137</f>
        <v>1.02</v>
      </c>
      <c r="AL138" s="1675" t="n">
        <f aca="false">IF(AND($A138&gt;=AL$16,MONTH($A138)=MONTH(AL$16)),MAX(AJ138,AK138)*AL137,AL137)</f>
        <v>1.25164172493879</v>
      </c>
      <c r="AN138" s="1667" t="n">
        <f aca="false">HLOOKUP(AN$14,Dec_Change,$K138)</f>
        <v>1.02799884183511</v>
      </c>
      <c r="AO138" s="1668" t="n">
        <f aca="false">AO137</f>
        <v>1.005</v>
      </c>
      <c r="AP138" s="1675" t="n">
        <f aca="false">IF(AND($A138&gt;=AP$16,MONTH($A138)=MONTH(AP$16)),MAX(AN138,AO138)*AP137,AP137)</f>
        <v>1.26919095628799</v>
      </c>
      <c r="AR138" s="1670" t="n">
        <f aca="false">$A138</f>
        <v>39022</v>
      </c>
      <c r="AS138" s="1671" t="n">
        <f aca="false">IF(AND($A138&gt;=EDATE(AS$17,12),IF(Assm!$L$74=0,$D138,$E138)/AS137&gt;=1.05),IF(Assm!$L$74=0,$D138,$E138),AS137)</f>
        <v>2.38680829173927</v>
      </c>
      <c r="AT138" s="1671" t="n">
        <f aca="false">IF(AS138/AS137=1,AT137,AS138/AS137)</f>
        <v>1.05239090651144</v>
      </c>
      <c r="AU138" s="1671" t="n">
        <f aca="false">F138</f>
        <v>1.075</v>
      </c>
      <c r="AV138" s="1671" t="n">
        <f aca="false">MAX(AT138,AU138)</f>
        <v>1.075</v>
      </c>
      <c r="AW138" s="1675" t="n">
        <f aca="false">IF(AV138=AV137,AW137,AV138*AW137)</f>
        <v>2.61065535328591</v>
      </c>
    </row>
    <row r="139" customFormat="false" ht="12.75" hidden="false" customHeight="false" outlineLevel="0" collapsed="false">
      <c r="A139" s="1673" t="n">
        <f aca="false">EDATE(A138,1)</f>
        <v>39052</v>
      </c>
      <c r="B139" s="1659" t="n">
        <f aca="false">'[4]Monthly Curve Calc.'!B142</f>
        <v>307.763775696172</v>
      </c>
      <c r="C139" s="1660" t="n">
        <f aca="false">'[4]Monthly Curve Calc.'!C142</f>
        <v>207.0428114083</v>
      </c>
      <c r="D139" s="1661" t="n">
        <f aca="false">'[4]Monthly Curve Calc.'!F142</f>
        <v>2.39781896237018</v>
      </c>
      <c r="E139" s="1662" t="n">
        <f aca="false">IF($A139&lt;=E$16,D139,(B139/B138)/(C139/C138)*E138)</f>
        <v>1.81145868969507</v>
      </c>
      <c r="F139" s="1674" t="n">
        <f aca="false">IF(Assm!$L$75=0,F138,IF(AND($A139&gt;F$16,MONTH($A139)=MONTH(F$16)),B138/B126,F138))</f>
        <v>1.075</v>
      </c>
      <c r="G139" s="1668" t="n">
        <f aca="false">IF(Assm!$L$75=0,G138,IF(AND($A139&gt;G$16,MONTH($A139)=MONTH(G$16)),C138/C126,G138))</f>
        <v>1.02799884183511</v>
      </c>
      <c r="H139" s="1668" t="n">
        <f aca="false">IF(Assm!$L$75=0,H138,IF(AND($A139&gt;H$16,MONTH($A139)=MONTH(H$16)),C138/C126-H$18,H138))</f>
        <v>1.02549884183511</v>
      </c>
      <c r="I139" s="1668" t="n">
        <f aca="false">IF(Assm!$L$75=0,I138,IF($A139&gt;=I$16,IF(MONTH($A139)=MONTH(I$16),AVERAGE(D127:D138),I138),I138))</f>
        <v>2.30278621923876</v>
      </c>
      <c r="J139" s="1675" t="n">
        <f aca="false">IF(Assm!$L$75=0,J138,IF($A139&gt;=J$16,IF(MONTH($A139)=MONTH(J$16),AVERAGE(E127:E138),J138),J138))</f>
        <v>1.69670130529483</v>
      </c>
      <c r="K139" s="1624" t="n">
        <f aca="false">K138+1</f>
        <v>127</v>
      </c>
      <c r="L139" s="1667" t="n">
        <f aca="false">HLOOKUP(L$14,Dec_Change,$K139)</f>
        <v>1.02799884183511</v>
      </c>
      <c r="M139" s="1668" t="n">
        <f aca="false">M138</f>
        <v>0</v>
      </c>
      <c r="N139" s="1675" t="n">
        <f aca="false">IF(AND($A139&gt;=N$16,MONTH($A139)=MONTH(N$16)),MAX(L139,M139)*N138,N138)</f>
        <v>1.26919095628799</v>
      </c>
      <c r="P139" s="1667" t="n">
        <f aca="false">HLOOKUP(P$14,Dec_Change,$K139)</f>
        <v>1.075</v>
      </c>
      <c r="Q139" s="1668" t="n">
        <f aca="false">Q138</f>
        <v>0</v>
      </c>
      <c r="R139" s="1675" t="n">
        <f aca="false">IF(AND($A139&gt;=R$16,MONTH($A139)=MONTH(R$16)),MAX(P139,Q139)*R138,R138)</f>
        <v>2.09773009339288</v>
      </c>
      <c r="T139" s="1667" t="n">
        <f aca="false">HLOOKUP(T$14,Dec_Change,$K139)</f>
        <v>1.02799884183511</v>
      </c>
      <c r="U139" s="1668" t="n">
        <f aca="false">U138</f>
        <v>1.005</v>
      </c>
      <c r="V139" s="1675" t="n">
        <f aca="false">IF(AND($A139&gt;=V$16,MONTH($A139)=MONTH(V$16)),MAX(T139,U139)*V138,V138)</f>
        <v>1.26919095628799</v>
      </c>
      <c r="X139" s="1667" t="n">
        <f aca="false">HLOOKUP(X$14,Dec_Change,$K139)</f>
        <v>1.02549884183511</v>
      </c>
      <c r="Y139" s="1668" t="n">
        <f aca="false">Y138</f>
        <v>1.02</v>
      </c>
      <c r="Z139" s="1675" t="n">
        <f aca="false">IF(AND($A139&gt;=Z$16,MONTH($A139)=MONTH(Z$16)),MAX(X139,Y139)*Z138,Z138)</f>
        <v>1.25164172493879</v>
      </c>
      <c r="AB139" s="1667" t="n">
        <f aca="false">HLOOKUP(AB$14,Dec_Change,$K139)</f>
        <v>1.02549884183511</v>
      </c>
      <c r="AC139" s="1668" t="n">
        <f aca="false">AC138</f>
        <v>1.02</v>
      </c>
      <c r="AD139" s="1675" t="n">
        <f aca="false">IF(AND($A139&gt;=AD$16,MONTH($A139)=MONTH(AD$16)),MAX(AB139,AC139)*AD138,AD138)</f>
        <v>1.25164172493879</v>
      </c>
      <c r="AF139" s="1667" t="n">
        <f aca="false">HLOOKUP(AF$14,Dec_Change,$K139)</f>
        <v>1.075</v>
      </c>
      <c r="AG139" s="1668" t="n">
        <f aca="false">AG138</f>
        <v>0</v>
      </c>
      <c r="AH139" s="1675" t="n">
        <f aca="false">IF(AND($A139&gt;=AH$16,MONTH($A139)=MONTH(AH$16)),MAX(AF139,AG139)*AH138,AH138)</f>
        <v>2.09773009339288</v>
      </c>
      <c r="AJ139" s="1667" t="n">
        <f aca="false">HLOOKUP(AJ$14,Dec_Change,$K139)</f>
        <v>1.02549884183511</v>
      </c>
      <c r="AK139" s="1668" t="n">
        <f aca="false">AK138</f>
        <v>1.02</v>
      </c>
      <c r="AL139" s="1675" t="n">
        <f aca="false">IF(AND($A139&gt;=AL$16,MONTH($A139)=MONTH(AL$16)),MAX(AJ139,AK139)*AL138,AL138)</f>
        <v>1.25164172493879</v>
      </c>
      <c r="AN139" s="1667" t="n">
        <f aca="false">HLOOKUP(AN$14,Dec_Change,$K139)</f>
        <v>1.02799884183511</v>
      </c>
      <c r="AO139" s="1668" t="n">
        <f aca="false">AO138</f>
        <v>1.005</v>
      </c>
      <c r="AP139" s="1675" t="n">
        <f aca="false">IF(AND($A139&gt;=AP$16,MONTH($A139)=MONTH(AP$16)),MAX(AN139,AO139)*AP138,AP138)</f>
        <v>1.26919095628799</v>
      </c>
      <c r="AR139" s="1670" t="n">
        <f aca="false">$A139</f>
        <v>39052</v>
      </c>
      <c r="AS139" s="1671" t="n">
        <f aca="false">IF(AND($A139&gt;=EDATE(AS$17,12),IF(Assm!$L$74=0,$D139,$E139)/AS138&gt;=1.05),IF(Assm!$L$74=0,$D139,$E139),AS138)</f>
        <v>2.38680829173927</v>
      </c>
      <c r="AT139" s="1671" t="n">
        <f aca="false">IF(AS139/AS138=1,AT138,AS139/AS138)</f>
        <v>1.05239090651144</v>
      </c>
      <c r="AU139" s="1671" t="n">
        <f aca="false">F139</f>
        <v>1.075</v>
      </c>
      <c r="AV139" s="1671" t="n">
        <f aca="false">MAX(AT139,AU139)</f>
        <v>1.075</v>
      </c>
      <c r="AW139" s="1675" t="n">
        <f aca="false">IF(AV139=AV138,AW138,AV139*AW138)</f>
        <v>2.61065535328591</v>
      </c>
    </row>
    <row r="140" customFormat="false" ht="12.75" hidden="false" customHeight="false" outlineLevel="0" collapsed="false">
      <c r="A140" s="1673" t="n">
        <f aca="false">EDATE(A139,1)</f>
        <v>39083</v>
      </c>
      <c r="B140" s="1659" t="n">
        <f aca="false">'[4]Monthly Curve Calc.'!B143</f>
        <v>309.624182798865</v>
      </c>
      <c r="C140" s="1660" t="n">
        <f aca="false">'[4]Monthly Curve Calc.'!C143</f>
        <v>207.501638963156</v>
      </c>
      <c r="D140" s="1661" t="n">
        <f aca="false">'[4]Monthly Curve Calc.'!F143</f>
        <v>2.40318207825579</v>
      </c>
      <c r="E140" s="1662" t="n">
        <f aca="false">IF($A140&lt;=E$16,D140,(B140/B139)/(C140/C139)*E139)</f>
        <v>1.81837910103564</v>
      </c>
      <c r="F140" s="1674" t="n">
        <f aca="false">IF(Assm!$L$75=0,F139,IF(AND($A140&gt;F$16,MONTH($A140)=MONTH(F$16)),B139/B127,F139))</f>
        <v>1.075</v>
      </c>
      <c r="G140" s="1668" t="n">
        <f aca="false">IF(Assm!$L$75=0,G139,IF(AND($A140&gt;G$16,MONTH($A140)=MONTH(G$16)),C139/C127,G139))</f>
        <v>1.02799884183511</v>
      </c>
      <c r="H140" s="1668" t="n">
        <f aca="false">IF(Assm!$L$75=0,H139,IF(AND($A140&gt;H$16,MONTH($A140)=MONTH(H$16)),C139/C127-H$18,H139))</f>
        <v>1.02549884183511</v>
      </c>
      <c r="I140" s="1668" t="n">
        <f aca="false">IF(Assm!$L$75=0,I139,IF($A140&gt;=I$16,IF(MONTH($A140)=MONTH(I$16),AVERAGE(D128:D139),I139),I139))</f>
        <v>2.36773585001062</v>
      </c>
      <c r="J140" s="1675" t="n">
        <f aca="false">IF(Assm!$L$75=0,J139,IF($A140&gt;=J$16,IF(MONTH($A140)=MONTH(J$16),AVERAGE(E128:E139),J139),J139))</f>
        <v>1.77451872763879</v>
      </c>
      <c r="K140" s="1624" t="n">
        <f aca="false">K139+1</f>
        <v>128</v>
      </c>
      <c r="L140" s="1667" t="n">
        <f aca="false">HLOOKUP(L$14,Dec_Change,$K140)</f>
        <v>1.02799884183511</v>
      </c>
      <c r="M140" s="1668" t="n">
        <f aca="false">M139</f>
        <v>0</v>
      </c>
      <c r="N140" s="1675" t="n">
        <f aca="false">IF(AND($A140&gt;=N$16,MONTH($A140)=MONTH(N$16)),MAX(L140,M140)*N139,N139)</f>
        <v>1.26919095628799</v>
      </c>
      <c r="P140" s="1667" t="n">
        <f aca="false">HLOOKUP(P$14,Dec_Change,$K140)</f>
        <v>1.075</v>
      </c>
      <c r="Q140" s="1668" t="n">
        <f aca="false">Q139</f>
        <v>0</v>
      </c>
      <c r="R140" s="1675" t="n">
        <f aca="false">IF(AND($A140&gt;=R$16,MONTH($A140)=MONTH(R$16)),MAX(P140,Q140)*R139,R139)</f>
        <v>2.09773009339288</v>
      </c>
      <c r="T140" s="1667" t="n">
        <f aca="false">HLOOKUP(T$14,Dec_Change,$K140)</f>
        <v>1.02799884183511</v>
      </c>
      <c r="U140" s="1668" t="n">
        <f aca="false">U139</f>
        <v>1.005</v>
      </c>
      <c r="V140" s="1675" t="n">
        <f aca="false">IF(AND($A140&gt;=V$16,MONTH($A140)=MONTH(V$16)),MAX(T140,U140)*V139,V139)</f>
        <v>1.26919095628799</v>
      </c>
      <c r="X140" s="1667" t="n">
        <f aca="false">HLOOKUP(X$14,Dec_Change,$K140)</f>
        <v>1.02549884183511</v>
      </c>
      <c r="Y140" s="1668" t="n">
        <f aca="false">Y139</f>
        <v>1.02</v>
      </c>
      <c r="Z140" s="1675" t="n">
        <f aca="false">IF(AND($A140&gt;=Z$16,MONTH($A140)=MONTH(Z$16)),MAX(X140,Y140)*Z139,Z139)</f>
        <v>1.25164172493879</v>
      </c>
      <c r="AB140" s="1667" t="n">
        <f aca="false">HLOOKUP(AB$14,Dec_Change,$K140)</f>
        <v>1.02549884183511</v>
      </c>
      <c r="AC140" s="1668" t="n">
        <f aca="false">AC139</f>
        <v>1.02</v>
      </c>
      <c r="AD140" s="1675" t="n">
        <f aca="false">IF(AND($A140&gt;=AD$16,MONTH($A140)=MONTH(AD$16)),MAX(AB140,AC140)*AD139,AD139)</f>
        <v>1.25164172493879</v>
      </c>
      <c r="AF140" s="1667" t="n">
        <f aca="false">HLOOKUP(AF$14,Dec_Change,$K140)</f>
        <v>1.075</v>
      </c>
      <c r="AG140" s="1668" t="n">
        <f aca="false">AG139</f>
        <v>0</v>
      </c>
      <c r="AH140" s="1675" t="n">
        <f aca="false">IF(AND($A140&gt;=AH$16,MONTH($A140)=MONTH(AH$16)),MAX(AF140,AG140)*AH139,AH139)</f>
        <v>2.09773009339288</v>
      </c>
      <c r="AJ140" s="1667" t="n">
        <f aca="false">HLOOKUP(AJ$14,Dec_Change,$K140)</f>
        <v>1.02549884183511</v>
      </c>
      <c r="AK140" s="1668" t="n">
        <f aca="false">AK139</f>
        <v>1.02</v>
      </c>
      <c r="AL140" s="1675" t="n">
        <f aca="false">IF(AND($A140&gt;=AL$16,MONTH($A140)=MONTH(AL$16)),MAX(AJ140,AK140)*AL139,AL139)</f>
        <v>1.25164172493879</v>
      </c>
      <c r="AN140" s="1667" t="n">
        <f aca="false">HLOOKUP(AN$14,Dec_Change,$K140)</f>
        <v>1.02799884183511</v>
      </c>
      <c r="AO140" s="1668" t="n">
        <f aca="false">AO139</f>
        <v>1.005</v>
      </c>
      <c r="AP140" s="1675" t="n">
        <f aca="false">IF(AND($A140&gt;=AP$16,MONTH($A140)=MONTH(AP$16)),MAX(AN140,AO140)*AP139,AP139)</f>
        <v>1.26919095628799</v>
      </c>
      <c r="AR140" s="1670" t="n">
        <f aca="false">$A140</f>
        <v>39083</v>
      </c>
      <c r="AS140" s="1671" t="n">
        <f aca="false">IF(AND($A140&gt;=EDATE(AS$17,12),IF(Assm!$L$74=0,$D140,$E140)/AS139&gt;=1.05),IF(Assm!$L$74=0,$D140,$E140),AS139)</f>
        <v>2.38680829173927</v>
      </c>
      <c r="AT140" s="1671" t="n">
        <f aca="false">IF(AS140/AS139=1,AT139,AS140/AS139)</f>
        <v>1.05239090651144</v>
      </c>
      <c r="AU140" s="1671" t="n">
        <f aca="false">F140</f>
        <v>1.075</v>
      </c>
      <c r="AV140" s="1671" t="n">
        <f aca="false">MAX(AT140,AU140)</f>
        <v>1.075</v>
      </c>
      <c r="AW140" s="1675" t="n">
        <f aca="false">IF(AV140=AV139,AW139,AV140*AW139)</f>
        <v>2.61065535328591</v>
      </c>
    </row>
    <row r="141" customFormat="false" ht="12.75" hidden="false" customHeight="false" outlineLevel="0" collapsed="false">
      <c r="A141" s="1673" t="n">
        <f aca="false">EDATE(A140,1)</f>
        <v>39114</v>
      </c>
      <c r="B141" s="1659" t="n">
        <f aca="false">'[4]Monthly Curve Calc.'!B144</f>
        <v>311.495835911847</v>
      </c>
      <c r="C141" s="1660" t="n">
        <f aca="false">'[4]Monthly Curve Calc.'!C144</f>
        <v>207.961483325712</v>
      </c>
      <c r="D141" s="1661" t="n">
        <f aca="false">'[4]Monthly Curve Calc.'!F144</f>
        <v>2.40855718963083</v>
      </c>
      <c r="E141" s="1662" t="n">
        <f aca="false">IF($A141&lt;=E$16,D141,(B141/B140)/(C141/C140)*E140)</f>
        <v>1.8253259507893</v>
      </c>
      <c r="F141" s="1674" t="n">
        <f aca="false">IF(Assm!$L$75=0,F140,IF(AND($A141&gt;F$16,MONTH($A141)=MONTH(F$16)),B140/B128,F140))</f>
        <v>1.075</v>
      </c>
      <c r="G141" s="1668" t="n">
        <f aca="false">IF(Assm!$L$75=0,G140,IF(AND($A141&gt;G$16,MONTH($A141)=MONTH(G$16)),C140/C128,G140))</f>
        <v>1.02799884183511</v>
      </c>
      <c r="H141" s="1668" t="n">
        <f aca="false">IF(Assm!$L$75=0,H140,IF(AND($A141&gt;H$16,MONTH($A141)=MONTH(H$16)),C140/C128-H$18,H140))</f>
        <v>1.02549884183511</v>
      </c>
      <c r="I141" s="1668" t="n">
        <f aca="false">IF(Assm!$L$75=0,I140,IF($A141&gt;=I$16,IF(MONTH($A141)=MONTH(I$16),AVERAGE(D129:D140),I140),I140))</f>
        <v>2.36773585001062</v>
      </c>
      <c r="J141" s="1675" t="n">
        <f aca="false">IF(Assm!$L$75=0,J140,IF($A141&gt;=J$16,IF(MONTH($A141)=MONTH(J$16),AVERAGE(E129:E140),J140),J140))</f>
        <v>1.77451872763879</v>
      </c>
      <c r="K141" s="1624" t="n">
        <f aca="false">K140+1</f>
        <v>129</v>
      </c>
      <c r="L141" s="1667" t="n">
        <f aca="false">HLOOKUP(L$14,Dec_Change,$K141)</f>
        <v>1.02799884183511</v>
      </c>
      <c r="M141" s="1668" t="n">
        <f aca="false">M140</f>
        <v>0</v>
      </c>
      <c r="N141" s="1675" t="n">
        <f aca="false">IF(AND($A141&gt;=N$16,MONTH($A141)=MONTH(N$16)),MAX(L141,M141)*N140,N140)</f>
        <v>1.26919095628799</v>
      </c>
      <c r="P141" s="1667" t="n">
        <f aca="false">HLOOKUP(P$14,Dec_Change,$K141)</f>
        <v>1.075</v>
      </c>
      <c r="Q141" s="1668" t="n">
        <f aca="false">Q140</f>
        <v>0</v>
      </c>
      <c r="R141" s="1675" t="n">
        <f aca="false">IF(AND($A141&gt;=R$16,MONTH($A141)=MONTH(R$16)),MAX(P141,Q141)*R140,R140)</f>
        <v>2.09773009339288</v>
      </c>
      <c r="T141" s="1667" t="n">
        <f aca="false">HLOOKUP(T$14,Dec_Change,$K141)</f>
        <v>1.02799884183511</v>
      </c>
      <c r="U141" s="1668" t="n">
        <f aca="false">U140</f>
        <v>1.005</v>
      </c>
      <c r="V141" s="1675" t="n">
        <f aca="false">IF(AND($A141&gt;=V$16,MONTH($A141)=MONTH(V$16)),MAX(T141,U141)*V140,V140)</f>
        <v>1.26919095628799</v>
      </c>
      <c r="X141" s="1667" t="n">
        <f aca="false">HLOOKUP(X$14,Dec_Change,$K141)</f>
        <v>1.02549884183511</v>
      </c>
      <c r="Y141" s="1668" t="n">
        <f aca="false">Y140</f>
        <v>1.02</v>
      </c>
      <c r="Z141" s="1675" t="n">
        <f aca="false">IF(AND($A141&gt;=Z$16,MONTH($A141)=MONTH(Z$16)),MAX(X141,Y141)*Z140,Z140)</f>
        <v>1.25164172493879</v>
      </c>
      <c r="AB141" s="1667" t="n">
        <f aca="false">HLOOKUP(AB$14,Dec_Change,$K141)</f>
        <v>1.02549884183511</v>
      </c>
      <c r="AC141" s="1668" t="n">
        <f aca="false">AC140</f>
        <v>1.02</v>
      </c>
      <c r="AD141" s="1675" t="n">
        <f aca="false">IF(AND($A141&gt;=AD$16,MONTH($A141)=MONTH(AD$16)),MAX(AB141,AC141)*AD140,AD140)</f>
        <v>1.25164172493879</v>
      </c>
      <c r="AF141" s="1667" t="n">
        <f aca="false">HLOOKUP(AF$14,Dec_Change,$K141)</f>
        <v>1.075</v>
      </c>
      <c r="AG141" s="1668" t="n">
        <f aca="false">AG140</f>
        <v>0</v>
      </c>
      <c r="AH141" s="1675" t="n">
        <f aca="false">IF(AND($A141&gt;=AH$16,MONTH($A141)=MONTH(AH$16)),MAX(AF141,AG141)*AH140,AH140)</f>
        <v>2.09773009339288</v>
      </c>
      <c r="AJ141" s="1667" t="n">
        <f aca="false">HLOOKUP(AJ$14,Dec_Change,$K141)</f>
        <v>1.02549884183511</v>
      </c>
      <c r="AK141" s="1668" t="n">
        <f aca="false">AK140</f>
        <v>1.02</v>
      </c>
      <c r="AL141" s="1675" t="n">
        <f aca="false">IF(AND($A141&gt;=AL$16,MONTH($A141)=MONTH(AL$16)),MAX(AJ141,AK141)*AL140,AL140)</f>
        <v>1.25164172493879</v>
      </c>
      <c r="AN141" s="1667" t="n">
        <f aca="false">HLOOKUP(AN$14,Dec_Change,$K141)</f>
        <v>1.02799884183511</v>
      </c>
      <c r="AO141" s="1668" t="n">
        <f aca="false">AO140</f>
        <v>1.005</v>
      </c>
      <c r="AP141" s="1675" t="n">
        <f aca="false">IF(AND($A141&gt;=AP$16,MONTH($A141)=MONTH(AP$16)),MAX(AN141,AO141)*AP140,AP140)</f>
        <v>1.26919095628799</v>
      </c>
      <c r="AR141" s="1670" t="n">
        <f aca="false">$A141</f>
        <v>39114</v>
      </c>
      <c r="AS141" s="1671" t="n">
        <f aca="false">IF(AND($A141&gt;=EDATE(AS$17,12),IF(Assm!$L$74=0,$D141,$E141)/AS140&gt;=1.05),IF(Assm!$L$74=0,$D141,$E141),AS140)</f>
        <v>2.38680829173927</v>
      </c>
      <c r="AT141" s="1671" t="n">
        <f aca="false">IF(AS141/AS140=1,AT140,AS141/AS140)</f>
        <v>1.05239090651144</v>
      </c>
      <c r="AU141" s="1671" t="n">
        <f aca="false">F141</f>
        <v>1.075</v>
      </c>
      <c r="AV141" s="1671" t="n">
        <f aca="false">MAX(AT141,AU141)</f>
        <v>1.075</v>
      </c>
      <c r="AW141" s="1675" t="n">
        <f aca="false">IF(AV141=AV140,AW140,AV141*AW140)</f>
        <v>2.61065535328591</v>
      </c>
    </row>
    <row r="142" customFormat="false" ht="12.75" hidden="false" customHeight="false" outlineLevel="0" collapsed="false">
      <c r="A142" s="1673" t="n">
        <f aca="false">EDATE(A141,1)</f>
        <v>39142</v>
      </c>
      <c r="B142" s="1659" t="n">
        <f aca="false">'[4]Monthly Curve Calc.'!B145</f>
        <v>313.378803016338</v>
      </c>
      <c r="C142" s="1660" t="n">
        <f aca="false">'[4]Monthly Curve Calc.'!C145</f>
        <v>208.422346749317</v>
      </c>
      <c r="D142" s="1661" t="n">
        <f aca="false">'[4]Monthly Curve Calc.'!F145</f>
        <v>2.41394432332517</v>
      </c>
      <c r="E142" s="1662" t="n">
        <f aca="false">IF($A142&lt;=E$16,D142,(B142/B141)/(C142/C141)*E141)</f>
        <v>1.8322993399601</v>
      </c>
      <c r="F142" s="1674" t="n">
        <f aca="false">IF(Assm!$L$75=0,F141,IF(AND($A142&gt;F$16,MONTH($A142)=MONTH(F$16)),B141/B129,F141))</f>
        <v>1.075</v>
      </c>
      <c r="G142" s="1668" t="n">
        <f aca="false">IF(Assm!$L$75=0,G141,IF(AND($A142&gt;G$16,MONTH($A142)=MONTH(G$16)),C141/C129,G141))</f>
        <v>1.02799884183511</v>
      </c>
      <c r="H142" s="1668" t="n">
        <f aca="false">IF(Assm!$L$75=0,H141,IF(AND($A142&gt;H$16,MONTH($A142)=MONTH(H$16)),C141/C129-H$18,H141))</f>
        <v>1.02549884183511</v>
      </c>
      <c r="I142" s="1668" t="n">
        <f aca="false">IF(Assm!$L$75=0,I141,IF($A142&gt;=I$16,IF(MONTH($A142)=MONTH(I$16),AVERAGE(D130:D141),I141),I141))</f>
        <v>2.36773585001062</v>
      </c>
      <c r="J142" s="1675" t="n">
        <f aca="false">IF(Assm!$L$75=0,J141,IF($A142&gt;=J$16,IF(MONTH($A142)=MONTH(J$16),AVERAGE(E130:E141),J141),J141))</f>
        <v>1.77451872763879</v>
      </c>
      <c r="K142" s="1624" t="n">
        <f aca="false">K141+1</f>
        <v>130</v>
      </c>
      <c r="L142" s="1667" t="n">
        <f aca="false">HLOOKUP(L$14,Dec_Change,$K142)</f>
        <v>1.02799884183511</v>
      </c>
      <c r="M142" s="1668" t="n">
        <f aca="false">M141</f>
        <v>0</v>
      </c>
      <c r="N142" s="1675" t="n">
        <f aca="false">IF(AND($A142&gt;=N$16,MONTH($A142)=MONTH(N$16)),MAX(L142,M142)*N141,N141)</f>
        <v>1.26919095628799</v>
      </c>
      <c r="P142" s="1667" t="n">
        <f aca="false">HLOOKUP(P$14,Dec_Change,$K142)</f>
        <v>1.075</v>
      </c>
      <c r="Q142" s="1668" t="n">
        <f aca="false">Q141</f>
        <v>0</v>
      </c>
      <c r="R142" s="1675" t="n">
        <f aca="false">IF(AND($A142&gt;=R$16,MONTH($A142)=MONTH(R$16)),MAX(P142,Q142)*R141,R141)</f>
        <v>2.09773009339288</v>
      </c>
      <c r="T142" s="1667" t="n">
        <f aca="false">HLOOKUP(T$14,Dec_Change,$K142)</f>
        <v>1.02799884183511</v>
      </c>
      <c r="U142" s="1668" t="n">
        <f aca="false">U141</f>
        <v>1.005</v>
      </c>
      <c r="V142" s="1675" t="n">
        <f aca="false">IF(AND($A142&gt;=V$16,MONTH($A142)=MONTH(V$16)),MAX(T142,U142)*V141,V141)</f>
        <v>1.26919095628799</v>
      </c>
      <c r="X142" s="1667" t="n">
        <f aca="false">HLOOKUP(X$14,Dec_Change,$K142)</f>
        <v>1.02549884183511</v>
      </c>
      <c r="Y142" s="1668" t="n">
        <f aca="false">Y141</f>
        <v>1.02</v>
      </c>
      <c r="Z142" s="1675" t="n">
        <f aca="false">IF(AND($A142&gt;=Z$16,MONTH($A142)=MONTH(Z$16)),MAX(X142,Y142)*Z141,Z141)</f>
        <v>1.25164172493879</v>
      </c>
      <c r="AB142" s="1667" t="n">
        <f aca="false">HLOOKUP(AB$14,Dec_Change,$K142)</f>
        <v>1.02549884183511</v>
      </c>
      <c r="AC142" s="1668" t="n">
        <f aca="false">AC141</f>
        <v>1.02</v>
      </c>
      <c r="AD142" s="1675" t="n">
        <f aca="false">IF(AND($A142&gt;=AD$16,MONTH($A142)=MONTH(AD$16)),MAX(AB142,AC142)*AD141,AD141)</f>
        <v>1.25164172493879</v>
      </c>
      <c r="AF142" s="1667" t="n">
        <f aca="false">HLOOKUP(AF$14,Dec_Change,$K142)</f>
        <v>1.075</v>
      </c>
      <c r="AG142" s="1668" t="n">
        <f aca="false">AG141</f>
        <v>0</v>
      </c>
      <c r="AH142" s="1675" t="n">
        <f aca="false">IF(AND($A142&gt;=AH$16,MONTH($A142)=MONTH(AH$16)),MAX(AF142,AG142)*AH141,AH141)</f>
        <v>2.09773009339288</v>
      </c>
      <c r="AJ142" s="1667" t="n">
        <f aca="false">HLOOKUP(AJ$14,Dec_Change,$K142)</f>
        <v>1.02549884183511</v>
      </c>
      <c r="AK142" s="1668" t="n">
        <f aca="false">AK141</f>
        <v>1.02</v>
      </c>
      <c r="AL142" s="1675" t="n">
        <f aca="false">IF(AND($A142&gt;=AL$16,MONTH($A142)=MONTH(AL$16)),MAX(AJ142,AK142)*AL141,AL141)</f>
        <v>1.25164172493879</v>
      </c>
      <c r="AN142" s="1667" t="n">
        <f aca="false">HLOOKUP(AN$14,Dec_Change,$K142)</f>
        <v>1.02799884183511</v>
      </c>
      <c r="AO142" s="1668" t="n">
        <f aca="false">AO141</f>
        <v>1.005</v>
      </c>
      <c r="AP142" s="1675" t="n">
        <f aca="false">IF(AND($A142&gt;=AP$16,MONTH($A142)=MONTH(AP$16)),MAX(AN142,AO142)*AP141,AP141)</f>
        <v>1.26919095628799</v>
      </c>
      <c r="AR142" s="1670" t="n">
        <f aca="false">$A142</f>
        <v>39142</v>
      </c>
      <c r="AS142" s="1671" t="n">
        <f aca="false">IF(AND($A142&gt;=EDATE(AS$17,12),IF(Assm!$L$74=0,$D142,$E142)/AS141&gt;=1.05),IF(Assm!$L$74=0,$D142,$E142),AS141)</f>
        <v>2.38680829173927</v>
      </c>
      <c r="AT142" s="1671" t="n">
        <f aca="false">IF(AS142/AS141=1,AT141,AS142/AS141)</f>
        <v>1.05239090651144</v>
      </c>
      <c r="AU142" s="1671" t="n">
        <f aca="false">F142</f>
        <v>1.075</v>
      </c>
      <c r="AV142" s="1671" t="n">
        <f aca="false">MAX(AT142,AU142)</f>
        <v>1.075</v>
      </c>
      <c r="AW142" s="1675" t="n">
        <f aca="false">IF(AV142=AV141,AW141,AV142*AW141)</f>
        <v>2.61065535328591</v>
      </c>
    </row>
    <row r="143" customFormat="false" ht="12.75" hidden="false" customHeight="false" outlineLevel="0" collapsed="false">
      <c r="A143" s="1673" t="n">
        <f aca="false">EDATE(A142,1)</f>
        <v>39173</v>
      </c>
      <c r="B143" s="1659" t="n">
        <f aca="false">'[4]Monthly Curve Calc.'!B146</f>
        <v>315.273152504501</v>
      </c>
      <c r="C143" s="1660" t="n">
        <f aca="false">'[4]Monthly Curve Calc.'!C146</f>
        <v>208.884231492312</v>
      </c>
      <c r="D143" s="1661" t="n">
        <f aca="false">'[4]Monthly Curve Calc.'!F146</f>
        <v>2.41934350622871</v>
      </c>
      <c r="E143" s="1662" t="n">
        <f aca="false">IF($A143&lt;=E$16,D143,(B143/B142)/(C143/C142)*E142)</f>
        <v>1.83929936993799</v>
      </c>
      <c r="F143" s="1674" t="n">
        <f aca="false">IF(Assm!$L$75=0,F142,IF(AND($A143&gt;F$16,MONTH($A143)=MONTH(F$16)),B142/B130,F142))</f>
        <v>1.075</v>
      </c>
      <c r="G143" s="1668" t="n">
        <f aca="false">IF(Assm!$L$75=0,G142,IF(AND($A143&gt;G$16,MONTH($A143)=MONTH(G$16)),C142/C130,G142))</f>
        <v>1.02799884183511</v>
      </c>
      <c r="H143" s="1668" t="n">
        <f aca="false">IF(Assm!$L$75=0,H142,IF(AND($A143&gt;H$16,MONTH($A143)=MONTH(H$16)),C142/C130-H$18,H142))</f>
        <v>1.02549884183511</v>
      </c>
      <c r="I143" s="1668" t="n">
        <f aca="false">IF(Assm!$L$75=0,I142,IF($A143&gt;=I$16,IF(MONTH($A143)=MONTH(I$16),AVERAGE(D131:D142),I142),I142))</f>
        <v>2.36773585001062</v>
      </c>
      <c r="J143" s="1675" t="n">
        <f aca="false">IF(Assm!$L$75=0,J142,IF($A143&gt;=J$16,IF(MONTH($A143)=MONTH(J$16),AVERAGE(E131:E142),J142),J142))</f>
        <v>1.77451872763879</v>
      </c>
      <c r="K143" s="1624" t="n">
        <f aca="false">K142+1</f>
        <v>131</v>
      </c>
      <c r="L143" s="1667" t="n">
        <f aca="false">HLOOKUP(L$14,Dec_Change,$K143)</f>
        <v>1.02799884183511</v>
      </c>
      <c r="M143" s="1668" t="n">
        <f aca="false">M142</f>
        <v>0</v>
      </c>
      <c r="N143" s="1675" t="n">
        <f aca="false">IF(AND($A143&gt;=N$16,MONTH($A143)=MONTH(N$16)),MAX(L143,M143)*N142,N142)</f>
        <v>1.26919095628799</v>
      </c>
      <c r="P143" s="1667" t="n">
        <f aca="false">HLOOKUP(P$14,Dec_Change,$K143)</f>
        <v>1.075</v>
      </c>
      <c r="Q143" s="1668" t="n">
        <f aca="false">Q142</f>
        <v>0</v>
      </c>
      <c r="R143" s="1675" t="n">
        <f aca="false">IF(AND($A143&gt;=R$16,MONTH($A143)=MONTH(R$16)),MAX(P143,Q143)*R142,R142)</f>
        <v>2.09773009339288</v>
      </c>
      <c r="T143" s="1667" t="n">
        <f aca="false">HLOOKUP(T$14,Dec_Change,$K143)</f>
        <v>1.02799884183511</v>
      </c>
      <c r="U143" s="1668" t="n">
        <f aca="false">U142</f>
        <v>1.005</v>
      </c>
      <c r="V143" s="1675" t="n">
        <f aca="false">IF(AND($A143&gt;=V$16,MONTH($A143)=MONTH(V$16)),MAX(T143,U143)*V142,V142)</f>
        <v>1.26919095628799</v>
      </c>
      <c r="X143" s="1667" t="n">
        <f aca="false">HLOOKUP(X$14,Dec_Change,$K143)</f>
        <v>1.02549884183511</v>
      </c>
      <c r="Y143" s="1668" t="n">
        <f aca="false">Y142</f>
        <v>1.02</v>
      </c>
      <c r="Z143" s="1675" t="n">
        <f aca="false">IF(AND($A143&gt;=Z$16,MONTH($A143)=MONTH(Z$16)),MAX(X143,Y143)*Z142,Z142)</f>
        <v>1.25164172493879</v>
      </c>
      <c r="AB143" s="1667" t="n">
        <f aca="false">HLOOKUP(AB$14,Dec_Change,$K143)</f>
        <v>1.02549884183511</v>
      </c>
      <c r="AC143" s="1668" t="n">
        <f aca="false">AC142</f>
        <v>1.02</v>
      </c>
      <c r="AD143" s="1675" t="n">
        <f aca="false">IF(AND($A143&gt;=AD$16,MONTH($A143)=MONTH(AD$16)),MAX(AB143,AC143)*AD142,AD142)</f>
        <v>1.25164172493879</v>
      </c>
      <c r="AF143" s="1667" t="n">
        <f aca="false">HLOOKUP(AF$14,Dec_Change,$K143)</f>
        <v>1.075</v>
      </c>
      <c r="AG143" s="1668" t="n">
        <f aca="false">AG142</f>
        <v>0</v>
      </c>
      <c r="AH143" s="1675" t="n">
        <f aca="false">IF(AND($A143&gt;=AH$16,MONTH($A143)=MONTH(AH$16)),MAX(AF143,AG143)*AH142,AH142)</f>
        <v>2.09773009339288</v>
      </c>
      <c r="AJ143" s="1667" t="n">
        <f aca="false">HLOOKUP(AJ$14,Dec_Change,$K143)</f>
        <v>1.02549884183511</v>
      </c>
      <c r="AK143" s="1668" t="n">
        <f aca="false">AK142</f>
        <v>1.02</v>
      </c>
      <c r="AL143" s="1675" t="n">
        <f aca="false">IF(AND($A143&gt;=AL$16,MONTH($A143)=MONTH(AL$16)),MAX(AJ143,AK143)*AL142,AL142)</f>
        <v>1.25164172493879</v>
      </c>
      <c r="AN143" s="1667" t="n">
        <f aca="false">HLOOKUP(AN$14,Dec_Change,$K143)</f>
        <v>1.02799884183511</v>
      </c>
      <c r="AO143" s="1668" t="n">
        <f aca="false">AO142</f>
        <v>1.005</v>
      </c>
      <c r="AP143" s="1675" t="n">
        <f aca="false">IF(AND($A143&gt;=AP$16,MONTH($A143)=MONTH(AP$16)),MAX(AN143,AO143)*AP142,AP142)</f>
        <v>1.26919095628799</v>
      </c>
      <c r="AR143" s="1670" t="n">
        <f aca="false">$A143</f>
        <v>39173</v>
      </c>
      <c r="AS143" s="1671" t="n">
        <f aca="false">IF(AND($A143&gt;=EDATE(AS$17,12),IF(Assm!$L$74=0,$D143,$E143)/AS142&gt;=1.05),IF(Assm!$L$74=0,$D143,$E143),AS142)</f>
        <v>2.38680829173927</v>
      </c>
      <c r="AT143" s="1671" t="n">
        <f aca="false">IF(AS143/AS142=1,AT142,AS143/AS142)</f>
        <v>1.05239090651144</v>
      </c>
      <c r="AU143" s="1671" t="n">
        <f aca="false">F143</f>
        <v>1.075</v>
      </c>
      <c r="AV143" s="1671" t="n">
        <f aca="false">MAX(AT143,AU143)</f>
        <v>1.075</v>
      </c>
      <c r="AW143" s="1675" t="n">
        <f aca="false">IF(AV143=AV142,AW142,AV143*AW142)</f>
        <v>2.61065535328591</v>
      </c>
    </row>
    <row r="144" customFormat="false" ht="12.75" hidden="false" customHeight="false" outlineLevel="0" collapsed="false">
      <c r="A144" s="1673" t="n">
        <f aca="false">EDATE(A143,1)</f>
        <v>39203</v>
      </c>
      <c r="B144" s="1659" t="n">
        <f aca="false">'[4]Monthly Curve Calc.'!B147</f>
        <v>317.178953181924</v>
      </c>
      <c r="C144" s="1660" t="n">
        <f aca="false">'[4]Monthly Curve Calc.'!C147</f>
        <v>209.347139818042</v>
      </c>
      <c r="D144" s="1661" t="n">
        <f aca="false">'[4]Monthly Curve Calc.'!F147</f>
        <v>2.42475476529148</v>
      </c>
      <c r="E144" s="1662" t="n">
        <f aca="false">IF($A144&lt;=E$16,D144,(B144/B143)/(C144/C143)*E143)</f>
        <v>1.84632614250026</v>
      </c>
      <c r="F144" s="1674" t="n">
        <f aca="false">IF(Assm!$L$75=0,F143,IF(AND($A144&gt;F$16,MONTH($A144)=MONTH(F$16)),B143/B131,F143))</f>
        <v>1.075</v>
      </c>
      <c r="G144" s="1668" t="n">
        <f aca="false">IF(Assm!$L$75=0,G143,IF(AND($A144&gt;G$16,MONTH($A144)=MONTH(G$16)),C143/C131,G143))</f>
        <v>1.02734467941714</v>
      </c>
      <c r="H144" s="1668" t="n">
        <f aca="false">IF(Assm!$L$75=0,H143,IF(AND($A144&gt;H$16,MONTH($A144)=MONTH(H$16)),C143/C131-H$18,H143))</f>
        <v>1.02484467941714</v>
      </c>
      <c r="I144" s="1668" t="n">
        <f aca="false">IF(Assm!$L$75=0,I143,IF($A144&gt;=I$16,IF(MONTH($A144)=MONTH(I$16),AVERAGE(D132:D143),I143),I143))</f>
        <v>2.36773585001062</v>
      </c>
      <c r="J144" s="1675" t="n">
        <f aca="false">IF(Assm!$L$75=0,J143,IF($A144&gt;=J$16,IF(MONTH($A144)=MONTH(J$16),AVERAGE(E132:E143),J143),J143))</f>
        <v>1.77451872763879</v>
      </c>
      <c r="K144" s="1624" t="n">
        <f aca="false">K143+1</f>
        <v>132</v>
      </c>
      <c r="L144" s="1667" t="n">
        <f aca="false">HLOOKUP(L$14,Dec_Change,$K144)</f>
        <v>1.02734467941714</v>
      </c>
      <c r="M144" s="1668" t="n">
        <f aca="false">M143</f>
        <v>0</v>
      </c>
      <c r="N144" s="1675" t="n">
        <f aca="false">IF(AND($A144&gt;=N$16,MONTH($A144)=MONTH(N$16)),MAX(L144,M144)*N143,N143)</f>
        <v>1.30389657610682</v>
      </c>
      <c r="P144" s="1667" t="n">
        <f aca="false">HLOOKUP(P$14,Dec_Change,$K144)</f>
        <v>1.075</v>
      </c>
      <c r="Q144" s="1668" t="n">
        <f aca="false">Q143</f>
        <v>0</v>
      </c>
      <c r="R144" s="1675" t="n">
        <f aca="false">IF(AND($A144&gt;=R$16,MONTH($A144)=MONTH(R$16)),MAX(P144,Q144)*R143,R143)</f>
        <v>2.25505985039734</v>
      </c>
      <c r="T144" s="1667" t="n">
        <f aca="false">HLOOKUP(T$14,Dec_Change,$K144)</f>
        <v>1.02734467941714</v>
      </c>
      <c r="U144" s="1668" t="n">
        <f aca="false">U143</f>
        <v>1.005</v>
      </c>
      <c r="V144" s="1675" t="n">
        <f aca="false">IF(AND($A144&gt;=V$16,MONTH($A144)=MONTH(V$16)),MAX(T144,U144)*V143,V143)</f>
        <v>1.30389657610682</v>
      </c>
      <c r="X144" s="1667" t="n">
        <f aca="false">HLOOKUP(X$14,Dec_Change,$K144)</f>
        <v>1.02484467941714</v>
      </c>
      <c r="Y144" s="1668" t="n">
        <f aca="false">Y143</f>
        <v>1.02</v>
      </c>
      <c r="Z144" s="1675" t="n">
        <f aca="false">IF(AND($A144&gt;=Z$16,MONTH($A144)=MONTH(Z$16)),MAX(X144,Y144)*Z143,Z143)</f>
        <v>1.28273836234001</v>
      </c>
      <c r="AB144" s="1667" t="n">
        <f aca="false">HLOOKUP(AB$14,Dec_Change,$K144)</f>
        <v>1.02484467941714</v>
      </c>
      <c r="AC144" s="1668" t="n">
        <f aca="false">AC143</f>
        <v>1.02</v>
      </c>
      <c r="AD144" s="1675" t="n">
        <f aca="false">IF(AND($A144&gt;=AD$16,MONTH($A144)=MONTH(AD$16)),MAX(AB144,AC144)*AD143,AD143)</f>
        <v>1.28273836234001</v>
      </c>
      <c r="AF144" s="1667" t="n">
        <f aca="false">HLOOKUP(AF$14,Dec_Change,$K144)</f>
        <v>1.075</v>
      </c>
      <c r="AG144" s="1668" t="n">
        <f aca="false">AG143</f>
        <v>0</v>
      </c>
      <c r="AH144" s="1675" t="n">
        <f aca="false">IF(AND($A144&gt;=AH$16,MONTH($A144)=MONTH(AH$16)),MAX(AF144,AG144)*AH143,AH143)</f>
        <v>2.25505985039734</v>
      </c>
      <c r="AJ144" s="1667" t="n">
        <f aca="false">HLOOKUP(AJ$14,Dec_Change,$K144)</f>
        <v>1.02484467941714</v>
      </c>
      <c r="AK144" s="1668" t="n">
        <f aca="false">AK143</f>
        <v>1.02</v>
      </c>
      <c r="AL144" s="1675" t="n">
        <f aca="false">IF(AND($A144&gt;=AL$16,MONTH($A144)=MONTH(AL$16)),MAX(AJ144,AK144)*AL143,AL143)</f>
        <v>1.28273836234001</v>
      </c>
      <c r="AN144" s="1667" t="n">
        <f aca="false">HLOOKUP(AN$14,Dec_Change,$K144)</f>
        <v>1.02734467941714</v>
      </c>
      <c r="AO144" s="1668" t="n">
        <f aca="false">AO143</f>
        <v>1.005</v>
      </c>
      <c r="AP144" s="1675" t="n">
        <f aca="false">IF(AND($A144&gt;=AP$16,MONTH($A144)=MONTH(AP$16)),MAX(AN144,AO144)*AP143,AP143)</f>
        <v>1.30389657610682</v>
      </c>
      <c r="AR144" s="1670" t="n">
        <f aca="false">$A144</f>
        <v>39203</v>
      </c>
      <c r="AS144" s="1671" t="n">
        <f aca="false">IF(AND($A144&gt;=EDATE(AS$17,12),IF(Assm!$L$74=0,$D144,$E144)/AS143&gt;=1.05),IF(Assm!$L$74=0,$D144,$E144),AS143)</f>
        <v>2.38680829173927</v>
      </c>
      <c r="AT144" s="1671" t="n">
        <f aca="false">IF(AS144/AS143=1,AT143,AS144/AS143)</f>
        <v>1.05239090651144</v>
      </c>
      <c r="AU144" s="1671" t="n">
        <f aca="false">F144</f>
        <v>1.075</v>
      </c>
      <c r="AV144" s="1671" t="n">
        <f aca="false">MAX(AT144,AU144)</f>
        <v>1.075</v>
      </c>
      <c r="AW144" s="1675" t="n">
        <f aca="false">IF(AV144=AV143,AW143,AV144*AW143)</f>
        <v>2.61065535328591</v>
      </c>
    </row>
    <row r="145" customFormat="false" ht="12.75" hidden="false" customHeight="false" outlineLevel="0" collapsed="false">
      <c r="A145" s="1673" t="n">
        <f aca="false">EDATE(A144,1)</f>
        <v>39234</v>
      </c>
      <c r="B145" s="1659" t="n">
        <f aca="false">'[4]Monthly Curve Calc.'!B148</f>
        <v>319.096274270119</v>
      </c>
      <c r="C145" s="1660" t="n">
        <f aca="false">'[4]Monthly Curve Calc.'!C148</f>
        <v>209.811073994869</v>
      </c>
      <c r="D145" s="1661" t="n">
        <f aca="false">'[4]Monthly Curve Calc.'!F148</f>
        <v>2.4301781275238</v>
      </c>
      <c r="E145" s="1662" t="n">
        <f aca="false">IF($A145&lt;=E$16,D145,(B145/B144)/(C145/C144)*E144)</f>
        <v>1.853379759813</v>
      </c>
      <c r="F145" s="1674" t="n">
        <f aca="false">IF(Assm!$L$75=0,F144,IF(AND($A145&gt;F$16,MONTH($A145)=MONTH(F$16)),B144/B132,F144))</f>
        <v>1.075</v>
      </c>
      <c r="G145" s="1668" t="n">
        <f aca="false">IF(Assm!$L$75=0,G144,IF(AND($A145&gt;G$16,MONTH($A145)=MONTH(G$16)),C144/C132,G144))</f>
        <v>1.02734467941714</v>
      </c>
      <c r="H145" s="1668" t="n">
        <f aca="false">IF(Assm!$L$75=0,H144,IF(AND($A145&gt;H$16,MONTH($A145)=MONTH(H$16)),C144/C132-H$18,H144))</f>
        <v>1.02484467941714</v>
      </c>
      <c r="I145" s="1668" t="n">
        <f aca="false">IF(Assm!$L$75=0,I144,IF($A145&gt;=I$16,IF(MONTH($A145)=MONTH(I$16),AVERAGE(D133:D144),I144),I144))</f>
        <v>2.36773585001062</v>
      </c>
      <c r="J145" s="1675" t="n">
        <f aca="false">IF(Assm!$L$75=0,J144,IF($A145&gt;=J$16,IF(MONTH($A145)=MONTH(J$16),AVERAGE(E133:E144),J144),J144))</f>
        <v>1.77451872763879</v>
      </c>
      <c r="K145" s="1624" t="n">
        <f aca="false">K144+1</f>
        <v>133</v>
      </c>
      <c r="L145" s="1667" t="n">
        <f aca="false">HLOOKUP(L$14,Dec_Change,$K145)</f>
        <v>1.02734467941714</v>
      </c>
      <c r="M145" s="1668" t="n">
        <f aca="false">M144</f>
        <v>0</v>
      </c>
      <c r="N145" s="1675" t="n">
        <f aca="false">IF(AND($A145&gt;=N$16,MONTH($A145)=MONTH(N$16)),MAX(L145,M145)*N144,N144)</f>
        <v>1.30389657610682</v>
      </c>
      <c r="P145" s="1667" t="n">
        <f aca="false">HLOOKUP(P$14,Dec_Change,$K145)</f>
        <v>1.075</v>
      </c>
      <c r="Q145" s="1668" t="n">
        <f aca="false">Q144</f>
        <v>0</v>
      </c>
      <c r="R145" s="1675" t="n">
        <f aca="false">IF(AND($A145&gt;=R$16,MONTH($A145)=MONTH(R$16)),MAX(P145,Q145)*R144,R144)</f>
        <v>2.25505985039734</v>
      </c>
      <c r="T145" s="1667" t="n">
        <f aca="false">HLOOKUP(T$14,Dec_Change,$K145)</f>
        <v>1.02734467941714</v>
      </c>
      <c r="U145" s="1668" t="n">
        <f aca="false">U144</f>
        <v>1.005</v>
      </c>
      <c r="V145" s="1675" t="n">
        <f aca="false">IF(AND($A145&gt;=V$16,MONTH($A145)=MONTH(V$16)),MAX(T145,U145)*V144,V144)</f>
        <v>1.30389657610682</v>
      </c>
      <c r="X145" s="1667" t="n">
        <f aca="false">HLOOKUP(X$14,Dec_Change,$K145)</f>
        <v>1.02484467941714</v>
      </c>
      <c r="Y145" s="1668" t="n">
        <f aca="false">Y144</f>
        <v>1.02</v>
      </c>
      <c r="Z145" s="1675" t="n">
        <f aca="false">IF(AND($A145&gt;=Z$16,MONTH($A145)=MONTH(Z$16)),MAX(X145,Y145)*Z144,Z144)</f>
        <v>1.28273836234001</v>
      </c>
      <c r="AB145" s="1667" t="n">
        <f aca="false">HLOOKUP(AB$14,Dec_Change,$K145)</f>
        <v>1.02484467941714</v>
      </c>
      <c r="AC145" s="1668" t="n">
        <f aca="false">AC144</f>
        <v>1.02</v>
      </c>
      <c r="AD145" s="1675" t="n">
        <f aca="false">IF(AND($A145&gt;=AD$16,MONTH($A145)=MONTH(AD$16)),MAX(AB145,AC145)*AD144,AD144)</f>
        <v>1.28273836234001</v>
      </c>
      <c r="AF145" s="1667" t="n">
        <f aca="false">HLOOKUP(AF$14,Dec_Change,$K145)</f>
        <v>1.075</v>
      </c>
      <c r="AG145" s="1668" t="n">
        <f aca="false">AG144</f>
        <v>0</v>
      </c>
      <c r="AH145" s="1675" t="n">
        <f aca="false">IF(AND($A145&gt;=AH$16,MONTH($A145)=MONTH(AH$16)),MAX(AF145,AG145)*AH144,AH144)</f>
        <v>2.25505985039734</v>
      </c>
      <c r="AJ145" s="1667" t="n">
        <f aca="false">HLOOKUP(AJ$14,Dec_Change,$K145)</f>
        <v>1.02484467941714</v>
      </c>
      <c r="AK145" s="1668" t="n">
        <f aca="false">AK144</f>
        <v>1.02</v>
      </c>
      <c r="AL145" s="1675" t="n">
        <f aca="false">IF(AND($A145&gt;=AL$16,MONTH($A145)=MONTH(AL$16)),MAX(AJ145,AK145)*AL144,AL144)</f>
        <v>1.28273836234001</v>
      </c>
      <c r="AN145" s="1667" t="n">
        <f aca="false">HLOOKUP(AN$14,Dec_Change,$K145)</f>
        <v>1.02734467941714</v>
      </c>
      <c r="AO145" s="1668" t="n">
        <f aca="false">AO144</f>
        <v>1.005</v>
      </c>
      <c r="AP145" s="1675" t="n">
        <f aca="false">IF(AND($A145&gt;=AP$16,MONTH($A145)=MONTH(AP$16)),MAX(AN145,AO145)*AP144,AP144)</f>
        <v>1.30389657610682</v>
      </c>
      <c r="AR145" s="1670" t="n">
        <f aca="false">$A145</f>
        <v>39234</v>
      </c>
      <c r="AS145" s="1671" t="n">
        <f aca="false">IF(AND($A145&gt;=EDATE(AS$17,12),IF(Assm!$L$74=0,$D145,$E145)/AS144&gt;=1.05),IF(Assm!$L$74=0,$D145,$E145),AS144)</f>
        <v>2.38680829173927</v>
      </c>
      <c r="AT145" s="1671" t="n">
        <f aca="false">IF(AS145/AS144=1,AT144,AS145/AS144)</f>
        <v>1.05239090651144</v>
      </c>
      <c r="AU145" s="1671" t="n">
        <f aca="false">F145</f>
        <v>1.075</v>
      </c>
      <c r="AV145" s="1671" t="n">
        <f aca="false">MAX(AT145,AU145)</f>
        <v>1.075</v>
      </c>
      <c r="AW145" s="1675" t="n">
        <f aca="false">IF(AV145=AV144,AW144,AV145*AW144)</f>
        <v>2.61065535328591</v>
      </c>
    </row>
    <row r="146" customFormat="false" ht="12.75" hidden="false" customHeight="false" outlineLevel="0" collapsed="false">
      <c r="A146" s="1673" t="n">
        <f aca="false">EDATE(A145,1)</f>
        <v>39264</v>
      </c>
      <c r="B146" s="1659" t="n">
        <f aca="false">'[4]Monthly Curve Calc.'!B149</f>
        <v>321.025185409035</v>
      </c>
      <c r="C146" s="1660" t="n">
        <f aca="false">'[4]Monthly Curve Calc.'!C149</f>
        <v>210.276036296182</v>
      </c>
      <c r="D146" s="1661" t="n">
        <f aca="false">'[4]Monthly Curve Calc.'!F149</f>
        <v>2.43561361999639</v>
      </c>
      <c r="E146" s="1662" t="n">
        <f aca="false">IF($A146&lt;=E$16,D146,(B146/B145)/(C146/C145)*E145)</f>
        <v>1.86046032443264</v>
      </c>
      <c r="F146" s="1674" t="n">
        <f aca="false">IF(Assm!$L$75=0,F145,IF(AND($A146&gt;F$16,MONTH($A146)=MONTH(F$16)),B145/B133,F145))</f>
        <v>1.075</v>
      </c>
      <c r="G146" s="1668" t="n">
        <f aca="false">IF(Assm!$L$75=0,G145,IF(AND($A146&gt;G$16,MONTH($A146)=MONTH(G$16)),C145/C133,G145))</f>
        <v>1.02734467941714</v>
      </c>
      <c r="H146" s="1668" t="n">
        <f aca="false">IF(Assm!$L$75=0,H145,IF(AND($A146&gt;H$16,MONTH($A146)=MONTH(H$16)),C145/C133-H$18,H145))</f>
        <v>1.02484467941714</v>
      </c>
      <c r="I146" s="1668" t="n">
        <f aca="false">IF(Assm!$L$75=0,I145,IF($A146&gt;=I$16,IF(MONTH($A146)=MONTH(I$16),AVERAGE(D134:D145),I145),I145))</f>
        <v>2.36773585001062</v>
      </c>
      <c r="J146" s="1675" t="n">
        <f aca="false">IF(Assm!$L$75=0,J145,IF($A146&gt;=J$16,IF(MONTH($A146)=MONTH(J$16),AVERAGE(E134:E145),J145),J145))</f>
        <v>1.77451872763879</v>
      </c>
      <c r="K146" s="1624" t="n">
        <f aca="false">K145+1</f>
        <v>134</v>
      </c>
      <c r="L146" s="1667" t="n">
        <f aca="false">HLOOKUP(L$14,Dec_Change,$K146)</f>
        <v>1.02734467941714</v>
      </c>
      <c r="M146" s="1668" t="n">
        <f aca="false">M145</f>
        <v>0</v>
      </c>
      <c r="N146" s="1675" t="n">
        <f aca="false">IF(AND($A146&gt;=N$16,MONTH($A146)=MONTH(N$16)),MAX(L146,M146)*N145,N145)</f>
        <v>1.30389657610682</v>
      </c>
      <c r="P146" s="1667" t="n">
        <f aca="false">HLOOKUP(P$14,Dec_Change,$K146)</f>
        <v>1.075</v>
      </c>
      <c r="Q146" s="1668" t="n">
        <f aca="false">Q145</f>
        <v>0</v>
      </c>
      <c r="R146" s="1675" t="n">
        <f aca="false">IF(AND($A146&gt;=R$16,MONTH($A146)=MONTH(R$16)),MAX(P146,Q146)*R145,R145)</f>
        <v>2.25505985039734</v>
      </c>
      <c r="T146" s="1667" t="n">
        <f aca="false">HLOOKUP(T$14,Dec_Change,$K146)</f>
        <v>1.02734467941714</v>
      </c>
      <c r="U146" s="1668" t="n">
        <f aca="false">U145</f>
        <v>1.005</v>
      </c>
      <c r="V146" s="1675" t="n">
        <f aca="false">IF(AND($A146&gt;=V$16,MONTH($A146)=MONTH(V$16)),MAX(T146,U146)*V145,V145)</f>
        <v>1.30389657610682</v>
      </c>
      <c r="X146" s="1667" t="n">
        <f aca="false">HLOOKUP(X$14,Dec_Change,$K146)</f>
        <v>1.02484467941714</v>
      </c>
      <c r="Y146" s="1668" t="n">
        <f aca="false">Y145</f>
        <v>1.02</v>
      </c>
      <c r="Z146" s="1675" t="n">
        <f aca="false">IF(AND($A146&gt;=Z$16,MONTH($A146)=MONTH(Z$16)),MAX(X146,Y146)*Z145,Z145)</f>
        <v>1.28273836234001</v>
      </c>
      <c r="AB146" s="1667" t="n">
        <f aca="false">HLOOKUP(AB$14,Dec_Change,$K146)</f>
        <v>1.02484467941714</v>
      </c>
      <c r="AC146" s="1668" t="n">
        <f aca="false">AC145</f>
        <v>1.02</v>
      </c>
      <c r="AD146" s="1675" t="n">
        <f aca="false">IF(AND($A146&gt;=AD$16,MONTH($A146)=MONTH(AD$16)),MAX(AB146,AC146)*AD145,AD145)</f>
        <v>1.28273836234001</v>
      </c>
      <c r="AF146" s="1667" t="n">
        <f aca="false">HLOOKUP(AF$14,Dec_Change,$K146)</f>
        <v>1.075</v>
      </c>
      <c r="AG146" s="1668" t="n">
        <f aca="false">AG145</f>
        <v>0</v>
      </c>
      <c r="AH146" s="1675" t="n">
        <f aca="false">IF(AND($A146&gt;=AH$16,MONTH($A146)=MONTH(AH$16)),MAX(AF146,AG146)*AH145,AH145)</f>
        <v>2.25505985039734</v>
      </c>
      <c r="AJ146" s="1667" t="n">
        <f aca="false">HLOOKUP(AJ$14,Dec_Change,$K146)</f>
        <v>1.02484467941714</v>
      </c>
      <c r="AK146" s="1668" t="n">
        <f aca="false">AK145</f>
        <v>1.02</v>
      </c>
      <c r="AL146" s="1675" t="n">
        <f aca="false">IF(AND($A146&gt;=AL$16,MONTH($A146)=MONTH(AL$16)),MAX(AJ146,AK146)*AL145,AL145)</f>
        <v>1.28273836234001</v>
      </c>
      <c r="AN146" s="1667" t="n">
        <f aca="false">HLOOKUP(AN$14,Dec_Change,$K146)</f>
        <v>1.02734467941714</v>
      </c>
      <c r="AO146" s="1668" t="n">
        <f aca="false">AO145</f>
        <v>1.005</v>
      </c>
      <c r="AP146" s="1675" t="n">
        <f aca="false">IF(AND($A146&gt;=AP$16,MONTH($A146)=MONTH(AP$16)),MAX(AN146,AO146)*AP145,AP145)</f>
        <v>1.30389657610682</v>
      </c>
      <c r="AR146" s="1670" t="n">
        <f aca="false">$A146</f>
        <v>39264</v>
      </c>
      <c r="AS146" s="1671" t="n">
        <f aca="false">IF(AND($A146&gt;=EDATE(AS$17,12),IF(Assm!$L$74=0,$D146,$E146)/AS145&gt;=1.05),IF(Assm!$L$74=0,$D146,$E146),AS145)</f>
        <v>2.38680829173927</v>
      </c>
      <c r="AT146" s="1671" t="n">
        <f aca="false">IF(AS146/AS145=1,AT145,AS146/AS145)</f>
        <v>1.05239090651144</v>
      </c>
      <c r="AU146" s="1671" t="n">
        <f aca="false">F146</f>
        <v>1.075</v>
      </c>
      <c r="AV146" s="1671" t="n">
        <f aca="false">MAX(AT146,AU146)</f>
        <v>1.075</v>
      </c>
      <c r="AW146" s="1675" t="n">
        <f aca="false">IF(AV146=AV145,AW145,AV146*AW145)</f>
        <v>2.61065535328591</v>
      </c>
    </row>
    <row r="147" customFormat="false" ht="12.75" hidden="false" customHeight="false" outlineLevel="0" collapsed="false">
      <c r="A147" s="1673" t="n">
        <f aca="false">EDATE(A146,1)</f>
        <v>39295</v>
      </c>
      <c r="B147" s="1659" t="n">
        <f aca="false">'[4]Monthly Curve Calc.'!B150</f>
        <v>322.965756659591</v>
      </c>
      <c r="C147" s="1660" t="n">
        <f aca="false">'[4]Monthly Curve Calc.'!C150</f>
        <v>210.742029000406</v>
      </c>
      <c r="D147" s="1661" t="n">
        <f aca="false">'[4]Monthly Curve Calc.'!F150</f>
        <v>2.44106126984052</v>
      </c>
      <c r="E147" s="1662" t="n">
        <f aca="false">IF($A147&lt;=E$16,D147,(B147/B146)/(C147/C146)*E146)</f>
        <v>1.8675679393074</v>
      </c>
      <c r="F147" s="1674" t="n">
        <f aca="false">IF(Assm!$L$75=0,F146,IF(AND($A147&gt;F$16,MONTH($A147)=MONTH(F$16)),B146/B134,F146))</f>
        <v>1.075</v>
      </c>
      <c r="G147" s="1668" t="n">
        <f aca="false">IF(Assm!$L$75=0,G146,IF(AND($A147&gt;G$16,MONTH($A147)=MONTH(G$16)),C146/C134,G146))</f>
        <v>1.02734467941714</v>
      </c>
      <c r="H147" s="1668" t="n">
        <f aca="false">IF(Assm!$L$75=0,H146,IF(AND($A147&gt;H$16,MONTH($A147)=MONTH(H$16)),C146/C134-H$18,H146))</f>
        <v>1.02484467941714</v>
      </c>
      <c r="I147" s="1668" t="n">
        <f aca="false">IF(Assm!$L$75=0,I146,IF($A147&gt;=I$16,IF(MONTH($A147)=MONTH(I$16),AVERAGE(D135:D146),I146),I146))</f>
        <v>2.36773585001062</v>
      </c>
      <c r="J147" s="1675" t="n">
        <f aca="false">IF(Assm!$L$75=0,J146,IF($A147&gt;=J$16,IF(MONTH($A147)=MONTH(J$16),AVERAGE(E135:E146),J146),J146))</f>
        <v>1.77451872763879</v>
      </c>
      <c r="K147" s="1624" t="n">
        <f aca="false">K146+1</f>
        <v>135</v>
      </c>
      <c r="L147" s="1667" t="n">
        <f aca="false">HLOOKUP(L$14,Dec_Change,$K147)</f>
        <v>1.02734467941714</v>
      </c>
      <c r="M147" s="1668" t="n">
        <f aca="false">M146</f>
        <v>0</v>
      </c>
      <c r="N147" s="1675" t="n">
        <f aca="false">IF(AND($A147&gt;=N$16,MONTH($A147)=MONTH(N$16)),MAX(L147,M147)*N146,N146)</f>
        <v>1.30389657610682</v>
      </c>
      <c r="P147" s="1667" t="n">
        <f aca="false">HLOOKUP(P$14,Dec_Change,$K147)</f>
        <v>1.075</v>
      </c>
      <c r="Q147" s="1668" t="n">
        <f aca="false">Q146</f>
        <v>0</v>
      </c>
      <c r="R147" s="1675" t="n">
        <f aca="false">IF(AND($A147&gt;=R$16,MONTH($A147)=MONTH(R$16)),MAX(P147,Q147)*R146,R146)</f>
        <v>2.25505985039734</v>
      </c>
      <c r="T147" s="1667" t="n">
        <f aca="false">HLOOKUP(T$14,Dec_Change,$K147)</f>
        <v>1.02734467941714</v>
      </c>
      <c r="U147" s="1668" t="n">
        <f aca="false">U146</f>
        <v>1.005</v>
      </c>
      <c r="V147" s="1675" t="n">
        <f aca="false">IF(AND($A147&gt;=V$16,MONTH($A147)=MONTH(V$16)),MAX(T147,U147)*V146,V146)</f>
        <v>1.30389657610682</v>
      </c>
      <c r="X147" s="1667" t="n">
        <f aca="false">HLOOKUP(X$14,Dec_Change,$K147)</f>
        <v>1.02484467941714</v>
      </c>
      <c r="Y147" s="1668" t="n">
        <f aca="false">Y146</f>
        <v>1.02</v>
      </c>
      <c r="Z147" s="1675" t="n">
        <f aca="false">IF(AND($A147&gt;=Z$16,MONTH($A147)=MONTH(Z$16)),MAX(X147,Y147)*Z146,Z146)</f>
        <v>1.28273836234001</v>
      </c>
      <c r="AB147" s="1667" t="n">
        <f aca="false">HLOOKUP(AB$14,Dec_Change,$K147)</f>
        <v>1.02484467941714</v>
      </c>
      <c r="AC147" s="1668" t="n">
        <f aca="false">AC146</f>
        <v>1.02</v>
      </c>
      <c r="AD147" s="1675" t="n">
        <f aca="false">IF(AND($A147&gt;=AD$16,MONTH($A147)=MONTH(AD$16)),MAX(AB147,AC147)*AD146,AD146)</f>
        <v>1.28273836234001</v>
      </c>
      <c r="AF147" s="1667" t="n">
        <f aca="false">HLOOKUP(AF$14,Dec_Change,$K147)</f>
        <v>1.075</v>
      </c>
      <c r="AG147" s="1668" t="n">
        <f aca="false">AG146</f>
        <v>0</v>
      </c>
      <c r="AH147" s="1675" t="n">
        <f aca="false">IF(AND($A147&gt;=AH$16,MONTH($A147)=MONTH(AH$16)),MAX(AF147,AG147)*AH146,AH146)</f>
        <v>2.25505985039734</v>
      </c>
      <c r="AJ147" s="1667" t="n">
        <f aca="false">HLOOKUP(AJ$14,Dec_Change,$K147)</f>
        <v>1.02484467941714</v>
      </c>
      <c r="AK147" s="1668" t="n">
        <f aca="false">AK146</f>
        <v>1.02</v>
      </c>
      <c r="AL147" s="1675" t="n">
        <f aca="false">IF(AND($A147&gt;=AL$16,MONTH($A147)=MONTH(AL$16)),MAX(AJ147,AK147)*AL146,AL146)</f>
        <v>1.28273836234001</v>
      </c>
      <c r="AN147" s="1667" t="n">
        <f aca="false">HLOOKUP(AN$14,Dec_Change,$K147)</f>
        <v>1.02734467941714</v>
      </c>
      <c r="AO147" s="1668" t="n">
        <f aca="false">AO146</f>
        <v>1.005</v>
      </c>
      <c r="AP147" s="1675" t="n">
        <f aca="false">IF(AND($A147&gt;=AP$16,MONTH($A147)=MONTH(AP$16)),MAX(AN147,AO147)*AP146,AP146)</f>
        <v>1.30389657610682</v>
      </c>
      <c r="AR147" s="1670" t="n">
        <f aca="false">$A147</f>
        <v>39295</v>
      </c>
      <c r="AS147" s="1671" t="n">
        <f aca="false">IF(AND($A147&gt;=EDATE(AS$17,12),IF(Assm!$L$74=0,$D147,$E147)/AS146&gt;=1.05),IF(Assm!$L$74=0,$D147,$E147),AS146)</f>
        <v>2.38680829173927</v>
      </c>
      <c r="AT147" s="1671" t="n">
        <f aca="false">IF(AS147/AS146=1,AT146,AS147/AS146)</f>
        <v>1.05239090651144</v>
      </c>
      <c r="AU147" s="1671" t="n">
        <f aca="false">F147</f>
        <v>1.075</v>
      </c>
      <c r="AV147" s="1671" t="n">
        <f aca="false">MAX(AT147,AU147)</f>
        <v>1.075</v>
      </c>
      <c r="AW147" s="1675" t="n">
        <f aca="false">IF(AV147=AV146,AW146,AV147*AW146)</f>
        <v>2.61065535328591</v>
      </c>
    </row>
    <row r="148" customFormat="false" ht="12.75" hidden="false" customHeight="false" outlineLevel="0" collapsed="false">
      <c r="A148" s="1673" t="n">
        <f aca="false">EDATE(A147,1)</f>
        <v>39326</v>
      </c>
      <c r="B148" s="1659" t="n">
        <f aca="false">'[4]Monthly Curve Calc.'!B151</f>
        <v>324.918058506217</v>
      </c>
      <c r="C148" s="1660" t="n">
        <f aca="false">'[4]Monthly Curve Calc.'!C151</f>
        <v>211.209054391019</v>
      </c>
      <c r="D148" s="1661" t="n">
        <f aca="false">'[4]Monthly Curve Calc.'!F151</f>
        <v>2.44652110424816</v>
      </c>
      <c r="E148" s="1662" t="n">
        <f aca="false">IF($A148&lt;=E$16,D148,(B148/B147)/(C148/C147)*E147)</f>
        <v>1.87470270777879</v>
      </c>
      <c r="F148" s="1674" t="n">
        <f aca="false">IF(Assm!$L$75=0,F147,IF(AND($A148&gt;F$16,MONTH($A148)=MONTH(F$16)),B147/B135,F147))</f>
        <v>1.075</v>
      </c>
      <c r="G148" s="1668" t="n">
        <f aca="false">IF(Assm!$L$75=0,G147,IF(AND($A148&gt;G$16,MONTH($A148)=MONTH(G$16)),C147/C135,G147))</f>
        <v>1.02734467941714</v>
      </c>
      <c r="H148" s="1668" t="n">
        <f aca="false">IF(Assm!$L$75=0,H147,IF(AND($A148&gt;H$16,MONTH($A148)=MONTH(H$16)),C147/C135-H$18,H147))</f>
        <v>1.02484467941714</v>
      </c>
      <c r="I148" s="1668" t="n">
        <f aca="false">IF(Assm!$L$75=0,I147,IF($A148&gt;=I$16,IF(MONTH($A148)=MONTH(I$16),AVERAGE(D136:D147),I147),I147))</f>
        <v>2.36773585001062</v>
      </c>
      <c r="J148" s="1675" t="n">
        <f aca="false">IF(Assm!$L$75=0,J147,IF($A148&gt;=J$16,IF(MONTH($A148)=MONTH(J$16),AVERAGE(E136:E147),J147),J147))</f>
        <v>1.77451872763879</v>
      </c>
      <c r="K148" s="1624" t="n">
        <f aca="false">K147+1</f>
        <v>136</v>
      </c>
      <c r="L148" s="1667" t="n">
        <f aca="false">HLOOKUP(L$14,Dec_Change,$K148)</f>
        <v>1.02734467941714</v>
      </c>
      <c r="M148" s="1668" t="n">
        <f aca="false">M147</f>
        <v>0</v>
      </c>
      <c r="N148" s="1675" t="n">
        <f aca="false">IF(AND($A148&gt;=N$16,MONTH($A148)=MONTH(N$16)),MAX(L148,M148)*N147,N147)</f>
        <v>1.30389657610682</v>
      </c>
      <c r="P148" s="1667" t="n">
        <f aca="false">HLOOKUP(P$14,Dec_Change,$K148)</f>
        <v>1.075</v>
      </c>
      <c r="Q148" s="1668" t="n">
        <f aca="false">Q147</f>
        <v>0</v>
      </c>
      <c r="R148" s="1675" t="n">
        <f aca="false">IF(AND($A148&gt;=R$16,MONTH($A148)=MONTH(R$16)),MAX(P148,Q148)*R147,R147)</f>
        <v>2.25505985039734</v>
      </c>
      <c r="T148" s="1667" t="n">
        <f aca="false">HLOOKUP(T$14,Dec_Change,$K148)</f>
        <v>1.02734467941714</v>
      </c>
      <c r="U148" s="1668" t="n">
        <f aca="false">U147</f>
        <v>1.005</v>
      </c>
      <c r="V148" s="1675" t="n">
        <f aca="false">IF(AND($A148&gt;=V$16,MONTH($A148)=MONTH(V$16)),MAX(T148,U148)*V147,V147)</f>
        <v>1.30389657610682</v>
      </c>
      <c r="X148" s="1667" t="n">
        <f aca="false">HLOOKUP(X$14,Dec_Change,$K148)</f>
        <v>1.02484467941714</v>
      </c>
      <c r="Y148" s="1668" t="n">
        <f aca="false">Y147</f>
        <v>1.02</v>
      </c>
      <c r="Z148" s="1675" t="n">
        <f aca="false">IF(AND($A148&gt;=Z$16,MONTH($A148)=MONTH(Z$16)),MAX(X148,Y148)*Z147,Z147)</f>
        <v>1.28273836234001</v>
      </c>
      <c r="AB148" s="1667" t="n">
        <f aca="false">HLOOKUP(AB$14,Dec_Change,$K148)</f>
        <v>1.02484467941714</v>
      </c>
      <c r="AC148" s="1668" t="n">
        <f aca="false">AC147</f>
        <v>1.02</v>
      </c>
      <c r="AD148" s="1675" t="n">
        <f aca="false">IF(AND($A148&gt;=AD$16,MONTH($A148)=MONTH(AD$16)),MAX(AB148,AC148)*AD147,AD147)</f>
        <v>1.28273836234001</v>
      </c>
      <c r="AF148" s="1667" t="n">
        <f aca="false">HLOOKUP(AF$14,Dec_Change,$K148)</f>
        <v>1.075</v>
      </c>
      <c r="AG148" s="1668" t="n">
        <f aca="false">AG147</f>
        <v>0</v>
      </c>
      <c r="AH148" s="1675" t="n">
        <f aca="false">IF(AND($A148&gt;=AH$16,MONTH($A148)=MONTH(AH$16)),MAX(AF148,AG148)*AH147,AH147)</f>
        <v>2.25505985039734</v>
      </c>
      <c r="AJ148" s="1667" t="n">
        <f aca="false">HLOOKUP(AJ$14,Dec_Change,$K148)</f>
        <v>1.02484467941714</v>
      </c>
      <c r="AK148" s="1668" t="n">
        <f aca="false">AK147</f>
        <v>1.02</v>
      </c>
      <c r="AL148" s="1675" t="n">
        <f aca="false">IF(AND($A148&gt;=AL$16,MONTH($A148)=MONTH(AL$16)),MAX(AJ148,AK148)*AL147,AL147)</f>
        <v>1.28273836234001</v>
      </c>
      <c r="AN148" s="1667" t="n">
        <f aca="false">HLOOKUP(AN$14,Dec_Change,$K148)</f>
        <v>1.02734467941714</v>
      </c>
      <c r="AO148" s="1668" t="n">
        <f aca="false">AO147</f>
        <v>1.005</v>
      </c>
      <c r="AP148" s="1675" t="n">
        <f aca="false">IF(AND($A148&gt;=AP$16,MONTH($A148)=MONTH(AP$16)),MAX(AN148,AO148)*AP147,AP147)</f>
        <v>1.30389657610682</v>
      </c>
      <c r="AR148" s="1670" t="n">
        <f aca="false">$A148</f>
        <v>39326</v>
      </c>
      <c r="AS148" s="1671" t="n">
        <f aca="false">IF(AND($A148&gt;=EDATE(AS$17,12),IF(Assm!$L$74=0,$D148,$E148)/AS147&gt;=1.05),IF(Assm!$L$74=0,$D148,$E148),AS147)</f>
        <v>2.38680829173927</v>
      </c>
      <c r="AT148" s="1671" t="n">
        <f aca="false">IF(AS148/AS147=1,AT147,AS148/AS147)</f>
        <v>1.05239090651144</v>
      </c>
      <c r="AU148" s="1671" t="n">
        <f aca="false">F148</f>
        <v>1.075</v>
      </c>
      <c r="AV148" s="1671" t="n">
        <f aca="false">MAX(AT148,AU148)</f>
        <v>1.075</v>
      </c>
      <c r="AW148" s="1675" t="n">
        <f aca="false">IF(AV148=AV147,AW147,AV148*AW147)</f>
        <v>2.61065535328591</v>
      </c>
    </row>
    <row r="149" customFormat="false" ht="12.75" hidden="false" customHeight="false" outlineLevel="0" collapsed="false">
      <c r="A149" s="1673" t="n">
        <f aca="false">EDATE(A148,1)</f>
        <v>39356</v>
      </c>
      <c r="B149" s="1659" t="n">
        <f aca="false">'[4]Monthly Curve Calc.'!B152</f>
        <v>326.882161859417</v>
      </c>
      <c r="C149" s="1660" t="n">
        <f aca="false">'[4]Monthly Curve Calc.'!C152</f>
        <v>211.677114756556</v>
      </c>
      <c r="D149" s="1661" t="n">
        <f aca="false">'[4]Monthly Curve Calc.'!F152</f>
        <v>2.45199315047208</v>
      </c>
      <c r="E149" s="1662" t="n">
        <f aca="false">IF($A149&lt;=E$16,D149,(B149/B148)/(C149/C148)*E148)</f>
        <v>1.88186473358314</v>
      </c>
      <c r="F149" s="1674" t="n">
        <f aca="false">IF(Assm!$L$75=0,F148,IF(AND($A149&gt;F$16,MONTH($A149)=MONTH(F$16)),B148/B136,F148))</f>
        <v>1.075</v>
      </c>
      <c r="G149" s="1668" t="n">
        <f aca="false">IF(Assm!$L$75=0,G148,IF(AND($A149&gt;G$16,MONTH($A149)=MONTH(G$16)),C148/C136,G148))</f>
        <v>1.02734467941714</v>
      </c>
      <c r="H149" s="1668" t="n">
        <f aca="false">IF(Assm!$L$75=0,H148,IF(AND($A149&gt;H$16,MONTH($A149)=MONTH(H$16)),C148/C136-H$18,H148))</f>
        <v>1.02484467941714</v>
      </c>
      <c r="I149" s="1668" t="n">
        <f aca="false">IF(Assm!$L$75=0,I148,IF($A149&gt;=I$16,IF(MONTH($A149)=MONTH(I$16),AVERAGE(D137:D148),I148),I148))</f>
        <v>2.36773585001062</v>
      </c>
      <c r="J149" s="1675" t="n">
        <f aca="false">IF(Assm!$L$75=0,J148,IF($A149&gt;=J$16,IF(MONTH($A149)=MONTH(J$16),AVERAGE(E137:E148),J148),J148))</f>
        <v>1.77451872763879</v>
      </c>
      <c r="K149" s="1624" t="n">
        <f aca="false">K148+1</f>
        <v>137</v>
      </c>
      <c r="L149" s="1667" t="n">
        <f aca="false">HLOOKUP(L$14,Dec_Change,$K149)</f>
        <v>1.02734467941714</v>
      </c>
      <c r="M149" s="1668" t="n">
        <f aca="false">M148</f>
        <v>0</v>
      </c>
      <c r="N149" s="1675" t="n">
        <f aca="false">IF(AND($A149&gt;=N$16,MONTH($A149)=MONTH(N$16)),MAX(L149,M149)*N148,N148)</f>
        <v>1.30389657610682</v>
      </c>
      <c r="P149" s="1667" t="n">
        <f aca="false">HLOOKUP(P$14,Dec_Change,$K149)</f>
        <v>1.075</v>
      </c>
      <c r="Q149" s="1668" t="n">
        <f aca="false">Q148</f>
        <v>0</v>
      </c>
      <c r="R149" s="1675" t="n">
        <f aca="false">IF(AND($A149&gt;=R$16,MONTH($A149)=MONTH(R$16)),MAX(P149,Q149)*R148,R148)</f>
        <v>2.25505985039734</v>
      </c>
      <c r="T149" s="1667" t="n">
        <f aca="false">HLOOKUP(T$14,Dec_Change,$K149)</f>
        <v>1.02734467941714</v>
      </c>
      <c r="U149" s="1668" t="n">
        <f aca="false">U148</f>
        <v>1.005</v>
      </c>
      <c r="V149" s="1675" t="n">
        <f aca="false">IF(AND($A149&gt;=V$16,MONTH($A149)=MONTH(V$16)),MAX(T149,U149)*V148,V148)</f>
        <v>1.30389657610682</v>
      </c>
      <c r="X149" s="1667" t="n">
        <f aca="false">HLOOKUP(X$14,Dec_Change,$K149)</f>
        <v>1.02484467941714</v>
      </c>
      <c r="Y149" s="1668" t="n">
        <f aca="false">Y148</f>
        <v>1.02</v>
      </c>
      <c r="Z149" s="1675" t="n">
        <f aca="false">IF(AND($A149&gt;=Z$16,MONTH($A149)=MONTH(Z$16)),MAX(X149,Y149)*Z148,Z148)</f>
        <v>1.28273836234001</v>
      </c>
      <c r="AB149" s="1667" t="n">
        <f aca="false">HLOOKUP(AB$14,Dec_Change,$K149)</f>
        <v>1.02484467941714</v>
      </c>
      <c r="AC149" s="1668" t="n">
        <f aca="false">AC148</f>
        <v>1.02</v>
      </c>
      <c r="AD149" s="1675" t="n">
        <f aca="false">IF(AND($A149&gt;=AD$16,MONTH($A149)=MONTH(AD$16)),MAX(AB149,AC149)*AD148,AD148)</f>
        <v>1.28273836234001</v>
      </c>
      <c r="AF149" s="1667" t="n">
        <f aca="false">HLOOKUP(AF$14,Dec_Change,$K149)</f>
        <v>1.075</v>
      </c>
      <c r="AG149" s="1668" t="n">
        <f aca="false">AG148</f>
        <v>0</v>
      </c>
      <c r="AH149" s="1675" t="n">
        <f aca="false">IF(AND($A149&gt;=AH$16,MONTH($A149)=MONTH(AH$16)),MAX(AF149,AG149)*AH148,AH148)</f>
        <v>2.25505985039734</v>
      </c>
      <c r="AJ149" s="1667" t="n">
        <f aca="false">HLOOKUP(AJ$14,Dec_Change,$K149)</f>
        <v>1.02484467941714</v>
      </c>
      <c r="AK149" s="1668" t="n">
        <f aca="false">AK148</f>
        <v>1.02</v>
      </c>
      <c r="AL149" s="1675" t="n">
        <f aca="false">IF(AND($A149&gt;=AL$16,MONTH($A149)=MONTH(AL$16)),MAX(AJ149,AK149)*AL148,AL148)</f>
        <v>1.28273836234001</v>
      </c>
      <c r="AN149" s="1667" t="n">
        <f aca="false">HLOOKUP(AN$14,Dec_Change,$K149)</f>
        <v>1.02734467941714</v>
      </c>
      <c r="AO149" s="1668" t="n">
        <f aca="false">AO148</f>
        <v>1.005</v>
      </c>
      <c r="AP149" s="1675" t="n">
        <f aca="false">IF(AND($A149&gt;=AP$16,MONTH($A149)=MONTH(AP$16)),MAX(AN149,AO149)*AP148,AP148)</f>
        <v>1.30389657610682</v>
      </c>
      <c r="AR149" s="1670" t="n">
        <f aca="false">$A149</f>
        <v>39356</v>
      </c>
      <c r="AS149" s="1671" t="n">
        <f aca="false">IF(AND($A149&gt;=EDATE(AS$17,12),IF(Assm!$L$74=0,$D149,$E149)/AS148&gt;=1.05),IF(Assm!$L$74=0,$D149,$E149),AS148)</f>
        <v>2.38680829173927</v>
      </c>
      <c r="AT149" s="1671" t="n">
        <f aca="false">IF(AS149/AS148=1,AT148,AS149/AS148)</f>
        <v>1.05239090651144</v>
      </c>
      <c r="AU149" s="1671" t="n">
        <f aca="false">F149</f>
        <v>1.075</v>
      </c>
      <c r="AV149" s="1671" t="n">
        <f aca="false">MAX(AT149,AU149)</f>
        <v>1.075</v>
      </c>
      <c r="AW149" s="1675" t="n">
        <f aca="false">IF(AV149=AV148,AW148,AV149*AW148)</f>
        <v>2.61065535328591</v>
      </c>
    </row>
    <row r="150" customFormat="false" ht="12.75" hidden="false" customHeight="false" outlineLevel="0" collapsed="false">
      <c r="A150" s="1673" t="n">
        <f aca="false">EDATE(A149,1)</f>
        <v>39387</v>
      </c>
      <c r="B150" s="1659" t="n">
        <f aca="false">'[4]Monthly Curve Calc.'!B153</f>
        <v>328.858138058343</v>
      </c>
      <c r="C150" s="1660" t="n">
        <f aca="false">'[4]Monthly Curve Calc.'!C153</f>
        <v>212.146212390625</v>
      </c>
      <c r="D150" s="1661" t="n">
        <f aca="false">'[4]Monthly Curve Calc.'!F153</f>
        <v>2.45747743582601</v>
      </c>
      <c r="E150" s="1662" t="n">
        <f aca="false">IF($A150&lt;=E$16,D150,(B150/B149)/(C150/C149)*E149)</f>
        <v>1.88905412085307</v>
      </c>
      <c r="F150" s="1674" t="n">
        <f aca="false">IF(Assm!$L$75=0,F149,IF(AND($A150&gt;F$16,MONTH($A150)=MONTH(F$16)),B149/B137,F149))</f>
        <v>1.075</v>
      </c>
      <c r="G150" s="1668" t="n">
        <f aca="false">IF(Assm!$L$75=0,G149,IF(AND($A150&gt;G$16,MONTH($A150)=MONTH(G$16)),C149/C137,G149))</f>
        <v>1.02734467941714</v>
      </c>
      <c r="H150" s="1668" t="n">
        <f aca="false">IF(Assm!$L$75=0,H149,IF(AND($A150&gt;H$16,MONTH($A150)=MONTH(H$16)),C149/C137-H$18,H149))</f>
        <v>1.02484467941714</v>
      </c>
      <c r="I150" s="1668" t="n">
        <f aca="false">IF(Assm!$L$75=0,I149,IF($A150&gt;=I$16,IF(MONTH($A150)=MONTH(I$16),AVERAGE(D138:D149),I149),I149))</f>
        <v>2.36773585001062</v>
      </c>
      <c r="J150" s="1675" t="n">
        <f aca="false">IF(Assm!$L$75=0,J149,IF($A150&gt;=J$16,IF(MONTH($A150)=MONTH(J$16),AVERAGE(E138:E149),J149),J149))</f>
        <v>1.77451872763879</v>
      </c>
      <c r="K150" s="1624" t="n">
        <f aca="false">K149+1</f>
        <v>138</v>
      </c>
      <c r="L150" s="1667" t="n">
        <f aca="false">HLOOKUP(L$14,Dec_Change,$K150)</f>
        <v>1.02734467941714</v>
      </c>
      <c r="M150" s="1668" t="n">
        <f aca="false">M149</f>
        <v>0</v>
      </c>
      <c r="N150" s="1675" t="n">
        <f aca="false">IF(AND($A150&gt;=N$16,MONTH($A150)=MONTH(N$16)),MAX(L150,M150)*N149,N149)</f>
        <v>1.30389657610682</v>
      </c>
      <c r="P150" s="1667" t="n">
        <f aca="false">HLOOKUP(P$14,Dec_Change,$K150)</f>
        <v>1.075</v>
      </c>
      <c r="Q150" s="1668" t="n">
        <f aca="false">Q149</f>
        <v>0</v>
      </c>
      <c r="R150" s="1675" t="n">
        <f aca="false">IF(AND($A150&gt;=R$16,MONTH($A150)=MONTH(R$16)),MAX(P150,Q150)*R149,R149)</f>
        <v>2.25505985039734</v>
      </c>
      <c r="T150" s="1667" t="n">
        <f aca="false">HLOOKUP(T$14,Dec_Change,$K150)</f>
        <v>1.02734467941714</v>
      </c>
      <c r="U150" s="1668" t="n">
        <f aca="false">U149</f>
        <v>1.005</v>
      </c>
      <c r="V150" s="1675" t="n">
        <f aca="false">IF(AND($A150&gt;=V$16,MONTH($A150)=MONTH(V$16)),MAX(T150,U150)*V149,V149)</f>
        <v>1.30389657610682</v>
      </c>
      <c r="X150" s="1667" t="n">
        <f aca="false">HLOOKUP(X$14,Dec_Change,$K150)</f>
        <v>1.02484467941714</v>
      </c>
      <c r="Y150" s="1668" t="n">
        <f aca="false">Y149</f>
        <v>1.02</v>
      </c>
      <c r="Z150" s="1675" t="n">
        <f aca="false">IF(AND($A150&gt;=Z$16,MONTH($A150)=MONTH(Z$16)),MAX(X150,Y150)*Z149,Z149)</f>
        <v>1.28273836234001</v>
      </c>
      <c r="AB150" s="1667" t="n">
        <f aca="false">HLOOKUP(AB$14,Dec_Change,$K150)</f>
        <v>1.02484467941714</v>
      </c>
      <c r="AC150" s="1668" t="n">
        <f aca="false">AC149</f>
        <v>1.02</v>
      </c>
      <c r="AD150" s="1675" t="n">
        <f aca="false">IF(AND($A150&gt;=AD$16,MONTH($A150)=MONTH(AD$16)),MAX(AB150,AC150)*AD149,AD149)</f>
        <v>1.28273836234001</v>
      </c>
      <c r="AF150" s="1667" t="n">
        <f aca="false">HLOOKUP(AF$14,Dec_Change,$K150)</f>
        <v>1.075</v>
      </c>
      <c r="AG150" s="1668" t="n">
        <f aca="false">AG149</f>
        <v>0</v>
      </c>
      <c r="AH150" s="1675" t="n">
        <f aca="false">IF(AND($A150&gt;=AH$16,MONTH($A150)=MONTH(AH$16)),MAX(AF150,AG150)*AH149,AH149)</f>
        <v>2.25505985039734</v>
      </c>
      <c r="AJ150" s="1667" t="n">
        <f aca="false">HLOOKUP(AJ$14,Dec_Change,$K150)</f>
        <v>1.02484467941714</v>
      </c>
      <c r="AK150" s="1668" t="n">
        <f aca="false">AK149</f>
        <v>1.02</v>
      </c>
      <c r="AL150" s="1675" t="n">
        <f aca="false">IF(AND($A150&gt;=AL$16,MONTH($A150)=MONTH(AL$16)),MAX(AJ150,AK150)*AL149,AL149)</f>
        <v>1.28273836234001</v>
      </c>
      <c r="AN150" s="1667" t="n">
        <f aca="false">HLOOKUP(AN$14,Dec_Change,$K150)</f>
        <v>1.02734467941714</v>
      </c>
      <c r="AO150" s="1668" t="n">
        <f aca="false">AO149</f>
        <v>1.005</v>
      </c>
      <c r="AP150" s="1675" t="n">
        <f aca="false">IF(AND($A150&gt;=AP$16,MONTH($A150)=MONTH(AP$16)),MAX(AN150,AO150)*AP149,AP149)</f>
        <v>1.30389657610682</v>
      </c>
      <c r="AR150" s="1670" t="n">
        <f aca="false">$A150</f>
        <v>39387</v>
      </c>
      <c r="AS150" s="1671" t="n">
        <f aca="false">IF(AND($A150&gt;=EDATE(AS$17,12),IF(Assm!$L$74=0,$D150,$E150)/AS149&gt;=1.05),IF(Assm!$L$74=0,$D150,$E150),AS149)</f>
        <v>2.38680829173927</v>
      </c>
      <c r="AT150" s="1671" t="n">
        <f aca="false">IF(AS150/AS149=1,AT149,AS150/AS149)</f>
        <v>1.05239090651144</v>
      </c>
      <c r="AU150" s="1671" t="n">
        <f aca="false">F150</f>
        <v>1.075</v>
      </c>
      <c r="AV150" s="1671" t="n">
        <f aca="false">MAX(AT150,AU150)</f>
        <v>1.075</v>
      </c>
      <c r="AW150" s="1675" t="n">
        <f aca="false">IF(AV150=AV149,AW149,AV150*AW149)</f>
        <v>2.61065535328591</v>
      </c>
    </row>
    <row r="151" customFormat="false" ht="12.75" hidden="false" customHeight="false" outlineLevel="0" collapsed="false">
      <c r="A151" s="1673" t="n">
        <f aca="false">EDATE(A150,1)</f>
        <v>39417</v>
      </c>
      <c r="B151" s="1659" t="n">
        <f aca="false">'[4]Monthly Curve Calc.'!B154</f>
        <v>330.846058873385</v>
      </c>
      <c r="C151" s="1660" t="n">
        <f aca="false">'[4]Monthly Curve Calc.'!C154</f>
        <v>212.616349591916</v>
      </c>
      <c r="D151" s="1661" t="n">
        <f aca="false">'[4]Monthly Curve Calc.'!F154</f>
        <v>2.46297398768479</v>
      </c>
      <c r="E151" s="1662" t="n">
        <f aca="false">IF($A151&lt;=E$16,D151,(B151/B150)/(C151/C150)*E150)</f>
        <v>1.89627097411905</v>
      </c>
      <c r="F151" s="1674" t="n">
        <f aca="false">IF(Assm!$L$75=0,F150,IF(AND($A151&gt;F$16,MONTH($A151)=MONTH(F$16)),B150/B138,F150))</f>
        <v>1.075</v>
      </c>
      <c r="G151" s="1668" t="n">
        <f aca="false">IF(Assm!$L$75=0,G150,IF(AND($A151&gt;G$16,MONTH($A151)=MONTH(G$16)),C150/C138,G150))</f>
        <v>1.02734467941714</v>
      </c>
      <c r="H151" s="1668" t="n">
        <f aca="false">IF(Assm!$L$75=0,H150,IF(AND($A151&gt;H$16,MONTH($A151)=MONTH(H$16)),C150/C138-H$18,H150))</f>
        <v>1.02484467941714</v>
      </c>
      <c r="I151" s="1668" t="n">
        <f aca="false">IF(Assm!$L$75=0,I150,IF($A151&gt;=I$16,IF(MONTH($A151)=MONTH(I$16),AVERAGE(D139:D150),I150),I150))</f>
        <v>2.36773585001062</v>
      </c>
      <c r="J151" s="1675" t="n">
        <f aca="false">IF(Assm!$L$75=0,J150,IF($A151&gt;=J$16,IF(MONTH($A151)=MONTH(J$16),AVERAGE(E139:E150),J150),J150))</f>
        <v>1.77451872763879</v>
      </c>
      <c r="K151" s="1624" t="n">
        <f aca="false">K150+1</f>
        <v>139</v>
      </c>
      <c r="L151" s="1667" t="n">
        <f aca="false">HLOOKUP(L$14,Dec_Change,$K151)</f>
        <v>1.02734467941714</v>
      </c>
      <c r="M151" s="1668" t="n">
        <f aca="false">M150</f>
        <v>0</v>
      </c>
      <c r="N151" s="1675" t="n">
        <f aca="false">IF(AND($A151&gt;=N$16,MONTH($A151)=MONTH(N$16)),MAX(L151,M151)*N150,N150)</f>
        <v>1.30389657610682</v>
      </c>
      <c r="P151" s="1667" t="n">
        <f aca="false">HLOOKUP(P$14,Dec_Change,$K151)</f>
        <v>1.075</v>
      </c>
      <c r="Q151" s="1668" t="n">
        <f aca="false">Q150</f>
        <v>0</v>
      </c>
      <c r="R151" s="1675" t="n">
        <f aca="false">IF(AND($A151&gt;=R$16,MONTH($A151)=MONTH(R$16)),MAX(P151,Q151)*R150,R150)</f>
        <v>2.25505985039734</v>
      </c>
      <c r="T151" s="1667" t="n">
        <f aca="false">HLOOKUP(T$14,Dec_Change,$K151)</f>
        <v>1.02734467941714</v>
      </c>
      <c r="U151" s="1668" t="n">
        <f aca="false">U150</f>
        <v>1.005</v>
      </c>
      <c r="V151" s="1675" t="n">
        <f aca="false">IF(AND($A151&gt;=V$16,MONTH($A151)=MONTH(V$16)),MAX(T151,U151)*V150,V150)</f>
        <v>1.30389657610682</v>
      </c>
      <c r="X151" s="1667" t="n">
        <f aca="false">HLOOKUP(X$14,Dec_Change,$K151)</f>
        <v>1.02484467941714</v>
      </c>
      <c r="Y151" s="1668" t="n">
        <f aca="false">Y150</f>
        <v>1.02</v>
      </c>
      <c r="Z151" s="1675" t="n">
        <f aca="false">IF(AND($A151&gt;=Z$16,MONTH($A151)=MONTH(Z$16)),MAX(X151,Y151)*Z150,Z150)</f>
        <v>1.28273836234001</v>
      </c>
      <c r="AB151" s="1667" t="n">
        <f aca="false">HLOOKUP(AB$14,Dec_Change,$K151)</f>
        <v>1.02484467941714</v>
      </c>
      <c r="AC151" s="1668" t="n">
        <f aca="false">AC150</f>
        <v>1.02</v>
      </c>
      <c r="AD151" s="1675" t="n">
        <f aca="false">IF(AND($A151&gt;=AD$16,MONTH($A151)=MONTH(AD$16)),MAX(AB151,AC151)*AD150,AD150)</f>
        <v>1.28273836234001</v>
      </c>
      <c r="AF151" s="1667" t="n">
        <f aca="false">HLOOKUP(AF$14,Dec_Change,$K151)</f>
        <v>1.075</v>
      </c>
      <c r="AG151" s="1668" t="n">
        <f aca="false">AG150</f>
        <v>0</v>
      </c>
      <c r="AH151" s="1675" t="n">
        <f aca="false">IF(AND($A151&gt;=AH$16,MONTH($A151)=MONTH(AH$16)),MAX(AF151,AG151)*AH150,AH150)</f>
        <v>2.25505985039734</v>
      </c>
      <c r="AJ151" s="1667" t="n">
        <f aca="false">HLOOKUP(AJ$14,Dec_Change,$K151)</f>
        <v>1.02484467941714</v>
      </c>
      <c r="AK151" s="1668" t="n">
        <f aca="false">AK150</f>
        <v>1.02</v>
      </c>
      <c r="AL151" s="1675" t="n">
        <f aca="false">IF(AND($A151&gt;=AL$16,MONTH($A151)=MONTH(AL$16)),MAX(AJ151,AK151)*AL150,AL150)</f>
        <v>1.28273836234001</v>
      </c>
      <c r="AN151" s="1667" t="n">
        <f aca="false">HLOOKUP(AN$14,Dec_Change,$K151)</f>
        <v>1.02734467941714</v>
      </c>
      <c r="AO151" s="1668" t="n">
        <f aca="false">AO150</f>
        <v>1.005</v>
      </c>
      <c r="AP151" s="1675" t="n">
        <f aca="false">IF(AND($A151&gt;=AP$16,MONTH($A151)=MONTH(AP$16)),MAX(AN151,AO151)*AP150,AP150)</f>
        <v>1.30389657610682</v>
      </c>
      <c r="AR151" s="1670" t="n">
        <f aca="false">$A151</f>
        <v>39417</v>
      </c>
      <c r="AS151" s="1671" t="n">
        <f aca="false">IF(AND($A151&gt;=EDATE(AS$17,12),IF(Assm!$L$74=0,$D151,$E151)/AS150&gt;=1.05),IF(Assm!$L$74=0,$D151,$E151),AS150)</f>
        <v>2.38680829173927</v>
      </c>
      <c r="AT151" s="1671" t="n">
        <f aca="false">IF(AS151/AS150=1,AT150,AS151/AS150)</f>
        <v>1.05239090651144</v>
      </c>
      <c r="AU151" s="1671" t="n">
        <f aca="false">F151</f>
        <v>1.075</v>
      </c>
      <c r="AV151" s="1671" t="n">
        <f aca="false">MAX(AT151,AU151)</f>
        <v>1.075</v>
      </c>
      <c r="AW151" s="1675" t="n">
        <f aca="false">IF(AV151=AV150,AW150,AV151*AW150)</f>
        <v>2.61065535328591</v>
      </c>
    </row>
    <row r="152" customFormat="false" ht="12.75" hidden="false" customHeight="false" outlineLevel="0" collapsed="false">
      <c r="A152" s="1673" t="n">
        <f aca="false">EDATE(A151,1)</f>
        <v>39448</v>
      </c>
      <c r="B152" s="1659" t="n">
        <f aca="false">'[4]Monthly Curve Calc.'!B155</f>
        <v>332.84599650878</v>
      </c>
      <c r="C152" s="1660" t="n">
        <f aca="false">'[4]Monthly Curve Calc.'!C155</f>
        <v>213.078880911827</v>
      </c>
      <c r="D152" s="1661" t="n">
        <f aca="false">'[4]Monthly Curve Calc.'!F155</f>
        <v>2.4681826378384</v>
      </c>
      <c r="E152" s="1662" t="n">
        <f aca="false">IF($A152&lt;=E$16,D152,(B152/B151)/(C152/C151)*E151)</f>
        <v>1.90359265200094</v>
      </c>
      <c r="F152" s="1674" t="n">
        <f aca="false">IF(Assm!$L$75=0,F151,IF(AND($A152&gt;F$16,MONTH($A152)=MONTH(F$16)),B151/B139,F151))</f>
        <v>1.075</v>
      </c>
      <c r="G152" s="1668" t="n">
        <f aca="false">IF(Assm!$L$75=0,G151,IF(AND($A152&gt;G$16,MONTH($A152)=MONTH(G$16)),C151/C139,G151))</f>
        <v>1.02734467941714</v>
      </c>
      <c r="H152" s="1668" t="n">
        <f aca="false">IF(Assm!$L$75=0,H151,IF(AND($A152&gt;H$16,MONTH($A152)=MONTH(H$16)),C151/C139-H$18,H151))</f>
        <v>1.02484467941714</v>
      </c>
      <c r="I152" s="1668" t="n">
        <f aca="false">IF(Assm!$L$75=0,I151,IF($A152&gt;=I$16,IF(MONTH($A152)=MONTH(I$16),AVERAGE(D140:D151),I151),I151))</f>
        <v>2.43296671319364</v>
      </c>
      <c r="J152" s="1675" t="n">
        <f aca="false">IF(Assm!$L$75=0,J151,IF($A152&gt;=J$16,IF(MONTH($A152)=MONTH(J$16),AVERAGE(E140:E151),J151),J151))</f>
        <v>1.85707753867586</v>
      </c>
      <c r="K152" s="1624" t="n">
        <f aca="false">K151+1</f>
        <v>140</v>
      </c>
      <c r="L152" s="1667" t="n">
        <f aca="false">HLOOKUP(L$14,Dec_Change,$K152)</f>
        <v>1.02734467941714</v>
      </c>
      <c r="M152" s="1668" t="n">
        <f aca="false">M151</f>
        <v>0</v>
      </c>
      <c r="N152" s="1675" t="n">
        <f aca="false">IF(AND($A152&gt;=N$16,MONTH($A152)=MONTH(N$16)),MAX(L152,M152)*N151,N151)</f>
        <v>1.30389657610682</v>
      </c>
      <c r="P152" s="1667" t="n">
        <f aca="false">HLOOKUP(P$14,Dec_Change,$K152)</f>
        <v>1.075</v>
      </c>
      <c r="Q152" s="1668" t="n">
        <f aca="false">Q151</f>
        <v>0</v>
      </c>
      <c r="R152" s="1675" t="n">
        <f aca="false">IF(AND($A152&gt;=R$16,MONTH($A152)=MONTH(R$16)),MAX(P152,Q152)*R151,R151)</f>
        <v>2.25505985039734</v>
      </c>
      <c r="T152" s="1667" t="n">
        <f aca="false">HLOOKUP(T$14,Dec_Change,$K152)</f>
        <v>1.02734467941714</v>
      </c>
      <c r="U152" s="1668" t="n">
        <f aca="false">U151</f>
        <v>1.005</v>
      </c>
      <c r="V152" s="1675" t="n">
        <f aca="false">IF(AND($A152&gt;=V$16,MONTH($A152)=MONTH(V$16)),MAX(T152,U152)*V151,V151)</f>
        <v>1.30389657610682</v>
      </c>
      <c r="X152" s="1667" t="n">
        <f aca="false">HLOOKUP(X$14,Dec_Change,$K152)</f>
        <v>1.02484467941714</v>
      </c>
      <c r="Y152" s="1668" t="n">
        <f aca="false">Y151</f>
        <v>1.02</v>
      </c>
      <c r="Z152" s="1675" t="n">
        <f aca="false">IF(AND($A152&gt;=Z$16,MONTH($A152)=MONTH(Z$16)),MAX(X152,Y152)*Z151,Z151)</f>
        <v>1.28273836234001</v>
      </c>
      <c r="AB152" s="1667" t="n">
        <f aca="false">HLOOKUP(AB$14,Dec_Change,$K152)</f>
        <v>1.02484467941714</v>
      </c>
      <c r="AC152" s="1668" t="n">
        <f aca="false">AC151</f>
        <v>1.02</v>
      </c>
      <c r="AD152" s="1675" t="n">
        <f aca="false">IF(AND($A152&gt;=AD$16,MONTH($A152)=MONTH(AD$16)),MAX(AB152,AC152)*AD151,AD151)</f>
        <v>1.28273836234001</v>
      </c>
      <c r="AF152" s="1667" t="n">
        <f aca="false">HLOOKUP(AF$14,Dec_Change,$K152)</f>
        <v>1.075</v>
      </c>
      <c r="AG152" s="1668" t="n">
        <f aca="false">AG151</f>
        <v>0</v>
      </c>
      <c r="AH152" s="1675" t="n">
        <f aca="false">IF(AND($A152&gt;=AH$16,MONTH($A152)=MONTH(AH$16)),MAX(AF152,AG152)*AH151,AH151)</f>
        <v>2.25505985039734</v>
      </c>
      <c r="AJ152" s="1667" t="n">
        <f aca="false">HLOOKUP(AJ$14,Dec_Change,$K152)</f>
        <v>1.02484467941714</v>
      </c>
      <c r="AK152" s="1668" t="n">
        <f aca="false">AK151</f>
        <v>1.02</v>
      </c>
      <c r="AL152" s="1675" t="n">
        <f aca="false">IF(AND($A152&gt;=AL$16,MONTH($A152)=MONTH(AL$16)),MAX(AJ152,AK152)*AL151,AL151)</f>
        <v>1.28273836234001</v>
      </c>
      <c r="AN152" s="1667" t="n">
        <f aca="false">HLOOKUP(AN$14,Dec_Change,$K152)</f>
        <v>1.02734467941714</v>
      </c>
      <c r="AO152" s="1668" t="n">
        <f aca="false">AO151</f>
        <v>1.005</v>
      </c>
      <c r="AP152" s="1675" t="n">
        <f aca="false">IF(AND($A152&gt;=AP$16,MONTH($A152)=MONTH(AP$16)),MAX(AN152,AO152)*AP151,AP151)</f>
        <v>1.30389657610682</v>
      </c>
      <c r="AR152" s="1670" t="n">
        <f aca="false">$A152</f>
        <v>39448</v>
      </c>
      <c r="AS152" s="1671" t="n">
        <f aca="false">IF(AND($A152&gt;=EDATE(AS$17,12),IF(Assm!$L$74=0,$D152,$E152)/AS151&gt;=1.05),IF(Assm!$L$74=0,$D152,$E152),AS151)</f>
        <v>2.38680829173927</v>
      </c>
      <c r="AT152" s="1671" t="n">
        <f aca="false">IF(AS152/AS151=1,AT151,AS152/AS151)</f>
        <v>1.05239090651144</v>
      </c>
      <c r="AU152" s="1671" t="n">
        <f aca="false">F152</f>
        <v>1.075</v>
      </c>
      <c r="AV152" s="1671" t="n">
        <f aca="false">MAX(AT152,AU152)</f>
        <v>1.075</v>
      </c>
      <c r="AW152" s="1675" t="n">
        <f aca="false">IF(AV152=AV151,AW151,AV152*AW151)</f>
        <v>2.61065535328591</v>
      </c>
    </row>
    <row r="153" customFormat="false" ht="12.75" hidden="false" customHeight="false" outlineLevel="0" collapsed="false">
      <c r="A153" s="1673" t="n">
        <f aca="false">EDATE(A152,1)</f>
        <v>39479</v>
      </c>
      <c r="B153" s="1659" t="n">
        <f aca="false">'[4]Monthly Curve Calc.'!B156</f>
        <v>334.858023605236</v>
      </c>
      <c r="C153" s="1660" t="n">
        <f aca="false">'[4]Monthly Curve Calc.'!C156</f>
        <v>213.542418434801</v>
      </c>
      <c r="D153" s="1661" t="n">
        <f aca="false">'[4]Monthly Curve Calc.'!F156</f>
        <v>2.47340230314547</v>
      </c>
      <c r="E153" s="1662" t="n">
        <f aca="false">IF($A153&lt;=E$16,D153,(B153/B152)/(C153/C152)*E152)</f>
        <v>1.91094259955935</v>
      </c>
      <c r="F153" s="1674" t="n">
        <f aca="false">IF(Assm!$L$75=0,F152,IF(AND($A153&gt;F$16,MONTH($A153)=MONTH(F$16)),B152/B140,F152))</f>
        <v>1.075</v>
      </c>
      <c r="G153" s="1668" t="n">
        <f aca="false">IF(Assm!$L$75=0,G152,IF(AND($A153&gt;G$16,MONTH($A153)=MONTH(G$16)),C152/C140,G152))</f>
        <v>1.02734467941714</v>
      </c>
      <c r="H153" s="1668" t="n">
        <f aca="false">IF(Assm!$L$75=0,H152,IF(AND($A153&gt;H$16,MONTH($A153)=MONTH(H$16)),C152/C140-H$18,H152))</f>
        <v>1.02484467941714</v>
      </c>
      <c r="I153" s="1668" t="n">
        <f aca="false">IF(Assm!$L$75=0,I152,IF($A153&gt;=I$16,IF(MONTH($A153)=MONTH(I$16),AVERAGE(D141:D152),I152),I152))</f>
        <v>2.43296671319364</v>
      </c>
      <c r="J153" s="1675" t="n">
        <f aca="false">IF(Assm!$L$75=0,J152,IF($A153&gt;=J$16,IF(MONTH($A153)=MONTH(J$16),AVERAGE(E141:E152),J152),J152))</f>
        <v>1.85707753867586</v>
      </c>
      <c r="K153" s="1624" t="n">
        <f aca="false">K152+1</f>
        <v>141</v>
      </c>
      <c r="L153" s="1667" t="n">
        <f aca="false">HLOOKUP(L$14,Dec_Change,$K153)</f>
        <v>1.02734467941714</v>
      </c>
      <c r="M153" s="1668" t="n">
        <f aca="false">M152</f>
        <v>0</v>
      </c>
      <c r="N153" s="1675" t="n">
        <f aca="false">IF(AND($A153&gt;=N$16,MONTH($A153)=MONTH(N$16)),MAX(L153,M153)*N152,N152)</f>
        <v>1.30389657610682</v>
      </c>
      <c r="P153" s="1667" t="n">
        <f aca="false">HLOOKUP(P$14,Dec_Change,$K153)</f>
        <v>1.075</v>
      </c>
      <c r="Q153" s="1668" t="n">
        <f aca="false">Q152</f>
        <v>0</v>
      </c>
      <c r="R153" s="1675" t="n">
        <f aca="false">IF(AND($A153&gt;=R$16,MONTH($A153)=MONTH(R$16)),MAX(P153,Q153)*R152,R152)</f>
        <v>2.25505985039734</v>
      </c>
      <c r="T153" s="1667" t="n">
        <f aca="false">HLOOKUP(T$14,Dec_Change,$K153)</f>
        <v>1.02734467941714</v>
      </c>
      <c r="U153" s="1668" t="n">
        <f aca="false">U152</f>
        <v>1.005</v>
      </c>
      <c r="V153" s="1675" t="n">
        <f aca="false">IF(AND($A153&gt;=V$16,MONTH($A153)=MONTH(V$16)),MAX(T153,U153)*V152,V152)</f>
        <v>1.30389657610682</v>
      </c>
      <c r="X153" s="1667" t="n">
        <f aca="false">HLOOKUP(X$14,Dec_Change,$K153)</f>
        <v>1.02484467941714</v>
      </c>
      <c r="Y153" s="1668" t="n">
        <f aca="false">Y152</f>
        <v>1.02</v>
      </c>
      <c r="Z153" s="1675" t="n">
        <f aca="false">IF(AND($A153&gt;=Z$16,MONTH($A153)=MONTH(Z$16)),MAX(X153,Y153)*Z152,Z152)</f>
        <v>1.28273836234001</v>
      </c>
      <c r="AB153" s="1667" t="n">
        <f aca="false">HLOOKUP(AB$14,Dec_Change,$K153)</f>
        <v>1.02484467941714</v>
      </c>
      <c r="AC153" s="1668" t="n">
        <f aca="false">AC152</f>
        <v>1.02</v>
      </c>
      <c r="AD153" s="1675" t="n">
        <f aca="false">IF(AND($A153&gt;=AD$16,MONTH($A153)=MONTH(AD$16)),MAX(AB153,AC153)*AD152,AD152)</f>
        <v>1.28273836234001</v>
      </c>
      <c r="AF153" s="1667" t="n">
        <f aca="false">HLOOKUP(AF$14,Dec_Change,$K153)</f>
        <v>1.075</v>
      </c>
      <c r="AG153" s="1668" t="n">
        <f aca="false">AG152</f>
        <v>0</v>
      </c>
      <c r="AH153" s="1675" t="n">
        <f aca="false">IF(AND($A153&gt;=AH$16,MONTH($A153)=MONTH(AH$16)),MAX(AF153,AG153)*AH152,AH152)</f>
        <v>2.25505985039734</v>
      </c>
      <c r="AJ153" s="1667" t="n">
        <f aca="false">HLOOKUP(AJ$14,Dec_Change,$K153)</f>
        <v>1.02484467941714</v>
      </c>
      <c r="AK153" s="1668" t="n">
        <f aca="false">AK152</f>
        <v>1.02</v>
      </c>
      <c r="AL153" s="1675" t="n">
        <f aca="false">IF(AND($A153&gt;=AL$16,MONTH($A153)=MONTH(AL$16)),MAX(AJ153,AK153)*AL152,AL152)</f>
        <v>1.28273836234001</v>
      </c>
      <c r="AN153" s="1667" t="n">
        <f aca="false">HLOOKUP(AN$14,Dec_Change,$K153)</f>
        <v>1.02734467941714</v>
      </c>
      <c r="AO153" s="1668" t="n">
        <f aca="false">AO152</f>
        <v>1.005</v>
      </c>
      <c r="AP153" s="1675" t="n">
        <f aca="false">IF(AND($A153&gt;=AP$16,MONTH($A153)=MONTH(AP$16)),MAX(AN153,AO153)*AP152,AP152)</f>
        <v>1.30389657610682</v>
      </c>
      <c r="AR153" s="1670" t="n">
        <f aca="false">$A153</f>
        <v>39479</v>
      </c>
      <c r="AS153" s="1671" t="n">
        <f aca="false">IF(AND($A153&gt;=EDATE(AS$17,12),IF(Assm!$L$74=0,$D153,$E153)/AS152&gt;=1.05),IF(Assm!$L$74=0,$D153,$E153),AS152)</f>
        <v>2.38680829173927</v>
      </c>
      <c r="AT153" s="1671" t="n">
        <f aca="false">IF(AS153/AS152=1,AT152,AS153/AS152)</f>
        <v>1.05239090651144</v>
      </c>
      <c r="AU153" s="1671" t="n">
        <f aca="false">F153</f>
        <v>1.075</v>
      </c>
      <c r="AV153" s="1671" t="n">
        <f aca="false">MAX(AT153,AU153)</f>
        <v>1.075</v>
      </c>
      <c r="AW153" s="1675" t="n">
        <f aca="false">IF(AV153=AV152,AW152,AV153*AW152)</f>
        <v>2.61065535328591</v>
      </c>
    </row>
    <row r="154" customFormat="false" ht="12.75" hidden="false" customHeight="false" outlineLevel="0" collapsed="false">
      <c r="A154" s="1673" t="n">
        <f aca="false">EDATE(A153,1)</f>
        <v>39508</v>
      </c>
      <c r="B154" s="1659" t="n">
        <f aca="false">'[4]Monthly Curve Calc.'!B157</f>
        <v>336.882213242564</v>
      </c>
      <c r="C154" s="1660" t="n">
        <f aca="false">'[4]Monthly Curve Calc.'!C157</f>
        <v>214.006964349756</v>
      </c>
      <c r="D154" s="1661" t="n">
        <f aca="false">'[4]Monthly Curve Calc.'!F157</f>
        <v>2.47863300690063</v>
      </c>
      <c r="E154" s="1662" t="n">
        <f aca="false">IF($A154&lt;=E$16,D154,(B154/B153)/(C154/C153)*E153)</f>
        <v>1.9183209259461</v>
      </c>
      <c r="F154" s="1674" t="n">
        <f aca="false">IF(Assm!$L$75=0,F153,IF(AND($A154&gt;F$16,MONTH($A154)=MONTH(F$16)),B153/B141,F153))</f>
        <v>1.075</v>
      </c>
      <c r="G154" s="1668" t="n">
        <f aca="false">IF(Assm!$L$75=0,G153,IF(AND($A154&gt;G$16,MONTH($A154)=MONTH(G$16)),C153/C141,G153))</f>
        <v>1.02734467941714</v>
      </c>
      <c r="H154" s="1668" t="n">
        <f aca="false">IF(Assm!$L$75=0,H153,IF(AND($A154&gt;H$16,MONTH($A154)=MONTH(H$16)),C153/C141-H$18,H153))</f>
        <v>1.02484467941714</v>
      </c>
      <c r="I154" s="1668" t="n">
        <f aca="false">IF(Assm!$L$75=0,I153,IF($A154&gt;=I$16,IF(MONTH($A154)=MONTH(I$16),AVERAGE(D142:D153),I153),I153))</f>
        <v>2.43296671319364</v>
      </c>
      <c r="J154" s="1675" t="n">
        <f aca="false">IF(Assm!$L$75=0,J153,IF($A154&gt;=J$16,IF(MONTH($A154)=MONTH(J$16),AVERAGE(E142:E153),J153),J153))</f>
        <v>1.85707753867586</v>
      </c>
      <c r="K154" s="1624" t="n">
        <f aca="false">K153+1</f>
        <v>142</v>
      </c>
      <c r="L154" s="1667" t="n">
        <f aca="false">HLOOKUP(L$14,Dec_Change,$K154)</f>
        <v>1.02734467941714</v>
      </c>
      <c r="M154" s="1668" t="n">
        <f aca="false">M153</f>
        <v>0</v>
      </c>
      <c r="N154" s="1675" t="n">
        <f aca="false">IF(AND($A154&gt;=N$16,MONTH($A154)=MONTH(N$16)),MAX(L154,M154)*N153,N153)</f>
        <v>1.30389657610682</v>
      </c>
      <c r="P154" s="1667" t="n">
        <f aca="false">HLOOKUP(P$14,Dec_Change,$K154)</f>
        <v>1.075</v>
      </c>
      <c r="Q154" s="1668" t="n">
        <f aca="false">Q153</f>
        <v>0</v>
      </c>
      <c r="R154" s="1675" t="n">
        <f aca="false">IF(AND($A154&gt;=R$16,MONTH($A154)=MONTH(R$16)),MAX(P154,Q154)*R153,R153)</f>
        <v>2.25505985039734</v>
      </c>
      <c r="T154" s="1667" t="n">
        <f aca="false">HLOOKUP(T$14,Dec_Change,$K154)</f>
        <v>1.02734467941714</v>
      </c>
      <c r="U154" s="1668" t="n">
        <f aca="false">U153</f>
        <v>1.005</v>
      </c>
      <c r="V154" s="1675" t="n">
        <f aca="false">IF(AND($A154&gt;=V$16,MONTH($A154)=MONTH(V$16)),MAX(T154,U154)*V153,V153)</f>
        <v>1.30389657610682</v>
      </c>
      <c r="X154" s="1667" t="n">
        <f aca="false">HLOOKUP(X$14,Dec_Change,$K154)</f>
        <v>1.02484467941714</v>
      </c>
      <c r="Y154" s="1668" t="n">
        <f aca="false">Y153</f>
        <v>1.02</v>
      </c>
      <c r="Z154" s="1675" t="n">
        <f aca="false">IF(AND($A154&gt;=Z$16,MONTH($A154)=MONTH(Z$16)),MAX(X154,Y154)*Z153,Z153)</f>
        <v>1.28273836234001</v>
      </c>
      <c r="AB154" s="1667" t="n">
        <f aca="false">HLOOKUP(AB$14,Dec_Change,$K154)</f>
        <v>1.02484467941714</v>
      </c>
      <c r="AC154" s="1668" t="n">
        <f aca="false">AC153</f>
        <v>1.02</v>
      </c>
      <c r="AD154" s="1675" t="n">
        <f aca="false">IF(AND($A154&gt;=AD$16,MONTH($A154)=MONTH(AD$16)),MAX(AB154,AC154)*AD153,AD153)</f>
        <v>1.28273836234001</v>
      </c>
      <c r="AF154" s="1667" t="n">
        <f aca="false">HLOOKUP(AF$14,Dec_Change,$K154)</f>
        <v>1.075</v>
      </c>
      <c r="AG154" s="1668" t="n">
        <f aca="false">AG153</f>
        <v>0</v>
      </c>
      <c r="AH154" s="1675" t="n">
        <f aca="false">IF(AND($A154&gt;=AH$16,MONTH($A154)=MONTH(AH$16)),MAX(AF154,AG154)*AH153,AH153)</f>
        <v>2.25505985039734</v>
      </c>
      <c r="AJ154" s="1667" t="n">
        <f aca="false">HLOOKUP(AJ$14,Dec_Change,$K154)</f>
        <v>1.02484467941714</v>
      </c>
      <c r="AK154" s="1668" t="n">
        <f aca="false">AK153</f>
        <v>1.02</v>
      </c>
      <c r="AL154" s="1675" t="n">
        <f aca="false">IF(AND($A154&gt;=AL$16,MONTH($A154)=MONTH(AL$16)),MAX(AJ154,AK154)*AL153,AL153)</f>
        <v>1.28273836234001</v>
      </c>
      <c r="AN154" s="1667" t="n">
        <f aca="false">HLOOKUP(AN$14,Dec_Change,$K154)</f>
        <v>1.02734467941714</v>
      </c>
      <c r="AO154" s="1668" t="n">
        <f aca="false">AO153</f>
        <v>1.005</v>
      </c>
      <c r="AP154" s="1675" t="n">
        <f aca="false">IF(AND($A154&gt;=AP$16,MONTH($A154)=MONTH(AP$16)),MAX(AN154,AO154)*AP153,AP153)</f>
        <v>1.30389657610682</v>
      </c>
      <c r="AR154" s="1670" t="n">
        <f aca="false">$A154</f>
        <v>39508</v>
      </c>
      <c r="AS154" s="1671" t="n">
        <f aca="false">IF(AND($A154&gt;=EDATE(AS$17,12),IF(Assm!$L$74=0,$D154,$E154)/AS153&gt;=1.05),IF(Assm!$L$74=0,$D154,$E154),AS153)</f>
        <v>2.38680829173927</v>
      </c>
      <c r="AT154" s="1671" t="n">
        <f aca="false">IF(AS154/AS153=1,AT153,AS154/AS153)</f>
        <v>1.05239090651144</v>
      </c>
      <c r="AU154" s="1671" t="n">
        <f aca="false">F154</f>
        <v>1.075</v>
      </c>
      <c r="AV154" s="1671" t="n">
        <f aca="false">MAX(AT154,AU154)</f>
        <v>1.075</v>
      </c>
      <c r="AW154" s="1675" t="n">
        <f aca="false">IF(AV154=AV153,AW153,AV154*AW153)</f>
        <v>2.61065535328591</v>
      </c>
    </row>
    <row r="155" customFormat="false" ht="12.75" hidden="false" customHeight="false" outlineLevel="0" collapsed="false">
      <c r="A155" s="1673" t="n">
        <f aca="false">EDATE(A154,1)</f>
        <v>39539</v>
      </c>
      <c r="B155" s="1659" t="n">
        <f aca="false">'[4]Monthly Curve Calc.'!B158</f>
        <v>338.918638942339</v>
      </c>
      <c r="C155" s="1660" t="n">
        <f aca="false">'[4]Monthly Curve Calc.'!C158</f>
        <v>214.472520850378</v>
      </c>
      <c r="D155" s="1661" t="n">
        <f aca="false">'[4]Monthly Curve Calc.'!F158</f>
        <v>2.48387477244777</v>
      </c>
      <c r="E155" s="1662" t="n">
        <f aca="false">IF($A155&lt;=E$16,D155,(B155/B154)/(C155/C154)*E154)</f>
        <v>1.92572774073447</v>
      </c>
      <c r="F155" s="1674" t="n">
        <f aca="false">IF(Assm!$L$75=0,F154,IF(AND($A155&gt;F$16,MONTH($A155)=MONTH(F$16)),B154/B142,F154))</f>
        <v>1.075</v>
      </c>
      <c r="G155" s="1668" t="n">
        <f aca="false">IF(Assm!$L$75=0,G154,IF(AND($A155&gt;G$16,MONTH($A155)=MONTH(G$16)),C154/C142,G154))</f>
        <v>1.02734467941714</v>
      </c>
      <c r="H155" s="1668" t="n">
        <f aca="false">IF(Assm!$L$75=0,H154,IF(AND($A155&gt;H$16,MONTH($A155)=MONTH(H$16)),C154/C142-H$18,H154))</f>
        <v>1.02484467941714</v>
      </c>
      <c r="I155" s="1668" t="n">
        <f aca="false">IF(Assm!$L$75=0,I154,IF($A155&gt;=I$16,IF(MONTH($A155)=MONTH(I$16),AVERAGE(D143:D154),I154),I154))</f>
        <v>2.43296671319364</v>
      </c>
      <c r="J155" s="1675" t="n">
        <f aca="false">IF(Assm!$L$75=0,J154,IF($A155&gt;=J$16,IF(MONTH($A155)=MONTH(J$16),AVERAGE(E143:E154),J154),J154))</f>
        <v>1.85707753867586</v>
      </c>
      <c r="K155" s="1624" t="n">
        <f aca="false">K154+1</f>
        <v>143</v>
      </c>
      <c r="L155" s="1667" t="n">
        <f aca="false">HLOOKUP(L$14,Dec_Change,$K155)</f>
        <v>1.02734467941714</v>
      </c>
      <c r="M155" s="1668" t="n">
        <f aca="false">M154</f>
        <v>0</v>
      </c>
      <c r="N155" s="1675" t="n">
        <f aca="false">IF(AND($A155&gt;=N$16,MONTH($A155)=MONTH(N$16)),MAX(L155,M155)*N154,N154)</f>
        <v>1.30389657610682</v>
      </c>
      <c r="P155" s="1667" t="n">
        <f aca="false">HLOOKUP(P$14,Dec_Change,$K155)</f>
        <v>1.075</v>
      </c>
      <c r="Q155" s="1668" t="n">
        <f aca="false">Q154</f>
        <v>0</v>
      </c>
      <c r="R155" s="1675" t="n">
        <f aca="false">IF(AND($A155&gt;=R$16,MONTH($A155)=MONTH(R$16)),MAX(P155,Q155)*R154,R154)</f>
        <v>2.25505985039734</v>
      </c>
      <c r="T155" s="1667" t="n">
        <f aca="false">HLOOKUP(T$14,Dec_Change,$K155)</f>
        <v>1.02734467941714</v>
      </c>
      <c r="U155" s="1668" t="n">
        <f aca="false">U154</f>
        <v>1.005</v>
      </c>
      <c r="V155" s="1675" t="n">
        <f aca="false">IF(AND($A155&gt;=V$16,MONTH($A155)=MONTH(V$16)),MAX(T155,U155)*V154,V154)</f>
        <v>1.30389657610682</v>
      </c>
      <c r="X155" s="1667" t="n">
        <f aca="false">HLOOKUP(X$14,Dec_Change,$K155)</f>
        <v>1.02484467941714</v>
      </c>
      <c r="Y155" s="1668" t="n">
        <f aca="false">Y154</f>
        <v>1.02</v>
      </c>
      <c r="Z155" s="1675" t="n">
        <f aca="false">IF(AND($A155&gt;=Z$16,MONTH($A155)=MONTH(Z$16)),MAX(X155,Y155)*Z154,Z154)</f>
        <v>1.28273836234001</v>
      </c>
      <c r="AB155" s="1667" t="n">
        <f aca="false">HLOOKUP(AB$14,Dec_Change,$K155)</f>
        <v>1.02484467941714</v>
      </c>
      <c r="AC155" s="1668" t="n">
        <f aca="false">AC154</f>
        <v>1.02</v>
      </c>
      <c r="AD155" s="1675" t="n">
        <f aca="false">IF(AND($A155&gt;=AD$16,MONTH($A155)=MONTH(AD$16)),MAX(AB155,AC155)*AD154,AD154)</f>
        <v>1.28273836234001</v>
      </c>
      <c r="AF155" s="1667" t="n">
        <f aca="false">HLOOKUP(AF$14,Dec_Change,$K155)</f>
        <v>1.075</v>
      </c>
      <c r="AG155" s="1668" t="n">
        <f aca="false">AG154</f>
        <v>0</v>
      </c>
      <c r="AH155" s="1675" t="n">
        <f aca="false">IF(AND($A155&gt;=AH$16,MONTH($A155)=MONTH(AH$16)),MAX(AF155,AG155)*AH154,AH154)</f>
        <v>2.25505985039734</v>
      </c>
      <c r="AJ155" s="1667" t="n">
        <f aca="false">HLOOKUP(AJ$14,Dec_Change,$K155)</f>
        <v>1.02484467941714</v>
      </c>
      <c r="AK155" s="1668" t="n">
        <f aca="false">AK154</f>
        <v>1.02</v>
      </c>
      <c r="AL155" s="1675" t="n">
        <f aca="false">IF(AND($A155&gt;=AL$16,MONTH($A155)=MONTH(AL$16)),MAX(AJ155,AK155)*AL154,AL154)</f>
        <v>1.28273836234001</v>
      </c>
      <c r="AN155" s="1667" t="n">
        <f aca="false">HLOOKUP(AN$14,Dec_Change,$K155)</f>
        <v>1.02734467941714</v>
      </c>
      <c r="AO155" s="1668" t="n">
        <f aca="false">AO154</f>
        <v>1.005</v>
      </c>
      <c r="AP155" s="1675" t="n">
        <f aca="false">IF(AND($A155&gt;=AP$16,MONTH($A155)=MONTH(AP$16)),MAX(AN155,AO155)*AP154,AP154)</f>
        <v>1.30389657610682</v>
      </c>
      <c r="AR155" s="1670" t="n">
        <f aca="false">$A155</f>
        <v>39539</v>
      </c>
      <c r="AS155" s="1671" t="n">
        <f aca="false">IF(AND($A155&gt;=EDATE(AS$17,12),IF(Assm!$L$74=0,$D155,$E155)/AS154&gt;=1.05),IF(Assm!$L$74=0,$D155,$E155),AS154)</f>
        <v>2.38680829173927</v>
      </c>
      <c r="AT155" s="1671" t="n">
        <f aca="false">IF(AS155/AS154=1,AT154,AS155/AS154)</f>
        <v>1.05239090651144</v>
      </c>
      <c r="AU155" s="1671" t="n">
        <f aca="false">F155</f>
        <v>1.075</v>
      </c>
      <c r="AV155" s="1671" t="n">
        <f aca="false">MAX(AT155,AU155)</f>
        <v>1.075</v>
      </c>
      <c r="AW155" s="1675" t="n">
        <f aca="false">IF(AV155=AV154,AW154,AV155*AW154)</f>
        <v>2.61065535328591</v>
      </c>
    </row>
    <row r="156" customFormat="false" ht="12.75" hidden="false" customHeight="false" outlineLevel="0" collapsed="false">
      <c r="A156" s="1673" t="n">
        <f aca="false">EDATE(A155,1)</f>
        <v>39569</v>
      </c>
      <c r="B156" s="1659" t="n">
        <f aca="false">'[4]Monthly Curve Calc.'!B159</f>
        <v>340.967374670569</v>
      </c>
      <c r="C156" s="1660" t="n">
        <f aca="false">'[4]Monthly Curve Calc.'!C159</f>
        <v>214.93909013512</v>
      </c>
      <c r="D156" s="1661" t="n">
        <f aca="false">'[4]Monthly Curve Calc.'!F159</f>
        <v>2.48912762318016</v>
      </c>
      <c r="E156" s="1662" t="n">
        <f aca="false">IF($A156&lt;=E$16,D156,(B156/B155)/(C156/C155)*E155)</f>
        <v>1.93316315392084</v>
      </c>
      <c r="F156" s="1674" t="n">
        <f aca="false">IF(Assm!$L$75=0,F155,IF(AND($A156&gt;F$16,MONTH($A156)=MONTH(F$16)),B155/B143,F155))</f>
        <v>1.075</v>
      </c>
      <c r="G156" s="1668" t="n">
        <f aca="false">IF(Assm!$L$75=0,G155,IF(AND($A156&gt;G$16,MONTH($A156)=MONTH(G$16)),C155/C143,G155))</f>
        <v>1.02675304554174</v>
      </c>
      <c r="H156" s="1668" t="n">
        <f aca="false">IF(Assm!$L$75=0,H155,IF(AND($A156&gt;H$16,MONTH($A156)=MONTH(H$16)),C155/C143-H$18,H155))</f>
        <v>1.02425304554174</v>
      </c>
      <c r="I156" s="1668" t="n">
        <f aca="false">IF(Assm!$L$75=0,I155,IF($A156&gt;=I$16,IF(MONTH($A156)=MONTH(I$16),AVERAGE(D144:D155),I155),I155))</f>
        <v>2.43296671319364</v>
      </c>
      <c r="J156" s="1675" t="n">
        <f aca="false">IF(Assm!$L$75=0,J155,IF($A156&gt;=J$16,IF(MONTH($A156)=MONTH(J$16),AVERAGE(E144:E155),J155),J155))</f>
        <v>1.85707753867586</v>
      </c>
      <c r="K156" s="1624" t="n">
        <f aca="false">K155+1</f>
        <v>144</v>
      </c>
      <c r="L156" s="1667" t="n">
        <f aca="false">HLOOKUP(L$14,Dec_Change,$K156)</f>
        <v>1.02675304554174</v>
      </c>
      <c r="M156" s="1668" t="n">
        <f aca="false">M155</f>
        <v>0</v>
      </c>
      <c r="N156" s="1675" t="n">
        <f aca="false">IF(AND($A156&gt;=N$16,MONTH($A156)=MONTH(N$16)),MAX(L156,M156)*N155,N155)</f>
        <v>1.33877978058913</v>
      </c>
      <c r="P156" s="1667" t="n">
        <f aca="false">HLOOKUP(P$14,Dec_Change,$K156)</f>
        <v>1.075</v>
      </c>
      <c r="Q156" s="1668" t="n">
        <f aca="false">Q155</f>
        <v>0</v>
      </c>
      <c r="R156" s="1675" t="n">
        <f aca="false">IF(AND($A156&gt;=R$16,MONTH($A156)=MONTH(R$16)),MAX(P156,Q156)*R155,R155)</f>
        <v>2.42418933917714</v>
      </c>
      <c r="T156" s="1667" t="n">
        <f aca="false">HLOOKUP(T$14,Dec_Change,$K156)</f>
        <v>1.02675304554174</v>
      </c>
      <c r="U156" s="1668" t="n">
        <f aca="false">U155</f>
        <v>1.005</v>
      </c>
      <c r="V156" s="1675" t="n">
        <f aca="false">IF(AND($A156&gt;=V$16,MONTH($A156)=MONTH(V$16)),MAX(T156,U156)*V155,V155)</f>
        <v>1.33877978058913</v>
      </c>
      <c r="X156" s="1667" t="n">
        <f aca="false">HLOOKUP(X$14,Dec_Change,$K156)</f>
        <v>1.02425304554174</v>
      </c>
      <c r="Y156" s="1668" t="n">
        <f aca="false">Y155</f>
        <v>1.02</v>
      </c>
      <c r="Z156" s="1675" t="n">
        <f aca="false">IF(AND($A156&gt;=Z$16,MONTH($A156)=MONTH(Z$16)),MAX(X156,Y156)*Z155,Z155)</f>
        <v>1.31384867425998</v>
      </c>
      <c r="AB156" s="1667" t="n">
        <f aca="false">HLOOKUP(AB$14,Dec_Change,$K156)</f>
        <v>1.02425304554174</v>
      </c>
      <c r="AC156" s="1668" t="n">
        <f aca="false">AC155</f>
        <v>1.02</v>
      </c>
      <c r="AD156" s="1675" t="n">
        <f aca="false">IF(AND($A156&gt;=AD$16,MONTH($A156)=MONTH(AD$16)),MAX(AB156,AC156)*AD155,AD155)</f>
        <v>1.31384867425998</v>
      </c>
      <c r="AF156" s="1667" t="n">
        <f aca="false">HLOOKUP(AF$14,Dec_Change,$K156)</f>
        <v>1.075</v>
      </c>
      <c r="AG156" s="1668" t="n">
        <f aca="false">AG155</f>
        <v>0</v>
      </c>
      <c r="AH156" s="1675" t="n">
        <f aca="false">IF(AND($A156&gt;=AH$16,MONTH($A156)=MONTH(AH$16)),MAX(AF156,AG156)*AH155,AH155)</f>
        <v>2.42418933917714</v>
      </c>
      <c r="AJ156" s="1667" t="n">
        <f aca="false">HLOOKUP(AJ$14,Dec_Change,$K156)</f>
        <v>1.02425304554174</v>
      </c>
      <c r="AK156" s="1668" t="n">
        <f aca="false">AK155</f>
        <v>1.02</v>
      </c>
      <c r="AL156" s="1675" t="n">
        <f aca="false">IF(AND($A156&gt;=AL$16,MONTH($A156)=MONTH(AL$16)),MAX(AJ156,AK156)*AL155,AL155)</f>
        <v>1.31384867425998</v>
      </c>
      <c r="AN156" s="1667" t="n">
        <f aca="false">HLOOKUP(AN$14,Dec_Change,$K156)</f>
        <v>1.02675304554174</v>
      </c>
      <c r="AO156" s="1668" t="n">
        <f aca="false">AO155</f>
        <v>1.005</v>
      </c>
      <c r="AP156" s="1675" t="n">
        <f aca="false">IF(AND($A156&gt;=AP$16,MONTH($A156)=MONTH(AP$16)),MAX(AN156,AO156)*AP155,AP155)</f>
        <v>1.33877978058913</v>
      </c>
      <c r="AR156" s="1670" t="n">
        <f aca="false">$A156</f>
        <v>39569</v>
      </c>
      <c r="AS156" s="1671" t="n">
        <f aca="false">IF(AND($A156&gt;=EDATE(AS$17,12),IF(Assm!$L$74=0,$D156,$E156)/AS155&gt;=1.05),IF(Assm!$L$74=0,$D156,$E156),AS155)</f>
        <v>2.38680829173927</v>
      </c>
      <c r="AT156" s="1671" t="n">
        <f aca="false">IF(AS156/AS155=1,AT155,AS156/AS155)</f>
        <v>1.05239090651144</v>
      </c>
      <c r="AU156" s="1671" t="n">
        <f aca="false">F156</f>
        <v>1.075</v>
      </c>
      <c r="AV156" s="1671" t="n">
        <f aca="false">MAX(AT156,AU156)</f>
        <v>1.075</v>
      </c>
      <c r="AW156" s="1675" t="n">
        <f aca="false">IF(AV156=AV155,AW155,AV156*AW155)</f>
        <v>2.61065535328591</v>
      </c>
    </row>
    <row r="157" customFormat="false" ht="12.75" hidden="false" customHeight="false" outlineLevel="0" collapsed="false">
      <c r="A157" s="1673" t="n">
        <f aca="false">EDATE(A156,1)</f>
        <v>39600</v>
      </c>
      <c r="B157" s="1659" t="n">
        <f aca="false">'[4]Monthly Curve Calc.'!B160</f>
        <v>343.028494840378</v>
      </c>
      <c r="C157" s="1660" t="n">
        <f aca="false">'[4]Monthly Curve Calc.'!C160</f>
        <v>215.406674407222</v>
      </c>
      <c r="D157" s="1661" t="n">
        <f aca="false">'[4]Monthly Curve Calc.'!F160</f>
        <v>2.49439158254055</v>
      </c>
      <c r="E157" s="1662" t="n">
        <f aca="false">IF($A157&lt;=E$16,D157,(B157/B156)/(C157/C156)*E156)</f>
        <v>1.94062727592626</v>
      </c>
      <c r="F157" s="1674" t="n">
        <f aca="false">IF(Assm!$L$75=0,F156,IF(AND($A157&gt;F$16,MONTH($A157)=MONTH(F$16)),B156/B144,F156))</f>
        <v>1.075</v>
      </c>
      <c r="G157" s="1668" t="n">
        <f aca="false">IF(Assm!$L$75=0,G156,IF(AND($A157&gt;G$16,MONTH($A157)=MONTH(G$16)),C156/C144,G156))</f>
        <v>1.02675304554174</v>
      </c>
      <c r="H157" s="1668" t="n">
        <f aca="false">IF(Assm!$L$75=0,H156,IF(AND($A157&gt;H$16,MONTH($A157)=MONTH(H$16)),C156/C144-H$18,H156))</f>
        <v>1.02425304554174</v>
      </c>
      <c r="I157" s="1668" t="n">
        <f aca="false">IF(Assm!$L$75=0,I156,IF($A157&gt;=I$16,IF(MONTH($A157)=MONTH(I$16),AVERAGE(D145:D156),I156),I156))</f>
        <v>2.43296671319364</v>
      </c>
      <c r="J157" s="1675" t="n">
        <f aca="false">IF(Assm!$L$75=0,J156,IF($A157&gt;=J$16,IF(MONTH($A157)=MONTH(J$16),AVERAGE(E145:E156),J156),J156))</f>
        <v>1.85707753867586</v>
      </c>
      <c r="K157" s="1624" t="n">
        <f aca="false">K156+1</f>
        <v>145</v>
      </c>
      <c r="L157" s="1667" t="n">
        <f aca="false">HLOOKUP(L$14,Dec_Change,$K157)</f>
        <v>1.02675304554174</v>
      </c>
      <c r="M157" s="1668" t="n">
        <f aca="false">M156</f>
        <v>0</v>
      </c>
      <c r="N157" s="1675" t="n">
        <f aca="false">IF(AND($A157&gt;=N$16,MONTH($A157)=MONTH(N$16)),MAX(L157,M157)*N156,N156)</f>
        <v>1.33877978058913</v>
      </c>
      <c r="P157" s="1667" t="n">
        <f aca="false">HLOOKUP(P$14,Dec_Change,$K157)</f>
        <v>1.075</v>
      </c>
      <c r="Q157" s="1668" t="n">
        <f aca="false">Q156</f>
        <v>0</v>
      </c>
      <c r="R157" s="1675" t="n">
        <f aca="false">IF(AND($A157&gt;=R$16,MONTH($A157)=MONTH(R$16)),MAX(P157,Q157)*R156,R156)</f>
        <v>2.42418933917714</v>
      </c>
      <c r="T157" s="1667" t="n">
        <f aca="false">HLOOKUP(T$14,Dec_Change,$K157)</f>
        <v>1.02675304554174</v>
      </c>
      <c r="U157" s="1668" t="n">
        <f aca="false">U156</f>
        <v>1.005</v>
      </c>
      <c r="V157" s="1675" t="n">
        <f aca="false">IF(AND($A157&gt;=V$16,MONTH($A157)=MONTH(V$16)),MAX(T157,U157)*V156,V156)</f>
        <v>1.33877978058913</v>
      </c>
      <c r="X157" s="1667" t="n">
        <f aca="false">HLOOKUP(X$14,Dec_Change,$K157)</f>
        <v>1.02425304554174</v>
      </c>
      <c r="Y157" s="1668" t="n">
        <f aca="false">Y156</f>
        <v>1.02</v>
      </c>
      <c r="Z157" s="1675" t="n">
        <f aca="false">IF(AND($A157&gt;=Z$16,MONTH($A157)=MONTH(Z$16)),MAX(X157,Y157)*Z156,Z156)</f>
        <v>1.31384867425998</v>
      </c>
      <c r="AB157" s="1667" t="n">
        <f aca="false">HLOOKUP(AB$14,Dec_Change,$K157)</f>
        <v>1.02425304554174</v>
      </c>
      <c r="AC157" s="1668" t="n">
        <f aca="false">AC156</f>
        <v>1.02</v>
      </c>
      <c r="AD157" s="1675" t="n">
        <f aca="false">IF(AND($A157&gt;=AD$16,MONTH($A157)=MONTH(AD$16)),MAX(AB157,AC157)*AD156,AD156)</f>
        <v>1.31384867425998</v>
      </c>
      <c r="AF157" s="1667" t="n">
        <f aca="false">HLOOKUP(AF$14,Dec_Change,$K157)</f>
        <v>1.075</v>
      </c>
      <c r="AG157" s="1668" t="n">
        <f aca="false">AG156</f>
        <v>0</v>
      </c>
      <c r="AH157" s="1675" t="n">
        <f aca="false">IF(AND($A157&gt;=AH$16,MONTH($A157)=MONTH(AH$16)),MAX(AF157,AG157)*AH156,AH156)</f>
        <v>2.42418933917714</v>
      </c>
      <c r="AJ157" s="1667" t="n">
        <f aca="false">HLOOKUP(AJ$14,Dec_Change,$K157)</f>
        <v>1.02425304554174</v>
      </c>
      <c r="AK157" s="1668" t="n">
        <f aca="false">AK156</f>
        <v>1.02</v>
      </c>
      <c r="AL157" s="1675" t="n">
        <f aca="false">IF(AND($A157&gt;=AL$16,MONTH($A157)=MONTH(AL$16)),MAX(AJ157,AK157)*AL156,AL156)</f>
        <v>1.31384867425998</v>
      </c>
      <c r="AN157" s="1667" t="n">
        <f aca="false">HLOOKUP(AN$14,Dec_Change,$K157)</f>
        <v>1.02675304554174</v>
      </c>
      <c r="AO157" s="1668" t="n">
        <f aca="false">AO156</f>
        <v>1.005</v>
      </c>
      <c r="AP157" s="1675" t="n">
        <f aca="false">IF(AND($A157&gt;=AP$16,MONTH($A157)=MONTH(AP$16)),MAX(AN157,AO157)*AP156,AP156)</f>
        <v>1.33877978058913</v>
      </c>
      <c r="AR157" s="1670" t="n">
        <f aca="false">$A157</f>
        <v>39600</v>
      </c>
      <c r="AS157" s="1671" t="n">
        <f aca="false">IF(AND($A157&gt;=EDATE(AS$17,12),IF(Assm!$L$74=0,$D157,$E157)/AS156&gt;=1.05),IF(Assm!$L$74=0,$D157,$E157),AS156)</f>
        <v>2.38680829173927</v>
      </c>
      <c r="AT157" s="1671" t="n">
        <f aca="false">IF(AS157/AS156=1,AT156,AS157/AS156)</f>
        <v>1.05239090651144</v>
      </c>
      <c r="AU157" s="1671" t="n">
        <f aca="false">F157</f>
        <v>1.075</v>
      </c>
      <c r="AV157" s="1671" t="n">
        <f aca="false">MAX(AT157,AU157)</f>
        <v>1.075</v>
      </c>
      <c r="AW157" s="1675" t="n">
        <f aca="false">IF(AV157=AV156,AW156,AV157*AW156)</f>
        <v>2.61065535328591</v>
      </c>
    </row>
    <row r="158" customFormat="false" ht="12.75" hidden="false" customHeight="false" outlineLevel="0" collapsed="false">
      <c r="A158" s="1673" t="n">
        <f aca="false">EDATE(A157,1)</f>
        <v>39630</v>
      </c>
      <c r="B158" s="1659" t="n">
        <f aca="false">'[4]Monthly Curve Calc.'!B161</f>
        <v>345.102074314712</v>
      </c>
      <c r="C158" s="1660" t="n">
        <f aca="false">'[4]Monthly Curve Calc.'!C161</f>
        <v>215.875275874712</v>
      </c>
      <c r="D158" s="1661" t="n">
        <f aca="false">'[4]Monthly Curve Calc.'!F161</f>
        <v>2.49966667402123</v>
      </c>
      <c r="E158" s="1662" t="n">
        <f aca="false">IF($A158&lt;=E$16,D158,(B158/B157)/(C158/C157)*E157)</f>
        <v>1.94812021759814</v>
      </c>
      <c r="F158" s="1674" t="n">
        <f aca="false">IF(Assm!$L$75=0,F157,IF(AND($A158&gt;F$16,MONTH($A158)=MONTH(F$16)),B157/B145,F157))</f>
        <v>1.075</v>
      </c>
      <c r="G158" s="1668" t="n">
        <f aca="false">IF(Assm!$L$75=0,G157,IF(AND($A158&gt;G$16,MONTH($A158)=MONTH(G$16)),C157/C145,G157))</f>
        <v>1.02675304554174</v>
      </c>
      <c r="H158" s="1668" t="n">
        <f aca="false">IF(Assm!$L$75=0,H157,IF(AND($A158&gt;H$16,MONTH($A158)=MONTH(H$16)),C157/C145-H$18,H157))</f>
        <v>1.02425304554174</v>
      </c>
      <c r="I158" s="1668" t="n">
        <f aca="false">IF(Assm!$L$75=0,I157,IF($A158&gt;=I$16,IF(MONTH($A158)=MONTH(I$16),AVERAGE(D146:D157),I157),I157))</f>
        <v>2.43296671319364</v>
      </c>
      <c r="J158" s="1675" t="n">
        <f aca="false">IF(Assm!$L$75=0,J157,IF($A158&gt;=J$16,IF(MONTH($A158)=MONTH(J$16),AVERAGE(E146:E157),J157),J157))</f>
        <v>1.85707753867586</v>
      </c>
      <c r="K158" s="1624" t="n">
        <f aca="false">K157+1</f>
        <v>146</v>
      </c>
      <c r="L158" s="1667" t="n">
        <f aca="false">HLOOKUP(L$14,Dec_Change,$K158)</f>
        <v>1.02675304554174</v>
      </c>
      <c r="M158" s="1668" t="n">
        <f aca="false">M157</f>
        <v>0</v>
      </c>
      <c r="N158" s="1675" t="n">
        <f aca="false">IF(AND($A158&gt;=N$16,MONTH($A158)=MONTH(N$16)),MAX(L158,M158)*N157,N157)</f>
        <v>1.33877978058913</v>
      </c>
      <c r="P158" s="1667" t="n">
        <f aca="false">HLOOKUP(P$14,Dec_Change,$K158)</f>
        <v>1.075</v>
      </c>
      <c r="Q158" s="1668" t="n">
        <f aca="false">Q157</f>
        <v>0</v>
      </c>
      <c r="R158" s="1675" t="n">
        <f aca="false">IF(AND($A158&gt;=R$16,MONTH($A158)=MONTH(R$16)),MAX(P158,Q158)*R157,R157)</f>
        <v>2.42418933917714</v>
      </c>
      <c r="T158" s="1667" t="n">
        <f aca="false">HLOOKUP(T$14,Dec_Change,$K158)</f>
        <v>1.02675304554174</v>
      </c>
      <c r="U158" s="1668" t="n">
        <f aca="false">U157</f>
        <v>1.005</v>
      </c>
      <c r="V158" s="1675" t="n">
        <f aca="false">IF(AND($A158&gt;=V$16,MONTH($A158)=MONTH(V$16)),MAX(T158,U158)*V157,V157)</f>
        <v>1.33877978058913</v>
      </c>
      <c r="X158" s="1667" t="n">
        <f aca="false">HLOOKUP(X$14,Dec_Change,$K158)</f>
        <v>1.02425304554174</v>
      </c>
      <c r="Y158" s="1668" t="n">
        <f aca="false">Y157</f>
        <v>1.02</v>
      </c>
      <c r="Z158" s="1675" t="n">
        <f aca="false">IF(AND($A158&gt;=Z$16,MONTH($A158)=MONTH(Z$16)),MAX(X158,Y158)*Z157,Z157)</f>
        <v>1.31384867425998</v>
      </c>
      <c r="AB158" s="1667" t="n">
        <f aca="false">HLOOKUP(AB$14,Dec_Change,$K158)</f>
        <v>1.02425304554174</v>
      </c>
      <c r="AC158" s="1668" t="n">
        <f aca="false">AC157</f>
        <v>1.02</v>
      </c>
      <c r="AD158" s="1675" t="n">
        <f aca="false">IF(AND($A158&gt;=AD$16,MONTH($A158)=MONTH(AD$16)),MAX(AB158,AC158)*AD157,AD157)</f>
        <v>1.31384867425998</v>
      </c>
      <c r="AF158" s="1667" t="n">
        <f aca="false">HLOOKUP(AF$14,Dec_Change,$K158)</f>
        <v>1.075</v>
      </c>
      <c r="AG158" s="1668" t="n">
        <f aca="false">AG157</f>
        <v>0</v>
      </c>
      <c r="AH158" s="1675" t="n">
        <f aca="false">IF(AND($A158&gt;=AH$16,MONTH($A158)=MONTH(AH$16)),MAX(AF158,AG158)*AH157,AH157)</f>
        <v>2.42418933917714</v>
      </c>
      <c r="AJ158" s="1667" t="n">
        <f aca="false">HLOOKUP(AJ$14,Dec_Change,$K158)</f>
        <v>1.02425304554174</v>
      </c>
      <c r="AK158" s="1668" t="n">
        <f aca="false">AK157</f>
        <v>1.02</v>
      </c>
      <c r="AL158" s="1675" t="n">
        <f aca="false">IF(AND($A158&gt;=AL$16,MONTH($A158)=MONTH(AL$16)),MAX(AJ158,AK158)*AL157,AL157)</f>
        <v>1.31384867425998</v>
      </c>
      <c r="AN158" s="1667" t="n">
        <f aca="false">HLOOKUP(AN$14,Dec_Change,$K158)</f>
        <v>1.02675304554174</v>
      </c>
      <c r="AO158" s="1668" t="n">
        <f aca="false">AO157</f>
        <v>1.005</v>
      </c>
      <c r="AP158" s="1675" t="n">
        <f aca="false">IF(AND($A158&gt;=AP$16,MONTH($A158)=MONTH(AP$16)),MAX(AN158,AO158)*AP157,AP157)</f>
        <v>1.33877978058913</v>
      </c>
      <c r="AR158" s="1670" t="n">
        <f aca="false">$A158</f>
        <v>39630</v>
      </c>
      <c r="AS158" s="1671" t="n">
        <f aca="false">IF(AND($A158&gt;=EDATE(AS$17,12),IF(Assm!$L$74=0,$D158,$E158)/AS157&gt;=1.05),IF(Assm!$L$74=0,$D158,$E158),AS157)</f>
        <v>2.38680829173927</v>
      </c>
      <c r="AT158" s="1671" t="n">
        <f aca="false">IF(AS158/AS157=1,AT157,AS158/AS157)</f>
        <v>1.05239090651144</v>
      </c>
      <c r="AU158" s="1671" t="n">
        <f aca="false">F158</f>
        <v>1.075</v>
      </c>
      <c r="AV158" s="1671" t="n">
        <f aca="false">MAX(AT158,AU158)</f>
        <v>1.075</v>
      </c>
      <c r="AW158" s="1675" t="n">
        <f aca="false">IF(AV158=AV157,AW157,AV158*AW157)</f>
        <v>2.61065535328591</v>
      </c>
    </row>
    <row r="159" customFormat="false" ht="12.75" hidden="false" customHeight="false" outlineLevel="0" collapsed="false">
      <c r="A159" s="1673" t="n">
        <f aca="false">EDATE(A158,1)</f>
        <v>39661</v>
      </c>
      <c r="B159" s="1659" t="n">
        <f aca="false">'[4]Monthly Curve Calc.'!B162</f>
        <v>347.18818840906</v>
      </c>
      <c r="C159" s="1660" t="n">
        <f aca="false">'[4]Monthly Curve Calc.'!C162</f>
        <v>216.344896750427</v>
      </c>
      <c r="D159" s="1661" t="n">
        <f aca="false">'[4]Monthly Curve Calc.'!F162</f>
        <v>2.50495292116421</v>
      </c>
      <c r="E159" s="1662" t="n">
        <f aca="false">IF($A159&lt;=E$16,D159,(B159/B158)/(C159/C158)*E158)</f>
        <v>1.95564209021189</v>
      </c>
      <c r="F159" s="1674" t="n">
        <f aca="false">IF(Assm!$L$75=0,F158,IF(AND($A159&gt;F$16,MONTH($A159)=MONTH(F$16)),B158/B146,F158))</f>
        <v>1.075</v>
      </c>
      <c r="G159" s="1668" t="n">
        <f aca="false">IF(Assm!$L$75=0,G158,IF(AND($A159&gt;G$16,MONTH($A159)=MONTH(G$16)),C158/C146,G158))</f>
        <v>1.02675304554174</v>
      </c>
      <c r="H159" s="1668" t="n">
        <f aca="false">IF(Assm!$L$75=0,H158,IF(AND($A159&gt;H$16,MONTH($A159)=MONTH(H$16)),C158/C146-H$18,H158))</f>
        <v>1.02425304554174</v>
      </c>
      <c r="I159" s="1668" t="n">
        <f aca="false">IF(Assm!$L$75=0,I158,IF($A159&gt;=I$16,IF(MONTH($A159)=MONTH(I$16),AVERAGE(D147:D158),I158),I158))</f>
        <v>2.43296671319364</v>
      </c>
      <c r="J159" s="1675" t="n">
        <f aca="false">IF(Assm!$L$75=0,J158,IF($A159&gt;=J$16,IF(MONTH($A159)=MONTH(J$16),AVERAGE(E147:E158),J158),J158))</f>
        <v>1.85707753867586</v>
      </c>
      <c r="K159" s="1624" t="n">
        <f aca="false">K158+1</f>
        <v>147</v>
      </c>
      <c r="L159" s="1667" t="n">
        <f aca="false">HLOOKUP(L$14,Dec_Change,$K159)</f>
        <v>1.02675304554174</v>
      </c>
      <c r="M159" s="1668" t="n">
        <f aca="false">M158</f>
        <v>0</v>
      </c>
      <c r="N159" s="1675" t="n">
        <f aca="false">IF(AND($A159&gt;=N$16,MONTH($A159)=MONTH(N$16)),MAX(L159,M159)*N158,N158)</f>
        <v>1.33877978058913</v>
      </c>
      <c r="P159" s="1667" t="n">
        <f aca="false">HLOOKUP(P$14,Dec_Change,$K159)</f>
        <v>1.075</v>
      </c>
      <c r="Q159" s="1668" t="n">
        <f aca="false">Q158</f>
        <v>0</v>
      </c>
      <c r="R159" s="1675" t="n">
        <f aca="false">IF(AND($A159&gt;=R$16,MONTH($A159)=MONTH(R$16)),MAX(P159,Q159)*R158,R158)</f>
        <v>2.42418933917714</v>
      </c>
      <c r="T159" s="1667" t="n">
        <f aca="false">HLOOKUP(T$14,Dec_Change,$K159)</f>
        <v>1.02675304554174</v>
      </c>
      <c r="U159" s="1668" t="n">
        <f aca="false">U158</f>
        <v>1.005</v>
      </c>
      <c r="V159" s="1675" t="n">
        <f aca="false">IF(AND($A159&gt;=V$16,MONTH($A159)=MONTH(V$16)),MAX(T159,U159)*V158,V158)</f>
        <v>1.33877978058913</v>
      </c>
      <c r="X159" s="1667" t="n">
        <f aca="false">HLOOKUP(X$14,Dec_Change,$K159)</f>
        <v>1.02425304554174</v>
      </c>
      <c r="Y159" s="1668" t="n">
        <f aca="false">Y158</f>
        <v>1.02</v>
      </c>
      <c r="Z159" s="1675" t="n">
        <f aca="false">IF(AND($A159&gt;=Z$16,MONTH($A159)=MONTH(Z$16)),MAX(X159,Y159)*Z158,Z158)</f>
        <v>1.31384867425998</v>
      </c>
      <c r="AB159" s="1667" t="n">
        <f aca="false">HLOOKUP(AB$14,Dec_Change,$K159)</f>
        <v>1.02425304554174</v>
      </c>
      <c r="AC159" s="1668" t="n">
        <f aca="false">AC158</f>
        <v>1.02</v>
      </c>
      <c r="AD159" s="1675" t="n">
        <f aca="false">IF(AND($A159&gt;=AD$16,MONTH($A159)=MONTH(AD$16)),MAX(AB159,AC159)*AD158,AD158)</f>
        <v>1.31384867425998</v>
      </c>
      <c r="AF159" s="1667" t="n">
        <f aca="false">HLOOKUP(AF$14,Dec_Change,$K159)</f>
        <v>1.075</v>
      </c>
      <c r="AG159" s="1668" t="n">
        <f aca="false">AG158</f>
        <v>0</v>
      </c>
      <c r="AH159" s="1675" t="n">
        <f aca="false">IF(AND($A159&gt;=AH$16,MONTH($A159)=MONTH(AH$16)),MAX(AF159,AG159)*AH158,AH158)</f>
        <v>2.42418933917714</v>
      </c>
      <c r="AJ159" s="1667" t="n">
        <f aca="false">HLOOKUP(AJ$14,Dec_Change,$K159)</f>
        <v>1.02425304554174</v>
      </c>
      <c r="AK159" s="1668" t="n">
        <f aca="false">AK158</f>
        <v>1.02</v>
      </c>
      <c r="AL159" s="1675" t="n">
        <f aca="false">IF(AND($A159&gt;=AL$16,MONTH($A159)=MONTH(AL$16)),MAX(AJ159,AK159)*AL158,AL158)</f>
        <v>1.31384867425998</v>
      </c>
      <c r="AN159" s="1667" t="n">
        <f aca="false">HLOOKUP(AN$14,Dec_Change,$K159)</f>
        <v>1.02675304554174</v>
      </c>
      <c r="AO159" s="1668" t="n">
        <f aca="false">AO158</f>
        <v>1.005</v>
      </c>
      <c r="AP159" s="1675" t="n">
        <f aca="false">IF(AND($A159&gt;=AP$16,MONTH($A159)=MONTH(AP$16)),MAX(AN159,AO159)*AP158,AP158)</f>
        <v>1.33877978058913</v>
      </c>
      <c r="AR159" s="1670" t="n">
        <f aca="false">$A159</f>
        <v>39661</v>
      </c>
      <c r="AS159" s="1671" t="n">
        <f aca="false">IF(AND($A159&gt;=EDATE(AS$17,12),IF(Assm!$L$74=0,$D159,$E159)/AS158&gt;=1.05),IF(Assm!$L$74=0,$D159,$E159),AS158)</f>
        <v>2.38680829173927</v>
      </c>
      <c r="AT159" s="1671" t="n">
        <f aca="false">IF(AS159/AS158=1,AT158,AS159/AS158)</f>
        <v>1.05239090651144</v>
      </c>
      <c r="AU159" s="1671" t="n">
        <f aca="false">F159</f>
        <v>1.075</v>
      </c>
      <c r="AV159" s="1671" t="n">
        <f aca="false">MAX(AT159,AU159)</f>
        <v>1.075</v>
      </c>
      <c r="AW159" s="1675" t="n">
        <f aca="false">IF(AV159=AV158,AW158,AV159*AW158)</f>
        <v>2.61065535328591</v>
      </c>
    </row>
    <row r="160" customFormat="false" ht="12.75" hidden="false" customHeight="false" outlineLevel="0" collapsed="false">
      <c r="A160" s="1673" t="n">
        <f aca="false">EDATE(A159,1)</f>
        <v>39692</v>
      </c>
      <c r="B160" s="1659" t="n">
        <f aca="false">'[4]Monthly Curve Calc.'!B163</f>
        <v>349.286912894183</v>
      </c>
      <c r="C160" s="1660" t="n">
        <f aca="false">'[4]Monthly Curve Calc.'!C163</f>
        <v>216.815539252013</v>
      </c>
      <c r="D160" s="1661" t="n">
        <f aca="false">'[4]Monthly Curve Calc.'!F163</f>
        <v>2.51025034756126</v>
      </c>
      <c r="E160" s="1662" t="n">
        <f aca="false">IF($A160&lt;=E$16,D160,(B160/B159)/(C160/C159)*E159)</f>
        <v>1.96319300547254</v>
      </c>
      <c r="F160" s="1674" t="n">
        <f aca="false">IF(Assm!$L$75=0,F159,IF(AND($A160&gt;F$16,MONTH($A160)=MONTH(F$16)),B159/B147,F159))</f>
        <v>1.075</v>
      </c>
      <c r="G160" s="1668" t="n">
        <f aca="false">IF(Assm!$L$75=0,G159,IF(AND($A160&gt;G$16,MONTH($A160)=MONTH(G$16)),C159/C147,G159))</f>
        <v>1.02675304554174</v>
      </c>
      <c r="H160" s="1668" t="n">
        <f aca="false">IF(Assm!$L$75=0,H159,IF(AND($A160&gt;H$16,MONTH($A160)=MONTH(H$16)),C159/C147-H$18,H159))</f>
        <v>1.02425304554174</v>
      </c>
      <c r="I160" s="1668" t="n">
        <f aca="false">IF(Assm!$L$75=0,I159,IF($A160&gt;=I$16,IF(MONTH($A160)=MONTH(I$16),AVERAGE(D148:D159),I159),I159))</f>
        <v>2.43296671319364</v>
      </c>
      <c r="J160" s="1675" t="n">
        <f aca="false">IF(Assm!$L$75=0,J159,IF($A160&gt;=J$16,IF(MONTH($A160)=MONTH(J$16),AVERAGE(E148:E159),J159),J159))</f>
        <v>1.85707753867586</v>
      </c>
      <c r="K160" s="1624" t="n">
        <f aca="false">K159+1</f>
        <v>148</v>
      </c>
      <c r="L160" s="1667" t="n">
        <f aca="false">HLOOKUP(L$14,Dec_Change,$K160)</f>
        <v>1.02675304554174</v>
      </c>
      <c r="M160" s="1668" t="n">
        <f aca="false">M159</f>
        <v>0</v>
      </c>
      <c r="N160" s="1675" t="n">
        <f aca="false">IF(AND($A160&gt;=N$16,MONTH($A160)=MONTH(N$16)),MAX(L160,M160)*N159,N159)</f>
        <v>1.33877978058913</v>
      </c>
      <c r="P160" s="1667" t="n">
        <f aca="false">HLOOKUP(P$14,Dec_Change,$K160)</f>
        <v>1.075</v>
      </c>
      <c r="Q160" s="1668" t="n">
        <f aca="false">Q159</f>
        <v>0</v>
      </c>
      <c r="R160" s="1675" t="n">
        <f aca="false">IF(AND($A160&gt;=R$16,MONTH($A160)=MONTH(R$16)),MAX(P160,Q160)*R159,R159)</f>
        <v>2.42418933917714</v>
      </c>
      <c r="T160" s="1667" t="n">
        <f aca="false">HLOOKUP(T$14,Dec_Change,$K160)</f>
        <v>1.02675304554174</v>
      </c>
      <c r="U160" s="1668" t="n">
        <f aca="false">U159</f>
        <v>1.005</v>
      </c>
      <c r="V160" s="1675" t="n">
        <f aca="false">IF(AND($A160&gt;=V$16,MONTH($A160)=MONTH(V$16)),MAX(T160,U160)*V159,V159)</f>
        <v>1.33877978058913</v>
      </c>
      <c r="X160" s="1667" t="n">
        <f aca="false">HLOOKUP(X$14,Dec_Change,$K160)</f>
        <v>1.02425304554174</v>
      </c>
      <c r="Y160" s="1668" t="n">
        <f aca="false">Y159</f>
        <v>1.02</v>
      </c>
      <c r="Z160" s="1675" t="n">
        <f aca="false">IF(AND($A160&gt;=Z$16,MONTH($A160)=MONTH(Z$16)),MAX(X160,Y160)*Z159,Z159)</f>
        <v>1.31384867425998</v>
      </c>
      <c r="AB160" s="1667" t="n">
        <f aca="false">HLOOKUP(AB$14,Dec_Change,$K160)</f>
        <v>1.02425304554174</v>
      </c>
      <c r="AC160" s="1668" t="n">
        <f aca="false">AC159</f>
        <v>1.02</v>
      </c>
      <c r="AD160" s="1675" t="n">
        <f aca="false">IF(AND($A160&gt;=AD$16,MONTH($A160)=MONTH(AD$16)),MAX(AB160,AC160)*AD159,AD159)</f>
        <v>1.31384867425998</v>
      </c>
      <c r="AF160" s="1667" t="n">
        <f aca="false">HLOOKUP(AF$14,Dec_Change,$K160)</f>
        <v>1.075</v>
      </c>
      <c r="AG160" s="1668" t="n">
        <f aca="false">AG159</f>
        <v>0</v>
      </c>
      <c r="AH160" s="1675" t="n">
        <f aca="false">IF(AND($A160&gt;=AH$16,MONTH($A160)=MONTH(AH$16)),MAX(AF160,AG160)*AH159,AH159)</f>
        <v>2.42418933917714</v>
      </c>
      <c r="AJ160" s="1667" t="n">
        <f aca="false">HLOOKUP(AJ$14,Dec_Change,$K160)</f>
        <v>1.02425304554174</v>
      </c>
      <c r="AK160" s="1668" t="n">
        <f aca="false">AK159</f>
        <v>1.02</v>
      </c>
      <c r="AL160" s="1675" t="n">
        <f aca="false">IF(AND($A160&gt;=AL$16,MONTH($A160)=MONTH(AL$16)),MAX(AJ160,AK160)*AL159,AL159)</f>
        <v>1.31384867425998</v>
      </c>
      <c r="AN160" s="1667" t="n">
        <f aca="false">HLOOKUP(AN$14,Dec_Change,$K160)</f>
        <v>1.02675304554174</v>
      </c>
      <c r="AO160" s="1668" t="n">
        <f aca="false">AO159</f>
        <v>1.005</v>
      </c>
      <c r="AP160" s="1675" t="n">
        <f aca="false">IF(AND($A160&gt;=AP$16,MONTH($A160)=MONTH(AP$16)),MAX(AN160,AO160)*AP159,AP159)</f>
        <v>1.33877978058913</v>
      </c>
      <c r="AR160" s="1670" t="n">
        <f aca="false">$A160</f>
        <v>39692</v>
      </c>
      <c r="AS160" s="1671" t="n">
        <f aca="false">IF(AND($A160&gt;=EDATE(AS$17,12),IF(Assm!$L$74=0,$D160,$E160)/AS159&gt;=1.05),IF(Assm!$L$74=0,$D160,$E160),AS159)</f>
        <v>2.51025034756126</v>
      </c>
      <c r="AT160" s="1671" t="n">
        <f aca="false">IF(AS160/AS159=1,AT159,AS160/AS159)</f>
        <v>1.0517184627895</v>
      </c>
      <c r="AU160" s="1671" t="n">
        <f aca="false">F160</f>
        <v>1.075</v>
      </c>
      <c r="AV160" s="1671" t="n">
        <f aca="false">MAX(AT160,AU160)</f>
        <v>1.075</v>
      </c>
      <c r="AW160" s="1675" t="n">
        <f aca="false">IF(AV160=AV159,AW159,AV160*AW159)</f>
        <v>2.61065535328591</v>
      </c>
    </row>
    <row r="161" customFormat="false" ht="12.75" hidden="false" customHeight="false" outlineLevel="0" collapsed="false">
      <c r="A161" s="1673" t="n">
        <f aca="false">EDATE(A160,1)</f>
        <v>39722</v>
      </c>
      <c r="B161" s="1659" t="n">
        <f aca="false">'[4]Monthly Curve Calc.'!B164</f>
        <v>351.398323998873</v>
      </c>
      <c r="C161" s="1660" t="n">
        <f aca="false">'[4]Monthly Curve Calc.'!C164</f>
        <v>217.287205601944</v>
      </c>
      <c r="D161" s="1661" t="n">
        <f aca="false">'[4]Monthly Curve Calc.'!F164</f>
        <v>2.51555897685407</v>
      </c>
      <c r="E161" s="1662" t="n">
        <f aca="false">IF($A161&lt;=E$16,D161,(B161/B160)/(C161/C160)*E160)</f>
        <v>1.97077307551645</v>
      </c>
      <c r="F161" s="1674" t="n">
        <f aca="false">IF(Assm!$L$75=0,F160,IF(AND($A161&gt;F$16,MONTH($A161)=MONTH(F$16)),B160/B148,F160))</f>
        <v>1.075</v>
      </c>
      <c r="G161" s="1668" t="n">
        <f aca="false">IF(Assm!$L$75=0,G160,IF(AND($A161&gt;G$16,MONTH($A161)=MONTH(G$16)),C160/C148,G160))</f>
        <v>1.02675304554174</v>
      </c>
      <c r="H161" s="1668" t="n">
        <f aca="false">IF(Assm!$L$75=0,H160,IF(AND($A161&gt;H$16,MONTH($A161)=MONTH(H$16)),C160/C148-H$18,H160))</f>
        <v>1.02425304554174</v>
      </c>
      <c r="I161" s="1668" t="n">
        <f aca="false">IF(Assm!$L$75=0,I160,IF($A161&gt;=I$16,IF(MONTH($A161)=MONTH(I$16),AVERAGE(D149:D160),I160),I160))</f>
        <v>2.43296671319364</v>
      </c>
      <c r="J161" s="1675" t="n">
        <f aca="false">IF(Assm!$L$75=0,J160,IF($A161&gt;=J$16,IF(MONTH($A161)=MONTH(J$16),AVERAGE(E149:E160),J160),J160))</f>
        <v>1.85707753867586</v>
      </c>
      <c r="K161" s="1624" t="n">
        <f aca="false">K160+1</f>
        <v>149</v>
      </c>
      <c r="L161" s="1667" t="n">
        <f aca="false">HLOOKUP(L$14,Dec_Change,$K161)</f>
        <v>1.02675304554174</v>
      </c>
      <c r="M161" s="1668" t="n">
        <f aca="false">M160</f>
        <v>0</v>
      </c>
      <c r="N161" s="1675" t="n">
        <f aca="false">IF(AND($A161&gt;=N$16,MONTH($A161)=MONTH(N$16)),MAX(L161,M161)*N160,N160)</f>
        <v>1.33877978058913</v>
      </c>
      <c r="P161" s="1667" t="n">
        <f aca="false">HLOOKUP(P$14,Dec_Change,$K161)</f>
        <v>1.075</v>
      </c>
      <c r="Q161" s="1668" t="n">
        <f aca="false">Q160</f>
        <v>0</v>
      </c>
      <c r="R161" s="1675" t="n">
        <f aca="false">IF(AND($A161&gt;=R$16,MONTH($A161)=MONTH(R$16)),MAX(P161,Q161)*R160,R160)</f>
        <v>2.42418933917714</v>
      </c>
      <c r="T161" s="1667" t="n">
        <f aca="false">HLOOKUP(T$14,Dec_Change,$K161)</f>
        <v>1.02675304554174</v>
      </c>
      <c r="U161" s="1668" t="n">
        <f aca="false">U160</f>
        <v>1.005</v>
      </c>
      <c r="V161" s="1675" t="n">
        <f aca="false">IF(AND($A161&gt;=V$16,MONTH($A161)=MONTH(V$16)),MAX(T161,U161)*V160,V160)</f>
        <v>1.33877978058913</v>
      </c>
      <c r="X161" s="1667" t="n">
        <f aca="false">HLOOKUP(X$14,Dec_Change,$K161)</f>
        <v>1.02425304554174</v>
      </c>
      <c r="Y161" s="1668" t="n">
        <f aca="false">Y160</f>
        <v>1.02</v>
      </c>
      <c r="Z161" s="1675" t="n">
        <f aca="false">IF(AND($A161&gt;=Z$16,MONTH($A161)=MONTH(Z$16)),MAX(X161,Y161)*Z160,Z160)</f>
        <v>1.31384867425998</v>
      </c>
      <c r="AB161" s="1667" t="n">
        <f aca="false">HLOOKUP(AB$14,Dec_Change,$K161)</f>
        <v>1.02425304554174</v>
      </c>
      <c r="AC161" s="1668" t="n">
        <f aca="false">AC160</f>
        <v>1.02</v>
      </c>
      <c r="AD161" s="1675" t="n">
        <f aca="false">IF(AND($A161&gt;=AD$16,MONTH($A161)=MONTH(AD$16)),MAX(AB161,AC161)*AD160,AD160)</f>
        <v>1.31384867425998</v>
      </c>
      <c r="AF161" s="1667" t="n">
        <f aca="false">HLOOKUP(AF$14,Dec_Change,$K161)</f>
        <v>1.075</v>
      </c>
      <c r="AG161" s="1668" t="n">
        <f aca="false">AG160</f>
        <v>0</v>
      </c>
      <c r="AH161" s="1675" t="n">
        <f aca="false">IF(AND($A161&gt;=AH$16,MONTH($A161)=MONTH(AH$16)),MAX(AF161,AG161)*AH160,AH160)</f>
        <v>2.42418933917714</v>
      </c>
      <c r="AJ161" s="1667" t="n">
        <f aca="false">HLOOKUP(AJ$14,Dec_Change,$K161)</f>
        <v>1.02425304554174</v>
      </c>
      <c r="AK161" s="1668" t="n">
        <f aca="false">AK160</f>
        <v>1.02</v>
      </c>
      <c r="AL161" s="1675" t="n">
        <f aca="false">IF(AND($A161&gt;=AL$16,MONTH($A161)=MONTH(AL$16)),MAX(AJ161,AK161)*AL160,AL160)</f>
        <v>1.31384867425998</v>
      </c>
      <c r="AN161" s="1667" t="n">
        <f aca="false">HLOOKUP(AN$14,Dec_Change,$K161)</f>
        <v>1.02675304554174</v>
      </c>
      <c r="AO161" s="1668" t="n">
        <f aca="false">AO160</f>
        <v>1.005</v>
      </c>
      <c r="AP161" s="1675" t="n">
        <f aca="false">IF(AND($A161&gt;=AP$16,MONTH($A161)=MONTH(AP$16)),MAX(AN161,AO161)*AP160,AP160)</f>
        <v>1.33877978058913</v>
      </c>
      <c r="AR161" s="1670" t="n">
        <f aca="false">$A161</f>
        <v>39722</v>
      </c>
      <c r="AS161" s="1671" t="n">
        <f aca="false">IF(AND($A161&gt;=EDATE(AS$17,12),IF(Assm!$L$74=0,$D161,$E161)/AS160&gt;=1.05),IF(Assm!$L$74=0,$D161,$E161),AS160)</f>
        <v>2.51025034756126</v>
      </c>
      <c r="AT161" s="1671" t="n">
        <f aca="false">IF(AS161/AS160=1,AT160,AS161/AS160)</f>
        <v>1.0517184627895</v>
      </c>
      <c r="AU161" s="1671" t="n">
        <f aca="false">F161</f>
        <v>1.075</v>
      </c>
      <c r="AV161" s="1671" t="n">
        <f aca="false">MAX(AT161,AU161)</f>
        <v>1.075</v>
      </c>
      <c r="AW161" s="1675" t="n">
        <f aca="false">IF(AV161=AV160,AW160,AV161*AW160)</f>
        <v>2.61065535328591</v>
      </c>
    </row>
    <row r="162" customFormat="false" ht="12.75" hidden="false" customHeight="false" outlineLevel="0" collapsed="false">
      <c r="A162" s="1673" t="n">
        <f aca="false">EDATE(A161,1)</f>
        <v>39753</v>
      </c>
      <c r="B162" s="1659" t="n">
        <f aca="false">'[4]Monthly Curve Calc.'!B165</f>
        <v>353.522498412718</v>
      </c>
      <c r="C162" s="1660" t="n">
        <f aca="false">'[4]Monthly Curve Calc.'!C165</f>
        <v>217.759898027525</v>
      </c>
      <c r="D162" s="1661" t="n">
        <f aca="false">'[4]Monthly Curve Calc.'!F165</f>
        <v>2.52087883273429</v>
      </c>
      <c r="E162" s="1662" t="n">
        <f aca="false">IF($A162&lt;=E$16,D162,(B162/B161)/(C162/C161)*E161)</f>
        <v>1.97838241291294</v>
      </c>
      <c r="F162" s="1674" t="n">
        <f aca="false">IF(Assm!$L$75=0,F161,IF(AND($A162&gt;F$16,MONTH($A162)=MONTH(F$16)),B161/B149,F161))</f>
        <v>1.075</v>
      </c>
      <c r="G162" s="1668" t="n">
        <f aca="false">IF(Assm!$L$75=0,G161,IF(AND($A162&gt;G$16,MONTH($A162)=MONTH(G$16)),C161/C149,G161))</f>
        <v>1.02675304554174</v>
      </c>
      <c r="H162" s="1668" t="n">
        <f aca="false">IF(Assm!$L$75=0,H161,IF(AND($A162&gt;H$16,MONTH($A162)=MONTH(H$16)),C161/C149-H$18,H161))</f>
        <v>1.02425304554174</v>
      </c>
      <c r="I162" s="1668" t="n">
        <f aca="false">IF(Assm!$L$75=0,I161,IF($A162&gt;=I$16,IF(MONTH($A162)=MONTH(I$16),AVERAGE(D150:D161),I161),I161))</f>
        <v>2.43296671319364</v>
      </c>
      <c r="J162" s="1675" t="n">
        <f aca="false">IF(Assm!$L$75=0,J161,IF($A162&gt;=J$16,IF(MONTH($A162)=MONTH(J$16),AVERAGE(E150:E161),J161),J161))</f>
        <v>1.85707753867586</v>
      </c>
      <c r="K162" s="1624" t="n">
        <f aca="false">K161+1</f>
        <v>150</v>
      </c>
      <c r="L162" s="1667" t="n">
        <f aca="false">HLOOKUP(L$14,Dec_Change,$K162)</f>
        <v>1.02675304554174</v>
      </c>
      <c r="M162" s="1668" t="n">
        <f aca="false">M161</f>
        <v>0</v>
      </c>
      <c r="N162" s="1675" t="n">
        <f aca="false">IF(AND($A162&gt;=N$16,MONTH($A162)=MONTH(N$16)),MAX(L162,M162)*N161,N161)</f>
        <v>1.33877978058913</v>
      </c>
      <c r="P162" s="1667" t="n">
        <f aca="false">HLOOKUP(P$14,Dec_Change,$K162)</f>
        <v>1.075</v>
      </c>
      <c r="Q162" s="1668" t="n">
        <f aca="false">Q161</f>
        <v>0</v>
      </c>
      <c r="R162" s="1675" t="n">
        <f aca="false">IF(AND($A162&gt;=R$16,MONTH($A162)=MONTH(R$16)),MAX(P162,Q162)*R161,R161)</f>
        <v>2.42418933917714</v>
      </c>
      <c r="T162" s="1667" t="n">
        <f aca="false">HLOOKUP(T$14,Dec_Change,$K162)</f>
        <v>1.02675304554174</v>
      </c>
      <c r="U162" s="1668" t="n">
        <f aca="false">U161</f>
        <v>1.005</v>
      </c>
      <c r="V162" s="1675" t="n">
        <f aca="false">IF(AND($A162&gt;=V$16,MONTH($A162)=MONTH(V$16)),MAX(T162,U162)*V161,V161)</f>
        <v>1.33877978058913</v>
      </c>
      <c r="X162" s="1667" t="n">
        <f aca="false">HLOOKUP(X$14,Dec_Change,$K162)</f>
        <v>1.02425304554174</v>
      </c>
      <c r="Y162" s="1668" t="n">
        <f aca="false">Y161</f>
        <v>1.02</v>
      </c>
      <c r="Z162" s="1675" t="n">
        <f aca="false">IF(AND($A162&gt;=Z$16,MONTH($A162)=MONTH(Z$16)),MAX(X162,Y162)*Z161,Z161)</f>
        <v>1.31384867425998</v>
      </c>
      <c r="AB162" s="1667" t="n">
        <f aca="false">HLOOKUP(AB$14,Dec_Change,$K162)</f>
        <v>1.02425304554174</v>
      </c>
      <c r="AC162" s="1668" t="n">
        <f aca="false">AC161</f>
        <v>1.02</v>
      </c>
      <c r="AD162" s="1675" t="n">
        <f aca="false">IF(AND($A162&gt;=AD$16,MONTH($A162)=MONTH(AD$16)),MAX(AB162,AC162)*AD161,AD161)</f>
        <v>1.31384867425998</v>
      </c>
      <c r="AF162" s="1667" t="n">
        <f aca="false">HLOOKUP(AF$14,Dec_Change,$K162)</f>
        <v>1.075</v>
      </c>
      <c r="AG162" s="1668" t="n">
        <f aca="false">AG161</f>
        <v>0</v>
      </c>
      <c r="AH162" s="1675" t="n">
        <f aca="false">IF(AND($A162&gt;=AH$16,MONTH($A162)=MONTH(AH$16)),MAX(AF162,AG162)*AH161,AH161)</f>
        <v>2.42418933917714</v>
      </c>
      <c r="AJ162" s="1667" t="n">
        <f aca="false">HLOOKUP(AJ$14,Dec_Change,$K162)</f>
        <v>1.02425304554174</v>
      </c>
      <c r="AK162" s="1668" t="n">
        <f aca="false">AK161</f>
        <v>1.02</v>
      </c>
      <c r="AL162" s="1675" t="n">
        <f aca="false">IF(AND($A162&gt;=AL$16,MONTH($A162)=MONTH(AL$16)),MAX(AJ162,AK162)*AL161,AL161)</f>
        <v>1.31384867425998</v>
      </c>
      <c r="AN162" s="1667" t="n">
        <f aca="false">HLOOKUP(AN$14,Dec_Change,$K162)</f>
        <v>1.02675304554174</v>
      </c>
      <c r="AO162" s="1668" t="n">
        <f aca="false">AO161</f>
        <v>1.005</v>
      </c>
      <c r="AP162" s="1675" t="n">
        <f aca="false">IF(AND($A162&gt;=AP$16,MONTH($A162)=MONTH(AP$16)),MAX(AN162,AO162)*AP161,AP161)</f>
        <v>1.33877978058913</v>
      </c>
      <c r="AR162" s="1670" t="n">
        <f aca="false">$A162</f>
        <v>39753</v>
      </c>
      <c r="AS162" s="1671" t="n">
        <f aca="false">IF(AND($A162&gt;=EDATE(AS$17,12),IF(Assm!$L$74=0,$D162,$E162)/AS161&gt;=1.05),IF(Assm!$L$74=0,$D162,$E162),AS161)</f>
        <v>2.51025034756126</v>
      </c>
      <c r="AT162" s="1671" t="n">
        <f aca="false">IF(AS162/AS161=1,AT161,AS162/AS161)</f>
        <v>1.0517184627895</v>
      </c>
      <c r="AU162" s="1671" t="n">
        <f aca="false">F162</f>
        <v>1.075</v>
      </c>
      <c r="AV162" s="1671" t="n">
        <f aca="false">MAX(AT162,AU162)</f>
        <v>1.075</v>
      </c>
      <c r="AW162" s="1675" t="n">
        <f aca="false">IF(AV162=AV161,AW161,AV162*AW161)</f>
        <v>2.61065535328591</v>
      </c>
    </row>
    <row r="163" customFormat="false" ht="12.75" hidden="false" customHeight="false" outlineLevel="0" collapsed="false">
      <c r="A163" s="1673" t="n">
        <f aca="false">EDATE(A162,1)</f>
        <v>39783</v>
      </c>
      <c r="B163" s="1659" t="n">
        <f aca="false">'[4]Monthly Curve Calc.'!B166</f>
        <v>355.659513288888</v>
      </c>
      <c r="C163" s="1660" t="n">
        <f aca="false">'[4]Monthly Curve Calc.'!C166</f>
        <v>218.233618760911</v>
      </c>
      <c r="D163" s="1661" t="n">
        <f aca="false">'[4]Monthly Curve Calc.'!F166</f>
        <v>2.52620993894371</v>
      </c>
      <c r="E163" s="1662" t="n">
        <f aca="false">IF($A163&lt;=E$16,D163,(B163/B162)/(C163/C162)*E162)</f>
        <v>1.98602113066597</v>
      </c>
      <c r="F163" s="1674" t="n">
        <f aca="false">IF(Assm!$L$75=0,F162,IF(AND($A163&gt;F$16,MONTH($A163)=MONTH(F$16)),B162/B150,F162))</f>
        <v>1.075</v>
      </c>
      <c r="G163" s="1668" t="n">
        <f aca="false">IF(Assm!$L$75=0,G162,IF(AND($A163&gt;G$16,MONTH($A163)=MONTH(G$16)),C162/C150,G162))</f>
        <v>1.02675304554174</v>
      </c>
      <c r="H163" s="1668" t="n">
        <f aca="false">IF(Assm!$L$75=0,H162,IF(AND($A163&gt;H$16,MONTH($A163)=MONTH(H$16)),C162/C150-H$18,H162))</f>
        <v>1.02425304554174</v>
      </c>
      <c r="I163" s="1668" t="n">
        <f aca="false">IF(Assm!$L$75=0,I162,IF($A163&gt;=I$16,IF(MONTH($A163)=MONTH(I$16),AVERAGE(D151:D162),I162),I162))</f>
        <v>2.43296671319364</v>
      </c>
      <c r="J163" s="1675" t="n">
        <f aca="false">IF(Assm!$L$75=0,J162,IF($A163&gt;=J$16,IF(MONTH($A163)=MONTH(J$16),AVERAGE(E151:E162),J162),J162))</f>
        <v>1.85707753867586</v>
      </c>
      <c r="K163" s="1624" t="n">
        <f aca="false">K162+1</f>
        <v>151</v>
      </c>
      <c r="L163" s="1667" t="n">
        <f aca="false">HLOOKUP(L$14,Dec_Change,$K163)</f>
        <v>1.02675304554174</v>
      </c>
      <c r="M163" s="1668" t="n">
        <f aca="false">M162</f>
        <v>0</v>
      </c>
      <c r="N163" s="1675" t="n">
        <f aca="false">IF(AND($A163&gt;=N$16,MONTH($A163)=MONTH(N$16)),MAX(L163,M163)*N162,N162)</f>
        <v>1.33877978058913</v>
      </c>
      <c r="P163" s="1667" t="n">
        <f aca="false">HLOOKUP(P$14,Dec_Change,$K163)</f>
        <v>1.075</v>
      </c>
      <c r="Q163" s="1668" t="n">
        <f aca="false">Q162</f>
        <v>0</v>
      </c>
      <c r="R163" s="1675" t="n">
        <f aca="false">IF(AND($A163&gt;=R$16,MONTH($A163)=MONTH(R$16)),MAX(P163,Q163)*R162,R162)</f>
        <v>2.42418933917714</v>
      </c>
      <c r="T163" s="1667" t="n">
        <f aca="false">HLOOKUP(T$14,Dec_Change,$K163)</f>
        <v>1.02675304554174</v>
      </c>
      <c r="U163" s="1668" t="n">
        <f aca="false">U162</f>
        <v>1.005</v>
      </c>
      <c r="V163" s="1675" t="n">
        <f aca="false">IF(AND($A163&gt;=V$16,MONTH($A163)=MONTH(V$16)),MAX(T163,U163)*V162,V162)</f>
        <v>1.33877978058913</v>
      </c>
      <c r="X163" s="1667" t="n">
        <f aca="false">HLOOKUP(X$14,Dec_Change,$K163)</f>
        <v>1.02425304554174</v>
      </c>
      <c r="Y163" s="1668" t="n">
        <f aca="false">Y162</f>
        <v>1.02</v>
      </c>
      <c r="Z163" s="1675" t="n">
        <f aca="false">IF(AND($A163&gt;=Z$16,MONTH($A163)=MONTH(Z$16)),MAX(X163,Y163)*Z162,Z162)</f>
        <v>1.31384867425998</v>
      </c>
      <c r="AB163" s="1667" t="n">
        <f aca="false">HLOOKUP(AB$14,Dec_Change,$K163)</f>
        <v>1.02425304554174</v>
      </c>
      <c r="AC163" s="1668" t="n">
        <f aca="false">AC162</f>
        <v>1.02</v>
      </c>
      <c r="AD163" s="1675" t="n">
        <f aca="false">IF(AND($A163&gt;=AD$16,MONTH($A163)=MONTH(AD$16)),MAX(AB163,AC163)*AD162,AD162)</f>
        <v>1.31384867425998</v>
      </c>
      <c r="AF163" s="1667" t="n">
        <f aca="false">HLOOKUP(AF$14,Dec_Change,$K163)</f>
        <v>1.075</v>
      </c>
      <c r="AG163" s="1668" t="n">
        <f aca="false">AG162</f>
        <v>0</v>
      </c>
      <c r="AH163" s="1675" t="n">
        <f aca="false">IF(AND($A163&gt;=AH$16,MONTH($A163)=MONTH(AH$16)),MAX(AF163,AG163)*AH162,AH162)</f>
        <v>2.42418933917714</v>
      </c>
      <c r="AJ163" s="1667" t="n">
        <f aca="false">HLOOKUP(AJ$14,Dec_Change,$K163)</f>
        <v>1.02425304554174</v>
      </c>
      <c r="AK163" s="1668" t="n">
        <f aca="false">AK162</f>
        <v>1.02</v>
      </c>
      <c r="AL163" s="1675" t="n">
        <f aca="false">IF(AND($A163&gt;=AL$16,MONTH($A163)=MONTH(AL$16)),MAX(AJ163,AK163)*AL162,AL162)</f>
        <v>1.31384867425998</v>
      </c>
      <c r="AN163" s="1667" t="n">
        <f aca="false">HLOOKUP(AN$14,Dec_Change,$K163)</f>
        <v>1.02675304554174</v>
      </c>
      <c r="AO163" s="1668" t="n">
        <f aca="false">AO162</f>
        <v>1.005</v>
      </c>
      <c r="AP163" s="1675" t="n">
        <f aca="false">IF(AND($A163&gt;=AP$16,MONTH($A163)=MONTH(AP$16)),MAX(AN163,AO163)*AP162,AP162)</f>
        <v>1.33877978058913</v>
      </c>
      <c r="AR163" s="1670" t="n">
        <f aca="false">$A163</f>
        <v>39783</v>
      </c>
      <c r="AS163" s="1671" t="n">
        <f aca="false">IF(AND($A163&gt;=EDATE(AS$17,12),IF(Assm!$L$74=0,$D163,$E163)/AS162&gt;=1.05),IF(Assm!$L$74=0,$D163,$E163),AS162)</f>
        <v>2.51025034756126</v>
      </c>
      <c r="AT163" s="1671" t="n">
        <f aca="false">IF(AS163/AS162=1,AT162,AS163/AS162)</f>
        <v>1.0517184627895</v>
      </c>
      <c r="AU163" s="1671" t="n">
        <f aca="false">F163</f>
        <v>1.075</v>
      </c>
      <c r="AV163" s="1671" t="n">
        <f aca="false">MAX(AT163,AU163)</f>
        <v>1.075</v>
      </c>
      <c r="AW163" s="1675" t="n">
        <f aca="false">IF(AV163=AV162,AW162,AV163*AW162)</f>
        <v>2.61065535328591</v>
      </c>
    </row>
    <row r="164" customFormat="false" ht="12.75" hidden="false" customHeight="false" outlineLevel="0" collapsed="false">
      <c r="A164" s="1673" t="n">
        <f aca="false">EDATE(A163,1)</f>
        <v>39814</v>
      </c>
      <c r="B164" s="1659" t="n">
        <f aca="false">'[4]Monthly Curve Calc.'!B167</f>
        <v>357.726128124347</v>
      </c>
      <c r="C164" s="1660" t="n">
        <f aca="false">'[4]Monthly Curve Calc.'!C167</f>
        <v>218.700452127379</v>
      </c>
      <c r="D164" s="1661" t="n">
        <f aca="false">'[4]Monthly Curve Calc.'!F167</f>
        <v>2.53141351780118</v>
      </c>
      <c r="E164" s="1662" t="n">
        <f aca="false">IF($A164&lt;=E$16,D164,(B164/B163)/(C164/C163)*E163)</f>
        <v>1.99329726288879</v>
      </c>
      <c r="F164" s="1674" t="n">
        <f aca="false">IF(Assm!$L$75=0,F163,IF(AND($A164&gt;F$16,MONTH($A164)=MONTH(F$16)),B163/B151,F163))</f>
        <v>1.075</v>
      </c>
      <c r="G164" s="1668" t="n">
        <f aca="false">IF(Assm!$L$75=0,G163,IF(AND($A164&gt;G$16,MONTH($A164)=MONTH(G$16)),C163/C151,G163))</f>
        <v>1.02675304554174</v>
      </c>
      <c r="H164" s="1668" t="n">
        <f aca="false">IF(Assm!$L$75=0,H163,IF(AND($A164&gt;H$16,MONTH($A164)=MONTH(H$16)),C163/C151-H$18,H163))</f>
        <v>1.02425304554174</v>
      </c>
      <c r="I164" s="1668" t="n">
        <f aca="false">IF(Assm!$L$75=0,I163,IF($A164&gt;=I$16,IF(MONTH($A164)=MONTH(I$16),AVERAGE(D152:D163),I163),I163))</f>
        <v>2.49709413477765</v>
      </c>
      <c r="J164" s="1675" t="n">
        <f aca="false">IF(Assm!$L$75=0,J163,IF($A164&gt;=J$16,IF(MONTH($A164)=MONTH(J$16),AVERAGE(E152:E163),J163),J163))</f>
        <v>1.94454219003883</v>
      </c>
      <c r="K164" s="1624" t="n">
        <f aca="false">K163+1</f>
        <v>152</v>
      </c>
      <c r="L164" s="1667" t="n">
        <f aca="false">HLOOKUP(L$14,Dec_Change,$K164)</f>
        <v>1.02675304554174</v>
      </c>
      <c r="M164" s="1668" t="n">
        <f aca="false">M163</f>
        <v>0</v>
      </c>
      <c r="N164" s="1675" t="n">
        <f aca="false">IF(AND($A164&gt;=N$16,MONTH($A164)=MONTH(N$16)),MAX(L164,M164)*N163,N163)</f>
        <v>1.33877978058913</v>
      </c>
      <c r="P164" s="1667" t="n">
        <f aca="false">HLOOKUP(P$14,Dec_Change,$K164)</f>
        <v>1.075</v>
      </c>
      <c r="Q164" s="1668" t="n">
        <f aca="false">Q163</f>
        <v>0</v>
      </c>
      <c r="R164" s="1675" t="n">
        <f aca="false">IF(AND($A164&gt;=R$16,MONTH($A164)=MONTH(R$16)),MAX(P164,Q164)*R163,R163)</f>
        <v>2.42418933917714</v>
      </c>
      <c r="T164" s="1667" t="n">
        <f aca="false">HLOOKUP(T$14,Dec_Change,$K164)</f>
        <v>1.02675304554174</v>
      </c>
      <c r="U164" s="1668" t="n">
        <f aca="false">U163</f>
        <v>1.005</v>
      </c>
      <c r="V164" s="1675" t="n">
        <f aca="false">IF(AND($A164&gt;=V$16,MONTH($A164)=MONTH(V$16)),MAX(T164,U164)*V163,V163)</f>
        <v>1.33877978058913</v>
      </c>
      <c r="X164" s="1667" t="n">
        <f aca="false">HLOOKUP(X$14,Dec_Change,$K164)</f>
        <v>1.02425304554174</v>
      </c>
      <c r="Y164" s="1668" t="n">
        <f aca="false">Y163</f>
        <v>1.02</v>
      </c>
      <c r="Z164" s="1675" t="n">
        <f aca="false">IF(AND($A164&gt;=Z$16,MONTH($A164)=MONTH(Z$16)),MAX(X164,Y164)*Z163,Z163)</f>
        <v>1.31384867425998</v>
      </c>
      <c r="AB164" s="1667" t="n">
        <f aca="false">HLOOKUP(AB$14,Dec_Change,$K164)</f>
        <v>1.02425304554174</v>
      </c>
      <c r="AC164" s="1668" t="n">
        <f aca="false">AC163</f>
        <v>1.02</v>
      </c>
      <c r="AD164" s="1675" t="n">
        <f aca="false">IF(AND($A164&gt;=AD$16,MONTH($A164)=MONTH(AD$16)),MAX(AB164,AC164)*AD163,AD163)</f>
        <v>1.31384867425998</v>
      </c>
      <c r="AF164" s="1667" t="n">
        <f aca="false">HLOOKUP(AF$14,Dec_Change,$K164)</f>
        <v>1.075</v>
      </c>
      <c r="AG164" s="1668" t="n">
        <f aca="false">AG163</f>
        <v>0</v>
      </c>
      <c r="AH164" s="1675" t="n">
        <f aca="false">IF(AND($A164&gt;=AH$16,MONTH($A164)=MONTH(AH$16)),MAX(AF164,AG164)*AH163,AH163)</f>
        <v>2.42418933917714</v>
      </c>
      <c r="AJ164" s="1667" t="n">
        <f aca="false">HLOOKUP(AJ$14,Dec_Change,$K164)</f>
        <v>1.02425304554174</v>
      </c>
      <c r="AK164" s="1668" t="n">
        <f aca="false">AK163</f>
        <v>1.02</v>
      </c>
      <c r="AL164" s="1675" t="n">
        <f aca="false">IF(AND($A164&gt;=AL$16,MONTH($A164)=MONTH(AL$16)),MAX(AJ164,AK164)*AL163,AL163)</f>
        <v>1.31384867425998</v>
      </c>
      <c r="AN164" s="1667" t="n">
        <f aca="false">HLOOKUP(AN$14,Dec_Change,$K164)</f>
        <v>1.02675304554174</v>
      </c>
      <c r="AO164" s="1668" t="n">
        <f aca="false">AO163</f>
        <v>1.005</v>
      </c>
      <c r="AP164" s="1675" t="n">
        <f aca="false">IF(AND($A164&gt;=AP$16,MONTH($A164)=MONTH(AP$16)),MAX(AN164,AO164)*AP163,AP163)</f>
        <v>1.33877978058913</v>
      </c>
      <c r="AR164" s="1670" t="n">
        <f aca="false">$A164</f>
        <v>39814</v>
      </c>
      <c r="AS164" s="1671" t="n">
        <f aca="false">IF(AND($A164&gt;=EDATE(AS$17,12),IF(Assm!$L$74=0,$D164,$E164)/AS163&gt;=1.05),IF(Assm!$L$74=0,$D164,$E164),AS163)</f>
        <v>2.51025034756126</v>
      </c>
      <c r="AT164" s="1671" t="n">
        <f aca="false">IF(AS164/AS163=1,AT163,AS164/AS163)</f>
        <v>1.0517184627895</v>
      </c>
      <c r="AU164" s="1671" t="n">
        <f aca="false">F164</f>
        <v>1.075</v>
      </c>
      <c r="AV164" s="1671" t="n">
        <f aca="false">MAX(AT164,AU164)</f>
        <v>1.075</v>
      </c>
      <c r="AW164" s="1675" t="n">
        <f aca="false">IF(AV164=AV163,AW163,AV164*AW163)</f>
        <v>2.61065535328591</v>
      </c>
    </row>
    <row r="165" customFormat="false" ht="12.75" hidden="false" customHeight="false" outlineLevel="0" collapsed="false">
      <c r="A165" s="1673" t="n">
        <f aca="false">EDATE(A164,1)</f>
        <v>39845</v>
      </c>
      <c r="B165" s="1659" t="n">
        <f aca="false">'[4]Monthly Curve Calc.'!B168</f>
        <v>359.80475134625</v>
      </c>
      <c r="C165" s="1660" t="n">
        <f aca="false">'[4]Monthly Curve Calc.'!C168</f>
        <v>219.168284118134</v>
      </c>
      <c r="D165" s="1661" t="n">
        <f aca="false">'[4]Monthly Curve Calc.'!F168</f>
        <v>2.53662781517912</v>
      </c>
      <c r="E165" s="1662" t="n">
        <f aca="false">IF($A165&lt;=E$16,D165,(B165/B164)/(C165/C164)*E164)</f>
        <v>2.00060005248161</v>
      </c>
      <c r="F165" s="1674" t="n">
        <f aca="false">IF(Assm!$L$75=0,F164,IF(AND($A165&gt;F$16,MONTH($A165)=MONTH(F$16)),B164/B152,F164))</f>
        <v>1.075</v>
      </c>
      <c r="G165" s="1668" t="n">
        <f aca="false">IF(Assm!$L$75=0,G164,IF(AND($A165&gt;G$16,MONTH($A165)=MONTH(G$16)),C164/C152,G164))</f>
        <v>1.02675304554174</v>
      </c>
      <c r="H165" s="1668" t="n">
        <f aca="false">IF(Assm!$L$75=0,H164,IF(AND($A165&gt;H$16,MONTH($A165)=MONTH(H$16)),C164/C152-H$18,H164))</f>
        <v>1.02425304554174</v>
      </c>
      <c r="I165" s="1668" t="n">
        <f aca="false">IF(Assm!$L$75=0,I164,IF($A165&gt;=I$16,IF(MONTH($A165)=MONTH(I$16),AVERAGE(D153:D164),I164),I164))</f>
        <v>2.49709413477765</v>
      </c>
      <c r="J165" s="1675" t="n">
        <f aca="false">IF(Assm!$L$75=0,J164,IF($A165&gt;=J$16,IF(MONTH($A165)=MONTH(J$16),AVERAGE(E153:E164),J164),J164))</f>
        <v>1.94454219003883</v>
      </c>
      <c r="K165" s="1624" t="n">
        <f aca="false">K164+1</f>
        <v>153</v>
      </c>
      <c r="L165" s="1667" t="n">
        <f aca="false">HLOOKUP(L$14,Dec_Change,$K165)</f>
        <v>1.02675304554174</v>
      </c>
      <c r="M165" s="1668" t="n">
        <f aca="false">M164</f>
        <v>0</v>
      </c>
      <c r="N165" s="1675" t="n">
        <f aca="false">IF(AND($A165&gt;=N$16,MONTH($A165)=MONTH(N$16)),MAX(L165,M165)*N164,N164)</f>
        <v>1.33877978058913</v>
      </c>
      <c r="P165" s="1667" t="n">
        <f aca="false">HLOOKUP(P$14,Dec_Change,$K165)</f>
        <v>1.075</v>
      </c>
      <c r="Q165" s="1668" t="n">
        <f aca="false">Q164</f>
        <v>0</v>
      </c>
      <c r="R165" s="1675" t="n">
        <f aca="false">IF(AND($A165&gt;=R$16,MONTH($A165)=MONTH(R$16)),MAX(P165,Q165)*R164,R164)</f>
        <v>2.42418933917714</v>
      </c>
      <c r="T165" s="1667" t="n">
        <f aca="false">HLOOKUP(T$14,Dec_Change,$K165)</f>
        <v>1.02675304554174</v>
      </c>
      <c r="U165" s="1668" t="n">
        <f aca="false">U164</f>
        <v>1.005</v>
      </c>
      <c r="V165" s="1675" t="n">
        <f aca="false">IF(AND($A165&gt;=V$16,MONTH($A165)=MONTH(V$16)),MAX(T165,U165)*V164,V164)</f>
        <v>1.33877978058913</v>
      </c>
      <c r="X165" s="1667" t="n">
        <f aca="false">HLOOKUP(X$14,Dec_Change,$K165)</f>
        <v>1.02425304554174</v>
      </c>
      <c r="Y165" s="1668" t="n">
        <f aca="false">Y164</f>
        <v>1.02</v>
      </c>
      <c r="Z165" s="1675" t="n">
        <f aca="false">IF(AND($A165&gt;=Z$16,MONTH($A165)=MONTH(Z$16)),MAX(X165,Y165)*Z164,Z164)</f>
        <v>1.31384867425998</v>
      </c>
      <c r="AB165" s="1667" t="n">
        <f aca="false">HLOOKUP(AB$14,Dec_Change,$K165)</f>
        <v>1.02425304554174</v>
      </c>
      <c r="AC165" s="1668" t="n">
        <f aca="false">AC164</f>
        <v>1.02</v>
      </c>
      <c r="AD165" s="1675" t="n">
        <f aca="false">IF(AND($A165&gt;=AD$16,MONTH($A165)=MONTH(AD$16)),MAX(AB165,AC165)*AD164,AD164)</f>
        <v>1.31384867425998</v>
      </c>
      <c r="AF165" s="1667" t="n">
        <f aca="false">HLOOKUP(AF$14,Dec_Change,$K165)</f>
        <v>1.075</v>
      </c>
      <c r="AG165" s="1668" t="n">
        <f aca="false">AG164</f>
        <v>0</v>
      </c>
      <c r="AH165" s="1675" t="n">
        <f aca="false">IF(AND($A165&gt;=AH$16,MONTH($A165)=MONTH(AH$16)),MAX(AF165,AG165)*AH164,AH164)</f>
        <v>2.42418933917714</v>
      </c>
      <c r="AJ165" s="1667" t="n">
        <f aca="false">HLOOKUP(AJ$14,Dec_Change,$K165)</f>
        <v>1.02425304554174</v>
      </c>
      <c r="AK165" s="1668" t="n">
        <f aca="false">AK164</f>
        <v>1.02</v>
      </c>
      <c r="AL165" s="1675" t="n">
        <f aca="false">IF(AND($A165&gt;=AL$16,MONTH($A165)=MONTH(AL$16)),MAX(AJ165,AK165)*AL164,AL164)</f>
        <v>1.31384867425998</v>
      </c>
      <c r="AN165" s="1667" t="n">
        <f aca="false">HLOOKUP(AN$14,Dec_Change,$K165)</f>
        <v>1.02675304554174</v>
      </c>
      <c r="AO165" s="1668" t="n">
        <f aca="false">AO164</f>
        <v>1.005</v>
      </c>
      <c r="AP165" s="1675" t="n">
        <f aca="false">IF(AND($A165&gt;=AP$16,MONTH($A165)=MONTH(AP$16)),MAX(AN165,AO165)*AP164,AP164)</f>
        <v>1.33877978058913</v>
      </c>
      <c r="AR165" s="1670" t="n">
        <f aca="false">$A165</f>
        <v>39845</v>
      </c>
      <c r="AS165" s="1671" t="n">
        <f aca="false">IF(AND($A165&gt;=EDATE(AS$17,12),IF(Assm!$L$74=0,$D165,$E165)/AS164&gt;=1.05),IF(Assm!$L$74=0,$D165,$E165),AS164)</f>
        <v>2.51025034756126</v>
      </c>
      <c r="AT165" s="1671" t="n">
        <f aca="false">IF(AS165/AS164=1,AT164,AS165/AS164)</f>
        <v>1.0517184627895</v>
      </c>
      <c r="AU165" s="1671" t="n">
        <f aca="false">F165</f>
        <v>1.075</v>
      </c>
      <c r="AV165" s="1671" t="n">
        <f aca="false">MAX(AT165,AU165)</f>
        <v>1.075</v>
      </c>
      <c r="AW165" s="1675" t="n">
        <f aca="false">IF(AV165=AV164,AW164,AV165*AW164)</f>
        <v>2.61065535328591</v>
      </c>
    </row>
    <row r="166" customFormat="false" ht="12.75" hidden="false" customHeight="false" outlineLevel="0" collapsed="false">
      <c r="A166" s="1673" t="n">
        <f aca="false">EDATE(A165,1)</f>
        <v>39873</v>
      </c>
      <c r="B166" s="1659" t="n">
        <f aca="false">'[4]Monthly Curve Calc.'!B169</f>
        <v>361.895452731191</v>
      </c>
      <c r="C166" s="1660" t="n">
        <f aca="false">'[4]Monthly Curve Calc.'!C169</f>
        <v>219.637116869379</v>
      </c>
      <c r="D166" s="1661" t="n">
        <f aca="false">'[4]Monthly Curve Calc.'!F169</f>
        <v>2.54185285315591</v>
      </c>
      <c r="E166" s="1662" t="n">
        <f aca="false">IF($A166&lt;=E$16,D166,(B166/B165)/(C166/C165)*E165)</f>
        <v>2.00792959710833</v>
      </c>
      <c r="F166" s="1674" t="n">
        <f aca="false">IF(Assm!$L$75=0,F165,IF(AND($A166&gt;F$16,MONTH($A166)=MONTH(F$16)),B165/B153,F165))</f>
        <v>1.075</v>
      </c>
      <c r="G166" s="1668" t="n">
        <f aca="false">IF(Assm!$L$75=0,G165,IF(AND($A166&gt;G$16,MONTH($A166)=MONTH(G$16)),C165/C153,G165))</f>
        <v>1.02675304554174</v>
      </c>
      <c r="H166" s="1668" t="n">
        <f aca="false">IF(Assm!$L$75=0,H165,IF(AND($A166&gt;H$16,MONTH($A166)=MONTH(H$16)),C165/C153-H$18,H165))</f>
        <v>1.02425304554174</v>
      </c>
      <c r="I166" s="1668" t="n">
        <f aca="false">IF(Assm!$L$75=0,I165,IF($A166&gt;=I$16,IF(MONTH($A166)=MONTH(I$16),AVERAGE(D154:D165),I165),I165))</f>
        <v>2.49709413477765</v>
      </c>
      <c r="J166" s="1675" t="n">
        <f aca="false">IF(Assm!$L$75=0,J165,IF($A166&gt;=J$16,IF(MONTH($A166)=MONTH(J$16),AVERAGE(E154:E165),J165),J165))</f>
        <v>1.94454219003883</v>
      </c>
      <c r="K166" s="1624" t="n">
        <f aca="false">K165+1</f>
        <v>154</v>
      </c>
      <c r="L166" s="1667" t="n">
        <f aca="false">HLOOKUP(L$14,Dec_Change,$K166)</f>
        <v>1.02675304554174</v>
      </c>
      <c r="M166" s="1668" t="n">
        <f aca="false">M165</f>
        <v>0</v>
      </c>
      <c r="N166" s="1675" t="n">
        <f aca="false">IF(AND($A166&gt;=N$16,MONTH($A166)=MONTH(N$16)),MAX(L166,M166)*N165,N165)</f>
        <v>1.33877978058913</v>
      </c>
      <c r="P166" s="1667" t="n">
        <f aca="false">HLOOKUP(P$14,Dec_Change,$K166)</f>
        <v>1.075</v>
      </c>
      <c r="Q166" s="1668" t="n">
        <f aca="false">Q165</f>
        <v>0</v>
      </c>
      <c r="R166" s="1675" t="n">
        <f aca="false">IF(AND($A166&gt;=R$16,MONTH($A166)=MONTH(R$16)),MAX(P166,Q166)*R165,R165)</f>
        <v>2.42418933917714</v>
      </c>
      <c r="T166" s="1667" t="n">
        <f aca="false">HLOOKUP(T$14,Dec_Change,$K166)</f>
        <v>1.02675304554174</v>
      </c>
      <c r="U166" s="1668" t="n">
        <f aca="false">U165</f>
        <v>1.005</v>
      </c>
      <c r="V166" s="1675" t="n">
        <f aca="false">IF(AND($A166&gt;=V$16,MONTH($A166)=MONTH(V$16)),MAX(T166,U166)*V165,V165)</f>
        <v>1.33877978058913</v>
      </c>
      <c r="X166" s="1667" t="n">
        <f aca="false">HLOOKUP(X$14,Dec_Change,$K166)</f>
        <v>1.02425304554174</v>
      </c>
      <c r="Y166" s="1668" t="n">
        <f aca="false">Y165</f>
        <v>1.02</v>
      </c>
      <c r="Z166" s="1675" t="n">
        <f aca="false">IF(AND($A166&gt;=Z$16,MONTH($A166)=MONTH(Z$16)),MAX(X166,Y166)*Z165,Z165)</f>
        <v>1.31384867425998</v>
      </c>
      <c r="AB166" s="1667" t="n">
        <f aca="false">HLOOKUP(AB$14,Dec_Change,$K166)</f>
        <v>1.02425304554174</v>
      </c>
      <c r="AC166" s="1668" t="n">
        <f aca="false">AC165</f>
        <v>1.02</v>
      </c>
      <c r="AD166" s="1675" t="n">
        <f aca="false">IF(AND($A166&gt;=AD$16,MONTH($A166)=MONTH(AD$16)),MAX(AB166,AC166)*AD165,AD165)</f>
        <v>1.31384867425998</v>
      </c>
      <c r="AF166" s="1667" t="n">
        <f aca="false">HLOOKUP(AF$14,Dec_Change,$K166)</f>
        <v>1.075</v>
      </c>
      <c r="AG166" s="1668" t="n">
        <f aca="false">AG165</f>
        <v>0</v>
      </c>
      <c r="AH166" s="1675" t="n">
        <f aca="false">IF(AND($A166&gt;=AH$16,MONTH($A166)=MONTH(AH$16)),MAX(AF166,AG166)*AH165,AH165)</f>
        <v>2.42418933917714</v>
      </c>
      <c r="AJ166" s="1667" t="n">
        <f aca="false">HLOOKUP(AJ$14,Dec_Change,$K166)</f>
        <v>1.02425304554174</v>
      </c>
      <c r="AK166" s="1668" t="n">
        <f aca="false">AK165</f>
        <v>1.02</v>
      </c>
      <c r="AL166" s="1675" t="n">
        <f aca="false">IF(AND($A166&gt;=AL$16,MONTH($A166)=MONTH(AL$16)),MAX(AJ166,AK166)*AL165,AL165)</f>
        <v>1.31384867425998</v>
      </c>
      <c r="AN166" s="1667" t="n">
        <f aca="false">HLOOKUP(AN$14,Dec_Change,$K166)</f>
        <v>1.02675304554174</v>
      </c>
      <c r="AO166" s="1668" t="n">
        <f aca="false">AO165</f>
        <v>1.005</v>
      </c>
      <c r="AP166" s="1675" t="n">
        <f aca="false">IF(AND($A166&gt;=AP$16,MONTH($A166)=MONTH(AP$16)),MAX(AN166,AO166)*AP165,AP165)</f>
        <v>1.33877978058913</v>
      </c>
      <c r="AR166" s="1670" t="n">
        <f aca="false">$A166</f>
        <v>39873</v>
      </c>
      <c r="AS166" s="1671" t="n">
        <f aca="false">IF(AND($A166&gt;=EDATE(AS$17,12),IF(Assm!$L$74=0,$D166,$E166)/AS165&gt;=1.05),IF(Assm!$L$74=0,$D166,$E166),AS165)</f>
        <v>2.51025034756126</v>
      </c>
      <c r="AT166" s="1671" t="n">
        <f aca="false">IF(AS166/AS165=1,AT165,AS166/AS165)</f>
        <v>1.0517184627895</v>
      </c>
      <c r="AU166" s="1671" t="n">
        <f aca="false">F166</f>
        <v>1.075</v>
      </c>
      <c r="AV166" s="1671" t="n">
        <f aca="false">MAX(AT166,AU166)</f>
        <v>1.075</v>
      </c>
      <c r="AW166" s="1675" t="n">
        <f aca="false">IF(AV166=AV165,AW165,AV166*AW165)</f>
        <v>2.61065535328591</v>
      </c>
    </row>
    <row r="167" customFormat="false" ht="12.75" hidden="false" customHeight="false" outlineLevel="0" collapsed="false">
      <c r="A167" s="1673" t="n">
        <f aca="false">EDATE(A166,1)</f>
        <v>39904</v>
      </c>
      <c r="B167" s="1659" t="n">
        <f aca="false">'[4]Monthly Curve Calc.'!B170</f>
        <v>363.998302461213</v>
      </c>
      <c r="C167" s="1660" t="n">
        <f aca="false">'[4]Monthly Curve Calc.'!C170</f>
        <v>220.106952521885</v>
      </c>
      <c r="D167" s="1661" t="n">
        <f aca="false">'[4]Monthly Curve Calc.'!F170</f>
        <v>2.54708865385545</v>
      </c>
      <c r="E167" s="1662" t="n">
        <f aca="false">IF($A167&lt;=E$16,D167,(B167/B166)/(C167/C166)*E166)</f>
        <v>2.01528599479065</v>
      </c>
      <c r="F167" s="1674" t="n">
        <f aca="false">IF(Assm!$L$75=0,F166,IF(AND($A167&gt;F$16,MONTH($A167)=MONTH(F$16)),B166/B154,F166))</f>
        <v>1.075</v>
      </c>
      <c r="G167" s="1668" t="n">
        <f aca="false">IF(Assm!$L$75=0,G166,IF(AND($A167&gt;G$16,MONTH($A167)=MONTH(G$16)),C166/C154,G166))</f>
        <v>1.02675304554174</v>
      </c>
      <c r="H167" s="1668" t="n">
        <f aca="false">IF(Assm!$L$75=0,H166,IF(AND($A167&gt;H$16,MONTH($A167)=MONTH(H$16)),C166/C154-H$18,H166))</f>
        <v>1.02425304554174</v>
      </c>
      <c r="I167" s="1668" t="n">
        <f aca="false">IF(Assm!$L$75=0,I166,IF($A167&gt;=I$16,IF(MONTH($A167)=MONTH(I$16),AVERAGE(D155:D166),I166),I166))</f>
        <v>2.49709413477765</v>
      </c>
      <c r="J167" s="1675" t="n">
        <f aca="false">IF(Assm!$L$75=0,J166,IF($A167&gt;=J$16,IF(MONTH($A167)=MONTH(J$16),AVERAGE(E155:E166),J166),J166))</f>
        <v>1.94454219003883</v>
      </c>
      <c r="K167" s="1624" t="n">
        <f aca="false">K166+1</f>
        <v>155</v>
      </c>
      <c r="L167" s="1667" t="n">
        <f aca="false">HLOOKUP(L$14,Dec_Change,$K167)</f>
        <v>1.02675304554174</v>
      </c>
      <c r="M167" s="1668" t="n">
        <f aca="false">M166</f>
        <v>0</v>
      </c>
      <c r="N167" s="1675" t="n">
        <f aca="false">IF(AND($A167&gt;=N$16,MONTH($A167)=MONTH(N$16)),MAX(L167,M167)*N166,N166)</f>
        <v>1.33877978058913</v>
      </c>
      <c r="P167" s="1667" t="n">
        <f aca="false">HLOOKUP(P$14,Dec_Change,$K167)</f>
        <v>1.075</v>
      </c>
      <c r="Q167" s="1668" t="n">
        <f aca="false">Q166</f>
        <v>0</v>
      </c>
      <c r="R167" s="1675" t="n">
        <f aca="false">IF(AND($A167&gt;=R$16,MONTH($A167)=MONTH(R$16)),MAX(P167,Q167)*R166,R166)</f>
        <v>2.42418933917714</v>
      </c>
      <c r="T167" s="1667" t="n">
        <f aca="false">HLOOKUP(T$14,Dec_Change,$K167)</f>
        <v>1.02675304554174</v>
      </c>
      <c r="U167" s="1668" t="n">
        <f aca="false">U166</f>
        <v>1.005</v>
      </c>
      <c r="V167" s="1675" t="n">
        <f aca="false">IF(AND($A167&gt;=V$16,MONTH($A167)=MONTH(V$16)),MAX(T167,U167)*V166,V166)</f>
        <v>1.33877978058913</v>
      </c>
      <c r="X167" s="1667" t="n">
        <f aca="false">HLOOKUP(X$14,Dec_Change,$K167)</f>
        <v>1.02425304554174</v>
      </c>
      <c r="Y167" s="1668" t="n">
        <f aca="false">Y166</f>
        <v>1.02</v>
      </c>
      <c r="Z167" s="1675" t="n">
        <f aca="false">IF(AND($A167&gt;=Z$16,MONTH($A167)=MONTH(Z$16)),MAX(X167,Y167)*Z166,Z166)</f>
        <v>1.31384867425998</v>
      </c>
      <c r="AB167" s="1667" t="n">
        <f aca="false">HLOOKUP(AB$14,Dec_Change,$K167)</f>
        <v>1.02425304554174</v>
      </c>
      <c r="AC167" s="1668" t="n">
        <f aca="false">AC166</f>
        <v>1.02</v>
      </c>
      <c r="AD167" s="1675" t="n">
        <f aca="false">IF(AND($A167&gt;=AD$16,MONTH($A167)=MONTH(AD$16)),MAX(AB167,AC167)*AD166,AD166)</f>
        <v>1.31384867425998</v>
      </c>
      <c r="AF167" s="1667" t="n">
        <f aca="false">HLOOKUP(AF$14,Dec_Change,$K167)</f>
        <v>1.075</v>
      </c>
      <c r="AG167" s="1668" t="n">
        <f aca="false">AG166</f>
        <v>0</v>
      </c>
      <c r="AH167" s="1675" t="n">
        <f aca="false">IF(AND($A167&gt;=AH$16,MONTH($A167)=MONTH(AH$16)),MAX(AF167,AG167)*AH166,AH166)</f>
        <v>2.42418933917714</v>
      </c>
      <c r="AJ167" s="1667" t="n">
        <f aca="false">HLOOKUP(AJ$14,Dec_Change,$K167)</f>
        <v>1.02425304554174</v>
      </c>
      <c r="AK167" s="1668" t="n">
        <f aca="false">AK166</f>
        <v>1.02</v>
      </c>
      <c r="AL167" s="1675" t="n">
        <f aca="false">IF(AND($A167&gt;=AL$16,MONTH($A167)=MONTH(AL$16)),MAX(AJ167,AK167)*AL166,AL166)</f>
        <v>1.31384867425998</v>
      </c>
      <c r="AN167" s="1667" t="n">
        <f aca="false">HLOOKUP(AN$14,Dec_Change,$K167)</f>
        <v>1.02675304554174</v>
      </c>
      <c r="AO167" s="1668" t="n">
        <f aca="false">AO166</f>
        <v>1.005</v>
      </c>
      <c r="AP167" s="1675" t="n">
        <f aca="false">IF(AND($A167&gt;=AP$16,MONTH($A167)=MONTH(AP$16)),MAX(AN167,AO167)*AP166,AP166)</f>
        <v>1.33877978058913</v>
      </c>
      <c r="AR167" s="1670" t="n">
        <f aca="false">$A167</f>
        <v>39904</v>
      </c>
      <c r="AS167" s="1671" t="n">
        <f aca="false">IF(AND($A167&gt;=EDATE(AS$17,12),IF(Assm!$L$74=0,$D167,$E167)/AS166&gt;=1.05),IF(Assm!$L$74=0,$D167,$E167),AS166)</f>
        <v>2.51025034756126</v>
      </c>
      <c r="AT167" s="1671" t="n">
        <f aca="false">IF(AS167/AS166=1,AT166,AS167/AS166)</f>
        <v>1.0517184627895</v>
      </c>
      <c r="AU167" s="1671" t="n">
        <f aca="false">F167</f>
        <v>1.075</v>
      </c>
      <c r="AV167" s="1671" t="n">
        <f aca="false">MAX(AT167,AU167)</f>
        <v>1.075</v>
      </c>
      <c r="AW167" s="1675" t="n">
        <f aca="false">IF(AV167=AV166,AW166,AV167*AW166)</f>
        <v>2.61065535328591</v>
      </c>
    </row>
    <row r="168" customFormat="false" ht="12.75" hidden="false" customHeight="false" outlineLevel="0" collapsed="false">
      <c r="A168" s="1673" t="n">
        <f aca="false">EDATE(A167,1)</f>
        <v>39934</v>
      </c>
      <c r="B168" s="1659" t="n">
        <f aca="false">'[4]Monthly Curve Calc.'!B171</f>
        <v>366.113371126161</v>
      </c>
      <c r="C168" s="1660" t="n">
        <f aca="false">'[4]Monthly Curve Calc.'!C171</f>
        <v>220.577793221005</v>
      </c>
      <c r="D168" s="1661" t="n">
        <f aca="false">'[4]Monthly Curve Calc.'!F171</f>
        <v>2.55233523944716</v>
      </c>
      <c r="E168" s="1662" t="n">
        <f aca="false">IF($A168&lt;=E$16,D168,(B168/B167)/(C168/C167)*E167)</f>
        <v>2.02266934390938</v>
      </c>
      <c r="F168" s="1674" t="n">
        <f aca="false">IF(Assm!$L$75=0,F167,IF(AND($A168&gt;F$16,MONTH($A168)=MONTH(F$16)),B167/B155,F167))</f>
        <v>1.07399906832253</v>
      </c>
      <c r="G168" s="1668" t="n">
        <f aca="false">IF(Assm!$L$75=0,G167,IF(AND($A168&gt;G$16,MONTH($A168)=MONTH(G$16)),C167/C155,G167))</f>
        <v>1.02627111225796</v>
      </c>
      <c r="H168" s="1668" t="n">
        <f aca="false">IF(Assm!$L$75=0,H167,IF(AND($A168&gt;H$16,MONTH($A168)=MONTH(H$16)),C167/C155-H$18,H167))</f>
        <v>1.02377111225796</v>
      </c>
      <c r="I168" s="1668" t="n">
        <f aca="false">IF(Assm!$L$75=0,I167,IF($A168&gt;=I$16,IF(MONTH($A168)=MONTH(I$16),AVERAGE(D156:D167),I167),I167))</f>
        <v>2.49709413477765</v>
      </c>
      <c r="J168" s="1675" t="n">
        <f aca="false">IF(Assm!$L$75=0,J167,IF($A168&gt;=J$16,IF(MONTH($A168)=MONTH(J$16),AVERAGE(E156:E167),J167),J167))</f>
        <v>1.94454219003883</v>
      </c>
      <c r="K168" s="1624" t="n">
        <f aca="false">K167+1</f>
        <v>156</v>
      </c>
      <c r="L168" s="1667" t="n">
        <f aca="false">HLOOKUP(L$14,Dec_Change,$K168)</f>
        <v>1.02627111225796</v>
      </c>
      <c r="M168" s="1668" t="n">
        <f aca="false">M167</f>
        <v>0</v>
      </c>
      <c r="N168" s="1675" t="n">
        <f aca="false">IF(AND($A168&gt;=N$16,MONTH($A168)=MONTH(N$16)),MAX(L168,M168)*N167,N167)</f>
        <v>1.37395101449367</v>
      </c>
      <c r="P168" s="1667" t="n">
        <f aca="false">HLOOKUP(P$14,Dec_Change,$K168)</f>
        <v>1.07399906832253</v>
      </c>
      <c r="Q168" s="1668" t="n">
        <f aca="false">Q167</f>
        <v>0</v>
      </c>
      <c r="R168" s="1675" t="n">
        <f aca="false">IF(AND($A168&gt;=R$16,MONTH($A168)=MONTH(R$16)),MAX(P168,Q168)*R167,R167)</f>
        <v>2.60357709171367</v>
      </c>
      <c r="T168" s="1667" t="n">
        <f aca="false">HLOOKUP(T$14,Dec_Change,$K168)</f>
        <v>1.02627111225796</v>
      </c>
      <c r="U168" s="1668" t="n">
        <f aca="false">U167</f>
        <v>1.005</v>
      </c>
      <c r="V168" s="1675" t="n">
        <f aca="false">IF(AND($A168&gt;=V$16,MONTH($A168)=MONTH(V$16)),MAX(T168,U168)*V167,V167)</f>
        <v>1.37395101449367</v>
      </c>
      <c r="X168" s="1667" t="n">
        <f aca="false">HLOOKUP(X$14,Dec_Change,$K168)</f>
        <v>1.02377111225796</v>
      </c>
      <c r="Y168" s="1668" t="n">
        <f aca="false">Y167</f>
        <v>1.02</v>
      </c>
      <c r="Z168" s="1675" t="n">
        <f aca="false">IF(AND($A168&gt;=Z$16,MONTH($A168)=MONTH(Z$16)),MAX(X168,Y168)*Z167,Z167)</f>
        <v>1.34508031858578</v>
      </c>
      <c r="AB168" s="1667" t="n">
        <f aca="false">HLOOKUP(AB$14,Dec_Change,$K168)</f>
        <v>1.02377111225796</v>
      </c>
      <c r="AC168" s="1668" t="n">
        <f aca="false">AC167</f>
        <v>1.02</v>
      </c>
      <c r="AD168" s="1675" t="n">
        <f aca="false">IF(AND($A168&gt;=AD$16,MONTH($A168)=MONTH(AD$16)),MAX(AB168,AC168)*AD167,AD167)</f>
        <v>1.34508031858578</v>
      </c>
      <c r="AF168" s="1667" t="n">
        <f aca="false">HLOOKUP(AF$14,Dec_Change,$K168)</f>
        <v>1.07399906832253</v>
      </c>
      <c r="AG168" s="1668" t="n">
        <f aca="false">AG167</f>
        <v>0</v>
      </c>
      <c r="AH168" s="1675" t="n">
        <f aca="false">IF(AND($A168&gt;=AH$16,MONTH($A168)=MONTH(AH$16)),MAX(AF168,AG168)*AH167,AH167)</f>
        <v>2.60357709171367</v>
      </c>
      <c r="AJ168" s="1667" t="n">
        <f aca="false">HLOOKUP(AJ$14,Dec_Change,$K168)</f>
        <v>1.02377111225796</v>
      </c>
      <c r="AK168" s="1668" t="n">
        <f aca="false">AK167</f>
        <v>1.02</v>
      </c>
      <c r="AL168" s="1675" t="n">
        <f aca="false">IF(AND($A168&gt;=AL$16,MONTH($A168)=MONTH(AL$16)),MAX(AJ168,AK168)*AL167,AL167)</f>
        <v>1.34508031858578</v>
      </c>
      <c r="AN168" s="1667" t="n">
        <f aca="false">HLOOKUP(AN$14,Dec_Change,$K168)</f>
        <v>1.02627111225796</v>
      </c>
      <c r="AO168" s="1668" t="n">
        <f aca="false">AO167</f>
        <v>1.005</v>
      </c>
      <c r="AP168" s="1675" t="n">
        <f aca="false">IF(AND($A168&gt;=AP$16,MONTH($A168)=MONTH(AP$16)),MAX(AN168,AO168)*AP167,AP167)</f>
        <v>1.37395101449367</v>
      </c>
      <c r="AR168" s="1670" t="n">
        <f aca="false">$A168</f>
        <v>39934</v>
      </c>
      <c r="AS168" s="1671" t="n">
        <f aca="false">IF(AND($A168&gt;=EDATE(AS$17,12),IF(Assm!$L$74=0,$D168,$E168)/AS167&gt;=1.05),IF(Assm!$L$74=0,$D168,$E168),AS167)</f>
        <v>2.51025034756126</v>
      </c>
      <c r="AT168" s="1671" t="n">
        <f aca="false">IF(AS168/AS167=1,AT167,AS168/AS167)</f>
        <v>1.0517184627895</v>
      </c>
      <c r="AU168" s="1671" t="n">
        <f aca="false">F168</f>
        <v>1.07399906832253</v>
      </c>
      <c r="AV168" s="1671" t="n">
        <f aca="false">MAX(AT168,AU168)</f>
        <v>1.07399906832253</v>
      </c>
      <c r="AW168" s="1675" t="n">
        <f aca="false">IF(AV168=AV167,AW167,AV168*AW167)</f>
        <v>2.8038414171403</v>
      </c>
    </row>
    <row r="169" customFormat="false" ht="12.75" hidden="false" customHeight="false" outlineLevel="0" collapsed="false">
      <c r="A169" s="1673" t="n">
        <f aca="false">EDATE(A168,1)</f>
        <v>39965</v>
      </c>
      <c r="B169" s="1659" t="n">
        <f aca="false">'[4]Monthly Curve Calc.'!B172</f>
        <v>368.240729726054</v>
      </c>
      <c r="C169" s="1660" t="n">
        <f aca="false">'[4]Monthly Curve Calc.'!C172</f>
        <v>221.049641116678</v>
      </c>
      <c r="D169" s="1661" t="n">
        <f aca="false">'[4]Monthly Curve Calc.'!F172</f>
        <v>2.55759263214617</v>
      </c>
      <c r="E169" s="1662" t="n">
        <f aca="false">IF($A169&lt;=E$16,D169,(B169/B168)/(C169/C168)*E168)</f>
        <v>2.03007974320577</v>
      </c>
      <c r="F169" s="1674" t="n">
        <f aca="false">IF(Assm!$L$75=0,F168,IF(AND($A169&gt;F$16,MONTH($A169)=MONTH(F$16)),B168/B156,F168))</f>
        <v>1.07399906832253</v>
      </c>
      <c r="G169" s="1668" t="n">
        <f aca="false">IF(Assm!$L$75=0,G168,IF(AND($A169&gt;G$16,MONTH($A169)=MONTH(G$16)),C168/C156,G168))</f>
        <v>1.02627111225796</v>
      </c>
      <c r="H169" s="1668" t="n">
        <f aca="false">IF(Assm!$L$75=0,H168,IF(AND($A169&gt;H$16,MONTH($A169)=MONTH(H$16)),C168/C156-H$18,H168))</f>
        <v>1.02377111225796</v>
      </c>
      <c r="I169" s="1668" t="n">
        <f aca="false">IF(Assm!$L$75=0,I168,IF($A169&gt;=I$16,IF(MONTH($A169)=MONTH(I$16),AVERAGE(D157:D168),I168),I168))</f>
        <v>2.49709413477765</v>
      </c>
      <c r="J169" s="1675" t="n">
        <f aca="false">IF(Assm!$L$75=0,J168,IF($A169&gt;=J$16,IF(MONTH($A169)=MONTH(J$16),AVERAGE(E157:E168),J168),J168))</f>
        <v>1.94454219003883</v>
      </c>
      <c r="K169" s="1624" t="n">
        <f aca="false">K168+1</f>
        <v>157</v>
      </c>
      <c r="L169" s="1667" t="n">
        <f aca="false">HLOOKUP(L$14,Dec_Change,$K169)</f>
        <v>1.02627111225796</v>
      </c>
      <c r="M169" s="1668" t="n">
        <f aca="false">M168</f>
        <v>0</v>
      </c>
      <c r="N169" s="1675" t="n">
        <f aca="false">IF(AND($A169&gt;=N$16,MONTH($A169)=MONTH(N$16)),MAX(L169,M169)*N168,N168)</f>
        <v>1.37395101449367</v>
      </c>
      <c r="P169" s="1667" t="n">
        <f aca="false">HLOOKUP(P$14,Dec_Change,$K169)</f>
        <v>1.07399906832253</v>
      </c>
      <c r="Q169" s="1668" t="n">
        <f aca="false">Q168</f>
        <v>0</v>
      </c>
      <c r="R169" s="1675" t="n">
        <f aca="false">IF(AND($A169&gt;=R$16,MONTH($A169)=MONTH(R$16)),MAX(P169,Q169)*R168,R168)</f>
        <v>2.60357709171367</v>
      </c>
      <c r="T169" s="1667" t="n">
        <f aca="false">HLOOKUP(T$14,Dec_Change,$K169)</f>
        <v>1.02627111225796</v>
      </c>
      <c r="U169" s="1668" t="n">
        <f aca="false">U168</f>
        <v>1.005</v>
      </c>
      <c r="V169" s="1675" t="n">
        <f aca="false">IF(AND($A169&gt;=V$16,MONTH($A169)=MONTH(V$16)),MAX(T169,U169)*V168,V168)</f>
        <v>1.37395101449367</v>
      </c>
      <c r="X169" s="1667" t="n">
        <f aca="false">HLOOKUP(X$14,Dec_Change,$K169)</f>
        <v>1.02377111225796</v>
      </c>
      <c r="Y169" s="1668" t="n">
        <f aca="false">Y168</f>
        <v>1.02</v>
      </c>
      <c r="Z169" s="1675" t="n">
        <f aca="false">IF(AND($A169&gt;=Z$16,MONTH($A169)=MONTH(Z$16)),MAX(X169,Y169)*Z168,Z168)</f>
        <v>1.34508031858578</v>
      </c>
      <c r="AB169" s="1667" t="n">
        <f aca="false">HLOOKUP(AB$14,Dec_Change,$K169)</f>
        <v>1.02377111225796</v>
      </c>
      <c r="AC169" s="1668" t="n">
        <f aca="false">AC168</f>
        <v>1.02</v>
      </c>
      <c r="AD169" s="1675" t="n">
        <f aca="false">IF(AND($A169&gt;=AD$16,MONTH($A169)=MONTH(AD$16)),MAX(AB169,AC169)*AD168,AD168)</f>
        <v>1.34508031858578</v>
      </c>
      <c r="AF169" s="1667" t="n">
        <f aca="false">HLOOKUP(AF$14,Dec_Change,$K169)</f>
        <v>1.07399906832253</v>
      </c>
      <c r="AG169" s="1668" t="n">
        <f aca="false">AG168</f>
        <v>0</v>
      </c>
      <c r="AH169" s="1675" t="n">
        <f aca="false">IF(AND($A169&gt;=AH$16,MONTH($A169)=MONTH(AH$16)),MAX(AF169,AG169)*AH168,AH168)</f>
        <v>2.60357709171367</v>
      </c>
      <c r="AJ169" s="1667" t="n">
        <f aca="false">HLOOKUP(AJ$14,Dec_Change,$K169)</f>
        <v>1.02377111225796</v>
      </c>
      <c r="AK169" s="1668" t="n">
        <f aca="false">AK168</f>
        <v>1.02</v>
      </c>
      <c r="AL169" s="1675" t="n">
        <f aca="false">IF(AND($A169&gt;=AL$16,MONTH($A169)=MONTH(AL$16)),MAX(AJ169,AK169)*AL168,AL168)</f>
        <v>1.34508031858578</v>
      </c>
      <c r="AN169" s="1667" t="n">
        <f aca="false">HLOOKUP(AN$14,Dec_Change,$K169)</f>
        <v>1.02627111225796</v>
      </c>
      <c r="AO169" s="1668" t="n">
        <f aca="false">AO168</f>
        <v>1.005</v>
      </c>
      <c r="AP169" s="1675" t="n">
        <f aca="false">IF(AND($A169&gt;=AP$16,MONTH($A169)=MONTH(AP$16)),MAX(AN169,AO169)*AP168,AP168)</f>
        <v>1.37395101449367</v>
      </c>
      <c r="AR169" s="1670" t="n">
        <f aca="false">$A169</f>
        <v>39965</v>
      </c>
      <c r="AS169" s="1671" t="n">
        <f aca="false">IF(AND($A169&gt;=EDATE(AS$17,12),IF(Assm!$L$74=0,$D169,$E169)/AS168&gt;=1.05),IF(Assm!$L$74=0,$D169,$E169),AS168)</f>
        <v>2.51025034756126</v>
      </c>
      <c r="AT169" s="1671" t="n">
        <f aca="false">IF(AS169/AS168=1,AT168,AS169/AS168)</f>
        <v>1.0517184627895</v>
      </c>
      <c r="AU169" s="1671" t="n">
        <f aca="false">F169</f>
        <v>1.07399906832253</v>
      </c>
      <c r="AV169" s="1671" t="n">
        <f aca="false">MAX(AT169,AU169)</f>
        <v>1.07399906832253</v>
      </c>
      <c r="AW169" s="1675" t="n">
        <f aca="false">IF(AV169=AV168,AW168,AV169*AW168)</f>
        <v>2.8038414171403</v>
      </c>
    </row>
    <row r="170" customFormat="false" ht="12.75" hidden="false" customHeight="false" outlineLevel="0" collapsed="false">
      <c r="A170" s="1673" t="n">
        <f aca="false">EDATE(A169,1)</f>
        <v>39995</v>
      </c>
      <c r="B170" s="1659" t="n">
        <f aca="false">'[4]Monthly Curve Calc.'!B173</f>
        <v>370.380449673469</v>
      </c>
      <c r="C170" s="1660" t="n">
        <f aca="false">'[4]Monthly Curve Calc.'!C173</f>
        <v>221.522498363443</v>
      </c>
      <c r="D170" s="1661" t="n">
        <f aca="false">'[4]Monthly Curve Calc.'!F173</f>
        <v>2.56286085421335</v>
      </c>
      <c r="E170" s="1662" t="n">
        <f aca="false">IF($A170&lt;=E$16,D170,(B170/B169)/(C170/C169)*E169)</f>
        <v>2.03751729178285</v>
      </c>
      <c r="F170" s="1674" t="n">
        <f aca="false">IF(Assm!$L$75=0,F169,IF(AND($A170&gt;F$16,MONTH($A170)=MONTH(F$16)),B169/B157,F169))</f>
        <v>1.07399906832253</v>
      </c>
      <c r="G170" s="1668" t="n">
        <f aca="false">IF(Assm!$L$75=0,G169,IF(AND($A170&gt;G$16,MONTH($A170)=MONTH(G$16)),C169/C157,G169))</f>
        <v>1.02627111225796</v>
      </c>
      <c r="H170" s="1668" t="n">
        <f aca="false">IF(Assm!$L$75=0,H169,IF(AND($A170&gt;H$16,MONTH($A170)=MONTH(H$16)),C169/C157-H$18,H169))</f>
        <v>1.02377111225796</v>
      </c>
      <c r="I170" s="1668" t="n">
        <f aca="false">IF(Assm!$L$75=0,I169,IF($A170&gt;=I$16,IF(MONTH($A170)=MONTH(I$16),AVERAGE(D158:D169),I169),I169))</f>
        <v>2.49709413477765</v>
      </c>
      <c r="J170" s="1675" t="n">
        <f aca="false">IF(Assm!$L$75=0,J169,IF($A170&gt;=J$16,IF(MONTH($A170)=MONTH(J$16),AVERAGE(E158:E169),J169),J169))</f>
        <v>1.94454219003883</v>
      </c>
      <c r="K170" s="1624" t="n">
        <f aca="false">K169+1</f>
        <v>158</v>
      </c>
      <c r="L170" s="1667" t="n">
        <f aca="false">HLOOKUP(L$14,Dec_Change,$K170)</f>
        <v>1.02627111225796</v>
      </c>
      <c r="M170" s="1668" t="n">
        <f aca="false">M169</f>
        <v>0</v>
      </c>
      <c r="N170" s="1675" t="n">
        <f aca="false">IF(AND($A170&gt;=N$16,MONTH($A170)=MONTH(N$16)),MAX(L170,M170)*N169,N169)</f>
        <v>1.37395101449367</v>
      </c>
      <c r="P170" s="1667" t="n">
        <f aca="false">HLOOKUP(P$14,Dec_Change,$K170)</f>
        <v>1.07399906832253</v>
      </c>
      <c r="Q170" s="1668" t="n">
        <f aca="false">Q169</f>
        <v>0</v>
      </c>
      <c r="R170" s="1675" t="n">
        <f aca="false">IF(AND($A170&gt;=R$16,MONTH($A170)=MONTH(R$16)),MAX(P170,Q170)*R169,R169)</f>
        <v>2.60357709171367</v>
      </c>
      <c r="T170" s="1667" t="n">
        <f aca="false">HLOOKUP(T$14,Dec_Change,$K170)</f>
        <v>1.02627111225796</v>
      </c>
      <c r="U170" s="1668" t="n">
        <f aca="false">U169</f>
        <v>1.005</v>
      </c>
      <c r="V170" s="1675" t="n">
        <f aca="false">IF(AND($A170&gt;=V$16,MONTH($A170)=MONTH(V$16)),MAX(T170,U170)*V169,V169)</f>
        <v>1.37395101449367</v>
      </c>
      <c r="X170" s="1667" t="n">
        <f aca="false">HLOOKUP(X$14,Dec_Change,$K170)</f>
        <v>1.02377111225796</v>
      </c>
      <c r="Y170" s="1668" t="n">
        <f aca="false">Y169</f>
        <v>1.02</v>
      </c>
      <c r="Z170" s="1675" t="n">
        <f aca="false">IF(AND($A170&gt;=Z$16,MONTH($A170)=MONTH(Z$16)),MAX(X170,Y170)*Z169,Z169)</f>
        <v>1.34508031858578</v>
      </c>
      <c r="AB170" s="1667" t="n">
        <f aca="false">HLOOKUP(AB$14,Dec_Change,$K170)</f>
        <v>1.02377111225796</v>
      </c>
      <c r="AC170" s="1668" t="n">
        <f aca="false">AC169</f>
        <v>1.02</v>
      </c>
      <c r="AD170" s="1675" t="n">
        <f aca="false">IF(AND($A170&gt;=AD$16,MONTH($A170)=MONTH(AD$16)),MAX(AB170,AC170)*AD169,AD169)</f>
        <v>1.34508031858578</v>
      </c>
      <c r="AF170" s="1667" t="n">
        <f aca="false">HLOOKUP(AF$14,Dec_Change,$K170)</f>
        <v>1.07399906832253</v>
      </c>
      <c r="AG170" s="1668" t="n">
        <f aca="false">AG169</f>
        <v>0</v>
      </c>
      <c r="AH170" s="1675" t="n">
        <f aca="false">IF(AND($A170&gt;=AH$16,MONTH($A170)=MONTH(AH$16)),MAX(AF170,AG170)*AH169,AH169)</f>
        <v>2.60357709171367</v>
      </c>
      <c r="AJ170" s="1667" t="n">
        <f aca="false">HLOOKUP(AJ$14,Dec_Change,$K170)</f>
        <v>1.02377111225796</v>
      </c>
      <c r="AK170" s="1668" t="n">
        <f aca="false">AK169</f>
        <v>1.02</v>
      </c>
      <c r="AL170" s="1675" t="n">
        <f aca="false">IF(AND($A170&gt;=AL$16,MONTH($A170)=MONTH(AL$16)),MAX(AJ170,AK170)*AL169,AL169)</f>
        <v>1.34508031858578</v>
      </c>
      <c r="AN170" s="1667" t="n">
        <f aca="false">HLOOKUP(AN$14,Dec_Change,$K170)</f>
        <v>1.02627111225796</v>
      </c>
      <c r="AO170" s="1668" t="n">
        <f aca="false">AO169</f>
        <v>1.005</v>
      </c>
      <c r="AP170" s="1675" t="n">
        <f aca="false">IF(AND($A170&gt;=AP$16,MONTH($A170)=MONTH(AP$16)),MAX(AN170,AO170)*AP169,AP169)</f>
        <v>1.37395101449367</v>
      </c>
      <c r="AR170" s="1670" t="n">
        <f aca="false">$A170</f>
        <v>39995</v>
      </c>
      <c r="AS170" s="1671" t="n">
        <f aca="false">IF(AND($A170&gt;=EDATE(AS$17,12),IF(Assm!$L$74=0,$D170,$E170)/AS169&gt;=1.05),IF(Assm!$L$74=0,$D170,$E170),AS169)</f>
        <v>2.51025034756126</v>
      </c>
      <c r="AT170" s="1671" t="n">
        <f aca="false">IF(AS170/AS169=1,AT169,AS170/AS169)</f>
        <v>1.0517184627895</v>
      </c>
      <c r="AU170" s="1671" t="n">
        <f aca="false">F170</f>
        <v>1.07399906832253</v>
      </c>
      <c r="AV170" s="1671" t="n">
        <f aca="false">MAX(AT170,AU170)</f>
        <v>1.07399906832253</v>
      </c>
      <c r="AW170" s="1675" t="n">
        <f aca="false">IF(AV170=AV169,AW169,AV170*AW169)</f>
        <v>2.8038414171403</v>
      </c>
    </row>
    <row r="171" customFormat="false" ht="12.75" hidden="false" customHeight="false" outlineLevel="0" collapsed="false">
      <c r="A171" s="1673" t="n">
        <f aca="false">EDATE(A170,1)</f>
        <v>40026</v>
      </c>
      <c r="B171" s="1659" t="n">
        <f aca="false">'[4]Monthly Curve Calc.'!B174</f>
        <v>372.532602795934</v>
      </c>
      <c r="C171" s="1660" t="n">
        <f aca="false">'[4]Monthly Curve Calc.'!C174</f>
        <v>221.99636712045</v>
      </c>
      <c r="D171" s="1661" t="n">
        <f aca="false">'[4]Monthly Curve Calc.'!F174</f>
        <v>2.56813992795542</v>
      </c>
      <c r="E171" s="1662" t="n">
        <f aca="false">IF($A171&lt;=E$16,D171,(B171/B170)/(C171/C170)*E170)</f>
        <v>2.04498208910668</v>
      </c>
      <c r="F171" s="1674" t="n">
        <f aca="false">IF(Assm!$L$75=0,F170,IF(AND($A171&gt;F$16,MONTH($A171)=MONTH(F$16)),B170/B158,F170))</f>
        <v>1.07399906832253</v>
      </c>
      <c r="G171" s="1668" t="n">
        <f aca="false">IF(Assm!$L$75=0,G170,IF(AND($A171&gt;G$16,MONTH($A171)=MONTH(G$16)),C170/C158,G170))</f>
        <v>1.02627111225796</v>
      </c>
      <c r="H171" s="1668" t="n">
        <f aca="false">IF(Assm!$L$75=0,H170,IF(AND($A171&gt;H$16,MONTH($A171)=MONTH(H$16)),C170/C158-H$18,H170))</f>
        <v>1.02377111225796</v>
      </c>
      <c r="I171" s="1668" t="n">
        <f aca="false">IF(Assm!$L$75=0,I170,IF($A171&gt;=I$16,IF(MONTH($A171)=MONTH(I$16),AVERAGE(D159:D170),I170),I170))</f>
        <v>2.49709413477765</v>
      </c>
      <c r="J171" s="1675" t="n">
        <f aca="false">IF(Assm!$L$75=0,J170,IF($A171&gt;=J$16,IF(MONTH($A171)=MONTH(J$16),AVERAGE(E159:E170),J170),J170))</f>
        <v>1.94454219003883</v>
      </c>
      <c r="K171" s="1624" t="n">
        <f aca="false">K170+1</f>
        <v>159</v>
      </c>
      <c r="L171" s="1667" t="n">
        <f aca="false">HLOOKUP(L$14,Dec_Change,$K171)</f>
        <v>1.02627111225796</v>
      </c>
      <c r="M171" s="1668" t="n">
        <f aca="false">M170</f>
        <v>0</v>
      </c>
      <c r="N171" s="1675" t="n">
        <f aca="false">IF(AND($A171&gt;=N$16,MONTH($A171)=MONTH(N$16)),MAX(L171,M171)*N170,N170)</f>
        <v>1.37395101449367</v>
      </c>
      <c r="P171" s="1667" t="n">
        <f aca="false">HLOOKUP(P$14,Dec_Change,$K171)</f>
        <v>1.07399906832253</v>
      </c>
      <c r="Q171" s="1668" t="n">
        <f aca="false">Q170</f>
        <v>0</v>
      </c>
      <c r="R171" s="1675" t="n">
        <f aca="false">IF(AND($A171&gt;=R$16,MONTH($A171)=MONTH(R$16)),MAX(P171,Q171)*R170,R170)</f>
        <v>2.60357709171367</v>
      </c>
      <c r="T171" s="1667" t="n">
        <f aca="false">HLOOKUP(T$14,Dec_Change,$K171)</f>
        <v>1.02627111225796</v>
      </c>
      <c r="U171" s="1668" t="n">
        <f aca="false">U170</f>
        <v>1.005</v>
      </c>
      <c r="V171" s="1675" t="n">
        <f aca="false">IF(AND($A171&gt;=V$16,MONTH($A171)=MONTH(V$16)),MAX(T171,U171)*V170,V170)</f>
        <v>1.37395101449367</v>
      </c>
      <c r="X171" s="1667" t="n">
        <f aca="false">HLOOKUP(X$14,Dec_Change,$K171)</f>
        <v>1.02377111225796</v>
      </c>
      <c r="Y171" s="1668" t="n">
        <f aca="false">Y170</f>
        <v>1.02</v>
      </c>
      <c r="Z171" s="1675" t="n">
        <f aca="false">IF(AND($A171&gt;=Z$16,MONTH($A171)=MONTH(Z$16)),MAX(X171,Y171)*Z170,Z170)</f>
        <v>1.34508031858578</v>
      </c>
      <c r="AB171" s="1667" t="n">
        <f aca="false">HLOOKUP(AB$14,Dec_Change,$K171)</f>
        <v>1.02377111225796</v>
      </c>
      <c r="AC171" s="1668" t="n">
        <f aca="false">AC170</f>
        <v>1.02</v>
      </c>
      <c r="AD171" s="1675" t="n">
        <f aca="false">IF(AND($A171&gt;=AD$16,MONTH($A171)=MONTH(AD$16)),MAX(AB171,AC171)*AD170,AD170)</f>
        <v>1.34508031858578</v>
      </c>
      <c r="AF171" s="1667" t="n">
        <f aca="false">HLOOKUP(AF$14,Dec_Change,$K171)</f>
        <v>1.07399906832253</v>
      </c>
      <c r="AG171" s="1668" t="n">
        <f aca="false">AG170</f>
        <v>0</v>
      </c>
      <c r="AH171" s="1675" t="n">
        <f aca="false">IF(AND($A171&gt;=AH$16,MONTH($A171)=MONTH(AH$16)),MAX(AF171,AG171)*AH170,AH170)</f>
        <v>2.60357709171367</v>
      </c>
      <c r="AJ171" s="1667" t="n">
        <f aca="false">HLOOKUP(AJ$14,Dec_Change,$K171)</f>
        <v>1.02377111225796</v>
      </c>
      <c r="AK171" s="1668" t="n">
        <f aca="false">AK170</f>
        <v>1.02</v>
      </c>
      <c r="AL171" s="1675" t="n">
        <f aca="false">IF(AND($A171&gt;=AL$16,MONTH($A171)=MONTH(AL$16)),MAX(AJ171,AK171)*AL170,AL170)</f>
        <v>1.34508031858578</v>
      </c>
      <c r="AN171" s="1667" t="n">
        <f aca="false">HLOOKUP(AN$14,Dec_Change,$K171)</f>
        <v>1.02627111225796</v>
      </c>
      <c r="AO171" s="1668" t="n">
        <f aca="false">AO170</f>
        <v>1.005</v>
      </c>
      <c r="AP171" s="1675" t="n">
        <f aca="false">IF(AND($A171&gt;=AP$16,MONTH($A171)=MONTH(AP$16)),MAX(AN171,AO171)*AP170,AP170)</f>
        <v>1.37395101449367</v>
      </c>
      <c r="AR171" s="1670" t="n">
        <f aca="false">$A171</f>
        <v>40026</v>
      </c>
      <c r="AS171" s="1671" t="n">
        <f aca="false">IF(AND($A171&gt;=EDATE(AS$17,12),IF(Assm!$L$74=0,$D171,$E171)/AS170&gt;=1.05),IF(Assm!$L$74=0,$D171,$E171),AS170)</f>
        <v>2.51025034756126</v>
      </c>
      <c r="AT171" s="1671" t="n">
        <f aca="false">IF(AS171/AS170=1,AT170,AS171/AS170)</f>
        <v>1.0517184627895</v>
      </c>
      <c r="AU171" s="1671" t="n">
        <f aca="false">F171</f>
        <v>1.07399906832253</v>
      </c>
      <c r="AV171" s="1671" t="n">
        <f aca="false">MAX(AT171,AU171)</f>
        <v>1.07399906832253</v>
      </c>
      <c r="AW171" s="1675" t="n">
        <f aca="false">IF(AV171=AV170,AW170,AV171*AW170)</f>
        <v>2.8038414171403</v>
      </c>
    </row>
    <row r="172" customFormat="false" ht="12.75" hidden="false" customHeight="false" outlineLevel="0" collapsed="false">
      <c r="A172" s="1673" t="n">
        <f aca="false">EDATE(A171,1)</f>
        <v>40057</v>
      </c>
      <c r="B172" s="1659" t="n">
        <f aca="false">'[4]Monthly Curve Calc.'!B175</f>
        <v>374.697261338343</v>
      </c>
      <c r="C172" s="1660" t="n">
        <f aca="false">'[4]Monthly Curve Calc.'!C175</f>
        <v>222.471249551465</v>
      </c>
      <c r="D172" s="1661" t="n">
        <f aca="false">'[4]Monthly Curve Calc.'!F175</f>
        <v>2.57342987572505</v>
      </c>
      <c r="E172" s="1662" t="n">
        <f aca="false">IF($A172&lt;=E$16,D172,(B172/B171)/(C172/C171)*E171)</f>
        <v>2.05247423500779</v>
      </c>
      <c r="F172" s="1674" t="n">
        <f aca="false">IF(Assm!$L$75=0,F171,IF(AND($A172&gt;F$16,MONTH($A172)=MONTH(F$16)),B171/B159,F171))</f>
        <v>1.07399906832253</v>
      </c>
      <c r="G172" s="1668" t="n">
        <f aca="false">IF(Assm!$L$75=0,G171,IF(AND($A172&gt;G$16,MONTH($A172)=MONTH(G$16)),C171/C159,G171))</f>
        <v>1.02627111225796</v>
      </c>
      <c r="H172" s="1668" t="n">
        <f aca="false">IF(Assm!$L$75=0,H171,IF(AND($A172&gt;H$16,MONTH($A172)=MONTH(H$16)),C171/C159-H$18,H171))</f>
        <v>1.02377111225796</v>
      </c>
      <c r="I172" s="1668" t="n">
        <f aca="false">IF(Assm!$L$75=0,I171,IF($A172&gt;=I$16,IF(MONTH($A172)=MONTH(I$16),AVERAGE(D160:D171),I171),I171))</f>
        <v>2.49709413477765</v>
      </c>
      <c r="J172" s="1675" t="n">
        <f aca="false">IF(Assm!$L$75=0,J171,IF($A172&gt;=J$16,IF(MONTH($A172)=MONTH(J$16),AVERAGE(E160:E171),J171),J171))</f>
        <v>1.94454219003883</v>
      </c>
      <c r="K172" s="1624" t="n">
        <f aca="false">K171+1</f>
        <v>160</v>
      </c>
      <c r="L172" s="1667" t="n">
        <f aca="false">HLOOKUP(L$14,Dec_Change,$K172)</f>
        <v>1.02627111225796</v>
      </c>
      <c r="M172" s="1668" t="n">
        <f aca="false">M171</f>
        <v>0</v>
      </c>
      <c r="N172" s="1675" t="n">
        <f aca="false">IF(AND($A172&gt;=N$16,MONTH($A172)=MONTH(N$16)),MAX(L172,M172)*N171,N171)</f>
        <v>1.37395101449367</v>
      </c>
      <c r="P172" s="1667" t="n">
        <f aca="false">HLOOKUP(P$14,Dec_Change,$K172)</f>
        <v>1.07399906832253</v>
      </c>
      <c r="Q172" s="1668" t="n">
        <f aca="false">Q171</f>
        <v>0</v>
      </c>
      <c r="R172" s="1675" t="n">
        <f aca="false">IF(AND($A172&gt;=R$16,MONTH($A172)=MONTH(R$16)),MAX(P172,Q172)*R171,R171)</f>
        <v>2.60357709171367</v>
      </c>
      <c r="T172" s="1667" t="n">
        <f aca="false">HLOOKUP(T$14,Dec_Change,$K172)</f>
        <v>1.02627111225796</v>
      </c>
      <c r="U172" s="1668" t="n">
        <f aca="false">U171</f>
        <v>1.005</v>
      </c>
      <c r="V172" s="1675" t="n">
        <f aca="false">IF(AND($A172&gt;=V$16,MONTH($A172)=MONTH(V$16)),MAX(T172,U172)*V171,V171)</f>
        <v>1.37395101449367</v>
      </c>
      <c r="X172" s="1667" t="n">
        <f aca="false">HLOOKUP(X$14,Dec_Change,$K172)</f>
        <v>1.02377111225796</v>
      </c>
      <c r="Y172" s="1668" t="n">
        <f aca="false">Y171</f>
        <v>1.02</v>
      </c>
      <c r="Z172" s="1675" t="n">
        <f aca="false">IF(AND($A172&gt;=Z$16,MONTH($A172)=MONTH(Z$16)),MAX(X172,Y172)*Z171,Z171)</f>
        <v>1.34508031858578</v>
      </c>
      <c r="AB172" s="1667" t="n">
        <f aca="false">HLOOKUP(AB$14,Dec_Change,$K172)</f>
        <v>1.02377111225796</v>
      </c>
      <c r="AC172" s="1668" t="n">
        <f aca="false">AC171</f>
        <v>1.02</v>
      </c>
      <c r="AD172" s="1675" t="n">
        <f aca="false">IF(AND($A172&gt;=AD$16,MONTH($A172)=MONTH(AD$16)),MAX(AB172,AC172)*AD171,AD171)</f>
        <v>1.34508031858578</v>
      </c>
      <c r="AF172" s="1667" t="n">
        <f aca="false">HLOOKUP(AF$14,Dec_Change,$K172)</f>
        <v>1.07399906832253</v>
      </c>
      <c r="AG172" s="1668" t="n">
        <f aca="false">AG171</f>
        <v>0</v>
      </c>
      <c r="AH172" s="1675" t="n">
        <f aca="false">IF(AND($A172&gt;=AH$16,MONTH($A172)=MONTH(AH$16)),MAX(AF172,AG172)*AH171,AH171)</f>
        <v>2.60357709171367</v>
      </c>
      <c r="AJ172" s="1667" t="n">
        <f aca="false">HLOOKUP(AJ$14,Dec_Change,$K172)</f>
        <v>1.02377111225796</v>
      </c>
      <c r="AK172" s="1668" t="n">
        <f aca="false">AK171</f>
        <v>1.02</v>
      </c>
      <c r="AL172" s="1675" t="n">
        <f aca="false">IF(AND($A172&gt;=AL$16,MONTH($A172)=MONTH(AL$16)),MAX(AJ172,AK172)*AL171,AL171)</f>
        <v>1.34508031858578</v>
      </c>
      <c r="AN172" s="1667" t="n">
        <f aca="false">HLOOKUP(AN$14,Dec_Change,$K172)</f>
        <v>1.02627111225796</v>
      </c>
      <c r="AO172" s="1668" t="n">
        <f aca="false">AO171</f>
        <v>1.005</v>
      </c>
      <c r="AP172" s="1675" t="n">
        <f aca="false">IF(AND($A172&gt;=AP$16,MONTH($A172)=MONTH(AP$16)),MAX(AN172,AO172)*AP171,AP171)</f>
        <v>1.37395101449367</v>
      </c>
      <c r="AR172" s="1670" t="n">
        <f aca="false">$A172</f>
        <v>40057</v>
      </c>
      <c r="AS172" s="1671" t="n">
        <f aca="false">IF(AND($A172&gt;=EDATE(AS$17,12),IF(Assm!$L$74=0,$D172,$E172)/AS171&gt;=1.05),IF(Assm!$L$74=0,$D172,$E172),AS171)</f>
        <v>2.51025034756126</v>
      </c>
      <c r="AT172" s="1671" t="n">
        <f aca="false">IF(AS172/AS171=1,AT171,AS172/AS171)</f>
        <v>1.0517184627895</v>
      </c>
      <c r="AU172" s="1671" t="n">
        <f aca="false">F172</f>
        <v>1.07399906832253</v>
      </c>
      <c r="AV172" s="1671" t="n">
        <f aca="false">MAX(AT172,AU172)</f>
        <v>1.07399906832253</v>
      </c>
      <c r="AW172" s="1675" t="n">
        <f aca="false">IF(AV172=AV171,AW171,AV172*AW171)</f>
        <v>2.8038414171403</v>
      </c>
    </row>
    <row r="173" customFormat="false" ht="12.75" hidden="false" customHeight="false" outlineLevel="0" collapsed="false">
      <c r="A173" s="1673" t="n">
        <f aca="false">EDATE(A172,1)</f>
        <v>40087</v>
      </c>
      <c r="B173" s="1659" t="n">
        <f aca="false">'[4]Monthly Curve Calc.'!B176</f>
        <v>376.874497965382</v>
      </c>
      <c r="C173" s="1660" t="n">
        <f aca="false">'[4]Monthly Curve Calc.'!C176</f>
        <v>222.947147824885</v>
      </c>
      <c r="D173" s="1661" t="n">
        <f aca="false">'[4]Monthly Curve Calc.'!F176</f>
        <v>2.57873071992097</v>
      </c>
      <c r="E173" s="1662" t="n">
        <f aca="false">IF($A173&lt;=E$16,D173,(B173/B172)/(C173/C172)*E172)</f>
        <v>2.05999382968241</v>
      </c>
      <c r="F173" s="1674" t="n">
        <f aca="false">IF(Assm!$L$75=0,F172,IF(AND($A173&gt;F$16,MONTH($A173)=MONTH(F$16)),B172/B160,F172))</f>
        <v>1.07399906832253</v>
      </c>
      <c r="G173" s="1668" t="n">
        <f aca="false">IF(Assm!$L$75=0,G172,IF(AND($A173&gt;G$16,MONTH($A173)=MONTH(G$16)),C172/C160,G172))</f>
        <v>1.02627111225796</v>
      </c>
      <c r="H173" s="1668" t="n">
        <f aca="false">IF(Assm!$L$75=0,H172,IF(AND($A173&gt;H$16,MONTH($A173)=MONTH(H$16)),C172/C160-H$18,H172))</f>
        <v>1.02377111225796</v>
      </c>
      <c r="I173" s="1668" t="n">
        <f aca="false">IF(Assm!$L$75=0,I172,IF($A173&gt;=I$16,IF(MONTH($A173)=MONTH(I$16),AVERAGE(D161:D172),I172),I172))</f>
        <v>2.49709413477765</v>
      </c>
      <c r="J173" s="1675" t="n">
        <f aca="false">IF(Assm!$L$75=0,J172,IF($A173&gt;=J$16,IF(MONTH($A173)=MONTH(J$16),AVERAGE(E161:E172),J172),J172))</f>
        <v>1.94454219003883</v>
      </c>
      <c r="K173" s="1624" t="n">
        <f aca="false">K172+1</f>
        <v>161</v>
      </c>
      <c r="L173" s="1667" t="n">
        <f aca="false">HLOOKUP(L$14,Dec_Change,$K173)</f>
        <v>1.02627111225796</v>
      </c>
      <c r="M173" s="1668" t="n">
        <f aca="false">M172</f>
        <v>0</v>
      </c>
      <c r="N173" s="1675" t="n">
        <f aca="false">IF(AND($A173&gt;=N$16,MONTH($A173)=MONTH(N$16)),MAX(L173,M173)*N172,N172)</f>
        <v>1.37395101449367</v>
      </c>
      <c r="P173" s="1667" t="n">
        <f aca="false">HLOOKUP(P$14,Dec_Change,$K173)</f>
        <v>1.07399906832253</v>
      </c>
      <c r="Q173" s="1668" t="n">
        <f aca="false">Q172</f>
        <v>0</v>
      </c>
      <c r="R173" s="1675" t="n">
        <f aca="false">IF(AND($A173&gt;=R$16,MONTH($A173)=MONTH(R$16)),MAX(P173,Q173)*R172,R172)</f>
        <v>2.60357709171367</v>
      </c>
      <c r="T173" s="1667" t="n">
        <f aca="false">HLOOKUP(T$14,Dec_Change,$K173)</f>
        <v>1.02627111225796</v>
      </c>
      <c r="U173" s="1668" t="n">
        <f aca="false">U172</f>
        <v>1.005</v>
      </c>
      <c r="V173" s="1675" t="n">
        <f aca="false">IF(AND($A173&gt;=V$16,MONTH($A173)=MONTH(V$16)),MAX(T173,U173)*V172,V172)</f>
        <v>1.37395101449367</v>
      </c>
      <c r="X173" s="1667" t="n">
        <f aca="false">HLOOKUP(X$14,Dec_Change,$K173)</f>
        <v>1.02377111225796</v>
      </c>
      <c r="Y173" s="1668" t="n">
        <f aca="false">Y172</f>
        <v>1.02</v>
      </c>
      <c r="Z173" s="1675" t="n">
        <f aca="false">IF(AND($A173&gt;=Z$16,MONTH($A173)=MONTH(Z$16)),MAX(X173,Y173)*Z172,Z172)</f>
        <v>1.34508031858578</v>
      </c>
      <c r="AB173" s="1667" t="n">
        <f aca="false">HLOOKUP(AB$14,Dec_Change,$K173)</f>
        <v>1.02377111225796</v>
      </c>
      <c r="AC173" s="1668" t="n">
        <f aca="false">AC172</f>
        <v>1.02</v>
      </c>
      <c r="AD173" s="1675" t="n">
        <f aca="false">IF(AND($A173&gt;=AD$16,MONTH($A173)=MONTH(AD$16)),MAX(AB173,AC173)*AD172,AD172)</f>
        <v>1.34508031858578</v>
      </c>
      <c r="AF173" s="1667" t="n">
        <f aca="false">HLOOKUP(AF$14,Dec_Change,$K173)</f>
        <v>1.07399906832253</v>
      </c>
      <c r="AG173" s="1668" t="n">
        <f aca="false">AG172</f>
        <v>0</v>
      </c>
      <c r="AH173" s="1675" t="n">
        <f aca="false">IF(AND($A173&gt;=AH$16,MONTH($A173)=MONTH(AH$16)),MAX(AF173,AG173)*AH172,AH172)</f>
        <v>2.60357709171367</v>
      </c>
      <c r="AJ173" s="1667" t="n">
        <f aca="false">HLOOKUP(AJ$14,Dec_Change,$K173)</f>
        <v>1.02377111225796</v>
      </c>
      <c r="AK173" s="1668" t="n">
        <f aca="false">AK172</f>
        <v>1.02</v>
      </c>
      <c r="AL173" s="1675" t="n">
        <f aca="false">IF(AND($A173&gt;=AL$16,MONTH($A173)=MONTH(AL$16)),MAX(AJ173,AK173)*AL172,AL172)</f>
        <v>1.34508031858578</v>
      </c>
      <c r="AN173" s="1667" t="n">
        <f aca="false">HLOOKUP(AN$14,Dec_Change,$K173)</f>
        <v>1.02627111225796</v>
      </c>
      <c r="AO173" s="1668" t="n">
        <f aca="false">AO172</f>
        <v>1.005</v>
      </c>
      <c r="AP173" s="1675" t="n">
        <f aca="false">IF(AND($A173&gt;=AP$16,MONTH($A173)=MONTH(AP$16)),MAX(AN173,AO173)*AP172,AP172)</f>
        <v>1.37395101449367</v>
      </c>
      <c r="AR173" s="1670" t="n">
        <f aca="false">$A173</f>
        <v>40087</v>
      </c>
      <c r="AS173" s="1671" t="n">
        <f aca="false">IF(AND($A173&gt;=EDATE(AS$17,12),IF(Assm!$L$74=0,$D173,$E173)/AS172&gt;=1.05),IF(Assm!$L$74=0,$D173,$E173),AS172)</f>
        <v>2.51025034756126</v>
      </c>
      <c r="AT173" s="1671" t="n">
        <f aca="false">IF(AS173/AS172=1,AT172,AS173/AS172)</f>
        <v>1.0517184627895</v>
      </c>
      <c r="AU173" s="1671" t="n">
        <f aca="false">F173</f>
        <v>1.07399906832253</v>
      </c>
      <c r="AV173" s="1671" t="n">
        <f aca="false">MAX(AT173,AU173)</f>
        <v>1.07399906832253</v>
      </c>
      <c r="AW173" s="1675" t="n">
        <f aca="false">IF(AV173=AV172,AW172,AV173*AW172)</f>
        <v>2.8038414171403</v>
      </c>
    </row>
    <row r="174" customFormat="false" ht="12.75" hidden="false" customHeight="false" outlineLevel="0" collapsed="false">
      <c r="A174" s="1673" t="n">
        <f aca="false">EDATE(A173,1)</f>
        <v>40118</v>
      </c>
      <c r="B174" s="1659" t="n">
        <f aca="false">'[4]Monthly Curve Calc.'!B177</f>
        <v>379.064385763965</v>
      </c>
      <c r="C174" s="1660" t="n">
        <f aca="false">'[4]Monthly Curve Calc.'!C177</f>
        <v>223.424064113743</v>
      </c>
      <c r="D174" s="1661" t="n">
        <f aca="false">'[4]Monthly Curve Calc.'!F177</f>
        <v>2.58404248298802</v>
      </c>
      <c r="E174" s="1662" t="n">
        <f aca="false">IF($A174&lt;=E$16,D174,(B174/B173)/(C174/C173)*E173)</f>
        <v>2.06754097369387</v>
      </c>
      <c r="F174" s="1674" t="n">
        <f aca="false">IF(Assm!$L$75=0,F173,IF(AND($A174&gt;F$16,MONTH($A174)=MONTH(F$16)),B173/B161,F173))</f>
        <v>1.07399906832253</v>
      </c>
      <c r="G174" s="1668" t="n">
        <f aca="false">IF(Assm!$L$75=0,G173,IF(AND($A174&gt;G$16,MONTH($A174)=MONTH(G$16)),C173/C161,G173))</f>
        <v>1.02627111225796</v>
      </c>
      <c r="H174" s="1668" t="n">
        <f aca="false">IF(Assm!$L$75=0,H173,IF(AND($A174&gt;H$16,MONTH($A174)=MONTH(H$16)),C173/C161-H$18,H173))</f>
        <v>1.02377111225796</v>
      </c>
      <c r="I174" s="1668" t="n">
        <f aca="false">IF(Assm!$L$75=0,I173,IF($A174&gt;=I$16,IF(MONTH($A174)=MONTH(I$16),AVERAGE(D162:D173),I173),I173))</f>
        <v>2.49709413477765</v>
      </c>
      <c r="J174" s="1675" t="n">
        <f aca="false">IF(Assm!$L$75=0,J173,IF($A174&gt;=J$16,IF(MONTH($A174)=MONTH(J$16),AVERAGE(E162:E173),J173),J173))</f>
        <v>1.94454219003883</v>
      </c>
      <c r="K174" s="1624" t="n">
        <f aca="false">K173+1</f>
        <v>162</v>
      </c>
      <c r="L174" s="1667" t="n">
        <f aca="false">HLOOKUP(L$14,Dec_Change,$K174)</f>
        <v>1.02627111225796</v>
      </c>
      <c r="M174" s="1668" t="n">
        <f aca="false">M173</f>
        <v>0</v>
      </c>
      <c r="N174" s="1675" t="n">
        <f aca="false">IF(AND($A174&gt;=N$16,MONTH($A174)=MONTH(N$16)),MAX(L174,M174)*N173,N173)</f>
        <v>1.37395101449367</v>
      </c>
      <c r="P174" s="1667" t="n">
        <f aca="false">HLOOKUP(P$14,Dec_Change,$K174)</f>
        <v>1.07399906832253</v>
      </c>
      <c r="Q174" s="1668" t="n">
        <f aca="false">Q173</f>
        <v>0</v>
      </c>
      <c r="R174" s="1675" t="n">
        <f aca="false">IF(AND($A174&gt;=R$16,MONTH($A174)=MONTH(R$16)),MAX(P174,Q174)*R173,R173)</f>
        <v>2.60357709171367</v>
      </c>
      <c r="T174" s="1667" t="n">
        <f aca="false">HLOOKUP(T$14,Dec_Change,$K174)</f>
        <v>1.02627111225796</v>
      </c>
      <c r="U174" s="1668" t="n">
        <f aca="false">U173</f>
        <v>1.005</v>
      </c>
      <c r="V174" s="1675" t="n">
        <f aca="false">IF(AND($A174&gt;=V$16,MONTH($A174)=MONTH(V$16)),MAX(T174,U174)*V173,V173)</f>
        <v>1.37395101449367</v>
      </c>
      <c r="X174" s="1667" t="n">
        <f aca="false">HLOOKUP(X$14,Dec_Change,$K174)</f>
        <v>1.02377111225796</v>
      </c>
      <c r="Y174" s="1668" t="n">
        <f aca="false">Y173</f>
        <v>1.02</v>
      </c>
      <c r="Z174" s="1675" t="n">
        <f aca="false">IF(AND($A174&gt;=Z$16,MONTH($A174)=MONTH(Z$16)),MAX(X174,Y174)*Z173,Z173)</f>
        <v>1.34508031858578</v>
      </c>
      <c r="AB174" s="1667" t="n">
        <f aca="false">HLOOKUP(AB$14,Dec_Change,$K174)</f>
        <v>1.02377111225796</v>
      </c>
      <c r="AC174" s="1668" t="n">
        <f aca="false">AC173</f>
        <v>1.02</v>
      </c>
      <c r="AD174" s="1675" t="n">
        <f aca="false">IF(AND($A174&gt;=AD$16,MONTH($A174)=MONTH(AD$16)),MAX(AB174,AC174)*AD173,AD173)</f>
        <v>1.34508031858578</v>
      </c>
      <c r="AF174" s="1667" t="n">
        <f aca="false">HLOOKUP(AF$14,Dec_Change,$K174)</f>
        <v>1.07399906832253</v>
      </c>
      <c r="AG174" s="1668" t="n">
        <f aca="false">AG173</f>
        <v>0</v>
      </c>
      <c r="AH174" s="1675" t="n">
        <f aca="false">IF(AND($A174&gt;=AH$16,MONTH($A174)=MONTH(AH$16)),MAX(AF174,AG174)*AH173,AH173)</f>
        <v>2.60357709171367</v>
      </c>
      <c r="AJ174" s="1667" t="n">
        <f aca="false">HLOOKUP(AJ$14,Dec_Change,$K174)</f>
        <v>1.02377111225796</v>
      </c>
      <c r="AK174" s="1668" t="n">
        <f aca="false">AK173</f>
        <v>1.02</v>
      </c>
      <c r="AL174" s="1675" t="n">
        <f aca="false">IF(AND($A174&gt;=AL$16,MONTH($A174)=MONTH(AL$16)),MAX(AJ174,AK174)*AL173,AL173)</f>
        <v>1.34508031858578</v>
      </c>
      <c r="AN174" s="1667" t="n">
        <f aca="false">HLOOKUP(AN$14,Dec_Change,$K174)</f>
        <v>1.02627111225796</v>
      </c>
      <c r="AO174" s="1668" t="n">
        <f aca="false">AO173</f>
        <v>1.005</v>
      </c>
      <c r="AP174" s="1675" t="n">
        <f aca="false">IF(AND($A174&gt;=AP$16,MONTH($A174)=MONTH(AP$16)),MAX(AN174,AO174)*AP173,AP173)</f>
        <v>1.37395101449367</v>
      </c>
      <c r="AR174" s="1670" t="n">
        <f aca="false">$A174</f>
        <v>40118</v>
      </c>
      <c r="AS174" s="1671" t="n">
        <f aca="false">IF(AND($A174&gt;=EDATE(AS$17,12),IF(Assm!$L$74=0,$D174,$E174)/AS173&gt;=1.05),IF(Assm!$L$74=0,$D174,$E174),AS173)</f>
        <v>2.51025034756126</v>
      </c>
      <c r="AT174" s="1671" t="n">
        <f aca="false">IF(AS174/AS173=1,AT173,AS174/AS173)</f>
        <v>1.0517184627895</v>
      </c>
      <c r="AU174" s="1671" t="n">
        <f aca="false">F174</f>
        <v>1.07399906832253</v>
      </c>
      <c r="AV174" s="1671" t="n">
        <f aca="false">MAX(AT174,AU174)</f>
        <v>1.07399906832253</v>
      </c>
      <c r="AW174" s="1675" t="n">
        <f aca="false">IF(AV174=AV173,AW173,AV174*AW173)</f>
        <v>2.8038414171403</v>
      </c>
    </row>
    <row r="175" customFormat="false" ht="12.75" hidden="false" customHeight="false" outlineLevel="0" collapsed="false">
      <c r="A175" s="1673" t="n">
        <f aca="false">EDATE(A174,1)</f>
        <v>40148</v>
      </c>
      <c r="B175" s="1659" t="n">
        <f aca="false">'[4]Monthly Curve Calc.'!B178</f>
        <v>381.266998245689</v>
      </c>
      <c r="C175" s="1660" t="n">
        <f aca="false">'[4]Monthly Curve Calc.'!C178</f>
        <v>223.902000595721</v>
      </c>
      <c r="D175" s="1661" t="n">
        <f aca="false">'[4]Monthly Curve Calc.'!F178</f>
        <v>2.58936518741729</v>
      </c>
      <c r="E175" s="1662" t="n">
        <f aca="false">IF($A175&lt;=E$16,D175,(B175/B174)/(C175/C174)*E174)</f>
        <v>2.07511576797395</v>
      </c>
      <c r="F175" s="1674" t="n">
        <f aca="false">IF(Assm!$L$75=0,F174,IF(AND($A175&gt;F$16,MONTH($A175)=MONTH(F$16)),B174/B162,F174))</f>
        <v>1.07399906832253</v>
      </c>
      <c r="G175" s="1668" t="n">
        <f aca="false">IF(Assm!$L$75=0,G174,IF(AND($A175&gt;G$16,MONTH($A175)=MONTH(G$16)),C174/C162,G174))</f>
        <v>1.02627111225796</v>
      </c>
      <c r="H175" s="1668" t="n">
        <f aca="false">IF(Assm!$L$75=0,H174,IF(AND($A175&gt;H$16,MONTH($A175)=MONTH(H$16)),C174/C162-H$18,H174))</f>
        <v>1.02377111225796</v>
      </c>
      <c r="I175" s="1668" t="n">
        <f aca="false">IF(Assm!$L$75=0,I174,IF($A175&gt;=I$16,IF(MONTH($A175)=MONTH(I$16),AVERAGE(D163:D174),I174),I174))</f>
        <v>2.49709413477765</v>
      </c>
      <c r="J175" s="1675" t="n">
        <f aca="false">IF(Assm!$L$75=0,J174,IF($A175&gt;=J$16,IF(MONTH($A175)=MONTH(J$16),AVERAGE(E163:E174),J174),J174))</f>
        <v>1.94454219003883</v>
      </c>
      <c r="K175" s="1624" t="n">
        <f aca="false">K174+1</f>
        <v>163</v>
      </c>
      <c r="L175" s="1667" t="n">
        <f aca="false">HLOOKUP(L$14,Dec_Change,$K175)</f>
        <v>1.02627111225796</v>
      </c>
      <c r="M175" s="1668" t="n">
        <f aca="false">M174</f>
        <v>0</v>
      </c>
      <c r="N175" s="1675" t="n">
        <f aca="false">IF(AND($A175&gt;=N$16,MONTH($A175)=MONTH(N$16)),MAX(L175,M175)*N174,N174)</f>
        <v>1.37395101449367</v>
      </c>
      <c r="P175" s="1667" t="n">
        <f aca="false">HLOOKUP(P$14,Dec_Change,$K175)</f>
        <v>1.07399906832253</v>
      </c>
      <c r="Q175" s="1668" t="n">
        <f aca="false">Q174</f>
        <v>0</v>
      </c>
      <c r="R175" s="1675" t="n">
        <f aca="false">IF(AND($A175&gt;=R$16,MONTH($A175)=MONTH(R$16)),MAX(P175,Q175)*R174,R174)</f>
        <v>2.60357709171367</v>
      </c>
      <c r="T175" s="1667" t="n">
        <f aca="false">HLOOKUP(T$14,Dec_Change,$K175)</f>
        <v>1.02627111225796</v>
      </c>
      <c r="U175" s="1668" t="n">
        <f aca="false">U174</f>
        <v>1.005</v>
      </c>
      <c r="V175" s="1675" t="n">
        <f aca="false">IF(AND($A175&gt;=V$16,MONTH($A175)=MONTH(V$16)),MAX(T175,U175)*V174,V174)</f>
        <v>1.37395101449367</v>
      </c>
      <c r="X175" s="1667" t="n">
        <f aca="false">HLOOKUP(X$14,Dec_Change,$K175)</f>
        <v>1.02377111225796</v>
      </c>
      <c r="Y175" s="1668" t="n">
        <f aca="false">Y174</f>
        <v>1.02</v>
      </c>
      <c r="Z175" s="1675" t="n">
        <f aca="false">IF(AND($A175&gt;=Z$16,MONTH($A175)=MONTH(Z$16)),MAX(X175,Y175)*Z174,Z174)</f>
        <v>1.34508031858578</v>
      </c>
      <c r="AB175" s="1667" t="n">
        <f aca="false">HLOOKUP(AB$14,Dec_Change,$K175)</f>
        <v>1.02377111225796</v>
      </c>
      <c r="AC175" s="1668" t="n">
        <f aca="false">AC174</f>
        <v>1.02</v>
      </c>
      <c r="AD175" s="1675" t="n">
        <f aca="false">IF(AND($A175&gt;=AD$16,MONTH($A175)=MONTH(AD$16)),MAX(AB175,AC175)*AD174,AD174)</f>
        <v>1.34508031858578</v>
      </c>
      <c r="AF175" s="1667" t="n">
        <f aca="false">HLOOKUP(AF$14,Dec_Change,$K175)</f>
        <v>1.07399906832253</v>
      </c>
      <c r="AG175" s="1668" t="n">
        <f aca="false">AG174</f>
        <v>0</v>
      </c>
      <c r="AH175" s="1675" t="n">
        <f aca="false">IF(AND($A175&gt;=AH$16,MONTH($A175)=MONTH(AH$16)),MAX(AF175,AG175)*AH174,AH174)</f>
        <v>2.60357709171367</v>
      </c>
      <c r="AJ175" s="1667" t="n">
        <f aca="false">HLOOKUP(AJ$14,Dec_Change,$K175)</f>
        <v>1.02377111225796</v>
      </c>
      <c r="AK175" s="1668" t="n">
        <f aca="false">AK174</f>
        <v>1.02</v>
      </c>
      <c r="AL175" s="1675" t="n">
        <f aca="false">IF(AND($A175&gt;=AL$16,MONTH($A175)=MONTH(AL$16)),MAX(AJ175,AK175)*AL174,AL174)</f>
        <v>1.34508031858578</v>
      </c>
      <c r="AN175" s="1667" t="n">
        <f aca="false">HLOOKUP(AN$14,Dec_Change,$K175)</f>
        <v>1.02627111225796</v>
      </c>
      <c r="AO175" s="1668" t="n">
        <f aca="false">AO174</f>
        <v>1.005</v>
      </c>
      <c r="AP175" s="1675" t="n">
        <f aca="false">IF(AND($A175&gt;=AP$16,MONTH($A175)=MONTH(AP$16)),MAX(AN175,AO175)*AP174,AP174)</f>
        <v>1.37395101449367</v>
      </c>
      <c r="AR175" s="1670" t="n">
        <f aca="false">$A175</f>
        <v>40148</v>
      </c>
      <c r="AS175" s="1671" t="n">
        <f aca="false">IF(AND($A175&gt;=EDATE(AS$17,12),IF(Assm!$L$74=0,$D175,$E175)/AS174&gt;=1.05),IF(Assm!$L$74=0,$D175,$E175),AS174)</f>
        <v>2.51025034756126</v>
      </c>
      <c r="AT175" s="1671" t="n">
        <f aca="false">IF(AS175/AS174=1,AT174,AS175/AS174)</f>
        <v>1.0517184627895</v>
      </c>
      <c r="AU175" s="1671" t="n">
        <f aca="false">F175</f>
        <v>1.07399906832253</v>
      </c>
      <c r="AV175" s="1671" t="n">
        <f aca="false">MAX(AT175,AU175)</f>
        <v>1.07399906832253</v>
      </c>
      <c r="AW175" s="1675" t="n">
        <f aca="false">IF(AV175=AV174,AW174,AV175*AW174)</f>
        <v>2.8038414171403</v>
      </c>
    </row>
    <row r="176" customFormat="false" ht="12.75" hidden="false" customHeight="false" outlineLevel="0" collapsed="false">
      <c r="A176" s="1673" t="n">
        <f aca="false">EDATE(A175,1)</f>
        <v>40179</v>
      </c>
      <c r="B176" s="1659" t="n">
        <f aca="false">'[4]Monthly Curve Calc.'!B179</f>
        <v>383.4824093493</v>
      </c>
      <c r="C176" s="1660" t="n">
        <f aca="false">'[4]Monthly Curve Calc.'!C179</f>
        <v>224.373668201941</v>
      </c>
      <c r="D176" s="1661" t="n">
        <f aca="false">'[4]Monthly Curve Calc.'!F179</f>
        <v>2.59440828709463</v>
      </c>
      <c r="E176" s="1662" t="n">
        <f aca="false">IF($A176&lt;=E$16,D176,(B176/B175)/(C176/C175)*E175)</f>
        <v>2.08278599388028</v>
      </c>
      <c r="F176" s="1674" t="n">
        <f aca="false">IF(Assm!$L$75=0,F175,IF(AND($A176&gt;F$16,MONTH($A176)=MONTH(F$16)),B175/B163,F175))</f>
        <v>1.07399906832253</v>
      </c>
      <c r="G176" s="1668" t="n">
        <f aca="false">IF(Assm!$L$75=0,G175,IF(AND($A176&gt;G$16,MONTH($A176)=MONTH(G$16)),C175/C163,G175))</f>
        <v>1.02627111225796</v>
      </c>
      <c r="H176" s="1668" t="n">
        <f aca="false">IF(Assm!$L$75=0,H175,IF(AND($A176&gt;H$16,MONTH($A176)=MONTH(H$16)),C175/C163-H$18,H175))</f>
        <v>1.02377111225796</v>
      </c>
      <c r="I176" s="1668" t="n">
        <f aca="false">IF(Assm!$L$75=0,I175,IF($A176&gt;=I$16,IF(MONTH($A176)=MONTH(I$16),AVERAGE(D164:D175),I175),I175))</f>
        <v>2.56028997998376</v>
      </c>
      <c r="J176" s="1675" t="n">
        <f aca="false">IF(Assm!$L$75=0,J175,IF($A176&gt;=J$16,IF(MONTH($A176)=MONTH(J$16),AVERAGE(E164:E175),J175),J175))</f>
        <v>2.03395718180267</v>
      </c>
      <c r="K176" s="1624" t="n">
        <f aca="false">K175+1</f>
        <v>164</v>
      </c>
      <c r="L176" s="1667" t="n">
        <f aca="false">HLOOKUP(L$14,Dec_Change,$K176)</f>
        <v>1.02627111225796</v>
      </c>
      <c r="M176" s="1668" t="n">
        <f aca="false">M175</f>
        <v>0</v>
      </c>
      <c r="N176" s="1675" t="n">
        <f aca="false">IF(AND($A176&gt;=N$16,MONTH($A176)=MONTH(N$16)),MAX(L176,M176)*N175,N175)</f>
        <v>1.37395101449367</v>
      </c>
      <c r="P176" s="1667" t="n">
        <f aca="false">HLOOKUP(P$14,Dec_Change,$K176)</f>
        <v>1.07399906832253</v>
      </c>
      <c r="Q176" s="1668" t="n">
        <f aca="false">Q175</f>
        <v>0</v>
      </c>
      <c r="R176" s="1675" t="n">
        <f aca="false">IF(AND($A176&gt;=R$16,MONTH($A176)=MONTH(R$16)),MAX(P176,Q176)*R175,R175)</f>
        <v>2.60357709171367</v>
      </c>
      <c r="T176" s="1667" t="n">
        <f aca="false">HLOOKUP(T$14,Dec_Change,$K176)</f>
        <v>1.02627111225796</v>
      </c>
      <c r="U176" s="1668" t="n">
        <f aca="false">U175</f>
        <v>1.005</v>
      </c>
      <c r="V176" s="1675" t="n">
        <f aca="false">IF(AND($A176&gt;=V$16,MONTH($A176)=MONTH(V$16)),MAX(T176,U176)*V175,V175)</f>
        <v>1.37395101449367</v>
      </c>
      <c r="X176" s="1667" t="n">
        <f aca="false">HLOOKUP(X$14,Dec_Change,$K176)</f>
        <v>1.02377111225796</v>
      </c>
      <c r="Y176" s="1668" t="n">
        <f aca="false">Y175</f>
        <v>1.02</v>
      </c>
      <c r="Z176" s="1675" t="n">
        <f aca="false">IF(AND($A176&gt;=Z$16,MONTH($A176)=MONTH(Z$16)),MAX(X176,Y176)*Z175,Z175)</f>
        <v>1.34508031858578</v>
      </c>
      <c r="AB176" s="1667" t="n">
        <f aca="false">HLOOKUP(AB$14,Dec_Change,$K176)</f>
        <v>1.02377111225796</v>
      </c>
      <c r="AC176" s="1668" t="n">
        <f aca="false">AC175</f>
        <v>1.02</v>
      </c>
      <c r="AD176" s="1675" t="n">
        <f aca="false">IF(AND($A176&gt;=AD$16,MONTH($A176)=MONTH(AD$16)),MAX(AB176,AC176)*AD175,AD175)</f>
        <v>1.34508031858578</v>
      </c>
      <c r="AF176" s="1667" t="n">
        <f aca="false">HLOOKUP(AF$14,Dec_Change,$K176)</f>
        <v>1.07399906832253</v>
      </c>
      <c r="AG176" s="1668" t="n">
        <f aca="false">AG175</f>
        <v>0</v>
      </c>
      <c r="AH176" s="1675" t="n">
        <f aca="false">IF(AND($A176&gt;=AH$16,MONTH($A176)=MONTH(AH$16)),MAX(AF176,AG176)*AH175,AH175)</f>
        <v>2.60357709171367</v>
      </c>
      <c r="AJ176" s="1667" t="n">
        <f aca="false">HLOOKUP(AJ$14,Dec_Change,$K176)</f>
        <v>1.02377111225796</v>
      </c>
      <c r="AK176" s="1668" t="n">
        <f aca="false">AK175</f>
        <v>1.02</v>
      </c>
      <c r="AL176" s="1675" t="n">
        <f aca="false">IF(AND($A176&gt;=AL$16,MONTH($A176)=MONTH(AL$16)),MAX(AJ176,AK176)*AL175,AL175)</f>
        <v>1.34508031858578</v>
      </c>
      <c r="AN176" s="1667" t="n">
        <f aca="false">HLOOKUP(AN$14,Dec_Change,$K176)</f>
        <v>1.02627111225796</v>
      </c>
      <c r="AO176" s="1668" t="n">
        <f aca="false">AO175</f>
        <v>1.005</v>
      </c>
      <c r="AP176" s="1675" t="n">
        <f aca="false">IF(AND($A176&gt;=AP$16,MONTH($A176)=MONTH(AP$16)),MAX(AN176,AO176)*AP175,AP175)</f>
        <v>1.37395101449367</v>
      </c>
      <c r="AR176" s="1670" t="n">
        <f aca="false">$A176</f>
        <v>40179</v>
      </c>
      <c r="AS176" s="1671" t="n">
        <f aca="false">IF(AND($A176&gt;=EDATE(AS$17,12),IF(Assm!$L$74=0,$D176,$E176)/AS175&gt;=1.05),IF(Assm!$L$74=0,$D176,$E176),AS175)</f>
        <v>2.51025034756126</v>
      </c>
      <c r="AT176" s="1671" t="n">
        <f aca="false">IF(AS176/AS175=1,AT175,AS176/AS175)</f>
        <v>1.0517184627895</v>
      </c>
      <c r="AU176" s="1671" t="n">
        <f aca="false">F176</f>
        <v>1.07399906832253</v>
      </c>
      <c r="AV176" s="1671" t="n">
        <f aca="false">MAX(AT176,AU176)</f>
        <v>1.07399906832253</v>
      </c>
      <c r="AW176" s="1675" t="n">
        <f aca="false">IF(AV176=AV175,AW175,AV176*AW175)</f>
        <v>2.8038414171403</v>
      </c>
    </row>
    <row r="177" customFormat="false" ht="12.75" hidden="false" customHeight="false" outlineLevel="0" collapsed="false">
      <c r="A177" s="1673" t="n">
        <f aca="false">EDATE(A176,1)</f>
        <v>40210</v>
      </c>
      <c r="B177" s="1659" t="n">
        <f aca="false">'[4]Monthly Curve Calc.'!B180</f>
        <v>385.71069344318</v>
      </c>
      <c r="C177" s="1660" t="n">
        <f aca="false">'[4]Monthly Curve Calc.'!C180</f>
        <v>224.846329413979</v>
      </c>
      <c r="D177" s="1661" t="n">
        <f aca="false">'[4]Monthly Curve Calc.'!F180</f>
        <v>2.59946120881426</v>
      </c>
      <c r="E177" s="1662" t="n">
        <f aca="false">IF($A177&lt;=E$16,D177,(B177/B176)/(C177/C176)*E176)</f>
        <v>2.09048457115204</v>
      </c>
      <c r="F177" s="1674" t="n">
        <f aca="false">IF(Assm!$L$75=0,F176,IF(AND($A177&gt;F$16,MONTH($A177)=MONTH(F$16)),B176/B164,F176))</f>
        <v>1.07399906832253</v>
      </c>
      <c r="G177" s="1668" t="n">
        <f aca="false">IF(Assm!$L$75=0,G176,IF(AND($A177&gt;G$16,MONTH($A177)=MONTH(G$16)),C176/C164,G176))</f>
        <v>1.02627111225796</v>
      </c>
      <c r="H177" s="1668" t="n">
        <f aca="false">IF(Assm!$L$75=0,H176,IF(AND($A177&gt;H$16,MONTH($A177)=MONTH(H$16)),C176/C164-H$18,H176))</f>
        <v>1.02377111225796</v>
      </c>
      <c r="I177" s="1668" t="n">
        <f aca="false">IF(Assm!$L$75=0,I176,IF($A177&gt;=I$16,IF(MONTH($A177)=MONTH(I$16),AVERAGE(D165:D176),I176),I176))</f>
        <v>2.56028997998376</v>
      </c>
      <c r="J177" s="1675" t="n">
        <f aca="false">IF(Assm!$L$75=0,J176,IF($A177&gt;=J$16,IF(MONTH($A177)=MONTH(J$16),AVERAGE(E165:E176),J176),J176))</f>
        <v>2.03395718180267</v>
      </c>
      <c r="K177" s="1624" t="n">
        <f aca="false">K176+1</f>
        <v>165</v>
      </c>
      <c r="L177" s="1667" t="n">
        <f aca="false">HLOOKUP(L$14,Dec_Change,$K177)</f>
        <v>1.02627111225796</v>
      </c>
      <c r="M177" s="1668" t="n">
        <f aca="false">M176</f>
        <v>0</v>
      </c>
      <c r="N177" s="1675" t="n">
        <f aca="false">IF(AND($A177&gt;=N$16,MONTH($A177)=MONTH(N$16)),MAX(L177,M177)*N176,N176)</f>
        <v>1.37395101449367</v>
      </c>
      <c r="P177" s="1667" t="n">
        <f aca="false">HLOOKUP(P$14,Dec_Change,$K177)</f>
        <v>1.07399906832253</v>
      </c>
      <c r="Q177" s="1668" t="n">
        <f aca="false">Q176</f>
        <v>0</v>
      </c>
      <c r="R177" s="1675" t="n">
        <f aca="false">IF(AND($A177&gt;=R$16,MONTH($A177)=MONTH(R$16)),MAX(P177,Q177)*R176,R176)</f>
        <v>2.60357709171367</v>
      </c>
      <c r="T177" s="1667" t="n">
        <f aca="false">HLOOKUP(T$14,Dec_Change,$K177)</f>
        <v>1.02627111225796</v>
      </c>
      <c r="U177" s="1668" t="n">
        <f aca="false">U176</f>
        <v>1.005</v>
      </c>
      <c r="V177" s="1675" t="n">
        <f aca="false">IF(AND($A177&gt;=V$16,MONTH($A177)=MONTH(V$16)),MAX(T177,U177)*V176,V176)</f>
        <v>1.37395101449367</v>
      </c>
      <c r="X177" s="1667" t="n">
        <f aca="false">HLOOKUP(X$14,Dec_Change,$K177)</f>
        <v>1.02377111225796</v>
      </c>
      <c r="Y177" s="1668" t="n">
        <f aca="false">Y176</f>
        <v>1.02</v>
      </c>
      <c r="Z177" s="1675" t="n">
        <f aca="false">IF(AND($A177&gt;=Z$16,MONTH($A177)=MONTH(Z$16)),MAX(X177,Y177)*Z176,Z176)</f>
        <v>1.34508031858578</v>
      </c>
      <c r="AB177" s="1667" t="n">
        <f aca="false">HLOOKUP(AB$14,Dec_Change,$K177)</f>
        <v>1.02377111225796</v>
      </c>
      <c r="AC177" s="1668" t="n">
        <f aca="false">AC176</f>
        <v>1.02</v>
      </c>
      <c r="AD177" s="1675" t="n">
        <f aca="false">IF(AND($A177&gt;=AD$16,MONTH($A177)=MONTH(AD$16)),MAX(AB177,AC177)*AD176,AD176)</f>
        <v>1.34508031858578</v>
      </c>
      <c r="AF177" s="1667" t="n">
        <f aca="false">HLOOKUP(AF$14,Dec_Change,$K177)</f>
        <v>1.07399906832253</v>
      </c>
      <c r="AG177" s="1668" t="n">
        <f aca="false">AG176</f>
        <v>0</v>
      </c>
      <c r="AH177" s="1675" t="n">
        <f aca="false">IF(AND($A177&gt;=AH$16,MONTH($A177)=MONTH(AH$16)),MAX(AF177,AG177)*AH176,AH176)</f>
        <v>2.60357709171367</v>
      </c>
      <c r="AJ177" s="1667" t="n">
        <f aca="false">HLOOKUP(AJ$14,Dec_Change,$K177)</f>
        <v>1.02377111225796</v>
      </c>
      <c r="AK177" s="1668" t="n">
        <f aca="false">AK176</f>
        <v>1.02</v>
      </c>
      <c r="AL177" s="1675" t="n">
        <f aca="false">IF(AND($A177&gt;=AL$16,MONTH($A177)=MONTH(AL$16)),MAX(AJ177,AK177)*AL176,AL176)</f>
        <v>1.34508031858578</v>
      </c>
      <c r="AN177" s="1667" t="n">
        <f aca="false">HLOOKUP(AN$14,Dec_Change,$K177)</f>
        <v>1.02627111225796</v>
      </c>
      <c r="AO177" s="1668" t="n">
        <f aca="false">AO176</f>
        <v>1.005</v>
      </c>
      <c r="AP177" s="1675" t="n">
        <f aca="false">IF(AND($A177&gt;=AP$16,MONTH($A177)=MONTH(AP$16)),MAX(AN177,AO177)*AP176,AP176)</f>
        <v>1.37395101449367</v>
      </c>
      <c r="AR177" s="1670" t="n">
        <f aca="false">$A177</f>
        <v>40210</v>
      </c>
      <c r="AS177" s="1671" t="n">
        <f aca="false">IF(AND($A177&gt;=EDATE(AS$17,12),IF(Assm!$L$74=0,$D177,$E177)/AS176&gt;=1.05),IF(Assm!$L$74=0,$D177,$E177),AS176)</f>
        <v>2.51025034756126</v>
      </c>
      <c r="AT177" s="1671" t="n">
        <f aca="false">IF(AS177/AS176=1,AT176,AS177/AS176)</f>
        <v>1.0517184627895</v>
      </c>
      <c r="AU177" s="1671" t="n">
        <f aca="false">F177</f>
        <v>1.07399906832253</v>
      </c>
      <c r="AV177" s="1671" t="n">
        <f aca="false">MAX(AT177,AU177)</f>
        <v>1.07399906832253</v>
      </c>
      <c r="AW177" s="1675" t="n">
        <f aca="false">IF(AV177=AV176,AW176,AV177*AW176)</f>
        <v>2.8038414171403</v>
      </c>
    </row>
    <row r="178" customFormat="false" ht="12.75" hidden="false" customHeight="false" outlineLevel="0" collapsed="false">
      <c r="A178" s="1673" t="n">
        <f aca="false">EDATE(A177,1)</f>
        <v>40238</v>
      </c>
      <c r="B178" s="1659" t="n">
        <f aca="false">'[4]Monthly Curve Calc.'!B181</f>
        <v>387.951925327837</v>
      </c>
      <c r="C178" s="1660" t="n">
        <f aca="false">'[4]Monthly Curve Calc.'!C181</f>
        <v>225.319986324948</v>
      </c>
      <c r="D178" s="1661" t="n">
        <f aca="false">'[4]Monthly Curve Calc.'!F181</f>
        <v>2.60452397170578</v>
      </c>
      <c r="E178" s="1662" t="n">
        <f aca="false">IF($A178&lt;=E$16,D178,(B178/B177)/(C178/C177)*E177)</f>
        <v>2.09821160458406</v>
      </c>
      <c r="F178" s="1674" t="n">
        <f aca="false">IF(Assm!$L$75=0,F177,IF(AND($A178&gt;F$16,MONTH($A178)=MONTH(F$16)),B177/B165,F177))</f>
        <v>1.07399906832253</v>
      </c>
      <c r="G178" s="1668" t="n">
        <f aca="false">IF(Assm!$L$75=0,G177,IF(AND($A178&gt;G$16,MONTH($A178)=MONTH(G$16)),C177/C165,G177))</f>
        <v>1.02627111225796</v>
      </c>
      <c r="H178" s="1668" t="n">
        <f aca="false">IF(Assm!$L$75=0,H177,IF(AND($A178&gt;H$16,MONTH($A178)=MONTH(H$16)),C177/C165-H$18,H177))</f>
        <v>1.02377111225796</v>
      </c>
      <c r="I178" s="1668" t="n">
        <f aca="false">IF(Assm!$L$75=0,I177,IF($A178&gt;=I$16,IF(MONTH($A178)=MONTH(I$16),AVERAGE(D166:D177),I177),I177))</f>
        <v>2.56028997998376</v>
      </c>
      <c r="J178" s="1675" t="n">
        <f aca="false">IF(Assm!$L$75=0,J177,IF($A178&gt;=J$16,IF(MONTH($A178)=MONTH(J$16),AVERAGE(E166:E177),J177),J177))</f>
        <v>2.03395718180267</v>
      </c>
      <c r="K178" s="1624" t="n">
        <f aca="false">K177+1</f>
        <v>166</v>
      </c>
      <c r="L178" s="1667" t="n">
        <f aca="false">HLOOKUP(L$14,Dec_Change,$K178)</f>
        <v>1.02627111225796</v>
      </c>
      <c r="M178" s="1668" t="n">
        <f aca="false">M177</f>
        <v>0</v>
      </c>
      <c r="N178" s="1675" t="n">
        <f aca="false">IF(AND($A178&gt;=N$16,MONTH($A178)=MONTH(N$16)),MAX(L178,M178)*N177,N177)</f>
        <v>1.37395101449367</v>
      </c>
      <c r="P178" s="1667" t="n">
        <f aca="false">HLOOKUP(P$14,Dec_Change,$K178)</f>
        <v>1.07399906832253</v>
      </c>
      <c r="Q178" s="1668" t="n">
        <f aca="false">Q177</f>
        <v>0</v>
      </c>
      <c r="R178" s="1675" t="n">
        <f aca="false">IF(AND($A178&gt;=R$16,MONTH($A178)=MONTH(R$16)),MAX(P178,Q178)*R177,R177)</f>
        <v>2.60357709171367</v>
      </c>
      <c r="T178" s="1667" t="n">
        <f aca="false">HLOOKUP(T$14,Dec_Change,$K178)</f>
        <v>1.02627111225796</v>
      </c>
      <c r="U178" s="1668" t="n">
        <f aca="false">U177</f>
        <v>1.005</v>
      </c>
      <c r="V178" s="1675" t="n">
        <f aca="false">IF(AND($A178&gt;=V$16,MONTH($A178)=MONTH(V$16)),MAX(T178,U178)*V177,V177)</f>
        <v>1.37395101449367</v>
      </c>
      <c r="X178" s="1667" t="n">
        <f aca="false">HLOOKUP(X$14,Dec_Change,$K178)</f>
        <v>1.02377111225796</v>
      </c>
      <c r="Y178" s="1668" t="n">
        <f aca="false">Y177</f>
        <v>1.02</v>
      </c>
      <c r="Z178" s="1675" t="n">
        <f aca="false">IF(AND($A178&gt;=Z$16,MONTH($A178)=MONTH(Z$16)),MAX(X178,Y178)*Z177,Z177)</f>
        <v>1.34508031858578</v>
      </c>
      <c r="AB178" s="1667" t="n">
        <f aca="false">HLOOKUP(AB$14,Dec_Change,$K178)</f>
        <v>1.02377111225796</v>
      </c>
      <c r="AC178" s="1668" t="n">
        <f aca="false">AC177</f>
        <v>1.02</v>
      </c>
      <c r="AD178" s="1675" t="n">
        <f aca="false">IF(AND($A178&gt;=AD$16,MONTH($A178)=MONTH(AD$16)),MAX(AB178,AC178)*AD177,AD177)</f>
        <v>1.34508031858578</v>
      </c>
      <c r="AF178" s="1667" t="n">
        <f aca="false">HLOOKUP(AF$14,Dec_Change,$K178)</f>
        <v>1.07399906832253</v>
      </c>
      <c r="AG178" s="1668" t="n">
        <f aca="false">AG177</f>
        <v>0</v>
      </c>
      <c r="AH178" s="1675" t="n">
        <f aca="false">IF(AND($A178&gt;=AH$16,MONTH($A178)=MONTH(AH$16)),MAX(AF178,AG178)*AH177,AH177)</f>
        <v>2.60357709171367</v>
      </c>
      <c r="AJ178" s="1667" t="n">
        <f aca="false">HLOOKUP(AJ$14,Dec_Change,$K178)</f>
        <v>1.02377111225796</v>
      </c>
      <c r="AK178" s="1668" t="n">
        <f aca="false">AK177</f>
        <v>1.02</v>
      </c>
      <c r="AL178" s="1675" t="n">
        <f aca="false">IF(AND($A178&gt;=AL$16,MONTH($A178)=MONTH(AL$16)),MAX(AJ178,AK178)*AL177,AL177)</f>
        <v>1.34508031858578</v>
      </c>
      <c r="AN178" s="1667" t="n">
        <f aca="false">HLOOKUP(AN$14,Dec_Change,$K178)</f>
        <v>1.02627111225796</v>
      </c>
      <c r="AO178" s="1668" t="n">
        <f aca="false">AO177</f>
        <v>1.005</v>
      </c>
      <c r="AP178" s="1675" t="n">
        <f aca="false">IF(AND($A178&gt;=AP$16,MONTH($A178)=MONTH(AP$16)),MAX(AN178,AO178)*AP177,AP177)</f>
        <v>1.37395101449367</v>
      </c>
      <c r="AR178" s="1670" t="n">
        <f aca="false">$A178</f>
        <v>40238</v>
      </c>
      <c r="AS178" s="1671" t="n">
        <f aca="false">IF(AND($A178&gt;=EDATE(AS$17,12),IF(Assm!$L$74=0,$D178,$E178)/AS177&gt;=1.05),IF(Assm!$L$74=0,$D178,$E178),AS177)</f>
        <v>2.51025034756126</v>
      </c>
      <c r="AT178" s="1671" t="n">
        <f aca="false">IF(AS178/AS177=1,AT177,AS178/AS177)</f>
        <v>1.0517184627895</v>
      </c>
      <c r="AU178" s="1671" t="n">
        <f aca="false">F178</f>
        <v>1.07399906832253</v>
      </c>
      <c r="AV178" s="1671" t="n">
        <f aca="false">MAX(AT178,AU178)</f>
        <v>1.07399906832253</v>
      </c>
      <c r="AW178" s="1675" t="n">
        <f aca="false">IF(AV178=AV177,AW177,AV178*AW177)</f>
        <v>2.8038414171403</v>
      </c>
    </row>
    <row r="179" customFormat="false" ht="12.75" hidden="false" customHeight="false" outlineLevel="0" collapsed="false">
      <c r="A179" s="1673" t="n">
        <f aca="false">EDATE(A178,1)</f>
        <v>40269</v>
      </c>
      <c r="B179" s="1659" t="n">
        <f aca="false">'[4]Monthly Curve Calc.'!B182</f>
        <v>390.20618023842</v>
      </c>
      <c r="C179" s="1660" t="n">
        <f aca="false">'[4]Monthly Curve Calc.'!C182</f>
        <v>225.794641032367</v>
      </c>
      <c r="D179" s="1661" t="n">
        <f aca="false">'[4]Monthly Curve Calc.'!F182</f>
        <v>2.60959659493605</v>
      </c>
      <c r="E179" s="1662" t="n">
        <f aca="false">IF($A179&lt;=E$16,D179,(B179/B178)/(C179/C178)*E178)</f>
        <v>2.10596719935849</v>
      </c>
      <c r="F179" s="1674" t="n">
        <f aca="false">IF(Assm!$L$75=0,F178,IF(AND($A179&gt;F$16,MONTH($A179)=MONTH(F$16)),B178/B166,F178))</f>
        <v>1.07399906832253</v>
      </c>
      <c r="G179" s="1668" t="n">
        <f aca="false">IF(Assm!$L$75=0,G178,IF(AND($A179&gt;G$16,MONTH($A179)=MONTH(G$16)),C178/C166,G178))</f>
        <v>1.02627111225796</v>
      </c>
      <c r="H179" s="1668" t="n">
        <f aca="false">IF(Assm!$L$75=0,H178,IF(AND($A179&gt;H$16,MONTH($A179)=MONTH(H$16)),C178/C166-H$18,H178))</f>
        <v>1.02377111225796</v>
      </c>
      <c r="I179" s="1668" t="n">
        <f aca="false">IF(Assm!$L$75=0,I178,IF($A179&gt;=I$16,IF(MONTH($A179)=MONTH(I$16),AVERAGE(D167:D178),I178),I178))</f>
        <v>2.56028997998376</v>
      </c>
      <c r="J179" s="1675" t="n">
        <f aca="false">IF(Assm!$L$75=0,J178,IF($A179&gt;=J$16,IF(MONTH($A179)=MONTH(J$16),AVERAGE(E167:E178),J178),J178))</f>
        <v>2.03395718180267</v>
      </c>
      <c r="K179" s="1624" t="n">
        <f aca="false">K178+1</f>
        <v>167</v>
      </c>
      <c r="L179" s="1667" t="n">
        <f aca="false">HLOOKUP(L$14,Dec_Change,$K179)</f>
        <v>1.02627111225796</v>
      </c>
      <c r="M179" s="1668" t="n">
        <f aca="false">M178</f>
        <v>0</v>
      </c>
      <c r="N179" s="1675" t="n">
        <f aca="false">IF(AND($A179&gt;=N$16,MONTH($A179)=MONTH(N$16)),MAX(L179,M179)*N178,N178)</f>
        <v>1.37395101449367</v>
      </c>
      <c r="P179" s="1667" t="n">
        <f aca="false">HLOOKUP(P$14,Dec_Change,$K179)</f>
        <v>1.07399906832253</v>
      </c>
      <c r="Q179" s="1668" t="n">
        <f aca="false">Q178</f>
        <v>0</v>
      </c>
      <c r="R179" s="1675" t="n">
        <f aca="false">IF(AND($A179&gt;=R$16,MONTH($A179)=MONTH(R$16)),MAX(P179,Q179)*R178,R178)</f>
        <v>2.60357709171367</v>
      </c>
      <c r="T179" s="1667" t="n">
        <f aca="false">HLOOKUP(T$14,Dec_Change,$K179)</f>
        <v>1.02627111225796</v>
      </c>
      <c r="U179" s="1668" t="n">
        <f aca="false">U178</f>
        <v>1.005</v>
      </c>
      <c r="V179" s="1675" t="n">
        <f aca="false">IF(AND($A179&gt;=V$16,MONTH($A179)=MONTH(V$16)),MAX(T179,U179)*V178,V178)</f>
        <v>1.37395101449367</v>
      </c>
      <c r="X179" s="1667" t="n">
        <f aca="false">HLOOKUP(X$14,Dec_Change,$K179)</f>
        <v>1.02377111225796</v>
      </c>
      <c r="Y179" s="1668" t="n">
        <f aca="false">Y178</f>
        <v>1.02</v>
      </c>
      <c r="Z179" s="1675" t="n">
        <f aca="false">IF(AND($A179&gt;=Z$16,MONTH($A179)=MONTH(Z$16)),MAX(X179,Y179)*Z178,Z178)</f>
        <v>1.34508031858578</v>
      </c>
      <c r="AB179" s="1667" t="n">
        <f aca="false">HLOOKUP(AB$14,Dec_Change,$K179)</f>
        <v>1.02377111225796</v>
      </c>
      <c r="AC179" s="1668" t="n">
        <f aca="false">AC178</f>
        <v>1.02</v>
      </c>
      <c r="AD179" s="1675" t="n">
        <f aca="false">IF(AND($A179&gt;=AD$16,MONTH($A179)=MONTH(AD$16)),MAX(AB179,AC179)*AD178,AD178)</f>
        <v>1.34508031858578</v>
      </c>
      <c r="AF179" s="1667" t="n">
        <f aca="false">HLOOKUP(AF$14,Dec_Change,$K179)</f>
        <v>1.07399906832253</v>
      </c>
      <c r="AG179" s="1668" t="n">
        <f aca="false">AG178</f>
        <v>0</v>
      </c>
      <c r="AH179" s="1675" t="n">
        <f aca="false">IF(AND($A179&gt;=AH$16,MONTH($A179)=MONTH(AH$16)),MAX(AF179,AG179)*AH178,AH178)</f>
        <v>2.60357709171367</v>
      </c>
      <c r="AJ179" s="1667" t="n">
        <f aca="false">HLOOKUP(AJ$14,Dec_Change,$K179)</f>
        <v>1.02377111225796</v>
      </c>
      <c r="AK179" s="1668" t="n">
        <f aca="false">AK178</f>
        <v>1.02</v>
      </c>
      <c r="AL179" s="1675" t="n">
        <f aca="false">IF(AND($A179&gt;=AL$16,MONTH($A179)=MONTH(AL$16)),MAX(AJ179,AK179)*AL178,AL178)</f>
        <v>1.34508031858578</v>
      </c>
      <c r="AN179" s="1667" t="n">
        <f aca="false">HLOOKUP(AN$14,Dec_Change,$K179)</f>
        <v>1.02627111225796</v>
      </c>
      <c r="AO179" s="1668" t="n">
        <f aca="false">AO178</f>
        <v>1.005</v>
      </c>
      <c r="AP179" s="1675" t="n">
        <f aca="false">IF(AND($A179&gt;=AP$16,MONTH($A179)=MONTH(AP$16)),MAX(AN179,AO179)*AP178,AP178)</f>
        <v>1.37395101449367</v>
      </c>
      <c r="AR179" s="1670" t="n">
        <f aca="false">$A179</f>
        <v>40269</v>
      </c>
      <c r="AS179" s="1671" t="n">
        <f aca="false">IF(AND($A179&gt;=EDATE(AS$17,12),IF(Assm!$L$74=0,$D179,$E179)/AS178&gt;=1.05),IF(Assm!$L$74=0,$D179,$E179),AS178)</f>
        <v>2.51025034756126</v>
      </c>
      <c r="AT179" s="1671" t="n">
        <f aca="false">IF(AS179/AS178=1,AT178,AS179/AS178)</f>
        <v>1.0517184627895</v>
      </c>
      <c r="AU179" s="1671" t="n">
        <f aca="false">F179</f>
        <v>1.07399906832253</v>
      </c>
      <c r="AV179" s="1671" t="n">
        <f aca="false">MAX(AT179,AU179)</f>
        <v>1.07399906832253</v>
      </c>
      <c r="AW179" s="1675" t="n">
        <f aca="false">IF(AV179=AV178,AW178,AV179*AW178)</f>
        <v>2.8038414171403</v>
      </c>
    </row>
    <row r="180" customFormat="false" ht="12.75" hidden="false" customHeight="false" outlineLevel="0" collapsed="false">
      <c r="A180" s="1673" t="n">
        <f aca="false">EDATE(A179,1)</f>
        <v>40299</v>
      </c>
      <c r="B180" s="1659" t="n">
        <f aca="false">'[4]Monthly Curve Calc.'!B183</f>
        <v>392.473533847245</v>
      </c>
      <c r="C180" s="1660" t="n">
        <f aca="false">'[4]Monthly Curve Calc.'!C183</f>
        <v>226.270295638174</v>
      </c>
      <c r="D180" s="1661" t="n">
        <f aca="false">'[4]Monthly Curve Calc.'!F183</f>
        <v>2.61467909770927</v>
      </c>
      <c r="E180" s="1662" t="n">
        <f aca="false">IF($A180&lt;=E$16,D180,(B180/B179)/(C180/C179)*E179)</f>
        <v>2.1137514610463</v>
      </c>
      <c r="F180" s="1674" t="n">
        <f aca="false">IF(Assm!$L$75=0,F179,IF(AND($A180&gt;F$16,MONTH($A180)=MONTH(F$16)),B179/B167,F179))</f>
        <v>1.072</v>
      </c>
      <c r="G180" s="1668" t="n">
        <f aca="false">IF(Assm!$L$75=0,G179,IF(AND($A180&gt;G$16,MONTH($A180)=MONTH(G$16)),C179/C167,G179))</f>
        <v>1.02584056725748</v>
      </c>
      <c r="H180" s="1668" t="n">
        <f aca="false">IF(Assm!$L$75=0,H179,IF(AND($A180&gt;H$16,MONTH($A180)=MONTH(H$16)),C179/C167-H$18,H179))</f>
        <v>1.02334056725748</v>
      </c>
      <c r="I180" s="1668" t="n">
        <f aca="false">IF(Assm!$L$75=0,I179,IF($A180&gt;=I$16,IF(MONTH($A180)=MONTH(I$16),AVERAGE(D168:D179),I179),I179))</f>
        <v>2.56028997998376</v>
      </c>
      <c r="J180" s="1675" t="n">
        <f aca="false">IF(Assm!$L$75=0,J179,IF($A180&gt;=J$16,IF(MONTH($A180)=MONTH(J$16),AVERAGE(E168:E179),J179),J179))</f>
        <v>2.03395718180267</v>
      </c>
      <c r="K180" s="1624" t="n">
        <f aca="false">K179+1</f>
        <v>168</v>
      </c>
      <c r="L180" s="1667" t="n">
        <f aca="false">HLOOKUP(L$14,Dec_Change,$K180)</f>
        <v>1.02584056725748</v>
      </c>
      <c r="M180" s="1668" t="n">
        <f aca="false">M179</f>
        <v>0</v>
      </c>
      <c r="N180" s="1675" t="n">
        <f aca="false">IF(AND($A180&gt;=N$16,MONTH($A180)=MONTH(N$16)),MAX(L180,M180)*N179,N179)</f>
        <v>1.40945468809218</v>
      </c>
      <c r="P180" s="1667" t="n">
        <f aca="false">HLOOKUP(P$14,Dec_Change,$K180)</f>
        <v>1.072</v>
      </c>
      <c r="Q180" s="1668" t="n">
        <f aca="false">Q179</f>
        <v>0</v>
      </c>
      <c r="R180" s="1675" t="n">
        <f aca="false">IF(AND($A180&gt;=R$16,MONTH($A180)=MONTH(R$16)),MAX(P180,Q180)*R179,R179)</f>
        <v>2.79103464231705</v>
      </c>
      <c r="T180" s="1667" t="n">
        <f aca="false">HLOOKUP(T$14,Dec_Change,$K180)</f>
        <v>1.02584056725748</v>
      </c>
      <c r="U180" s="1668" t="n">
        <f aca="false">U179</f>
        <v>1.005</v>
      </c>
      <c r="V180" s="1675" t="n">
        <f aca="false">IF(AND($A180&gt;=V$16,MONTH($A180)=MONTH(V$16)),MAX(T180,U180)*V179,V179)</f>
        <v>1.40945468809218</v>
      </c>
      <c r="X180" s="1667" t="n">
        <f aca="false">HLOOKUP(X$14,Dec_Change,$K180)</f>
        <v>1.02334056725748</v>
      </c>
      <c r="Y180" s="1668" t="n">
        <f aca="false">Y179</f>
        <v>1.02</v>
      </c>
      <c r="Z180" s="1675" t="n">
        <f aca="false">IF(AND($A180&gt;=Z$16,MONTH($A180)=MONTH(Z$16)),MAX(X180,Y180)*Z179,Z179)</f>
        <v>1.37647525622845</v>
      </c>
      <c r="AB180" s="1667" t="n">
        <f aca="false">HLOOKUP(AB$14,Dec_Change,$K180)</f>
        <v>1.02334056725748</v>
      </c>
      <c r="AC180" s="1668" t="n">
        <f aca="false">AC179</f>
        <v>1.02</v>
      </c>
      <c r="AD180" s="1675" t="n">
        <f aca="false">IF(AND($A180&gt;=AD$16,MONTH($A180)=MONTH(AD$16)),MAX(AB180,AC180)*AD179,AD179)</f>
        <v>1.37647525622845</v>
      </c>
      <c r="AF180" s="1667" t="n">
        <f aca="false">HLOOKUP(AF$14,Dec_Change,$K180)</f>
        <v>1.072</v>
      </c>
      <c r="AG180" s="1668" t="n">
        <f aca="false">AG179</f>
        <v>0</v>
      </c>
      <c r="AH180" s="1675" t="n">
        <f aca="false">IF(AND($A180&gt;=AH$16,MONTH($A180)=MONTH(AH$16)),MAX(AF180,AG180)*AH179,AH179)</f>
        <v>2.79103464231705</v>
      </c>
      <c r="AJ180" s="1667" t="n">
        <f aca="false">HLOOKUP(AJ$14,Dec_Change,$K180)</f>
        <v>1.02334056725748</v>
      </c>
      <c r="AK180" s="1668" t="n">
        <f aca="false">AK179</f>
        <v>1.02</v>
      </c>
      <c r="AL180" s="1675" t="n">
        <f aca="false">IF(AND($A180&gt;=AL$16,MONTH($A180)=MONTH(AL$16)),MAX(AJ180,AK180)*AL179,AL179)</f>
        <v>1.37647525622845</v>
      </c>
      <c r="AN180" s="1667" t="n">
        <f aca="false">HLOOKUP(AN$14,Dec_Change,$K180)</f>
        <v>1.02584056725748</v>
      </c>
      <c r="AO180" s="1668" t="n">
        <f aca="false">AO179</f>
        <v>1.005</v>
      </c>
      <c r="AP180" s="1675" t="n">
        <f aca="false">IF(AND($A180&gt;=AP$16,MONTH($A180)=MONTH(AP$16)),MAX(AN180,AO180)*AP179,AP179)</f>
        <v>1.40945468809218</v>
      </c>
      <c r="AR180" s="1670" t="n">
        <f aca="false">$A180</f>
        <v>40299</v>
      </c>
      <c r="AS180" s="1671" t="n">
        <f aca="false">IF(AND($A180&gt;=EDATE(AS$17,12),IF(Assm!$L$74=0,$D180,$E180)/AS179&gt;=1.05),IF(Assm!$L$74=0,$D180,$E180),AS179)</f>
        <v>2.51025034756126</v>
      </c>
      <c r="AT180" s="1671" t="n">
        <f aca="false">IF(AS180/AS179=1,AT179,AS180/AS179)</f>
        <v>1.0517184627895</v>
      </c>
      <c r="AU180" s="1671" t="n">
        <f aca="false">F180</f>
        <v>1.072</v>
      </c>
      <c r="AV180" s="1671" t="n">
        <f aca="false">MAX(AT180,AU180)</f>
        <v>1.072</v>
      </c>
      <c r="AW180" s="1675" t="n">
        <f aca="false">IF(AV180=AV179,AW179,AV180*AW179)</f>
        <v>3.0057179991744</v>
      </c>
    </row>
    <row r="181" customFormat="false" ht="12.75" hidden="false" customHeight="false" outlineLevel="0" collapsed="false">
      <c r="A181" s="1673" t="n">
        <f aca="false">EDATE(A180,1)</f>
        <v>40330</v>
      </c>
      <c r="B181" s="1659" t="n">
        <f aca="false">'[4]Monthly Curve Calc.'!B184</f>
        <v>394.754062266331</v>
      </c>
      <c r="C181" s="1660" t="n">
        <f aca="false">'[4]Monthly Curve Calc.'!C184</f>
        <v>226.746952248737</v>
      </c>
      <c r="D181" s="1661" t="n">
        <f aca="false">'[4]Monthly Curve Calc.'!F184</f>
        <v>2.61977149926703</v>
      </c>
      <c r="E181" s="1662" t="n">
        <f aca="false">IF($A181&lt;=E$16,D181,(B181/B180)/(C181/C180)*E180)</f>
        <v>2.12156449560865</v>
      </c>
      <c r="F181" s="1674" t="n">
        <f aca="false">IF(Assm!$L$75=0,F180,IF(AND($A181&gt;F$16,MONTH($A181)=MONTH(F$16)),B180/B168,F180))</f>
        <v>1.072</v>
      </c>
      <c r="G181" s="1668" t="n">
        <f aca="false">IF(Assm!$L$75=0,G180,IF(AND($A181&gt;G$16,MONTH($A181)=MONTH(G$16)),C180/C168,G180))</f>
        <v>1.02584056725748</v>
      </c>
      <c r="H181" s="1668" t="n">
        <f aca="false">IF(Assm!$L$75=0,H180,IF(AND($A181&gt;H$16,MONTH($A181)=MONTH(H$16)),C180/C168-H$18,H180))</f>
        <v>1.02334056725748</v>
      </c>
      <c r="I181" s="1668" t="n">
        <f aca="false">IF(Assm!$L$75=0,I180,IF($A181&gt;=I$16,IF(MONTH($A181)=MONTH(I$16),AVERAGE(D169:D180),I180),I180))</f>
        <v>2.56028997998376</v>
      </c>
      <c r="J181" s="1675" t="n">
        <f aca="false">IF(Assm!$L$75=0,J180,IF($A181&gt;=J$16,IF(MONTH($A181)=MONTH(J$16),AVERAGE(E169:E180),J180),J180))</f>
        <v>2.03395718180267</v>
      </c>
      <c r="K181" s="1624" t="n">
        <f aca="false">K180+1</f>
        <v>169</v>
      </c>
      <c r="L181" s="1667" t="n">
        <f aca="false">HLOOKUP(L$14,Dec_Change,$K181)</f>
        <v>1.02584056725748</v>
      </c>
      <c r="M181" s="1668" t="n">
        <f aca="false">M180</f>
        <v>0</v>
      </c>
      <c r="N181" s="1675" t="n">
        <f aca="false">IF(AND($A181&gt;=N$16,MONTH($A181)=MONTH(N$16)),MAX(L181,M181)*N180,N180)</f>
        <v>1.40945468809218</v>
      </c>
      <c r="P181" s="1667" t="n">
        <f aca="false">HLOOKUP(P$14,Dec_Change,$K181)</f>
        <v>1.072</v>
      </c>
      <c r="Q181" s="1668" t="n">
        <f aca="false">Q180</f>
        <v>0</v>
      </c>
      <c r="R181" s="1675" t="n">
        <f aca="false">IF(AND($A181&gt;=R$16,MONTH($A181)=MONTH(R$16)),MAX(P181,Q181)*R180,R180)</f>
        <v>2.79103464231705</v>
      </c>
      <c r="T181" s="1667" t="n">
        <f aca="false">HLOOKUP(T$14,Dec_Change,$K181)</f>
        <v>1.02584056725748</v>
      </c>
      <c r="U181" s="1668" t="n">
        <f aca="false">U180</f>
        <v>1.005</v>
      </c>
      <c r="V181" s="1675" t="n">
        <f aca="false">IF(AND($A181&gt;=V$16,MONTH($A181)=MONTH(V$16)),MAX(T181,U181)*V180,V180)</f>
        <v>1.40945468809218</v>
      </c>
      <c r="X181" s="1667" t="n">
        <f aca="false">HLOOKUP(X$14,Dec_Change,$K181)</f>
        <v>1.02334056725748</v>
      </c>
      <c r="Y181" s="1668" t="n">
        <f aca="false">Y180</f>
        <v>1.02</v>
      </c>
      <c r="Z181" s="1675" t="n">
        <f aca="false">IF(AND($A181&gt;=Z$16,MONTH($A181)=MONTH(Z$16)),MAX(X181,Y181)*Z180,Z180)</f>
        <v>1.37647525622845</v>
      </c>
      <c r="AB181" s="1667" t="n">
        <f aca="false">HLOOKUP(AB$14,Dec_Change,$K181)</f>
        <v>1.02334056725748</v>
      </c>
      <c r="AC181" s="1668" t="n">
        <f aca="false">AC180</f>
        <v>1.02</v>
      </c>
      <c r="AD181" s="1675" t="n">
        <f aca="false">IF(AND($A181&gt;=AD$16,MONTH($A181)=MONTH(AD$16)),MAX(AB181,AC181)*AD180,AD180)</f>
        <v>1.37647525622845</v>
      </c>
      <c r="AF181" s="1667" t="n">
        <f aca="false">HLOOKUP(AF$14,Dec_Change,$K181)</f>
        <v>1.072</v>
      </c>
      <c r="AG181" s="1668" t="n">
        <f aca="false">AG180</f>
        <v>0</v>
      </c>
      <c r="AH181" s="1675" t="n">
        <f aca="false">IF(AND($A181&gt;=AH$16,MONTH($A181)=MONTH(AH$16)),MAX(AF181,AG181)*AH180,AH180)</f>
        <v>2.79103464231705</v>
      </c>
      <c r="AJ181" s="1667" t="n">
        <f aca="false">HLOOKUP(AJ$14,Dec_Change,$K181)</f>
        <v>1.02334056725748</v>
      </c>
      <c r="AK181" s="1668" t="n">
        <f aca="false">AK180</f>
        <v>1.02</v>
      </c>
      <c r="AL181" s="1675" t="n">
        <f aca="false">IF(AND($A181&gt;=AL$16,MONTH($A181)=MONTH(AL$16)),MAX(AJ181,AK181)*AL180,AL180)</f>
        <v>1.37647525622845</v>
      </c>
      <c r="AN181" s="1667" t="n">
        <f aca="false">HLOOKUP(AN$14,Dec_Change,$K181)</f>
        <v>1.02584056725748</v>
      </c>
      <c r="AO181" s="1668" t="n">
        <f aca="false">AO180</f>
        <v>1.005</v>
      </c>
      <c r="AP181" s="1675" t="n">
        <f aca="false">IF(AND($A181&gt;=AP$16,MONTH($A181)=MONTH(AP$16)),MAX(AN181,AO181)*AP180,AP180)</f>
        <v>1.40945468809218</v>
      </c>
      <c r="AR181" s="1670" t="n">
        <f aca="false">$A181</f>
        <v>40330</v>
      </c>
      <c r="AS181" s="1671" t="n">
        <f aca="false">IF(AND($A181&gt;=EDATE(AS$17,12),IF(Assm!$L$74=0,$D181,$E181)/AS180&gt;=1.05),IF(Assm!$L$74=0,$D181,$E181),AS180)</f>
        <v>2.51025034756126</v>
      </c>
      <c r="AT181" s="1671" t="n">
        <f aca="false">IF(AS181/AS180=1,AT180,AS181/AS180)</f>
        <v>1.0517184627895</v>
      </c>
      <c r="AU181" s="1671" t="n">
        <f aca="false">F181</f>
        <v>1.072</v>
      </c>
      <c r="AV181" s="1671" t="n">
        <f aca="false">MAX(AT181,AU181)</f>
        <v>1.072</v>
      </c>
      <c r="AW181" s="1675" t="n">
        <f aca="false">IF(AV181=AV180,AW180,AV181*AW180)</f>
        <v>3.0057179991744</v>
      </c>
    </row>
    <row r="182" customFormat="false" ht="12.75" hidden="false" customHeight="false" outlineLevel="0" collapsed="false">
      <c r="A182" s="1673" t="n">
        <f aca="false">EDATE(A181,1)</f>
        <v>40360</v>
      </c>
      <c r="B182" s="1659" t="n">
        <f aca="false">'[4]Monthly Curve Calc.'!B185</f>
        <v>397.047842049959</v>
      </c>
      <c r="C182" s="1660" t="n">
        <f aca="false">'[4]Monthly Curve Calc.'!C185</f>
        <v>227.224612974859</v>
      </c>
      <c r="D182" s="1661" t="n">
        <f aca="false">'[4]Monthly Curve Calc.'!F185</f>
        <v>2.62487381888841</v>
      </c>
      <c r="E182" s="1662" t="n">
        <f aca="false">IF($A182&lt;=E$16,D182,(B182/B181)/(C182/C181)*E181)</f>
        <v>2.12940640939839</v>
      </c>
      <c r="F182" s="1674" t="n">
        <f aca="false">IF(Assm!$L$75=0,F181,IF(AND($A182&gt;F$16,MONTH($A182)=MONTH(F$16)),B181/B169,F181))</f>
        <v>1.072</v>
      </c>
      <c r="G182" s="1668" t="n">
        <f aca="false">IF(Assm!$L$75=0,G181,IF(AND($A182&gt;G$16,MONTH($A182)=MONTH(G$16)),C181/C169,G181))</f>
        <v>1.02584056725748</v>
      </c>
      <c r="H182" s="1668" t="n">
        <f aca="false">IF(Assm!$L$75=0,H181,IF(AND($A182&gt;H$16,MONTH($A182)=MONTH(H$16)),C181/C169-H$18,H181))</f>
        <v>1.02334056725748</v>
      </c>
      <c r="I182" s="1668" t="n">
        <f aca="false">IF(Assm!$L$75=0,I181,IF($A182&gt;=I$16,IF(MONTH($A182)=MONTH(I$16),AVERAGE(D170:D181),I181),I181))</f>
        <v>2.56028997998376</v>
      </c>
      <c r="J182" s="1675" t="n">
        <f aca="false">IF(Assm!$L$75=0,J181,IF($A182&gt;=J$16,IF(MONTH($A182)=MONTH(J$16),AVERAGE(E170:E181),J181),J181))</f>
        <v>2.03395718180267</v>
      </c>
      <c r="K182" s="1624" t="n">
        <f aca="false">K181+1</f>
        <v>170</v>
      </c>
      <c r="L182" s="1667" t="n">
        <f aca="false">HLOOKUP(L$14,Dec_Change,$K182)</f>
        <v>1.02584056725748</v>
      </c>
      <c r="M182" s="1668" t="n">
        <f aca="false">M181</f>
        <v>0</v>
      </c>
      <c r="N182" s="1675" t="n">
        <f aca="false">IF(AND($A182&gt;=N$16,MONTH($A182)=MONTH(N$16)),MAX(L182,M182)*N181,N181)</f>
        <v>1.40945468809218</v>
      </c>
      <c r="P182" s="1667" t="n">
        <f aca="false">HLOOKUP(P$14,Dec_Change,$K182)</f>
        <v>1.072</v>
      </c>
      <c r="Q182" s="1668" t="n">
        <f aca="false">Q181</f>
        <v>0</v>
      </c>
      <c r="R182" s="1675" t="n">
        <f aca="false">IF(AND($A182&gt;=R$16,MONTH($A182)=MONTH(R$16)),MAX(P182,Q182)*R181,R181)</f>
        <v>2.79103464231705</v>
      </c>
      <c r="T182" s="1667" t="n">
        <f aca="false">HLOOKUP(T$14,Dec_Change,$K182)</f>
        <v>1.02584056725748</v>
      </c>
      <c r="U182" s="1668" t="n">
        <f aca="false">U181</f>
        <v>1.005</v>
      </c>
      <c r="V182" s="1675" t="n">
        <f aca="false">IF(AND($A182&gt;=V$16,MONTH($A182)=MONTH(V$16)),MAX(T182,U182)*V181,V181)</f>
        <v>1.40945468809218</v>
      </c>
      <c r="X182" s="1667" t="n">
        <f aca="false">HLOOKUP(X$14,Dec_Change,$K182)</f>
        <v>1.02334056725748</v>
      </c>
      <c r="Y182" s="1668" t="n">
        <f aca="false">Y181</f>
        <v>1.02</v>
      </c>
      <c r="Z182" s="1675" t="n">
        <f aca="false">IF(AND($A182&gt;=Z$16,MONTH($A182)=MONTH(Z$16)),MAX(X182,Y182)*Z181,Z181)</f>
        <v>1.37647525622845</v>
      </c>
      <c r="AB182" s="1667" t="n">
        <f aca="false">HLOOKUP(AB$14,Dec_Change,$K182)</f>
        <v>1.02334056725748</v>
      </c>
      <c r="AC182" s="1668" t="n">
        <f aca="false">AC181</f>
        <v>1.02</v>
      </c>
      <c r="AD182" s="1675" t="n">
        <f aca="false">IF(AND($A182&gt;=AD$16,MONTH($A182)=MONTH(AD$16)),MAX(AB182,AC182)*AD181,AD181)</f>
        <v>1.37647525622845</v>
      </c>
      <c r="AF182" s="1667" t="n">
        <f aca="false">HLOOKUP(AF$14,Dec_Change,$K182)</f>
        <v>1.072</v>
      </c>
      <c r="AG182" s="1668" t="n">
        <f aca="false">AG181</f>
        <v>0</v>
      </c>
      <c r="AH182" s="1675" t="n">
        <f aca="false">IF(AND($A182&gt;=AH$16,MONTH($A182)=MONTH(AH$16)),MAX(AF182,AG182)*AH181,AH181)</f>
        <v>2.79103464231705</v>
      </c>
      <c r="AJ182" s="1667" t="n">
        <f aca="false">HLOOKUP(AJ$14,Dec_Change,$K182)</f>
        <v>1.02334056725748</v>
      </c>
      <c r="AK182" s="1668" t="n">
        <f aca="false">AK181</f>
        <v>1.02</v>
      </c>
      <c r="AL182" s="1675" t="n">
        <f aca="false">IF(AND($A182&gt;=AL$16,MONTH($A182)=MONTH(AL$16)),MAX(AJ182,AK182)*AL181,AL181)</f>
        <v>1.37647525622845</v>
      </c>
      <c r="AN182" s="1667" t="n">
        <f aca="false">HLOOKUP(AN$14,Dec_Change,$K182)</f>
        <v>1.02584056725748</v>
      </c>
      <c r="AO182" s="1668" t="n">
        <f aca="false">AO181</f>
        <v>1.005</v>
      </c>
      <c r="AP182" s="1675" t="n">
        <f aca="false">IF(AND($A182&gt;=AP$16,MONTH($A182)=MONTH(AP$16)),MAX(AN182,AO182)*AP181,AP181)</f>
        <v>1.40945468809218</v>
      </c>
      <c r="AR182" s="1670" t="n">
        <f aca="false">$A182</f>
        <v>40360</v>
      </c>
      <c r="AS182" s="1671" t="n">
        <f aca="false">IF(AND($A182&gt;=EDATE(AS$17,12),IF(Assm!$L$74=0,$D182,$E182)/AS181&gt;=1.05),IF(Assm!$L$74=0,$D182,$E182),AS181)</f>
        <v>2.51025034756126</v>
      </c>
      <c r="AT182" s="1671" t="n">
        <f aca="false">IF(AS182/AS181=1,AT181,AS182/AS181)</f>
        <v>1.0517184627895</v>
      </c>
      <c r="AU182" s="1671" t="n">
        <f aca="false">F182</f>
        <v>1.072</v>
      </c>
      <c r="AV182" s="1671" t="n">
        <f aca="false">MAX(AT182,AU182)</f>
        <v>1.072</v>
      </c>
      <c r="AW182" s="1675" t="n">
        <f aca="false">IF(AV182=AV181,AW181,AV182*AW181)</f>
        <v>3.0057179991744</v>
      </c>
    </row>
    <row r="183" customFormat="false" ht="12.75" hidden="false" customHeight="false" outlineLevel="0" collapsed="false">
      <c r="A183" s="1673" t="n">
        <f aca="false">EDATE(A182,1)</f>
        <v>40391</v>
      </c>
      <c r="B183" s="1659" t="n">
        <f aca="false">'[4]Monthly Curve Calc.'!B186</f>
        <v>399.354950197241</v>
      </c>
      <c r="C183" s="1660" t="n">
        <f aca="false">'[4]Monthly Curve Calc.'!C186</f>
        <v>227.70327993179</v>
      </c>
      <c r="D183" s="1661" t="n">
        <f aca="false">'[4]Monthly Curve Calc.'!F186</f>
        <v>2.62998607589002</v>
      </c>
      <c r="E183" s="1662" t="n">
        <f aca="false">IF($A183&lt;=E$16,D183,(B183/B182)/(C183/C182)*E182)</f>
        <v>2.13727730916145</v>
      </c>
      <c r="F183" s="1674" t="n">
        <f aca="false">IF(Assm!$L$75=0,F182,IF(AND($A183&gt;F$16,MONTH($A183)=MONTH(F$16)),B182/B170,F182))</f>
        <v>1.072</v>
      </c>
      <c r="G183" s="1668" t="n">
        <f aca="false">IF(Assm!$L$75=0,G182,IF(AND($A183&gt;G$16,MONTH($A183)=MONTH(G$16)),C182/C170,G182))</f>
        <v>1.02584056725748</v>
      </c>
      <c r="H183" s="1668" t="n">
        <f aca="false">IF(Assm!$L$75=0,H182,IF(AND($A183&gt;H$16,MONTH($A183)=MONTH(H$16)),C182/C170-H$18,H182))</f>
        <v>1.02334056725748</v>
      </c>
      <c r="I183" s="1668" t="n">
        <f aca="false">IF(Assm!$L$75=0,I182,IF($A183&gt;=I$16,IF(MONTH($A183)=MONTH(I$16),AVERAGE(D171:D182),I182),I182))</f>
        <v>2.56028997998376</v>
      </c>
      <c r="J183" s="1675" t="n">
        <f aca="false">IF(Assm!$L$75=0,J182,IF($A183&gt;=J$16,IF(MONTH($A183)=MONTH(J$16),AVERAGE(E171:E182),J182),J182))</f>
        <v>2.03395718180267</v>
      </c>
      <c r="K183" s="1624" t="n">
        <f aca="false">K182+1</f>
        <v>171</v>
      </c>
      <c r="L183" s="1667" t="n">
        <f aca="false">HLOOKUP(L$14,Dec_Change,$K183)</f>
        <v>1.02584056725748</v>
      </c>
      <c r="M183" s="1668" t="n">
        <f aca="false">M182</f>
        <v>0</v>
      </c>
      <c r="N183" s="1675" t="n">
        <f aca="false">IF(AND($A183&gt;=N$16,MONTH($A183)=MONTH(N$16)),MAX(L183,M183)*N182,N182)</f>
        <v>1.40945468809218</v>
      </c>
      <c r="P183" s="1667" t="n">
        <f aca="false">HLOOKUP(P$14,Dec_Change,$K183)</f>
        <v>1.072</v>
      </c>
      <c r="Q183" s="1668" t="n">
        <f aca="false">Q182</f>
        <v>0</v>
      </c>
      <c r="R183" s="1675" t="n">
        <f aca="false">IF(AND($A183&gt;=R$16,MONTH($A183)=MONTH(R$16)),MAX(P183,Q183)*R182,R182)</f>
        <v>2.79103464231705</v>
      </c>
      <c r="T183" s="1667" t="n">
        <f aca="false">HLOOKUP(T$14,Dec_Change,$K183)</f>
        <v>1.02584056725748</v>
      </c>
      <c r="U183" s="1668" t="n">
        <f aca="false">U182</f>
        <v>1.005</v>
      </c>
      <c r="V183" s="1675" t="n">
        <f aca="false">IF(AND($A183&gt;=V$16,MONTH($A183)=MONTH(V$16)),MAX(T183,U183)*V182,V182)</f>
        <v>1.40945468809218</v>
      </c>
      <c r="X183" s="1667" t="n">
        <f aca="false">HLOOKUP(X$14,Dec_Change,$K183)</f>
        <v>1.02334056725748</v>
      </c>
      <c r="Y183" s="1668" t="n">
        <f aca="false">Y182</f>
        <v>1.02</v>
      </c>
      <c r="Z183" s="1675" t="n">
        <f aca="false">IF(AND($A183&gt;=Z$16,MONTH($A183)=MONTH(Z$16)),MAX(X183,Y183)*Z182,Z182)</f>
        <v>1.37647525622845</v>
      </c>
      <c r="AB183" s="1667" t="n">
        <f aca="false">HLOOKUP(AB$14,Dec_Change,$K183)</f>
        <v>1.02334056725748</v>
      </c>
      <c r="AC183" s="1668" t="n">
        <f aca="false">AC182</f>
        <v>1.02</v>
      </c>
      <c r="AD183" s="1675" t="n">
        <f aca="false">IF(AND($A183&gt;=AD$16,MONTH($A183)=MONTH(AD$16)),MAX(AB183,AC183)*AD182,AD182)</f>
        <v>1.37647525622845</v>
      </c>
      <c r="AF183" s="1667" t="n">
        <f aca="false">HLOOKUP(AF$14,Dec_Change,$K183)</f>
        <v>1.072</v>
      </c>
      <c r="AG183" s="1668" t="n">
        <f aca="false">AG182</f>
        <v>0</v>
      </c>
      <c r="AH183" s="1675" t="n">
        <f aca="false">IF(AND($A183&gt;=AH$16,MONTH($A183)=MONTH(AH$16)),MAX(AF183,AG183)*AH182,AH182)</f>
        <v>2.79103464231705</v>
      </c>
      <c r="AJ183" s="1667" t="n">
        <f aca="false">HLOOKUP(AJ$14,Dec_Change,$K183)</f>
        <v>1.02334056725748</v>
      </c>
      <c r="AK183" s="1668" t="n">
        <f aca="false">AK182</f>
        <v>1.02</v>
      </c>
      <c r="AL183" s="1675" t="n">
        <f aca="false">IF(AND($A183&gt;=AL$16,MONTH($A183)=MONTH(AL$16)),MAX(AJ183,AK183)*AL182,AL182)</f>
        <v>1.37647525622845</v>
      </c>
      <c r="AN183" s="1667" t="n">
        <f aca="false">HLOOKUP(AN$14,Dec_Change,$K183)</f>
        <v>1.02584056725748</v>
      </c>
      <c r="AO183" s="1668" t="n">
        <f aca="false">AO182</f>
        <v>1.005</v>
      </c>
      <c r="AP183" s="1675" t="n">
        <f aca="false">IF(AND($A183&gt;=AP$16,MONTH($A183)=MONTH(AP$16)),MAX(AN183,AO183)*AP182,AP182)</f>
        <v>1.40945468809218</v>
      </c>
      <c r="AR183" s="1670" t="n">
        <f aca="false">$A183</f>
        <v>40391</v>
      </c>
      <c r="AS183" s="1671" t="n">
        <f aca="false">IF(AND($A183&gt;=EDATE(AS$17,12),IF(Assm!$L$74=0,$D183,$E183)/AS182&gt;=1.05),IF(Assm!$L$74=0,$D183,$E183),AS182)</f>
        <v>2.51025034756126</v>
      </c>
      <c r="AT183" s="1671" t="n">
        <f aca="false">IF(AS183/AS182=1,AT182,AS183/AS182)</f>
        <v>1.0517184627895</v>
      </c>
      <c r="AU183" s="1671" t="n">
        <f aca="false">F183</f>
        <v>1.072</v>
      </c>
      <c r="AV183" s="1671" t="n">
        <f aca="false">MAX(AT183,AU183)</f>
        <v>1.072</v>
      </c>
      <c r="AW183" s="1675" t="n">
        <f aca="false">IF(AV183=AV182,AW182,AV183*AW182)</f>
        <v>3.0057179991744</v>
      </c>
    </row>
    <row r="184" customFormat="false" ht="12.75" hidden="false" customHeight="false" outlineLevel="0" collapsed="false">
      <c r="A184" s="1673" t="n">
        <f aca="false">EDATE(A183,1)</f>
        <v>40422</v>
      </c>
      <c r="B184" s="1659" t="n">
        <f aca="false">'[4]Monthly Curve Calc.'!B187</f>
        <v>401.675464154704</v>
      </c>
      <c r="C184" s="1660" t="n">
        <f aca="false">'[4]Monthly Curve Calc.'!C187</f>
        <v>228.182955239237</v>
      </c>
      <c r="D184" s="1661" t="n">
        <f aca="false">'[4]Monthly Curve Calc.'!F187</f>
        <v>2.63510828962611</v>
      </c>
      <c r="E184" s="1662" t="n">
        <f aca="false">IF($A184&lt;=E$16,D184,(B184/B183)/(C184/C183)*E183)</f>
        <v>2.14517730203835</v>
      </c>
      <c r="F184" s="1674" t="n">
        <f aca="false">IF(Assm!$L$75=0,F183,IF(AND($A184&gt;F$16,MONTH($A184)=MONTH(F$16)),B183/B171,F183))</f>
        <v>1.072</v>
      </c>
      <c r="G184" s="1668" t="n">
        <f aca="false">IF(Assm!$L$75=0,G183,IF(AND($A184&gt;G$16,MONTH($A184)=MONTH(G$16)),C183/C171,G183))</f>
        <v>1.02584056725748</v>
      </c>
      <c r="H184" s="1668" t="n">
        <f aca="false">IF(Assm!$L$75=0,H183,IF(AND($A184&gt;H$16,MONTH($A184)=MONTH(H$16)),C183/C171-H$18,H183))</f>
        <v>1.02334056725748</v>
      </c>
      <c r="I184" s="1668" t="n">
        <f aca="false">IF(Assm!$L$75=0,I183,IF($A184&gt;=I$16,IF(MONTH($A184)=MONTH(I$16),AVERAGE(D172:D183),I183),I183))</f>
        <v>2.56028997998376</v>
      </c>
      <c r="J184" s="1675" t="n">
        <f aca="false">IF(Assm!$L$75=0,J183,IF($A184&gt;=J$16,IF(MONTH($A184)=MONTH(J$16),AVERAGE(E172:E183),J183),J183))</f>
        <v>2.03395718180267</v>
      </c>
      <c r="K184" s="1624" t="n">
        <f aca="false">K183+1</f>
        <v>172</v>
      </c>
      <c r="L184" s="1667" t="n">
        <f aca="false">HLOOKUP(L$14,Dec_Change,$K184)</f>
        <v>1.02584056725748</v>
      </c>
      <c r="M184" s="1668" t="n">
        <f aca="false">M183</f>
        <v>0</v>
      </c>
      <c r="N184" s="1675" t="n">
        <f aca="false">IF(AND($A184&gt;=N$16,MONTH($A184)=MONTH(N$16)),MAX(L184,M184)*N183,N183)</f>
        <v>1.40945468809218</v>
      </c>
      <c r="P184" s="1667" t="n">
        <f aca="false">HLOOKUP(P$14,Dec_Change,$K184)</f>
        <v>1.072</v>
      </c>
      <c r="Q184" s="1668" t="n">
        <f aca="false">Q183</f>
        <v>0</v>
      </c>
      <c r="R184" s="1675" t="n">
        <f aca="false">IF(AND($A184&gt;=R$16,MONTH($A184)=MONTH(R$16)),MAX(P184,Q184)*R183,R183)</f>
        <v>2.79103464231705</v>
      </c>
      <c r="T184" s="1667" t="n">
        <f aca="false">HLOOKUP(T$14,Dec_Change,$K184)</f>
        <v>1.02584056725748</v>
      </c>
      <c r="U184" s="1668" t="n">
        <f aca="false">U183</f>
        <v>1.005</v>
      </c>
      <c r="V184" s="1675" t="n">
        <f aca="false">IF(AND($A184&gt;=V$16,MONTH($A184)=MONTH(V$16)),MAX(T184,U184)*V183,V183)</f>
        <v>1.40945468809218</v>
      </c>
      <c r="X184" s="1667" t="n">
        <f aca="false">HLOOKUP(X$14,Dec_Change,$K184)</f>
        <v>1.02334056725748</v>
      </c>
      <c r="Y184" s="1668" t="n">
        <f aca="false">Y183</f>
        <v>1.02</v>
      </c>
      <c r="Z184" s="1675" t="n">
        <f aca="false">IF(AND($A184&gt;=Z$16,MONTH($A184)=MONTH(Z$16)),MAX(X184,Y184)*Z183,Z183)</f>
        <v>1.37647525622845</v>
      </c>
      <c r="AB184" s="1667" t="n">
        <f aca="false">HLOOKUP(AB$14,Dec_Change,$K184)</f>
        <v>1.02334056725748</v>
      </c>
      <c r="AC184" s="1668" t="n">
        <f aca="false">AC183</f>
        <v>1.02</v>
      </c>
      <c r="AD184" s="1675" t="n">
        <f aca="false">IF(AND($A184&gt;=AD$16,MONTH($A184)=MONTH(AD$16)),MAX(AB184,AC184)*AD183,AD183)</f>
        <v>1.37647525622845</v>
      </c>
      <c r="AF184" s="1667" t="n">
        <f aca="false">HLOOKUP(AF$14,Dec_Change,$K184)</f>
        <v>1.072</v>
      </c>
      <c r="AG184" s="1668" t="n">
        <f aca="false">AG183</f>
        <v>0</v>
      </c>
      <c r="AH184" s="1675" t="n">
        <f aca="false">IF(AND($A184&gt;=AH$16,MONTH($A184)=MONTH(AH$16)),MAX(AF184,AG184)*AH183,AH183)</f>
        <v>2.79103464231705</v>
      </c>
      <c r="AJ184" s="1667" t="n">
        <f aca="false">HLOOKUP(AJ$14,Dec_Change,$K184)</f>
        <v>1.02334056725748</v>
      </c>
      <c r="AK184" s="1668" t="n">
        <f aca="false">AK183</f>
        <v>1.02</v>
      </c>
      <c r="AL184" s="1675" t="n">
        <f aca="false">IF(AND($A184&gt;=AL$16,MONTH($A184)=MONTH(AL$16)),MAX(AJ184,AK184)*AL183,AL183)</f>
        <v>1.37647525622845</v>
      </c>
      <c r="AN184" s="1667" t="n">
        <f aca="false">HLOOKUP(AN$14,Dec_Change,$K184)</f>
        <v>1.02584056725748</v>
      </c>
      <c r="AO184" s="1668" t="n">
        <f aca="false">AO183</f>
        <v>1.005</v>
      </c>
      <c r="AP184" s="1675" t="n">
        <f aca="false">IF(AND($A184&gt;=AP$16,MONTH($A184)=MONTH(AP$16)),MAX(AN184,AO184)*AP183,AP183)</f>
        <v>1.40945468809218</v>
      </c>
      <c r="AR184" s="1670" t="n">
        <f aca="false">$A184</f>
        <v>40422</v>
      </c>
      <c r="AS184" s="1671" t="n">
        <f aca="false">IF(AND($A184&gt;=EDATE(AS$17,12),IF(Assm!$L$74=0,$D184,$E184)/AS183&gt;=1.05),IF(Assm!$L$74=0,$D184,$E184),AS183)</f>
        <v>2.51025034756126</v>
      </c>
      <c r="AT184" s="1671" t="n">
        <f aca="false">IF(AS184/AS183=1,AT183,AS184/AS183)</f>
        <v>1.0517184627895</v>
      </c>
      <c r="AU184" s="1671" t="n">
        <f aca="false">F184</f>
        <v>1.072</v>
      </c>
      <c r="AV184" s="1671" t="n">
        <f aca="false">MAX(AT184,AU184)</f>
        <v>1.072</v>
      </c>
      <c r="AW184" s="1675" t="n">
        <f aca="false">IF(AV184=AV183,AW183,AV184*AW183)</f>
        <v>3.0057179991744</v>
      </c>
    </row>
    <row r="185" customFormat="false" ht="12.75" hidden="false" customHeight="false" outlineLevel="0" collapsed="false">
      <c r="A185" s="1673" t="n">
        <f aca="false">EDATE(A184,1)</f>
        <v>40452</v>
      </c>
      <c r="B185" s="1659" t="n">
        <f aca="false">'[4]Monthly Curve Calc.'!B188</f>
        <v>404.00946181889</v>
      </c>
      <c r="C185" s="1660" t="n">
        <f aca="false">'[4]Monthly Curve Calc.'!C188</f>
        <v>228.663641021371</v>
      </c>
      <c r="D185" s="1661" t="n">
        <f aca="false">'[4]Monthly Curve Calc.'!F188</f>
        <v>2.64024047948862</v>
      </c>
      <c r="E185" s="1662" t="n">
        <f aca="false">IF($A185&lt;=E$16,D185,(B185/B184)/(C185/C184)*E184)</f>
        <v>2.15310649556563</v>
      </c>
      <c r="F185" s="1674" t="n">
        <f aca="false">IF(Assm!$L$75=0,F184,IF(AND($A185&gt;F$16,MONTH($A185)=MONTH(F$16)),B184/B172,F184))</f>
        <v>1.072</v>
      </c>
      <c r="G185" s="1668" t="n">
        <f aca="false">IF(Assm!$L$75=0,G184,IF(AND($A185&gt;G$16,MONTH($A185)=MONTH(G$16)),C184/C172,G184))</f>
        <v>1.02584056725748</v>
      </c>
      <c r="H185" s="1668" t="n">
        <f aca="false">IF(Assm!$L$75=0,H184,IF(AND($A185&gt;H$16,MONTH($A185)=MONTH(H$16)),C184/C172-H$18,H184))</f>
        <v>1.02334056725748</v>
      </c>
      <c r="I185" s="1668" t="n">
        <f aca="false">IF(Assm!$L$75=0,I184,IF($A185&gt;=I$16,IF(MONTH($A185)=MONTH(I$16),AVERAGE(D173:D184),I184),I184))</f>
        <v>2.56028997998376</v>
      </c>
      <c r="J185" s="1675" t="n">
        <f aca="false">IF(Assm!$L$75=0,J184,IF($A185&gt;=J$16,IF(MONTH($A185)=MONTH(J$16),AVERAGE(E173:E184),J184),J184))</f>
        <v>2.03395718180267</v>
      </c>
      <c r="K185" s="1624" t="n">
        <f aca="false">K184+1</f>
        <v>173</v>
      </c>
      <c r="L185" s="1667" t="n">
        <f aca="false">HLOOKUP(L$14,Dec_Change,$K185)</f>
        <v>1.02584056725748</v>
      </c>
      <c r="M185" s="1668" t="n">
        <f aca="false">M184</f>
        <v>0</v>
      </c>
      <c r="N185" s="1675" t="n">
        <f aca="false">IF(AND($A185&gt;=N$16,MONTH($A185)=MONTH(N$16)),MAX(L185,M185)*N184,N184)</f>
        <v>1.40945468809218</v>
      </c>
      <c r="P185" s="1667" t="n">
        <f aca="false">HLOOKUP(P$14,Dec_Change,$K185)</f>
        <v>1.072</v>
      </c>
      <c r="Q185" s="1668" t="n">
        <f aca="false">Q184</f>
        <v>0</v>
      </c>
      <c r="R185" s="1675" t="n">
        <f aca="false">IF(AND($A185&gt;=R$16,MONTH($A185)=MONTH(R$16)),MAX(P185,Q185)*R184,R184)</f>
        <v>2.79103464231705</v>
      </c>
      <c r="T185" s="1667" t="n">
        <f aca="false">HLOOKUP(T$14,Dec_Change,$K185)</f>
        <v>1.02584056725748</v>
      </c>
      <c r="U185" s="1668" t="n">
        <f aca="false">U184</f>
        <v>1.005</v>
      </c>
      <c r="V185" s="1675" t="n">
        <f aca="false">IF(AND($A185&gt;=V$16,MONTH($A185)=MONTH(V$16)),MAX(T185,U185)*V184,V184)</f>
        <v>1.40945468809218</v>
      </c>
      <c r="X185" s="1667" t="n">
        <f aca="false">HLOOKUP(X$14,Dec_Change,$K185)</f>
        <v>1.02334056725748</v>
      </c>
      <c r="Y185" s="1668" t="n">
        <f aca="false">Y184</f>
        <v>1.02</v>
      </c>
      <c r="Z185" s="1675" t="n">
        <f aca="false">IF(AND($A185&gt;=Z$16,MONTH($A185)=MONTH(Z$16)),MAX(X185,Y185)*Z184,Z184)</f>
        <v>1.37647525622845</v>
      </c>
      <c r="AB185" s="1667" t="n">
        <f aca="false">HLOOKUP(AB$14,Dec_Change,$K185)</f>
        <v>1.02334056725748</v>
      </c>
      <c r="AC185" s="1668" t="n">
        <f aca="false">AC184</f>
        <v>1.02</v>
      </c>
      <c r="AD185" s="1675" t="n">
        <f aca="false">IF(AND($A185&gt;=AD$16,MONTH($A185)=MONTH(AD$16)),MAX(AB185,AC185)*AD184,AD184)</f>
        <v>1.37647525622845</v>
      </c>
      <c r="AF185" s="1667" t="n">
        <f aca="false">HLOOKUP(AF$14,Dec_Change,$K185)</f>
        <v>1.072</v>
      </c>
      <c r="AG185" s="1668" t="n">
        <f aca="false">AG184</f>
        <v>0</v>
      </c>
      <c r="AH185" s="1675" t="n">
        <f aca="false">IF(AND($A185&gt;=AH$16,MONTH($A185)=MONTH(AH$16)),MAX(AF185,AG185)*AH184,AH184)</f>
        <v>2.79103464231705</v>
      </c>
      <c r="AJ185" s="1667" t="n">
        <f aca="false">HLOOKUP(AJ$14,Dec_Change,$K185)</f>
        <v>1.02334056725748</v>
      </c>
      <c r="AK185" s="1668" t="n">
        <f aca="false">AK184</f>
        <v>1.02</v>
      </c>
      <c r="AL185" s="1675" t="n">
        <f aca="false">IF(AND($A185&gt;=AL$16,MONTH($A185)=MONTH(AL$16)),MAX(AJ185,AK185)*AL184,AL184)</f>
        <v>1.37647525622845</v>
      </c>
      <c r="AN185" s="1667" t="n">
        <f aca="false">HLOOKUP(AN$14,Dec_Change,$K185)</f>
        <v>1.02584056725748</v>
      </c>
      <c r="AO185" s="1668" t="n">
        <f aca="false">AO184</f>
        <v>1.005</v>
      </c>
      <c r="AP185" s="1675" t="n">
        <f aca="false">IF(AND($A185&gt;=AP$16,MONTH($A185)=MONTH(AP$16)),MAX(AN185,AO185)*AP184,AP184)</f>
        <v>1.40945468809218</v>
      </c>
      <c r="AR185" s="1670" t="n">
        <f aca="false">$A185</f>
        <v>40452</v>
      </c>
      <c r="AS185" s="1671" t="n">
        <f aca="false">IF(AND($A185&gt;=EDATE(AS$17,12),IF(Assm!$L$74=0,$D185,$E185)/AS184&gt;=1.05),IF(Assm!$L$74=0,$D185,$E185),AS184)</f>
        <v>2.64024047948862</v>
      </c>
      <c r="AT185" s="1671" t="n">
        <f aca="false">IF(AS185/AS184=1,AT184,AS185/AS184)</f>
        <v>1.05178373226943</v>
      </c>
      <c r="AU185" s="1671" t="n">
        <f aca="false">F185</f>
        <v>1.072</v>
      </c>
      <c r="AV185" s="1671" t="n">
        <f aca="false">MAX(AT185,AU185)</f>
        <v>1.072</v>
      </c>
      <c r="AW185" s="1675" t="n">
        <f aca="false">IF(AV185=AV184,AW184,AV185*AW184)</f>
        <v>3.0057179991744</v>
      </c>
    </row>
    <row r="186" customFormat="false" ht="12.75" hidden="false" customHeight="false" outlineLevel="0" collapsed="false">
      <c r="A186" s="1673" t="n">
        <f aca="false">EDATE(A185,1)</f>
        <v>40483</v>
      </c>
      <c r="B186" s="1659" t="n">
        <f aca="false">'[4]Monthly Curve Calc.'!B189</f>
        <v>406.357021538971</v>
      </c>
      <c r="C186" s="1660" t="n">
        <f aca="false">'[4]Monthly Curve Calc.'!C189</f>
        <v>229.145339406839</v>
      </c>
      <c r="D186" s="1661" t="n">
        <f aca="false">'[4]Monthly Curve Calc.'!F189</f>
        <v>2.64538266490724</v>
      </c>
      <c r="E186" s="1662" t="n">
        <f aca="false">IF($A186&lt;=E$16,D186,(B186/B185)/(C186/C185)*E185)</f>
        <v>2.1610649976773</v>
      </c>
      <c r="F186" s="1674" t="n">
        <f aca="false">IF(Assm!$L$75=0,F185,IF(AND($A186&gt;F$16,MONTH($A186)=MONTH(F$16)),B185/B173,F185))</f>
        <v>1.072</v>
      </c>
      <c r="G186" s="1668" t="n">
        <f aca="false">IF(Assm!$L$75=0,G185,IF(AND($A186&gt;G$16,MONTH($A186)=MONTH(G$16)),C185/C173,G185))</f>
        <v>1.02584056725748</v>
      </c>
      <c r="H186" s="1668" t="n">
        <f aca="false">IF(Assm!$L$75=0,H185,IF(AND($A186&gt;H$16,MONTH($A186)=MONTH(H$16)),C185/C173-H$18,H185))</f>
        <v>1.02334056725748</v>
      </c>
      <c r="I186" s="1668" t="n">
        <f aca="false">IF(Assm!$L$75=0,I185,IF($A186&gt;=I$16,IF(MONTH($A186)=MONTH(I$16),AVERAGE(D174:D185),I185),I185))</f>
        <v>2.56028997998376</v>
      </c>
      <c r="J186" s="1675" t="n">
        <f aca="false">IF(Assm!$L$75=0,J185,IF($A186&gt;=J$16,IF(MONTH($A186)=MONTH(J$16),AVERAGE(E174:E185),J185),J185))</f>
        <v>2.03395718180267</v>
      </c>
      <c r="K186" s="1624" t="n">
        <f aca="false">K185+1</f>
        <v>174</v>
      </c>
      <c r="L186" s="1667" t="n">
        <f aca="false">HLOOKUP(L$14,Dec_Change,$K186)</f>
        <v>1.02584056725748</v>
      </c>
      <c r="M186" s="1668" t="n">
        <f aca="false">M185</f>
        <v>0</v>
      </c>
      <c r="N186" s="1675" t="n">
        <f aca="false">IF(AND($A186&gt;=N$16,MONTH($A186)=MONTH(N$16)),MAX(L186,M186)*N185,N185)</f>
        <v>1.40945468809218</v>
      </c>
      <c r="P186" s="1667" t="n">
        <f aca="false">HLOOKUP(P$14,Dec_Change,$K186)</f>
        <v>1.072</v>
      </c>
      <c r="Q186" s="1668" t="n">
        <f aca="false">Q185</f>
        <v>0</v>
      </c>
      <c r="R186" s="1675" t="n">
        <f aca="false">IF(AND($A186&gt;=R$16,MONTH($A186)=MONTH(R$16)),MAX(P186,Q186)*R185,R185)</f>
        <v>2.79103464231705</v>
      </c>
      <c r="T186" s="1667" t="n">
        <f aca="false">HLOOKUP(T$14,Dec_Change,$K186)</f>
        <v>1.02584056725748</v>
      </c>
      <c r="U186" s="1668" t="n">
        <f aca="false">U185</f>
        <v>1.005</v>
      </c>
      <c r="V186" s="1675" t="n">
        <f aca="false">IF(AND($A186&gt;=V$16,MONTH($A186)=MONTH(V$16)),MAX(T186,U186)*V185,V185)</f>
        <v>1.40945468809218</v>
      </c>
      <c r="X186" s="1667" t="n">
        <f aca="false">HLOOKUP(X$14,Dec_Change,$K186)</f>
        <v>1.02334056725748</v>
      </c>
      <c r="Y186" s="1668" t="n">
        <f aca="false">Y185</f>
        <v>1.02</v>
      </c>
      <c r="Z186" s="1675" t="n">
        <f aca="false">IF(AND($A186&gt;=Z$16,MONTH($A186)=MONTH(Z$16)),MAX(X186,Y186)*Z185,Z185)</f>
        <v>1.37647525622845</v>
      </c>
      <c r="AB186" s="1667" t="n">
        <f aca="false">HLOOKUP(AB$14,Dec_Change,$K186)</f>
        <v>1.02334056725748</v>
      </c>
      <c r="AC186" s="1668" t="n">
        <f aca="false">AC185</f>
        <v>1.02</v>
      </c>
      <c r="AD186" s="1675" t="n">
        <f aca="false">IF(AND($A186&gt;=AD$16,MONTH($A186)=MONTH(AD$16)),MAX(AB186,AC186)*AD185,AD185)</f>
        <v>1.37647525622845</v>
      </c>
      <c r="AF186" s="1667" t="n">
        <f aca="false">HLOOKUP(AF$14,Dec_Change,$K186)</f>
        <v>1.072</v>
      </c>
      <c r="AG186" s="1668" t="n">
        <f aca="false">AG185</f>
        <v>0</v>
      </c>
      <c r="AH186" s="1675" t="n">
        <f aca="false">IF(AND($A186&gt;=AH$16,MONTH($A186)=MONTH(AH$16)),MAX(AF186,AG186)*AH185,AH185)</f>
        <v>2.79103464231705</v>
      </c>
      <c r="AJ186" s="1667" t="n">
        <f aca="false">HLOOKUP(AJ$14,Dec_Change,$K186)</f>
        <v>1.02334056725748</v>
      </c>
      <c r="AK186" s="1668" t="n">
        <f aca="false">AK185</f>
        <v>1.02</v>
      </c>
      <c r="AL186" s="1675" t="n">
        <f aca="false">IF(AND($A186&gt;=AL$16,MONTH($A186)=MONTH(AL$16)),MAX(AJ186,AK186)*AL185,AL185)</f>
        <v>1.37647525622845</v>
      </c>
      <c r="AN186" s="1667" t="n">
        <f aca="false">HLOOKUP(AN$14,Dec_Change,$K186)</f>
        <v>1.02584056725748</v>
      </c>
      <c r="AO186" s="1668" t="n">
        <f aca="false">AO185</f>
        <v>1.005</v>
      </c>
      <c r="AP186" s="1675" t="n">
        <f aca="false">IF(AND($A186&gt;=AP$16,MONTH($A186)=MONTH(AP$16)),MAX(AN186,AO186)*AP185,AP185)</f>
        <v>1.40945468809218</v>
      </c>
      <c r="AR186" s="1670" t="n">
        <f aca="false">$A186</f>
        <v>40483</v>
      </c>
      <c r="AS186" s="1671" t="n">
        <f aca="false">IF(AND($A186&gt;=EDATE(AS$17,12),IF(Assm!$L$74=0,$D186,$E186)/AS185&gt;=1.05),IF(Assm!$L$74=0,$D186,$E186),AS185)</f>
        <v>2.64024047948862</v>
      </c>
      <c r="AT186" s="1671" t="n">
        <f aca="false">IF(AS186/AS185=1,AT185,AS186/AS185)</f>
        <v>1.05178373226943</v>
      </c>
      <c r="AU186" s="1671" t="n">
        <f aca="false">F186</f>
        <v>1.072</v>
      </c>
      <c r="AV186" s="1671" t="n">
        <f aca="false">MAX(AT186,AU186)</f>
        <v>1.072</v>
      </c>
      <c r="AW186" s="1675" t="n">
        <f aca="false">IF(AV186=AV185,AW185,AV186*AW185)</f>
        <v>3.0057179991744</v>
      </c>
    </row>
    <row r="187" customFormat="false" ht="12.75" hidden="false" customHeight="false" outlineLevel="0" collapsed="false">
      <c r="A187" s="1673" t="n">
        <f aca="false">EDATE(A186,1)</f>
        <v>40513</v>
      </c>
      <c r="B187" s="1659" t="n">
        <f aca="false">'[4]Monthly Curve Calc.'!B190</f>
        <v>408.718222119378</v>
      </c>
      <c r="C187" s="1660" t="n">
        <f aca="false">'[4]Monthly Curve Calc.'!C190</f>
        <v>229.62805252877</v>
      </c>
      <c r="D187" s="1661" t="n">
        <f aca="false">'[4]Monthly Curve Calc.'!F190</f>
        <v>2.65053486534952</v>
      </c>
      <c r="E187" s="1662" t="n">
        <f aca="false">IF($A187&lt;=E$16,D187,(B187/B186)/(C187/C186)*E186)</f>
        <v>2.16905291670633</v>
      </c>
      <c r="F187" s="1674" t="n">
        <f aca="false">IF(Assm!$L$75=0,F186,IF(AND($A187&gt;F$16,MONTH($A187)=MONTH(F$16)),B186/B174,F186))</f>
        <v>1.072</v>
      </c>
      <c r="G187" s="1668" t="n">
        <f aca="false">IF(Assm!$L$75=0,G186,IF(AND($A187&gt;G$16,MONTH($A187)=MONTH(G$16)),C186/C174,G186))</f>
        <v>1.02584056725748</v>
      </c>
      <c r="H187" s="1668" t="n">
        <f aca="false">IF(Assm!$L$75=0,H186,IF(AND($A187&gt;H$16,MONTH($A187)=MONTH(H$16)),C186/C174-H$18,H186))</f>
        <v>1.02334056725748</v>
      </c>
      <c r="I187" s="1668" t="n">
        <f aca="false">IF(Assm!$L$75=0,I186,IF($A187&gt;=I$16,IF(MONTH($A187)=MONTH(I$16),AVERAGE(D175:D186),I186),I186))</f>
        <v>2.56028997998376</v>
      </c>
      <c r="J187" s="1675" t="n">
        <f aca="false">IF(Assm!$L$75=0,J186,IF($A187&gt;=J$16,IF(MONTH($A187)=MONTH(J$16),AVERAGE(E175:E186),J186),J186))</f>
        <v>2.03395718180267</v>
      </c>
      <c r="K187" s="1624" t="n">
        <f aca="false">K186+1</f>
        <v>175</v>
      </c>
      <c r="L187" s="1667" t="n">
        <f aca="false">HLOOKUP(L$14,Dec_Change,$K187)</f>
        <v>1.02584056725748</v>
      </c>
      <c r="M187" s="1668" t="n">
        <f aca="false">M186</f>
        <v>0</v>
      </c>
      <c r="N187" s="1675" t="n">
        <f aca="false">IF(AND($A187&gt;=N$16,MONTH($A187)=MONTH(N$16)),MAX(L187,M187)*N186,N186)</f>
        <v>1.40945468809218</v>
      </c>
      <c r="P187" s="1667" t="n">
        <f aca="false">HLOOKUP(P$14,Dec_Change,$K187)</f>
        <v>1.072</v>
      </c>
      <c r="Q187" s="1668" t="n">
        <f aca="false">Q186</f>
        <v>0</v>
      </c>
      <c r="R187" s="1675" t="n">
        <f aca="false">IF(AND($A187&gt;=R$16,MONTH($A187)=MONTH(R$16)),MAX(P187,Q187)*R186,R186)</f>
        <v>2.79103464231705</v>
      </c>
      <c r="T187" s="1667" t="n">
        <f aca="false">HLOOKUP(T$14,Dec_Change,$K187)</f>
        <v>1.02584056725748</v>
      </c>
      <c r="U187" s="1668" t="n">
        <f aca="false">U186</f>
        <v>1.005</v>
      </c>
      <c r="V187" s="1675" t="n">
        <f aca="false">IF(AND($A187&gt;=V$16,MONTH($A187)=MONTH(V$16)),MAX(T187,U187)*V186,V186)</f>
        <v>1.40945468809218</v>
      </c>
      <c r="X187" s="1667" t="n">
        <f aca="false">HLOOKUP(X$14,Dec_Change,$K187)</f>
        <v>1.02334056725748</v>
      </c>
      <c r="Y187" s="1668" t="n">
        <f aca="false">Y186</f>
        <v>1.02</v>
      </c>
      <c r="Z187" s="1675" t="n">
        <f aca="false">IF(AND($A187&gt;=Z$16,MONTH($A187)=MONTH(Z$16)),MAX(X187,Y187)*Z186,Z186)</f>
        <v>1.37647525622845</v>
      </c>
      <c r="AB187" s="1667" t="n">
        <f aca="false">HLOOKUP(AB$14,Dec_Change,$K187)</f>
        <v>1.02334056725748</v>
      </c>
      <c r="AC187" s="1668" t="n">
        <f aca="false">AC186</f>
        <v>1.02</v>
      </c>
      <c r="AD187" s="1675" t="n">
        <f aca="false">IF(AND($A187&gt;=AD$16,MONTH($A187)=MONTH(AD$16)),MAX(AB187,AC187)*AD186,AD186)</f>
        <v>1.37647525622845</v>
      </c>
      <c r="AF187" s="1667" t="n">
        <f aca="false">HLOOKUP(AF$14,Dec_Change,$K187)</f>
        <v>1.072</v>
      </c>
      <c r="AG187" s="1668" t="n">
        <f aca="false">AG186</f>
        <v>0</v>
      </c>
      <c r="AH187" s="1675" t="n">
        <f aca="false">IF(AND($A187&gt;=AH$16,MONTH($A187)=MONTH(AH$16)),MAX(AF187,AG187)*AH186,AH186)</f>
        <v>2.79103464231705</v>
      </c>
      <c r="AJ187" s="1667" t="n">
        <f aca="false">HLOOKUP(AJ$14,Dec_Change,$K187)</f>
        <v>1.02334056725748</v>
      </c>
      <c r="AK187" s="1668" t="n">
        <f aca="false">AK186</f>
        <v>1.02</v>
      </c>
      <c r="AL187" s="1675" t="n">
        <f aca="false">IF(AND($A187&gt;=AL$16,MONTH($A187)=MONTH(AL$16)),MAX(AJ187,AK187)*AL186,AL186)</f>
        <v>1.37647525622845</v>
      </c>
      <c r="AN187" s="1667" t="n">
        <f aca="false">HLOOKUP(AN$14,Dec_Change,$K187)</f>
        <v>1.02584056725748</v>
      </c>
      <c r="AO187" s="1668" t="n">
        <f aca="false">AO186</f>
        <v>1.005</v>
      </c>
      <c r="AP187" s="1675" t="n">
        <f aca="false">IF(AND($A187&gt;=AP$16,MONTH($A187)=MONTH(AP$16)),MAX(AN187,AO187)*AP186,AP186)</f>
        <v>1.40945468809218</v>
      </c>
      <c r="AR187" s="1670" t="n">
        <f aca="false">$A187</f>
        <v>40513</v>
      </c>
      <c r="AS187" s="1671" t="n">
        <f aca="false">IF(AND($A187&gt;=EDATE(AS$17,12),IF(Assm!$L$74=0,$D187,$E187)/AS186&gt;=1.05),IF(Assm!$L$74=0,$D187,$E187),AS186)</f>
        <v>2.64024047948862</v>
      </c>
      <c r="AT187" s="1671" t="n">
        <f aca="false">IF(AS187/AS186=1,AT186,AS187/AS186)</f>
        <v>1.05178373226943</v>
      </c>
      <c r="AU187" s="1671" t="n">
        <f aca="false">F187</f>
        <v>1.072</v>
      </c>
      <c r="AV187" s="1671" t="n">
        <f aca="false">MAX(AT187,AU187)</f>
        <v>1.072</v>
      </c>
      <c r="AW187" s="1675" t="n">
        <f aca="false">IF(AV187=AV186,AW186,AV187*AW186)</f>
        <v>3.0057179991744</v>
      </c>
    </row>
    <row r="188" customFormat="false" ht="12.75" hidden="false" customHeight="false" outlineLevel="0" collapsed="false">
      <c r="A188" s="1673" t="n">
        <f aca="false">EDATE(A187,1)</f>
        <v>40544</v>
      </c>
      <c r="B188" s="1659" t="n">
        <f aca="false">'[4]Monthly Curve Calc.'!B191</f>
        <v>411.09314282245</v>
      </c>
      <c r="C188" s="1660" t="n">
        <f aca="false">'[4]Monthly Curve Calc.'!C191</f>
        <v>230.106328427722</v>
      </c>
      <c r="D188" s="1661" t="n">
        <f aca="false">'[4]Monthly Curve Calc.'!F191</f>
        <v>2.65513335215341</v>
      </c>
      <c r="E188" s="1662" t="n">
        <f aca="false">IF($A188&lt;=E$16,D188,(B188/B187)/(C188/C187)*E187)</f>
        <v>2.17712196341358</v>
      </c>
      <c r="F188" s="1674" t="n">
        <f aca="false">IF(Assm!$L$75=0,F187,IF(AND($A188&gt;F$16,MONTH($A188)=MONTH(F$16)),B187/B175,F187))</f>
        <v>1.072</v>
      </c>
      <c r="G188" s="1668" t="n">
        <f aca="false">IF(Assm!$L$75=0,G187,IF(AND($A188&gt;G$16,MONTH($A188)=MONTH(G$16)),C187/C175,G187))</f>
        <v>1.02584056725748</v>
      </c>
      <c r="H188" s="1668" t="n">
        <f aca="false">IF(Assm!$L$75=0,H187,IF(AND($A188&gt;H$16,MONTH($A188)=MONTH(H$16)),C187/C175-H$18,H187))</f>
        <v>1.02334056725748</v>
      </c>
      <c r="I188" s="1668" t="n">
        <f aca="false">IF(Assm!$L$75=0,I187,IF($A188&gt;=I$16,IF(MONTH($A188)=MONTH(I$16),AVERAGE(D176:D187),I187),I187))</f>
        <v>2.62238057113975</v>
      </c>
      <c r="J188" s="1675" t="n">
        <f aca="false">IF(Assm!$L$75=0,J187,IF($A188&gt;=J$16,IF(MONTH($A188)=MONTH(J$16),AVERAGE(E176:E187),J187),J187))</f>
        <v>2.12565422968144</v>
      </c>
      <c r="K188" s="1624" t="n">
        <f aca="false">K187+1</f>
        <v>176</v>
      </c>
      <c r="L188" s="1667" t="n">
        <f aca="false">HLOOKUP(L$14,Dec_Change,$K188)</f>
        <v>1.02584056725748</v>
      </c>
      <c r="M188" s="1668" t="n">
        <f aca="false">M187</f>
        <v>0</v>
      </c>
      <c r="N188" s="1675" t="n">
        <f aca="false">IF(AND($A188&gt;=N$16,MONTH($A188)=MONTH(N$16)),MAX(L188,M188)*N187,N187)</f>
        <v>1.40945468809218</v>
      </c>
      <c r="P188" s="1667" t="n">
        <f aca="false">HLOOKUP(P$14,Dec_Change,$K188)</f>
        <v>1.072</v>
      </c>
      <c r="Q188" s="1668" t="n">
        <f aca="false">Q187</f>
        <v>0</v>
      </c>
      <c r="R188" s="1675" t="n">
        <f aca="false">IF(AND($A188&gt;=R$16,MONTH($A188)=MONTH(R$16)),MAX(P188,Q188)*R187,R187)</f>
        <v>2.79103464231705</v>
      </c>
      <c r="T188" s="1667" t="n">
        <f aca="false">HLOOKUP(T$14,Dec_Change,$K188)</f>
        <v>1.02584056725748</v>
      </c>
      <c r="U188" s="1668" t="n">
        <f aca="false">U187</f>
        <v>1.005</v>
      </c>
      <c r="V188" s="1675" t="n">
        <f aca="false">IF(AND($A188&gt;=V$16,MONTH($A188)=MONTH(V$16)),MAX(T188,U188)*V187,V187)</f>
        <v>1.40945468809218</v>
      </c>
      <c r="X188" s="1667" t="n">
        <f aca="false">HLOOKUP(X$14,Dec_Change,$K188)</f>
        <v>1.02334056725748</v>
      </c>
      <c r="Y188" s="1668" t="n">
        <f aca="false">Y187</f>
        <v>1.02</v>
      </c>
      <c r="Z188" s="1675" t="n">
        <f aca="false">IF(AND($A188&gt;=Z$16,MONTH($A188)=MONTH(Z$16)),MAX(X188,Y188)*Z187,Z187)</f>
        <v>1.37647525622845</v>
      </c>
      <c r="AB188" s="1667" t="n">
        <f aca="false">HLOOKUP(AB$14,Dec_Change,$K188)</f>
        <v>1.02334056725748</v>
      </c>
      <c r="AC188" s="1668" t="n">
        <f aca="false">AC187</f>
        <v>1.02</v>
      </c>
      <c r="AD188" s="1675" t="n">
        <f aca="false">IF(AND($A188&gt;=AD$16,MONTH($A188)=MONTH(AD$16)),MAX(AB188,AC188)*AD187,AD187)</f>
        <v>1.37647525622845</v>
      </c>
      <c r="AF188" s="1667" t="n">
        <f aca="false">HLOOKUP(AF$14,Dec_Change,$K188)</f>
        <v>1.072</v>
      </c>
      <c r="AG188" s="1668" t="n">
        <f aca="false">AG187</f>
        <v>0</v>
      </c>
      <c r="AH188" s="1675" t="n">
        <f aca="false">IF(AND($A188&gt;=AH$16,MONTH($A188)=MONTH(AH$16)),MAX(AF188,AG188)*AH187,AH187)</f>
        <v>2.79103464231705</v>
      </c>
      <c r="AJ188" s="1667" t="n">
        <f aca="false">HLOOKUP(AJ$14,Dec_Change,$K188)</f>
        <v>1.02334056725748</v>
      </c>
      <c r="AK188" s="1668" t="n">
        <f aca="false">AK187</f>
        <v>1.02</v>
      </c>
      <c r="AL188" s="1675" t="n">
        <f aca="false">IF(AND($A188&gt;=AL$16,MONTH($A188)=MONTH(AL$16)),MAX(AJ188,AK188)*AL187,AL187)</f>
        <v>1.37647525622845</v>
      </c>
      <c r="AN188" s="1667" t="n">
        <f aca="false">HLOOKUP(AN$14,Dec_Change,$K188)</f>
        <v>1.02584056725748</v>
      </c>
      <c r="AO188" s="1668" t="n">
        <f aca="false">AO187</f>
        <v>1.005</v>
      </c>
      <c r="AP188" s="1675" t="n">
        <f aca="false">IF(AND($A188&gt;=AP$16,MONTH($A188)=MONTH(AP$16)),MAX(AN188,AO188)*AP187,AP187)</f>
        <v>1.40945468809218</v>
      </c>
      <c r="AR188" s="1670" t="n">
        <f aca="false">$A188</f>
        <v>40544</v>
      </c>
      <c r="AS188" s="1671" t="n">
        <f aca="false">IF(AND($A188&gt;=EDATE(AS$17,12),IF(Assm!$L$74=0,$D188,$E188)/AS187&gt;=1.05),IF(Assm!$L$74=0,$D188,$E188),AS187)</f>
        <v>2.64024047948862</v>
      </c>
      <c r="AT188" s="1671" t="n">
        <f aca="false">IF(AS188/AS187=1,AT187,AS188/AS187)</f>
        <v>1.05178373226943</v>
      </c>
      <c r="AU188" s="1671" t="n">
        <f aca="false">F188</f>
        <v>1.072</v>
      </c>
      <c r="AV188" s="1671" t="n">
        <f aca="false">MAX(AT188,AU188)</f>
        <v>1.072</v>
      </c>
      <c r="AW188" s="1675" t="n">
        <f aca="false">IF(AV188=AV187,AW187,AV188*AW187)</f>
        <v>3.0057179991744</v>
      </c>
    </row>
    <row r="189" customFormat="false" ht="12.75" hidden="false" customHeight="false" outlineLevel="0" collapsed="false">
      <c r="A189" s="1673" t="n">
        <f aca="false">EDATE(A188,1)</f>
        <v>40575</v>
      </c>
      <c r="B189" s="1659" t="n">
        <f aca="false">'[4]Monthly Curve Calc.'!B192</f>
        <v>413.481863371089</v>
      </c>
      <c r="C189" s="1660" t="n">
        <f aca="false">'[4]Monthly Curve Calc.'!C192</f>
        <v>230.585600493445</v>
      </c>
      <c r="D189" s="1661" t="n">
        <f aca="false">'[4]Monthly Curve Calc.'!F192</f>
        <v>2.6597398170002</v>
      </c>
      <c r="E189" s="1662" t="n">
        <f aca="false">IF($A189&lt;=E$16,D189,(B189/B188)/(C189/C188)*E188)</f>
        <v>2.18522102760647</v>
      </c>
      <c r="F189" s="1674" t="n">
        <f aca="false">IF(Assm!$L$75=0,F188,IF(AND($A189&gt;F$16,MONTH($A189)=MONTH(F$16)),B188/B176,F188))</f>
        <v>1.072</v>
      </c>
      <c r="G189" s="1668" t="n">
        <f aca="false">IF(Assm!$L$75=0,G188,IF(AND($A189&gt;G$16,MONTH($A189)=MONTH(G$16)),C188/C176,G188))</f>
        <v>1.02584056725748</v>
      </c>
      <c r="H189" s="1668" t="n">
        <f aca="false">IF(Assm!$L$75=0,H188,IF(AND($A189&gt;H$16,MONTH($A189)=MONTH(H$16)),C188/C176-H$18,H188))</f>
        <v>1.02334056725748</v>
      </c>
      <c r="I189" s="1668" t="n">
        <f aca="false">IF(Assm!$L$75=0,I188,IF($A189&gt;=I$16,IF(MONTH($A189)=MONTH(I$16),AVERAGE(D177:D188),I188),I188))</f>
        <v>2.62238057113975</v>
      </c>
      <c r="J189" s="1675" t="n">
        <f aca="false">IF(Assm!$L$75=0,J188,IF($A189&gt;=J$16,IF(MONTH($A189)=MONTH(J$16),AVERAGE(E177:E188),J188),J188))</f>
        <v>2.12565422968144</v>
      </c>
      <c r="K189" s="1624" t="n">
        <f aca="false">K188+1</f>
        <v>177</v>
      </c>
      <c r="L189" s="1667" t="n">
        <f aca="false">HLOOKUP(L$14,Dec_Change,$K189)</f>
        <v>1.02584056725748</v>
      </c>
      <c r="M189" s="1668" t="n">
        <f aca="false">M188</f>
        <v>0</v>
      </c>
      <c r="N189" s="1675" t="n">
        <f aca="false">IF(AND($A189&gt;=N$16,MONTH($A189)=MONTH(N$16)),MAX(L189,M189)*N188,N188)</f>
        <v>1.40945468809218</v>
      </c>
      <c r="P189" s="1667" t="n">
        <f aca="false">HLOOKUP(P$14,Dec_Change,$K189)</f>
        <v>1.072</v>
      </c>
      <c r="Q189" s="1668" t="n">
        <f aca="false">Q188</f>
        <v>0</v>
      </c>
      <c r="R189" s="1675" t="n">
        <f aca="false">IF(AND($A189&gt;=R$16,MONTH($A189)=MONTH(R$16)),MAX(P189,Q189)*R188,R188)</f>
        <v>2.79103464231705</v>
      </c>
      <c r="T189" s="1667" t="n">
        <f aca="false">HLOOKUP(T$14,Dec_Change,$K189)</f>
        <v>1.02584056725748</v>
      </c>
      <c r="U189" s="1668" t="n">
        <f aca="false">U188</f>
        <v>1.005</v>
      </c>
      <c r="V189" s="1675" t="n">
        <f aca="false">IF(AND($A189&gt;=V$16,MONTH($A189)=MONTH(V$16)),MAX(T189,U189)*V188,V188)</f>
        <v>1.40945468809218</v>
      </c>
      <c r="X189" s="1667" t="n">
        <f aca="false">HLOOKUP(X$14,Dec_Change,$K189)</f>
        <v>1.02334056725748</v>
      </c>
      <c r="Y189" s="1668" t="n">
        <f aca="false">Y188</f>
        <v>1.02</v>
      </c>
      <c r="Z189" s="1675" t="n">
        <f aca="false">IF(AND($A189&gt;=Z$16,MONTH($A189)=MONTH(Z$16)),MAX(X189,Y189)*Z188,Z188)</f>
        <v>1.37647525622845</v>
      </c>
      <c r="AB189" s="1667" t="n">
        <f aca="false">HLOOKUP(AB$14,Dec_Change,$K189)</f>
        <v>1.02334056725748</v>
      </c>
      <c r="AC189" s="1668" t="n">
        <f aca="false">AC188</f>
        <v>1.02</v>
      </c>
      <c r="AD189" s="1675" t="n">
        <f aca="false">IF(AND($A189&gt;=AD$16,MONTH($A189)=MONTH(AD$16)),MAX(AB189,AC189)*AD188,AD188)</f>
        <v>1.37647525622845</v>
      </c>
      <c r="AF189" s="1667" t="n">
        <f aca="false">HLOOKUP(AF$14,Dec_Change,$K189)</f>
        <v>1.072</v>
      </c>
      <c r="AG189" s="1668" t="n">
        <f aca="false">AG188</f>
        <v>0</v>
      </c>
      <c r="AH189" s="1675" t="n">
        <f aca="false">IF(AND($A189&gt;=AH$16,MONTH($A189)=MONTH(AH$16)),MAX(AF189,AG189)*AH188,AH188)</f>
        <v>2.79103464231705</v>
      </c>
      <c r="AJ189" s="1667" t="n">
        <f aca="false">HLOOKUP(AJ$14,Dec_Change,$K189)</f>
        <v>1.02334056725748</v>
      </c>
      <c r="AK189" s="1668" t="n">
        <f aca="false">AK188</f>
        <v>1.02</v>
      </c>
      <c r="AL189" s="1675" t="n">
        <f aca="false">IF(AND($A189&gt;=AL$16,MONTH($A189)=MONTH(AL$16)),MAX(AJ189,AK189)*AL188,AL188)</f>
        <v>1.37647525622845</v>
      </c>
      <c r="AN189" s="1667" t="n">
        <f aca="false">HLOOKUP(AN$14,Dec_Change,$K189)</f>
        <v>1.02584056725748</v>
      </c>
      <c r="AO189" s="1668" t="n">
        <f aca="false">AO188</f>
        <v>1.005</v>
      </c>
      <c r="AP189" s="1675" t="n">
        <f aca="false">IF(AND($A189&gt;=AP$16,MONTH($A189)=MONTH(AP$16)),MAX(AN189,AO189)*AP188,AP188)</f>
        <v>1.40945468809218</v>
      </c>
      <c r="AR189" s="1670" t="n">
        <f aca="false">$A189</f>
        <v>40575</v>
      </c>
      <c r="AS189" s="1671" t="n">
        <f aca="false">IF(AND($A189&gt;=EDATE(AS$17,12),IF(Assm!$L$74=0,$D189,$E189)/AS188&gt;=1.05),IF(Assm!$L$74=0,$D189,$E189),AS188)</f>
        <v>2.64024047948862</v>
      </c>
      <c r="AT189" s="1671" t="n">
        <f aca="false">IF(AS189/AS188=1,AT188,AS189/AS188)</f>
        <v>1.05178373226943</v>
      </c>
      <c r="AU189" s="1671" t="n">
        <f aca="false">F189</f>
        <v>1.072</v>
      </c>
      <c r="AV189" s="1671" t="n">
        <f aca="false">MAX(AT189,AU189)</f>
        <v>1.072</v>
      </c>
      <c r="AW189" s="1675" t="n">
        <f aca="false">IF(AV189=AV188,AW188,AV189*AW188)</f>
        <v>3.0057179991744</v>
      </c>
    </row>
    <row r="190" customFormat="false" ht="12.75" hidden="false" customHeight="false" outlineLevel="0" collapsed="false">
      <c r="A190" s="1673" t="n">
        <f aca="false">EDATE(A189,1)</f>
        <v>40603</v>
      </c>
      <c r="B190" s="1659" t="n">
        <f aca="false">'[4]Monthly Curve Calc.'!B193</f>
        <v>415.884463951441</v>
      </c>
      <c r="C190" s="1660" t="n">
        <f aca="false">'[4]Monthly Curve Calc.'!C193</f>
        <v>231.065870800783</v>
      </c>
      <c r="D190" s="1661" t="n">
        <f aca="false">'[4]Monthly Curve Calc.'!F193</f>
        <v>2.66435427373123</v>
      </c>
      <c r="E190" s="1662" t="n">
        <f aca="false">IF($A190&lt;=E$16,D190,(B190/B189)/(C190/C189)*E189)</f>
        <v>2.19335022095238</v>
      </c>
      <c r="F190" s="1674" t="n">
        <f aca="false">IF(Assm!$L$75=0,F189,IF(AND($A190&gt;F$16,MONTH($A190)=MONTH(F$16)),B189/B177,F189))</f>
        <v>1.072</v>
      </c>
      <c r="G190" s="1668" t="n">
        <f aca="false">IF(Assm!$L$75=0,G189,IF(AND($A190&gt;G$16,MONTH($A190)=MONTH(G$16)),C189/C177,G189))</f>
        <v>1.02584056725748</v>
      </c>
      <c r="H190" s="1668" t="n">
        <f aca="false">IF(Assm!$L$75=0,H189,IF(AND($A190&gt;H$16,MONTH($A190)=MONTH(H$16)),C189/C177-H$18,H189))</f>
        <v>1.02334056725748</v>
      </c>
      <c r="I190" s="1668" t="n">
        <f aca="false">IF(Assm!$L$75=0,I189,IF($A190&gt;=I$16,IF(MONTH($A190)=MONTH(I$16),AVERAGE(D178:D189),I189),I189))</f>
        <v>2.62238057113975</v>
      </c>
      <c r="J190" s="1675" t="n">
        <f aca="false">IF(Assm!$L$75=0,J189,IF($A190&gt;=J$16,IF(MONTH($A190)=MONTH(J$16),AVERAGE(E178:E189),J189),J189))</f>
        <v>2.12565422968144</v>
      </c>
      <c r="K190" s="1624" t="n">
        <f aca="false">K189+1</f>
        <v>178</v>
      </c>
      <c r="L190" s="1667" t="n">
        <f aca="false">HLOOKUP(L$14,Dec_Change,$K190)</f>
        <v>1.02584056725748</v>
      </c>
      <c r="M190" s="1668" t="n">
        <f aca="false">M189</f>
        <v>0</v>
      </c>
      <c r="N190" s="1675" t="n">
        <f aca="false">IF(AND($A190&gt;=N$16,MONTH($A190)=MONTH(N$16)),MAX(L190,M190)*N189,N189)</f>
        <v>1.40945468809218</v>
      </c>
      <c r="P190" s="1667" t="n">
        <f aca="false">HLOOKUP(P$14,Dec_Change,$K190)</f>
        <v>1.072</v>
      </c>
      <c r="Q190" s="1668" t="n">
        <f aca="false">Q189</f>
        <v>0</v>
      </c>
      <c r="R190" s="1675" t="n">
        <f aca="false">IF(AND($A190&gt;=R$16,MONTH($A190)=MONTH(R$16)),MAX(P190,Q190)*R189,R189)</f>
        <v>2.79103464231705</v>
      </c>
      <c r="T190" s="1667" t="n">
        <f aca="false">HLOOKUP(T$14,Dec_Change,$K190)</f>
        <v>1.02584056725748</v>
      </c>
      <c r="U190" s="1668" t="n">
        <f aca="false">U189</f>
        <v>1.005</v>
      </c>
      <c r="V190" s="1675" t="n">
        <f aca="false">IF(AND($A190&gt;=V$16,MONTH($A190)=MONTH(V$16)),MAX(T190,U190)*V189,V189)</f>
        <v>1.40945468809218</v>
      </c>
      <c r="X190" s="1667" t="n">
        <f aca="false">HLOOKUP(X$14,Dec_Change,$K190)</f>
        <v>1.02334056725748</v>
      </c>
      <c r="Y190" s="1668" t="n">
        <f aca="false">Y189</f>
        <v>1.02</v>
      </c>
      <c r="Z190" s="1675" t="n">
        <f aca="false">IF(AND($A190&gt;=Z$16,MONTH($A190)=MONTH(Z$16)),MAX(X190,Y190)*Z189,Z189)</f>
        <v>1.37647525622845</v>
      </c>
      <c r="AB190" s="1667" t="n">
        <f aca="false">HLOOKUP(AB$14,Dec_Change,$K190)</f>
        <v>1.02334056725748</v>
      </c>
      <c r="AC190" s="1668" t="n">
        <f aca="false">AC189</f>
        <v>1.02</v>
      </c>
      <c r="AD190" s="1675" t="n">
        <f aca="false">IF(AND($A190&gt;=AD$16,MONTH($A190)=MONTH(AD$16)),MAX(AB190,AC190)*AD189,AD189)</f>
        <v>1.37647525622845</v>
      </c>
      <c r="AF190" s="1667" t="n">
        <f aca="false">HLOOKUP(AF$14,Dec_Change,$K190)</f>
        <v>1.072</v>
      </c>
      <c r="AG190" s="1668" t="n">
        <f aca="false">AG189</f>
        <v>0</v>
      </c>
      <c r="AH190" s="1675" t="n">
        <f aca="false">IF(AND($A190&gt;=AH$16,MONTH($A190)=MONTH(AH$16)),MAX(AF190,AG190)*AH189,AH189)</f>
        <v>2.79103464231705</v>
      </c>
      <c r="AJ190" s="1667" t="n">
        <f aca="false">HLOOKUP(AJ$14,Dec_Change,$K190)</f>
        <v>1.02334056725748</v>
      </c>
      <c r="AK190" s="1668" t="n">
        <f aca="false">AK189</f>
        <v>1.02</v>
      </c>
      <c r="AL190" s="1675" t="n">
        <f aca="false">IF(AND($A190&gt;=AL$16,MONTH($A190)=MONTH(AL$16)),MAX(AJ190,AK190)*AL189,AL189)</f>
        <v>1.37647525622845</v>
      </c>
      <c r="AN190" s="1667" t="n">
        <f aca="false">HLOOKUP(AN$14,Dec_Change,$K190)</f>
        <v>1.02584056725748</v>
      </c>
      <c r="AO190" s="1668" t="n">
        <f aca="false">AO189</f>
        <v>1.005</v>
      </c>
      <c r="AP190" s="1675" t="n">
        <f aca="false">IF(AND($A190&gt;=AP$16,MONTH($A190)=MONTH(AP$16)),MAX(AN190,AO190)*AP189,AP189)</f>
        <v>1.40945468809218</v>
      </c>
      <c r="AR190" s="1670" t="n">
        <f aca="false">$A190</f>
        <v>40603</v>
      </c>
      <c r="AS190" s="1671" t="n">
        <f aca="false">IF(AND($A190&gt;=EDATE(AS$17,12),IF(Assm!$L$74=0,$D190,$E190)/AS189&gt;=1.05),IF(Assm!$L$74=0,$D190,$E190),AS189)</f>
        <v>2.64024047948862</v>
      </c>
      <c r="AT190" s="1671" t="n">
        <f aca="false">IF(AS190/AS189=1,AT189,AS190/AS189)</f>
        <v>1.05178373226943</v>
      </c>
      <c r="AU190" s="1671" t="n">
        <f aca="false">F190</f>
        <v>1.072</v>
      </c>
      <c r="AV190" s="1671" t="n">
        <f aca="false">MAX(AT190,AU190)</f>
        <v>1.072</v>
      </c>
      <c r="AW190" s="1675" t="n">
        <f aca="false">IF(AV190=AV189,AW189,AV190*AW189)</f>
        <v>3.0057179991744</v>
      </c>
    </row>
    <row r="191" customFormat="false" ht="12.75" hidden="false" customHeight="false" outlineLevel="0" collapsed="false">
      <c r="A191" s="1673" t="n">
        <f aca="false">EDATE(A190,1)</f>
        <v>40634</v>
      </c>
      <c r="B191" s="1659" t="n">
        <f aca="false">'[4]Monthly Curve Calc.'!B194</f>
        <v>418.301025215587</v>
      </c>
      <c r="C191" s="1660" t="n">
        <f aca="false">'[4]Monthly Curve Calc.'!C194</f>
        <v>231.547141428902</v>
      </c>
      <c r="D191" s="1661" t="n">
        <f aca="false">'[4]Monthly Curve Calc.'!F194</f>
        <v>2.66897673621184</v>
      </c>
      <c r="E191" s="1662" t="n">
        <f aca="false">IF($A191&lt;=E$16,D191,(B191/B190)/(C191/C190)*E190)</f>
        <v>2.20150965553413</v>
      </c>
      <c r="F191" s="1674" t="n">
        <f aca="false">IF(Assm!$L$75=0,F190,IF(AND($A191&gt;F$16,MONTH($A191)=MONTH(F$16)),B190/B178,F190))</f>
        <v>1.072</v>
      </c>
      <c r="G191" s="1668" t="n">
        <f aca="false">IF(Assm!$L$75=0,G190,IF(AND($A191&gt;G$16,MONTH($A191)=MONTH(G$16)),C190/C178,G190))</f>
        <v>1.02584056725748</v>
      </c>
      <c r="H191" s="1668" t="n">
        <f aca="false">IF(Assm!$L$75=0,H190,IF(AND($A191&gt;H$16,MONTH($A191)=MONTH(H$16)),C190/C178-H$18,H190))</f>
        <v>1.02334056725748</v>
      </c>
      <c r="I191" s="1668" t="n">
        <f aca="false">IF(Assm!$L$75=0,I190,IF($A191&gt;=I$16,IF(MONTH($A191)=MONTH(I$16),AVERAGE(D179:D190),I190),I190))</f>
        <v>2.62238057113975</v>
      </c>
      <c r="J191" s="1675" t="n">
        <f aca="false">IF(Assm!$L$75=0,J190,IF($A191&gt;=J$16,IF(MONTH($A191)=MONTH(J$16),AVERAGE(E179:E190),J190),J190))</f>
        <v>2.12565422968144</v>
      </c>
      <c r="K191" s="1624" t="n">
        <f aca="false">K190+1</f>
        <v>179</v>
      </c>
      <c r="L191" s="1667" t="n">
        <f aca="false">HLOOKUP(L$14,Dec_Change,$K191)</f>
        <v>1.02584056725748</v>
      </c>
      <c r="M191" s="1668" t="n">
        <f aca="false">M190</f>
        <v>0</v>
      </c>
      <c r="N191" s="1675" t="n">
        <f aca="false">IF(AND($A191&gt;=N$16,MONTH($A191)=MONTH(N$16)),MAX(L191,M191)*N190,N190)</f>
        <v>1.40945468809218</v>
      </c>
      <c r="P191" s="1667" t="n">
        <f aca="false">HLOOKUP(P$14,Dec_Change,$K191)</f>
        <v>1.072</v>
      </c>
      <c r="Q191" s="1668" t="n">
        <f aca="false">Q190</f>
        <v>0</v>
      </c>
      <c r="R191" s="1675" t="n">
        <f aca="false">IF(AND($A191&gt;=R$16,MONTH($A191)=MONTH(R$16)),MAX(P191,Q191)*R190,R190)</f>
        <v>2.79103464231705</v>
      </c>
      <c r="T191" s="1667" t="n">
        <f aca="false">HLOOKUP(T$14,Dec_Change,$K191)</f>
        <v>1.02584056725748</v>
      </c>
      <c r="U191" s="1668" t="n">
        <f aca="false">U190</f>
        <v>1.005</v>
      </c>
      <c r="V191" s="1675" t="n">
        <f aca="false">IF(AND($A191&gt;=V$16,MONTH($A191)=MONTH(V$16)),MAX(T191,U191)*V190,V190)</f>
        <v>1.40945468809218</v>
      </c>
      <c r="X191" s="1667" t="n">
        <f aca="false">HLOOKUP(X$14,Dec_Change,$K191)</f>
        <v>1.02334056725748</v>
      </c>
      <c r="Y191" s="1668" t="n">
        <f aca="false">Y190</f>
        <v>1.02</v>
      </c>
      <c r="Z191" s="1675" t="n">
        <f aca="false">IF(AND($A191&gt;=Z$16,MONTH($A191)=MONTH(Z$16)),MAX(X191,Y191)*Z190,Z190)</f>
        <v>1.37647525622845</v>
      </c>
      <c r="AB191" s="1667" t="n">
        <f aca="false">HLOOKUP(AB$14,Dec_Change,$K191)</f>
        <v>1.02334056725748</v>
      </c>
      <c r="AC191" s="1668" t="n">
        <f aca="false">AC190</f>
        <v>1.02</v>
      </c>
      <c r="AD191" s="1675" t="n">
        <f aca="false">IF(AND($A191&gt;=AD$16,MONTH($A191)=MONTH(AD$16)),MAX(AB191,AC191)*AD190,AD190)</f>
        <v>1.37647525622845</v>
      </c>
      <c r="AF191" s="1667" t="n">
        <f aca="false">HLOOKUP(AF$14,Dec_Change,$K191)</f>
        <v>1.072</v>
      </c>
      <c r="AG191" s="1668" t="n">
        <f aca="false">AG190</f>
        <v>0</v>
      </c>
      <c r="AH191" s="1675" t="n">
        <f aca="false">IF(AND($A191&gt;=AH$16,MONTH($A191)=MONTH(AH$16)),MAX(AF191,AG191)*AH190,AH190)</f>
        <v>2.79103464231705</v>
      </c>
      <c r="AJ191" s="1667" t="n">
        <f aca="false">HLOOKUP(AJ$14,Dec_Change,$K191)</f>
        <v>1.02334056725748</v>
      </c>
      <c r="AK191" s="1668" t="n">
        <f aca="false">AK190</f>
        <v>1.02</v>
      </c>
      <c r="AL191" s="1675" t="n">
        <f aca="false">IF(AND($A191&gt;=AL$16,MONTH($A191)=MONTH(AL$16)),MAX(AJ191,AK191)*AL190,AL190)</f>
        <v>1.37647525622845</v>
      </c>
      <c r="AN191" s="1667" t="n">
        <f aca="false">HLOOKUP(AN$14,Dec_Change,$K191)</f>
        <v>1.02584056725748</v>
      </c>
      <c r="AO191" s="1668" t="n">
        <f aca="false">AO190</f>
        <v>1.005</v>
      </c>
      <c r="AP191" s="1675" t="n">
        <f aca="false">IF(AND($A191&gt;=AP$16,MONTH($A191)=MONTH(AP$16)),MAX(AN191,AO191)*AP190,AP190)</f>
        <v>1.40945468809218</v>
      </c>
      <c r="AR191" s="1670" t="n">
        <f aca="false">$A191</f>
        <v>40634</v>
      </c>
      <c r="AS191" s="1671" t="n">
        <f aca="false">IF(AND($A191&gt;=EDATE(AS$17,12),IF(Assm!$L$74=0,$D191,$E191)/AS190&gt;=1.05),IF(Assm!$L$74=0,$D191,$E191),AS190)</f>
        <v>2.64024047948862</v>
      </c>
      <c r="AT191" s="1671" t="n">
        <f aca="false">IF(AS191/AS190=1,AT190,AS191/AS190)</f>
        <v>1.05178373226943</v>
      </c>
      <c r="AU191" s="1671" t="n">
        <f aca="false">F191</f>
        <v>1.072</v>
      </c>
      <c r="AV191" s="1671" t="n">
        <f aca="false">MAX(AT191,AU191)</f>
        <v>1.072</v>
      </c>
      <c r="AW191" s="1675" t="n">
        <f aca="false">IF(AV191=AV190,AW190,AV191*AW190)</f>
        <v>3.0057179991744</v>
      </c>
    </row>
    <row r="192" customFormat="false" ht="12.75" hidden="false" customHeight="false" outlineLevel="0" collapsed="false">
      <c r="A192" s="1673" t="n">
        <f aca="false">EDATE(A191,1)</f>
        <v>40664</v>
      </c>
      <c r="B192" s="1659" t="n">
        <f aca="false">'[4]Monthly Curve Calc.'!B195</f>
        <v>420.731628284247</v>
      </c>
      <c r="C192" s="1660" t="n">
        <f aca="false">'[4]Monthly Curve Calc.'!C195</f>
        <v>232.0294144613</v>
      </c>
      <c r="D192" s="1661" t="n">
        <f aca="false">'[4]Monthly Curve Calc.'!F195</f>
        <v>2.67360721833143</v>
      </c>
      <c r="E192" s="1662" t="n">
        <f aca="false">IF($A192&lt;=E$16,D192,(B192/B191)/(C192/C191)*E191)</f>
        <v>2.20969944385149</v>
      </c>
      <c r="F192" s="1674" t="n">
        <f aca="false">IF(Assm!$L$75=0,F191,IF(AND($A192&gt;F$16,MONTH($A192)=MONTH(F$16)),B191/B179,F191))</f>
        <v>1.072</v>
      </c>
      <c r="G192" s="1668" t="n">
        <f aca="false">IF(Assm!$L$75=0,G191,IF(AND($A192&gt;G$16,MONTH($A192)=MONTH(G$16)),C191/C179,G191))</f>
        <v>1.0254766914318</v>
      </c>
      <c r="H192" s="1668" t="n">
        <f aca="false">IF(Assm!$L$75=0,H191,IF(AND($A192&gt;H$16,MONTH($A192)=MONTH(H$16)),C191/C179-H$18,H191))</f>
        <v>1.0229766914318</v>
      </c>
      <c r="I192" s="1668" t="n">
        <f aca="false">IF(Assm!$L$75=0,I191,IF($A192&gt;=I$16,IF(MONTH($A192)=MONTH(I$16),AVERAGE(D180:D191),I191),I191))</f>
        <v>2.62238057113975</v>
      </c>
      <c r="J192" s="1675" t="n">
        <f aca="false">IF(Assm!$L$75=0,J191,IF($A192&gt;=J$16,IF(MONTH($A192)=MONTH(J$16),AVERAGE(E180:E191),J191),J191))</f>
        <v>2.12565422968144</v>
      </c>
      <c r="K192" s="1624" t="n">
        <f aca="false">K191+1</f>
        <v>180</v>
      </c>
      <c r="L192" s="1667" t="n">
        <f aca="false">HLOOKUP(L$14,Dec_Change,$K192)</f>
        <v>1.0254766914318</v>
      </c>
      <c r="M192" s="1668" t="n">
        <f aca="false">M191</f>
        <v>0</v>
      </c>
      <c r="N192" s="1675" t="n">
        <f aca="false">IF(AND($A192&gt;=N$16,MONTH($A192)=MONTH(N$16)),MAX(L192,M192)*N191,N191)</f>
        <v>1.44536293026781</v>
      </c>
      <c r="P192" s="1667" t="n">
        <f aca="false">HLOOKUP(P$14,Dec_Change,$K192)</f>
        <v>1.072</v>
      </c>
      <c r="Q192" s="1668" t="n">
        <f aca="false">Q191</f>
        <v>0</v>
      </c>
      <c r="R192" s="1675" t="n">
        <f aca="false">IF(AND($A192&gt;=R$16,MONTH($A192)=MONTH(R$16)),MAX(P192,Q192)*R191,R191)</f>
        <v>2.99198913656388</v>
      </c>
      <c r="T192" s="1667" t="n">
        <f aca="false">HLOOKUP(T$14,Dec_Change,$K192)</f>
        <v>1.0254766914318</v>
      </c>
      <c r="U192" s="1668" t="n">
        <f aca="false">U191</f>
        <v>1.005</v>
      </c>
      <c r="V192" s="1675" t="n">
        <f aca="false">IF(AND($A192&gt;=V$16,MONTH($A192)=MONTH(V$16)),MAX(T192,U192)*V191,V191)</f>
        <v>1.44536293026781</v>
      </c>
      <c r="X192" s="1667" t="n">
        <f aca="false">HLOOKUP(X$14,Dec_Change,$K192)</f>
        <v>1.0229766914318</v>
      </c>
      <c r="Y192" s="1668" t="n">
        <f aca="false">Y191</f>
        <v>1.02</v>
      </c>
      <c r="Z192" s="1675" t="n">
        <f aca="false">IF(AND($A192&gt;=Z$16,MONTH($A192)=MONTH(Z$16)),MAX(X192,Y192)*Z191,Z191)</f>
        <v>1.40810210345432</v>
      </c>
      <c r="AB192" s="1667" t="n">
        <f aca="false">HLOOKUP(AB$14,Dec_Change,$K192)</f>
        <v>1.0229766914318</v>
      </c>
      <c r="AC192" s="1668" t="n">
        <f aca="false">AC191</f>
        <v>1.02</v>
      </c>
      <c r="AD192" s="1675" t="n">
        <f aca="false">IF(AND($A192&gt;=AD$16,MONTH($A192)=MONTH(AD$16)),MAX(AB192,AC192)*AD191,AD191)</f>
        <v>1.40810210345432</v>
      </c>
      <c r="AF192" s="1667" t="n">
        <f aca="false">HLOOKUP(AF$14,Dec_Change,$K192)</f>
        <v>1.072</v>
      </c>
      <c r="AG192" s="1668" t="n">
        <f aca="false">AG191</f>
        <v>0</v>
      </c>
      <c r="AH192" s="1675" t="n">
        <f aca="false">IF(AND($A192&gt;=AH$16,MONTH($A192)=MONTH(AH$16)),MAX(AF192,AG192)*AH191,AH191)</f>
        <v>2.99198913656388</v>
      </c>
      <c r="AJ192" s="1667" t="n">
        <f aca="false">HLOOKUP(AJ$14,Dec_Change,$K192)</f>
        <v>1.0229766914318</v>
      </c>
      <c r="AK192" s="1668" t="n">
        <f aca="false">AK191</f>
        <v>1.02</v>
      </c>
      <c r="AL192" s="1675" t="n">
        <f aca="false">IF(AND($A192&gt;=AL$16,MONTH($A192)=MONTH(AL$16)),MAX(AJ192,AK192)*AL191,AL191)</f>
        <v>1.40810210345432</v>
      </c>
      <c r="AN192" s="1667" t="n">
        <f aca="false">HLOOKUP(AN$14,Dec_Change,$K192)</f>
        <v>1.0254766914318</v>
      </c>
      <c r="AO192" s="1668" t="n">
        <f aca="false">AO191</f>
        <v>1.005</v>
      </c>
      <c r="AP192" s="1675" t="n">
        <f aca="false">IF(AND($A192&gt;=AP$16,MONTH($A192)=MONTH(AP$16)),MAX(AN192,AO192)*AP191,AP191)</f>
        <v>1.44536293026781</v>
      </c>
      <c r="AR192" s="1670" t="n">
        <f aca="false">$A192</f>
        <v>40664</v>
      </c>
      <c r="AS192" s="1671" t="n">
        <f aca="false">IF(AND($A192&gt;=EDATE(AS$17,12),IF(Assm!$L$74=0,$D192,$E192)/AS191&gt;=1.05),IF(Assm!$L$74=0,$D192,$E192),AS191)</f>
        <v>2.64024047948862</v>
      </c>
      <c r="AT192" s="1671" t="n">
        <f aca="false">IF(AS192/AS191=1,AT191,AS192/AS191)</f>
        <v>1.05178373226943</v>
      </c>
      <c r="AU192" s="1671" t="n">
        <f aca="false">F192</f>
        <v>1.072</v>
      </c>
      <c r="AV192" s="1671" t="n">
        <f aca="false">MAX(AT192,AU192)</f>
        <v>1.072</v>
      </c>
      <c r="AW192" s="1675" t="n">
        <f aca="false">IF(AV192=AV191,AW191,AV192*AW191)</f>
        <v>3.0057179991744</v>
      </c>
    </row>
    <row r="193" customFormat="false" ht="12.75" hidden="false" customHeight="false" outlineLevel="0" collapsed="false">
      <c r="A193" s="1673" t="n">
        <f aca="false">EDATE(A192,1)</f>
        <v>40695</v>
      </c>
      <c r="B193" s="1659" t="n">
        <f aca="false">'[4]Monthly Curve Calc.'!B196</f>
        <v>423.176354749506</v>
      </c>
      <c r="C193" s="1660" t="n">
        <f aca="false">'[4]Monthly Curve Calc.'!C196</f>
        <v>232.512691985813</v>
      </c>
      <c r="D193" s="1661" t="n">
        <f aca="false">'[4]Monthly Curve Calc.'!F196</f>
        <v>2.67824573400349</v>
      </c>
      <c r="E193" s="1662" t="n">
        <f aca="false">IF($A193&lt;=E$16,D193,(B193/B192)/(C193/C192)*E192)</f>
        <v>2.21791969882272</v>
      </c>
      <c r="F193" s="1674" t="n">
        <f aca="false">IF(Assm!$L$75=0,F192,IF(AND($A193&gt;F$16,MONTH($A193)=MONTH(F$16)),B192/B180,F192))</f>
        <v>1.072</v>
      </c>
      <c r="G193" s="1668" t="n">
        <f aca="false">IF(Assm!$L$75=0,G192,IF(AND($A193&gt;G$16,MONTH($A193)=MONTH(G$16)),C192/C180,G192))</f>
        <v>1.0254766914318</v>
      </c>
      <c r="H193" s="1668" t="n">
        <f aca="false">IF(Assm!$L$75=0,H192,IF(AND($A193&gt;H$16,MONTH($A193)=MONTH(H$16)),C192/C180-H$18,H192))</f>
        <v>1.0229766914318</v>
      </c>
      <c r="I193" s="1668" t="n">
        <f aca="false">IF(Assm!$L$75=0,I192,IF($A193&gt;=I$16,IF(MONTH($A193)=MONTH(I$16),AVERAGE(D181:D192),I192),I192))</f>
        <v>2.62238057113975</v>
      </c>
      <c r="J193" s="1675" t="n">
        <f aca="false">IF(Assm!$L$75=0,J192,IF($A193&gt;=J$16,IF(MONTH($A193)=MONTH(J$16),AVERAGE(E181:E192),J192),J192))</f>
        <v>2.12565422968144</v>
      </c>
      <c r="K193" s="1624" t="n">
        <f aca="false">K192+1</f>
        <v>181</v>
      </c>
      <c r="L193" s="1667" t="n">
        <f aca="false">HLOOKUP(L$14,Dec_Change,$K193)</f>
        <v>1.0254766914318</v>
      </c>
      <c r="M193" s="1668" t="n">
        <f aca="false">M192</f>
        <v>0</v>
      </c>
      <c r="N193" s="1675" t="n">
        <f aca="false">IF(AND($A193&gt;=N$16,MONTH($A193)=MONTH(N$16)),MAX(L193,M193)*N192,N192)</f>
        <v>1.44536293026781</v>
      </c>
      <c r="P193" s="1667" t="n">
        <f aca="false">HLOOKUP(P$14,Dec_Change,$K193)</f>
        <v>1.072</v>
      </c>
      <c r="Q193" s="1668" t="n">
        <f aca="false">Q192</f>
        <v>0</v>
      </c>
      <c r="R193" s="1675" t="n">
        <f aca="false">IF(AND($A193&gt;=R$16,MONTH($A193)=MONTH(R$16)),MAX(P193,Q193)*R192,R192)</f>
        <v>2.99198913656388</v>
      </c>
      <c r="T193" s="1667" t="n">
        <f aca="false">HLOOKUP(T$14,Dec_Change,$K193)</f>
        <v>1.0254766914318</v>
      </c>
      <c r="U193" s="1668" t="n">
        <f aca="false">U192</f>
        <v>1.005</v>
      </c>
      <c r="V193" s="1675" t="n">
        <f aca="false">IF(AND($A193&gt;=V$16,MONTH($A193)=MONTH(V$16)),MAX(T193,U193)*V192,V192)</f>
        <v>1.44536293026781</v>
      </c>
      <c r="X193" s="1667" t="n">
        <f aca="false">HLOOKUP(X$14,Dec_Change,$K193)</f>
        <v>1.0229766914318</v>
      </c>
      <c r="Y193" s="1668" t="n">
        <f aca="false">Y192</f>
        <v>1.02</v>
      </c>
      <c r="Z193" s="1675" t="n">
        <f aca="false">IF(AND($A193&gt;=Z$16,MONTH($A193)=MONTH(Z$16)),MAX(X193,Y193)*Z192,Z192)</f>
        <v>1.40810210345432</v>
      </c>
      <c r="AB193" s="1667" t="n">
        <f aca="false">HLOOKUP(AB$14,Dec_Change,$K193)</f>
        <v>1.0229766914318</v>
      </c>
      <c r="AC193" s="1668" t="n">
        <f aca="false">AC192</f>
        <v>1.02</v>
      </c>
      <c r="AD193" s="1675" t="n">
        <f aca="false">IF(AND($A193&gt;=AD$16,MONTH($A193)=MONTH(AD$16)),MAX(AB193,AC193)*AD192,AD192)</f>
        <v>1.40810210345432</v>
      </c>
      <c r="AF193" s="1667" t="n">
        <f aca="false">HLOOKUP(AF$14,Dec_Change,$K193)</f>
        <v>1.072</v>
      </c>
      <c r="AG193" s="1668" t="n">
        <f aca="false">AG192</f>
        <v>0</v>
      </c>
      <c r="AH193" s="1675" t="n">
        <f aca="false">IF(AND($A193&gt;=AH$16,MONTH($A193)=MONTH(AH$16)),MAX(AF193,AG193)*AH192,AH192)</f>
        <v>2.99198913656388</v>
      </c>
      <c r="AJ193" s="1667" t="n">
        <f aca="false">HLOOKUP(AJ$14,Dec_Change,$K193)</f>
        <v>1.0229766914318</v>
      </c>
      <c r="AK193" s="1668" t="n">
        <f aca="false">AK192</f>
        <v>1.02</v>
      </c>
      <c r="AL193" s="1675" t="n">
        <f aca="false">IF(AND($A193&gt;=AL$16,MONTH($A193)=MONTH(AL$16)),MAX(AJ193,AK193)*AL192,AL192)</f>
        <v>1.40810210345432</v>
      </c>
      <c r="AN193" s="1667" t="n">
        <f aca="false">HLOOKUP(AN$14,Dec_Change,$K193)</f>
        <v>1.0254766914318</v>
      </c>
      <c r="AO193" s="1668" t="n">
        <f aca="false">AO192</f>
        <v>1.005</v>
      </c>
      <c r="AP193" s="1675" t="n">
        <f aca="false">IF(AND($A193&gt;=AP$16,MONTH($A193)=MONTH(AP$16)),MAX(AN193,AO193)*AP192,AP192)</f>
        <v>1.44536293026781</v>
      </c>
      <c r="AR193" s="1670" t="n">
        <f aca="false">$A193</f>
        <v>40695</v>
      </c>
      <c r="AS193" s="1671" t="n">
        <f aca="false">IF(AND($A193&gt;=EDATE(AS$17,12),IF(Assm!$L$74=0,$D193,$E193)/AS192&gt;=1.05),IF(Assm!$L$74=0,$D193,$E193),AS192)</f>
        <v>2.64024047948862</v>
      </c>
      <c r="AT193" s="1671" t="n">
        <f aca="false">IF(AS193/AS192=1,AT192,AS193/AS192)</f>
        <v>1.05178373226943</v>
      </c>
      <c r="AU193" s="1671" t="n">
        <f aca="false">F193</f>
        <v>1.072</v>
      </c>
      <c r="AV193" s="1671" t="n">
        <f aca="false">MAX(AT193,AU193)</f>
        <v>1.072</v>
      </c>
      <c r="AW193" s="1675" t="n">
        <f aca="false">IF(AV193=AV192,AW192,AV193*AW192)</f>
        <v>3.0057179991744</v>
      </c>
    </row>
    <row r="194" customFormat="false" ht="12.75" hidden="false" customHeight="false" outlineLevel="0" collapsed="false">
      <c r="A194" s="1673" t="n">
        <f aca="false">EDATE(A193,1)</f>
        <v>40725</v>
      </c>
      <c r="B194" s="1659" t="n">
        <f aca="false">'[4]Monthly Curve Calc.'!B197</f>
        <v>425.635286677556</v>
      </c>
      <c r="C194" s="1660" t="n">
        <f aca="false">'[4]Monthly Curve Calc.'!C197</f>
        <v>232.996976094626</v>
      </c>
      <c r="D194" s="1661" t="n">
        <f aca="false">'[4]Monthly Curve Calc.'!F197</f>
        <v>2.68289229716566</v>
      </c>
      <c r="E194" s="1662" t="n">
        <f aca="false">IF($A194&lt;=E$16,D194,(B194/B193)/(C194/C193)*E193)</f>
        <v>2.22617053378617</v>
      </c>
      <c r="F194" s="1674" t="n">
        <f aca="false">IF(Assm!$L$75=0,F193,IF(AND($A194&gt;F$16,MONTH($A194)=MONTH(F$16)),B193/B181,F193))</f>
        <v>1.072</v>
      </c>
      <c r="G194" s="1668" t="n">
        <f aca="false">IF(Assm!$L$75=0,G193,IF(AND($A194&gt;G$16,MONTH($A194)=MONTH(G$16)),C193/C181,G193))</f>
        <v>1.0254766914318</v>
      </c>
      <c r="H194" s="1668" t="n">
        <f aca="false">IF(Assm!$L$75=0,H193,IF(AND($A194&gt;H$16,MONTH($A194)=MONTH(H$16)),C193/C181-H$18,H193))</f>
        <v>1.0229766914318</v>
      </c>
      <c r="I194" s="1668" t="n">
        <f aca="false">IF(Assm!$L$75=0,I193,IF($A194&gt;=I$16,IF(MONTH($A194)=MONTH(I$16),AVERAGE(D182:D193),I193),I193))</f>
        <v>2.62238057113975</v>
      </c>
      <c r="J194" s="1675" t="n">
        <f aca="false">IF(Assm!$L$75=0,J193,IF($A194&gt;=J$16,IF(MONTH($A194)=MONTH(J$16),AVERAGE(E182:E193),J193),J193))</f>
        <v>2.12565422968144</v>
      </c>
      <c r="K194" s="1624" t="n">
        <f aca="false">K193+1</f>
        <v>182</v>
      </c>
      <c r="L194" s="1667" t="n">
        <f aca="false">HLOOKUP(L$14,Dec_Change,$K194)</f>
        <v>1.0254766914318</v>
      </c>
      <c r="M194" s="1668" t="n">
        <f aca="false">M193</f>
        <v>0</v>
      </c>
      <c r="N194" s="1675" t="n">
        <f aca="false">IF(AND($A194&gt;=N$16,MONTH($A194)=MONTH(N$16)),MAX(L194,M194)*N193,N193)</f>
        <v>1.44536293026781</v>
      </c>
      <c r="P194" s="1667" t="n">
        <f aca="false">HLOOKUP(P$14,Dec_Change,$K194)</f>
        <v>1.072</v>
      </c>
      <c r="Q194" s="1668" t="n">
        <f aca="false">Q193</f>
        <v>0</v>
      </c>
      <c r="R194" s="1675" t="n">
        <f aca="false">IF(AND($A194&gt;=R$16,MONTH($A194)=MONTH(R$16)),MAX(P194,Q194)*R193,R193)</f>
        <v>2.99198913656388</v>
      </c>
      <c r="T194" s="1667" t="n">
        <f aca="false">HLOOKUP(T$14,Dec_Change,$K194)</f>
        <v>1.0254766914318</v>
      </c>
      <c r="U194" s="1668" t="n">
        <f aca="false">U193</f>
        <v>1.005</v>
      </c>
      <c r="V194" s="1675" t="n">
        <f aca="false">IF(AND($A194&gt;=V$16,MONTH($A194)=MONTH(V$16)),MAX(T194,U194)*V193,V193)</f>
        <v>1.44536293026781</v>
      </c>
      <c r="X194" s="1667" t="n">
        <f aca="false">HLOOKUP(X$14,Dec_Change,$K194)</f>
        <v>1.0229766914318</v>
      </c>
      <c r="Y194" s="1668" t="n">
        <f aca="false">Y193</f>
        <v>1.02</v>
      </c>
      <c r="Z194" s="1675" t="n">
        <f aca="false">IF(AND($A194&gt;=Z$16,MONTH($A194)=MONTH(Z$16)),MAX(X194,Y194)*Z193,Z193)</f>
        <v>1.40810210345432</v>
      </c>
      <c r="AB194" s="1667" t="n">
        <f aca="false">HLOOKUP(AB$14,Dec_Change,$K194)</f>
        <v>1.0229766914318</v>
      </c>
      <c r="AC194" s="1668" t="n">
        <f aca="false">AC193</f>
        <v>1.02</v>
      </c>
      <c r="AD194" s="1675" t="n">
        <f aca="false">IF(AND($A194&gt;=AD$16,MONTH($A194)=MONTH(AD$16)),MAX(AB194,AC194)*AD193,AD193)</f>
        <v>1.40810210345432</v>
      </c>
      <c r="AF194" s="1667" t="n">
        <f aca="false">HLOOKUP(AF$14,Dec_Change,$K194)</f>
        <v>1.072</v>
      </c>
      <c r="AG194" s="1668" t="n">
        <f aca="false">AG193</f>
        <v>0</v>
      </c>
      <c r="AH194" s="1675" t="n">
        <f aca="false">IF(AND($A194&gt;=AH$16,MONTH($A194)=MONTH(AH$16)),MAX(AF194,AG194)*AH193,AH193)</f>
        <v>2.99198913656388</v>
      </c>
      <c r="AJ194" s="1667" t="n">
        <f aca="false">HLOOKUP(AJ$14,Dec_Change,$K194)</f>
        <v>1.0229766914318</v>
      </c>
      <c r="AK194" s="1668" t="n">
        <f aca="false">AK193</f>
        <v>1.02</v>
      </c>
      <c r="AL194" s="1675" t="n">
        <f aca="false">IF(AND($A194&gt;=AL$16,MONTH($A194)=MONTH(AL$16)),MAX(AJ194,AK194)*AL193,AL193)</f>
        <v>1.40810210345432</v>
      </c>
      <c r="AN194" s="1667" t="n">
        <f aca="false">HLOOKUP(AN$14,Dec_Change,$K194)</f>
        <v>1.0254766914318</v>
      </c>
      <c r="AO194" s="1668" t="n">
        <f aca="false">AO193</f>
        <v>1.005</v>
      </c>
      <c r="AP194" s="1675" t="n">
        <f aca="false">IF(AND($A194&gt;=AP$16,MONTH($A194)=MONTH(AP$16)),MAX(AN194,AO194)*AP193,AP193)</f>
        <v>1.44536293026781</v>
      </c>
      <c r="AR194" s="1670" t="n">
        <f aca="false">$A194</f>
        <v>40725</v>
      </c>
      <c r="AS194" s="1671" t="n">
        <f aca="false">IF(AND($A194&gt;=EDATE(AS$17,12),IF(Assm!$L$74=0,$D194,$E194)/AS193&gt;=1.05),IF(Assm!$L$74=0,$D194,$E194),AS193)</f>
        <v>2.64024047948862</v>
      </c>
      <c r="AT194" s="1671" t="n">
        <f aca="false">IF(AS194/AS193=1,AT193,AS194/AS193)</f>
        <v>1.05178373226943</v>
      </c>
      <c r="AU194" s="1671" t="n">
        <f aca="false">F194</f>
        <v>1.072</v>
      </c>
      <c r="AV194" s="1671" t="n">
        <f aca="false">MAX(AT194,AU194)</f>
        <v>1.072</v>
      </c>
      <c r="AW194" s="1675" t="n">
        <f aca="false">IF(AV194=AV193,AW193,AV194*AW193)</f>
        <v>3.0057179991744</v>
      </c>
    </row>
    <row r="195" customFormat="false" ht="12.75" hidden="false" customHeight="false" outlineLevel="0" collapsed="false">
      <c r="A195" s="1673" t="n">
        <f aca="false">EDATE(A194,1)</f>
        <v>40756</v>
      </c>
      <c r="B195" s="1659" t="n">
        <f aca="false">'[4]Monthly Curve Calc.'!B198</f>
        <v>428.108506611442</v>
      </c>
      <c r="C195" s="1660" t="n">
        <f aca="false">'[4]Monthly Curve Calc.'!C198</f>
        <v>233.482268884281</v>
      </c>
      <c r="D195" s="1661" t="n">
        <f aca="false">'[4]Monthly Curve Calc.'!F198</f>
        <v>2.68754692177975</v>
      </c>
      <c r="E195" s="1662" t="n">
        <f aca="false">IF($A195&lt;=E$16,D195,(B195/B194)/(C195/C194)*E194)</f>
        <v>2.2344520625018</v>
      </c>
      <c r="F195" s="1674" t="n">
        <f aca="false">IF(Assm!$L$75=0,F194,IF(AND($A195&gt;F$16,MONTH($A195)=MONTH(F$16)),B194/B182,F194))</f>
        <v>1.072</v>
      </c>
      <c r="G195" s="1668" t="n">
        <f aca="false">IF(Assm!$L$75=0,G194,IF(AND($A195&gt;G$16,MONTH($A195)=MONTH(G$16)),C194/C182,G194))</f>
        <v>1.0254766914318</v>
      </c>
      <c r="H195" s="1668" t="n">
        <f aca="false">IF(Assm!$L$75=0,H194,IF(AND($A195&gt;H$16,MONTH($A195)=MONTH(H$16)),C194/C182-H$18,H194))</f>
        <v>1.0229766914318</v>
      </c>
      <c r="I195" s="1668" t="n">
        <f aca="false">IF(Assm!$L$75=0,I194,IF($A195&gt;=I$16,IF(MONTH($A195)=MONTH(I$16),AVERAGE(D183:D194),I194),I194))</f>
        <v>2.62238057113975</v>
      </c>
      <c r="J195" s="1675" t="n">
        <f aca="false">IF(Assm!$L$75=0,J194,IF($A195&gt;=J$16,IF(MONTH($A195)=MONTH(J$16),AVERAGE(E183:E194),J194),J194))</f>
        <v>2.12565422968144</v>
      </c>
      <c r="K195" s="1624" t="n">
        <f aca="false">K194+1</f>
        <v>183</v>
      </c>
      <c r="L195" s="1667" t="n">
        <f aca="false">HLOOKUP(L$14,Dec_Change,$K195)</f>
        <v>1.0254766914318</v>
      </c>
      <c r="M195" s="1668" t="n">
        <f aca="false">M194</f>
        <v>0</v>
      </c>
      <c r="N195" s="1675" t="n">
        <f aca="false">IF(AND($A195&gt;=N$16,MONTH($A195)=MONTH(N$16)),MAX(L195,M195)*N194,N194)</f>
        <v>1.44536293026781</v>
      </c>
      <c r="P195" s="1667" t="n">
        <f aca="false">HLOOKUP(P$14,Dec_Change,$K195)</f>
        <v>1.072</v>
      </c>
      <c r="Q195" s="1668" t="n">
        <f aca="false">Q194</f>
        <v>0</v>
      </c>
      <c r="R195" s="1675" t="n">
        <f aca="false">IF(AND($A195&gt;=R$16,MONTH($A195)=MONTH(R$16)),MAX(P195,Q195)*R194,R194)</f>
        <v>2.99198913656388</v>
      </c>
      <c r="T195" s="1667" t="n">
        <f aca="false">HLOOKUP(T$14,Dec_Change,$K195)</f>
        <v>1.0254766914318</v>
      </c>
      <c r="U195" s="1668" t="n">
        <f aca="false">U194</f>
        <v>1.005</v>
      </c>
      <c r="V195" s="1675" t="n">
        <f aca="false">IF(AND($A195&gt;=V$16,MONTH($A195)=MONTH(V$16)),MAX(T195,U195)*V194,V194)</f>
        <v>1.44536293026781</v>
      </c>
      <c r="X195" s="1667" t="n">
        <f aca="false">HLOOKUP(X$14,Dec_Change,$K195)</f>
        <v>1.0229766914318</v>
      </c>
      <c r="Y195" s="1668" t="n">
        <f aca="false">Y194</f>
        <v>1.02</v>
      </c>
      <c r="Z195" s="1675" t="n">
        <f aca="false">IF(AND($A195&gt;=Z$16,MONTH($A195)=MONTH(Z$16)),MAX(X195,Y195)*Z194,Z194)</f>
        <v>1.40810210345432</v>
      </c>
      <c r="AB195" s="1667" t="n">
        <f aca="false">HLOOKUP(AB$14,Dec_Change,$K195)</f>
        <v>1.0229766914318</v>
      </c>
      <c r="AC195" s="1668" t="n">
        <f aca="false">AC194</f>
        <v>1.02</v>
      </c>
      <c r="AD195" s="1675" t="n">
        <f aca="false">IF(AND($A195&gt;=AD$16,MONTH($A195)=MONTH(AD$16)),MAX(AB195,AC195)*AD194,AD194)</f>
        <v>1.40810210345432</v>
      </c>
      <c r="AF195" s="1667" t="n">
        <f aca="false">HLOOKUP(AF$14,Dec_Change,$K195)</f>
        <v>1.072</v>
      </c>
      <c r="AG195" s="1668" t="n">
        <f aca="false">AG194</f>
        <v>0</v>
      </c>
      <c r="AH195" s="1675" t="n">
        <f aca="false">IF(AND($A195&gt;=AH$16,MONTH($A195)=MONTH(AH$16)),MAX(AF195,AG195)*AH194,AH194)</f>
        <v>2.99198913656388</v>
      </c>
      <c r="AJ195" s="1667" t="n">
        <f aca="false">HLOOKUP(AJ$14,Dec_Change,$K195)</f>
        <v>1.0229766914318</v>
      </c>
      <c r="AK195" s="1668" t="n">
        <f aca="false">AK194</f>
        <v>1.02</v>
      </c>
      <c r="AL195" s="1675" t="n">
        <f aca="false">IF(AND($A195&gt;=AL$16,MONTH($A195)=MONTH(AL$16)),MAX(AJ195,AK195)*AL194,AL194)</f>
        <v>1.40810210345432</v>
      </c>
      <c r="AN195" s="1667" t="n">
        <f aca="false">HLOOKUP(AN$14,Dec_Change,$K195)</f>
        <v>1.0254766914318</v>
      </c>
      <c r="AO195" s="1668" t="n">
        <f aca="false">AO194</f>
        <v>1.005</v>
      </c>
      <c r="AP195" s="1675" t="n">
        <f aca="false">IF(AND($A195&gt;=AP$16,MONTH($A195)=MONTH(AP$16)),MAX(AN195,AO195)*AP194,AP194)</f>
        <v>1.44536293026781</v>
      </c>
      <c r="AR195" s="1670" t="n">
        <f aca="false">$A195</f>
        <v>40756</v>
      </c>
      <c r="AS195" s="1671" t="n">
        <f aca="false">IF(AND($A195&gt;=EDATE(AS$17,12),IF(Assm!$L$74=0,$D195,$E195)/AS194&gt;=1.05),IF(Assm!$L$74=0,$D195,$E195),AS194)</f>
        <v>2.64024047948862</v>
      </c>
      <c r="AT195" s="1671" t="n">
        <f aca="false">IF(AS195/AS194=1,AT194,AS195/AS194)</f>
        <v>1.05178373226943</v>
      </c>
      <c r="AU195" s="1671" t="n">
        <f aca="false">F195</f>
        <v>1.072</v>
      </c>
      <c r="AV195" s="1671" t="n">
        <f aca="false">MAX(AT195,AU195)</f>
        <v>1.072</v>
      </c>
      <c r="AW195" s="1675" t="n">
        <f aca="false">IF(AV195=AV194,AW194,AV195*AW194)</f>
        <v>3.0057179991744</v>
      </c>
    </row>
    <row r="196" customFormat="false" ht="12.75" hidden="false" customHeight="false" outlineLevel="0" collapsed="false">
      <c r="A196" s="1673" t="n">
        <f aca="false">EDATE(A195,1)</f>
        <v>40787</v>
      </c>
      <c r="B196" s="1659" t="n">
        <f aca="false">'[4]Monthly Curve Calc.'!B199</f>
        <v>430.596097573843</v>
      </c>
      <c r="C196" s="1660" t="n">
        <f aca="false">'[4]Monthly Curve Calc.'!C199</f>
        <v>233.968572455688</v>
      </c>
      <c r="D196" s="1661" t="n">
        <f aca="false">'[4]Monthly Curve Calc.'!F199</f>
        <v>2.6922096218318</v>
      </c>
      <c r="E196" s="1662" t="n">
        <f aca="false">IF($A196&lt;=E$16,D196,(B196/B195)/(C196/C195)*E195)</f>
        <v>2.24276439915278</v>
      </c>
      <c r="F196" s="1674" t="n">
        <f aca="false">IF(Assm!$L$75=0,F195,IF(AND($A196&gt;F$16,MONTH($A196)=MONTH(F$16)),B195/B183,F195))</f>
        <v>1.072</v>
      </c>
      <c r="G196" s="1668" t="n">
        <f aca="false">IF(Assm!$L$75=0,G195,IF(AND($A196&gt;G$16,MONTH($A196)=MONTH(G$16)),C195/C183,G195))</f>
        <v>1.0254766914318</v>
      </c>
      <c r="H196" s="1668" t="n">
        <f aca="false">IF(Assm!$L$75=0,H195,IF(AND($A196&gt;H$16,MONTH($A196)=MONTH(H$16)),C195/C183-H$18,H195))</f>
        <v>1.0229766914318</v>
      </c>
      <c r="I196" s="1668" t="n">
        <f aca="false">IF(Assm!$L$75=0,I195,IF($A196&gt;=I$16,IF(MONTH($A196)=MONTH(I$16),AVERAGE(D184:D195),I195),I195))</f>
        <v>2.62238057113975</v>
      </c>
      <c r="J196" s="1675" t="n">
        <f aca="false">IF(Assm!$L$75=0,J195,IF($A196&gt;=J$16,IF(MONTH($A196)=MONTH(J$16),AVERAGE(E184:E195),J195),J195))</f>
        <v>2.12565422968144</v>
      </c>
      <c r="K196" s="1624" t="n">
        <f aca="false">K195+1</f>
        <v>184</v>
      </c>
      <c r="L196" s="1667" t="n">
        <f aca="false">HLOOKUP(L$14,Dec_Change,$K196)</f>
        <v>1.0254766914318</v>
      </c>
      <c r="M196" s="1668" t="n">
        <f aca="false">M195</f>
        <v>0</v>
      </c>
      <c r="N196" s="1675" t="n">
        <f aca="false">IF(AND($A196&gt;=N$16,MONTH($A196)=MONTH(N$16)),MAX(L196,M196)*N195,N195)</f>
        <v>1.44536293026781</v>
      </c>
      <c r="P196" s="1667" t="n">
        <f aca="false">HLOOKUP(P$14,Dec_Change,$K196)</f>
        <v>1.072</v>
      </c>
      <c r="Q196" s="1668" t="n">
        <f aca="false">Q195</f>
        <v>0</v>
      </c>
      <c r="R196" s="1675" t="n">
        <f aca="false">IF(AND($A196&gt;=R$16,MONTH($A196)=MONTH(R$16)),MAX(P196,Q196)*R195,R195)</f>
        <v>2.99198913656388</v>
      </c>
      <c r="T196" s="1667" t="n">
        <f aca="false">HLOOKUP(T$14,Dec_Change,$K196)</f>
        <v>1.0254766914318</v>
      </c>
      <c r="U196" s="1668" t="n">
        <f aca="false">U195</f>
        <v>1.005</v>
      </c>
      <c r="V196" s="1675" t="n">
        <f aca="false">IF(AND($A196&gt;=V$16,MONTH($A196)=MONTH(V$16)),MAX(T196,U196)*V195,V195)</f>
        <v>1.44536293026781</v>
      </c>
      <c r="X196" s="1667" t="n">
        <f aca="false">HLOOKUP(X$14,Dec_Change,$K196)</f>
        <v>1.0229766914318</v>
      </c>
      <c r="Y196" s="1668" t="n">
        <f aca="false">Y195</f>
        <v>1.02</v>
      </c>
      <c r="Z196" s="1675" t="n">
        <f aca="false">IF(AND($A196&gt;=Z$16,MONTH($A196)=MONTH(Z$16)),MAX(X196,Y196)*Z195,Z195)</f>
        <v>1.40810210345432</v>
      </c>
      <c r="AB196" s="1667" t="n">
        <f aca="false">HLOOKUP(AB$14,Dec_Change,$K196)</f>
        <v>1.0229766914318</v>
      </c>
      <c r="AC196" s="1668" t="n">
        <f aca="false">AC195</f>
        <v>1.02</v>
      </c>
      <c r="AD196" s="1675" t="n">
        <f aca="false">IF(AND($A196&gt;=AD$16,MONTH($A196)=MONTH(AD$16)),MAX(AB196,AC196)*AD195,AD195)</f>
        <v>1.40810210345432</v>
      </c>
      <c r="AF196" s="1667" t="n">
        <f aca="false">HLOOKUP(AF$14,Dec_Change,$K196)</f>
        <v>1.072</v>
      </c>
      <c r="AG196" s="1668" t="n">
        <f aca="false">AG195</f>
        <v>0</v>
      </c>
      <c r="AH196" s="1675" t="n">
        <f aca="false">IF(AND($A196&gt;=AH$16,MONTH($A196)=MONTH(AH$16)),MAX(AF196,AG196)*AH195,AH195)</f>
        <v>2.99198913656388</v>
      </c>
      <c r="AJ196" s="1667" t="n">
        <f aca="false">HLOOKUP(AJ$14,Dec_Change,$K196)</f>
        <v>1.0229766914318</v>
      </c>
      <c r="AK196" s="1668" t="n">
        <f aca="false">AK195</f>
        <v>1.02</v>
      </c>
      <c r="AL196" s="1675" t="n">
        <f aca="false">IF(AND($A196&gt;=AL$16,MONTH($A196)=MONTH(AL$16)),MAX(AJ196,AK196)*AL195,AL195)</f>
        <v>1.40810210345432</v>
      </c>
      <c r="AN196" s="1667" t="n">
        <f aca="false">HLOOKUP(AN$14,Dec_Change,$K196)</f>
        <v>1.0254766914318</v>
      </c>
      <c r="AO196" s="1668" t="n">
        <f aca="false">AO195</f>
        <v>1.005</v>
      </c>
      <c r="AP196" s="1675" t="n">
        <f aca="false">IF(AND($A196&gt;=AP$16,MONTH($A196)=MONTH(AP$16)),MAX(AN196,AO196)*AP195,AP195)</f>
        <v>1.44536293026781</v>
      </c>
      <c r="AR196" s="1670" t="n">
        <f aca="false">$A196</f>
        <v>40787</v>
      </c>
      <c r="AS196" s="1671" t="n">
        <f aca="false">IF(AND($A196&gt;=EDATE(AS$17,12),IF(Assm!$L$74=0,$D196,$E196)/AS195&gt;=1.05),IF(Assm!$L$74=0,$D196,$E196),AS195)</f>
        <v>2.64024047948862</v>
      </c>
      <c r="AT196" s="1671" t="n">
        <f aca="false">IF(AS196/AS195=1,AT195,AS196/AS195)</f>
        <v>1.05178373226943</v>
      </c>
      <c r="AU196" s="1671" t="n">
        <f aca="false">F196</f>
        <v>1.072</v>
      </c>
      <c r="AV196" s="1671" t="n">
        <f aca="false">MAX(AT196,AU196)</f>
        <v>1.072</v>
      </c>
      <c r="AW196" s="1675" t="n">
        <f aca="false">IF(AV196=AV195,AW195,AV196*AW195)</f>
        <v>3.0057179991744</v>
      </c>
    </row>
    <row r="197" customFormat="false" ht="12.75" hidden="false" customHeight="false" outlineLevel="0" collapsed="false">
      <c r="A197" s="1673" t="n">
        <f aca="false">EDATE(A196,1)</f>
        <v>40817</v>
      </c>
      <c r="B197" s="1659" t="n">
        <f aca="false">'[4]Monthly Curve Calc.'!B200</f>
        <v>433.09814306985</v>
      </c>
      <c r="C197" s="1660" t="n">
        <f aca="false">'[4]Monthly Curve Calc.'!C200</f>
        <v>234.455888914132</v>
      </c>
      <c r="D197" s="1661" t="n">
        <f aca="false">'[4]Monthly Curve Calc.'!F200</f>
        <v>2.69688041133211</v>
      </c>
      <c r="E197" s="1662" t="n">
        <f aca="false">IF($A197&lt;=E$16,D197,(B197/B196)/(C197/C196)*E196)</f>
        <v>2.25110765834703</v>
      </c>
      <c r="F197" s="1674" t="n">
        <f aca="false">IF(Assm!$L$75=0,F196,IF(AND($A197&gt;F$16,MONTH($A197)=MONTH(F$16)),B196/B184,F196))</f>
        <v>1.072</v>
      </c>
      <c r="G197" s="1668" t="n">
        <f aca="false">IF(Assm!$L$75=0,G196,IF(AND($A197&gt;G$16,MONTH($A197)=MONTH(G$16)),C196/C184,G196))</f>
        <v>1.0254766914318</v>
      </c>
      <c r="H197" s="1668" t="n">
        <f aca="false">IF(Assm!$L$75=0,H196,IF(AND($A197&gt;H$16,MONTH($A197)=MONTH(H$16)),C196/C184-H$18,H196))</f>
        <v>1.0229766914318</v>
      </c>
      <c r="I197" s="1668" t="n">
        <f aca="false">IF(Assm!$L$75=0,I196,IF($A197&gt;=I$16,IF(MONTH($A197)=MONTH(I$16),AVERAGE(D185:D196),I196),I196))</f>
        <v>2.62238057113975</v>
      </c>
      <c r="J197" s="1675" t="n">
        <f aca="false">IF(Assm!$L$75=0,J196,IF($A197&gt;=J$16,IF(MONTH($A197)=MONTH(J$16),AVERAGE(E185:E196),J196),J196))</f>
        <v>2.12565422968144</v>
      </c>
      <c r="K197" s="1624" t="n">
        <f aca="false">K196+1</f>
        <v>185</v>
      </c>
      <c r="L197" s="1667" t="n">
        <f aca="false">HLOOKUP(L$14,Dec_Change,$K197)</f>
        <v>1.0254766914318</v>
      </c>
      <c r="M197" s="1668" t="n">
        <f aca="false">M196</f>
        <v>0</v>
      </c>
      <c r="N197" s="1675" t="n">
        <f aca="false">IF(AND($A197&gt;=N$16,MONTH($A197)=MONTH(N$16)),MAX(L197,M197)*N196,N196)</f>
        <v>1.44536293026781</v>
      </c>
      <c r="P197" s="1667" t="n">
        <f aca="false">HLOOKUP(P$14,Dec_Change,$K197)</f>
        <v>1.072</v>
      </c>
      <c r="Q197" s="1668" t="n">
        <f aca="false">Q196</f>
        <v>0</v>
      </c>
      <c r="R197" s="1675" t="n">
        <f aca="false">IF(AND($A197&gt;=R$16,MONTH($A197)=MONTH(R$16)),MAX(P197,Q197)*R196,R196)</f>
        <v>2.99198913656388</v>
      </c>
      <c r="T197" s="1667" t="n">
        <f aca="false">HLOOKUP(T$14,Dec_Change,$K197)</f>
        <v>1.0254766914318</v>
      </c>
      <c r="U197" s="1668" t="n">
        <f aca="false">U196</f>
        <v>1.005</v>
      </c>
      <c r="V197" s="1675" t="n">
        <f aca="false">IF(AND($A197&gt;=V$16,MONTH($A197)=MONTH(V$16)),MAX(T197,U197)*V196,V196)</f>
        <v>1.44536293026781</v>
      </c>
      <c r="X197" s="1667" t="n">
        <f aca="false">HLOOKUP(X$14,Dec_Change,$K197)</f>
        <v>1.0229766914318</v>
      </c>
      <c r="Y197" s="1668" t="n">
        <f aca="false">Y196</f>
        <v>1.02</v>
      </c>
      <c r="Z197" s="1675" t="n">
        <f aca="false">IF(AND($A197&gt;=Z$16,MONTH($A197)=MONTH(Z$16)),MAX(X197,Y197)*Z196,Z196)</f>
        <v>1.40810210345432</v>
      </c>
      <c r="AB197" s="1667" t="n">
        <f aca="false">HLOOKUP(AB$14,Dec_Change,$K197)</f>
        <v>1.0229766914318</v>
      </c>
      <c r="AC197" s="1668" t="n">
        <f aca="false">AC196</f>
        <v>1.02</v>
      </c>
      <c r="AD197" s="1675" t="n">
        <f aca="false">IF(AND($A197&gt;=AD$16,MONTH($A197)=MONTH(AD$16)),MAX(AB197,AC197)*AD196,AD196)</f>
        <v>1.40810210345432</v>
      </c>
      <c r="AF197" s="1667" t="n">
        <f aca="false">HLOOKUP(AF$14,Dec_Change,$K197)</f>
        <v>1.072</v>
      </c>
      <c r="AG197" s="1668" t="n">
        <f aca="false">AG196</f>
        <v>0</v>
      </c>
      <c r="AH197" s="1675" t="n">
        <f aca="false">IF(AND($A197&gt;=AH$16,MONTH($A197)=MONTH(AH$16)),MAX(AF197,AG197)*AH196,AH196)</f>
        <v>2.99198913656388</v>
      </c>
      <c r="AJ197" s="1667" t="n">
        <f aca="false">HLOOKUP(AJ$14,Dec_Change,$K197)</f>
        <v>1.0229766914318</v>
      </c>
      <c r="AK197" s="1668" t="n">
        <f aca="false">AK196</f>
        <v>1.02</v>
      </c>
      <c r="AL197" s="1675" t="n">
        <f aca="false">IF(AND($A197&gt;=AL$16,MONTH($A197)=MONTH(AL$16)),MAX(AJ197,AK197)*AL196,AL196)</f>
        <v>1.40810210345432</v>
      </c>
      <c r="AN197" s="1667" t="n">
        <f aca="false">HLOOKUP(AN$14,Dec_Change,$K197)</f>
        <v>1.0254766914318</v>
      </c>
      <c r="AO197" s="1668" t="n">
        <f aca="false">AO196</f>
        <v>1.005</v>
      </c>
      <c r="AP197" s="1675" t="n">
        <f aca="false">IF(AND($A197&gt;=AP$16,MONTH($A197)=MONTH(AP$16)),MAX(AN197,AO197)*AP196,AP196)</f>
        <v>1.44536293026781</v>
      </c>
      <c r="AR197" s="1670" t="n">
        <f aca="false">$A197</f>
        <v>40817</v>
      </c>
      <c r="AS197" s="1671" t="n">
        <f aca="false">IF(AND($A197&gt;=EDATE(AS$17,12),IF(Assm!$L$74=0,$D197,$E197)/AS196&gt;=1.05),IF(Assm!$L$74=0,$D197,$E197),AS196)</f>
        <v>2.64024047948862</v>
      </c>
      <c r="AT197" s="1671" t="n">
        <f aca="false">IF(AS197/AS196=1,AT196,AS197/AS196)</f>
        <v>1.05178373226943</v>
      </c>
      <c r="AU197" s="1671" t="n">
        <f aca="false">F197</f>
        <v>1.072</v>
      </c>
      <c r="AV197" s="1671" t="n">
        <f aca="false">MAX(AT197,AU197)</f>
        <v>1.072</v>
      </c>
      <c r="AW197" s="1675" t="n">
        <f aca="false">IF(AV197=AV196,AW196,AV197*AW196)</f>
        <v>3.0057179991744</v>
      </c>
    </row>
    <row r="198" customFormat="false" ht="12.75" hidden="false" customHeight="false" outlineLevel="0" collapsed="false">
      <c r="A198" s="1673" t="n">
        <f aca="false">EDATE(A197,1)</f>
        <v>40848</v>
      </c>
      <c r="B198" s="1659" t="n">
        <f aca="false">'[4]Monthly Curve Calc.'!B201</f>
        <v>435.614727089777</v>
      </c>
      <c r="C198" s="1660" t="n">
        <f aca="false">'[4]Monthly Curve Calc.'!C201</f>
        <v>234.944220369284</v>
      </c>
      <c r="D198" s="1661" t="n">
        <f aca="false">'[4]Monthly Curve Calc.'!F201</f>
        <v>2.70155930431529</v>
      </c>
      <c r="E198" s="1662" t="n">
        <f aca="false">IF($A198&lt;=E$16,D198,(B198/B197)/(C198/C197)*E197)</f>
        <v>2.25948195511883</v>
      </c>
      <c r="F198" s="1674" t="n">
        <f aca="false">IF(Assm!$L$75=0,F197,IF(AND($A198&gt;F$16,MONTH($A198)=MONTH(F$16)),B197/B185,F197))</f>
        <v>1.072</v>
      </c>
      <c r="G198" s="1668" t="n">
        <f aca="false">IF(Assm!$L$75=0,G197,IF(AND($A198&gt;G$16,MONTH($A198)=MONTH(G$16)),C197/C185,G197))</f>
        <v>1.0254766914318</v>
      </c>
      <c r="H198" s="1668" t="n">
        <f aca="false">IF(Assm!$L$75=0,H197,IF(AND($A198&gt;H$16,MONTH($A198)=MONTH(H$16)),C197/C185-H$18,H197))</f>
        <v>1.0229766914318</v>
      </c>
      <c r="I198" s="1668" t="n">
        <f aca="false">IF(Assm!$L$75=0,I197,IF($A198&gt;=I$16,IF(MONTH($A198)=MONTH(I$16),AVERAGE(D186:D197),I197),I197))</f>
        <v>2.62238057113975</v>
      </c>
      <c r="J198" s="1675" t="n">
        <f aca="false">IF(Assm!$L$75=0,J197,IF($A198&gt;=J$16,IF(MONTH($A198)=MONTH(J$16),AVERAGE(E186:E197),J197),J197))</f>
        <v>2.12565422968144</v>
      </c>
      <c r="K198" s="1624" t="n">
        <f aca="false">K197+1</f>
        <v>186</v>
      </c>
      <c r="L198" s="1667" t="n">
        <f aca="false">HLOOKUP(L$14,Dec_Change,$K198)</f>
        <v>1.0254766914318</v>
      </c>
      <c r="M198" s="1668" t="n">
        <f aca="false">M197</f>
        <v>0</v>
      </c>
      <c r="N198" s="1675" t="n">
        <f aca="false">IF(AND($A198&gt;=N$16,MONTH($A198)=MONTH(N$16)),MAX(L198,M198)*N197,N197)</f>
        <v>1.44536293026781</v>
      </c>
      <c r="P198" s="1667" t="n">
        <f aca="false">HLOOKUP(P$14,Dec_Change,$K198)</f>
        <v>1.072</v>
      </c>
      <c r="Q198" s="1668" t="n">
        <f aca="false">Q197</f>
        <v>0</v>
      </c>
      <c r="R198" s="1675" t="n">
        <f aca="false">IF(AND($A198&gt;=R$16,MONTH($A198)=MONTH(R$16)),MAX(P198,Q198)*R197,R197)</f>
        <v>2.99198913656388</v>
      </c>
      <c r="T198" s="1667" t="n">
        <f aca="false">HLOOKUP(T$14,Dec_Change,$K198)</f>
        <v>1.0254766914318</v>
      </c>
      <c r="U198" s="1668" t="n">
        <f aca="false">U197</f>
        <v>1.005</v>
      </c>
      <c r="V198" s="1675" t="n">
        <f aca="false">IF(AND($A198&gt;=V$16,MONTH($A198)=MONTH(V$16)),MAX(T198,U198)*V197,V197)</f>
        <v>1.44536293026781</v>
      </c>
      <c r="X198" s="1667" t="n">
        <f aca="false">HLOOKUP(X$14,Dec_Change,$K198)</f>
        <v>1.0229766914318</v>
      </c>
      <c r="Y198" s="1668" t="n">
        <f aca="false">Y197</f>
        <v>1.02</v>
      </c>
      <c r="Z198" s="1675" t="n">
        <f aca="false">IF(AND($A198&gt;=Z$16,MONTH($A198)=MONTH(Z$16)),MAX(X198,Y198)*Z197,Z197)</f>
        <v>1.40810210345432</v>
      </c>
      <c r="AB198" s="1667" t="n">
        <f aca="false">HLOOKUP(AB$14,Dec_Change,$K198)</f>
        <v>1.0229766914318</v>
      </c>
      <c r="AC198" s="1668" t="n">
        <f aca="false">AC197</f>
        <v>1.02</v>
      </c>
      <c r="AD198" s="1675" t="n">
        <f aca="false">IF(AND($A198&gt;=AD$16,MONTH($A198)=MONTH(AD$16)),MAX(AB198,AC198)*AD197,AD197)</f>
        <v>1.40810210345432</v>
      </c>
      <c r="AF198" s="1667" t="n">
        <f aca="false">HLOOKUP(AF$14,Dec_Change,$K198)</f>
        <v>1.072</v>
      </c>
      <c r="AG198" s="1668" t="n">
        <f aca="false">AG197</f>
        <v>0</v>
      </c>
      <c r="AH198" s="1675" t="n">
        <f aca="false">IF(AND($A198&gt;=AH$16,MONTH($A198)=MONTH(AH$16)),MAX(AF198,AG198)*AH197,AH197)</f>
        <v>2.99198913656388</v>
      </c>
      <c r="AJ198" s="1667" t="n">
        <f aca="false">HLOOKUP(AJ$14,Dec_Change,$K198)</f>
        <v>1.0229766914318</v>
      </c>
      <c r="AK198" s="1668" t="n">
        <f aca="false">AK197</f>
        <v>1.02</v>
      </c>
      <c r="AL198" s="1675" t="n">
        <f aca="false">IF(AND($A198&gt;=AL$16,MONTH($A198)=MONTH(AL$16)),MAX(AJ198,AK198)*AL197,AL197)</f>
        <v>1.40810210345432</v>
      </c>
      <c r="AN198" s="1667" t="n">
        <f aca="false">HLOOKUP(AN$14,Dec_Change,$K198)</f>
        <v>1.0254766914318</v>
      </c>
      <c r="AO198" s="1668" t="n">
        <f aca="false">AO197</f>
        <v>1.005</v>
      </c>
      <c r="AP198" s="1675" t="n">
        <f aca="false">IF(AND($A198&gt;=AP$16,MONTH($A198)=MONTH(AP$16)),MAX(AN198,AO198)*AP197,AP197)</f>
        <v>1.44536293026781</v>
      </c>
      <c r="AR198" s="1670" t="n">
        <f aca="false">$A198</f>
        <v>40848</v>
      </c>
      <c r="AS198" s="1671" t="n">
        <f aca="false">IF(AND($A198&gt;=EDATE(AS$17,12),IF(Assm!$L$74=0,$D198,$E198)/AS197&gt;=1.05),IF(Assm!$L$74=0,$D198,$E198),AS197)</f>
        <v>2.64024047948862</v>
      </c>
      <c r="AT198" s="1671" t="n">
        <f aca="false">IF(AS198/AS197=1,AT197,AS198/AS197)</f>
        <v>1.05178373226943</v>
      </c>
      <c r="AU198" s="1671" t="n">
        <f aca="false">F198</f>
        <v>1.072</v>
      </c>
      <c r="AV198" s="1671" t="n">
        <f aca="false">MAX(AT198,AU198)</f>
        <v>1.072</v>
      </c>
      <c r="AW198" s="1675" t="n">
        <f aca="false">IF(AV198=AV197,AW197,AV198*AW197)</f>
        <v>3.0057179991744</v>
      </c>
    </row>
    <row r="199" customFormat="false" ht="12.75" hidden="false" customHeight="false" outlineLevel="0" collapsed="false">
      <c r="A199" s="1673" t="n">
        <f aca="false">EDATE(A198,1)</f>
        <v>40878</v>
      </c>
      <c r="B199" s="1659" t="n">
        <f aca="false">'[4]Monthly Curve Calc.'!B202</f>
        <v>438.145934111974</v>
      </c>
      <c r="C199" s="1660" t="n">
        <f aca="false">'[4]Monthly Curve Calc.'!C202</f>
        <v>235.433568935207</v>
      </c>
      <c r="D199" s="1661" t="n">
        <f aca="false">'[4]Monthly Curve Calc.'!F202</f>
        <v>2.70624631484031</v>
      </c>
      <c r="E199" s="1662" t="n">
        <f aca="false">IF($A199&lt;=E$16,D199,(B199/B198)/(C199/C198)*E198)</f>
        <v>2.26788740493042</v>
      </c>
      <c r="F199" s="1674" t="n">
        <f aca="false">IF(Assm!$L$75=0,F198,IF(AND($A199&gt;F$16,MONTH($A199)=MONTH(F$16)),B198/B186,F198))</f>
        <v>1.072</v>
      </c>
      <c r="G199" s="1668" t="n">
        <f aca="false">IF(Assm!$L$75=0,G198,IF(AND($A199&gt;G$16,MONTH($A199)=MONTH(G$16)),C198/C186,G198))</f>
        <v>1.0254766914318</v>
      </c>
      <c r="H199" s="1668" t="n">
        <f aca="false">IF(Assm!$L$75=0,H198,IF(AND($A199&gt;H$16,MONTH($A199)=MONTH(H$16)),C198/C186-H$18,H198))</f>
        <v>1.0229766914318</v>
      </c>
      <c r="I199" s="1668" t="n">
        <f aca="false">IF(Assm!$L$75=0,I198,IF($A199&gt;=I$16,IF(MONTH($A199)=MONTH(I$16),AVERAGE(D187:D198),I198),I198))</f>
        <v>2.62238057113975</v>
      </c>
      <c r="J199" s="1675" t="n">
        <f aca="false">IF(Assm!$L$75=0,J198,IF($A199&gt;=J$16,IF(MONTH($A199)=MONTH(J$16),AVERAGE(E187:E198),J198),J198))</f>
        <v>2.12565422968144</v>
      </c>
      <c r="K199" s="1624" t="n">
        <f aca="false">K198+1</f>
        <v>187</v>
      </c>
      <c r="L199" s="1667" t="n">
        <f aca="false">HLOOKUP(L$14,Dec_Change,$K199)</f>
        <v>1.0254766914318</v>
      </c>
      <c r="M199" s="1668" t="n">
        <f aca="false">M198</f>
        <v>0</v>
      </c>
      <c r="N199" s="1675" t="n">
        <f aca="false">IF(AND($A199&gt;=N$16,MONTH($A199)=MONTH(N$16)),MAX(L199,M199)*N198,N198)</f>
        <v>1.44536293026781</v>
      </c>
      <c r="P199" s="1667" t="n">
        <f aca="false">HLOOKUP(P$14,Dec_Change,$K199)</f>
        <v>1.072</v>
      </c>
      <c r="Q199" s="1668" t="n">
        <f aca="false">Q198</f>
        <v>0</v>
      </c>
      <c r="R199" s="1675" t="n">
        <f aca="false">IF(AND($A199&gt;=R$16,MONTH($A199)=MONTH(R$16)),MAX(P199,Q199)*R198,R198)</f>
        <v>2.99198913656388</v>
      </c>
      <c r="T199" s="1667" t="n">
        <f aca="false">HLOOKUP(T$14,Dec_Change,$K199)</f>
        <v>1.0254766914318</v>
      </c>
      <c r="U199" s="1668" t="n">
        <f aca="false">U198</f>
        <v>1.005</v>
      </c>
      <c r="V199" s="1675" t="n">
        <f aca="false">IF(AND($A199&gt;=V$16,MONTH($A199)=MONTH(V$16)),MAX(T199,U199)*V198,V198)</f>
        <v>1.44536293026781</v>
      </c>
      <c r="X199" s="1667" t="n">
        <f aca="false">HLOOKUP(X$14,Dec_Change,$K199)</f>
        <v>1.0229766914318</v>
      </c>
      <c r="Y199" s="1668" t="n">
        <f aca="false">Y198</f>
        <v>1.02</v>
      </c>
      <c r="Z199" s="1675" t="n">
        <f aca="false">IF(AND($A199&gt;=Z$16,MONTH($A199)=MONTH(Z$16)),MAX(X199,Y199)*Z198,Z198)</f>
        <v>1.40810210345432</v>
      </c>
      <c r="AB199" s="1667" t="n">
        <f aca="false">HLOOKUP(AB$14,Dec_Change,$K199)</f>
        <v>1.0229766914318</v>
      </c>
      <c r="AC199" s="1668" t="n">
        <f aca="false">AC198</f>
        <v>1.02</v>
      </c>
      <c r="AD199" s="1675" t="n">
        <f aca="false">IF(AND($A199&gt;=AD$16,MONTH($A199)=MONTH(AD$16)),MAX(AB199,AC199)*AD198,AD198)</f>
        <v>1.40810210345432</v>
      </c>
      <c r="AF199" s="1667" t="n">
        <f aca="false">HLOOKUP(AF$14,Dec_Change,$K199)</f>
        <v>1.072</v>
      </c>
      <c r="AG199" s="1668" t="n">
        <f aca="false">AG198</f>
        <v>0</v>
      </c>
      <c r="AH199" s="1675" t="n">
        <f aca="false">IF(AND($A199&gt;=AH$16,MONTH($A199)=MONTH(AH$16)),MAX(AF199,AG199)*AH198,AH198)</f>
        <v>2.99198913656388</v>
      </c>
      <c r="AJ199" s="1667" t="n">
        <f aca="false">HLOOKUP(AJ$14,Dec_Change,$K199)</f>
        <v>1.0229766914318</v>
      </c>
      <c r="AK199" s="1668" t="n">
        <f aca="false">AK198</f>
        <v>1.02</v>
      </c>
      <c r="AL199" s="1675" t="n">
        <f aca="false">IF(AND($A199&gt;=AL$16,MONTH($A199)=MONTH(AL$16)),MAX(AJ199,AK199)*AL198,AL198)</f>
        <v>1.40810210345432</v>
      </c>
      <c r="AN199" s="1667" t="n">
        <f aca="false">HLOOKUP(AN$14,Dec_Change,$K199)</f>
        <v>1.0254766914318</v>
      </c>
      <c r="AO199" s="1668" t="n">
        <f aca="false">AO198</f>
        <v>1.005</v>
      </c>
      <c r="AP199" s="1675" t="n">
        <f aca="false">IF(AND($A199&gt;=AP$16,MONTH($A199)=MONTH(AP$16)),MAX(AN199,AO199)*AP198,AP198)</f>
        <v>1.44536293026781</v>
      </c>
      <c r="AR199" s="1670" t="n">
        <f aca="false">$A199</f>
        <v>40878</v>
      </c>
      <c r="AS199" s="1671" t="n">
        <f aca="false">IF(AND($A199&gt;=EDATE(AS$17,12),IF(Assm!$L$74=0,$D199,$E199)/AS198&gt;=1.05),IF(Assm!$L$74=0,$D199,$E199),AS198)</f>
        <v>2.64024047948862</v>
      </c>
      <c r="AT199" s="1671" t="n">
        <f aca="false">IF(AS199/AS198=1,AT198,AS199/AS198)</f>
        <v>1.05178373226943</v>
      </c>
      <c r="AU199" s="1671" t="n">
        <f aca="false">F199</f>
        <v>1.072</v>
      </c>
      <c r="AV199" s="1671" t="n">
        <f aca="false">MAX(AT199,AU199)</f>
        <v>1.072</v>
      </c>
      <c r="AW199" s="1675" t="n">
        <f aca="false">IF(AV199=AV198,AW198,AV199*AW198)</f>
        <v>3.0057179991744</v>
      </c>
    </row>
    <row r="200" customFormat="false" ht="12.75" hidden="false" customHeight="false" outlineLevel="0" collapsed="false">
      <c r="A200" s="1673" t="n">
        <f aca="false">EDATE(A199,1)</f>
        <v>40909</v>
      </c>
      <c r="B200" s="1659" t="n">
        <f aca="false">'[4]Monthly Curve Calc.'!B203</f>
        <v>440.691849105666</v>
      </c>
      <c r="C200" s="1660" t="n">
        <f aca="false">'[4]Monthly Curve Calc.'!C203</f>
        <v>235.920101317146</v>
      </c>
      <c r="D200" s="1661" t="n">
        <f aca="false">'[4]Monthly Curve Calc.'!F203</f>
        <v>2.71071337566439</v>
      </c>
      <c r="E200" s="1662" t="n">
        <f aca="false">IF($A200&lt;=E$16,D200,(B200/B199)/(C200/C199)*E199)</f>
        <v>2.27636113045504</v>
      </c>
      <c r="F200" s="1674" t="n">
        <f aca="false">IF(Assm!$L$75=0,F199,IF(AND($A200&gt;F$16,MONTH($A200)=MONTH(F$16)),B199/B187,F199))</f>
        <v>1.072</v>
      </c>
      <c r="G200" s="1668" t="n">
        <f aca="false">IF(Assm!$L$75=0,G199,IF(AND($A200&gt;G$16,MONTH($A200)=MONTH(G$16)),C199/C187,G199))</f>
        <v>1.0254766914318</v>
      </c>
      <c r="H200" s="1668" t="n">
        <f aca="false">IF(Assm!$L$75=0,H199,IF(AND($A200&gt;H$16,MONTH($A200)=MONTH(H$16)),C199/C187-H$18,H199))</f>
        <v>1.0229766914318</v>
      </c>
      <c r="I200" s="1668" t="n">
        <f aca="false">IF(Assm!$L$75=0,I199,IF($A200&gt;=I$16,IF(MONTH($A200)=MONTH(I$16),AVERAGE(D188:D199),I199),I199))</f>
        <v>2.68061600022471</v>
      </c>
      <c r="J200" s="1675" t="n">
        <f aca="false">IF(Assm!$L$75=0,J199,IF($A200&gt;=J$16,IF(MONTH($A200)=MONTH(J$16),AVERAGE(E188:E199),J199),J199))</f>
        <v>2.22222383533482</v>
      </c>
      <c r="K200" s="1624" t="n">
        <f aca="false">K199+1</f>
        <v>188</v>
      </c>
      <c r="L200" s="1667" t="n">
        <f aca="false">HLOOKUP(L$14,Dec_Change,$K200)</f>
        <v>1.0254766914318</v>
      </c>
      <c r="M200" s="1668" t="n">
        <f aca="false">M199</f>
        <v>0</v>
      </c>
      <c r="N200" s="1675" t="n">
        <f aca="false">IF(AND($A200&gt;=N$16,MONTH($A200)=MONTH(N$16)),MAX(L200,M200)*N199,N199)</f>
        <v>1.44536293026781</v>
      </c>
      <c r="P200" s="1667" t="n">
        <f aca="false">HLOOKUP(P$14,Dec_Change,$K200)</f>
        <v>1.072</v>
      </c>
      <c r="Q200" s="1668" t="n">
        <f aca="false">Q199</f>
        <v>0</v>
      </c>
      <c r="R200" s="1675" t="n">
        <f aca="false">IF(AND($A200&gt;=R$16,MONTH($A200)=MONTH(R$16)),MAX(P200,Q200)*R199,R199)</f>
        <v>2.99198913656388</v>
      </c>
      <c r="T200" s="1667" t="n">
        <f aca="false">HLOOKUP(T$14,Dec_Change,$K200)</f>
        <v>1.0254766914318</v>
      </c>
      <c r="U200" s="1668" t="n">
        <f aca="false">U199</f>
        <v>1.005</v>
      </c>
      <c r="V200" s="1675" t="n">
        <f aca="false">IF(AND($A200&gt;=V$16,MONTH($A200)=MONTH(V$16)),MAX(T200,U200)*V199,V199)</f>
        <v>1.44536293026781</v>
      </c>
      <c r="X200" s="1667" t="n">
        <f aca="false">HLOOKUP(X$14,Dec_Change,$K200)</f>
        <v>1.0229766914318</v>
      </c>
      <c r="Y200" s="1668" t="n">
        <f aca="false">Y199</f>
        <v>1.02</v>
      </c>
      <c r="Z200" s="1675" t="n">
        <f aca="false">IF(AND($A200&gt;=Z$16,MONTH($A200)=MONTH(Z$16)),MAX(X200,Y200)*Z199,Z199)</f>
        <v>1.40810210345432</v>
      </c>
      <c r="AB200" s="1667" t="n">
        <f aca="false">HLOOKUP(AB$14,Dec_Change,$K200)</f>
        <v>1.0229766914318</v>
      </c>
      <c r="AC200" s="1668" t="n">
        <f aca="false">AC199</f>
        <v>1.02</v>
      </c>
      <c r="AD200" s="1675" t="n">
        <f aca="false">IF(AND($A200&gt;=AD$16,MONTH($A200)=MONTH(AD$16)),MAX(AB200,AC200)*AD199,AD199)</f>
        <v>1.40810210345432</v>
      </c>
      <c r="AF200" s="1667" t="n">
        <f aca="false">HLOOKUP(AF$14,Dec_Change,$K200)</f>
        <v>1.072</v>
      </c>
      <c r="AG200" s="1668" t="n">
        <f aca="false">AG199</f>
        <v>0</v>
      </c>
      <c r="AH200" s="1675" t="n">
        <f aca="false">IF(AND($A200&gt;=AH$16,MONTH($A200)=MONTH(AH$16)),MAX(AF200,AG200)*AH199,AH199)</f>
        <v>2.99198913656388</v>
      </c>
      <c r="AJ200" s="1667" t="n">
        <f aca="false">HLOOKUP(AJ$14,Dec_Change,$K200)</f>
        <v>1.0229766914318</v>
      </c>
      <c r="AK200" s="1668" t="n">
        <f aca="false">AK199</f>
        <v>1.02</v>
      </c>
      <c r="AL200" s="1675" t="n">
        <f aca="false">IF(AND($A200&gt;=AL$16,MONTH($A200)=MONTH(AL$16)),MAX(AJ200,AK200)*AL199,AL199)</f>
        <v>1.40810210345432</v>
      </c>
      <c r="AN200" s="1667" t="n">
        <f aca="false">HLOOKUP(AN$14,Dec_Change,$K200)</f>
        <v>1.0254766914318</v>
      </c>
      <c r="AO200" s="1668" t="n">
        <f aca="false">AO199</f>
        <v>1.005</v>
      </c>
      <c r="AP200" s="1675" t="n">
        <f aca="false">IF(AND($A200&gt;=AP$16,MONTH($A200)=MONTH(AP$16)),MAX(AN200,AO200)*AP199,AP199)</f>
        <v>1.44536293026781</v>
      </c>
      <c r="AR200" s="1670" t="n">
        <f aca="false">$A200</f>
        <v>40909</v>
      </c>
      <c r="AS200" s="1671" t="n">
        <f aca="false">IF(AND($A200&gt;=EDATE(AS$17,12),IF(Assm!$L$74=0,$D200,$E200)/AS199&gt;=1.05),IF(Assm!$L$74=0,$D200,$E200),AS199)</f>
        <v>2.64024047948862</v>
      </c>
      <c r="AT200" s="1671" t="n">
        <f aca="false">IF(AS200/AS199=1,AT199,AS200/AS199)</f>
        <v>1.05178373226943</v>
      </c>
      <c r="AU200" s="1671" t="n">
        <f aca="false">F200</f>
        <v>1.072</v>
      </c>
      <c r="AV200" s="1671" t="n">
        <f aca="false">MAX(AT200,AU200)</f>
        <v>1.072</v>
      </c>
      <c r="AW200" s="1675" t="n">
        <f aca="false">IF(AV200=AV199,AW199,AV200*AW199)</f>
        <v>3.0057179991744</v>
      </c>
    </row>
    <row r="201" customFormat="false" ht="12.75" hidden="false" customHeight="false" outlineLevel="0" collapsed="false">
      <c r="A201" s="1673" t="n">
        <f aca="false">EDATE(A200,1)</f>
        <v>40940</v>
      </c>
      <c r="B201" s="1659" t="n">
        <f aca="false">'[4]Monthly Curve Calc.'!B204</f>
        <v>443.252557533807</v>
      </c>
      <c r="C201" s="1660" t="n">
        <f aca="false">'[4]Monthly Curve Calc.'!C204</f>
        <v>236.407639136668</v>
      </c>
      <c r="D201" s="1661" t="n">
        <f aca="false">'[4]Monthly Curve Calc.'!F204</f>
        <v>2.71518781003473</v>
      </c>
      <c r="E201" s="1662" t="n">
        <f aca="false">IF($A201&lt;=E$16,D201,(B201/B200)/(C201/C200)*E200)</f>
        <v>2.28486651717419</v>
      </c>
      <c r="F201" s="1674" t="n">
        <f aca="false">IF(Assm!$L$75=0,F200,IF(AND($A201&gt;F$16,MONTH($A201)=MONTH(F$16)),B200/B188,F200))</f>
        <v>1.072</v>
      </c>
      <c r="G201" s="1668" t="n">
        <f aca="false">IF(Assm!$L$75=0,G200,IF(AND($A201&gt;G$16,MONTH($A201)=MONTH(G$16)),C200/C188,G200))</f>
        <v>1.0254766914318</v>
      </c>
      <c r="H201" s="1668" t="n">
        <f aca="false">IF(Assm!$L$75=0,H200,IF(AND($A201&gt;H$16,MONTH($A201)=MONTH(H$16)),C200/C188-H$18,H200))</f>
        <v>1.0229766914318</v>
      </c>
      <c r="I201" s="1668" t="n">
        <f aca="false">IF(Assm!$L$75=0,I200,IF($A201&gt;=I$16,IF(MONTH($A201)=MONTH(I$16),AVERAGE(D189:D200),I200),I200))</f>
        <v>2.68061600022471</v>
      </c>
      <c r="J201" s="1675" t="n">
        <f aca="false">IF(Assm!$L$75=0,J200,IF($A201&gt;=J$16,IF(MONTH($A201)=MONTH(J$16),AVERAGE(E189:E200),J200),J200))</f>
        <v>2.22222383533482</v>
      </c>
      <c r="K201" s="1624" t="n">
        <f aca="false">K200+1</f>
        <v>189</v>
      </c>
      <c r="L201" s="1667" t="n">
        <f aca="false">HLOOKUP(L$14,Dec_Change,$K201)</f>
        <v>1.0254766914318</v>
      </c>
      <c r="M201" s="1668" t="n">
        <f aca="false">M200</f>
        <v>0</v>
      </c>
      <c r="N201" s="1675" t="n">
        <f aca="false">IF(AND($A201&gt;=N$16,MONTH($A201)=MONTH(N$16)),MAX(L201,M201)*N200,N200)</f>
        <v>1.44536293026781</v>
      </c>
      <c r="P201" s="1667" t="n">
        <f aca="false">HLOOKUP(P$14,Dec_Change,$K201)</f>
        <v>1.072</v>
      </c>
      <c r="Q201" s="1668" t="n">
        <f aca="false">Q200</f>
        <v>0</v>
      </c>
      <c r="R201" s="1675" t="n">
        <f aca="false">IF(AND($A201&gt;=R$16,MONTH($A201)=MONTH(R$16)),MAX(P201,Q201)*R200,R200)</f>
        <v>2.99198913656388</v>
      </c>
      <c r="T201" s="1667" t="n">
        <f aca="false">HLOOKUP(T$14,Dec_Change,$K201)</f>
        <v>1.0254766914318</v>
      </c>
      <c r="U201" s="1668" t="n">
        <f aca="false">U200</f>
        <v>1.005</v>
      </c>
      <c r="V201" s="1675" t="n">
        <f aca="false">IF(AND($A201&gt;=V$16,MONTH($A201)=MONTH(V$16)),MAX(T201,U201)*V200,V200)</f>
        <v>1.44536293026781</v>
      </c>
      <c r="X201" s="1667" t="n">
        <f aca="false">HLOOKUP(X$14,Dec_Change,$K201)</f>
        <v>1.0229766914318</v>
      </c>
      <c r="Y201" s="1668" t="n">
        <f aca="false">Y200</f>
        <v>1.02</v>
      </c>
      <c r="Z201" s="1675" t="n">
        <f aca="false">IF(AND($A201&gt;=Z$16,MONTH($A201)=MONTH(Z$16)),MAX(X201,Y201)*Z200,Z200)</f>
        <v>1.40810210345432</v>
      </c>
      <c r="AB201" s="1667" t="n">
        <f aca="false">HLOOKUP(AB$14,Dec_Change,$K201)</f>
        <v>1.0229766914318</v>
      </c>
      <c r="AC201" s="1668" t="n">
        <f aca="false">AC200</f>
        <v>1.02</v>
      </c>
      <c r="AD201" s="1675" t="n">
        <f aca="false">IF(AND($A201&gt;=AD$16,MONTH($A201)=MONTH(AD$16)),MAX(AB201,AC201)*AD200,AD200)</f>
        <v>1.40810210345432</v>
      </c>
      <c r="AF201" s="1667" t="n">
        <f aca="false">HLOOKUP(AF$14,Dec_Change,$K201)</f>
        <v>1.072</v>
      </c>
      <c r="AG201" s="1668" t="n">
        <f aca="false">AG200</f>
        <v>0</v>
      </c>
      <c r="AH201" s="1675" t="n">
        <f aca="false">IF(AND($A201&gt;=AH$16,MONTH($A201)=MONTH(AH$16)),MAX(AF201,AG201)*AH200,AH200)</f>
        <v>2.99198913656388</v>
      </c>
      <c r="AJ201" s="1667" t="n">
        <f aca="false">HLOOKUP(AJ$14,Dec_Change,$K201)</f>
        <v>1.0229766914318</v>
      </c>
      <c r="AK201" s="1668" t="n">
        <f aca="false">AK200</f>
        <v>1.02</v>
      </c>
      <c r="AL201" s="1675" t="n">
        <f aca="false">IF(AND($A201&gt;=AL$16,MONTH($A201)=MONTH(AL$16)),MAX(AJ201,AK201)*AL200,AL200)</f>
        <v>1.40810210345432</v>
      </c>
      <c r="AN201" s="1667" t="n">
        <f aca="false">HLOOKUP(AN$14,Dec_Change,$K201)</f>
        <v>1.0254766914318</v>
      </c>
      <c r="AO201" s="1668" t="n">
        <f aca="false">AO200</f>
        <v>1.005</v>
      </c>
      <c r="AP201" s="1675" t="n">
        <f aca="false">IF(AND($A201&gt;=AP$16,MONTH($A201)=MONTH(AP$16)),MAX(AN201,AO201)*AP200,AP200)</f>
        <v>1.44536293026781</v>
      </c>
      <c r="AR201" s="1670" t="n">
        <f aca="false">$A201</f>
        <v>40940</v>
      </c>
      <c r="AS201" s="1671" t="n">
        <f aca="false">IF(AND($A201&gt;=EDATE(AS$17,12),IF(Assm!$L$74=0,$D201,$E201)/AS200&gt;=1.05),IF(Assm!$L$74=0,$D201,$E201),AS200)</f>
        <v>2.64024047948862</v>
      </c>
      <c r="AT201" s="1671" t="n">
        <f aca="false">IF(AS201/AS200=1,AT200,AS201/AS200)</f>
        <v>1.05178373226943</v>
      </c>
      <c r="AU201" s="1671" t="n">
        <f aca="false">F201</f>
        <v>1.072</v>
      </c>
      <c r="AV201" s="1671" t="n">
        <f aca="false">MAX(AT201,AU201)</f>
        <v>1.072</v>
      </c>
      <c r="AW201" s="1675" t="n">
        <f aca="false">IF(AV201=AV200,AW200,AV201*AW200)</f>
        <v>3.0057179991744</v>
      </c>
    </row>
    <row r="202" customFormat="false" ht="12.75" hidden="false" customHeight="false" outlineLevel="0" collapsed="false">
      <c r="A202" s="1673" t="n">
        <f aca="false">EDATE(A201,1)</f>
        <v>40969</v>
      </c>
      <c r="B202" s="1659" t="n">
        <f aca="false">'[4]Monthly Curve Calc.'!B205</f>
        <v>445.828145355945</v>
      </c>
      <c r="C202" s="1660" t="n">
        <f aca="false">'[4]Monthly Curve Calc.'!C205</f>
        <v>236.896184471549</v>
      </c>
      <c r="D202" s="1661" t="n">
        <f aca="false">'[4]Monthly Curve Calc.'!F205</f>
        <v>2.71966963012247</v>
      </c>
      <c r="E202" s="1662" t="n">
        <f aca="false">IF($A202&lt;=E$16,D202,(B202/B201)/(C202/C201)*E201)</f>
        <v>2.29340368338661</v>
      </c>
      <c r="F202" s="1674" t="n">
        <f aca="false">IF(Assm!$L$75=0,F201,IF(AND($A202&gt;F$16,MONTH($A202)=MONTH(F$16)),B201/B189,F201))</f>
        <v>1.072</v>
      </c>
      <c r="G202" s="1668" t="n">
        <f aca="false">IF(Assm!$L$75=0,G201,IF(AND($A202&gt;G$16,MONTH($A202)=MONTH(G$16)),C201/C189,G201))</f>
        <v>1.0254766914318</v>
      </c>
      <c r="H202" s="1668" t="n">
        <f aca="false">IF(Assm!$L$75=0,H201,IF(AND($A202&gt;H$16,MONTH($A202)=MONTH(H$16)),C201/C189-H$18,H201))</f>
        <v>1.0229766914318</v>
      </c>
      <c r="I202" s="1668" t="n">
        <f aca="false">IF(Assm!$L$75=0,I201,IF($A202&gt;=I$16,IF(MONTH($A202)=MONTH(I$16),AVERAGE(D190:D201),I201),I201))</f>
        <v>2.68061600022471</v>
      </c>
      <c r="J202" s="1675" t="n">
        <f aca="false">IF(Assm!$L$75=0,J201,IF($A202&gt;=J$16,IF(MONTH($A202)=MONTH(J$16),AVERAGE(E190:E201),J201),J201))</f>
        <v>2.22222383533482</v>
      </c>
      <c r="K202" s="1624" t="n">
        <f aca="false">K201+1</f>
        <v>190</v>
      </c>
      <c r="L202" s="1667" t="n">
        <f aca="false">HLOOKUP(L$14,Dec_Change,$K202)</f>
        <v>1.0254766914318</v>
      </c>
      <c r="M202" s="1668" t="n">
        <f aca="false">M201</f>
        <v>0</v>
      </c>
      <c r="N202" s="1675" t="n">
        <f aca="false">IF(AND($A202&gt;=N$16,MONTH($A202)=MONTH(N$16)),MAX(L202,M202)*N201,N201)</f>
        <v>1.44536293026781</v>
      </c>
      <c r="P202" s="1667" t="n">
        <f aca="false">HLOOKUP(P$14,Dec_Change,$K202)</f>
        <v>1.072</v>
      </c>
      <c r="Q202" s="1668" t="n">
        <f aca="false">Q201</f>
        <v>0</v>
      </c>
      <c r="R202" s="1675" t="n">
        <f aca="false">IF(AND($A202&gt;=R$16,MONTH($A202)=MONTH(R$16)),MAX(P202,Q202)*R201,R201)</f>
        <v>2.99198913656388</v>
      </c>
      <c r="T202" s="1667" t="n">
        <f aca="false">HLOOKUP(T$14,Dec_Change,$K202)</f>
        <v>1.0254766914318</v>
      </c>
      <c r="U202" s="1668" t="n">
        <f aca="false">U201</f>
        <v>1.005</v>
      </c>
      <c r="V202" s="1675" t="n">
        <f aca="false">IF(AND($A202&gt;=V$16,MONTH($A202)=MONTH(V$16)),MAX(T202,U202)*V201,V201)</f>
        <v>1.44536293026781</v>
      </c>
      <c r="X202" s="1667" t="n">
        <f aca="false">HLOOKUP(X$14,Dec_Change,$K202)</f>
        <v>1.0229766914318</v>
      </c>
      <c r="Y202" s="1668" t="n">
        <f aca="false">Y201</f>
        <v>1.02</v>
      </c>
      <c r="Z202" s="1675" t="n">
        <f aca="false">IF(AND($A202&gt;=Z$16,MONTH($A202)=MONTH(Z$16)),MAX(X202,Y202)*Z201,Z201)</f>
        <v>1.40810210345432</v>
      </c>
      <c r="AB202" s="1667" t="n">
        <f aca="false">HLOOKUP(AB$14,Dec_Change,$K202)</f>
        <v>1.0229766914318</v>
      </c>
      <c r="AC202" s="1668" t="n">
        <f aca="false">AC201</f>
        <v>1.02</v>
      </c>
      <c r="AD202" s="1675" t="n">
        <f aca="false">IF(AND($A202&gt;=AD$16,MONTH($A202)=MONTH(AD$16)),MAX(AB202,AC202)*AD201,AD201)</f>
        <v>1.40810210345432</v>
      </c>
      <c r="AF202" s="1667" t="n">
        <f aca="false">HLOOKUP(AF$14,Dec_Change,$K202)</f>
        <v>1.072</v>
      </c>
      <c r="AG202" s="1668" t="n">
        <f aca="false">AG201</f>
        <v>0</v>
      </c>
      <c r="AH202" s="1675" t="n">
        <f aca="false">IF(AND($A202&gt;=AH$16,MONTH($A202)=MONTH(AH$16)),MAX(AF202,AG202)*AH201,AH201)</f>
        <v>2.99198913656388</v>
      </c>
      <c r="AJ202" s="1667" t="n">
        <f aca="false">HLOOKUP(AJ$14,Dec_Change,$K202)</f>
        <v>1.0229766914318</v>
      </c>
      <c r="AK202" s="1668" t="n">
        <f aca="false">AK201</f>
        <v>1.02</v>
      </c>
      <c r="AL202" s="1675" t="n">
        <f aca="false">IF(AND($A202&gt;=AL$16,MONTH($A202)=MONTH(AL$16)),MAX(AJ202,AK202)*AL201,AL201)</f>
        <v>1.40810210345432</v>
      </c>
      <c r="AN202" s="1667" t="n">
        <f aca="false">HLOOKUP(AN$14,Dec_Change,$K202)</f>
        <v>1.0254766914318</v>
      </c>
      <c r="AO202" s="1668" t="n">
        <f aca="false">AO201</f>
        <v>1.005</v>
      </c>
      <c r="AP202" s="1675" t="n">
        <f aca="false">IF(AND($A202&gt;=AP$16,MONTH($A202)=MONTH(AP$16)),MAX(AN202,AO202)*AP201,AP201)</f>
        <v>1.44536293026781</v>
      </c>
      <c r="AR202" s="1670" t="n">
        <f aca="false">$A202</f>
        <v>40969</v>
      </c>
      <c r="AS202" s="1671" t="n">
        <f aca="false">IF(AND($A202&gt;=EDATE(AS$17,12),IF(Assm!$L$74=0,$D202,$E202)/AS201&gt;=1.05),IF(Assm!$L$74=0,$D202,$E202),AS201)</f>
        <v>2.64024047948862</v>
      </c>
      <c r="AT202" s="1671" t="n">
        <f aca="false">IF(AS202/AS201=1,AT201,AS202/AS201)</f>
        <v>1.05178373226943</v>
      </c>
      <c r="AU202" s="1671" t="n">
        <f aca="false">F202</f>
        <v>1.072</v>
      </c>
      <c r="AV202" s="1671" t="n">
        <f aca="false">MAX(AT202,AU202)</f>
        <v>1.072</v>
      </c>
      <c r="AW202" s="1675" t="n">
        <f aca="false">IF(AV202=AV201,AW201,AV202*AW201)</f>
        <v>3.0057179991744</v>
      </c>
    </row>
    <row r="203" customFormat="false" ht="12.75" hidden="false" customHeight="false" outlineLevel="0" collapsed="false">
      <c r="A203" s="1673" t="n">
        <f aca="false">EDATE(A202,1)</f>
        <v>41000</v>
      </c>
      <c r="B203" s="1659" t="n">
        <f aca="false">'[4]Monthly Curve Calc.'!B206</f>
        <v>448.418699031109</v>
      </c>
      <c r="C203" s="1660" t="n">
        <f aca="false">'[4]Monthly Curve Calc.'!C206</f>
        <v>237.385739403857</v>
      </c>
      <c r="D203" s="1661" t="n">
        <f aca="false">'[4]Monthly Curve Calc.'!F206</f>
        <v>2.72415884811883</v>
      </c>
      <c r="E203" s="1662" t="n">
        <f aca="false">IF($A203&lt;=E$16,D203,(B203/B202)/(C203/C202)*E202)</f>
        <v>2.30197274783308</v>
      </c>
      <c r="F203" s="1674" t="n">
        <f aca="false">IF(Assm!$L$75=0,F202,IF(AND($A203&gt;F$16,MONTH($A203)=MONTH(F$16)),B202/B190,F202))</f>
        <v>1.072</v>
      </c>
      <c r="G203" s="1668" t="n">
        <f aca="false">IF(Assm!$L$75=0,G202,IF(AND($A203&gt;G$16,MONTH($A203)=MONTH(G$16)),C202/C190,G202))</f>
        <v>1.0254766914318</v>
      </c>
      <c r="H203" s="1668" t="n">
        <f aca="false">IF(Assm!$L$75=0,H202,IF(AND($A203&gt;H$16,MONTH($A203)=MONTH(H$16)),C202/C190-H$18,H202))</f>
        <v>1.0229766914318</v>
      </c>
      <c r="I203" s="1668" t="n">
        <f aca="false">IF(Assm!$L$75=0,I202,IF($A203&gt;=I$16,IF(MONTH($A203)=MONTH(I$16),AVERAGE(D191:D202),I202),I202))</f>
        <v>2.68061600022471</v>
      </c>
      <c r="J203" s="1675" t="n">
        <f aca="false">IF(Assm!$L$75=0,J202,IF($A203&gt;=J$16,IF(MONTH($A203)=MONTH(J$16),AVERAGE(E191:E202),J202),J202))</f>
        <v>2.22222383533482</v>
      </c>
      <c r="K203" s="1624" t="n">
        <f aca="false">K202+1</f>
        <v>191</v>
      </c>
      <c r="L203" s="1667" t="n">
        <f aca="false">HLOOKUP(L$14,Dec_Change,$K203)</f>
        <v>1.0254766914318</v>
      </c>
      <c r="M203" s="1668" t="n">
        <f aca="false">M202</f>
        <v>0</v>
      </c>
      <c r="N203" s="1675" t="n">
        <f aca="false">IF(AND($A203&gt;=N$16,MONTH($A203)=MONTH(N$16)),MAX(L203,M203)*N202,N202)</f>
        <v>1.44536293026781</v>
      </c>
      <c r="P203" s="1667" t="n">
        <f aca="false">HLOOKUP(P$14,Dec_Change,$K203)</f>
        <v>1.072</v>
      </c>
      <c r="Q203" s="1668" t="n">
        <f aca="false">Q202</f>
        <v>0</v>
      </c>
      <c r="R203" s="1675" t="n">
        <f aca="false">IF(AND($A203&gt;=R$16,MONTH($A203)=MONTH(R$16)),MAX(P203,Q203)*R202,R202)</f>
        <v>2.99198913656388</v>
      </c>
      <c r="T203" s="1667" t="n">
        <f aca="false">HLOOKUP(T$14,Dec_Change,$K203)</f>
        <v>1.0254766914318</v>
      </c>
      <c r="U203" s="1668" t="n">
        <f aca="false">U202</f>
        <v>1.005</v>
      </c>
      <c r="V203" s="1675" t="n">
        <f aca="false">IF(AND($A203&gt;=V$16,MONTH($A203)=MONTH(V$16)),MAX(T203,U203)*V202,V202)</f>
        <v>1.44536293026781</v>
      </c>
      <c r="X203" s="1667" t="n">
        <f aca="false">HLOOKUP(X$14,Dec_Change,$K203)</f>
        <v>1.0229766914318</v>
      </c>
      <c r="Y203" s="1668" t="n">
        <f aca="false">Y202</f>
        <v>1.02</v>
      </c>
      <c r="Z203" s="1675" t="n">
        <f aca="false">IF(AND($A203&gt;=Z$16,MONTH($A203)=MONTH(Z$16)),MAX(X203,Y203)*Z202,Z202)</f>
        <v>1.40810210345432</v>
      </c>
      <c r="AB203" s="1667" t="n">
        <f aca="false">HLOOKUP(AB$14,Dec_Change,$K203)</f>
        <v>1.0229766914318</v>
      </c>
      <c r="AC203" s="1668" t="n">
        <f aca="false">AC202</f>
        <v>1.02</v>
      </c>
      <c r="AD203" s="1675" t="n">
        <f aca="false">IF(AND($A203&gt;=AD$16,MONTH($A203)=MONTH(AD$16)),MAX(AB203,AC203)*AD202,AD202)</f>
        <v>1.40810210345432</v>
      </c>
      <c r="AF203" s="1667" t="n">
        <f aca="false">HLOOKUP(AF$14,Dec_Change,$K203)</f>
        <v>1.072</v>
      </c>
      <c r="AG203" s="1668" t="n">
        <f aca="false">AG202</f>
        <v>0</v>
      </c>
      <c r="AH203" s="1675" t="n">
        <f aca="false">IF(AND($A203&gt;=AH$16,MONTH($A203)=MONTH(AH$16)),MAX(AF203,AG203)*AH202,AH202)</f>
        <v>2.99198913656388</v>
      </c>
      <c r="AJ203" s="1667" t="n">
        <f aca="false">HLOOKUP(AJ$14,Dec_Change,$K203)</f>
        <v>1.0229766914318</v>
      </c>
      <c r="AK203" s="1668" t="n">
        <f aca="false">AK202</f>
        <v>1.02</v>
      </c>
      <c r="AL203" s="1675" t="n">
        <f aca="false">IF(AND($A203&gt;=AL$16,MONTH($A203)=MONTH(AL$16)),MAX(AJ203,AK203)*AL202,AL202)</f>
        <v>1.40810210345432</v>
      </c>
      <c r="AN203" s="1667" t="n">
        <f aca="false">HLOOKUP(AN$14,Dec_Change,$K203)</f>
        <v>1.0254766914318</v>
      </c>
      <c r="AO203" s="1668" t="n">
        <f aca="false">AO202</f>
        <v>1.005</v>
      </c>
      <c r="AP203" s="1675" t="n">
        <f aca="false">IF(AND($A203&gt;=AP$16,MONTH($A203)=MONTH(AP$16)),MAX(AN203,AO203)*AP202,AP202)</f>
        <v>1.44536293026781</v>
      </c>
      <c r="AR203" s="1670" t="n">
        <f aca="false">$A203</f>
        <v>41000</v>
      </c>
      <c r="AS203" s="1671" t="n">
        <f aca="false">IF(AND($A203&gt;=EDATE(AS$17,12),IF(Assm!$L$74=0,$D203,$E203)/AS202&gt;=1.05),IF(Assm!$L$74=0,$D203,$E203),AS202)</f>
        <v>2.64024047948862</v>
      </c>
      <c r="AT203" s="1671" t="n">
        <f aca="false">IF(AS203/AS202=1,AT202,AS203/AS202)</f>
        <v>1.05178373226943</v>
      </c>
      <c r="AU203" s="1671" t="n">
        <f aca="false">F203</f>
        <v>1.072</v>
      </c>
      <c r="AV203" s="1671" t="n">
        <f aca="false">MAX(AT203,AU203)</f>
        <v>1.072</v>
      </c>
      <c r="AW203" s="1675" t="n">
        <f aca="false">IF(AV203=AV202,AW202,AV203*AW202)</f>
        <v>3.0057179991744</v>
      </c>
    </row>
    <row r="204" customFormat="false" ht="12.75" hidden="false" customHeight="false" outlineLevel="0" collapsed="false">
      <c r="A204" s="1673" t="n">
        <f aca="false">EDATE(A203,1)</f>
        <v>41030</v>
      </c>
      <c r="B204" s="1659" t="n">
        <f aca="false">'[4]Monthly Curve Calc.'!B207</f>
        <v>451.024305520712</v>
      </c>
      <c r="C204" s="1660" t="n">
        <f aca="false">'[4]Monthly Curve Calc.'!C207</f>
        <v>237.876306019964</v>
      </c>
      <c r="D204" s="1661" t="n">
        <f aca="false">'[4]Monthly Curve Calc.'!F207</f>
        <v>2.72865547623515</v>
      </c>
      <c r="E204" s="1662" t="n">
        <f aca="false">IF($A204&lt;=E$16,D204,(B204/B203)/(C204/C203)*E203)</f>
        <v>2.31057382969803</v>
      </c>
      <c r="F204" s="1674" t="n">
        <f aca="false">IF(Assm!$L$75=0,F203,IF(AND($A204&gt;F$16,MONTH($A204)=MONTH(F$16)),B203/B191,F203))</f>
        <v>1.072</v>
      </c>
      <c r="G204" s="1668" t="n">
        <f aca="false">IF(Assm!$L$75=0,G203,IF(AND($A204&gt;G$16,MONTH($A204)=MONTH(G$16)),C203/C191,G203))</f>
        <v>1.02521559082494</v>
      </c>
      <c r="H204" s="1668" t="n">
        <f aca="false">IF(Assm!$L$75=0,H203,IF(AND($A204&gt;H$16,MONTH($A204)=MONTH(H$16)),C203/C191-H$18,H203))</f>
        <v>1.02271559082494</v>
      </c>
      <c r="I204" s="1668" t="n">
        <f aca="false">IF(Assm!$L$75=0,I203,IF($A204&gt;=I$16,IF(MONTH($A204)=MONTH(I$16),AVERAGE(D192:D203),I203),I203))</f>
        <v>2.68061600022471</v>
      </c>
      <c r="J204" s="1675" t="n">
        <f aca="false">IF(Assm!$L$75=0,J203,IF($A204&gt;=J$16,IF(MONTH($A204)=MONTH(J$16),AVERAGE(E192:E203),J203),J203))</f>
        <v>2.22222383533482</v>
      </c>
      <c r="K204" s="1624" t="n">
        <f aca="false">K203+1</f>
        <v>192</v>
      </c>
      <c r="L204" s="1667" t="n">
        <f aca="false">HLOOKUP(L$14,Dec_Change,$K204)</f>
        <v>1.02521559082494</v>
      </c>
      <c r="M204" s="1668" t="n">
        <f aca="false">M203</f>
        <v>0</v>
      </c>
      <c r="N204" s="1675" t="n">
        <f aca="false">IF(AND($A204&gt;=N$16,MONTH($A204)=MONTH(N$16)),MAX(L204,M204)*N203,N203)</f>
        <v>1.48180861051097</v>
      </c>
      <c r="P204" s="1667" t="n">
        <f aca="false">HLOOKUP(P$14,Dec_Change,$K204)</f>
        <v>1.072</v>
      </c>
      <c r="Q204" s="1668" t="n">
        <f aca="false">Q203</f>
        <v>0</v>
      </c>
      <c r="R204" s="1675" t="n">
        <f aca="false">IF(AND($A204&gt;=R$16,MONTH($A204)=MONTH(R$16)),MAX(P204,Q204)*R203,R203)</f>
        <v>3.20741235439648</v>
      </c>
      <c r="T204" s="1667" t="n">
        <f aca="false">HLOOKUP(T$14,Dec_Change,$K204)</f>
        <v>1.02521559082494</v>
      </c>
      <c r="U204" s="1668" t="n">
        <f aca="false">U203</f>
        <v>1.005</v>
      </c>
      <c r="V204" s="1675" t="n">
        <f aca="false">IF(AND($A204&gt;=V$16,MONTH($A204)=MONTH(V$16)),MAX(T204,U204)*V203,V203)</f>
        <v>1.48180861051097</v>
      </c>
      <c r="X204" s="1667" t="n">
        <f aca="false">HLOOKUP(X$14,Dec_Change,$K204)</f>
        <v>1.02271559082494</v>
      </c>
      <c r="Y204" s="1668" t="n">
        <f aca="false">Y203</f>
        <v>1.02</v>
      </c>
      <c r="Z204" s="1675" t="n">
        <f aca="false">IF(AND($A204&gt;=Z$16,MONTH($A204)=MONTH(Z$16)),MAX(X204,Y204)*Z203,Z203)</f>
        <v>1.44008797467612</v>
      </c>
      <c r="AB204" s="1667" t="n">
        <f aca="false">HLOOKUP(AB$14,Dec_Change,$K204)</f>
        <v>1.02271559082494</v>
      </c>
      <c r="AC204" s="1668" t="n">
        <f aca="false">AC203</f>
        <v>1.02</v>
      </c>
      <c r="AD204" s="1675" t="n">
        <f aca="false">IF(AND($A204&gt;=AD$16,MONTH($A204)=MONTH(AD$16)),MAX(AB204,AC204)*AD203,AD203)</f>
        <v>1.44008797467612</v>
      </c>
      <c r="AF204" s="1667" t="n">
        <f aca="false">HLOOKUP(AF$14,Dec_Change,$K204)</f>
        <v>1.072</v>
      </c>
      <c r="AG204" s="1668" t="n">
        <f aca="false">AG203</f>
        <v>0</v>
      </c>
      <c r="AH204" s="1675" t="n">
        <f aca="false">IF(AND($A204&gt;=AH$16,MONTH($A204)=MONTH(AH$16)),MAX(AF204,AG204)*AH203,AH203)</f>
        <v>3.20741235439648</v>
      </c>
      <c r="AJ204" s="1667" t="n">
        <f aca="false">HLOOKUP(AJ$14,Dec_Change,$K204)</f>
        <v>1.02271559082494</v>
      </c>
      <c r="AK204" s="1668" t="n">
        <f aca="false">AK203</f>
        <v>1.02</v>
      </c>
      <c r="AL204" s="1675" t="n">
        <f aca="false">IF(AND($A204&gt;=AL$16,MONTH($A204)=MONTH(AL$16)),MAX(AJ204,AK204)*AL203,AL203)</f>
        <v>1.44008797467612</v>
      </c>
      <c r="AN204" s="1667" t="n">
        <f aca="false">HLOOKUP(AN$14,Dec_Change,$K204)</f>
        <v>1.02521559082494</v>
      </c>
      <c r="AO204" s="1668" t="n">
        <f aca="false">AO203</f>
        <v>1.005</v>
      </c>
      <c r="AP204" s="1675" t="n">
        <f aca="false">IF(AND($A204&gt;=AP$16,MONTH($A204)=MONTH(AP$16)),MAX(AN204,AO204)*AP203,AP203)</f>
        <v>1.48180861051097</v>
      </c>
      <c r="AR204" s="1670" t="n">
        <f aca="false">$A204</f>
        <v>41030</v>
      </c>
      <c r="AS204" s="1671" t="n">
        <f aca="false">IF(AND($A204&gt;=EDATE(AS$17,12),IF(Assm!$L$74=0,$D204,$E204)/AS203&gt;=1.05),IF(Assm!$L$74=0,$D204,$E204),AS203)</f>
        <v>2.64024047948862</v>
      </c>
      <c r="AT204" s="1671" t="n">
        <f aca="false">IF(AS204/AS203=1,AT203,AS204/AS203)</f>
        <v>1.05178373226943</v>
      </c>
      <c r="AU204" s="1671" t="n">
        <f aca="false">F204</f>
        <v>1.072</v>
      </c>
      <c r="AV204" s="1671" t="n">
        <f aca="false">MAX(AT204,AU204)</f>
        <v>1.072</v>
      </c>
      <c r="AW204" s="1675" t="n">
        <f aca="false">IF(AV204=AV203,AW203,AV204*AW203)</f>
        <v>3.0057179991744</v>
      </c>
    </row>
    <row r="205" customFormat="false" ht="12.75" hidden="false" customHeight="false" outlineLevel="0" collapsed="false">
      <c r="A205" s="1673" t="n">
        <f aca="false">EDATE(A204,1)</f>
        <v>41061</v>
      </c>
      <c r="B205" s="1659" t="n">
        <f aca="false">'[4]Monthly Curve Calc.'!B208</f>
        <v>453.645052291471</v>
      </c>
      <c r="C205" s="1660" t="n">
        <f aca="false">'[4]Monthly Curve Calc.'!C208</f>
        <v>238.367886410552</v>
      </c>
      <c r="D205" s="1661" t="n">
        <f aca="false">'[4]Monthly Curve Calc.'!F208</f>
        <v>2.73315952670294</v>
      </c>
      <c r="E205" s="1662" t="n">
        <f aca="false">IF($A205&lt;=E$16,D205,(B205/B204)/(C205/C204)*E204)</f>
        <v>2.31920704861123</v>
      </c>
      <c r="F205" s="1674" t="n">
        <f aca="false">IF(Assm!$L$75=0,F204,IF(AND($A205&gt;F$16,MONTH($A205)=MONTH(F$16)),B204/B192,F204))</f>
        <v>1.072</v>
      </c>
      <c r="G205" s="1668" t="n">
        <f aca="false">IF(Assm!$L$75=0,G204,IF(AND($A205&gt;G$16,MONTH($A205)=MONTH(G$16)),C204/C192,G204))</f>
        <v>1.02521559082494</v>
      </c>
      <c r="H205" s="1668" t="n">
        <f aca="false">IF(Assm!$L$75=0,H204,IF(AND($A205&gt;H$16,MONTH($A205)=MONTH(H$16)),C204/C192-H$18,H204))</f>
        <v>1.02271559082494</v>
      </c>
      <c r="I205" s="1668" t="n">
        <f aca="false">IF(Assm!$L$75=0,I204,IF($A205&gt;=I$16,IF(MONTH($A205)=MONTH(I$16),AVERAGE(D193:D204),I204),I204))</f>
        <v>2.68061600022471</v>
      </c>
      <c r="J205" s="1675" t="n">
        <f aca="false">IF(Assm!$L$75=0,J204,IF($A205&gt;=J$16,IF(MONTH($A205)=MONTH(J$16),AVERAGE(E193:E204),J204),J204))</f>
        <v>2.22222383533482</v>
      </c>
      <c r="K205" s="1624" t="n">
        <f aca="false">K204+1</f>
        <v>193</v>
      </c>
      <c r="L205" s="1667" t="n">
        <f aca="false">HLOOKUP(L$14,Dec_Change,$K205)</f>
        <v>1.02521559082494</v>
      </c>
      <c r="M205" s="1668" t="n">
        <f aca="false">M204</f>
        <v>0</v>
      </c>
      <c r="N205" s="1675" t="n">
        <f aca="false">IF(AND($A205&gt;=N$16,MONTH($A205)=MONTH(N$16)),MAX(L205,M205)*N204,N204)</f>
        <v>1.48180861051097</v>
      </c>
      <c r="P205" s="1667" t="n">
        <f aca="false">HLOOKUP(P$14,Dec_Change,$K205)</f>
        <v>1.072</v>
      </c>
      <c r="Q205" s="1668" t="n">
        <f aca="false">Q204</f>
        <v>0</v>
      </c>
      <c r="R205" s="1675" t="n">
        <f aca="false">IF(AND($A205&gt;=R$16,MONTH($A205)=MONTH(R$16)),MAX(P205,Q205)*R204,R204)</f>
        <v>3.20741235439648</v>
      </c>
      <c r="T205" s="1667" t="n">
        <f aca="false">HLOOKUP(T$14,Dec_Change,$K205)</f>
        <v>1.02521559082494</v>
      </c>
      <c r="U205" s="1668" t="n">
        <f aca="false">U204</f>
        <v>1.005</v>
      </c>
      <c r="V205" s="1675" t="n">
        <f aca="false">IF(AND($A205&gt;=V$16,MONTH($A205)=MONTH(V$16)),MAX(T205,U205)*V204,V204)</f>
        <v>1.48180861051097</v>
      </c>
      <c r="X205" s="1667" t="n">
        <f aca="false">HLOOKUP(X$14,Dec_Change,$K205)</f>
        <v>1.02271559082494</v>
      </c>
      <c r="Y205" s="1668" t="n">
        <f aca="false">Y204</f>
        <v>1.02</v>
      </c>
      <c r="Z205" s="1675" t="n">
        <f aca="false">IF(AND($A205&gt;=Z$16,MONTH($A205)=MONTH(Z$16)),MAX(X205,Y205)*Z204,Z204)</f>
        <v>1.44008797467612</v>
      </c>
      <c r="AB205" s="1667" t="n">
        <f aca="false">HLOOKUP(AB$14,Dec_Change,$K205)</f>
        <v>1.02271559082494</v>
      </c>
      <c r="AC205" s="1668" t="n">
        <f aca="false">AC204</f>
        <v>1.02</v>
      </c>
      <c r="AD205" s="1675" t="n">
        <f aca="false">IF(AND($A205&gt;=AD$16,MONTH($A205)=MONTH(AD$16)),MAX(AB205,AC205)*AD204,AD204)</f>
        <v>1.44008797467612</v>
      </c>
      <c r="AF205" s="1667" t="n">
        <f aca="false">HLOOKUP(AF$14,Dec_Change,$K205)</f>
        <v>1.072</v>
      </c>
      <c r="AG205" s="1668" t="n">
        <f aca="false">AG204</f>
        <v>0</v>
      </c>
      <c r="AH205" s="1675" t="n">
        <f aca="false">IF(AND($A205&gt;=AH$16,MONTH($A205)=MONTH(AH$16)),MAX(AF205,AG205)*AH204,AH204)</f>
        <v>3.20741235439648</v>
      </c>
      <c r="AJ205" s="1667" t="n">
        <f aca="false">HLOOKUP(AJ$14,Dec_Change,$K205)</f>
        <v>1.02271559082494</v>
      </c>
      <c r="AK205" s="1668" t="n">
        <f aca="false">AK204</f>
        <v>1.02</v>
      </c>
      <c r="AL205" s="1675" t="n">
        <f aca="false">IF(AND($A205&gt;=AL$16,MONTH($A205)=MONTH(AL$16)),MAX(AJ205,AK205)*AL204,AL204)</f>
        <v>1.44008797467612</v>
      </c>
      <c r="AN205" s="1667" t="n">
        <f aca="false">HLOOKUP(AN$14,Dec_Change,$K205)</f>
        <v>1.02521559082494</v>
      </c>
      <c r="AO205" s="1668" t="n">
        <f aca="false">AO204</f>
        <v>1.005</v>
      </c>
      <c r="AP205" s="1675" t="n">
        <f aca="false">IF(AND($A205&gt;=AP$16,MONTH($A205)=MONTH(AP$16)),MAX(AN205,AO205)*AP204,AP204)</f>
        <v>1.48180861051097</v>
      </c>
      <c r="AR205" s="1670" t="n">
        <f aca="false">$A205</f>
        <v>41061</v>
      </c>
      <c r="AS205" s="1671" t="n">
        <f aca="false">IF(AND($A205&gt;=EDATE(AS$17,12),IF(Assm!$L$74=0,$D205,$E205)/AS204&gt;=1.05),IF(Assm!$L$74=0,$D205,$E205),AS204)</f>
        <v>2.64024047948862</v>
      </c>
      <c r="AT205" s="1671" t="n">
        <f aca="false">IF(AS205/AS204=1,AT204,AS205/AS204)</f>
        <v>1.05178373226943</v>
      </c>
      <c r="AU205" s="1671" t="n">
        <f aca="false">F205</f>
        <v>1.072</v>
      </c>
      <c r="AV205" s="1671" t="n">
        <f aca="false">MAX(AT205,AU205)</f>
        <v>1.072</v>
      </c>
      <c r="AW205" s="1675" t="n">
        <f aca="false">IF(AV205=AV204,AW204,AV205*AW204)</f>
        <v>3.0057179991744</v>
      </c>
    </row>
    <row r="206" customFormat="false" ht="12.75" hidden="false" customHeight="false" outlineLevel="0" collapsed="false">
      <c r="A206" s="1673" t="n">
        <f aca="false">EDATE(A205,1)</f>
        <v>41091</v>
      </c>
      <c r="B206" s="1659" t="n">
        <f aca="false">'[4]Monthly Curve Calc.'!B209</f>
        <v>456.28102731834</v>
      </c>
      <c r="C206" s="1660" t="n">
        <f aca="false">'[4]Monthly Curve Calc.'!C209</f>
        <v>238.860482670624</v>
      </c>
      <c r="D206" s="1661" t="n">
        <f aca="false">'[4]Monthly Curve Calc.'!F209</f>
        <v>2.73767101177388</v>
      </c>
      <c r="E206" s="1662" t="n">
        <f aca="false">IF($A206&lt;=E$16,D206,(B206/B205)/(C206/C205)*E205)</f>
        <v>2.32787252464941</v>
      </c>
      <c r="F206" s="1674" t="n">
        <f aca="false">IF(Assm!$L$75=0,F205,IF(AND($A206&gt;F$16,MONTH($A206)=MONTH(F$16)),B205/B193,F205))</f>
        <v>1.072</v>
      </c>
      <c r="G206" s="1668" t="n">
        <f aca="false">IF(Assm!$L$75=0,G205,IF(AND($A206&gt;G$16,MONTH($A206)=MONTH(G$16)),C205/C193,G205))</f>
        <v>1.02521559082494</v>
      </c>
      <c r="H206" s="1668" t="n">
        <f aca="false">IF(Assm!$L$75=0,H205,IF(AND($A206&gt;H$16,MONTH($A206)=MONTH(H$16)),C205/C193-H$18,H205))</f>
        <v>1.02271559082494</v>
      </c>
      <c r="I206" s="1668" t="n">
        <f aca="false">IF(Assm!$L$75=0,I205,IF($A206&gt;=I$16,IF(MONTH($A206)=MONTH(I$16),AVERAGE(D194:D205),I205),I205))</f>
        <v>2.68061600022471</v>
      </c>
      <c r="J206" s="1675" t="n">
        <f aca="false">IF(Assm!$L$75=0,J205,IF($A206&gt;=J$16,IF(MONTH($A206)=MONTH(J$16),AVERAGE(E194:E205),J205),J205))</f>
        <v>2.22222383533482</v>
      </c>
      <c r="K206" s="1624" t="n">
        <f aca="false">K205+1</f>
        <v>194</v>
      </c>
      <c r="L206" s="1667" t="n">
        <f aca="false">HLOOKUP(L$14,Dec_Change,$K206)</f>
        <v>1.02521559082494</v>
      </c>
      <c r="M206" s="1668" t="n">
        <f aca="false">M205</f>
        <v>0</v>
      </c>
      <c r="N206" s="1675" t="n">
        <f aca="false">IF(AND($A206&gt;=N$16,MONTH($A206)=MONTH(N$16)),MAX(L206,M206)*N205,N205)</f>
        <v>1.48180861051097</v>
      </c>
      <c r="P206" s="1667" t="n">
        <f aca="false">HLOOKUP(P$14,Dec_Change,$K206)</f>
        <v>1.072</v>
      </c>
      <c r="Q206" s="1668" t="n">
        <f aca="false">Q205</f>
        <v>0</v>
      </c>
      <c r="R206" s="1675" t="n">
        <f aca="false">IF(AND($A206&gt;=R$16,MONTH($A206)=MONTH(R$16)),MAX(P206,Q206)*R205,R205)</f>
        <v>3.20741235439648</v>
      </c>
      <c r="T206" s="1667" t="n">
        <f aca="false">HLOOKUP(T$14,Dec_Change,$K206)</f>
        <v>1.02521559082494</v>
      </c>
      <c r="U206" s="1668" t="n">
        <f aca="false">U205</f>
        <v>1.005</v>
      </c>
      <c r="V206" s="1675" t="n">
        <f aca="false">IF(AND($A206&gt;=V$16,MONTH($A206)=MONTH(V$16)),MAX(T206,U206)*V205,V205)</f>
        <v>1.48180861051097</v>
      </c>
      <c r="X206" s="1667" t="n">
        <f aca="false">HLOOKUP(X$14,Dec_Change,$K206)</f>
        <v>1.02271559082494</v>
      </c>
      <c r="Y206" s="1668" t="n">
        <f aca="false">Y205</f>
        <v>1.02</v>
      </c>
      <c r="Z206" s="1675" t="n">
        <f aca="false">IF(AND($A206&gt;=Z$16,MONTH($A206)=MONTH(Z$16)),MAX(X206,Y206)*Z205,Z205)</f>
        <v>1.44008797467612</v>
      </c>
      <c r="AB206" s="1667" t="n">
        <f aca="false">HLOOKUP(AB$14,Dec_Change,$K206)</f>
        <v>1.02271559082494</v>
      </c>
      <c r="AC206" s="1668" t="n">
        <f aca="false">AC205</f>
        <v>1.02</v>
      </c>
      <c r="AD206" s="1675" t="n">
        <f aca="false">IF(AND($A206&gt;=AD$16,MONTH($A206)=MONTH(AD$16)),MAX(AB206,AC206)*AD205,AD205)</f>
        <v>1.44008797467612</v>
      </c>
      <c r="AF206" s="1667" t="n">
        <f aca="false">HLOOKUP(AF$14,Dec_Change,$K206)</f>
        <v>1.072</v>
      </c>
      <c r="AG206" s="1668" t="n">
        <f aca="false">AG205</f>
        <v>0</v>
      </c>
      <c r="AH206" s="1675" t="n">
        <f aca="false">IF(AND($A206&gt;=AH$16,MONTH($A206)=MONTH(AH$16)),MAX(AF206,AG206)*AH205,AH205)</f>
        <v>3.20741235439648</v>
      </c>
      <c r="AJ206" s="1667" t="n">
        <f aca="false">HLOOKUP(AJ$14,Dec_Change,$K206)</f>
        <v>1.02271559082494</v>
      </c>
      <c r="AK206" s="1668" t="n">
        <f aca="false">AK205</f>
        <v>1.02</v>
      </c>
      <c r="AL206" s="1675" t="n">
        <f aca="false">IF(AND($A206&gt;=AL$16,MONTH($A206)=MONTH(AL$16)),MAX(AJ206,AK206)*AL205,AL205)</f>
        <v>1.44008797467612</v>
      </c>
      <c r="AN206" s="1667" t="n">
        <f aca="false">HLOOKUP(AN$14,Dec_Change,$K206)</f>
        <v>1.02521559082494</v>
      </c>
      <c r="AO206" s="1668" t="n">
        <f aca="false">AO205</f>
        <v>1.005</v>
      </c>
      <c r="AP206" s="1675" t="n">
        <f aca="false">IF(AND($A206&gt;=AP$16,MONTH($A206)=MONTH(AP$16)),MAX(AN206,AO206)*AP205,AP205)</f>
        <v>1.48180861051097</v>
      </c>
      <c r="AR206" s="1670" t="n">
        <f aca="false">$A206</f>
        <v>41091</v>
      </c>
      <c r="AS206" s="1671" t="n">
        <f aca="false">IF(AND($A206&gt;=EDATE(AS$17,12),IF(Assm!$L$74=0,$D206,$E206)/AS205&gt;=1.05),IF(Assm!$L$74=0,$D206,$E206),AS205)</f>
        <v>2.64024047948862</v>
      </c>
      <c r="AT206" s="1671" t="n">
        <f aca="false">IF(AS206/AS205=1,AT205,AS206/AS205)</f>
        <v>1.05178373226943</v>
      </c>
      <c r="AU206" s="1671" t="n">
        <f aca="false">F206</f>
        <v>1.072</v>
      </c>
      <c r="AV206" s="1671" t="n">
        <f aca="false">MAX(AT206,AU206)</f>
        <v>1.072</v>
      </c>
      <c r="AW206" s="1675" t="n">
        <f aca="false">IF(AV206=AV205,AW205,AV206*AW205)</f>
        <v>3.0057179991744</v>
      </c>
    </row>
    <row r="207" customFormat="false" ht="12.75" hidden="false" customHeight="false" outlineLevel="0" collapsed="false">
      <c r="A207" s="1673" t="n">
        <f aca="false">EDATE(A206,1)</f>
        <v>41122</v>
      </c>
      <c r="B207" s="1659" t="n">
        <f aca="false">'[4]Monthly Curve Calc.'!B210</f>
        <v>458.932319087466</v>
      </c>
      <c r="C207" s="1660" t="n">
        <f aca="false">'[4]Monthly Curve Calc.'!C210</f>
        <v>239.354096899514</v>
      </c>
      <c r="D207" s="1661" t="n">
        <f aca="false">'[4]Monthly Curve Calc.'!F210</f>
        <v>2.7421899437199</v>
      </c>
      <c r="E207" s="1662" t="n">
        <f aca="false">IF($A207&lt;=E$16,D207,(B207/B206)/(C207/C206)*E206)</f>
        <v>2.33657037833796</v>
      </c>
      <c r="F207" s="1674" t="n">
        <f aca="false">IF(Assm!$L$75=0,F206,IF(AND($A207&gt;F$16,MONTH($A207)=MONTH(F$16)),B206/B194,F206))</f>
        <v>1.072</v>
      </c>
      <c r="G207" s="1668" t="n">
        <f aca="false">IF(Assm!$L$75=0,G206,IF(AND($A207&gt;G$16,MONTH($A207)=MONTH(G$16)),C206/C194,G206))</f>
        <v>1.02521559082494</v>
      </c>
      <c r="H207" s="1668" t="n">
        <f aca="false">IF(Assm!$L$75=0,H206,IF(AND($A207&gt;H$16,MONTH($A207)=MONTH(H$16)),C206/C194-H$18,H206))</f>
        <v>1.02271559082494</v>
      </c>
      <c r="I207" s="1668" t="n">
        <f aca="false">IF(Assm!$L$75=0,I206,IF($A207&gt;=I$16,IF(MONTH($A207)=MONTH(I$16),AVERAGE(D195:D206),I206),I206))</f>
        <v>2.68061600022471</v>
      </c>
      <c r="J207" s="1675" t="n">
        <f aca="false">IF(Assm!$L$75=0,J206,IF($A207&gt;=J$16,IF(MONTH($A207)=MONTH(J$16),AVERAGE(E195:E206),J206),J206))</f>
        <v>2.22222383533482</v>
      </c>
      <c r="K207" s="1624" t="n">
        <f aca="false">K206+1</f>
        <v>195</v>
      </c>
      <c r="L207" s="1667" t="n">
        <f aca="false">HLOOKUP(L$14,Dec_Change,$K207)</f>
        <v>1.02521559082494</v>
      </c>
      <c r="M207" s="1668" t="n">
        <f aca="false">M206</f>
        <v>0</v>
      </c>
      <c r="N207" s="1675" t="n">
        <f aca="false">IF(AND($A207&gt;=N$16,MONTH($A207)=MONTH(N$16)),MAX(L207,M207)*N206,N206)</f>
        <v>1.48180861051097</v>
      </c>
      <c r="P207" s="1667" t="n">
        <f aca="false">HLOOKUP(P$14,Dec_Change,$K207)</f>
        <v>1.072</v>
      </c>
      <c r="Q207" s="1668" t="n">
        <f aca="false">Q206</f>
        <v>0</v>
      </c>
      <c r="R207" s="1675" t="n">
        <f aca="false">IF(AND($A207&gt;=R$16,MONTH($A207)=MONTH(R$16)),MAX(P207,Q207)*R206,R206)</f>
        <v>3.20741235439648</v>
      </c>
      <c r="T207" s="1667" t="n">
        <f aca="false">HLOOKUP(T$14,Dec_Change,$K207)</f>
        <v>1.02521559082494</v>
      </c>
      <c r="U207" s="1668" t="n">
        <f aca="false">U206</f>
        <v>1.005</v>
      </c>
      <c r="V207" s="1675" t="n">
        <f aca="false">IF(AND($A207&gt;=V$16,MONTH($A207)=MONTH(V$16)),MAX(T207,U207)*V206,V206)</f>
        <v>1.48180861051097</v>
      </c>
      <c r="X207" s="1667" t="n">
        <f aca="false">HLOOKUP(X$14,Dec_Change,$K207)</f>
        <v>1.02271559082494</v>
      </c>
      <c r="Y207" s="1668" t="n">
        <f aca="false">Y206</f>
        <v>1.02</v>
      </c>
      <c r="Z207" s="1675" t="n">
        <f aca="false">IF(AND($A207&gt;=Z$16,MONTH($A207)=MONTH(Z$16)),MAX(X207,Y207)*Z206,Z206)</f>
        <v>1.44008797467612</v>
      </c>
      <c r="AB207" s="1667" t="n">
        <f aca="false">HLOOKUP(AB$14,Dec_Change,$K207)</f>
        <v>1.02271559082494</v>
      </c>
      <c r="AC207" s="1668" t="n">
        <f aca="false">AC206</f>
        <v>1.02</v>
      </c>
      <c r="AD207" s="1675" t="n">
        <f aca="false">IF(AND($A207&gt;=AD$16,MONTH($A207)=MONTH(AD$16)),MAX(AB207,AC207)*AD206,AD206)</f>
        <v>1.44008797467612</v>
      </c>
      <c r="AF207" s="1667" t="n">
        <f aca="false">HLOOKUP(AF$14,Dec_Change,$K207)</f>
        <v>1.072</v>
      </c>
      <c r="AG207" s="1668" t="n">
        <f aca="false">AG206</f>
        <v>0</v>
      </c>
      <c r="AH207" s="1675" t="n">
        <f aca="false">IF(AND($A207&gt;=AH$16,MONTH($A207)=MONTH(AH$16)),MAX(AF207,AG207)*AH206,AH206)</f>
        <v>3.20741235439648</v>
      </c>
      <c r="AJ207" s="1667" t="n">
        <f aca="false">HLOOKUP(AJ$14,Dec_Change,$K207)</f>
        <v>1.02271559082494</v>
      </c>
      <c r="AK207" s="1668" t="n">
        <f aca="false">AK206</f>
        <v>1.02</v>
      </c>
      <c r="AL207" s="1675" t="n">
        <f aca="false">IF(AND($A207&gt;=AL$16,MONTH($A207)=MONTH(AL$16)),MAX(AJ207,AK207)*AL206,AL206)</f>
        <v>1.44008797467612</v>
      </c>
      <c r="AN207" s="1667" t="n">
        <f aca="false">HLOOKUP(AN$14,Dec_Change,$K207)</f>
        <v>1.02521559082494</v>
      </c>
      <c r="AO207" s="1668" t="n">
        <f aca="false">AO206</f>
        <v>1.005</v>
      </c>
      <c r="AP207" s="1675" t="n">
        <f aca="false">IF(AND($A207&gt;=AP$16,MONTH($A207)=MONTH(AP$16)),MAX(AN207,AO207)*AP206,AP206)</f>
        <v>1.48180861051097</v>
      </c>
      <c r="AR207" s="1670" t="n">
        <f aca="false">$A207</f>
        <v>41122</v>
      </c>
      <c r="AS207" s="1671" t="n">
        <f aca="false">IF(AND($A207&gt;=EDATE(AS$17,12),IF(Assm!$L$74=0,$D207,$E207)/AS206&gt;=1.05),IF(Assm!$L$74=0,$D207,$E207),AS206)</f>
        <v>2.64024047948862</v>
      </c>
      <c r="AT207" s="1671" t="n">
        <f aca="false">IF(AS207/AS206=1,AT206,AS207/AS206)</f>
        <v>1.05178373226943</v>
      </c>
      <c r="AU207" s="1671" t="n">
        <f aca="false">F207</f>
        <v>1.072</v>
      </c>
      <c r="AV207" s="1671" t="n">
        <f aca="false">MAX(AT207,AU207)</f>
        <v>1.072</v>
      </c>
      <c r="AW207" s="1675" t="n">
        <f aca="false">IF(AV207=AV206,AW206,AV207*AW206)</f>
        <v>3.0057179991744</v>
      </c>
    </row>
    <row r="208" customFormat="false" ht="12.75" hidden="false" customHeight="false" outlineLevel="0" collapsed="false">
      <c r="A208" s="1673" t="n">
        <f aca="false">EDATE(A207,1)</f>
        <v>41153</v>
      </c>
      <c r="B208" s="1659" t="n">
        <f aca="false">'[4]Monthly Curve Calc.'!B211</f>
        <v>461.59901659916</v>
      </c>
      <c r="C208" s="1660" t="n">
        <f aca="false">'[4]Monthly Curve Calc.'!C211</f>
        <v>239.848731200893</v>
      </c>
      <c r="D208" s="1661" t="n">
        <f aca="false">'[4]Monthly Curve Calc.'!F211</f>
        <v>2.74671633483315</v>
      </c>
      <c r="E208" s="1662" t="n">
        <f aca="false">IF($A208&lt;=E$16,D208,(B208/B207)/(C208/C207)*E207)</f>
        <v>2.34530073065262</v>
      </c>
      <c r="F208" s="1674" t="n">
        <f aca="false">IF(Assm!$L$75=0,F207,IF(AND($A208&gt;F$16,MONTH($A208)=MONTH(F$16)),B207/B195,F207))</f>
        <v>1.072</v>
      </c>
      <c r="G208" s="1668" t="n">
        <f aca="false">IF(Assm!$L$75=0,G207,IF(AND($A208&gt;G$16,MONTH($A208)=MONTH(G$16)),C207/C195,G207))</f>
        <v>1.02521559082494</v>
      </c>
      <c r="H208" s="1668" t="n">
        <f aca="false">IF(Assm!$L$75=0,H207,IF(AND($A208&gt;H$16,MONTH($A208)=MONTH(H$16)),C207/C195-H$18,H207))</f>
        <v>1.02271559082494</v>
      </c>
      <c r="I208" s="1668" t="n">
        <f aca="false">IF(Assm!$L$75=0,I207,IF($A208&gt;=I$16,IF(MONTH($A208)=MONTH(I$16),AVERAGE(D196:D207),I207),I207))</f>
        <v>2.68061600022471</v>
      </c>
      <c r="J208" s="1675" t="n">
        <f aca="false">IF(Assm!$L$75=0,J207,IF($A208&gt;=J$16,IF(MONTH($A208)=MONTH(J$16),AVERAGE(E196:E207),J207),J207))</f>
        <v>2.22222383533482</v>
      </c>
      <c r="K208" s="1624" t="n">
        <f aca="false">K207+1</f>
        <v>196</v>
      </c>
      <c r="L208" s="1667" t="n">
        <f aca="false">HLOOKUP(L$14,Dec_Change,$K208)</f>
        <v>1.02521559082494</v>
      </c>
      <c r="M208" s="1668" t="n">
        <f aca="false">M207</f>
        <v>0</v>
      </c>
      <c r="N208" s="1675" t="n">
        <f aca="false">IF(AND($A208&gt;=N$16,MONTH($A208)=MONTH(N$16)),MAX(L208,M208)*N207,N207)</f>
        <v>1.48180861051097</v>
      </c>
      <c r="P208" s="1667" t="n">
        <f aca="false">HLOOKUP(P$14,Dec_Change,$K208)</f>
        <v>1.072</v>
      </c>
      <c r="Q208" s="1668" t="n">
        <f aca="false">Q207</f>
        <v>0</v>
      </c>
      <c r="R208" s="1675" t="n">
        <f aca="false">IF(AND($A208&gt;=R$16,MONTH($A208)=MONTH(R$16)),MAX(P208,Q208)*R207,R207)</f>
        <v>3.20741235439648</v>
      </c>
      <c r="T208" s="1667" t="n">
        <f aca="false">HLOOKUP(T$14,Dec_Change,$K208)</f>
        <v>1.02521559082494</v>
      </c>
      <c r="U208" s="1668" t="n">
        <f aca="false">U207</f>
        <v>1.005</v>
      </c>
      <c r="V208" s="1675" t="n">
        <f aca="false">IF(AND($A208&gt;=V$16,MONTH($A208)=MONTH(V$16)),MAX(T208,U208)*V207,V207)</f>
        <v>1.48180861051097</v>
      </c>
      <c r="X208" s="1667" t="n">
        <f aca="false">HLOOKUP(X$14,Dec_Change,$K208)</f>
        <v>1.02271559082494</v>
      </c>
      <c r="Y208" s="1668" t="n">
        <f aca="false">Y207</f>
        <v>1.02</v>
      </c>
      <c r="Z208" s="1675" t="n">
        <f aca="false">IF(AND($A208&gt;=Z$16,MONTH($A208)=MONTH(Z$16)),MAX(X208,Y208)*Z207,Z207)</f>
        <v>1.44008797467612</v>
      </c>
      <c r="AB208" s="1667" t="n">
        <f aca="false">HLOOKUP(AB$14,Dec_Change,$K208)</f>
        <v>1.02271559082494</v>
      </c>
      <c r="AC208" s="1668" t="n">
        <f aca="false">AC207</f>
        <v>1.02</v>
      </c>
      <c r="AD208" s="1675" t="n">
        <f aca="false">IF(AND($A208&gt;=AD$16,MONTH($A208)=MONTH(AD$16)),MAX(AB208,AC208)*AD207,AD207)</f>
        <v>1.44008797467612</v>
      </c>
      <c r="AF208" s="1667" t="n">
        <f aca="false">HLOOKUP(AF$14,Dec_Change,$K208)</f>
        <v>1.072</v>
      </c>
      <c r="AG208" s="1668" t="n">
        <f aca="false">AG207</f>
        <v>0</v>
      </c>
      <c r="AH208" s="1675" t="n">
        <f aca="false">IF(AND($A208&gt;=AH$16,MONTH($A208)=MONTH(AH$16)),MAX(AF208,AG208)*AH207,AH207)</f>
        <v>3.20741235439648</v>
      </c>
      <c r="AJ208" s="1667" t="n">
        <f aca="false">HLOOKUP(AJ$14,Dec_Change,$K208)</f>
        <v>1.02271559082494</v>
      </c>
      <c r="AK208" s="1668" t="n">
        <f aca="false">AK207</f>
        <v>1.02</v>
      </c>
      <c r="AL208" s="1675" t="n">
        <f aca="false">IF(AND($A208&gt;=AL$16,MONTH($A208)=MONTH(AL$16)),MAX(AJ208,AK208)*AL207,AL207)</f>
        <v>1.44008797467612</v>
      </c>
      <c r="AN208" s="1667" t="n">
        <f aca="false">HLOOKUP(AN$14,Dec_Change,$K208)</f>
        <v>1.02521559082494</v>
      </c>
      <c r="AO208" s="1668" t="n">
        <f aca="false">AO207</f>
        <v>1.005</v>
      </c>
      <c r="AP208" s="1675" t="n">
        <f aca="false">IF(AND($A208&gt;=AP$16,MONTH($A208)=MONTH(AP$16)),MAX(AN208,AO208)*AP207,AP207)</f>
        <v>1.48180861051097</v>
      </c>
      <c r="AR208" s="1670" t="n">
        <f aca="false">$A208</f>
        <v>41153</v>
      </c>
      <c r="AS208" s="1671" t="n">
        <f aca="false">IF(AND($A208&gt;=EDATE(AS$17,12),IF(Assm!$L$74=0,$D208,$E208)/AS207&gt;=1.05),IF(Assm!$L$74=0,$D208,$E208),AS207)</f>
        <v>2.64024047948862</v>
      </c>
      <c r="AT208" s="1671" t="n">
        <f aca="false">IF(AS208/AS207=1,AT207,AS208/AS207)</f>
        <v>1.05178373226943</v>
      </c>
      <c r="AU208" s="1671" t="n">
        <f aca="false">F208</f>
        <v>1.072</v>
      </c>
      <c r="AV208" s="1671" t="n">
        <f aca="false">MAX(AT208,AU208)</f>
        <v>1.072</v>
      </c>
      <c r="AW208" s="1675" t="n">
        <f aca="false">IF(AV208=AV207,AW207,AV208*AW207)</f>
        <v>3.0057179991744</v>
      </c>
    </row>
    <row r="209" customFormat="false" ht="12.75" hidden="false" customHeight="false" outlineLevel="0" collapsed="false">
      <c r="A209" s="1673" t="n">
        <f aca="false">EDATE(A208,1)</f>
        <v>41183</v>
      </c>
      <c r="B209" s="1659" t="n">
        <f aca="false">'[4]Monthly Curve Calc.'!B212</f>
        <v>464.28120937088</v>
      </c>
      <c r="C209" s="1660" t="n">
        <f aca="false">'[4]Monthly Curve Calc.'!C212</f>
        <v>240.344387682778</v>
      </c>
      <c r="D209" s="1661" t="n">
        <f aca="false">'[4]Monthly Curve Calc.'!F212</f>
        <v>2.75125019742612</v>
      </c>
      <c r="E209" s="1662" t="n">
        <f aca="false">IF($A209&lt;=E$16,D209,(B209/B208)/(C209/C208)*E208)</f>
        <v>2.35406370302111</v>
      </c>
      <c r="F209" s="1674" t="n">
        <f aca="false">IF(Assm!$L$75=0,F208,IF(AND($A209&gt;F$16,MONTH($A209)=MONTH(F$16)),B208/B196,F208))</f>
        <v>1.072</v>
      </c>
      <c r="G209" s="1668" t="n">
        <f aca="false">IF(Assm!$L$75=0,G208,IF(AND($A209&gt;G$16,MONTH($A209)=MONTH(G$16)),C208/C196,G208))</f>
        <v>1.02521559082494</v>
      </c>
      <c r="H209" s="1668" t="n">
        <f aca="false">IF(Assm!$L$75=0,H208,IF(AND($A209&gt;H$16,MONTH($A209)=MONTH(H$16)),C208/C196-H$18,H208))</f>
        <v>1.02271559082494</v>
      </c>
      <c r="I209" s="1668" t="n">
        <f aca="false">IF(Assm!$L$75=0,I208,IF($A209&gt;=I$16,IF(MONTH($A209)=MONTH(I$16),AVERAGE(D197:D208),I208),I208))</f>
        <v>2.68061600022471</v>
      </c>
      <c r="J209" s="1675" t="n">
        <f aca="false">IF(Assm!$L$75=0,J208,IF($A209&gt;=J$16,IF(MONTH($A209)=MONTH(J$16),AVERAGE(E197:E208),J208),J208))</f>
        <v>2.22222383533482</v>
      </c>
      <c r="K209" s="1624" t="n">
        <f aca="false">K208+1</f>
        <v>197</v>
      </c>
      <c r="L209" s="1667" t="n">
        <f aca="false">HLOOKUP(L$14,Dec_Change,$K209)</f>
        <v>1.02521559082494</v>
      </c>
      <c r="M209" s="1668" t="n">
        <f aca="false">M208</f>
        <v>0</v>
      </c>
      <c r="N209" s="1675" t="n">
        <f aca="false">IF(AND($A209&gt;=N$16,MONTH($A209)=MONTH(N$16)),MAX(L209,M209)*N208,N208)</f>
        <v>1.48180861051097</v>
      </c>
      <c r="P209" s="1667" t="n">
        <f aca="false">HLOOKUP(P$14,Dec_Change,$K209)</f>
        <v>1.072</v>
      </c>
      <c r="Q209" s="1668" t="n">
        <f aca="false">Q208</f>
        <v>0</v>
      </c>
      <c r="R209" s="1675" t="n">
        <f aca="false">IF(AND($A209&gt;=R$16,MONTH($A209)=MONTH(R$16)),MAX(P209,Q209)*R208,R208)</f>
        <v>3.20741235439648</v>
      </c>
      <c r="T209" s="1667" t="n">
        <f aca="false">HLOOKUP(T$14,Dec_Change,$K209)</f>
        <v>1.02521559082494</v>
      </c>
      <c r="U209" s="1668" t="n">
        <f aca="false">U208</f>
        <v>1.005</v>
      </c>
      <c r="V209" s="1675" t="n">
        <f aca="false">IF(AND($A209&gt;=V$16,MONTH($A209)=MONTH(V$16)),MAX(T209,U209)*V208,V208)</f>
        <v>1.48180861051097</v>
      </c>
      <c r="X209" s="1667" t="n">
        <f aca="false">HLOOKUP(X$14,Dec_Change,$K209)</f>
        <v>1.02271559082494</v>
      </c>
      <c r="Y209" s="1668" t="n">
        <f aca="false">Y208</f>
        <v>1.02</v>
      </c>
      <c r="Z209" s="1675" t="n">
        <f aca="false">IF(AND($A209&gt;=Z$16,MONTH($A209)=MONTH(Z$16)),MAX(X209,Y209)*Z208,Z208)</f>
        <v>1.44008797467612</v>
      </c>
      <c r="AB209" s="1667" t="n">
        <f aca="false">HLOOKUP(AB$14,Dec_Change,$K209)</f>
        <v>1.02271559082494</v>
      </c>
      <c r="AC209" s="1668" t="n">
        <f aca="false">AC208</f>
        <v>1.02</v>
      </c>
      <c r="AD209" s="1675" t="n">
        <f aca="false">IF(AND($A209&gt;=AD$16,MONTH($A209)=MONTH(AD$16)),MAX(AB209,AC209)*AD208,AD208)</f>
        <v>1.44008797467612</v>
      </c>
      <c r="AF209" s="1667" t="n">
        <f aca="false">HLOOKUP(AF$14,Dec_Change,$K209)</f>
        <v>1.072</v>
      </c>
      <c r="AG209" s="1668" t="n">
        <f aca="false">AG208</f>
        <v>0</v>
      </c>
      <c r="AH209" s="1675" t="n">
        <f aca="false">IF(AND($A209&gt;=AH$16,MONTH($A209)=MONTH(AH$16)),MAX(AF209,AG209)*AH208,AH208)</f>
        <v>3.20741235439648</v>
      </c>
      <c r="AJ209" s="1667" t="n">
        <f aca="false">HLOOKUP(AJ$14,Dec_Change,$K209)</f>
        <v>1.02271559082494</v>
      </c>
      <c r="AK209" s="1668" t="n">
        <f aca="false">AK208</f>
        <v>1.02</v>
      </c>
      <c r="AL209" s="1675" t="n">
        <f aca="false">IF(AND($A209&gt;=AL$16,MONTH($A209)=MONTH(AL$16)),MAX(AJ209,AK209)*AL208,AL208)</f>
        <v>1.44008797467612</v>
      </c>
      <c r="AN209" s="1667" t="n">
        <f aca="false">HLOOKUP(AN$14,Dec_Change,$K209)</f>
        <v>1.02521559082494</v>
      </c>
      <c r="AO209" s="1668" t="n">
        <f aca="false">AO208</f>
        <v>1.005</v>
      </c>
      <c r="AP209" s="1675" t="n">
        <f aca="false">IF(AND($A209&gt;=AP$16,MONTH($A209)=MONTH(AP$16)),MAX(AN209,AO209)*AP208,AP208)</f>
        <v>1.48180861051097</v>
      </c>
      <c r="AR209" s="1670" t="n">
        <f aca="false">$A209</f>
        <v>41183</v>
      </c>
      <c r="AS209" s="1671" t="n">
        <f aca="false">IF(AND($A209&gt;=EDATE(AS$17,12),IF(Assm!$L$74=0,$D209,$E209)/AS208&gt;=1.05),IF(Assm!$L$74=0,$D209,$E209),AS208)</f>
        <v>2.64024047948862</v>
      </c>
      <c r="AT209" s="1671" t="n">
        <f aca="false">IF(AS209/AS208=1,AT208,AS209/AS208)</f>
        <v>1.05178373226943</v>
      </c>
      <c r="AU209" s="1671" t="n">
        <f aca="false">F209</f>
        <v>1.072</v>
      </c>
      <c r="AV209" s="1671" t="n">
        <f aca="false">MAX(AT209,AU209)</f>
        <v>1.072</v>
      </c>
      <c r="AW209" s="1675" t="n">
        <f aca="false">IF(AV209=AV208,AW208,AV209*AW208)</f>
        <v>3.0057179991744</v>
      </c>
    </row>
    <row r="210" customFormat="false" ht="12.75" hidden="false" customHeight="false" outlineLevel="0" collapsed="false">
      <c r="A210" s="1673" t="n">
        <f aca="false">EDATE(A209,1)</f>
        <v>41214</v>
      </c>
      <c r="B210" s="1659" t="n">
        <f aca="false">'[4]Monthly Curve Calc.'!B213</f>
        <v>466.978987440241</v>
      </c>
      <c r="C210" s="1660" t="n">
        <f aca="false">'[4]Monthly Curve Calc.'!C213</f>
        <v>240.841068457545</v>
      </c>
      <c r="D210" s="1661" t="n">
        <f aca="false">'[4]Monthly Curve Calc.'!F213</f>
        <v>2.75579154383157</v>
      </c>
      <c r="E210" s="1662" t="n">
        <f aca="false">IF($A210&lt;=E$16,D210,(B210/B209)/(C210/C209)*E209)</f>
        <v>2.36285941732488</v>
      </c>
      <c r="F210" s="1674" t="n">
        <f aca="false">IF(Assm!$L$75=0,F209,IF(AND($A210&gt;F$16,MONTH($A210)=MONTH(F$16)),B209/B197,F209))</f>
        <v>1.072</v>
      </c>
      <c r="G210" s="1668" t="n">
        <f aca="false">IF(Assm!$L$75=0,G209,IF(AND($A210&gt;G$16,MONTH($A210)=MONTH(G$16)),C209/C197,G209))</f>
        <v>1.02521559082494</v>
      </c>
      <c r="H210" s="1668" t="n">
        <f aca="false">IF(Assm!$L$75=0,H209,IF(AND($A210&gt;H$16,MONTH($A210)=MONTH(H$16)),C209/C197-H$18,H209))</f>
        <v>1.02271559082494</v>
      </c>
      <c r="I210" s="1668" t="n">
        <f aca="false">IF(Assm!$L$75=0,I209,IF($A210&gt;=I$16,IF(MONTH($A210)=MONTH(I$16),AVERAGE(D198:D209),I209),I209))</f>
        <v>2.68061600022471</v>
      </c>
      <c r="J210" s="1675" t="n">
        <f aca="false">IF(Assm!$L$75=0,J209,IF($A210&gt;=J$16,IF(MONTH($A210)=MONTH(J$16),AVERAGE(E198:E209),J209),J209))</f>
        <v>2.22222383533482</v>
      </c>
      <c r="K210" s="1624" t="n">
        <f aca="false">K209+1</f>
        <v>198</v>
      </c>
      <c r="L210" s="1667" t="n">
        <f aca="false">HLOOKUP(L$14,Dec_Change,$K210)</f>
        <v>1.02521559082494</v>
      </c>
      <c r="M210" s="1668" t="n">
        <f aca="false">M209</f>
        <v>0</v>
      </c>
      <c r="N210" s="1675" t="n">
        <f aca="false">IF(AND($A210&gt;=N$16,MONTH($A210)=MONTH(N$16)),MAX(L210,M210)*N209,N209)</f>
        <v>1.48180861051097</v>
      </c>
      <c r="P210" s="1667" t="n">
        <f aca="false">HLOOKUP(P$14,Dec_Change,$K210)</f>
        <v>1.072</v>
      </c>
      <c r="Q210" s="1668" t="n">
        <f aca="false">Q209</f>
        <v>0</v>
      </c>
      <c r="R210" s="1675" t="n">
        <f aca="false">IF(AND($A210&gt;=R$16,MONTH($A210)=MONTH(R$16)),MAX(P210,Q210)*R209,R209)</f>
        <v>3.20741235439648</v>
      </c>
      <c r="T210" s="1667" t="n">
        <f aca="false">HLOOKUP(T$14,Dec_Change,$K210)</f>
        <v>1.02521559082494</v>
      </c>
      <c r="U210" s="1668" t="n">
        <f aca="false">U209</f>
        <v>1.005</v>
      </c>
      <c r="V210" s="1675" t="n">
        <f aca="false">IF(AND($A210&gt;=V$16,MONTH($A210)=MONTH(V$16)),MAX(T210,U210)*V209,V209)</f>
        <v>1.48180861051097</v>
      </c>
      <c r="X210" s="1667" t="n">
        <f aca="false">HLOOKUP(X$14,Dec_Change,$K210)</f>
        <v>1.02271559082494</v>
      </c>
      <c r="Y210" s="1668" t="n">
        <f aca="false">Y209</f>
        <v>1.02</v>
      </c>
      <c r="Z210" s="1675" t="n">
        <f aca="false">IF(AND($A210&gt;=Z$16,MONTH($A210)=MONTH(Z$16)),MAX(X210,Y210)*Z209,Z209)</f>
        <v>1.44008797467612</v>
      </c>
      <c r="AB210" s="1667" t="n">
        <f aca="false">HLOOKUP(AB$14,Dec_Change,$K210)</f>
        <v>1.02271559082494</v>
      </c>
      <c r="AC210" s="1668" t="n">
        <f aca="false">AC209</f>
        <v>1.02</v>
      </c>
      <c r="AD210" s="1675" t="n">
        <f aca="false">IF(AND($A210&gt;=AD$16,MONTH($A210)=MONTH(AD$16)),MAX(AB210,AC210)*AD209,AD209)</f>
        <v>1.44008797467612</v>
      </c>
      <c r="AF210" s="1667" t="n">
        <f aca="false">HLOOKUP(AF$14,Dec_Change,$K210)</f>
        <v>1.072</v>
      </c>
      <c r="AG210" s="1668" t="n">
        <f aca="false">AG209</f>
        <v>0</v>
      </c>
      <c r="AH210" s="1675" t="n">
        <f aca="false">IF(AND($A210&gt;=AH$16,MONTH($A210)=MONTH(AH$16)),MAX(AF210,AG210)*AH209,AH209)</f>
        <v>3.20741235439648</v>
      </c>
      <c r="AJ210" s="1667" t="n">
        <f aca="false">HLOOKUP(AJ$14,Dec_Change,$K210)</f>
        <v>1.02271559082494</v>
      </c>
      <c r="AK210" s="1668" t="n">
        <f aca="false">AK209</f>
        <v>1.02</v>
      </c>
      <c r="AL210" s="1675" t="n">
        <f aca="false">IF(AND($A210&gt;=AL$16,MONTH($A210)=MONTH(AL$16)),MAX(AJ210,AK210)*AL209,AL209)</f>
        <v>1.44008797467612</v>
      </c>
      <c r="AN210" s="1667" t="n">
        <f aca="false">HLOOKUP(AN$14,Dec_Change,$K210)</f>
        <v>1.02521559082494</v>
      </c>
      <c r="AO210" s="1668" t="n">
        <f aca="false">AO209</f>
        <v>1.005</v>
      </c>
      <c r="AP210" s="1675" t="n">
        <f aca="false">IF(AND($A210&gt;=AP$16,MONTH($A210)=MONTH(AP$16)),MAX(AN210,AO210)*AP209,AP209)</f>
        <v>1.48180861051097</v>
      </c>
      <c r="AR210" s="1670" t="n">
        <f aca="false">$A210</f>
        <v>41214</v>
      </c>
      <c r="AS210" s="1671" t="n">
        <f aca="false">IF(AND($A210&gt;=EDATE(AS$17,12),IF(Assm!$L$74=0,$D210,$E210)/AS209&gt;=1.05),IF(Assm!$L$74=0,$D210,$E210),AS209)</f>
        <v>2.64024047948862</v>
      </c>
      <c r="AT210" s="1671" t="n">
        <f aca="false">IF(AS210/AS209=1,AT209,AS210/AS209)</f>
        <v>1.05178373226943</v>
      </c>
      <c r="AU210" s="1671" t="n">
        <f aca="false">F210</f>
        <v>1.072</v>
      </c>
      <c r="AV210" s="1671" t="n">
        <f aca="false">MAX(AT210,AU210)</f>
        <v>1.072</v>
      </c>
      <c r="AW210" s="1675" t="n">
        <f aca="false">IF(AV210=AV209,AW209,AV210*AW209)</f>
        <v>3.0057179991744</v>
      </c>
    </row>
    <row r="211" customFormat="false" ht="12.75" hidden="false" customHeight="false" outlineLevel="0" collapsed="false">
      <c r="A211" s="1673" t="n">
        <f aca="false">EDATE(A210,1)</f>
        <v>41244</v>
      </c>
      <c r="B211" s="1659" t="n">
        <f aca="false">'[4]Monthly Curve Calc.'!B214</f>
        <v>469.692441368036</v>
      </c>
      <c r="C211" s="1660" t="n">
        <f aca="false">'[4]Monthly Curve Calc.'!C214</f>
        <v>241.338775641934</v>
      </c>
      <c r="D211" s="1661" t="n">
        <f aca="false">'[4]Monthly Curve Calc.'!F214</f>
        <v>2.76034038640265</v>
      </c>
      <c r="E211" s="1662" t="n">
        <f aca="false">IF($A211&lt;=E$16,D211,(B211/B210)/(C211/C210)*E210)</f>
        <v>2.37168799590077</v>
      </c>
      <c r="F211" s="1674" t="n">
        <f aca="false">IF(Assm!$L$75=0,F210,IF(AND($A211&gt;F$16,MONTH($A211)=MONTH(F$16)),B210/B198,F210))</f>
        <v>1.072</v>
      </c>
      <c r="G211" s="1668" t="n">
        <f aca="false">IF(Assm!$L$75=0,G210,IF(AND($A211&gt;G$16,MONTH($A211)=MONTH(G$16)),C210/C198,G210))</f>
        <v>1.02521559082494</v>
      </c>
      <c r="H211" s="1668" t="n">
        <f aca="false">IF(Assm!$L$75=0,H210,IF(AND($A211&gt;H$16,MONTH($A211)=MONTH(H$16)),C210/C198-H$18,H210))</f>
        <v>1.02271559082494</v>
      </c>
      <c r="I211" s="1668" t="n">
        <f aca="false">IF(Assm!$L$75=0,I210,IF($A211&gt;=I$16,IF(MONTH($A211)=MONTH(I$16),AVERAGE(D199:D210),I210),I210))</f>
        <v>2.68061600022471</v>
      </c>
      <c r="J211" s="1675" t="n">
        <f aca="false">IF(Assm!$L$75=0,J210,IF($A211&gt;=J$16,IF(MONTH($A211)=MONTH(J$16),AVERAGE(E199:E210),J210),J210))</f>
        <v>2.22222383533482</v>
      </c>
      <c r="K211" s="1624" t="n">
        <f aca="false">K210+1</f>
        <v>199</v>
      </c>
      <c r="L211" s="1667" t="n">
        <f aca="false">HLOOKUP(L$14,Dec_Change,$K211)</f>
        <v>1.02521559082494</v>
      </c>
      <c r="M211" s="1668" t="n">
        <f aca="false">M210</f>
        <v>0</v>
      </c>
      <c r="N211" s="1675" t="n">
        <f aca="false">IF(AND($A211&gt;=N$16,MONTH($A211)=MONTH(N$16)),MAX(L211,M211)*N210,N210)</f>
        <v>1.48180861051097</v>
      </c>
      <c r="P211" s="1667" t="n">
        <f aca="false">HLOOKUP(P$14,Dec_Change,$K211)</f>
        <v>1.072</v>
      </c>
      <c r="Q211" s="1668" t="n">
        <f aca="false">Q210</f>
        <v>0</v>
      </c>
      <c r="R211" s="1675" t="n">
        <f aca="false">IF(AND($A211&gt;=R$16,MONTH($A211)=MONTH(R$16)),MAX(P211,Q211)*R210,R210)</f>
        <v>3.20741235439648</v>
      </c>
      <c r="T211" s="1667" t="n">
        <f aca="false">HLOOKUP(T$14,Dec_Change,$K211)</f>
        <v>1.02521559082494</v>
      </c>
      <c r="U211" s="1668" t="n">
        <f aca="false">U210</f>
        <v>1.005</v>
      </c>
      <c r="V211" s="1675" t="n">
        <f aca="false">IF(AND($A211&gt;=V$16,MONTH($A211)=MONTH(V$16)),MAX(T211,U211)*V210,V210)</f>
        <v>1.48180861051097</v>
      </c>
      <c r="X211" s="1667" t="n">
        <f aca="false">HLOOKUP(X$14,Dec_Change,$K211)</f>
        <v>1.02271559082494</v>
      </c>
      <c r="Y211" s="1668" t="n">
        <f aca="false">Y210</f>
        <v>1.02</v>
      </c>
      <c r="Z211" s="1675" t="n">
        <f aca="false">IF(AND($A211&gt;=Z$16,MONTH($A211)=MONTH(Z$16)),MAX(X211,Y211)*Z210,Z210)</f>
        <v>1.44008797467612</v>
      </c>
      <c r="AB211" s="1667" t="n">
        <f aca="false">HLOOKUP(AB$14,Dec_Change,$K211)</f>
        <v>1.02271559082494</v>
      </c>
      <c r="AC211" s="1668" t="n">
        <f aca="false">AC210</f>
        <v>1.02</v>
      </c>
      <c r="AD211" s="1675" t="n">
        <f aca="false">IF(AND($A211&gt;=AD$16,MONTH($A211)=MONTH(AD$16)),MAX(AB211,AC211)*AD210,AD210)</f>
        <v>1.44008797467612</v>
      </c>
      <c r="AF211" s="1667" t="n">
        <f aca="false">HLOOKUP(AF$14,Dec_Change,$K211)</f>
        <v>1.072</v>
      </c>
      <c r="AG211" s="1668" t="n">
        <f aca="false">AG210</f>
        <v>0</v>
      </c>
      <c r="AH211" s="1675" t="n">
        <f aca="false">IF(AND($A211&gt;=AH$16,MONTH($A211)=MONTH(AH$16)),MAX(AF211,AG211)*AH210,AH210)</f>
        <v>3.20741235439648</v>
      </c>
      <c r="AJ211" s="1667" t="n">
        <f aca="false">HLOOKUP(AJ$14,Dec_Change,$K211)</f>
        <v>1.02271559082494</v>
      </c>
      <c r="AK211" s="1668" t="n">
        <f aca="false">AK210</f>
        <v>1.02</v>
      </c>
      <c r="AL211" s="1675" t="n">
        <f aca="false">IF(AND($A211&gt;=AL$16,MONTH($A211)=MONTH(AL$16)),MAX(AJ211,AK211)*AL210,AL210)</f>
        <v>1.44008797467612</v>
      </c>
      <c r="AN211" s="1667" t="n">
        <f aca="false">HLOOKUP(AN$14,Dec_Change,$K211)</f>
        <v>1.02521559082494</v>
      </c>
      <c r="AO211" s="1668" t="n">
        <f aca="false">AO210</f>
        <v>1.005</v>
      </c>
      <c r="AP211" s="1675" t="n">
        <f aca="false">IF(AND($A211&gt;=AP$16,MONTH($A211)=MONTH(AP$16)),MAX(AN211,AO211)*AP210,AP210)</f>
        <v>1.48180861051097</v>
      </c>
      <c r="AR211" s="1670" t="n">
        <f aca="false">$A211</f>
        <v>41244</v>
      </c>
      <c r="AS211" s="1671" t="n">
        <f aca="false">IF(AND($A211&gt;=EDATE(AS$17,12),IF(Assm!$L$74=0,$D211,$E211)/AS210&gt;=1.05),IF(Assm!$L$74=0,$D211,$E211),AS210)</f>
        <v>2.64024047948862</v>
      </c>
      <c r="AT211" s="1671" t="n">
        <f aca="false">IF(AS211/AS210=1,AT210,AS211/AS210)</f>
        <v>1.05178373226943</v>
      </c>
      <c r="AU211" s="1671" t="n">
        <f aca="false">F211</f>
        <v>1.072</v>
      </c>
      <c r="AV211" s="1671" t="n">
        <f aca="false">MAX(AT211,AU211)</f>
        <v>1.072</v>
      </c>
      <c r="AW211" s="1675" t="n">
        <f aca="false">IF(AV211=AV210,AW210,AV211*AW210)</f>
        <v>3.0057179991744</v>
      </c>
    </row>
    <row r="212" customFormat="false" ht="12.75" hidden="false" customHeight="false" outlineLevel="0" collapsed="false">
      <c r="A212" s="1673" t="n">
        <f aca="false">EDATE(A211,1)</f>
        <v>41275</v>
      </c>
      <c r="B212" s="1659" t="n">
        <f aca="false">'[4]Monthly Curve Calc.'!B215</f>
        <v>472.348150718896</v>
      </c>
      <c r="C212" s="1660" t="n">
        <f aca="false">'[4]Monthly Curve Calc.'!C215</f>
        <v>241.838903844445</v>
      </c>
      <c r="D212" s="1661" t="n">
        <f aca="false">'[4]Monthly Curve Calc.'!F215</f>
        <v>2.76492823407979</v>
      </c>
      <c r="E212" s="1662" t="n">
        <f aca="false">IF($A212&lt;=E$16,D212,(B212/B211)/(C212/C211)*E211)</f>
        <v>2.38016542950185</v>
      </c>
      <c r="F212" s="1674" t="n">
        <f aca="false">IF(Assm!$L$75=0,F211,IF(AND($A212&gt;F$16,MONTH($A212)=MONTH(F$16)),B211/B199,F211))</f>
        <v>1.072</v>
      </c>
      <c r="G212" s="1668" t="n">
        <f aca="false">IF(Assm!$L$75=0,G211,IF(AND($A212&gt;G$16,MONTH($A212)=MONTH(G$16)),C211/C199,G211))</f>
        <v>1.02521559082494</v>
      </c>
      <c r="H212" s="1668" t="n">
        <f aca="false">IF(Assm!$L$75=0,H211,IF(AND($A212&gt;H$16,MONTH($A212)=MONTH(H$16)),C211/C199-H$18,H211))</f>
        <v>1.02271559082494</v>
      </c>
      <c r="I212" s="1668" t="n">
        <f aca="false">IF(Assm!$L$75=0,I211,IF($A212&gt;=I$16,IF(MONTH($A212)=MONTH(I$16),AVERAGE(D200:D211),I211),I211))</f>
        <v>2.73545867373882</v>
      </c>
      <c r="J212" s="1675" t="n">
        <f aca="false">IF(Assm!$L$75=0,J211,IF($A212&gt;=J$16,IF(MONTH($A212)=MONTH(J$16),AVERAGE(E200:E211),J211),J211))</f>
        <v>2.32372830892041</v>
      </c>
      <c r="K212" s="1624" t="n">
        <f aca="false">K211+1</f>
        <v>200</v>
      </c>
      <c r="L212" s="1667" t="n">
        <f aca="false">HLOOKUP(L$14,Dec_Change,$K212)</f>
        <v>1.02521559082494</v>
      </c>
      <c r="M212" s="1668" t="n">
        <f aca="false">M211</f>
        <v>0</v>
      </c>
      <c r="N212" s="1675" t="n">
        <f aca="false">IF(AND($A212&gt;=N$16,MONTH($A212)=MONTH(N$16)),MAX(L212,M212)*N211,N211)</f>
        <v>1.48180861051097</v>
      </c>
      <c r="P212" s="1667" t="n">
        <f aca="false">HLOOKUP(P$14,Dec_Change,$K212)</f>
        <v>1.072</v>
      </c>
      <c r="Q212" s="1668" t="n">
        <f aca="false">Q211</f>
        <v>0</v>
      </c>
      <c r="R212" s="1675" t="n">
        <f aca="false">IF(AND($A212&gt;=R$16,MONTH($A212)=MONTH(R$16)),MAX(P212,Q212)*R211,R211)</f>
        <v>3.20741235439648</v>
      </c>
      <c r="T212" s="1667" t="n">
        <f aca="false">HLOOKUP(T$14,Dec_Change,$K212)</f>
        <v>1.02521559082494</v>
      </c>
      <c r="U212" s="1668" t="n">
        <f aca="false">U211</f>
        <v>1.005</v>
      </c>
      <c r="V212" s="1675" t="n">
        <f aca="false">IF(AND($A212&gt;=V$16,MONTH($A212)=MONTH(V$16)),MAX(T212,U212)*V211,V211)</f>
        <v>1.48180861051097</v>
      </c>
      <c r="X212" s="1667" t="n">
        <f aca="false">HLOOKUP(X$14,Dec_Change,$K212)</f>
        <v>1.02271559082494</v>
      </c>
      <c r="Y212" s="1668" t="n">
        <f aca="false">Y211</f>
        <v>1.02</v>
      </c>
      <c r="Z212" s="1675" t="n">
        <f aca="false">IF(AND($A212&gt;=Z$16,MONTH($A212)=MONTH(Z$16)),MAX(X212,Y212)*Z211,Z211)</f>
        <v>1.44008797467612</v>
      </c>
      <c r="AB212" s="1667" t="n">
        <f aca="false">HLOOKUP(AB$14,Dec_Change,$K212)</f>
        <v>1.02271559082494</v>
      </c>
      <c r="AC212" s="1668" t="n">
        <f aca="false">AC211</f>
        <v>1.02</v>
      </c>
      <c r="AD212" s="1675" t="n">
        <f aca="false">IF(AND($A212&gt;=AD$16,MONTH($A212)=MONTH(AD$16)),MAX(AB212,AC212)*AD211,AD211)</f>
        <v>1.44008797467612</v>
      </c>
      <c r="AF212" s="1667" t="n">
        <f aca="false">HLOOKUP(AF$14,Dec_Change,$K212)</f>
        <v>1.072</v>
      </c>
      <c r="AG212" s="1668" t="n">
        <f aca="false">AG211</f>
        <v>0</v>
      </c>
      <c r="AH212" s="1675" t="n">
        <f aca="false">IF(AND($A212&gt;=AH$16,MONTH($A212)=MONTH(AH$16)),MAX(AF212,AG212)*AH211,AH211)</f>
        <v>3.20741235439648</v>
      </c>
      <c r="AJ212" s="1667" t="n">
        <f aca="false">HLOOKUP(AJ$14,Dec_Change,$K212)</f>
        <v>1.02271559082494</v>
      </c>
      <c r="AK212" s="1668" t="n">
        <f aca="false">AK211</f>
        <v>1.02</v>
      </c>
      <c r="AL212" s="1675" t="n">
        <f aca="false">IF(AND($A212&gt;=AL$16,MONTH($A212)=MONTH(AL$16)),MAX(AJ212,AK212)*AL211,AL211)</f>
        <v>1.44008797467612</v>
      </c>
      <c r="AN212" s="1667" t="n">
        <f aca="false">HLOOKUP(AN$14,Dec_Change,$K212)</f>
        <v>1.02521559082494</v>
      </c>
      <c r="AO212" s="1668" t="n">
        <f aca="false">AO211</f>
        <v>1.005</v>
      </c>
      <c r="AP212" s="1675" t="n">
        <f aca="false">IF(AND($A212&gt;=AP$16,MONTH($A212)=MONTH(AP$16)),MAX(AN212,AO212)*AP211,AP211)</f>
        <v>1.48180861051097</v>
      </c>
      <c r="AR212" s="1670" t="n">
        <f aca="false">$A212</f>
        <v>41275</v>
      </c>
      <c r="AS212" s="1671" t="n">
        <f aca="false">IF(AND($A212&gt;=EDATE(AS$17,12),IF(Assm!$L$74=0,$D212,$E212)/AS211&gt;=1.05),IF(Assm!$L$74=0,$D212,$E212),AS211)</f>
        <v>2.64024047948862</v>
      </c>
      <c r="AT212" s="1671" t="n">
        <f aca="false">IF(AS212/AS211=1,AT211,AS212/AS211)</f>
        <v>1.05178373226943</v>
      </c>
      <c r="AU212" s="1671" t="n">
        <f aca="false">F212</f>
        <v>1.072</v>
      </c>
      <c r="AV212" s="1671" t="n">
        <f aca="false">MAX(AT212,AU212)</f>
        <v>1.072</v>
      </c>
      <c r="AW212" s="1675" t="n">
        <f aca="false">IF(AV212=AV211,AW211,AV212*AW211)</f>
        <v>3.0057179991744</v>
      </c>
    </row>
    <row r="213" customFormat="false" ht="12.75" hidden="false" customHeight="false" outlineLevel="0" collapsed="false">
      <c r="A213" s="1673" t="n">
        <f aca="false">EDATE(A212,1)</f>
        <v>41306</v>
      </c>
      <c r="B213" s="1659" t="n">
        <f aca="false">'[4]Monthly Curve Calc.'!B216</f>
        <v>475.018875836533</v>
      </c>
      <c r="C213" s="1660" t="n">
        <f aca="false">'[4]Monthly Curve Calc.'!C216</f>
        <v>242.34006846648</v>
      </c>
      <c r="D213" s="1661" t="n">
        <f aca="false">'[4]Monthly Curve Calc.'!F216</f>
        <v>2.76952370702894</v>
      </c>
      <c r="E213" s="1662" t="n">
        <f aca="false">IF($A213&lt;=E$16,D213,(B213/B212)/(C213/C212)*E212)</f>
        <v>2.38867316509905</v>
      </c>
      <c r="F213" s="1674" t="n">
        <f aca="false">IF(Assm!$L$75=0,F212,IF(AND($A213&gt;F$16,MONTH($A213)=MONTH(F$16)),B212/B200,F212))</f>
        <v>1.072</v>
      </c>
      <c r="G213" s="1668" t="n">
        <f aca="false">IF(Assm!$L$75=0,G212,IF(AND($A213&gt;G$16,MONTH($A213)=MONTH(G$16)),C212/C200,G212))</f>
        <v>1.02521559082494</v>
      </c>
      <c r="H213" s="1668" t="n">
        <f aca="false">IF(Assm!$L$75=0,H212,IF(AND($A213&gt;H$16,MONTH($A213)=MONTH(H$16)),C212/C200-H$18,H212))</f>
        <v>1.02271559082494</v>
      </c>
      <c r="I213" s="1668" t="n">
        <f aca="false">IF(Assm!$L$75=0,I212,IF($A213&gt;=I$16,IF(MONTH($A213)=MONTH(I$16),AVERAGE(D201:D212),I212),I212))</f>
        <v>2.73545867373882</v>
      </c>
      <c r="J213" s="1675" t="n">
        <f aca="false">IF(Assm!$L$75=0,J212,IF($A213&gt;=J$16,IF(MONTH($A213)=MONTH(J$16),AVERAGE(E201:E212),J212),J212))</f>
        <v>2.32372830892041</v>
      </c>
      <c r="K213" s="1624" t="n">
        <f aca="false">K212+1</f>
        <v>201</v>
      </c>
      <c r="L213" s="1667" t="n">
        <f aca="false">HLOOKUP(L$14,Dec_Change,$K213)</f>
        <v>1.02521559082494</v>
      </c>
      <c r="M213" s="1668" t="n">
        <f aca="false">M212</f>
        <v>0</v>
      </c>
      <c r="N213" s="1675" t="n">
        <f aca="false">IF(AND($A213&gt;=N$16,MONTH($A213)=MONTH(N$16)),MAX(L213,M213)*N212,N212)</f>
        <v>1.48180861051097</v>
      </c>
      <c r="P213" s="1667" t="n">
        <f aca="false">HLOOKUP(P$14,Dec_Change,$K213)</f>
        <v>1.072</v>
      </c>
      <c r="Q213" s="1668" t="n">
        <f aca="false">Q212</f>
        <v>0</v>
      </c>
      <c r="R213" s="1675" t="n">
        <f aca="false">IF(AND($A213&gt;=R$16,MONTH($A213)=MONTH(R$16)),MAX(P213,Q213)*R212,R212)</f>
        <v>3.20741235439648</v>
      </c>
      <c r="T213" s="1667" t="n">
        <f aca="false">HLOOKUP(T$14,Dec_Change,$K213)</f>
        <v>1.02521559082494</v>
      </c>
      <c r="U213" s="1668" t="n">
        <f aca="false">U212</f>
        <v>1.005</v>
      </c>
      <c r="V213" s="1675" t="n">
        <f aca="false">IF(AND($A213&gt;=V$16,MONTH($A213)=MONTH(V$16)),MAX(T213,U213)*V212,V212)</f>
        <v>1.48180861051097</v>
      </c>
      <c r="X213" s="1667" t="n">
        <f aca="false">HLOOKUP(X$14,Dec_Change,$K213)</f>
        <v>1.02271559082494</v>
      </c>
      <c r="Y213" s="1668" t="n">
        <f aca="false">Y212</f>
        <v>1.02</v>
      </c>
      <c r="Z213" s="1675" t="n">
        <f aca="false">IF(AND($A213&gt;=Z$16,MONTH($A213)=MONTH(Z$16)),MAX(X213,Y213)*Z212,Z212)</f>
        <v>1.44008797467612</v>
      </c>
      <c r="AB213" s="1667" t="n">
        <f aca="false">HLOOKUP(AB$14,Dec_Change,$K213)</f>
        <v>1.02271559082494</v>
      </c>
      <c r="AC213" s="1668" t="n">
        <f aca="false">AC212</f>
        <v>1.02</v>
      </c>
      <c r="AD213" s="1675" t="n">
        <f aca="false">IF(AND($A213&gt;=AD$16,MONTH($A213)=MONTH(AD$16)),MAX(AB213,AC213)*AD212,AD212)</f>
        <v>1.44008797467612</v>
      </c>
      <c r="AF213" s="1667" t="n">
        <f aca="false">HLOOKUP(AF$14,Dec_Change,$K213)</f>
        <v>1.072</v>
      </c>
      <c r="AG213" s="1668" t="n">
        <f aca="false">AG212</f>
        <v>0</v>
      </c>
      <c r="AH213" s="1675" t="n">
        <f aca="false">IF(AND($A213&gt;=AH$16,MONTH($A213)=MONTH(AH$16)),MAX(AF213,AG213)*AH212,AH212)</f>
        <v>3.20741235439648</v>
      </c>
      <c r="AJ213" s="1667" t="n">
        <f aca="false">HLOOKUP(AJ$14,Dec_Change,$K213)</f>
        <v>1.02271559082494</v>
      </c>
      <c r="AK213" s="1668" t="n">
        <f aca="false">AK212</f>
        <v>1.02</v>
      </c>
      <c r="AL213" s="1675" t="n">
        <f aca="false">IF(AND($A213&gt;=AL$16,MONTH($A213)=MONTH(AL$16)),MAX(AJ213,AK213)*AL212,AL212)</f>
        <v>1.44008797467612</v>
      </c>
      <c r="AN213" s="1667" t="n">
        <f aca="false">HLOOKUP(AN$14,Dec_Change,$K213)</f>
        <v>1.02521559082494</v>
      </c>
      <c r="AO213" s="1668" t="n">
        <f aca="false">AO212</f>
        <v>1.005</v>
      </c>
      <c r="AP213" s="1675" t="n">
        <f aca="false">IF(AND($A213&gt;=AP$16,MONTH($A213)=MONTH(AP$16)),MAX(AN213,AO213)*AP212,AP212)</f>
        <v>1.48180861051097</v>
      </c>
      <c r="AR213" s="1670" t="n">
        <f aca="false">$A213</f>
        <v>41306</v>
      </c>
      <c r="AS213" s="1671" t="n">
        <f aca="false">IF(AND($A213&gt;=EDATE(AS$17,12),IF(Assm!$L$74=0,$D213,$E213)/AS212&gt;=1.05),IF(Assm!$L$74=0,$D213,$E213),AS212)</f>
        <v>2.64024047948862</v>
      </c>
      <c r="AT213" s="1671" t="n">
        <f aca="false">IF(AS213/AS212=1,AT212,AS213/AS212)</f>
        <v>1.05178373226943</v>
      </c>
      <c r="AU213" s="1671" t="n">
        <f aca="false">F213</f>
        <v>1.072</v>
      </c>
      <c r="AV213" s="1671" t="n">
        <f aca="false">MAX(AT213,AU213)</f>
        <v>1.072</v>
      </c>
      <c r="AW213" s="1675" t="n">
        <f aca="false">IF(AV213=AV212,AW212,AV213*AW212)</f>
        <v>3.0057179991744</v>
      </c>
    </row>
    <row r="214" customFormat="false" ht="12.75" hidden="false" customHeight="false" outlineLevel="0" collapsed="false">
      <c r="A214" s="1673" t="n">
        <f aca="false">EDATE(A213,1)</f>
        <v>41334</v>
      </c>
      <c r="B214" s="1659" t="n">
        <f aca="false">'[4]Monthly Curve Calc.'!B217</f>
        <v>477.704701622274</v>
      </c>
      <c r="C214" s="1660" t="n">
        <f aca="false">'[4]Monthly Curve Calc.'!C217</f>
        <v>242.84227165582</v>
      </c>
      <c r="D214" s="1661" t="n">
        <f aca="false">'[4]Monthly Curve Calc.'!F217</f>
        <v>2.77412681792376</v>
      </c>
      <c r="E214" s="1662" t="n">
        <f aca="false">IF($A214&lt;=E$16,D214,(B214/B213)/(C214/C213)*E213)</f>
        <v>2.39721131100476</v>
      </c>
      <c r="F214" s="1674" t="n">
        <f aca="false">IF(Assm!$L$75=0,F213,IF(AND($A214&gt;F$16,MONTH($A214)=MONTH(F$16)),B213/B201,F213))</f>
        <v>1.072</v>
      </c>
      <c r="G214" s="1668" t="n">
        <f aca="false">IF(Assm!$L$75=0,G213,IF(AND($A214&gt;G$16,MONTH($A214)=MONTH(G$16)),C213/C201,G213))</f>
        <v>1.02521559082494</v>
      </c>
      <c r="H214" s="1668" t="n">
        <f aca="false">IF(Assm!$L$75=0,H213,IF(AND($A214&gt;H$16,MONTH($A214)=MONTH(H$16)),C213/C201-H$18,H213))</f>
        <v>1.02271559082494</v>
      </c>
      <c r="I214" s="1668" t="n">
        <f aca="false">IF(Assm!$L$75=0,I213,IF($A214&gt;=I$16,IF(MONTH($A214)=MONTH(I$16),AVERAGE(D202:D213),I213),I213))</f>
        <v>2.73545867373882</v>
      </c>
      <c r="J214" s="1675" t="n">
        <f aca="false">IF(Assm!$L$75=0,J213,IF($A214&gt;=J$16,IF(MONTH($A214)=MONTH(J$16),AVERAGE(E202:E213),J213),J213))</f>
        <v>2.32372830892041</v>
      </c>
      <c r="K214" s="1624" t="n">
        <f aca="false">K213+1</f>
        <v>202</v>
      </c>
      <c r="L214" s="1667" t="n">
        <f aca="false">HLOOKUP(L$14,Dec_Change,$K214)</f>
        <v>1.02521559082494</v>
      </c>
      <c r="M214" s="1668" t="n">
        <f aca="false">M213</f>
        <v>0</v>
      </c>
      <c r="N214" s="1675" t="n">
        <f aca="false">IF(AND($A214&gt;=N$16,MONTH($A214)=MONTH(N$16)),MAX(L214,M214)*N213,N213)</f>
        <v>1.48180861051097</v>
      </c>
      <c r="P214" s="1667" t="n">
        <f aca="false">HLOOKUP(P$14,Dec_Change,$K214)</f>
        <v>1.072</v>
      </c>
      <c r="Q214" s="1668" t="n">
        <f aca="false">Q213</f>
        <v>0</v>
      </c>
      <c r="R214" s="1675" t="n">
        <f aca="false">IF(AND($A214&gt;=R$16,MONTH($A214)=MONTH(R$16)),MAX(P214,Q214)*R213,R213)</f>
        <v>3.20741235439648</v>
      </c>
      <c r="T214" s="1667" t="n">
        <f aca="false">HLOOKUP(T$14,Dec_Change,$K214)</f>
        <v>1.02521559082494</v>
      </c>
      <c r="U214" s="1668" t="n">
        <f aca="false">U213</f>
        <v>1.005</v>
      </c>
      <c r="V214" s="1675" t="n">
        <f aca="false">IF(AND($A214&gt;=V$16,MONTH($A214)=MONTH(V$16)),MAX(T214,U214)*V213,V213)</f>
        <v>1.48180861051097</v>
      </c>
      <c r="X214" s="1667" t="n">
        <f aca="false">HLOOKUP(X$14,Dec_Change,$K214)</f>
        <v>1.02271559082494</v>
      </c>
      <c r="Y214" s="1668" t="n">
        <f aca="false">Y213</f>
        <v>1.02</v>
      </c>
      <c r="Z214" s="1675" t="n">
        <f aca="false">IF(AND($A214&gt;=Z$16,MONTH($A214)=MONTH(Z$16)),MAX(X214,Y214)*Z213,Z213)</f>
        <v>1.44008797467612</v>
      </c>
      <c r="AB214" s="1667" t="n">
        <f aca="false">HLOOKUP(AB$14,Dec_Change,$K214)</f>
        <v>1.02271559082494</v>
      </c>
      <c r="AC214" s="1668" t="n">
        <f aca="false">AC213</f>
        <v>1.02</v>
      </c>
      <c r="AD214" s="1675" t="n">
        <f aca="false">IF(AND($A214&gt;=AD$16,MONTH($A214)=MONTH(AD$16)),MAX(AB214,AC214)*AD213,AD213)</f>
        <v>1.44008797467612</v>
      </c>
      <c r="AF214" s="1667" t="n">
        <f aca="false">HLOOKUP(AF$14,Dec_Change,$K214)</f>
        <v>1.072</v>
      </c>
      <c r="AG214" s="1668" t="n">
        <f aca="false">AG213</f>
        <v>0</v>
      </c>
      <c r="AH214" s="1675" t="n">
        <f aca="false">IF(AND($A214&gt;=AH$16,MONTH($A214)=MONTH(AH$16)),MAX(AF214,AG214)*AH213,AH213)</f>
        <v>3.20741235439648</v>
      </c>
      <c r="AJ214" s="1667" t="n">
        <f aca="false">HLOOKUP(AJ$14,Dec_Change,$K214)</f>
        <v>1.02271559082494</v>
      </c>
      <c r="AK214" s="1668" t="n">
        <f aca="false">AK213</f>
        <v>1.02</v>
      </c>
      <c r="AL214" s="1675" t="n">
        <f aca="false">IF(AND($A214&gt;=AL$16,MONTH($A214)=MONTH(AL$16)),MAX(AJ214,AK214)*AL213,AL213)</f>
        <v>1.44008797467612</v>
      </c>
      <c r="AN214" s="1667" t="n">
        <f aca="false">HLOOKUP(AN$14,Dec_Change,$K214)</f>
        <v>1.02521559082494</v>
      </c>
      <c r="AO214" s="1668" t="n">
        <f aca="false">AO213</f>
        <v>1.005</v>
      </c>
      <c r="AP214" s="1675" t="n">
        <f aca="false">IF(AND($A214&gt;=AP$16,MONTH($A214)=MONTH(AP$16)),MAX(AN214,AO214)*AP213,AP213)</f>
        <v>1.48180861051097</v>
      </c>
      <c r="AR214" s="1670" t="n">
        <f aca="false">$A214</f>
        <v>41334</v>
      </c>
      <c r="AS214" s="1671" t="n">
        <f aca="false">IF(AND($A214&gt;=EDATE(AS$17,12),IF(Assm!$L$74=0,$D214,$E214)/AS213&gt;=1.05),IF(Assm!$L$74=0,$D214,$E214),AS213)</f>
        <v>2.77412681792376</v>
      </c>
      <c r="AT214" s="1671" t="n">
        <f aca="false">IF(AS214/AS213=1,AT213,AS214/AS213)</f>
        <v>1.05070990293319</v>
      </c>
      <c r="AU214" s="1671" t="n">
        <f aca="false">F214</f>
        <v>1.072</v>
      </c>
      <c r="AV214" s="1671" t="n">
        <f aca="false">MAX(AT214,AU214)</f>
        <v>1.072</v>
      </c>
      <c r="AW214" s="1675" t="n">
        <f aca="false">IF(AV214=AV213,AW213,AV214*AW213)</f>
        <v>3.0057179991744</v>
      </c>
    </row>
    <row r="215" customFormat="false" ht="12.75" hidden="false" customHeight="false" outlineLevel="0" collapsed="false">
      <c r="A215" s="1673" t="n">
        <f aca="false">EDATE(A214,1)</f>
        <v>41365</v>
      </c>
      <c r="B215" s="1659" t="n">
        <f aca="false">'[4]Monthly Curve Calc.'!B218</f>
        <v>480.405713457494</v>
      </c>
      <c r="C215" s="1660" t="n">
        <f aca="false">'[4]Monthly Curve Calc.'!C218</f>
        <v>243.345515564694</v>
      </c>
      <c r="D215" s="1661" t="n">
        <f aca="false">'[4]Monthly Curve Calc.'!F218</f>
        <v>2.77873757945897</v>
      </c>
      <c r="E215" s="1662" t="n">
        <f aca="false">IF($A215&lt;=E$16,D215,(B215/B214)/(C215/C214)*E214)</f>
        <v>2.40577997591849</v>
      </c>
      <c r="F215" s="1674" t="n">
        <f aca="false">IF(Assm!$L$75=0,F214,IF(AND($A215&gt;F$16,MONTH($A215)=MONTH(F$16)),B214/B202,F214))</f>
        <v>1.072</v>
      </c>
      <c r="G215" s="1668" t="n">
        <f aca="false">IF(Assm!$L$75=0,G214,IF(AND($A215&gt;G$16,MONTH($A215)=MONTH(G$16)),C214/C202,G214))</f>
        <v>1.02521559082494</v>
      </c>
      <c r="H215" s="1668" t="n">
        <f aca="false">IF(Assm!$L$75=0,H214,IF(AND($A215&gt;H$16,MONTH($A215)=MONTH(H$16)),C214/C202-H$18,H214))</f>
        <v>1.02271559082494</v>
      </c>
      <c r="I215" s="1668" t="n">
        <f aca="false">IF(Assm!$L$75=0,I214,IF($A215&gt;=I$16,IF(MONTH($A215)=MONTH(I$16),AVERAGE(D203:D214),I214),I214))</f>
        <v>2.73545867373882</v>
      </c>
      <c r="J215" s="1675" t="n">
        <f aca="false">IF(Assm!$L$75=0,J214,IF($A215&gt;=J$16,IF(MONTH($A215)=MONTH(J$16),AVERAGE(E203:E214),J214),J214))</f>
        <v>2.32372830892041</v>
      </c>
      <c r="K215" s="1624" t="n">
        <f aca="false">K214+1</f>
        <v>203</v>
      </c>
      <c r="L215" s="1667" t="n">
        <f aca="false">HLOOKUP(L$14,Dec_Change,$K215)</f>
        <v>1.02521559082494</v>
      </c>
      <c r="M215" s="1668" t="n">
        <f aca="false">M214</f>
        <v>0</v>
      </c>
      <c r="N215" s="1675" t="n">
        <f aca="false">IF(AND($A215&gt;=N$16,MONTH($A215)=MONTH(N$16)),MAX(L215,M215)*N214,N214)</f>
        <v>1.48180861051097</v>
      </c>
      <c r="P215" s="1667" t="n">
        <f aca="false">HLOOKUP(P$14,Dec_Change,$K215)</f>
        <v>1.072</v>
      </c>
      <c r="Q215" s="1668" t="n">
        <f aca="false">Q214</f>
        <v>0</v>
      </c>
      <c r="R215" s="1675" t="n">
        <f aca="false">IF(AND($A215&gt;=R$16,MONTH($A215)=MONTH(R$16)),MAX(P215,Q215)*R214,R214)</f>
        <v>3.20741235439648</v>
      </c>
      <c r="T215" s="1667" t="n">
        <f aca="false">HLOOKUP(T$14,Dec_Change,$K215)</f>
        <v>1.02521559082494</v>
      </c>
      <c r="U215" s="1668" t="n">
        <f aca="false">U214</f>
        <v>1.005</v>
      </c>
      <c r="V215" s="1675" t="n">
        <f aca="false">IF(AND($A215&gt;=V$16,MONTH($A215)=MONTH(V$16)),MAX(T215,U215)*V214,V214)</f>
        <v>1.48180861051097</v>
      </c>
      <c r="X215" s="1667" t="n">
        <f aca="false">HLOOKUP(X$14,Dec_Change,$K215)</f>
        <v>1.02271559082494</v>
      </c>
      <c r="Y215" s="1668" t="n">
        <f aca="false">Y214</f>
        <v>1.02</v>
      </c>
      <c r="Z215" s="1675" t="n">
        <f aca="false">IF(AND($A215&gt;=Z$16,MONTH($A215)=MONTH(Z$16)),MAX(X215,Y215)*Z214,Z214)</f>
        <v>1.44008797467612</v>
      </c>
      <c r="AB215" s="1667" t="n">
        <f aca="false">HLOOKUP(AB$14,Dec_Change,$K215)</f>
        <v>1.02271559082494</v>
      </c>
      <c r="AC215" s="1668" t="n">
        <f aca="false">AC214</f>
        <v>1.02</v>
      </c>
      <c r="AD215" s="1675" t="n">
        <f aca="false">IF(AND($A215&gt;=AD$16,MONTH($A215)=MONTH(AD$16)),MAX(AB215,AC215)*AD214,AD214)</f>
        <v>1.44008797467612</v>
      </c>
      <c r="AF215" s="1667" t="n">
        <f aca="false">HLOOKUP(AF$14,Dec_Change,$K215)</f>
        <v>1.072</v>
      </c>
      <c r="AG215" s="1668" t="n">
        <f aca="false">AG214</f>
        <v>0</v>
      </c>
      <c r="AH215" s="1675" t="n">
        <f aca="false">IF(AND($A215&gt;=AH$16,MONTH($A215)=MONTH(AH$16)),MAX(AF215,AG215)*AH214,AH214)</f>
        <v>3.20741235439648</v>
      </c>
      <c r="AJ215" s="1667" t="n">
        <f aca="false">HLOOKUP(AJ$14,Dec_Change,$K215)</f>
        <v>1.02271559082494</v>
      </c>
      <c r="AK215" s="1668" t="n">
        <f aca="false">AK214</f>
        <v>1.02</v>
      </c>
      <c r="AL215" s="1675" t="n">
        <f aca="false">IF(AND($A215&gt;=AL$16,MONTH($A215)=MONTH(AL$16)),MAX(AJ215,AK215)*AL214,AL214)</f>
        <v>1.44008797467612</v>
      </c>
      <c r="AN215" s="1667" t="n">
        <f aca="false">HLOOKUP(AN$14,Dec_Change,$K215)</f>
        <v>1.02521559082494</v>
      </c>
      <c r="AO215" s="1668" t="n">
        <f aca="false">AO214</f>
        <v>1.005</v>
      </c>
      <c r="AP215" s="1675" t="n">
        <f aca="false">IF(AND($A215&gt;=AP$16,MONTH($A215)=MONTH(AP$16)),MAX(AN215,AO215)*AP214,AP214)</f>
        <v>1.48180861051097</v>
      </c>
      <c r="AR215" s="1670" t="n">
        <f aca="false">$A215</f>
        <v>41365</v>
      </c>
      <c r="AS215" s="1671" t="n">
        <f aca="false">IF(AND($A215&gt;=EDATE(AS$17,12),IF(Assm!$L$74=0,$D215,$E215)/AS214&gt;=1.05),IF(Assm!$L$74=0,$D215,$E215),AS214)</f>
        <v>2.77412681792376</v>
      </c>
      <c r="AT215" s="1671" t="n">
        <f aca="false">IF(AS215/AS214=1,AT214,AS215/AS214)</f>
        <v>1.05070990293319</v>
      </c>
      <c r="AU215" s="1671" t="n">
        <f aca="false">F215</f>
        <v>1.072</v>
      </c>
      <c r="AV215" s="1671" t="n">
        <f aca="false">MAX(AT215,AU215)</f>
        <v>1.072</v>
      </c>
      <c r="AW215" s="1675" t="n">
        <f aca="false">IF(AV215=AV214,AW214,AV215*AW214)</f>
        <v>3.0057179991744</v>
      </c>
    </row>
    <row r="216" customFormat="false" ht="12.75" hidden="false" customHeight="false" outlineLevel="0" collapsed="false">
      <c r="A216" s="1673" t="n">
        <f aca="false">EDATE(A215,1)</f>
        <v>41395</v>
      </c>
      <c r="B216" s="1659" t="n">
        <f aca="false">'[4]Monthly Curve Calc.'!B219</f>
        <v>483.121997206323</v>
      </c>
      <c r="C216" s="1660" t="n">
        <f aca="false">'[4]Monthly Curve Calc.'!C219</f>
        <v>243.849802349795</v>
      </c>
      <c r="D216" s="1661" t="n">
        <f aca="false">'[4]Monthly Curve Calc.'!F219</f>
        <v>2.78335600435036</v>
      </c>
      <c r="E216" s="1662" t="n">
        <f aca="false">IF($A216&lt;=E$16,D216,(B216/B215)/(C216/C215)*E215)</f>
        <v>2.41437926892832</v>
      </c>
      <c r="F216" s="1674" t="n">
        <f aca="false">IF(Assm!$L$75=0,F215,IF(AND($A216&gt;F$16,MONTH($A216)=MONTH(F$16)),B215/B203,F215))</f>
        <v>1.07133291830938</v>
      </c>
      <c r="G216" s="1668" t="n">
        <f aca="false">IF(Assm!$L$75=0,G215,IF(AND($A216&gt;G$16,MONTH($A216)=MONTH(G$16)),C215/C203,G215))</f>
        <v>1.02510587272767</v>
      </c>
      <c r="H216" s="1668" t="n">
        <f aca="false">IF(Assm!$L$75=0,H215,IF(AND($A216&gt;H$16,MONTH($A216)=MONTH(H$16)),C215/C203-H$18,H215))</f>
        <v>1.02260587272767</v>
      </c>
      <c r="I216" s="1668" t="n">
        <f aca="false">IF(Assm!$L$75=0,I215,IF($A216&gt;=I$16,IF(MONTH($A216)=MONTH(I$16),AVERAGE(D204:D215),I215),I215))</f>
        <v>2.73545867373882</v>
      </c>
      <c r="J216" s="1675" t="n">
        <f aca="false">IF(Assm!$L$75=0,J215,IF($A216&gt;=J$16,IF(MONTH($A216)=MONTH(J$16),AVERAGE(E204:E215),J215),J215))</f>
        <v>2.32372830892041</v>
      </c>
      <c r="K216" s="1624" t="n">
        <f aca="false">K215+1</f>
        <v>204</v>
      </c>
      <c r="L216" s="1667" t="n">
        <f aca="false">HLOOKUP(L$14,Dec_Change,$K216)</f>
        <v>1.02510587272767</v>
      </c>
      <c r="M216" s="1668" t="n">
        <f aca="false">M215</f>
        <v>0</v>
      </c>
      <c r="N216" s="1675" t="n">
        <f aca="false">IF(AND($A216&gt;=N$16,MONTH($A216)=MONTH(N$16)),MAX(L216,M216)*N215,N215)</f>
        <v>1.51901070889322</v>
      </c>
      <c r="P216" s="1667" t="n">
        <f aca="false">HLOOKUP(P$14,Dec_Change,$K216)</f>
        <v>1.07133291830938</v>
      </c>
      <c r="Q216" s="1668" t="n">
        <f aca="false">Q215</f>
        <v>0</v>
      </c>
      <c r="R216" s="1675" t="n">
        <f aca="false">IF(AND($A216&gt;=R$16,MONTH($A216)=MONTH(R$16)),MAX(P216,Q216)*R215,R215)</f>
        <v>3.43620643785714</v>
      </c>
      <c r="T216" s="1667" t="n">
        <f aca="false">HLOOKUP(T$14,Dec_Change,$K216)</f>
        <v>1.02510587272767</v>
      </c>
      <c r="U216" s="1668" t="n">
        <f aca="false">U215</f>
        <v>1.005</v>
      </c>
      <c r="V216" s="1675" t="n">
        <f aca="false">IF(AND($A216&gt;=V$16,MONTH($A216)=MONTH(V$16)),MAX(T216,U216)*V215,V215)</f>
        <v>1.51901070889322</v>
      </c>
      <c r="X216" s="1667" t="n">
        <f aca="false">HLOOKUP(X$14,Dec_Change,$K216)</f>
        <v>1.02260587272767</v>
      </c>
      <c r="Y216" s="1668" t="n">
        <f aca="false">Y215</f>
        <v>1.02</v>
      </c>
      <c r="Z216" s="1675" t="n">
        <f aca="false">IF(AND($A216&gt;=Z$16,MONTH($A216)=MONTH(Z$16)),MAX(X216,Y216)*Z215,Z215)</f>
        <v>1.4726424201483</v>
      </c>
      <c r="AB216" s="1667" t="n">
        <f aca="false">HLOOKUP(AB$14,Dec_Change,$K216)</f>
        <v>1.02260587272767</v>
      </c>
      <c r="AC216" s="1668" t="n">
        <f aca="false">AC215</f>
        <v>1.02</v>
      </c>
      <c r="AD216" s="1675" t="n">
        <f aca="false">IF(AND($A216&gt;=AD$16,MONTH($A216)=MONTH(AD$16)),MAX(AB216,AC216)*AD215,AD215)</f>
        <v>1.4726424201483</v>
      </c>
      <c r="AF216" s="1667" t="n">
        <f aca="false">HLOOKUP(AF$14,Dec_Change,$K216)</f>
        <v>1.07133291830938</v>
      </c>
      <c r="AG216" s="1668" t="n">
        <f aca="false">AG215</f>
        <v>0</v>
      </c>
      <c r="AH216" s="1675" t="n">
        <f aca="false">IF(AND($A216&gt;=AH$16,MONTH($A216)=MONTH(AH$16)),MAX(AF216,AG216)*AH215,AH215)</f>
        <v>3.43620643785714</v>
      </c>
      <c r="AJ216" s="1667" t="n">
        <f aca="false">HLOOKUP(AJ$14,Dec_Change,$K216)</f>
        <v>1.02260587272767</v>
      </c>
      <c r="AK216" s="1668" t="n">
        <f aca="false">AK215</f>
        <v>1.02</v>
      </c>
      <c r="AL216" s="1675" t="n">
        <f aca="false">IF(AND($A216&gt;=AL$16,MONTH($A216)=MONTH(AL$16)),MAX(AJ216,AK216)*AL215,AL215)</f>
        <v>1.4726424201483</v>
      </c>
      <c r="AN216" s="1667" t="n">
        <f aca="false">HLOOKUP(AN$14,Dec_Change,$K216)</f>
        <v>1.02510587272767</v>
      </c>
      <c r="AO216" s="1668" t="n">
        <f aca="false">AO215</f>
        <v>1.005</v>
      </c>
      <c r="AP216" s="1675" t="n">
        <f aca="false">IF(AND($A216&gt;=AP$16,MONTH($A216)=MONTH(AP$16)),MAX(AN216,AO216)*AP215,AP215)</f>
        <v>1.51901070889322</v>
      </c>
      <c r="AR216" s="1670" t="n">
        <f aca="false">$A216</f>
        <v>41395</v>
      </c>
      <c r="AS216" s="1671" t="n">
        <f aca="false">IF(AND($A216&gt;=EDATE(AS$17,12),IF(Assm!$L$74=0,$D216,$E216)/AS215&gt;=1.05),IF(Assm!$L$74=0,$D216,$E216),AS215)</f>
        <v>2.77412681792376</v>
      </c>
      <c r="AT216" s="1671" t="n">
        <f aca="false">IF(AS216/AS215=1,AT215,AS216/AS215)</f>
        <v>1.05070990293319</v>
      </c>
      <c r="AU216" s="1671" t="n">
        <f aca="false">F216</f>
        <v>1.07133291830938</v>
      </c>
      <c r="AV216" s="1671" t="n">
        <f aca="false">MAX(AT216,AU216)</f>
        <v>1.07133291830938</v>
      </c>
      <c r="AW216" s="1675" t="n">
        <f aca="false">IF(AV216=AV215,AW215,AV216*AW215)</f>
        <v>3.22012463567054</v>
      </c>
    </row>
    <row r="217" customFormat="false" ht="12.75" hidden="false" customHeight="false" outlineLevel="0" collapsed="false">
      <c r="A217" s="1673" t="n">
        <f aca="false">EDATE(A216,1)</f>
        <v>41426</v>
      </c>
      <c r="B217" s="1659" t="n">
        <f aca="false">'[4]Monthly Curve Calc.'!B220</f>
        <v>485.853639218381</v>
      </c>
      <c r="C217" s="1660" t="n">
        <f aca="false">'[4]Monthly Curve Calc.'!C220</f>
        <v>244.355134172282</v>
      </c>
      <c r="D217" s="1661" t="n">
        <f aca="false">'[4]Monthly Curve Calc.'!F220</f>
        <v>2.7879821053349</v>
      </c>
      <c r="E217" s="1662" t="n">
        <f aca="false">IF($A217&lt;=E$16,D217,(B217/B216)/(C217/C216)*E216)</f>
        <v>2.42300929951225</v>
      </c>
      <c r="F217" s="1674" t="n">
        <f aca="false">IF(Assm!$L$75=0,F216,IF(AND($A217&gt;F$16,MONTH($A217)=MONTH(F$16)),B216/B204,F216))</f>
        <v>1.07133291830938</v>
      </c>
      <c r="G217" s="1668" t="n">
        <f aca="false">IF(Assm!$L$75=0,G216,IF(AND($A217&gt;G$16,MONTH($A217)=MONTH(G$16)),C216/C204,G216))</f>
        <v>1.02510587272767</v>
      </c>
      <c r="H217" s="1668" t="n">
        <f aca="false">IF(Assm!$L$75=0,H216,IF(AND($A217&gt;H$16,MONTH($A217)=MONTH(H$16)),C216/C204-H$18,H216))</f>
        <v>1.02260587272767</v>
      </c>
      <c r="I217" s="1668" t="n">
        <f aca="false">IF(Assm!$L$75=0,I216,IF($A217&gt;=I$16,IF(MONTH($A217)=MONTH(I$16),AVERAGE(D205:D216),I216),I216))</f>
        <v>2.73545867373882</v>
      </c>
      <c r="J217" s="1675" t="n">
        <f aca="false">IF(Assm!$L$75=0,J216,IF($A217&gt;=J$16,IF(MONTH($A217)=MONTH(J$16),AVERAGE(E205:E216),J216),J216))</f>
        <v>2.32372830892041</v>
      </c>
      <c r="K217" s="1624" t="n">
        <f aca="false">K216+1</f>
        <v>205</v>
      </c>
      <c r="L217" s="1667" t="n">
        <f aca="false">HLOOKUP(L$14,Dec_Change,$K217)</f>
        <v>1.02510587272767</v>
      </c>
      <c r="M217" s="1668" t="n">
        <f aca="false">M216</f>
        <v>0</v>
      </c>
      <c r="N217" s="1675" t="n">
        <f aca="false">IF(AND($A217&gt;=N$16,MONTH($A217)=MONTH(N$16)),MAX(L217,M217)*N216,N216)</f>
        <v>1.51901070889322</v>
      </c>
      <c r="P217" s="1667" t="n">
        <f aca="false">HLOOKUP(P$14,Dec_Change,$K217)</f>
        <v>1.07133291830938</v>
      </c>
      <c r="Q217" s="1668" t="n">
        <f aca="false">Q216</f>
        <v>0</v>
      </c>
      <c r="R217" s="1675" t="n">
        <f aca="false">IF(AND($A217&gt;=R$16,MONTH($A217)=MONTH(R$16)),MAX(P217,Q217)*R216,R216)</f>
        <v>3.43620643785714</v>
      </c>
      <c r="T217" s="1667" t="n">
        <f aca="false">HLOOKUP(T$14,Dec_Change,$K217)</f>
        <v>1.02510587272767</v>
      </c>
      <c r="U217" s="1668" t="n">
        <f aca="false">U216</f>
        <v>1.005</v>
      </c>
      <c r="V217" s="1675" t="n">
        <f aca="false">IF(AND($A217&gt;=V$16,MONTH($A217)=MONTH(V$16)),MAX(T217,U217)*V216,V216)</f>
        <v>1.51901070889322</v>
      </c>
      <c r="X217" s="1667" t="n">
        <f aca="false">HLOOKUP(X$14,Dec_Change,$K217)</f>
        <v>1.02260587272767</v>
      </c>
      <c r="Y217" s="1668" t="n">
        <f aca="false">Y216</f>
        <v>1.02</v>
      </c>
      <c r="Z217" s="1675" t="n">
        <f aca="false">IF(AND($A217&gt;=Z$16,MONTH($A217)=MONTH(Z$16)),MAX(X217,Y217)*Z216,Z216)</f>
        <v>1.4726424201483</v>
      </c>
      <c r="AB217" s="1667" t="n">
        <f aca="false">HLOOKUP(AB$14,Dec_Change,$K217)</f>
        <v>1.02260587272767</v>
      </c>
      <c r="AC217" s="1668" t="n">
        <f aca="false">AC216</f>
        <v>1.02</v>
      </c>
      <c r="AD217" s="1675" t="n">
        <f aca="false">IF(AND($A217&gt;=AD$16,MONTH($A217)=MONTH(AD$16)),MAX(AB217,AC217)*AD216,AD216)</f>
        <v>1.4726424201483</v>
      </c>
      <c r="AF217" s="1667" t="n">
        <f aca="false">HLOOKUP(AF$14,Dec_Change,$K217)</f>
        <v>1.07133291830938</v>
      </c>
      <c r="AG217" s="1668" t="n">
        <f aca="false">AG216</f>
        <v>0</v>
      </c>
      <c r="AH217" s="1675" t="n">
        <f aca="false">IF(AND($A217&gt;=AH$16,MONTH($A217)=MONTH(AH$16)),MAX(AF217,AG217)*AH216,AH216)</f>
        <v>3.43620643785714</v>
      </c>
      <c r="AJ217" s="1667" t="n">
        <f aca="false">HLOOKUP(AJ$14,Dec_Change,$K217)</f>
        <v>1.02260587272767</v>
      </c>
      <c r="AK217" s="1668" t="n">
        <f aca="false">AK216</f>
        <v>1.02</v>
      </c>
      <c r="AL217" s="1675" t="n">
        <f aca="false">IF(AND($A217&gt;=AL$16,MONTH($A217)=MONTH(AL$16)),MAX(AJ217,AK217)*AL216,AL216)</f>
        <v>1.4726424201483</v>
      </c>
      <c r="AN217" s="1667" t="n">
        <f aca="false">HLOOKUP(AN$14,Dec_Change,$K217)</f>
        <v>1.02510587272767</v>
      </c>
      <c r="AO217" s="1668" t="n">
        <f aca="false">AO216</f>
        <v>1.005</v>
      </c>
      <c r="AP217" s="1675" t="n">
        <f aca="false">IF(AND($A217&gt;=AP$16,MONTH($A217)=MONTH(AP$16)),MAX(AN217,AO217)*AP216,AP216)</f>
        <v>1.51901070889322</v>
      </c>
      <c r="AR217" s="1670" t="n">
        <f aca="false">$A217</f>
        <v>41426</v>
      </c>
      <c r="AS217" s="1671" t="n">
        <f aca="false">IF(AND($A217&gt;=EDATE(AS$17,12),IF(Assm!$L$74=0,$D217,$E217)/AS216&gt;=1.05),IF(Assm!$L$74=0,$D217,$E217),AS216)</f>
        <v>2.77412681792376</v>
      </c>
      <c r="AT217" s="1671" t="n">
        <f aca="false">IF(AS217/AS216=1,AT216,AS217/AS216)</f>
        <v>1.05070990293319</v>
      </c>
      <c r="AU217" s="1671" t="n">
        <f aca="false">F217</f>
        <v>1.07133291830938</v>
      </c>
      <c r="AV217" s="1671" t="n">
        <f aca="false">MAX(AT217,AU217)</f>
        <v>1.07133291830938</v>
      </c>
      <c r="AW217" s="1675" t="n">
        <f aca="false">IF(AV217=AV216,AW216,AV217*AW216)</f>
        <v>3.22012463567054</v>
      </c>
    </row>
    <row r="218" customFormat="false" ht="12.75" hidden="false" customHeight="false" outlineLevel="0" collapsed="false">
      <c r="A218" s="1673" t="n">
        <f aca="false">EDATE(A217,1)</f>
        <v>41456</v>
      </c>
      <c r="B218" s="1659" t="n">
        <f aca="false">'[4]Monthly Curve Calc.'!B221</f>
        <v>488.600726331521</v>
      </c>
      <c r="C218" s="1660" t="n">
        <f aca="false">'[4]Monthly Curve Calc.'!C221</f>
        <v>244.861513197794</v>
      </c>
      <c r="D218" s="1661" t="n">
        <f aca="false">'[4]Monthly Curve Calc.'!F221</f>
        <v>2.7926158951707</v>
      </c>
      <c r="E218" s="1662" t="n">
        <f aca="false">IF($A218&lt;=E$16,D218,(B218/B217)/(C218/C217)*E217)</f>
        <v>2.4316701775396</v>
      </c>
      <c r="F218" s="1674" t="n">
        <f aca="false">IF(Assm!$L$75=0,F217,IF(AND($A218&gt;F$16,MONTH($A218)=MONTH(F$16)),B217/B205,F217))</f>
        <v>1.07133291830938</v>
      </c>
      <c r="G218" s="1668" t="n">
        <f aca="false">IF(Assm!$L$75=0,G217,IF(AND($A218&gt;G$16,MONTH($A218)=MONTH(G$16)),C217/C205,G217))</f>
        <v>1.02510587272767</v>
      </c>
      <c r="H218" s="1668" t="n">
        <f aca="false">IF(Assm!$L$75=0,H217,IF(AND($A218&gt;H$16,MONTH($A218)=MONTH(H$16)),C217/C205-H$18,H217))</f>
        <v>1.02260587272767</v>
      </c>
      <c r="I218" s="1668" t="n">
        <f aca="false">IF(Assm!$L$75=0,I217,IF($A218&gt;=I$16,IF(MONTH($A218)=MONTH(I$16),AVERAGE(D206:D217),I217),I217))</f>
        <v>2.73545867373882</v>
      </c>
      <c r="J218" s="1675" t="n">
        <f aca="false">IF(Assm!$L$75=0,J217,IF($A218&gt;=J$16,IF(MONTH($A218)=MONTH(J$16),AVERAGE(E206:E217),J217),J217))</f>
        <v>2.32372830892041</v>
      </c>
      <c r="K218" s="1624" t="n">
        <f aca="false">K217+1</f>
        <v>206</v>
      </c>
      <c r="L218" s="1667" t="n">
        <f aca="false">HLOOKUP(L$14,Dec_Change,$K218)</f>
        <v>1.02510587272767</v>
      </c>
      <c r="M218" s="1668" t="n">
        <f aca="false">M217</f>
        <v>0</v>
      </c>
      <c r="N218" s="1675" t="n">
        <f aca="false">IF(AND($A218&gt;=N$16,MONTH($A218)=MONTH(N$16)),MAX(L218,M218)*N217,N217)</f>
        <v>1.51901070889322</v>
      </c>
      <c r="P218" s="1667" t="n">
        <f aca="false">HLOOKUP(P$14,Dec_Change,$K218)</f>
        <v>1.07133291830938</v>
      </c>
      <c r="Q218" s="1668" t="n">
        <f aca="false">Q217</f>
        <v>0</v>
      </c>
      <c r="R218" s="1675" t="n">
        <f aca="false">IF(AND($A218&gt;=R$16,MONTH($A218)=MONTH(R$16)),MAX(P218,Q218)*R217,R217)</f>
        <v>3.43620643785714</v>
      </c>
      <c r="T218" s="1667" t="n">
        <f aca="false">HLOOKUP(T$14,Dec_Change,$K218)</f>
        <v>1.02510587272767</v>
      </c>
      <c r="U218" s="1668" t="n">
        <f aca="false">U217</f>
        <v>1.005</v>
      </c>
      <c r="V218" s="1675" t="n">
        <f aca="false">IF(AND($A218&gt;=V$16,MONTH($A218)=MONTH(V$16)),MAX(T218,U218)*V217,V217)</f>
        <v>1.51901070889322</v>
      </c>
      <c r="X218" s="1667" t="n">
        <f aca="false">HLOOKUP(X$14,Dec_Change,$K218)</f>
        <v>1.02260587272767</v>
      </c>
      <c r="Y218" s="1668" t="n">
        <f aca="false">Y217</f>
        <v>1.02</v>
      </c>
      <c r="Z218" s="1675" t="n">
        <f aca="false">IF(AND($A218&gt;=Z$16,MONTH($A218)=MONTH(Z$16)),MAX(X218,Y218)*Z217,Z217)</f>
        <v>1.4726424201483</v>
      </c>
      <c r="AB218" s="1667" t="n">
        <f aca="false">HLOOKUP(AB$14,Dec_Change,$K218)</f>
        <v>1.02260587272767</v>
      </c>
      <c r="AC218" s="1668" t="n">
        <f aca="false">AC217</f>
        <v>1.02</v>
      </c>
      <c r="AD218" s="1675" t="n">
        <f aca="false">IF(AND($A218&gt;=AD$16,MONTH($A218)=MONTH(AD$16)),MAX(AB218,AC218)*AD217,AD217)</f>
        <v>1.4726424201483</v>
      </c>
      <c r="AF218" s="1667" t="n">
        <f aca="false">HLOOKUP(AF$14,Dec_Change,$K218)</f>
        <v>1.07133291830938</v>
      </c>
      <c r="AG218" s="1668" t="n">
        <f aca="false">AG217</f>
        <v>0</v>
      </c>
      <c r="AH218" s="1675" t="n">
        <f aca="false">IF(AND($A218&gt;=AH$16,MONTH($A218)=MONTH(AH$16)),MAX(AF218,AG218)*AH217,AH217)</f>
        <v>3.43620643785714</v>
      </c>
      <c r="AJ218" s="1667" t="n">
        <f aca="false">HLOOKUP(AJ$14,Dec_Change,$K218)</f>
        <v>1.02260587272767</v>
      </c>
      <c r="AK218" s="1668" t="n">
        <f aca="false">AK217</f>
        <v>1.02</v>
      </c>
      <c r="AL218" s="1675" t="n">
        <f aca="false">IF(AND($A218&gt;=AL$16,MONTH($A218)=MONTH(AL$16)),MAX(AJ218,AK218)*AL217,AL217)</f>
        <v>1.4726424201483</v>
      </c>
      <c r="AN218" s="1667" t="n">
        <f aca="false">HLOOKUP(AN$14,Dec_Change,$K218)</f>
        <v>1.02510587272767</v>
      </c>
      <c r="AO218" s="1668" t="n">
        <f aca="false">AO217</f>
        <v>1.005</v>
      </c>
      <c r="AP218" s="1675" t="n">
        <f aca="false">IF(AND($A218&gt;=AP$16,MONTH($A218)=MONTH(AP$16)),MAX(AN218,AO218)*AP217,AP217)</f>
        <v>1.51901070889322</v>
      </c>
      <c r="AR218" s="1670" t="n">
        <f aca="false">$A218</f>
        <v>41456</v>
      </c>
      <c r="AS218" s="1671" t="n">
        <f aca="false">IF(AND($A218&gt;=EDATE(AS$17,12),IF(Assm!$L$74=0,$D218,$E218)/AS217&gt;=1.05),IF(Assm!$L$74=0,$D218,$E218),AS217)</f>
        <v>2.77412681792376</v>
      </c>
      <c r="AT218" s="1671" t="n">
        <f aca="false">IF(AS218/AS217=1,AT217,AS218/AS217)</f>
        <v>1.05070990293319</v>
      </c>
      <c r="AU218" s="1671" t="n">
        <f aca="false">F218</f>
        <v>1.07133291830938</v>
      </c>
      <c r="AV218" s="1671" t="n">
        <f aca="false">MAX(AT218,AU218)</f>
        <v>1.07133291830938</v>
      </c>
      <c r="AW218" s="1675" t="n">
        <f aca="false">IF(AV218=AV217,AW217,AV218*AW217)</f>
        <v>3.22012463567054</v>
      </c>
    </row>
    <row r="219" customFormat="false" ht="12.75" hidden="false" customHeight="false" outlineLevel="0" collapsed="false">
      <c r="A219" s="1673" t="n">
        <f aca="false">EDATE(A218,1)</f>
        <v>41487</v>
      </c>
      <c r="B219" s="1659" t="n">
        <f aca="false">'[4]Monthly Curve Calc.'!B222</f>
        <v>491.363345874592</v>
      </c>
      <c r="C219" s="1660" t="n">
        <f aca="false">'[4]Monthly Curve Calc.'!C222</f>
        <v>245.368941596459</v>
      </c>
      <c r="D219" s="1661" t="n">
        <f aca="false">'[4]Monthly Curve Calc.'!F222</f>
        <v>2.79725738663708</v>
      </c>
      <c r="E219" s="1662" t="n">
        <f aca="false">IF($A219&lt;=E$16,D219,(B219/B218)/(C219/C218)*E218)</f>
        <v>2.4403620132724</v>
      </c>
      <c r="F219" s="1674" t="n">
        <f aca="false">IF(Assm!$L$75=0,F218,IF(AND($A219&gt;F$16,MONTH($A219)=MONTH(F$16)),B218/B206,F218))</f>
        <v>1.07133291830938</v>
      </c>
      <c r="G219" s="1668" t="n">
        <f aca="false">IF(Assm!$L$75=0,G218,IF(AND($A219&gt;G$16,MONTH($A219)=MONTH(G$16)),C218/C206,G218))</f>
        <v>1.02510587272767</v>
      </c>
      <c r="H219" s="1668" t="n">
        <f aca="false">IF(Assm!$L$75=0,H218,IF(AND($A219&gt;H$16,MONTH($A219)=MONTH(H$16)),C218/C206-H$18,H218))</f>
        <v>1.02260587272767</v>
      </c>
      <c r="I219" s="1668" t="n">
        <f aca="false">IF(Assm!$L$75=0,I218,IF($A219&gt;=I$16,IF(MONTH($A219)=MONTH(I$16),AVERAGE(D207:D218),I218),I218))</f>
        <v>2.73545867373882</v>
      </c>
      <c r="J219" s="1675" t="n">
        <f aca="false">IF(Assm!$L$75=0,J218,IF($A219&gt;=J$16,IF(MONTH($A219)=MONTH(J$16),AVERAGE(E207:E218),J218),J218))</f>
        <v>2.32372830892041</v>
      </c>
      <c r="K219" s="1624" t="n">
        <f aca="false">K218+1</f>
        <v>207</v>
      </c>
      <c r="L219" s="1667" t="n">
        <f aca="false">HLOOKUP(L$14,Dec_Change,$K219)</f>
        <v>1.02510587272767</v>
      </c>
      <c r="M219" s="1668" t="n">
        <f aca="false">M218</f>
        <v>0</v>
      </c>
      <c r="N219" s="1675" t="n">
        <f aca="false">IF(AND($A219&gt;=N$16,MONTH($A219)=MONTH(N$16)),MAX(L219,M219)*N218,N218)</f>
        <v>1.51901070889322</v>
      </c>
      <c r="P219" s="1667" t="n">
        <f aca="false">HLOOKUP(P$14,Dec_Change,$K219)</f>
        <v>1.07133291830938</v>
      </c>
      <c r="Q219" s="1668" t="n">
        <f aca="false">Q218</f>
        <v>0</v>
      </c>
      <c r="R219" s="1675" t="n">
        <f aca="false">IF(AND($A219&gt;=R$16,MONTH($A219)=MONTH(R$16)),MAX(P219,Q219)*R218,R218)</f>
        <v>3.43620643785714</v>
      </c>
      <c r="T219" s="1667" t="n">
        <f aca="false">HLOOKUP(T$14,Dec_Change,$K219)</f>
        <v>1.02510587272767</v>
      </c>
      <c r="U219" s="1668" t="n">
        <f aca="false">U218</f>
        <v>1.005</v>
      </c>
      <c r="V219" s="1675" t="n">
        <f aca="false">IF(AND($A219&gt;=V$16,MONTH($A219)=MONTH(V$16)),MAX(T219,U219)*V218,V218)</f>
        <v>1.51901070889322</v>
      </c>
      <c r="X219" s="1667" t="n">
        <f aca="false">HLOOKUP(X$14,Dec_Change,$K219)</f>
        <v>1.02260587272767</v>
      </c>
      <c r="Y219" s="1668" t="n">
        <f aca="false">Y218</f>
        <v>1.02</v>
      </c>
      <c r="Z219" s="1675" t="n">
        <f aca="false">IF(AND($A219&gt;=Z$16,MONTH($A219)=MONTH(Z$16)),MAX(X219,Y219)*Z218,Z218)</f>
        <v>1.4726424201483</v>
      </c>
      <c r="AB219" s="1667" t="n">
        <f aca="false">HLOOKUP(AB$14,Dec_Change,$K219)</f>
        <v>1.02260587272767</v>
      </c>
      <c r="AC219" s="1668" t="n">
        <f aca="false">AC218</f>
        <v>1.02</v>
      </c>
      <c r="AD219" s="1675" t="n">
        <f aca="false">IF(AND($A219&gt;=AD$16,MONTH($A219)=MONTH(AD$16)),MAX(AB219,AC219)*AD218,AD218)</f>
        <v>1.4726424201483</v>
      </c>
      <c r="AF219" s="1667" t="n">
        <f aca="false">HLOOKUP(AF$14,Dec_Change,$K219)</f>
        <v>1.07133291830938</v>
      </c>
      <c r="AG219" s="1668" t="n">
        <f aca="false">AG218</f>
        <v>0</v>
      </c>
      <c r="AH219" s="1675" t="n">
        <f aca="false">IF(AND($A219&gt;=AH$16,MONTH($A219)=MONTH(AH$16)),MAX(AF219,AG219)*AH218,AH218)</f>
        <v>3.43620643785714</v>
      </c>
      <c r="AJ219" s="1667" t="n">
        <f aca="false">HLOOKUP(AJ$14,Dec_Change,$K219)</f>
        <v>1.02260587272767</v>
      </c>
      <c r="AK219" s="1668" t="n">
        <f aca="false">AK218</f>
        <v>1.02</v>
      </c>
      <c r="AL219" s="1675" t="n">
        <f aca="false">IF(AND($A219&gt;=AL$16,MONTH($A219)=MONTH(AL$16)),MAX(AJ219,AK219)*AL218,AL218)</f>
        <v>1.4726424201483</v>
      </c>
      <c r="AN219" s="1667" t="n">
        <f aca="false">HLOOKUP(AN$14,Dec_Change,$K219)</f>
        <v>1.02510587272767</v>
      </c>
      <c r="AO219" s="1668" t="n">
        <f aca="false">AO218</f>
        <v>1.005</v>
      </c>
      <c r="AP219" s="1675" t="n">
        <f aca="false">IF(AND($A219&gt;=AP$16,MONTH($A219)=MONTH(AP$16)),MAX(AN219,AO219)*AP218,AP218)</f>
        <v>1.51901070889322</v>
      </c>
      <c r="AR219" s="1670" t="n">
        <f aca="false">$A219</f>
        <v>41487</v>
      </c>
      <c r="AS219" s="1671" t="n">
        <f aca="false">IF(AND($A219&gt;=EDATE(AS$17,12),IF(Assm!$L$74=0,$D219,$E219)/AS218&gt;=1.05),IF(Assm!$L$74=0,$D219,$E219),AS218)</f>
        <v>2.77412681792376</v>
      </c>
      <c r="AT219" s="1671" t="n">
        <f aca="false">IF(AS219/AS218=1,AT218,AS219/AS218)</f>
        <v>1.05070990293319</v>
      </c>
      <c r="AU219" s="1671" t="n">
        <f aca="false">F219</f>
        <v>1.07133291830938</v>
      </c>
      <c r="AV219" s="1671" t="n">
        <f aca="false">MAX(AT219,AU219)</f>
        <v>1.07133291830938</v>
      </c>
      <c r="AW219" s="1675" t="n">
        <f aca="false">IF(AV219=AV218,AW218,AV219*AW218)</f>
        <v>3.22012463567054</v>
      </c>
    </row>
    <row r="220" customFormat="false" ht="12.75" hidden="false" customHeight="false" outlineLevel="0" collapsed="false">
      <c r="A220" s="1673" t="n">
        <f aca="false">EDATE(A219,1)</f>
        <v>41518</v>
      </c>
      <c r="B220" s="1659" t="n">
        <f aca="false">'[4]Monthly Curve Calc.'!B223</f>
        <v>494.141585670208</v>
      </c>
      <c r="C220" s="1660" t="n">
        <f aca="false">'[4]Monthly Curve Calc.'!C223</f>
        <v>245.877421542901</v>
      </c>
      <c r="D220" s="1661" t="n">
        <f aca="false">'[4]Monthly Curve Calc.'!F223</f>
        <v>2.8019065925346</v>
      </c>
      <c r="E220" s="1662" t="n">
        <f aca="false">IF($A220&lt;=E$16,D220,(B220/B219)/(C220/C219)*E219)</f>
        <v>2.44908491736681</v>
      </c>
      <c r="F220" s="1674" t="n">
        <f aca="false">IF(Assm!$L$75=0,F219,IF(AND($A220&gt;F$16,MONTH($A220)=MONTH(F$16)),B219/B207,F219))</f>
        <v>1.07133291830938</v>
      </c>
      <c r="G220" s="1668" t="n">
        <f aca="false">IF(Assm!$L$75=0,G219,IF(AND($A220&gt;G$16,MONTH($A220)=MONTH(G$16)),C219/C207,G219))</f>
        <v>1.02510587272767</v>
      </c>
      <c r="H220" s="1668" t="n">
        <f aca="false">IF(Assm!$L$75=0,H219,IF(AND($A220&gt;H$16,MONTH($A220)=MONTH(H$16)),C219/C207-H$18,H219))</f>
        <v>1.02260587272767</v>
      </c>
      <c r="I220" s="1668" t="n">
        <f aca="false">IF(Assm!$L$75=0,I219,IF($A220&gt;=I$16,IF(MONTH($A220)=MONTH(I$16),AVERAGE(D208:D219),I219),I219))</f>
        <v>2.73545867373882</v>
      </c>
      <c r="J220" s="1675" t="n">
        <f aca="false">IF(Assm!$L$75=0,J219,IF($A220&gt;=J$16,IF(MONTH($A220)=MONTH(J$16),AVERAGE(E208:E219),J219),J219))</f>
        <v>2.32372830892041</v>
      </c>
      <c r="K220" s="1624" t="n">
        <f aca="false">K219+1</f>
        <v>208</v>
      </c>
      <c r="L220" s="1667" t="n">
        <f aca="false">HLOOKUP(L$14,Dec_Change,$K220)</f>
        <v>1.02510587272767</v>
      </c>
      <c r="M220" s="1668" t="n">
        <f aca="false">M219</f>
        <v>0</v>
      </c>
      <c r="N220" s="1675" t="n">
        <f aca="false">IF(AND($A220&gt;=N$16,MONTH($A220)=MONTH(N$16)),MAX(L220,M220)*N219,N219)</f>
        <v>1.51901070889322</v>
      </c>
      <c r="P220" s="1667" t="n">
        <f aca="false">HLOOKUP(P$14,Dec_Change,$K220)</f>
        <v>1.07133291830938</v>
      </c>
      <c r="Q220" s="1668" t="n">
        <f aca="false">Q219</f>
        <v>0</v>
      </c>
      <c r="R220" s="1675" t="n">
        <f aca="false">IF(AND($A220&gt;=R$16,MONTH($A220)=MONTH(R$16)),MAX(P220,Q220)*R219,R219)</f>
        <v>3.43620643785714</v>
      </c>
      <c r="T220" s="1667" t="n">
        <f aca="false">HLOOKUP(T$14,Dec_Change,$K220)</f>
        <v>1.02510587272767</v>
      </c>
      <c r="U220" s="1668" t="n">
        <f aca="false">U219</f>
        <v>1.005</v>
      </c>
      <c r="V220" s="1675" t="n">
        <f aca="false">IF(AND($A220&gt;=V$16,MONTH($A220)=MONTH(V$16)),MAX(T220,U220)*V219,V219)</f>
        <v>1.51901070889322</v>
      </c>
      <c r="X220" s="1667" t="n">
        <f aca="false">HLOOKUP(X$14,Dec_Change,$K220)</f>
        <v>1.02260587272767</v>
      </c>
      <c r="Y220" s="1668" t="n">
        <f aca="false">Y219</f>
        <v>1.02</v>
      </c>
      <c r="Z220" s="1675" t="n">
        <f aca="false">IF(AND($A220&gt;=Z$16,MONTH($A220)=MONTH(Z$16)),MAX(X220,Y220)*Z219,Z219)</f>
        <v>1.4726424201483</v>
      </c>
      <c r="AB220" s="1667" t="n">
        <f aca="false">HLOOKUP(AB$14,Dec_Change,$K220)</f>
        <v>1.02260587272767</v>
      </c>
      <c r="AC220" s="1668" t="n">
        <f aca="false">AC219</f>
        <v>1.02</v>
      </c>
      <c r="AD220" s="1675" t="n">
        <f aca="false">IF(AND($A220&gt;=AD$16,MONTH($A220)=MONTH(AD$16)),MAX(AB220,AC220)*AD219,AD219)</f>
        <v>1.4726424201483</v>
      </c>
      <c r="AF220" s="1667" t="n">
        <f aca="false">HLOOKUP(AF$14,Dec_Change,$K220)</f>
        <v>1.07133291830938</v>
      </c>
      <c r="AG220" s="1668" t="n">
        <f aca="false">AG219</f>
        <v>0</v>
      </c>
      <c r="AH220" s="1675" t="n">
        <f aca="false">IF(AND($A220&gt;=AH$16,MONTH($A220)=MONTH(AH$16)),MAX(AF220,AG220)*AH219,AH219)</f>
        <v>3.43620643785714</v>
      </c>
      <c r="AJ220" s="1667" t="n">
        <f aca="false">HLOOKUP(AJ$14,Dec_Change,$K220)</f>
        <v>1.02260587272767</v>
      </c>
      <c r="AK220" s="1668" t="n">
        <f aca="false">AK219</f>
        <v>1.02</v>
      </c>
      <c r="AL220" s="1675" t="n">
        <f aca="false">IF(AND($A220&gt;=AL$16,MONTH($A220)=MONTH(AL$16)),MAX(AJ220,AK220)*AL219,AL219)</f>
        <v>1.4726424201483</v>
      </c>
      <c r="AN220" s="1667" t="n">
        <f aca="false">HLOOKUP(AN$14,Dec_Change,$K220)</f>
        <v>1.02510587272767</v>
      </c>
      <c r="AO220" s="1668" t="n">
        <f aca="false">AO219</f>
        <v>1.005</v>
      </c>
      <c r="AP220" s="1675" t="n">
        <f aca="false">IF(AND($A220&gt;=AP$16,MONTH($A220)=MONTH(AP$16)),MAX(AN220,AO220)*AP219,AP219)</f>
        <v>1.51901070889322</v>
      </c>
      <c r="AR220" s="1670" t="n">
        <f aca="false">$A220</f>
        <v>41518</v>
      </c>
      <c r="AS220" s="1671" t="n">
        <f aca="false">IF(AND($A220&gt;=EDATE(AS$17,12),IF(Assm!$L$74=0,$D220,$E220)/AS219&gt;=1.05),IF(Assm!$L$74=0,$D220,$E220),AS219)</f>
        <v>2.77412681792376</v>
      </c>
      <c r="AT220" s="1671" t="n">
        <f aca="false">IF(AS220/AS219=1,AT219,AS220/AS219)</f>
        <v>1.05070990293319</v>
      </c>
      <c r="AU220" s="1671" t="n">
        <f aca="false">F220</f>
        <v>1.07133291830938</v>
      </c>
      <c r="AV220" s="1671" t="n">
        <f aca="false">MAX(AT220,AU220)</f>
        <v>1.07133291830938</v>
      </c>
      <c r="AW220" s="1675" t="n">
        <f aca="false">IF(AV220=AV219,AW219,AV220*AW219)</f>
        <v>3.22012463567054</v>
      </c>
    </row>
    <row r="221" customFormat="false" ht="12.75" hidden="false" customHeight="false" outlineLevel="0" collapsed="false">
      <c r="A221" s="1673" t="n">
        <f aca="false">EDATE(A220,1)</f>
        <v>41548</v>
      </c>
      <c r="B221" s="1659" t="n">
        <f aca="false">'[4]Monthly Curve Calc.'!B224</f>
        <v>496.935534037551</v>
      </c>
      <c r="C221" s="1660" t="n">
        <f aca="false">'[4]Monthly Curve Calc.'!C224</f>
        <v>246.38695521625</v>
      </c>
      <c r="D221" s="1661" t="n">
        <f aca="false">'[4]Monthly Curve Calc.'!F224</f>
        <v>2.80656352568511</v>
      </c>
      <c r="E221" s="1662" t="n">
        <f aca="false">IF($A221&lt;=E$16,D221,(B221/B220)/(C221/C220)*E220)</f>
        <v>2.45783900087453</v>
      </c>
      <c r="F221" s="1674" t="n">
        <f aca="false">IF(Assm!$L$75=0,F220,IF(AND($A221&gt;F$16,MONTH($A221)=MONTH(F$16)),B220/B208,F220))</f>
        <v>1.07133291830938</v>
      </c>
      <c r="G221" s="1668" t="n">
        <f aca="false">IF(Assm!$L$75=0,G220,IF(AND($A221&gt;G$16,MONTH($A221)=MONTH(G$16)),C220/C208,G220))</f>
        <v>1.02510587272767</v>
      </c>
      <c r="H221" s="1668" t="n">
        <f aca="false">IF(Assm!$L$75=0,H220,IF(AND($A221&gt;H$16,MONTH($A221)=MONTH(H$16)),C220/C208-H$18,H220))</f>
        <v>1.02260587272767</v>
      </c>
      <c r="I221" s="1668" t="n">
        <f aca="false">IF(Assm!$L$75=0,I220,IF($A221&gt;=I$16,IF(MONTH($A221)=MONTH(I$16),AVERAGE(D209:D220),I220),I220))</f>
        <v>2.73545867373882</v>
      </c>
      <c r="J221" s="1675" t="n">
        <f aca="false">IF(Assm!$L$75=0,J220,IF($A221&gt;=J$16,IF(MONTH($A221)=MONTH(J$16),AVERAGE(E209:E220),J220),J220))</f>
        <v>2.32372830892041</v>
      </c>
      <c r="K221" s="1624" t="n">
        <f aca="false">K220+1</f>
        <v>209</v>
      </c>
      <c r="L221" s="1667" t="n">
        <f aca="false">HLOOKUP(L$14,Dec_Change,$K221)</f>
        <v>1.02510587272767</v>
      </c>
      <c r="M221" s="1668" t="n">
        <f aca="false">M220</f>
        <v>0</v>
      </c>
      <c r="N221" s="1675" t="n">
        <f aca="false">IF(AND($A221&gt;=N$16,MONTH($A221)=MONTH(N$16)),MAX(L221,M221)*N220,N220)</f>
        <v>1.51901070889322</v>
      </c>
      <c r="P221" s="1667" t="n">
        <f aca="false">HLOOKUP(P$14,Dec_Change,$K221)</f>
        <v>1.07133291830938</v>
      </c>
      <c r="Q221" s="1668" t="n">
        <f aca="false">Q220</f>
        <v>0</v>
      </c>
      <c r="R221" s="1675" t="n">
        <f aca="false">IF(AND($A221&gt;=R$16,MONTH($A221)=MONTH(R$16)),MAX(P221,Q221)*R220,R220)</f>
        <v>3.43620643785714</v>
      </c>
      <c r="T221" s="1667" t="n">
        <f aca="false">HLOOKUP(T$14,Dec_Change,$K221)</f>
        <v>1.02510587272767</v>
      </c>
      <c r="U221" s="1668" t="n">
        <f aca="false">U220</f>
        <v>1.005</v>
      </c>
      <c r="V221" s="1675" t="n">
        <f aca="false">IF(AND($A221&gt;=V$16,MONTH($A221)=MONTH(V$16)),MAX(T221,U221)*V220,V220)</f>
        <v>1.51901070889322</v>
      </c>
      <c r="X221" s="1667" t="n">
        <f aca="false">HLOOKUP(X$14,Dec_Change,$K221)</f>
        <v>1.02260587272767</v>
      </c>
      <c r="Y221" s="1668" t="n">
        <f aca="false">Y220</f>
        <v>1.02</v>
      </c>
      <c r="Z221" s="1675" t="n">
        <f aca="false">IF(AND($A221&gt;=Z$16,MONTH($A221)=MONTH(Z$16)),MAX(X221,Y221)*Z220,Z220)</f>
        <v>1.4726424201483</v>
      </c>
      <c r="AB221" s="1667" t="n">
        <f aca="false">HLOOKUP(AB$14,Dec_Change,$K221)</f>
        <v>1.02260587272767</v>
      </c>
      <c r="AC221" s="1668" t="n">
        <f aca="false">AC220</f>
        <v>1.02</v>
      </c>
      <c r="AD221" s="1675" t="n">
        <f aca="false">IF(AND($A221&gt;=AD$16,MONTH($A221)=MONTH(AD$16)),MAX(AB221,AC221)*AD220,AD220)</f>
        <v>1.4726424201483</v>
      </c>
      <c r="AF221" s="1667" t="n">
        <f aca="false">HLOOKUP(AF$14,Dec_Change,$K221)</f>
        <v>1.07133291830938</v>
      </c>
      <c r="AG221" s="1668" t="n">
        <f aca="false">AG220</f>
        <v>0</v>
      </c>
      <c r="AH221" s="1675" t="n">
        <f aca="false">IF(AND($A221&gt;=AH$16,MONTH($A221)=MONTH(AH$16)),MAX(AF221,AG221)*AH220,AH220)</f>
        <v>3.43620643785714</v>
      </c>
      <c r="AJ221" s="1667" t="n">
        <f aca="false">HLOOKUP(AJ$14,Dec_Change,$K221)</f>
        <v>1.02260587272767</v>
      </c>
      <c r="AK221" s="1668" t="n">
        <f aca="false">AK220</f>
        <v>1.02</v>
      </c>
      <c r="AL221" s="1675" t="n">
        <f aca="false">IF(AND($A221&gt;=AL$16,MONTH($A221)=MONTH(AL$16)),MAX(AJ221,AK221)*AL220,AL220)</f>
        <v>1.4726424201483</v>
      </c>
      <c r="AN221" s="1667" t="n">
        <f aca="false">HLOOKUP(AN$14,Dec_Change,$K221)</f>
        <v>1.02510587272767</v>
      </c>
      <c r="AO221" s="1668" t="n">
        <f aca="false">AO220</f>
        <v>1.005</v>
      </c>
      <c r="AP221" s="1675" t="n">
        <f aca="false">IF(AND($A221&gt;=AP$16,MONTH($A221)=MONTH(AP$16)),MAX(AN221,AO221)*AP220,AP220)</f>
        <v>1.51901070889322</v>
      </c>
      <c r="AR221" s="1670" t="n">
        <f aca="false">$A221</f>
        <v>41548</v>
      </c>
      <c r="AS221" s="1671" t="n">
        <f aca="false">IF(AND($A221&gt;=EDATE(AS$17,12),IF(Assm!$L$74=0,$D221,$E221)/AS220&gt;=1.05),IF(Assm!$L$74=0,$D221,$E221),AS220)</f>
        <v>2.77412681792376</v>
      </c>
      <c r="AT221" s="1671" t="n">
        <f aca="false">IF(AS221/AS220=1,AT220,AS221/AS220)</f>
        <v>1.05070990293319</v>
      </c>
      <c r="AU221" s="1671" t="n">
        <f aca="false">F221</f>
        <v>1.07133291830938</v>
      </c>
      <c r="AV221" s="1671" t="n">
        <f aca="false">MAX(AT221,AU221)</f>
        <v>1.07133291830938</v>
      </c>
      <c r="AW221" s="1675" t="n">
        <f aca="false">IF(AV221=AV220,AW220,AV221*AW220)</f>
        <v>3.22012463567054</v>
      </c>
    </row>
    <row r="222" customFormat="false" ht="12.75" hidden="false" customHeight="false" outlineLevel="0" collapsed="false">
      <c r="A222" s="1673" t="n">
        <f aca="false">EDATE(A221,1)</f>
        <v>41579</v>
      </c>
      <c r="B222" s="1659" t="n">
        <f aca="false">'[4]Monthly Curve Calc.'!B225</f>
        <v>499.745279795167</v>
      </c>
      <c r="C222" s="1660" t="n">
        <f aca="false">'[4]Monthly Curve Calc.'!C225</f>
        <v>246.897544800153</v>
      </c>
      <c r="D222" s="1661" t="n">
        <f aca="false">'[4]Monthly Curve Calc.'!F225</f>
        <v>2.81122819893174</v>
      </c>
      <c r="E222" s="1662" t="n">
        <f aca="false">IF($A222&lt;=E$16,D222,(B222/B221)/(C222/C221)*E221)</f>
        <v>2.46662437524421</v>
      </c>
      <c r="F222" s="1674" t="n">
        <f aca="false">IF(Assm!$L$75=0,F221,IF(AND($A222&gt;F$16,MONTH($A222)=MONTH(F$16)),B221/B209,F221))</f>
        <v>1.07133291830938</v>
      </c>
      <c r="G222" s="1668" t="n">
        <f aca="false">IF(Assm!$L$75=0,G221,IF(AND($A222&gt;G$16,MONTH($A222)=MONTH(G$16)),C221/C209,G221))</f>
        <v>1.02510587272767</v>
      </c>
      <c r="H222" s="1668" t="n">
        <f aca="false">IF(Assm!$L$75=0,H221,IF(AND($A222&gt;H$16,MONTH($A222)=MONTH(H$16)),C221/C209-H$18,H221))</f>
        <v>1.02260587272767</v>
      </c>
      <c r="I222" s="1668" t="n">
        <f aca="false">IF(Assm!$L$75=0,I221,IF($A222&gt;=I$16,IF(MONTH($A222)=MONTH(I$16),AVERAGE(D210:D221),I221),I221))</f>
        <v>2.73545867373882</v>
      </c>
      <c r="J222" s="1675" t="n">
        <f aca="false">IF(Assm!$L$75=0,J221,IF($A222&gt;=J$16,IF(MONTH($A222)=MONTH(J$16),AVERAGE(E210:E221),J221),J221))</f>
        <v>2.32372830892041</v>
      </c>
      <c r="K222" s="1624" t="n">
        <f aca="false">K221+1</f>
        <v>210</v>
      </c>
      <c r="L222" s="1667" t="n">
        <f aca="false">HLOOKUP(L$14,Dec_Change,$K222)</f>
        <v>1.02510587272767</v>
      </c>
      <c r="M222" s="1668" t="n">
        <f aca="false">M221</f>
        <v>0</v>
      </c>
      <c r="N222" s="1675" t="n">
        <f aca="false">IF(AND($A222&gt;=N$16,MONTH($A222)=MONTH(N$16)),MAX(L222,M222)*N221,N221)</f>
        <v>1.51901070889322</v>
      </c>
      <c r="P222" s="1667" t="n">
        <f aca="false">HLOOKUP(P$14,Dec_Change,$K222)</f>
        <v>1.07133291830938</v>
      </c>
      <c r="Q222" s="1668" t="n">
        <f aca="false">Q221</f>
        <v>0</v>
      </c>
      <c r="R222" s="1675" t="n">
        <f aca="false">IF(AND($A222&gt;=R$16,MONTH($A222)=MONTH(R$16)),MAX(P222,Q222)*R221,R221)</f>
        <v>3.43620643785714</v>
      </c>
      <c r="T222" s="1667" t="n">
        <f aca="false">HLOOKUP(T$14,Dec_Change,$K222)</f>
        <v>1.02510587272767</v>
      </c>
      <c r="U222" s="1668" t="n">
        <f aca="false">U221</f>
        <v>1.005</v>
      </c>
      <c r="V222" s="1675" t="n">
        <f aca="false">IF(AND($A222&gt;=V$16,MONTH($A222)=MONTH(V$16)),MAX(T222,U222)*V221,V221)</f>
        <v>1.51901070889322</v>
      </c>
      <c r="X222" s="1667" t="n">
        <f aca="false">HLOOKUP(X$14,Dec_Change,$K222)</f>
        <v>1.02260587272767</v>
      </c>
      <c r="Y222" s="1668" t="n">
        <f aca="false">Y221</f>
        <v>1.02</v>
      </c>
      <c r="Z222" s="1675" t="n">
        <f aca="false">IF(AND($A222&gt;=Z$16,MONTH($A222)=MONTH(Z$16)),MAX(X222,Y222)*Z221,Z221)</f>
        <v>1.4726424201483</v>
      </c>
      <c r="AB222" s="1667" t="n">
        <f aca="false">HLOOKUP(AB$14,Dec_Change,$K222)</f>
        <v>1.02260587272767</v>
      </c>
      <c r="AC222" s="1668" t="n">
        <f aca="false">AC221</f>
        <v>1.02</v>
      </c>
      <c r="AD222" s="1675" t="n">
        <f aca="false">IF(AND($A222&gt;=AD$16,MONTH($A222)=MONTH(AD$16)),MAX(AB222,AC222)*AD221,AD221)</f>
        <v>1.4726424201483</v>
      </c>
      <c r="AF222" s="1667" t="n">
        <f aca="false">HLOOKUP(AF$14,Dec_Change,$K222)</f>
        <v>1.07133291830938</v>
      </c>
      <c r="AG222" s="1668" t="n">
        <f aca="false">AG221</f>
        <v>0</v>
      </c>
      <c r="AH222" s="1675" t="n">
        <f aca="false">IF(AND($A222&gt;=AH$16,MONTH($A222)=MONTH(AH$16)),MAX(AF222,AG222)*AH221,AH221)</f>
        <v>3.43620643785714</v>
      </c>
      <c r="AJ222" s="1667" t="n">
        <f aca="false">HLOOKUP(AJ$14,Dec_Change,$K222)</f>
        <v>1.02260587272767</v>
      </c>
      <c r="AK222" s="1668" t="n">
        <f aca="false">AK221</f>
        <v>1.02</v>
      </c>
      <c r="AL222" s="1675" t="n">
        <f aca="false">IF(AND($A222&gt;=AL$16,MONTH($A222)=MONTH(AL$16)),MAX(AJ222,AK222)*AL221,AL221)</f>
        <v>1.4726424201483</v>
      </c>
      <c r="AN222" s="1667" t="n">
        <f aca="false">HLOOKUP(AN$14,Dec_Change,$K222)</f>
        <v>1.02510587272767</v>
      </c>
      <c r="AO222" s="1668" t="n">
        <f aca="false">AO221</f>
        <v>1.005</v>
      </c>
      <c r="AP222" s="1675" t="n">
        <f aca="false">IF(AND($A222&gt;=AP$16,MONTH($A222)=MONTH(AP$16)),MAX(AN222,AO222)*AP221,AP221)</f>
        <v>1.51901070889322</v>
      </c>
      <c r="AR222" s="1670" t="n">
        <f aca="false">$A222</f>
        <v>41579</v>
      </c>
      <c r="AS222" s="1671" t="n">
        <f aca="false">IF(AND($A222&gt;=EDATE(AS$17,12),IF(Assm!$L$74=0,$D222,$E222)/AS221&gt;=1.05),IF(Assm!$L$74=0,$D222,$E222),AS221)</f>
        <v>2.77412681792376</v>
      </c>
      <c r="AT222" s="1671" t="n">
        <f aca="false">IF(AS222/AS221=1,AT221,AS222/AS221)</f>
        <v>1.05070990293319</v>
      </c>
      <c r="AU222" s="1671" t="n">
        <f aca="false">F222</f>
        <v>1.07133291830938</v>
      </c>
      <c r="AV222" s="1671" t="n">
        <f aca="false">MAX(AT222,AU222)</f>
        <v>1.07133291830938</v>
      </c>
      <c r="AW222" s="1675" t="n">
        <f aca="false">IF(AV222=AV221,AW221,AV222*AW221)</f>
        <v>3.22012463567054</v>
      </c>
    </row>
    <row r="223" customFormat="false" ht="12.75" hidden="false" customHeight="false" outlineLevel="0" collapsed="false">
      <c r="A223" s="1673" t="n">
        <f aca="false">EDATE(A222,1)</f>
        <v>41609</v>
      </c>
      <c r="B223" s="1659" t="n">
        <f aca="false">'[4]Monthly Curve Calc.'!B226</f>
        <v>502.570912263798</v>
      </c>
      <c r="C223" s="1660" t="n">
        <f aca="false">'[4]Monthly Curve Calc.'!C226</f>
        <v>247.40919248278</v>
      </c>
      <c r="D223" s="1661" t="n">
        <f aca="false">'[4]Monthly Curve Calc.'!F226</f>
        <v>2.81590062513899</v>
      </c>
      <c r="E223" s="1662" t="n">
        <f aca="false">IF($A223&lt;=E$16,D223,(B223/B222)/(C223/C222)*E222)</f>
        <v>2.47544115232285</v>
      </c>
      <c r="F223" s="1674" t="n">
        <f aca="false">IF(Assm!$L$75=0,F222,IF(AND($A223&gt;F$16,MONTH($A223)=MONTH(F$16)),B222/B210,F222))</f>
        <v>1.07133291830938</v>
      </c>
      <c r="G223" s="1668" t="n">
        <f aca="false">IF(Assm!$L$75=0,G222,IF(AND($A223&gt;G$16,MONTH($A223)=MONTH(G$16)),C222/C210,G222))</f>
        <v>1.02510587272767</v>
      </c>
      <c r="H223" s="1668" t="n">
        <f aca="false">IF(Assm!$L$75=0,H222,IF(AND($A223&gt;H$16,MONTH($A223)=MONTH(H$16)),C222/C210-H$18,H222))</f>
        <v>1.02260587272767</v>
      </c>
      <c r="I223" s="1668" t="n">
        <f aca="false">IF(Assm!$L$75=0,I222,IF($A223&gt;=I$16,IF(MONTH($A223)=MONTH(I$16),AVERAGE(D211:D222),I222),I222))</f>
        <v>2.73545867373882</v>
      </c>
      <c r="J223" s="1675" t="n">
        <f aca="false">IF(Assm!$L$75=0,J222,IF($A223&gt;=J$16,IF(MONTH($A223)=MONTH(J$16),AVERAGE(E211:E222),J222),J222))</f>
        <v>2.32372830892041</v>
      </c>
      <c r="K223" s="1624" t="n">
        <f aca="false">K222+1</f>
        <v>211</v>
      </c>
      <c r="L223" s="1667" t="n">
        <f aca="false">HLOOKUP(L$14,Dec_Change,$K223)</f>
        <v>1.02510587272767</v>
      </c>
      <c r="M223" s="1668" t="n">
        <f aca="false">M222</f>
        <v>0</v>
      </c>
      <c r="N223" s="1675" t="n">
        <f aca="false">IF(AND($A223&gt;=N$16,MONTH($A223)=MONTH(N$16)),MAX(L223,M223)*N222,N222)</f>
        <v>1.51901070889322</v>
      </c>
      <c r="P223" s="1667" t="n">
        <f aca="false">HLOOKUP(P$14,Dec_Change,$K223)</f>
        <v>1.07133291830938</v>
      </c>
      <c r="Q223" s="1668" t="n">
        <f aca="false">Q222</f>
        <v>0</v>
      </c>
      <c r="R223" s="1675" t="n">
        <f aca="false">IF(AND($A223&gt;=R$16,MONTH($A223)=MONTH(R$16)),MAX(P223,Q223)*R222,R222)</f>
        <v>3.43620643785714</v>
      </c>
      <c r="T223" s="1667" t="n">
        <f aca="false">HLOOKUP(T$14,Dec_Change,$K223)</f>
        <v>1.02510587272767</v>
      </c>
      <c r="U223" s="1668" t="n">
        <f aca="false">U222</f>
        <v>1.005</v>
      </c>
      <c r="V223" s="1675" t="n">
        <f aca="false">IF(AND($A223&gt;=V$16,MONTH($A223)=MONTH(V$16)),MAX(T223,U223)*V222,V222)</f>
        <v>1.51901070889322</v>
      </c>
      <c r="X223" s="1667" t="n">
        <f aca="false">HLOOKUP(X$14,Dec_Change,$K223)</f>
        <v>1.02260587272767</v>
      </c>
      <c r="Y223" s="1668" t="n">
        <f aca="false">Y222</f>
        <v>1.02</v>
      </c>
      <c r="Z223" s="1675" t="n">
        <f aca="false">IF(AND($A223&gt;=Z$16,MONTH($A223)=MONTH(Z$16)),MAX(X223,Y223)*Z222,Z222)</f>
        <v>1.4726424201483</v>
      </c>
      <c r="AB223" s="1667" t="n">
        <f aca="false">HLOOKUP(AB$14,Dec_Change,$K223)</f>
        <v>1.02260587272767</v>
      </c>
      <c r="AC223" s="1668" t="n">
        <f aca="false">AC222</f>
        <v>1.02</v>
      </c>
      <c r="AD223" s="1675" t="n">
        <f aca="false">IF(AND($A223&gt;=AD$16,MONTH($A223)=MONTH(AD$16)),MAX(AB223,AC223)*AD222,AD222)</f>
        <v>1.4726424201483</v>
      </c>
      <c r="AF223" s="1667" t="n">
        <f aca="false">HLOOKUP(AF$14,Dec_Change,$K223)</f>
        <v>1.07133291830938</v>
      </c>
      <c r="AG223" s="1668" t="n">
        <f aca="false">AG222</f>
        <v>0</v>
      </c>
      <c r="AH223" s="1675" t="n">
        <f aca="false">IF(AND($A223&gt;=AH$16,MONTH($A223)=MONTH(AH$16)),MAX(AF223,AG223)*AH222,AH222)</f>
        <v>3.43620643785714</v>
      </c>
      <c r="AJ223" s="1667" t="n">
        <f aca="false">HLOOKUP(AJ$14,Dec_Change,$K223)</f>
        <v>1.02260587272767</v>
      </c>
      <c r="AK223" s="1668" t="n">
        <f aca="false">AK222</f>
        <v>1.02</v>
      </c>
      <c r="AL223" s="1675" t="n">
        <f aca="false">IF(AND($A223&gt;=AL$16,MONTH($A223)=MONTH(AL$16)),MAX(AJ223,AK223)*AL222,AL222)</f>
        <v>1.4726424201483</v>
      </c>
      <c r="AN223" s="1667" t="n">
        <f aca="false">HLOOKUP(AN$14,Dec_Change,$K223)</f>
        <v>1.02510587272767</v>
      </c>
      <c r="AO223" s="1668" t="n">
        <f aca="false">AO222</f>
        <v>1.005</v>
      </c>
      <c r="AP223" s="1675" t="n">
        <f aca="false">IF(AND($A223&gt;=AP$16,MONTH($A223)=MONTH(AP$16)),MAX(AN223,AO223)*AP222,AP222)</f>
        <v>1.51901070889322</v>
      </c>
      <c r="AR223" s="1670" t="n">
        <f aca="false">$A223</f>
        <v>41609</v>
      </c>
      <c r="AS223" s="1671" t="n">
        <f aca="false">IF(AND($A223&gt;=EDATE(AS$17,12),IF(Assm!$L$74=0,$D223,$E223)/AS222&gt;=1.05),IF(Assm!$L$74=0,$D223,$E223),AS222)</f>
        <v>2.77412681792376</v>
      </c>
      <c r="AT223" s="1671" t="n">
        <f aca="false">IF(AS223/AS222=1,AT222,AS223/AS222)</f>
        <v>1.05070990293319</v>
      </c>
      <c r="AU223" s="1671" t="n">
        <f aca="false">F223</f>
        <v>1.07133291830938</v>
      </c>
      <c r="AV223" s="1671" t="n">
        <f aca="false">MAX(AT223,AU223)</f>
        <v>1.07133291830938</v>
      </c>
      <c r="AW223" s="1675" t="n">
        <f aca="false">IF(AV223=AV222,AW222,AV223*AW222)</f>
        <v>3.22012463567054</v>
      </c>
    </row>
    <row r="224" customFormat="false" ht="12.75" hidden="false" customHeight="false" outlineLevel="0" collapsed="false">
      <c r="A224" s="1673" t="n">
        <f aca="false">EDATE(A223,1)</f>
        <v>41640</v>
      </c>
      <c r="B224" s="1659" t="n">
        <f aca="false">'[4]Monthly Curve Calc.'!B227</f>
        <v>505.412521269219</v>
      </c>
      <c r="C224" s="1660" t="n">
        <f aca="false">'[4]Monthly Curve Calc.'!C227</f>
        <v>247.929036811111</v>
      </c>
      <c r="D224" s="1661" t="n">
        <f aca="false">'[4]Monthly Curve Calc.'!F227</f>
        <v>2.82055022749078</v>
      </c>
      <c r="E224" s="1662" t="n">
        <f aca="false">IF($A224&lt;=E$16,D224,(B224/B223)/(C224/C223)*E223)</f>
        <v>2.48421793692182</v>
      </c>
      <c r="F224" s="1674" t="n">
        <f aca="false">IF(Assm!$L$75=0,F223,IF(AND($A224&gt;F$16,MONTH($A224)=MONTH(F$16)),B223/B211,F223))</f>
        <v>1.07133291830938</v>
      </c>
      <c r="G224" s="1668" t="n">
        <f aca="false">IF(Assm!$L$75=0,G223,IF(AND($A224&gt;G$16,MONTH($A224)=MONTH(G$16)),C223/C211,G223))</f>
        <v>1.02510587272767</v>
      </c>
      <c r="H224" s="1668" t="n">
        <f aca="false">IF(Assm!$L$75=0,H223,IF(AND($A224&gt;H$16,MONTH($A224)=MONTH(H$16)),C223/C211-H$18,H223))</f>
        <v>1.02260587272767</v>
      </c>
      <c r="I224" s="1668" t="n">
        <f aca="false">IF(Assm!$L$75=0,I223,IF($A224&gt;=I$16,IF(MONTH($A224)=MONTH(I$16),AVERAGE(D212:D223),I223),I223))</f>
        <v>2.79034388935625</v>
      </c>
      <c r="J224" s="1675" t="n">
        <f aca="false">IF(Assm!$L$75=0,J223,IF($A224&gt;=J$16,IF(MONTH($A224)=MONTH(J$16),AVERAGE(E212:E223),J223),J223))</f>
        <v>2.42752000721543</v>
      </c>
      <c r="K224" s="1624" t="n">
        <f aca="false">K223+1</f>
        <v>212</v>
      </c>
      <c r="L224" s="1667" t="n">
        <f aca="false">HLOOKUP(L$14,Dec_Change,$K224)</f>
        <v>1.02510587272767</v>
      </c>
      <c r="M224" s="1668" t="n">
        <f aca="false">M223</f>
        <v>0</v>
      </c>
      <c r="N224" s="1675" t="n">
        <f aca="false">IF(AND($A224&gt;=N$16,MONTH($A224)=MONTH(N$16)),MAX(L224,M224)*N223,N223)</f>
        <v>1.51901070889322</v>
      </c>
      <c r="P224" s="1667" t="n">
        <f aca="false">HLOOKUP(P$14,Dec_Change,$K224)</f>
        <v>1.07133291830938</v>
      </c>
      <c r="Q224" s="1668" t="n">
        <f aca="false">Q223</f>
        <v>0</v>
      </c>
      <c r="R224" s="1675" t="n">
        <f aca="false">IF(AND($A224&gt;=R$16,MONTH($A224)=MONTH(R$16)),MAX(P224,Q224)*R223,R223)</f>
        <v>3.43620643785714</v>
      </c>
      <c r="T224" s="1667" t="n">
        <f aca="false">HLOOKUP(T$14,Dec_Change,$K224)</f>
        <v>1.02510587272767</v>
      </c>
      <c r="U224" s="1668" t="n">
        <f aca="false">U223</f>
        <v>1.005</v>
      </c>
      <c r="V224" s="1675" t="n">
        <f aca="false">IF(AND($A224&gt;=V$16,MONTH($A224)=MONTH(V$16)),MAX(T224,U224)*V223,V223)</f>
        <v>1.51901070889322</v>
      </c>
      <c r="X224" s="1667" t="n">
        <f aca="false">HLOOKUP(X$14,Dec_Change,$K224)</f>
        <v>1.02260587272767</v>
      </c>
      <c r="Y224" s="1668" t="n">
        <f aca="false">Y223</f>
        <v>1.02</v>
      </c>
      <c r="Z224" s="1675" t="n">
        <f aca="false">IF(AND($A224&gt;=Z$16,MONTH($A224)=MONTH(Z$16)),MAX(X224,Y224)*Z223,Z223)</f>
        <v>1.4726424201483</v>
      </c>
      <c r="AB224" s="1667" t="n">
        <f aca="false">HLOOKUP(AB$14,Dec_Change,$K224)</f>
        <v>1.02260587272767</v>
      </c>
      <c r="AC224" s="1668" t="n">
        <f aca="false">AC223</f>
        <v>1.02</v>
      </c>
      <c r="AD224" s="1675" t="n">
        <f aca="false">IF(AND($A224&gt;=AD$16,MONTH($A224)=MONTH(AD$16)),MAX(AB224,AC224)*AD223,AD223)</f>
        <v>1.4726424201483</v>
      </c>
      <c r="AF224" s="1667" t="n">
        <f aca="false">HLOOKUP(AF$14,Dec_Change,$K224)</f>
        <v>1.07133291830938</v>
      </c>
      <c r="AG224" s="1668" t="n">
        <f aca="false">AG223</f>
        <v>0</v>
      </c>
      <c r="AH224" s="1675" t="n">
        <f aca="false">IF(AND($A224&gt;=AH$16,MONTH($A224)=MONTH(AH$16)),MAX(AF224,AG224)*AH223,AH223)</f>
        <v>3.43620643785714</v>
      </c>
      <c r="AJ224" s="1667" t="n">
        <f aca="false">HLOOKUP(AJ$14,Dec_Change,$K224)</f>
        <v>1.02260587272767</v>
      </c>
      <c r="AK224" s="1668" t="n">
        <f aca="false">AK223</f>
        <v>1.02</v>
      </c>
      <c r="AL224" s="1675" t="n">
        <f aca="false">IF(AND($A224&gt;=AL$16,MONTH($A224)=MONTH(AL$16)),MAX(AJ224,AK224)*AL223,AL223)</f>
        <v>1.4726424201483</v>
      </c>
      <c r="AN224" s="1667" t="n">
        <f aca="false">HLOOKUP(AN$14,Dec_Change,$K224)</f>
        <v>1.02510587272767</v>
      </c>
      <c r="AO224" s="1668" t="n">
        <f aca="false">AO223</f>
        <v>1.005</v>
      </c>
      <c r="AP224" s="1675" t="n">
        <f aca="false">IF(AND($A224&gt;=AP$16,MONTH($A224)=MONTH(AP$16)),MAX(AN224,AO224)*AP223,AP223)</f>
        <v>1.51901070889322</v>
      </c>
      <c r="AR224" s="1670" t="n">
        <f aca="false">$A224</f>
        <v>41640</v>
      </c>
      <c r="AS224" s="1671" t="n">
        <f aca="false">IF(AND($A224&gt;=EDATE(AS$17,12),IF(Assm!$L$74=0,$D224,$E224)/AS223&gt;=1.05),IF(Assm!$L$74=0,$D224,$E224),AS223)</f>
        <v>2.77412681792376</v>
      </c>
      <c r="AT224" s="1671" t="n">
        <f aca="false">IF(AS224/AS223=1,AT223,AS224/AS223)</f>
        <v>1.05070990293319</v>
      </c>
      <c r="AU224" s="1671" t="n">
        <f aca="false">F224</f>
        <v>1.07133291830938</v>
      </c>
      <c r="AV224" s="1671" t="n">
        <f aca="false">MAX(AT224,AU224)</f>
        <v>1.07133291830938</v>
      </c>
      <c r="AW224" s="1675" t="n">
        <f aca="false">IF(AV224=AV223,AW223,AV224*AW223)</f>
        <v>3.22012463567054</v>
      </c>
    </row>
    <row r="225" customFormat="false" ht="12.75" hidden="false" customHeight="false" outlineLevel="0" collapsed="false">
      <c r="A225" s="1673" t="n">
        <f aca="false">EDATE(A224,1)</f>
        <v>41671</v>
      </c>
      <c r="B225" s="1659" t="n">
        <f aca="false">'[4]Monthly Curve Calc.'!B228</f>
        <v>508.27019714509</v>
      </c>
      <c r="C225" s="1660" t="n">
        <f aca="false">'[4]Monthly Curve Calc.'!C228</f>
        <v>248.44997341141</v>
      </c>
      <c r="D225" s="1661" t="n">
        <f aca="false">'[4]Monthly Curve Calc.'!F228</f>
        <v>2.82520750724491</v>
      </c>
      <c r="E225" s="1662" t="n">
        <f aca="false">IF($A225&lt;=E$16,D225,(B225/B224)/(C225/C224)*E224)</f>
        <v>2.49302583999348</v>
      </c>
      <c r="F225" s="1674" t="n">
        <f aca="false">IF(Assm!$L$75=0,F224,IF(AND($A225&gt;F$16,MONTH($A225)=MONTH(F$16)),B224/B212,F224))</f>
        <v>1.07133291830938</v>
      </c>
      <c r="G225" s="1668" t="n">
        <f aca="false">IF(Assm!$L$75=0,G224,IF(AND($A225&gt;G$16,MONTH($A225)=MONTH(G$16)),C224/C212,G224))</f>
        <v>1.02510587272767</v>
      </c>
      <c r="H225" s="1668" t="n">
        <f aca="false">IF(Assm!$L$75=0,H224,IF(AND($A225&gt;H$16,MONTH($A225)=MONTH(H$16)),C224/C212-H$18,H224))</f>
        <v>1.02260587272767</v>
      </c>
      <c r="I225" s="1668" t="n">
        <f aca="false">IF(Assm!$L$75=0,I224,IF($A225&gt;=I$16,IF(MONTH($A225)=MONTH(I$16),AVERAGE(D213:D224),I224),I224))</f>
        <v>2.79034388935625</v>
      </c>
      <c r="J225" s="1675" t="n">
        <f aca="false">IF(Assm!$L$75=0,J224,IF($A225&gt;=J$16,IF(MONTH($A225)=MONTH(J$16),AVERAGE(E213:E224),J224),J224))</f>
        <v>2.42752000721543</v>
      </c>
      <c r="K225" s="1624" t="n">
        <f aca="false">K224+1</f>
        <v>213</v>
      </c>
      <c r="L225" s="1667" t="n">
        <f aca="false">HLOOKUP(L$14,Dec_Change,$K225)</f>
        <v>1.02510587272767</v>
      </c>
      <c r="M225" s="1668" t="n">
        <f aca="false">M224</f>
        <v>0</v>
      </c>
      <c r="N225" s="1675" t="n">
        <f aca="false">IF(AND($A225&gt;=N$16,MONTH($A225)=MONTH(N$16)),MAX(L225,M225)*N224,N224)</f>
        <v>1.51901070889322</v>
      </c>
      <c r="P225" s="1667" t="n">
        <f aca="false">HLOOKUP(P$14,Dec_Change,$K225)</f>
        <v>1.07133291830938</v>
      </c>
      <c r="Q225" s="1668" t="n">
        <f aca="false">Q224</f>
        <v>0</v>
      </c>
      <c r="R225" s="1675" t="n">
        <f aca="false">IF(AND($A225&gt;=R$16,MONTH($A225)=MONTH(R$16)),MAX(P225,Q225)*R224,R224)</f>
        <v>3.43620643785714</v>
      </c>
      <c r="T225" s="1667" t="n">
        <f aca="false">HLOOKUP(T$14,Dec_Change,$K225)</f>
        <v>1.02510587272767</v>
      </c>
      <c r="U225" s="1668" t="n">
        <f aca="false">U224</f>
        <v>1.005</v>
      </c>
      <c r="V225" s="1675" t="n">
        <f aca="false">IF(AND($A225&gt;=V$16,MONTH($A225)=MONTH(V$16)),MAX(T225,U225)*V224,V224)</f>
        <v>1.51901070889322</v>
      </c>
      <c r="X225" s="1667" t="n">
        <f aca="false">HLOOKUP(X$14,Dec_Change,$K225)</f>
        <v>1.02260587272767</v>
      </c>
      <c r="Y225" s="1668" t="n">
        <f aca="false">Y224</f>
        <v>1.02</v>
      </c>
      <c r="Z225" s="1675" t="n">
        <f aca="false">IF(AND($A225&gt;=Z$16,MONTH($A225)=MONTH(Z$16)),MAX(X225,Y225)*Z224,Z224)</f>
        <v>1.4726424201483</v>
      </c>
      <c r="AB225" s="1667" t="n">
        <f aca="false">HLOOKUP(AB$14,Dec_Change,$K225)</f>
        <v>1.02260587272767</v>
      </c>
      <c r="AC225" s="1668" t="n">
        <f aca="false">AC224</f>
        <v>1.02</v>
      </c>
      <c r="AD225" s="1675" t="n">
        <f aca="false">IF(AND($A225&gt;=AD$16,MONTH($A225)=MONTH(AD$16)),MAX(AB225,AC225)*AD224,AD224)</f>
        <v>1.4726424201483</v>
      </c>
      <c r="AF225" s="1667" t="n">
        <f aca="false">HLOOKUP(AF$14,Dec_Change,$K225)</f>
        <v>1.07133291830938</v>
      </c>
      <c r="AG225" s="1668" t="n">
        <f aca="false">AG224</f>
        <v>0</v>
      </c>
      <c r="AH225" s="1675" t="n">
        <f aca="false">IF(AND($A225&gt;=AH$16,MONTH($A225)=MONTH(AH$16)),MAX(AF225,AG225)*AH224,AH224)</f>
        <v>3.43620643785714</v>
      </c>
      <c r="AJ225" s="1667" t="n">
        <f aca="false">HLOOKUP(AJ$14,Dec_Change,$K225)</f>
        <v>1.02260587272767</v>
      </c>
      <c r="AK225" s="1668" t="n">
        <f aca="false">AK224</f>
        <v>1.02</v>
      </c>
      <c r="AL225" s="1675" t="n">
        <f aca="false">IF(AND($A225&gt;=AL$16,MONTH($A225)=MONTH(AL$16)),MAX(AJ225,AK225)*AL224,AL224)</f>
        <v>1.4726424201483</v>
      </c>
      <c r="AN225" s="1667" t="n">
        <f aca="false">HLOOKUP(AN$14,Dec_Change,$K225)</f>
        <v>1.02510587272767</v>
      </c>
      <c r="AO225" s="1668" t="n">
        <f aca="false">AO224</f>
        <v>1.005</v>
      </c>
      <c r="AP225" s="1675" t="n">
        <f aca="false">IF(AND($A225&gt;=AP$16,MONTH($A225)=MONTH(AP$16)),MAX(AN225,AO225)*AP224,AP224)</f>
        <v>1.51901070889322</v>
      </c>
      <c r="AR225" s="1670" t="n">
        <f aca="false">$A225</f>
        <v>41671</v>
      </c>
      <c r="AS225" s="1671" t="n">
        <f aca="false">IF(AND($A225&gt;=EDATE(AS$17,12),IF(Assm!$L$74=0,$D225,$E225)/AS224&gt;=1.05),IF(Assm!$L$74=0,$D225,$E225),AS224)</f>
        <v>2.77412681792376</v>
      </c>
      <c r="AT225" s="1671" t="n">
        <f aca="false">IF(AS225/AS224=1,AT224,AS225/AS224)</f>
        <v>1.05070990293319</v>
      </c>
      <c r="AU225" s="1671" t="n">
        <f aca="false">F225</f>
        <v>1.07133291830938</v>
      </c>
      <c r="AV225" s="1671" t="n">
        <f aca="false">MAX(AT225,AU225)</f>
        <v>1.07133291830938</v>
      </c>
      <c r="AW225" s="1675" t="n">
        <f aca="false">IF(AV225=AV224,AW224,AV225*AW224)</f>
        <v>3.22012463567054</v>
      </c>
    </row>
    <row r="226" customFormat="false" ht="12.75" hidden="false" customHeight="false" outlineLevel="0" collapsed="false">
      <c r="A226" s="1673" t="n">
        <f aca="false">EDATE(A225,1)</f>
        <v>41699</v>
      </c>
      <c r="B226" s="1659" t="n">
        <f aca="false">'[4]Monthly Curve Calc.'!B229</f>
        <v>511.144030735834</v>
      </c>
      <c r="C226" s="1660" t="n">
        <f aca="false">'[4]Monthly Curve Calc.'!C229</f>
        <v>248.972004578708</v>
      </c>
      <c r="D226" s="1661" t="n">
        <f aca="false">'[4]Monthly Curve Calc.'!F229</f>
        <v>2.82987247707826</v>
      </c>
      <c r="E226" s="1662" t="n">
        <f aca="false">IF($A226&lt;=E$16,D226,(B226/B225)/(C226/C225)*E225)</f>
        <v>2.50186497186974</v>
      </c>
      <c r="F226" s="1674" t="n">
        <f aca="false">IF(Assm!$L$75=0,F225,IF(AND($A226&gt;F$16,MONTH($A226)=MONTH(F$16)),B225/B213,F225))</f>
        <v>1.07133291830938</v>
      </c>
      <c r="G226" s="1668" t="n">
        <f aca="false">IF(Assm!$L$75=0,G225,IF(AND($A226&gt;G$16,MONTH($A226)=MONTH(G$16)),C225/C213,G225))</f>
        <v>1.02510587272767</v>
      </c>
      <c r="H226" s="1668" t="n">
        <f aca="false">IF(Assm!$L$75=0,H225,IF(AND($A226&gt;H$16,MONTH($A226)=MONTH(H$16)),C225/C213-H$18,H225))</f>
        <v>1.02260587272767</v>
      </c>
      <c r="I226" s="1668" t="n">
        <f aca="false">IF(Assm!$L$75=0,I225,IF($A226&gt;=I$16,IF(MONTH($A226)=MONTH(I$16),AVERAGE(D214:D225),I225),I225))</f>
        <v>2.79034388935625</v>
      </c>
      <c r="J226" s="1675" t="n">
        <f aca="false">IF(Assm!$L$75=0,J225,IF($A226&gt;=J$16,IF(MONTH($A226)=MONTH(J$16),AVERAGE(E214:E225),J225),J225))</f>
        <v>2.42752000721543</v>
      </c>
      <c r="K226" s="1624" t="n">
        <f aca="false">K225+1</f>
        <v>214</v>
      </c>
      <c r="L226" s="1667" t="n">
        <f aca="false">HLOOKUP(L$14,Dec_Change,$K226)</f>
        <v>1.02510587272767</v>
      </c>
      <c r="M226" s="1668" t="n">
        <f aca="false">M225</f>
        <v>0</v>
      </c>
      <c r="N226" s="1675" t="n">
        <f aca="false">IF(AND($A226&gt;=N$16,MONTH($A226)=MONTH(N$16)),MAX(L226,M226)*N225,N225)</f>
        <v>1.51901070889322</v>
      </c>
      <c r="P226" s="1667" t="n">
        <f aca="false">HLOOKUP(P$14,Dec_Change,$K226)</f>
        <v>1.07133291830938</v>
      </c>
      <c r="Q226" s="1668" t="n">
        <f aca="false">Q225</f>
        <v>0</v>
      </c>
      <c r="R226" s="1675" t="n">
        <f aca="false">IF(AND($A226&gt;=R$16,MONTH($A226)=MONTH(R$16)),MAX(P226,Q226)*R225,R225)</f>
        <v>3.43620643785714</v>
      </c>
      <c r="T226" s="1667" t="n">
        <f aca="false">HLOOKUP(T$14,Dec_Change,$K226)</f>
        <v>1.02510587272767</v>
      </c>
      <c r="U226" s="1668" t="n">
        <f aca="false">U225</f>
        <v>1.005</v>
      </c>
      <c r="V226" s="1675" t="n">
        <f aca="false">IF(AND($A226&gt;=V$16,MONTH($A226)=MONTH(V$16)),MAX(T226,U226)*V225,V225)</f>
        <v>1.51901070889322</v>
      </c>
      <c r="X226" s="1667" t="n">
        <f aca="false">HLOOKUP(X$14,Dec_Change,$K226)</f>
        <v>1.02260587272767</v>
      </c>
      <c r="Y226" s="1668" t="n">
        <f aca="false">Y225</f>
        <v>1.02</v>
      </c>
      <c r="Z226" s="1675" t="n">
        <f aca="false">IF(AND($A226&gt;=Z$16,MONTH($A226)=MONTH(Z$16)),MAX(X226,Y226)*Z225,Z225)</f>
        <v>1.4726424201483</v>
      </c>
      <c r="AB226" s="1667" t="n">
        <f aca="false">HLOOKUP(AB$14,Dec_Change,$K226)</f>
        <v>1.02260587272767</v>
      </c>
      <c r="AC226" s="1668" t="n">
        <f aca="false">AC225</f>
        <v>1.02</v>
      </c>
      <c r="AD226" s="1675" t="n">
        <f aca="false">IF(AND($A226&gt;=AD$16,MONTH($A226)=MONTH(AD$16)),MAX(AB226,AC226)*AD225,AD225)</f>
        <v>1.4726424201483</v>
      </c>
      <c r="AF226" s="1667" t="n">
        <f aca="false">HLOOKUP(AF$14,Dec_Change,$K226)</f>
        <v>1.07133291830938</v>
      </c>
      <c r="AG226" s="1668" t="n">
        <f aca="false">AG225</f>
        <v>0</v>
      </c>
      <c r="AH226" s="1675" t="n">
        <f aca="false">IF(AND($A226&gt;=AH$16,MONTH($A226)=MONTH(AH$16)),MAX(AF226,AG226)*AH225,AH225)</f>
        <v>3.43620643785714</v>
      </c>
      <c r="AJ226" s="1667" t="n">
        <f aca="false">HLOOKUP(AJ$14,Dec_Change,$K226)</f>
        <v>1.02260587272767</v>
      </c>
      <c r="AK226" s="1668" t="n">
        <f aca="false">AK225</f>
        <v>1.02</v>
      </c>
      <c r="AL226" s="1675" t="n">
        <f aca="false">IF(AND($A226&gt;=AL$16,MONTH($A226)=MONTH(AL$16)),MAX(AJ226,AK226)*AL225,AL225)</f>
        <v>1.4726424201483</v>
      </c>
      <c r="AN226" s="1667" t="n">
        <f aca="false">HLOOKUP(AN$14,Dec_Change,$K226)</f>
        <v>1.02510587272767</v>
      </c>
      <c r="AO226" s="1668" t="n">
        <f aca="false">AO225</f>
        <v>1.005</v>
      </c>
      <c r="AP226" s="1675" t="n">
        <f aca="false">IF(AND($A226&gt;=AP$16,MONTH($A226)=MONTH(AP$16)),MAX(AN226,AO226)*AP225,AP225)</f>
        <v>1.51901070889322</v>
      </c>
      <c r="AR226" s="1670" t="n">
        <f aca="false">$A226</f>
        <v>41699</v>
      </c>
      <c r="AS226" s="1671" t="n">
        <f aca="false">IF(AND($A226&gt;=EDATE(AS$17,12),IF(Assm!$L$74=0,$D226,$E226)/AS225&gt;=1.05),IF(Assm!$L$74=0,$D226,$E226),AS225)</f>
        <v>2.77412681792376</v>
      </c>
      <c r="AT226" s="1671" t="n">
        <f aca="false">IF(AS226/AS225=1,AT225,AS226/AS225)</f>
        <v>1.05070990293319</v>
      </c>
      <c r="AU226" s="1671" t="n">
        <f aca="false">F226</f>
        <v>1.07133291830938</v>
      </c>
      <c r="AV226" s="1671" t="n">
        <f aca="false">MAX(AT226,AU226)</f>
        <v>1.07133291830938</v>
      </c>
      <c r="AW226" s="1675" t="n">
        <f aca="false">IF(AV226=AV225,AW225,AV226*AW225)</f>
        <v>3.22012463567054</v>
      </c>
    </row>
    <row r="227" customFormat="false" ht="12.75" hidden="false" customHeight="false" outlineLevel="0" collapsed="false">
      <c r="A227" s="1673" t="n">
        <f aca="false">EDATE(A226,1)</f>
        <v>41730</v>
      </c>
      <c r="B227" s="1659" t="n">
        <f aca="false">'[4]Monthly Curve Calc.'!B230</f>
        <v>514.034113399518</v>
      </c>
      <c r="C227" s="1660" t="n">
        <f aca="false">'[4]Monthly Curve Calc.'!C230</f>
        <v>249.495132612855</v>
      </c>
      <c r="D227" s="1661" t="n">
        <f aca="false">'[4]Monthly Curve Calc.'!F230</f>
        <v>2.83454514968866</v>
      </c>
      <c r="E227" s="1662" t="n">
        <f aca="false">IF($A227&lt;=E$16,D227,(B227/B226)/(C227/C226)*E226)</f>
        <v>2.51073544327367</v>
      </c>
      <c r="F227" s="1674" t="n">
        <f aca="false">IF(Assm!$L$75=0,F226,IF(AND($A227&gt;F$16,MONTH($A227)=MONTH(F$16)),B226/B214,F226))</f>
        <v>1.07133291830938</v>
      </c>
      <c r="G227" s="1668" t="n">
        <f aca="false">IF(Assm!$L$75=0,G226,IF(AND($A227&gt;G$16,MONTH($A227)=MONTH(G$16)),C226/C214,G226))</f>
        <v>1.02510587272767</v>
      </c>
      <c r="H227" s="1668" t="n">
        <f aca="false">IF(Assm!$L$75=0,H226,IF(AND($A227&gt;H$16,MONTH($A227)=MONTH(H$16)),C226/C214-H$18,H226))</f>
        <v>1.02260587272767</v>
      </c>
      <c r="I227" s="1668" t="n">
        <f aca="false">IF(Assm!$L$75=0,I226,IF($A227&gt;=I$16,IF(MONTH($A227)=MONTH(I$16),AVERAGE(D215:D226),I226),I226))</f>
        <v>2.79034388935625</v>
      </c>
      <c r="J227" s="1675" t="n">
        <f aca="false">IF(Assm!$L$75=0,J226,IF($A227&gt;=J$16,IF(MONTH($A227)=MONTH(J$16),AVERAGE(E215:E226),J226),J226))</f>
        <v>2.42752000721543</v>
      </c>
      <c r="K227" s="1624" t="n">
        <f aca="false">K226+1</f>
        <v>215</v>
      </c>
      <c r="L227" s="1667" t="n">
        <f aca="false">HLOOKUP(L$14,Dec_Change,$K227)</f>
        <v>1.02510587272767</v>
      </c>
      <c r="M227" s="1668" t="n">
        <f aca="false">M226</f>
        <v>0</v>
      </c>
      <c r="N227" s="1675" t="n">
        <f aca="false">IF(AND($A227&gt;=N$16,MONTH($A227)=MONTH(N$16)),MAX(L227,M227)*N226,N226)</f>
        <v>1.51901070889322</v>
      </c>
      <c r="P227" s="1667" t="n">
        <f aca="false">HLOOKUP(P$14,Dec_Change,$K227)</f>
        <v>1.07133291830938</v>
      </c>
      <c r="Q227" s="1668" t="n">
        <f aca="false">Q226</f>
        <v>0</v>
      </c>
      <c r="R227" s="1675" t="n">
        <f aca="false">IF(AND($A227&gt;=R$16,MONTH($A227)=MONTH(R$16)),MAX(P227,Q227)*R226,R226)</f>
        <v>3.43620643785714</v>
      </c>
      <c r="T227" s="1667" t="n">
        <f aca="false">HLOOKUP(T$14,Dec_Change,$K227)</f>
        <v>1.02510587272767</v>
      </c>
      <c r="U227" s="1668" t="n">
        <f aca="false">U226</f>
        <v>1.005</v>
      </c>
      <c r="V227" s="1675" t="n">
        <f aca="false">IF(AND($A227&gt;=V$16,MONTH($A227)=MONTH(V$16)),MAX(T227,U227)*V226,V226)</f>
        <v>1.51901070889322</v>
      </c>
      <c r="X227" s="1667" t="n">
        <f aca="false">HLOOKUP(X$14,Dec_Change,$K227)</f>
        <v>1.02260587272767</v>
      </c>
      <c r="Y227" s="1668" t="n">
        <f aca="false">Y226</f>
        <v>1.02</v>
      </c>
      <c r="Z227" s="1675" t="n">
        <f aca="false">IF(AND($A227&gt;=Z$16,MONTH($A227)=MONTH(Z$16)),MAX(X227,Y227)*Z226,Z226)</f>
        <v>1.4726424201483</v>
      </c>
      <c r="AB227" s="1667" t="n">
        <f aca="false">HLOOKUP(AB$14,Dec_Change,$K227)</f>
        <v>1.02260587272767</v>
      </c>
      <c r="AC227" s="1668" t="n">
        <f aca="false">AC226</f>
        <v>1.02</v>
      </c>
      <c r="AD227" s="1675" t="n">
        <f aca="false">IF(AND($A227&gt;=AD$16,MONTH($A227)=MONTH(AD$16)),MAX(AB227,AC227)*AD226,AD226)</f>
        <v>1.4726424201483</v>
      </c>
      <c r="AF227" s="1667" t="n">
        <f aca="false">HLOOKUP(AF$14,Dec_Change,$K227)</f>
        <v>1.07133291830938</v>
      </c>
      <c r="AG227" s="1668" t="n">
        <f aca="false">AG226</f>
        <v>0</v>
      </c>
      <c r="AH227" s="1675" t="n">
        <f aca="false">IF(AND($A227&gt;=AH$16,MONTH($A227)=MONTH(AH$16)),MAX(AF227,AG227)*AH226,AH226)</f>
        <v>3.43620643785714</v>
      </c>
      <c r="AJ227" s="1667" t="n">
        <f aca="false">HLOOKUP(AJ$14,Dec_Change,$K227)</f>
        <v>1.02260587272767</v>
      </c>
      <c r="AK227" s="1668" t="n">
        <f aca="false">AK226</f>
        <v>1.02</v>
      </c>
      <c r="AL227" s="1675" t="n">
        <f aca="false">IF(AND($A227&gt;=AL$16,MONTH($A227)=MONTH(AL$16)),MAX(AJ227,AK227)*AL226,AL226)</f>
        <v>1.4726424201483</v>
      </c>
      <c r="AN227" s="1667" t="n">
        <f aca="false">HLOOKUP(AN$14,Dec_Change,$K227)</f>
        <v>1.02510587272767</v>
      </c>
      <c r="AO227" s="1668" t="n">
        <f aca="false">AO226</f>
        <v>1.005</v>
      </c>
      <c r="AP227" s="1675" t="n">
        <f aca="false">IF(AND($A227&gt;=AP$16,MONTH($A227)=MONTH(AP$16)),MAX(AN227,AO227)*AP226,AP226)</f>
        <v>1.51901070889322</v>
      </c>
      <c r="AR227" s="1670" t="n">
        <f aca="false">$A227</f>
        <v>41730</v>
      </c>
      <c r="AS227" s="1671" t="n">
        <f aca="false">IF(AND($A227&gt;=EDATE(AS$17,12),IF(Assm!$L$74=0,$D227,$E227)/AS226&gt;=1.05),IF(Assm!$L$74=0,$D227,$E227),AS226)</f>
        <v>2.77412681792376</v>
      </c>
      <c r="AT227" s="1671" t="n">
        <f aca="false">IF(AS227/AS226=1,AT226,AS227/AS226)</f>
        <v>1.05070990293319</v>
      </c>
      <c r="AU227" s="1671" t="n">
        <f aca="false">F227</f>
        <v>1.07133291830938</v>
      </c>
      <c r="AV227" s="1671" t="n">
        <f aca="false">MAX(AT227,AU227)</f>
        <v>1.07133291830938</v>
      </c>
      <c r="AW227" s="1675" t="n">
        <f aca="false">IF(AV227=AV226,AW226,AV227*AW226)</f>
        <v>3.22012463567054</v>
      </c>
    </row>
    <row r="228" customFormat="false" ht="12.75" hidden="false" customHeight="false" outlineLevel="0" collapsed="false">
      <c r="A228" s="1673" t="n">
        <f aca="false">EDATE(A227,1)</f>
        <v>41760</v>
      </c>
      <c r="B228" s="1659" t="n">
        <f aca="false">'[4]Monthly Curve Calc.'!B231</f>
        <v>516.940537010765</v>
      </c>
      <c r="C228" s="1660" t="n">
        <f aca="false">'[4]Monthly Curve Calc.'!C231</f>
        <v>250.019359818535</v>
      </c>
      <c r="D228" s="1661" t="n">
        <f aca="false">'[4]Monthly Curve Calc.'!F231</f>
        <v>2.8392255377949</v>
      </c>
      <c r="E228" s="1662" t="n">
        <f aca="false">IF($A228&lt;=E$16,D228,(B228/B227)/(C228/C227)*E227)</f>
        <v>2.51963736532096</v>
      </c>
      <c r="F228" s="1674" t="n">
        <f aca="false">IF(Assm!$L$75=0,F227,IF(AND($A228&gt;F$16,MONTH($A228)=MONTH(F$16)),B227/B215,F227))</f>
        <v>1.07</v>
      </c>
      <c r="G228" s="1668" t="n">
        <f aca="false">IF(Assm!$L$75=0,G227,IF(AND($A228&gt;G$16,MONTH($A228)=MONTH(G$16)),C227/C215,G227))</f>
        <v>1.02527113365492</v>
      </c>
      <c r="H228" s="1668" t="n">
        <f aca="false">IF(Assm!$L$75=0,H227,IF(AND($A228&gt;H$16,MONTH($A228)=MONTH(H$16)),C227/C215-H$18,H227))</f>
        <v>1.02277113365492</v>
      </c>
      <c r="I228" s="1668" t="n">
        <f aca="false">IF(Assm!$L$75=0,I227,IF($A228&gt;=I$16,IF(MONTH($A228)=MONTH(I$16),AVERAGE(D216:D227),I227),I227))</f>
        <v>2.79034388935625</v>
      </c>
      <c r="J228" s="1675" t="n">
        <f aca="false">IF(Assm!$L$75=0,J227,IF($A228&gt;=J$16,IF(MONTH($A228)=MONTH(J$16),AVERAGE(E216:E227),J227),J227))</f>
        <v>2.42752000721543</v>
      </c>
      <c r="K228" s="1624" t="n">
        <f aca="false">K227+1</f>
        <v>216</v>
      </c>
      <c r="L228" s="1667" t="n">
        <f aca="false">HLOOKUP(L$14,Dec_Change,$K228)</f>
        <v>1.02527113365492</v>
      </c>
      <c r="M228" s="1668" t="n">
        <f aca="false">M227</f>
        <v>0</v>
      </c>
      <c r="N228" s="1675" t="n">
        <f aca="false">IF(AND($A228&gt;=N$16,MONTH($A228)=MONTH(N$16)),MAX(L228,M228)*N227,N227)</f>
        <v>1.55739783154092</v>
      </c>
      <c r="P228" s="1667" t="n">
        <f aca="false">HLOOKUP(P$14,Dec_Change,$K228)</f>
        <v>1.07</v>
      </c>
      <c r="Q228" s="1668" t="n">
        <f aca="false">Q227</f>
        <v>0</v>
      </c>
      <c r="R228" s="1675" t="n">
        <f aca="false">IF(AND($A228&gt;=R$16,MONTH($A228)=MONTH(R$16)),MAX(P228,Q228)*R227,R227)</f>
        <v>3.67674088850714</v>
      </c>
      <c r="T228" s="1667" t="n">
        <f aca="false">HLOOKUP(T$14,Dec_Change,$K228)</f>
        <v>1.02527113365492</v>
      </c>
      <c r="U228" s="1668" t="n">
        <f aca="false">U227</f>
        <v>1.005</v>
      </c>
      <c r="V228" s="1675" t="n">
        <f aca="false">IF(AND($A228&gt;=V$16,MONTH($A228)=MONTH(V$16)),MAX(T228,U228)*V227,V227)</f>
        <v>1.55739783154092</v>
      </c>
      <c r="X228" s="1667" t="n">
        <f aca="false">HLOOKUP(X$14,Dec_Change,$K228)</f>
        <v>1.02277113365492</v>
      </c>
      <c r="Y228" s="1668" t="n">
        <f aca="false">Y227</f>
        <v>1.02</v>
      </c>
      <c r="Z228" s="1675" t="n">
        <f aca="false">IF(AND($A228&gt;=Z$16,MONTH($A228)=MONTH(Z$16)),MAX(X228,Y228)*Z227,Z227)</f>
        <v>1.5061761575234</v>
      </c>
      <c r="AB228" s="1667" t="n">
        <f aca="false">HLOOKUP(AB$14,Dec_Change,$K228)</f>
        <v>1.02277113365492</v>
      </c>
      <c r="AC228" s="1668" t="n">
        <f aca="false">AC227</f>
        <v>1.02</v>
      </c>
      <c r="AD228" s="1675" t="n">
        <f aca="false">IF(AND($A228&gt;=AD$16,MONTH($A228)=MONTH(AD$16)),MAX(AB228,AC228)*AD227,AD227)</f>
        <v>1.5061761575234</v>
      </c>
      <c r="AF228" s="1667" t="n">
        <f aca="false">HLOOKUP(AF$14,Dec_Change,$K228)</f>
        <v>1.07</v>
      </c>
      <c r="AG228" s="1668" t="n">
        <f aca="false">AG227</f>
        <v>0</v>
      </c>
      <c r="AH228" s="1675" t="n">
        <f aca="false">IF(AND($A228&gt;=AH$16,MONTH($A228)=MONTH(AH$16)),MAX(AF228,AG228)*AH227,AH227)</f>
        <v>3.67674088850714</v>
      </c>
      <c r="AJ228" s="1667" t="n">
        <f aca="false">HLOOKUP(AJ$14,Dec_Change,$K228)</f>
        <v>1.02277113365492</v>
      </c>
      <c r="AK228" s="1668" t="n">
        <f aca="false">AK227</f>
        <v>1.02</v>
      </c>
      <c r="AL228" s="1675" t="n">
        <f aca="false">IF(AND($A228&gt;=AL$16,MONTH($A228)=MONTH(AL$16)),MAX(AJ228,AK228)*AL227,AL227)</f>
        <v>1.5061761575234</v>
      </c>
      <c r="AN228" s="1667" t="n">
        <f aca="false">HLOOKUP(AN$14,Dec_Change,$K228)</f>
        <v>1.02527113365492</v>
      </c>
      <c r="AO228" s="1668" t="n">
        <f aca="false">AO227</f>
        <v>1.005</v>
      </c>
      <c r="AP228" s="1675" t="n">
        <f aca="false">IF(AND($A228&gt;=AP$16,MONTH($A228)=MONTH(AP$16)),MAX(AN228,AO228)*AP227,AP227)</f>
        <v>1.55739783154092</v>
      </c>
      <c r="AR228" s="1670" t="n">
        <f aca="false">$A228</f>
        <v>41760</v>
      </c>
      <c r="AS228" s="1671" t="n">
        <f aca="false">IF(AND($A228&gt;=EDATE(AS$17,12),IF(Assm!$L$74=0,$D228,$E228)/AS227&gt;=1.05),IF(Assm!$L$74=0,$D228,$E228),AS227)</f>
        <v>2.77412681792376</v>
      </c>
      <c r="AT228" s="1671" t="n">
        <f aca="false">IF(AS228/AS227=1,AT227,AS228/AS227)</f>
        <v>1.05070990293319</v>
      </c>
      <c r="AU228" s="1671" t="n">
        <f aca="false">F228</f>
        <v>1.07</v>
      </c>
      <c r="AV228" s="1671" t="n">
        <f aca="false">MAX(AT228,AU228)</f>
        <v>1.07</v>
      </c>
      <c r="AW228" s="1675" t="n">
        <f aca="false">IF(AV228=AV227,AW227,AV228*AW227)</f>
        <v>3.44553336016748</v>
      </c>
    </row>
    <row r="229" customFormat="false" ht="12.75" hidden="false" customHeight="false" outlineLevel="0" collapsed="false">
      <c r="A229" s="1673" t="n">
        <f aca="false">EDATE(A228,1)</f>
        <v>41791</v>
      </c>
      <c r="B229" s="1659" t="n">
        <f aca="false">'[4]Monthly Curve Calc.'!B232</f>
        <v>519.863393963667</v>
      </c>
      <c r="C229" s="1660" t="n">
        <f aca="false">'[4]Monthly Curve Calc.'!C232</f>
        <v>250.544688505276</v>
      </c>
      <c r="D229" s="1661" t="n">
        <f aca="false">'[4]Monthly Curve Calc.'!F232</f>
        <v>2.84391365413677</v>
      </c>
      <c r="E229" s="1662" t="n">
        <f aca="false">IF($A229&lt;=E$16,D229,(B229/B228)/(C229/C228)*E228)</f>
        <v>2.52857084952121</v>
      </c>
      <c r="F229" s="1674" t="n">
        <f aca="false">IF(Assm!$L$75=0,F228,IF(AND($A229&gt;F$16,MONTH($A229)=MONTH(F$16)),B228/B216,F228))</f>
        <v>1.07</v>
      </c>
      <c r="G229" s="1668" t="n">
        <f aca="false">IF(Assm!$L$75=0,G228,IF(AND($A229&gt;G$16,MONTH($A229)=MONTH(G$16)),C228/C216,G228))</f>
        <v>1.02527113365492</v>
      </c>
      <c r="H229" s="1668" t="n">
        <f aca="false">IF(Assm!$L$75=0,H228,IF(AND($A229&gt;H$16,MONTH($A229)=MONTH(H$16)),C228/C216-H$18,H228))</f>
        <v>1.02277113365492</v>
      </c>
      <c r="I229" s="1668" t="n">
        <f aca="false">IF(Assm!$L$75=0,I228,IF($A229&gt;=I$16,IF(MONTH($A229)=MONTH(I$16),AVERAGE(D217:D228),I228),I228))</f>
        <v>2.79034388935625</v>
      </c>
      <c r="J229" s="1675" t="n">
        <f aca="false">IF(Assm!$L$75=0,J228,IF($A229&gt;=J$16,IF(MONTH($A229)=MONTH(J$16),AVERAGE(E217:E228),J228),J228))</f>
        <v>2.42752000721543</v>
      </c>
      <c r="K229" s="1624" t="n">
        <f aca="false">K228+1</f>
        <v>217</v>
      </c>
      <c r="L229" s="1667" t="n">
        <f aca="false">HLOOKUP(L$14,Dec_Change,$K229)</f>
        <v>1.02527113365492</v>
      </c>
      <c r="M229" s="1668" t="n">
        <f aca="false">M228</f>
        <v>0</v>
      </c>
      <c r="N229" s="1675" t="n">
        <f aca="false">IF(AND($A229&gt;=N$16,MONTH($A229)=MONTH(N$16)),MAX(L229,M229)*N228,N228)</f>
        <v>1.55739783154092</v>
      </c>
      <c r="P229" s="1667" t="n">
        <f aca="false">HLOOKUP(P$14,Dec_Change,$K229)</f>
        <v>1.07</v>
      </c>
      <c r="Q229" s="1668" t="n">
        <f aca="false">Q228</f>
        <v>0</v>
      </c>
      <c r="R229" s="1675" t="n">
        <f aca="false">IF(AND($A229&gt;=R$16,MONTH($A229)=MONTH(R$16)),MAX(P229,Q229)*R228,R228)</f>
        <v>3.67674088850714</v>
      </c>
      <c r="T229" s="1667" t="n">
        <f aca="false">HLOOKUP(T$14,Dec_Change,$K229)</f>
        <v>1.02527113365492</v>
      </c>
      <c r="U229" s="1668" t="n">
        <f aca="false">U228</f>
        <v>1.005</v>
      </c>
      <c r="V229" s="1675" t="n">
        <f aca="false">IF(AND($A229&gt;=V$16,MONTH($A229)=MONTH(V$16)),MAX(T229,U229)*V228,V228)</f>
        <v>1.55739783154092</v>
      </c>
      <c r="X229" s="1667" t="n">
        <f aca="false">HLOOKUP(X$14,Dec_Change,$K229)</f>
        <v>1.02277113365492</v>
      </c>
      <c r="Y229" s="1668" t="n">
        <f aca="false">Y228</f>
        <v>1.02</v>
      </c>
      <c r="Z229" s="1675" t="n">
        <f aca="false">IF(AND($A229&gt;=Z$16,MONTH($A229)=MONTH(Z$16)),MAX(X229,Y229)*Z228,Z228)</f>
        <v>1.5061761575234</v>
      </c>
      <c r="AB229" s="1667" t="n">
        <f aca="false">HLOOKUP(AB$14,Dec_Change,$K229)</f>
        <v>1.02277113365492</v>
      </c>
      <c r="AC229" s="1668" t="n">
        <f aca="false">AC228</f>
        <v>1.02</v>
      </c>
      <c r="AD229" s="1675" t="n">
        <f aca="false">IF(AND($A229&gt;=AD$16,MONTH($A229)=MONTH(AD$16)),MAX(AB229,AC229)*AD228,AD228)</f>
        <v>1.5061761575234</v>
      </c>
      <c r="AF229" s="1667" t="n">
        <f aca="false">HLOOKUP(AF$14,Dec_Change,$K229)</f>
        <v>1.07</v>
      </c>
      <c r="AG229" s="1668" t="n">
        <f aca="false">AG228</f>
        <v>0</v>
      </c>
      <c r="AH229" s="1675" t="n">
        <f aca="false">IF(AND($A229&gt;=AH$16,MONTH($A229)=MONTH(AH$16)),MAX(AF229,AG229)*AH228,AH228)</f>
        <v>3.67674088850714</v>
      </c>
      <c r="AJ229" s="1667" t="n">
        <f aca="false">HLOOKUP(AJ$14,Dec_Change,$K229)</f>
        <v>1.02277113365492</v>
      </c>
      <c r="AK229" s="1668" t="n">
        <f aca="false">AK228</f>
        <v>1.02</v>
      </c>
      <c r="AL229" s="1675" t="n">
        <f aca="false">IF(AND($A229&gt;=AL$16,MONTH($A229)=MONTH(AL$16)),MAX(AJ229,AK229)*AL228,AL228)</f>
        <v>1.5061761575234</v>
      </c>
      <c r="AN229" s="1667" t="n">
        <f aca="false">HLOOKUP(AN$14,Dec_Change,$K229)</f>
        <v>1.02527113365492</v>
      </c>
      <c r="AO229" s="1668" t="n">
        <f aca="false">AO228</f>
        <v>1.005</v>
      </c>
      <c r="AP229" s="1675" t="n">
        <f aca="false">IF(AND($A229&gt;=AP$16,MONTH($A229)=MONTH(AP$16)),MAX(AN229,AO229)*AP228,AP228)</f>
        <v>1.55739783154092</v>
      </c>
      <c r="AR229" s="1670" t="n">
        <f aca="false">$A229</f>
        <v>41791</v>
      </c>
      <c r="AS229" s="1671" t="n">
        <f aca="false">IF(AND($A229&gt;=EDATE(AS$17,12),IF(Assm!$L$74=0,$D229,$E229)/AS228&gt;=1.05),IF(Assm!$L$74=0,$D229,$E229),AS228)</f>
        <v>2.77412681792376</v>
      </c>
      <c r="AT229" s="1671" t="n">
        <f aca="false">IF(AS229/AS228=1,AT228,AS229/AS228)</f>
        <v>1.05070990293319</v>
      </c>
      <c r="AU229" s="1671" t="n">
        <f aca="false">F229</f>
        <v>1.07</v>
      </c>
      <c r="AV229" s="1671" t="n">
        <f aca="false">MAX(AT229,AU229)</f>
        <v>1.07</v>
      </c>
      <c r="AW229" s="1675" t="n">
        <f aca="false">IF(AV229=AV228,AW228,AV229*AW228)</f>
        <v>3.44553336016748</v>
      </c>
    </row>
    <row r="230" customFormat="false" ht="12.75" hidden="false" customHeight="false" outlineLevel="0" collapsed="false">
      <c r="A230" s="1673" t="n">
        <f aca="false">EDATE(A229,1)</f>
        <v>41821</v>
      </c>
      <c r="B230" s="1659" t="n">
        <f aca="false">'[4]Monthly Curve Calc.'!B233</f>
        <v>522.802777174728</v>
      </c>
      <c r="C230" s="1660" t="n">
        <f aca="false">'[4]Monthly Curve Calc.'!C233</f>
        <v>251.071120987456</v>
      </c>
      <c r="D230" s="1661" t="n">
        <f aca="false">'[4]Monthly Curve Calc.'!F233</f>
        <v>2.8486095114751</v>
      </c>
      <c r="E230" s="1662" t="n">
        <f aca="false">IF($A230&lt;=E$16,D230,(B230/B229)/(C230/C229)*E229)</f>
        <v>2.53753600777943</v>
      </c>
      <c r="F230" s="1674" t="n">
        <f aca="false">IF(Assm!$L$75=0,F229,IF(AND($A230&gt;F$16,MONTH($A230)=MONTH(F$16)),B229/B217,F229))</f>
        <v>1.07</v>
      </c>
      <c r="G230" s="1668" t="n">
        <f aca="false">IF(Assm!$L$75=0,G229,IF(AND($A230&gt;G$16,MONTH($A230)=MONTH(G$16)),C229/C217,G229))</f>
        <v>1.02527113365492</v>
      </c>
      <c r="H230" s="1668" t="n">
        <f aca="false">IF(Assm!$L$75=0,H229,IF(AND($A230&gt;H$16,MONTH($A230)=MONTH(H$16)),C229/C217-H$18,H229))</f>
        <v>1.02277113365492</v>
      </c>
      <c r="I230" s="1668" t="n">
        <f aca="false">IF(Assm!$L$75=0,I229,IF($A230&gt;=I$16,IF(MONTH($A230)=MONTH(I$16),AVERAGE(D218:D229),I229),I229))</f>
        <v>2.79034388935625</v>
      </c>
      <c r="J230" s="1675" t="n">
        <f aca="false">IF(Assm!$L$75=0,J229,IF($A230&gt;=J$16,IF(MONTH($A230)=MONTH(J$16),AVERAGE(E218:E229),J229),J229))</f>
        <v>2.42752000721543</v>
      </c>
      <c r="K230" s="1624" t="n">
        <f aca="false">K229+1</f>
        <v>218</v>
      </c>
      <c r="L230" s="1667" t="n">
        <f aca="false">HLOOKUP(L$14,Dec_Change,$K230)</f>
        <v>1.02527113365492</v>
      </c>
      <c r="M230" s="1668" t="n">
        <f aca="false">M229</f>
        <v>0</v>
      </c>
      <c r="N230" s="1675" t="n">
        <f aca="false">IF(AND($A230&gt;=N$16,MONTH($A230)=MONTH(N$16)),MAX(L230,M230)*N229,N229)</f>
        <v>1.55739783154092</v>
      </c>
      <c r="P230" s="1667" t="n">
        <f aca="false">HLOOKUP(P$14,Dec_Change,$K230)</f>
        <v>1.07</v>
      </c>
      <c r="Q230" s="1668" t="n">
        <f aca="false">Q229</f>
        <v>0</v>
      </c>
      <c r="R230" s="1675" t="n">
        <f aca="false">IF(AND($A230&gt;=R$16,MONTH($A230)=MONTH(R$16)),MAX(P230,Q230)*R229,R229)</f>
        <v>3.67674088850714</v>
      </c>
      <c r="T230" s="1667" t="n">
        <f aca="false">HLOOKUP(T$14,Dec_Change,$K230)</f>
        <v>1.02527113365492</v>
      </c>
      <c r="U230" s="1668" t="n">
        <f aca="false">U229</f>
        <v>1.005</v>
      </c>
      <c r="V230" s="1675" t="n">
        <f aca="false">IF(AND($A230&gt;=V$16,MONTH($A230)=MONTH(V$16)),MAX(T230,U230)*V229,V229)</f>
        <v>1.55739783154092</v>
      </c>
      <c r="X230" s="1667" t="n">
        <f aca="false">HLOOKUP(X$14,Dec_Change,$K230)</f>
        <v>1.02277113365492</v>
      </c>
      <c r="Y230" s="1668" t="n">
        <f aca="false">Y229</f>
        <v>1.02</v>
      </c>
      <c r="Z230" s="1675" t="n">
        <f aca="false">IF(AND($A230&gt;=Z$16,MONTH($A230)=MONTH(Z$16)),MAX(X230,Y230)*Z229,Z229)</f>
        <v>1.5061761575234</v>
      </c>
      <c r="AB230" s="1667" t="n">
        <f aca="false">HLOOKUP(AB$14,Dec_Change,$K230)</f>
        <v>1.02277113365492</v>
      </c>
      <c r="AC230" s="1668" t="n">
        <f aca="false">AC229</f>
        <v>1.02</v>
      </c>
      <c r="AD230" s="1675" t="n">
        <f aca="false">IF(AND($A230&gt;=AD$16,MONTH($A230)=MONTH(AD$16)),MAX(AB230,AC230)*AD229,AD229)</f>
        <v>1.5061761575234</v>
      </c>
      <c r="AF230" s="1667" t="n">
        <f aca="false">HLOOKUP(AF$14,Dec_Change,$K230)</f>
        <v>1.07</v>
      </c>
      <c r="AG230" s="1668" t="n">
        <f aca="false">AG229</f>
        <v>0</v>
      </c>
      <c r="AH230" s="1675" t="n">
        <f aca="false">IF(AND($A230&gt;=AH$16,MONTH($A230)=MONTH(AH$16)),MAX(AF230,AG230)*AH229,AH229)</f>
        <v>3.67674088850714</v>
      </c>
      <c r="AJ230" s="1667" t="n">
        <f aca="false">HLOOKUP(AJ$14,Dec_Change,$K230)</f>
        <v>1.02277113365492</v>
      </c>
      <c r="AK230" s="1668" t="n">
        <f aca="false">AK229</f>
        <v>1.02</v>
      </c>
      <c r="AL230" s="1675" t="n">
        <f aca="false">IF(AND($A230&gt;=AL$16,MONTH($A230)=MONTH(AL$16)),MAX(AJ230,AK230)*AL229,AL229)</f>
        <v>1.5061761575234</v>
      </c>
      <c r="AN230" s="1667" t="n">
        <f aca="false">HLOOKUP(AN$14,Dec_Change,$K230)</f>
        <v>1.02527113365492</v>
      </c>
      <c r="AO230" s="1668" t="n">
        <f aca="false">AO229</f>
        <v>1.005</v>
      </c>
      <c r="AP230" s="1675" t="n">
        <f aca="false">IF(AND($A230&gt;=AP$16,MONTH($A230)=MONTH(AP$16)),MAX(AN230,AO230)*AP229,AP229)</f>
        <v>1.55739783154092</v>
      </c>
      <c r="AR230" s="1670" t="n">
        <f aca="false">$A230</f>
        <v>41821</v>
      </c>
      <c r="AS230" s="1671" t="n">
        <f aca="false">IF(AND($A230&gt;=EDATE(AS$17,12),IF(Assm!$L$74=0,$D230,$E230)/AS229&gt;=1.05),IF(Assm!$L$74=0,$D230,$E230),AS229)</f>
        <v>2.77412681792376</v>
      </c>
      <c r="AT230" s="1671" t="n">
        <f aca="false">IF(AS230/AS229=1,AT229,AS230/AS229)</f>
        <v>1.05070990293319</v>
      </c>
      <c r="AU230" s="1671" t="n">
        <f aca="false">F230</f>
        <v>1.07</v>
      </c>
      <c r="AV230" s="1671" t="n">
        <f aca="false">MAX(AT230,AU230)</f>
        <v>1.07</v>
      </c>
      <c r="AW230" s="1675" t="n">
        <f aca="false">IF(AV230=AV229,AW229,AV230*AW229)</f>
        <v>3.44553336016748</v>
      </c>
    </row>
    <row r="231" customFormat="false" ht="12.75" hidden="false" customHeight="false" outlineLevel="0" collapsed="false">
      <c r="A231" s="1673" t="n">
        <f aca="false">EDATE(A230,1)</f>
        <v>41852</v>
      </c>
      <c r="B231" s="1659" t="n">
        <f aca="false">'[4]Monthly Curve Calc.'!B234</f>
        <v>525.758780085813</v>
      </c>
      <c r="C231" s="1660" t="n">
        <f aca="false">'[4]Monthly Curve Calc.'!C234</f>
        <v>251.598659584318</v>
      </c>
      <c r="D231" s="1661" t="n">
        <f aca="false">'[4]Monthly Curve Calc.'!F234</f>
        <v>2.85331312259178</v>
      </c>
      <c r="E231" s="1662" t="n">
        <f aca="false">IF($A231&lt;=E$16,D231,(B231/B230)/(C231/C230)*E230)</f>
        <v>2.54653295239737</v>
      </c>
      <c r="F231" s="1674" t="n">
        <f aca="false">IF(Assm!$L$75=0,F230,IF(AND($A231&gt;F$16,MONTH($A231)=MONTH(F$16)),B230/B218,F230))</f>
        <v>1.07</v>
      </c>
      <c r="G231" s="1668" t="n">
        <f aca="false">IF(Assm!$L$75=0,G230,IF(AND($A231&gt;G$16,MONTH($A231)=MONTH(G$16)),C230/C218,G230))</f>
        <v>1.02527113365492</v>
      </c>
      <c r="H231" s="1668" t="n">
        <f aca="false">IF(Assm!$L$75=0,H230,IF(AND($A231&gt;H$16,MONTH($A231)=MONTH(H$16)),C230/C218-H$18,H230))</f>
        <v>1.02277113365492</v>
      </c>
      <c r="I231" s="1668" t="n">
        <f aca="false">IF(Assm!$L$75=0,I230,IF($A231&gt;=I$16,IF(MONTH($A231)=MONTH(I$16),AVERAGE(D219:D230),I230),I230))</f>
        <v>2.79034388935625</v>
      </c>
      <c r="J231" s="1675" t="n">
        <f aca="false">IF(Assm!$L$75=0,J230,IF($A231&gt;=J$16,IF(MONTH($A231)=MONTH(J$16),AVERAGE(E219:E230),J230),J230))</f>
        <v>2.42752000721543</v>
      </c>
      <c r="K231" s="1624" t="n">
        <f aca="false">K230+1</f>
        <v>219</v>
      </c>
      <c r="L231" s="1667" t="n">
        <f aca="false">HLOOKUP(L$14,Dec_Change,$K231)</f>
        <v>1.02527113365492</v>
      </c>
      <c r="M231" s="1668" t="n">
        <f aca="false">M230</f>
        <v>0</v>
      </c>
      <c r="N231" s="1675" t="n">
        <f aca="false">IF(AND($A231&gt;=N$16,MONTH($A231)=MONTH(N$16)),MAX(L231,M231)*N230,N230)</f>
        <v>1.55739783154092</v>
      </c>
      <c r="P231" s="1667" t="n">
        <f aca="false">HLOOKUP(P$14,Dec_Change,$K231)</f>
        <v>1.07</v>
      </c>
      <c r="Q231" s="1668" t="n">
        <f aca="false">Q230</f>
        <v>0</v>
      </c>
      <c r="R231" s="1675" t="n">
        <f aca="false">IF(AND($A231&gt;=R$16,MONTH($A231)=MONTH(R$16)),MAX(P231,Q231)*R230,R230)</f>
        <v>3.67674088850714</v>
      </c>
      <c r="T231" s="1667" t="n">
        <f aca="false">HLOOKUP(T$14,Dec_Change,$K231)</f>
        <v>1.02527113365492</v>
      </c>
      <c r="U231" s="1668" t="n">
        <f aca="false">U230</f>
        <v>1.005</v>
      </c>
      <c r="V231" s="1675" t="n">
        <f aca="false">IF(AND($A231&gt;=V$16,MONTH($A231)=MONTH(V$16)),MAX(T231,U231)*V230,V230)</f>
        <v>1.55739783154092</v>
      </c>
      <c r="X231" s="1667" t="n">
        <f aca="false">HLOOKUP(X$14,Dec_Change,$K231)</f>
        <v>1.02277113365492</v>
      </c>
      <c r="Y231" s="1668" t="n">
        <f aca="false">Y230</f>
        <v>1.02</v>
      </c>
      <c r="Z231" s="1675" t="n">
        <f aca="false">IF(AND($A231&gt;=Z$16,MONTH($A231)=MONTH(Z$16)),MAX(X231,Y231)*Z230,Z230)</f>
        <v>1.5061761575234</v>
      </c>
      <c r="AB231" s="1667" t="n">
        <f aca="false">HLOOKUP(AB$14,Dec_Change,$K231)</f>
        <v>1.02277113365492</v>
      </c>
      <c r="AC231" s="1668" t="n">
        <f aca="false">AC230</f>
        <v>1.02</v>
      </c>
      <c r="AD231" s="1675" t="n">
        <f aca="false">IF(AND($A231&gt;=AD$16,MONTH($A231)=MONTH(AD$16)),MAX(AB231,AC231)*AD230,AD230)</f>
        <v>1.5061761575234</v>
      </c>
      <c r="AF231" s="1667" t="n">
        <f aca="false">HLOOKUP(AF$14,Dec_Change,$K231)</f>
        <v>1.07</v>
      </c>
      <c r="AG231" s="1668" t="n">
        <f aca="false">AG230</f>
        <v>0</v>
      </c>
      <c r="AH231" s="1675" t="n">
        <f aca="false">IF(AND($A231&gt;=AH$16,MONTH($A231)=MONTH(AH$16)),MAX(AF231,AG231)*AH230,AH230)</f>
        <v>3.67674088850714</v>
      </c>
      <c r="AJ231" s="1667" t="n">
        <f aca="false">HLOOKUP(AJ$14,Dec_Change,$K231)</f>
        <v>1.02277113365492</v>
      </c>
      <c r="AK231" s="1668" t="n">
        <f aca="false">AK230</f>
        <v>1.02</v>
      </c>
      <c r="AL231" s="1675" t="n">
        <f aca="false">IF(AND($A231&gt;=AL$16,MONTH($A231)=MONTH(AL$16)),MAX(AJ231,AK231)*AL230,AL230)</f>
        <v>1.5061761575234</v>
      </c>
      <c r="AN231" s="1667" t="n">
        <f aca="false">HLOOKUP(AN$14,Dec_Change,$K231)</f>
        <v>1.02527113365492</v>
      </c>
      <c r="AO231" s="1668" t="n">
        <f aca="false">AO230</f>
        <v>1.005</v>
      </c>
      <c r="AP231" s="1675" t="n">
        <f aca="false">IF(AND($A231&gt;=AP$16,MONTH($A231)=MONTH(AP$16)),MAX(AN231,AO231)*AP230,AP230)</f>
        <v>1.55739783154092</v>
      </c>
      <c r="AR231" s="1670" t="n">
        <f aca="false">$A231</f>
        <v>41852</v>
      </c>
      <c r="AS231" s="1671" t="n">
        <f aca="false">IF(AND($A231&gt;=EDATE(AS$17,12),IF(Assm!$L$74=0,$D231,$E231)/AS230&gt;=1.05),IF(Assm!$L$74=0,$D231,$E231),AS230)</f>
        <v>2.77412681792376</v>
      </c>
      <c r="AT231" s="1671" t="n">
        <f aca="false">IF(AS231/AS230=1,AT230,AS231/AS230)</f>
        <v>1.05070990293319</v>
      </c>
      <c r="AU231" s="1671" t="n">
        <f aca="false">F231</f>
        <v>1.07</v>
      </c>
      <c r="AV231" s="1671" t="n">
        <f aca="false">MAX(AT231,AU231)</f>
        <v>1.07</v>
      </c>
      <c r="AW231" s="1675" t="n">
        <f aca="false">IF(AV231=AV230,AW230,AV231*AW230)</f>
        <v>3.44553336016748</v>
      </c>
    </row>
    <row r="232" customFormat="false" ht="12.75" hidden="false" customHeight="false" outlineLevel="0" collapsed="false">
      <c r="A232" s="1673" t="n">
        <f aca="false">EDATE(A231,1)</f>
        <v>41883</v>
      </c>
      <c r="B232" s="1659" t="n">
        <f aca="false">'[4]Monthly Curve Calc.'!B235</f>
        <v>528.731496667123</v>
      </c>
      <c r="C232" s="1660" t="n">
        <f aca="false">'[4]Monthly Curve Calc.'!C235</f>
        <v>252.127306619976</v>
      </c>
      <c r="D232" s="1661" t="n">
        <f aca="false">'[4]Monthly Curve Calc.'!F235</f>
        <v>2.85802450028983</v>
      </c>
      <c r="E232" s="1662" t="n">
        <f aca="false">IF($A232&lt;=E$16,D232,(B232/B231)/(C232/C231)*E231)</f>
        <v>2.55556179607495</v>
      </c>
      <c r="F232" s="1674" t="n">
        <f aca="false">IF(Assm!$L$75=0,F231,IF(AND($A232&gt;F$16,MONTH($A232)=MONTH(F$16)),B231/B219,F231))</f>
        <v>1.07</v>
      </c>
      <c r="G232" s="1668" t="n">
        <f aca="false">IF(Assm!$L$75=0,G231,IF(AND($A232&gt;G$16,MONTH($A232)=MONTH(G$16)),C231/C219,G231))</f>
        <v>1.02527113365492</v>
      </c>
      <c r="H232" s="1668" t="n">
        <f aca="false">IF(Assm!$L$75=0,H231,IF(AND($A232&gt;H$16,MONTH($A232)=MONTH(H$16)),C231/C219-H$18,H231))</f>
        <v>1.02277113365492</v>
      </c>
      <c r="I232" s="1668" t="n">
        <f aca="false">IF(Assm!$L$75=0,I231,IF($A232&gt;=I$16,IF(MONTH($A232)=MONTH(I$16),AVERAGE(D220:D231),I231),I231))</f>
        <v>2.79034388935625</v>
      </c>
      <c r="J232" s="1675" t="n">
        <f aca="false">IF(Assm!$L$75=0,J231,IF($A232&gt;=J$16,IF(MONTH($A232)=MONTH(J$16),AVERAGE(E220:E231),J231),J231))</f>
        <v>2.42752000721543</v>
      </c>
      <c r="K232" s="1624" t="n">
        <f aca="false">K231+1</f>
        <v>220</v>
      </c>
      <c r="L232" s="1667" t="n">
        <f aca="false">HLOOKUP(L$14,Dec_Change,$K232)</f>
        <v>1.02527113365492</v>
      </c>
      <c r="M232" s="1668" t="n">
        <f aca="false">M231</f>
        <v>0</v>
      </c>
      <c r="N232" s="1675" t="n">
        <f aca="false">IF(AND($A232&gt;=N$16,MONTH($A232)=MONTH(N$16)),MAX(L232,M232)*N231,N231)</f>
        <v>1.55739783154092</v>
      </c>
      <c r="P232" s="1667" t="n">
        <f aca="false">HLOOKUP(P$14,Dec_Change,$K232)</f>
        <v>1.07</v>
      </c>
      <c r="Q232" s="1668" t="n">
        <f aca="false">Q231</f>
        <v>0</v>
      </c>
      <c r="R232" s="1675" t="n">
        <f aca="false">IF(AND($A232&gt;=R$16,MONTH($A232)=MONTH(R$16)),MAX(P232,Q232)*R231,R231)</f>
        <v>3.67674088850714</v>
      </c>
      <c r="T232" s="1667" t="n">
        <f aca="false">HLOOKUP(T$14,Dec_Change,$K232)</f>
        <v>1.02527113365492</v>
      </c>
      <c r="U232" s="1668" t="n">
        <f aca="false">U231</f>
        <v>1.005</v>
      </c>
      <c r="V232" s="1675" t="n">
        <f aca="false">IF(AND($A232&gt;=V$16,MONTH($A232)=MONTH(V$16)),MAX(T232,U232)*V231,V231)</f>
        <v>1.55739783154092</v>
      </c>
      <c r="X232" s="1667" t="n">
        <f aca="false">HLOOKUP(X$14,Dec_Change,$K232)</f>
        <v>1.02277113365492</v>
      </c>
      <c r="Y232" s="1668" t="n">
        <f aca="false">Y231</f>
        <v>1.02</v>
      </c>
      <c r="Z232" s="1675" t="n">
        <f aca="false">IF(AND($A232&gt;=Z$16,MONTH($A232)=MONTH(Z$16)),MAX(X232,Y232)*Z231,Z231)</f>
        <v>1.5061761575234</v>
      </c>
      <c r="AB232" s="1667" t="n">
        <f aca="false">HLOOKUP(AB$14,Dec_Change,$K232)</f>
        <v>1.02277113365492</v>
      </c>
      <c r="AC232" s="1668" t="n">
        <f aca="false">AC231</f>
        <v>1.02</v>
      </c>
      <c r="AD232" s="1675" t="n">
        <f aca="false">IF(AND($A232&gt;=AD$16,MONTH($A232)=MONTH(AD$16)),MAX(AB232,AC232)*AD231,AD231)</f>
        <v>1.5061761575234</v>
      </c>
      <c r="AF232" s="1667" t="n">
        <f aca="false">HLOOKUP(AF$14,Dec_Change,$K232)</f>
        <v>1.07</v>
      </c>
      <c r="AG232" s="1668" t="n">
        <f aca="false">AG231</f>
        <v>0</v>
      </c>
      <c r="AH232" s="1675" t="n">
        <f aca="false">IF(AND($A232&gt;=AH$16,MONTH($A232)=MONTH(AH$16)),MAX(AF232,AG232)*AH231,AH231)</f>
        <v>3.67674088850714</v>
      </c>
      <c r="AJ232" s="1667" t="n">
        <f aca="false">HLOOKUP(AJ$14,Dec_Change,$K232)</f>
        <v>1.02277113365492</v>
      </c>
      <c r="AK232" s="1668" t="n">
        <f aca="false">AK231</f>
        <v>1.02</v>
      </c>
      <c r="AL232" s="1675" t="n">
        <f aca="false">IF(AND($A232&gt;=AL$16,MONTH($A232)=MONTH(AL$16)),MAX(AJ232,AK232)*AL231,AL231)</f>
        <v>1.5061761575234</v>
      </c>
      <c r="AN232" s="1667" t="n">
        <f aca="false">HLOOKUP(AN$14,Dec_Change,$K232)</f>
        <v>1.02527113365492</v>
      </c>
      <c r="AO232" s="1668" t="n">
        <f aca="false">AO231</f>
        <v>1.005</v>
      </c>
      <c r="AP232" s="1675" t="n">
        <f aca="false">IF(AND($A232&gt;=AP$16,MONTH($A232)=MONTH(AP$16)),MAX(AN232,AO232)*AP231,AP231)</f>
        <v>1.55739783154092</v>
      </c>
      <c r="AR232" s="1670" t="n">
        <f aca="false">$A232</f>
        <v>41883</v>
      </c>
      <c r="AS232" s="1671" t="n">
        <f aca="false">IF(AND($A232&gt;=EDATE(AS$17,12),IF(Assm!$L$74=0,$D232,$E232)/AS231&gt;=1.05),IF(Assm!$L$74=0,$D232,$E232),AS231)</f>
        <v>2.77412681792376</v>
      </c>
      <c r="AT232" s="1671" t="n">
        <f aca="false">IF(AS232/AS231=1,AT231,AS232/AS231)</f>
        <v>1.05070990293319</v>
      </c>
      <c r="AU232" s="1671" t="n">
        <f aca="false">F232</f>
        <v>1.07</v>
      </c>
      <c r="AV232" s="1671" t="n">
        <f aca="false">MAX(AT232,AU232)</f>
        <v>1.07</v>
      </c>
      <c r="AW232" s="1675" t="n">
        <f aca="false">IF(AV232=AV231,AW231,AV232*AW231)</f>
        <v>3.44553336016748</v>
      </c>
    </row>
    <row r="233" customFormat="false" ht="12.75" hidden="false" customHeight="false" outlineLevel="0" collapsed="false">
      <c r="A233" s="1673" t="n">
        <f aca="false">EDATE(A232,1)</f>
        <v>41913</v>
      </c>
      <c r="B233" s="1659" t="n">
        <f aca="false">'[4]Monthly Curve Calc.'!B236</f>
        <v>531.721021420179</v>
      </c>
      <c r="C233" s="1660" t="n">
        <f aca="false">'[4]Monthly Curve Calc.'!C236</f>
        <v>252.657064423429</v>
      </c>
      <c r="D233" s="1661" t="n">
        <f aca="false">'[4]Monthly Curve Calc.'!F236</f>
        <v>2.86274365739339</v>
      </c>
      <c r="E233" s="1662" t="n">
        <f aca="false">IF($A233&lt;=E$16,D233,(B233/B232)/(C233/C232)*E232)</f>
        <v>2.56462265191168</v>
      </c>
      <c r="F233" s="1674" t="n">
        <f aca="false">IF(Assm!$L$75=0,F232,IF(AND($A233&gt;F$16,MONTH($A233)=MONTH(F$16)),B232/B220,F232))</f>
        <v>1.07</v>
      </c>
      <c r="G233" s="1668" t="n">
        <f aca="false">IF(Assm!$L$75=0,G232,IF(AND($A233&gt;G$16,MONTH($A233)=MONTH(G$16)),C232/C220,G232))</f>
        <v>1.02527113365492</v>
      </c>
      <c r="H233" s="1668" t="n">
        <f aca="false">IF(Assm!$L$75=0,H232,IF(AND($A233&gt;H$16,MONTH($A233)=MONTH(H$16)),C232/C220-H$18,H232))</f>
        <v>1.02277113365492</v>
      </c>
      <c r="I233" s="1668" t="n">
        <f aca="false">IF(Assm!$L$75=0,I232,IF($A233&gt;=I$16,IF(MONTH($A233)=MONTH(I$16),AVERAGE(D221:D232),I232),I232))</f>
        <v>2.79034388935625</v>
      </c>
      <c r="J233" s="1675" t="n">
        <f aca="false">IF(Assm!$L$75=0,J232,IF($A233&gt;=J$16,IF(MONTH($A233)=MONTH(J$16),AVERAGE(E221:E232),J232),J232))</f>
        <v>2.42752000721543</v>
      </c>
      <c r="K233" s="1624" t="n">
        <f aca="false">K232+1</f>
        <v>221</v>
      </c>
      <c r="L233" s="1667" t="n">
        <f aca="false">HLOOKUP(L$14,Dec_Change,$K233)</f>
        <v>1.02527113365492</v>
      </c>
      <c r="M233" s="1668" t="n">
        <f aca="false">M232</f>
        <v>0</v>
      </c>
      <c r="N233" s="1675" t="n">
        <f aca="false">IF(AND($A233&gt;=N$16,MONTH($A233)=MONTH(N$16)),MAX(L233,M233)*N232,N232)</f>
        <v>1.55739783154092</v>
      </c>
      <c r="P233" s="1667" t="n">
        <f aca="false">HLOOKUP(P$14,Dec_Change,$K233)</f>
        <v>1.07</v>
      </c>
      <c r="Q233" s="1668" t="n">
        <f aca="false">Q232</f>
        <v>0</v>
      </c>
      <c r="R233" s="1675" t="n">
        <f aca="false">IF(AND($A233&gt;=R$16,MONTH($A233)=MONTH(R$16)),MAX(P233,Q233)*R232,R232)</f>
        <v>3.67674088850714</v>
      </c>
      <c r="T233" s="1667" t="n">
        <f aca="false">HLOOKUP(T$14,Dec_Change,$K233)</f>
        <v>1.02527113365492</v>
      </c>
      <c r="U233" s="1668" t="n">
        <f aca="false">U232</f>
        <v>1.005</v>
      </c>
      <c r="V233" s="1675" t="n">
        <f aca="false">IF(AND($A233&gt;=V$16,MONTH($A233)=MONTH(V$16)),MAX(T233,U233)*V232,V232)</f>
        <v>1.55739783154092</v>
      </c>
      <c r="X233" s="1667" t="n">
        <f aca="false">HLOOKUP(X$14,Dec_Change,$K233)</f>
        <v>1.02277113365492</v>
      </c>
      <c r="Y233" s="1668" t="n">
        <f aca="false">Y232</f>
        <v>1.02</v>
      </c>
      <c r="Z233" s="1675" t="n">
        <f aca="false">IF(AND($A233&gt;=Z$16,MONTH($A233)=MONTH(Z$16)),MAX(X233,Y233)*Z232,Z232)</f>
        <v>1.5061761575234</v>
      </c>
      <c r="AB233" s="1667" t="n">
        <f aca="false">HLOOKUP(AB$14,Dec_Change,$K233)</f>
        <v>1.02277113365492</v>
      </c>
      <c r="AC233" s="1668" t="n">
        <f aca="false">AC232</f>
        <v>1.02</v>
      </c>
      <c r="AD233" s="1675" t="n">
        <f aca="false">IF(AND($A233&gt;=AD$16,MONTH($A233)=MONTH(AD$16)),MAX(AB233,AC233)*AD232,AD232)</f>
        <v>1.5061761575234</v>
      </c>
      <c r="AF233" s="1667" t="n">
        <f aca="false">HLOOKUP(AF$14,Dec_Change,$K233)</f>
        <v>1.07</v>
      </c>
      <c r="AG233" s="1668" t="n">
        <f aca="false">AG232</f>
        <v>0</v>
      </c>
      <c r="AH233" s="1675" t="n">
        <f aca="false">IF(AND($A233&gt;=AH$16,MONTH($A233)=MONTH(AH$16)),MAX(AF233,AG233)*AH232,AH232)</f>
        <v>3.67674088850714</v>
      </c>
      <c r="AJ233" s="1667" t="n">
        <f aca="false">HLOOKUP(AJ$14,Dec_Change,$K233)</f>
        <v>1.02277113365492</v>
      </c>
      <c r="AK233" s="1668" t="n">
        <f aca="false">AK232</f>
        <v>1.02</v>
      </c>
      <c r="AL233" s="1675" t="n">
        <f aca="false">IF(AND($A233&gt;=AL$16,MONTH($A233)=MONTH(AL$16)),MAX(AJ233,AK233)*AL232,AL232)</f>
        <v>1.5061761575234</v>
      </c>
      <c r="AN233" s="1667" t="n">
        <f aca="false">HLOOKUP(AN$14,Dec_Change,$K233)</f>
        <v>1.02527113365492</v>
      </c>
      <c r="AO233" s="1668" t="n">
        <f aca="false">AO232</f>
        <v>1.005</v>
      </c>
      <c r="AP233" s="1675" t="n">
        <f aca="false">IF(AND($A233&gt;=AP$16,MONTH($A233)=MONTH(AP$16)),MAX(AN233,AO233)*AP232,AP232)</f>
        <v>1.55739783154092</v>
      </c>
      <c r="AR233" s="1670" t="n">
        <f aca="false">$A233</f>
        <v>41913</v>
      </c>
      <c r="AS233" s="1671" t="n">
        <f aca="false">IF(AND($A233&gt;=EDATE(AS$17,12),IF(Assm!$L$74=0,$D233,$E233)/AS232&gt;=1.05),IF(Assm!$L$74=0,$D233,$E233),AS232)</f>
        <v>2.77412681792376</v>
      </c>
      <c r="AT233" s="1671" t="n">
        <f aca="false">IF(AS233/AS232=1,AT232,AS233/AS232)</f>
        <v>1.05070990293319</v>
      </c>
      <c r="AU233" s="1671" t="n">
        <f aca="false">F233</f>
        <v>1.07</v>
      </c>
      <c r="AV233" s="1671" t="n">
        <f aca="false">MAX(AT233,AU233)</f>
        <v>1.07</v>
      </c>
      <c r="AW233" s="1675" t="n">
        <f aca="false">IF(AV233=AV232,AW232,AV233*AW232)</f>
        <v>3.44553336016748</v>
      </c>
    </row>
    <row r="234" customFormat="false" ht="12.75" hidden="false" customHeight="false" outlineLevel="0" collapsed="false">
      <c r="A234" s="1673" t="n">
        <f aca="false">EDATE(A233,1)</f>
        <v>41944</v>
      </c>
      <c r="B234" s="1659" t="n">
        <f aca="false">'[4]Monthly Curve Calc.'!B237</f>
        <v>534.727449380829</v>
      </c>
      <c r="C234" s="1660" t="n">
        <f aca="false">'[4]Monthly Curve Calc.'!C237</f>
        <v>253.187935328568</v>
      </c>
      <c r="D234" s="1661" t="n">
        <f aca="false">'[4]Monthly Curve Calc.'!F237</f>
        <v>2.86747060674777</v>
      </c>
      <c r="E234" s="1662" t="n">
        <f aca="false">IF($A234&lt;=E$16,D234,(B234/B233)/(C234/C233)*E233)</f>
        <v>2.57371563340807</v>
      </c>
      <c r="F234" s="1674" t="n">
        <f aca="false">IF(Assm!$L$75=0,F233,IF(AND($A234&gt;F$16,MONTH($A234)=MONTH(F$16)),B233/B221,F233))</f>
        <v>1.07</v>
      </c>
      <c r="G234" s="1668" t="n">
        <f aca="false">IF(Assm!$L$75=0,G233,IF(AND($A234&gt;G$16,MONTH($A234)=MONTH(G$16)),C233/C221,G233))</f>
        <v>1.02527113365492</v>
      </c>
      <c r="H234" s="1668" t="n">
        <f aca="false">IF(Assm!$L$75=0,H233,IF(AND($A234&gt;H$16,MONTH($A234)=MONTH(H$16)),C233/C221-H$18,H233))</f>
        <v>1.02277113365492</v>
      </c>
      <c r="I234" s="1668" t="n">
        <f aca="false">IF(Assm!$L$75=0,I233,IF($A234&gt;=I$16,IF(MONTH($A234)=MONTH(I$16),AVERAGE(D222:D233),I233),I233))</f>
        <v>2.79034388935625</v>
      </c>
      <c r="J234" s="1675" t="n">
        <f aca="false">IF(Assm!$L$75=0,J233,IF($A234&gt;=J$16,IF(MONTH($A234)=MONTH(J$16),AVERAGE(E222:E233),J233),J233))</f>
        <v>2.42752000721543</v>
      </c>
      <c r="K234" s="1624" t="n">
        <f aca="false">K233+1</f>
        <v>222</v>
      </c>
      <c r="L234" s="1667" t="n">
        <f aca="false">HLOOKUP(L$14,Dec_Change,$K234)</f>
        <v>1.02527113365492</v>
      </c>
      <c r="M234" s="1668" t="n">
        <f aca="false">M233</f>
        <v>0</v>
      </c>
      <c r="N234" s="1675" t="n">
        <f aca="false">IF(AND($A234&gt;=N$16,MONTH($A234)=MONTH(N$16)),MAX(L234,M234)*N233,N233)</f>
        <v>1.55739783154092</v>
      </c>
      <c r="P234" s="1667" t="n">
        <f aca="false">HLOOKUP(P$14,Dec_Change,$K234)</f>
        <v>1.07</v>
      </c>
      <c r="Q234" s="1668" t="n">
        <f aca="false">Q233</f>
        <v>0</v>
      </c>
      <c r="R234" s="1675" t="n">
        <f aca="false">IF(AND($A234&gt;=R$16,MONTH($A234)=MONTH(R$16)),MAX(P234,Q234)*R233,R233)</f>
        <v>3.67674088850714</v>
      </c>
      <c r="T234" s="1667" t="n">
        <f aca="false">HLOOKUP(T$14,Dec_Change,$K234)</f>
        <v>1.02527113365492</v>
      </c>
      <c r="U234" s="1668" t="n">
        <f aca="false">U233</f>
        <v>1.005</v>
      </c>
      <c r="V234" s="1675" t="n">
        <f aca="false">IF(AND($A234&gt;=V$16,MONTH($A234)=MONTH(V$16)),MAX(T234,U234)*V233,V233)</f>
        <v>1.55739783154092</v>
      </c>
      <c r="X234" s="1667" t="n">
        <f aca="false">HLOOKUP(X$14,Dec_Change,$K234)</f>
        <v>1.02277113365492</v>
      </c>
      <c r="Y234" s="1668" t="n">
        <f aca="false">Y233</f>
        <v>1.02</v>
      </c>
      <c r="Z234" s="1675" t="n">
        <f aca="false">IF(AND($A234&gt;=Z$16,MONTH($A234)=MONTH(Z$16)),MAX(X234,Y234)*Z233,Z233)</f>
        <v>1.5061761575234</v>
      </c>
      <c r="AB234" s="1667" t="n">
        <f aca="false">HLOOKUP(AB$14,Dec_Change,$K234)</f>
        <v>1.02277113365492</v>
      </c>
      <c r="AC234" s="1668" t="n">
        <f aca="false">AC233</f>
        <v>1.02</v>
      </c>
      <c r="AD234" s="1675" t="n">
        <f aca="false">IF(AND($A234&gt;=AD$16,MONTH($A234)=MONTH(AD$16)),MAX(AB234,AC234)*AD233,AD233)</f>
        <v>1.5061761575234</v>
      </c>
      <c r="AF234" s="1667" t="n">
        <f aca="false">HLOOKUP(AF$14,Dec_Change,$K234)</f>
        <v>1.07</v>
      </c>
      <c r="AG234" s="1668" t="n">
        <f aca="false">AG233</f>
        <v>0</v>
      </c>
      <c r="AH234" s="1675" t="n">
        <f aca="false">IF(AND($A234&gt;=AH$16,MONTH($A234)=MONTH(AH$16)),MAX(AF234,AG234)*AH233,AH233)</f>
        <v>3.67674088850714</v>
      </c>
      <c r="AJ234" s="1667" t="n">
        <f aca="false">HLOOKUP(AJ$14,Dec_Change,$K234)</f>
        <v>1.02277113365492</v>
      </c>
      <c r="AK234" s="1668" t="n">
        <f aca="false">AK233</f>
        <v>1.02</v>
      </c>
      <c r="AL234" s="1675" t="n">
        <f aca="false">IF(AND($A234&gt;=AL$16,MONTH($A234)=MONTH(AL$16)),MAX(AJ234,AK234)*AL233,AL233)</f>
        <v>1.5061761575234</v>
      </c>
      <c r="AN234" s="1667" t="n">
        <f aca="false">HLOOKUP(AN$14,Dec_Change,$K234)</f>
        <v>1.02527113365492</v>
      </c>
      <c r="AO234" s="1668" t="n">
        <f aca="false">AO233</f>
        <v>1.005</v>
      </c>
      <c r="AP234" s="1675" t="n">
        <f aca="false">IF(AND($A234&gt;=AP$16,MONTH($A234)=MONTH(AP$16)),MAX(AN234,AO234)*AP233,AP233)</f>
        <v>1.55739783154092</v>
      </c>
      <c r="AR234" s="1670" t="n">
        <f aca="false">$A234</f>
        <v>41944</v>
      </c>
      <c r="AS234" s="1671" t="n">
        <f aca="false">IF(AND($A234&gt;=EDATE(AS$17,12),IF(Assm!$L$74=0,$D234,$E234)/AS233&gt;=1.05),IF(Assm!$L$74=0,$D234,$E234),AS233)</f>
        <v>2.77412681792376</v>
      </c>
      <c r="AT234" s="1671" t="n">
        <f aca="false">IF(AS234/AS233=1,AT233,AS234/AS233)</f>
        <v>1.05070990293319</v>
      </c>
      <c r="AU234" s="1671" t="n">
        <f aca="false">F234</f>
        <v>1.07</v>
      </c>
      <c r="AV234" s="1671" t="n">
        <f aca="false">MAX(AT234,AU234)</f>
        <v>1.07</v>
      </c>
      <c r="AW234" s="1675" t="n">
        <f aca="false">IF(AV234=AV233,AW233,AV234*AW233)</f>
        <v>3.44553336016748</v>
      </c>
    </row>
    <row r="235" customFormat="false" ht="12.75" hidden="false" customHeight="false" outlineLevel="0" collapsed="false">
      <c r="A235" s="1673" t="n">
        <f aca="false">EDATE(A234,1)</f>
        <v>41974</v>
      </c>
      <c r="B235" s="1659" t="n">
        <f aca="false">'[4]Monthly Curve Calc.'!B238</f>
        <v>537.750876122264</v>
      </c>
      <c r="C235" s="1660" t="n">
        <f aca="false">'[4]Monthly Curve Calc.'!C238</f>
        <v>253.719921674191</v>
      </c>
      <c r="D235" s="1661" t="n">
        <f aca="false">'[4]Monthly Curve Calc.'!F238</f>
        <v>2.8722053612195</v>
      </c>
      <c r="E235" s="1662" t="n">
        <f aca="false">IF($A235&lt;=E$16,D235,(B235/B234)/(C235/C234)*E234)</f>
        <v>2.58284085446704</v>
      </c>
      <c r="F235" s="1674" t="n">
        <f aca="false">IF(Assm!$L$75=0,F234,IF(AND($A235&gt;F$16,MONTH($A235)=MONTH(F$16)),B234/B222,F234))</f>
        <v>1.07</v>
      </c>
      <c r="G235" s="1668" t="n">
        <f aca="false">IF(Assm!$L$75=0,G234,IF(AND($A235&gt;G$16,MONTH($A235)=MONTH(G$16)),C234/C222,G234))</f>
        <v>1.02527113365492</v>
      </c>
      <c r="H235" s="1668" t="n">
        <f aca="false">IF(Assm!$L$75=0,H234,IF(AND($A235&gt;H$16,MONTH($A235)=MONTH(H$16)),C234/C222-H$18,H234))</f>
        <v>1.02277113365492</v>
      </c>
      <c r="I235" s="1668" t="n">
        <f aca="false">IF(Assm!$L$75=0,I234,IF($A235&gt;=I$16,IF(MONTH($A235)=MONTH(I$16),AVERAGE(D223:D234),I234),I234))</f>
        <v>2.79034388935625</v>
      </c>
      <c r="J235" s="1675" t="n">
        <f aca="false">IF(Assm!$L$75=0,J234,IF($A235&gt;=J$16,IF(MONTH($A235)=MONTH(J$16),AVERAGE(E223:E234),J234),J234))</f>
        <v>2.42752000721543</v>
      </c>
      <c r="K235" s="1624" t="n">
        <f aca="false">K234+1</f>
        <v>223</v>
      </c>
      <c r="L235" s="1667" t="n">
        <f aca="false">HLOOKUP(L$14,Dec_Change,$K235)</f>
        <v>1.02527113365492</v>
      </c>
      <c r="M235" s="1668" t="n">
        <f aca="false">M234</f>
        <v>0</v>
      </c>
      <c r="N235" s="1675" t="n">
        <f aca="false">IF(AND($A235&gt;=N$16,MONTH($A235)=MONTH(N$16)),MAX(L235,M235)*N234,N234)</f>
        <v>1.55739783154092</v>
      </c>
      <c r="P235" s="1667" t="n">
        <f aca="false">HLOOKUP(P$14,Dec_Change,$K235)</f>
        <v>1.07</v>
      </c>
      <c r="Q235" s="1668" t="n">
        <f aca="false">Q234</f>
        <v>0</v>
      </c>
      <c r="R235" s="1675" t="n">
        <f aca="false">IF(AND($A235&gt;=R$16,MONTH($A235)=MONTH(R$16)),MAX(P235,Q235)*R234,R234)</f>
        <v>3.67674088850714</v>
      </c>
      <c r="T235" s="1667" t="n">
        <f aca="false">HLOOKUP(T$14,Dec_Change,$K235)</f>
        <v>1.02527113365492</v>
      </c>
      <c r="U235" s="1668" t="n">
        <f aca="false">U234</f>
        <v>1.005</v>
      </c>
      <c r="V235" s="1675" t="n">
        <f aca="false">IF(AND($A235&gt;=V$16,MONTH($A235)=MONTH(V$16)),MAX(T235,U235)*V234,V234)</f>
        <v>1.55739783154092</v>
      </c>
      <c r="X235" s="1667" t="n">
        <f aca="false">HLOOKUP(X$14,Dec_Change,$K235)</f>
        <v>1.02277113365492</v>
      </c>
      <c r="Y235" s="1668" t="n">
        <f aca="false">Y234</f>
        <v>1.02</v>
      </c>
      <c r="Z235" s="1675" t="n">
        <f aca="false">IF(AND($A235&gt;=Z$16,MONTH($A235)=MONTH(Z$16)),MAX(X235,Y235)*Z234,Z234)</f>
        <v>1.5061761575234</v>
      </c>
      <c r="AB235" s="1667" t="n">
        <f aca="false">HLOOKUP(AB$14,Dec_Change,$K235)</f>
        <v>1.02277113365492</v>
      </c>
      <c r="AC235" s="1668" t="n">
        <f aca="false">AC234</f>
        <v>1.02</v>
      </c>
      <c r="AD235" s="1675" t="n">
        <f aca="false">IF(AND($A235&gt;=AD$16,MONTH($A235)=MONTH(AD$16)),MAX(AB235,AC235)*AD234,AD234)</f>
        <v>1.5061761575234</v>
      </c>
      <c r="AF235" s="1667" t="n">
        <f aca="false">HLOOKUP(AF$14,Dec_Change,$K235)</f>
        <v>1.07</v>
      </c>
      <c r="AG235" s="1668" t="n">
        <f aca="false">AG234</f>
        <v>0</v>
      </c>
      <c r="AH235" s="1675" t="n">
        <f aca="false">IF(AND($A235&gt;=AH$16,MONTH($A235)=MONTH(AH$16)),MAX(AF235,AG235)*AH234,AH234)</f>
        <v>3.67674088850714</v>
      </c>
      <c r="AJ235" s="1667" t="n">
        <f aca="false">HLOOKUP(AJ$14,Dec_Change,$K235)</f>
        <v>1.02277113365492</v>
      </c>
      <c r="AK235" s="1668" t="n">
        <f aca="false">AK234</f>
        <v>1.02</v>
      </c>
      <c r="AL235" s="1675" t="n">
        <f aca="false">IF(AND($A235&gt;=AL$16,MONTH($A235)=MONTH(AL$16)),MAX(AJ235,AK235)*AL234,AL234)</f>
        <v>1.5061761575234</v>
      </c>
      <c r="AN235" s="1667" t="n">
        <f aca="false">HLOOKUP(AN$14,Dec_Change,$K235)</f>
        <v>1.02527113365492</v>
      </c>
      <c r="AO235" s="1668" t="n">
        <f aca="false">AO234</f>
        <v>1.005</v>
      </c>
      <c r="AP235" s="1675" t="n">
        <f aca="false">IF(AND($A235&gt;=AP$16,MONTH($A235)=MONTH(AP$16)),MAX(AN235,AO235)*AP234,AP234)</f>
        <v>1.55739783154092</v>
      </c>
      <c r="AR235" s="1670" t="n">
        <f aca="false">$A235</f>
        <v>41974</v>
      </c>
      <c r="AS235" s="1671" t="n">
        <f aca="false">IF(AND($A235&gt;=EDATE(AS$17,12),IF(Assm!$L$74=0,$D235,$E235)/AS234&gt;=1.05),IF(Assm!$L$74=0,$D235,$E235),AS234)</f>
        <v>2.77412681792376</v>
      </c>
      <c r="AT235" s="1671" t="n">
        <f aca="false">IF(AS235/AS234=1,AT234,AS235/AS234)</f>
        <v>1.05070990293319</v>
      </c>
      <c r="AU235" s="1671" t="n">
        <f aca="false">F235</f>
        <v>1.07</v>
      </c>
      <c r="AV235" s="1671" t="n">
        <f aca="false">MAX(AT235,AU235)</f>
        <v>1.07</v>
      </c>
      <c r="AW235" s="1675" t="n">
        <f aca="false">IF(AV235=AV234,AW234,AV235*AW234)</f>
        <v>3.44553336016748</v>
      </c>
    </row>
    <row r="236" customFormat="false" ht="12.75" hidden="false" customHeight="false" outlineLevel="0" collapsed="false">
      <c r="A236" s="1673" t="n">
        <f aca="false">EDATE(A235,1)</f>
        <v>42005</v>
      </c>
      <c r="B236" s="1659" t="n">
        <f aca="false">'[4]Monthly Curve Calc.'!B239</f>
        <v>540.749261996104</v>
      </c>
      <c r="C236" s="1660" t="n">
        <f aca="false">'[4]Monthly Curve Calc.'!C239</f>
        <v>254.261288552445</v>
      </c>
      <c r="D236" s="1661" t="n">
        <f aca="false">'[4]Monthly Curve Calc.'!F239</f>
        <v>2.87694237018618</v>
      </c>
      <c r="E236" s="1662" t="n">
        <f aca="false">IF($A236&lt;=E$16,D236,(B236/B235)/(C236/C235)*E235)</f>
        <v>2.59171224802957</v>
      </c>
      <c r="F236" s="1674" t="n">
        <f aca="false">IF(Assm!$L$75=0,F235,IF(AND($A236&gt;F$16,MONTH($A236)=MONTH(F$16)),B235/B223,F235))</f>
        <v>1.07</v>
      </c>
      <c r="G236" s="1668" t="n">
        <f aca="false">IF(Assm!$L$75=0,G235,IF(AND($A236&gt;G$16,MONTH($A236)=MONTH(G$16)),C235/C223,G235))</f>
        <v>1.02527113365492</v>
      </c>
      <c r="H236" s="1668" t="n">
        <f aca="false">IF(Assm!$L$75=0,H235,IF(AND($A236&gt;H$16,MONTH($A236)=MONTH(H$16)),C235/C223-H$18,H235))</f>
        <v>1.02277113365492</v>
      </c>
      <c r="I236" s="1668" t="n">
        <f aca="false">IF(Assm!$L$75=0,I235,IF($A236&gt;=I$16,IF(MONTH($A236)=MONTH(I$16),AVERAGE(D224:D235),I235),I235))</f>
        <v>2.84630677609597</v>
      </c>
      <c r="J236" s="1675" t="n">
        <f aca="false">IF(Assm!$L$75=0,J235,IF($A236&gt;=J$16,IF(MONTH($A236)=MONTH(J$16),AVERAGE(E224:E235),J235),J235))</f>
        <v>2.53323852524495</v>
      </c>
      <c r="K236" s="1624" t="n">
        <f aca="false">K235+1</f>
        <v>224</v>
      </c>
      <c r="L236" s="1667" t="n">
        <f aca="false">HLOOKUP(L$14,Dec_Change,$K236)</f>
        <v>1.02527113365492</v>
      </c>
      <c r="M236" s="1668" t="n">
        <f aca="false">M235</f>
        <v>0</v>
      </c>
      <c r="N236" s="1675" t="n">
        <f aca="false">IF(AND($A236&gt;=N$16,MONTH($A236)=MONTH(N$16)),MAX(L236,M236)*N235,N235)</f>
        <v>1.55739783154092</v>
      </c>
      <c r="P236" s="1667" t="n">
        <f aca="false">HLOOKUP(P$14,Dec_Change,$K236)</f>
        <v>1.07</v>
      </c>
      <c r="Q236" s="1668" t="n">
        <f aca="false">Q235</f>
        <v>0</v>
      </c>
      <c r="R236" s="1675" t="n">
        <f aca="false">IF(AND($A236&gt;=R$16,MONTH($A236)=MONTH(R$16)),MAX(P236,Q236)*R235,R235)</f>
        <v>3.67674088850714</v>
      </c>
      <c r="T236" s="1667" t="n">
        <f aca="false">HLOOKUP(T$14,Dec_Change,$K236)</f>
        <v>1.02527113365492</v>
      </c>
      <c r="U236" s="1668" t="n">
        <f aca="false">U235</f>
        <v>1.005</v>
      </c>
      <c r="V236" s="1675" t="n">
        <f aca="false">IF(AND($A236&gt;=V$16,MONTH($A236)=MONTH(V$16)),MAX(T236,U236)*V235,V235)</f>
        <v>1.55739783154092</v>
      </c>
      <c r="X236" s="1667" t="n">
        <f aca="false">HLOOKUP(X$14,Dec_Change,$K236)</f>
        <v>1.02277113365492</v>
      </c>
      <c r="Y236" s="1668" t="n">
        <f aca="false">Y235</f>
        <v>1.02</v>
      </c>
      <c r="Z236" s="1675" t="n">
        <f aca="false">IF(AND($A236&gt;=Z$16,MONTH($A236)=MONTH(Z$16)),MAX(X236,Y236)*Z235,Z235)</f>
        <v>1.5061761575234</v>
      </c>
      <c r="AB236" s="1667" t="n">
        <f aca="false">HLOOKUP(AB$14,Dec_Change,$K236)</f>
        <v>1.02277113365492</v>
      </c>
      <c r="AC236" s="1668" t="n">
        <f aca="false">AC235</f>
        <v>1.02</v>
      </c>
      <c r="AD236" s="1675" t="n">
        <f aca="false">IF(AND($A236&gt;=AD$16,MONTH($A236)=MONTH(AD$16)),MAX(AB236,AC236)*AD235,AD235)</f>
        <v>1.5061761575234</v>
      </c>
      <c r="AF236" s="1667" t="n">
        <f aca="false">HLOOKUP(AF$14,Dec_Change,$K236)</f>
        <v>1.07</v>
      </c>
      <c r="AG236" s="1668" t="n">
        <f aca="false">AG235</f>
        <v>0</v>
      </c>
      <c r="AH236" s="1675" t="n">
        <f aca="false">IF(AND($A236&gt;=AH$16,MONTH($A236)=MONTH(AH$16)),MAX(AF236,AG236)*AH235,AH235)</f>
        <v>3.67674088850714</v>
      </c>
      <c r="AJ236" s="1667" t="n">
        <f aca="false">HLOOKUP(AJ$14,Dec_Change,$K236)</f>
        <v>1.02277113365492</v>
      </c>
      <c r="AK236" s="1668" t="n">
        <f aca="false">AK235</f>
        <v>1.02</v>
      </c>
      <c r="AL236" s="1675" t="n">
        <f aca="false">IF(AND($A236&gt;=AL$16,MONTH($A236)=MONTH(AL$16)),MAX(AJ236,AK236)*AL235,AL235)</f>
        <v>1.5061761575234</v>
      </c>
      <c r="AN236" s="1667" t="n">
        <f aca="false">HLOOKUP(AN$14,Dec_Change,$K236)</f>
        <v>1.02527113365492</v>
      </c>
      <c r="AO236" s="1668" t="n">
        <f aca="false">AO235</f>
        <v>1.005</v>
      </c>
      <c r="AP236" s="1675" t="n">
        <f aca="false">IF(AND($A236&gt;=AP$16,MONTH($A236)=MONTH(AP$16)),MAX(AN236,AO236)*AP235,AP235)</f>
        <v>1.55739783154092</v>
      </c>
      <c r="AR236" s="1670" t="n">
        <f aca="false">$A236</f>
        <v>42005</v>
      </c>
      <c r="AS236" s="1671" t="n">
        <f aca="false">IF(AND($A236&gt;=EDATE(AS$17,12),IF(Assm!$L$74=0,$D236,$E236)/AS235&gt;=1.05),IF(Assm!$L$74=0,$D236,$E236),AS235)</f>
        <v>2.77412681792376</v>
      </c>
      <c r="AT236" s="1671" t="n">
        <f aca="false">IF(AS236/AS235=1,AT235,AS236/AS235)</f>
        <v>1.05070990293319</v>
      </c>
      <c r="AU236" s="1671" t="n">
        <f aca="false">F236</f>
        <v>1.07</v>
      </c>
      <c r="AV236" s="1671" t="n">
        <f aca="false">MAX(AT236,AU236)</f>
        <v>1.07</v>
      </c>
      <c r="AW236" s="1675" t="n">
        <f aca="false">IF(AV236=AV235,AW235,AV236*AW235)</f>
        <v>3.44553336016748</v>
      </c>
    </row>
    <row r="237" customFormat="false" ht="12.75" hidden="false" customHeight="false" outlineLevel="0" collapsed="false">
      <c r="A237" s="1673" t="n">
        <f aca="false">EDATE(A236,1)</f>
        <v>42036</v>
      </c>
      <c r="B237" s="1659" t="n">
        <f aca="false">'[4]Monthly Curve Calc.'!B240</f>
        <v>543.764366239448</v>
      </c>
      <c r="C237" s="1660" t="n">
        <f aca="false">'[4]Monthly Curve Calc.'!C240</f>
        <v>254.803810555196</v>
      </c>
      <c r="D237" s="1661" t="n">
        <f aca="false">'[4]Monthly Curve Calc.'!F240</f>
        <v>2.88168719170494</v>
      </c>
      <c r="E237" s="1662" t="n">
        <f aca="false">IF($A237&lt;=E$16,D237,(B237/B236)/(C237/C236)*E236)</f>
        <v>2.60061411254567</v>
      </c>
      <c r="F237" s="1674" t="n">
        <f aca="false">IF(Assm!$L$75=0,F236,IF(AND($A237&gt;F$16,MONTH($A237)=MONTH(F$16)),B236/B224,F236))</f>
        <v>1.07</v>
      </c>
      <c r="G237" s="1668" t="n">
        <f aca="false">IF(Assm!$L$75=0,G236,IF(AND($A237&gt;G$16,MONTH($A237)=MONTH(G$16)),C236/C224,G236))</f>
        <v>1.02527113365492</v>
      </c>
      <c r="H237" s="1668" t="n">
        <f aca="false">IF(Assm!$L$75=0,H236,IF(AND($A237&gt;H$16,MONTH($A237)=MONTH(H$16)),C236/C224-H$18,H236))</f>
        <v>1.02277113365492</v>
      </c>
      <c r="I237" s="1668" t="n">
        <f aca="false">IF(Assm!$L$75=0,I236,IF($A237&gt;=I$16,IF(MONTH($A237)=MONTH(I$16),AVERAGE(D225:D236),I236),I236))</f>
        <v>2.84630677609597</v>
      </c>
      <c r="J237" s="1675" t="n">
        <f aca="false">IF(Assm!$L$75=0,J236,IF($A237&gt;=J$16,IF(MONTH($A237)=MONTH(J$16),AVERAGE(E225:E236),J236),J236))</f>
        <v>2.53323852524495</v>
      </c>
      <c r="K237" s="1624" t="n">
        <f aca="false">K236+1</f>
        <v>225</v>
      </c>
      <c r="L237" s="1667" t="n">
        <f aca="false">HLOOKUP(L$14,Dec_Change,$K237)</f>
        <v>1.02527113365492</v>
      </c>
      <c r="M237" s="1668" t="n">
        <f aca="false">M236</f>
        <v>0</v>
      </c>
      <c r="N237" s="1675" t="n">
        <f aca="false">IF(AND($A237&gt;=N$16,MONTH($A237)=MONTH(N$16)),MAX(L237,M237)*N236,N236)</f>
        <v>1.55739783154092</v>
      </c>
      <c r="P237" s="1667" t="n">
        <f aca="false">HLOOKUP(P$14,Dec_Change,$K237)</f>
        <v>1.07</v>
      </c>
      <c r="Q237" s="1668" t="n">
        <f aca="false">Q236</f>
        <v>0</v>
      </c>
      <c r="R237" s="1675" t="n">
        <f aca="false">IF(AND($A237&gt;=R$16,MONTH($A237)=MONTH(R$16)),MAX(P237,Q237)*R236,R236)</f>
        <v>3.67674088850714</v>
      </c>
      <c r="T237" s="1667" t="n">
        <f aca="false">HLOOKUP(T$14,Dec_Change,$K237)</f>
        <v>1.02527113365492</v>
      </c>
      <c r="U237" s="1668" t="n">
        <f aca="false">U236</f>
        <v>1.005</v>
      </c>
      <c r="V237" s="1675" t="n">
        <f aca="false">IF(AND($A237&gt;=V$16,MONTH($A237)=MONTH(V$16)),MAX(T237,U237)*V236,V236)</f>
        <v>1.55739783154092</v>
      </c>
      <c r="X237" s="1667" t="n">
        <f aca="false">HLOOKUP(X$14,Dec_Change,$K237)</f>
        <v>1.02277113365492</v>
      </c>
      <c r="Y237" s="1668" t="n">
        <f aca="false">Y236</f>
        <v>1.02</v>
      </c>
      <c r="Z237" s="1675" t="n">
        <f aca="false">IF(AND($A237&gt;=Z$16,MONTH($A237)=MONTH(Z$16)),MAX(X237,Y237)*Z236,Z236)</f>
        <v>1.5061761575234</v>
      </c>
      <c r="AB237" s="1667" t="n">
        <f aca="false">HLOOKUP(AB$14,Dec_Change,$K237)</f>
        <v>1.02277113365492</v>
      </c>
      <c r="AC237" s="1668" t="n">
        <f aca="false">AC236</f>
        <v>1.02</v>
      </c>
      <c r="AD237" s="1675" t="n">
        <f aca="false">IF(AND($A237&gt;=AD$16,MONTH($A237)=MONTH(AD$16)),MAX(AB237,AC237)*AD236,AD236)</f>
        <v>1.5061761575234</v>
      </c>
      <c r="AF237" s="1667" t="n">
        <f aca="false">HLOOKUP(AF$14,Dec_Change,$K237)</f>
        <v>1.07</v>
      </c>
      <c r="AG237" s="1668" t="n">
        <f aca="false">AG236</f>
        <v>0</v>
      </c>
      <c r="AH237" s="1675" t="n">
        <f aca="false">IF(AND($A237&gt;=AH$16,MONTH($A237)=MONTH(AH$16)),MAX(AF237,AG237)*AH236,AH236)</f>
        <v>3.67674088850714</v>
      </c>
      <c r="AJ237" s="1667" t="n">
        <f aca="false">HLOOKUP(AJ$14,Dec_Change,$K237)</f>
        <v>1.02277113365492</v>
      </c>
      <c r="AK237" s="1668" t="n">
        <f aca="false">AK236</f>
        <v>1.02</v>
      </c>
      <c r="AL237" s="1675" t="n">
        <f aca="false">IF(AND($A237&gt;=AL$16,MONTH($A237)=MONTH(AL$16)),MAX(AJ237,AK237)*AL236,AL236)</f>
        <v>1.5061761575234</v>
      </c>
      <c r="AN237" s="1667" t="n">
        <f aca="false">HLOOKUP(AN$14,Dec_Change,$K237)</f>
        <v>1.02527113365492</v>
      </c>
      <c r="AO237" s="1668" t="n">
        <f aca="false">AO236</f>
        <v>1.005</v>
      </c>
      <c r="AP237" s="1675" t="n">
        <f aca="false">IF(AND($A237&gt;=AP$16,MONTH($A237)=MONTH(AP$16)),MAX(AN237,AO237)*AP236,AP236)</f>
        <v>1.55739783154092</v>
      </c>
      <c r="AR237" s="1670" t="n">
        <f aca="false">$A237</f>
        <v>42036</v>
      </c>
      <c r="AS237" s="1671" t="n">
        <f aca="false">IF(AND($A237&gt;=EDATE(AS$17,12),IF(Assm!$L$74=0,$D237,$E237)/AS236&gt;=1.05),IF(Assm!$L$74=0,$D237,$E237),AS236)</f>
        <v>2.77412681792376</v>
      </c>
      <c r="AT237" s="1671" t="n">
        <f aca="false">IF(AS237/AS236=1,AT236,AS237/AS236)</f>
        <v>1.05070990293319</v>
      </c>
      <c r="AU237" s="1671" t="n">
        <f aca="false">F237</f>
        <v>1.07</v>
      </c>
      <c r="AV237" s="1671" t="n">
        <f aca="false">MAX(AT237,AU237)</f>
        <v>1.07</v>
      </c>
      <c r="AW237" s="1675" t="n">
        <f aca="false">IF(AV237=AV236,AW236,AV237*AW236)</f>
        <v>3.44553336016748</v>
      </c>
    </row>
    <row r="238" customFormat="false" ht="12.75" hidden="false" customHeight="false" outlineLevel="0" collapsed="false">
      <c r="A238" s="1673" t="n">
        <f aca="false">EDATE(A237,1)</f>
        <v>42064</v>
      </c>
      <c r="B238" s="1659" t="n">
        <f aca="false">'[4]Monthly Curve Calc.'!B241</f>
        <v>546.796282070411</v>
      </c>
      <c r="C238" s="1660" t="n">
        <f aca="false">'[4]Monthly Curve Calc.'!C241</f>
        <v>255.347490147154</v>
      </c>
      <c r="D238" s="1661" t="n">
        <f aca="false">'[4]Monthly Curve Calc.'!F241</f>
        <v>2.8864398386607</v>
      </c>
      <c r="E238" s="1662" t="n">
        <f aca="false">IF($A238&lt;=E$16,D238,(B238/B237)/(C238/C237)*E237)</f>
        <v>2.60954655267521</v>
      </c>
      <c r="F238" s="1674" t="n">
        <f aca="false">IF(Assm!$L$75=0,F237,IF(AND($A238&gt;F$16,MONTH($A238)=MONTH(F$16)),B237/B225,F237))</f>
        <v>1.07</v>
      </c>
      <c r="G238" s="1668" t="n">
        <f aca="false">IF(Assm!$L$75=0,G237,IF(AND($A238&gt;G$16,MONTH($A238)=MONTH(G$16)),C237/C225,G237))</f>
        <v>1.02527113365492</v>
      </c>
      <c r="H238" s="1668" t="n">
        <f aca="false">IF(Assm!$L$75=0,H237,IF(AND($A238&gt;H$16,MONTH($A238)=MONTH(H$16)),C237/C225-H$18,H237))</f>
        <v>1.02277113365492</v>
      </c>
      <c r="I238" s="1668" t="n">
        <f aca="false">IF(Assm!$L$75=0,I237,IF($A238&gt;=I$16,IF(MONTH($A238)=MONTH(I$16),AVERAGE(D226:D237),I237),I237))</f>
        <v>2.84630677609597</v>
      </c>
      <c r="J238" s="1675" t="n">
        <f aca="false">IF(Assm!$L$75=0,J237,IF($A238&gt;=J$16,IF(MONTH($A238)=MONTH(J$16),AVERAGE(E226:E237),J237),J237))</f>
        <v>2.53323852524495</v>
      </c>
      <c r="K238" s="1624" t="n">
        <f aca="false">K237+1</f>
        <v>226</v>
      </c>
      <c r="L238" s="1667" t="n">
        <f aca="false">HLOOKUP(L$14,Dec_Change,$K238)</f>
        <v>1.02527113365492</v>
      </c>
      <c r="M238" s="1668" t="n">
        <f aca="false">M237</f>
        <v>0</v>
      </c>
      <c r="N238" s="1675" t="n">
        <f aca="false">IF(AND($A238&gt;=N$16,MONTH($A238)=MONTH(N$16)),MAX(L238,M238)*N237,N237)</f>
        <v>1.55739783154092</v>
      </c>
      <c r="P238" s="1667" t="n">
        <f aca="false">HLOOKUP(P$14,Dec_Change,$K238)</f>
        <v>1.07</v>
      </c>
      <c r="Q238" s="1668" t="n">
        <f aca="false">Q237</f>
        <v>0</v>
      </c>
      <c r="R238" s="1675" t="n">
        <f aca="false">IF(AND($A238&gt;=R$16,MONTH($A238)=MONTH(R$16)),MAX(P238,Q238)*R237,R237)</f>
        <v>3.67674088850714</v>
      </c>
      <c r="T238" s="1667" t="n">
        <f aca="false">HLOOKUP(T$14,Dec_Change,$K238)</f>
        <v>1.02527113365492</v>
      </c>
      <c r="U238" s="1668" t="n">
        <f aca="false">U237</f>
        <v>1.005</v>
      </c>
      <c r="V238" s="1675" t="n">
        <f aca="false">IF(AND($A238&gt;=V$16,MONTH($A238)=MONTH(V$16)),MAX(T238,U238)*V237,V237)</f>
        <v>1.55739783154092</v>
      </c>
      <c r="X238" s="1667" t="n">
        <f aca="false">HLOOKUP(X$14,Dec_Change,$K238)</f>
        <v>1.02277113365492</v>
      </c>
      <c r="Y238" s="1668" t="n">
        <f aca="false">Y237</f>
        <v>1.02</v>
      </c>
      <c r="Z238" s="1675" t="n">
        <f aca="false">IF(AND($A238&gt;=Z$16,MONTH($A238)=MONTH(Z$16)),MAX(X238,Y238)*Z237,Z237)</f>
        <v>1.5061761575234</v>
      </c>
      <c r="AB238" s="1667" t="n">
        <f aca="false">HLOOKUP(AB$14,Dec_Change,$K238)</f>
        <v>1.02277113365492</v>
      </c>
      <c r="AC238" s="1668" t="n">
        <f aca="false">AC237</f>
        <v>1.02</v>
      </c>
      <c r="AD238" s="1675" t="n">
        <f aca="false">IF(AND($A238&gt;=AD$16,MONTH($A238)=MONTH(AD$16)),MAX(AB238,AC238)*AD237,AD237)</f>
        <v>1.5061761575234</v>
      </c>
      <c r="AF238" s="1667" t="n">
        <f aca="false">HLOOKUP(AF$14,Dec_Change,$K238)</f>
        <v>1.07</v>
      </c>
      <c r="AG238" s="1668" t="n">
        <f aca="false">AG237</f>
        <v>0</v>
      </c>
      <c r="AH238" s="1675" t="n">
        <f aca="false">IF(AND($A238&gt;=AH$16,MONTH($A238)=MONTH(AH$16)),MAX(AF238,AG238)*AH237,AH237)</f>
        <v>3.67674088850714</v>
      </c>
      <c r="AJ238" s="1667" t="n">
        <f aca="false">HLOOKUP(AJ$14,Dec_Change,$K238)</f>
        <v>1.02277113365492</v>
      </c>
      <c r="AK238" s="1668" t="n">
        <f aca="false">AK237</f>
        <v>1.02</v>
      </c>
      <c r="AL238" s="1675" t="n">
        <f aca="false">IF(AND($A238&gt;=AL$16,MONTH($A238)=MONTH(AL$16)),MAX(AJ238,AK238)*AL237,AL237)</f>
        <v>1.5061761575234</v>
      </c>
      <c r="AN238" s="1667" t="n">
        <f aca="false">HLOOKUP(AN$14,Dec_Change,$K238)</f>
        <v>1.02527113365492</v>
      </c>
      <c r="AO238" s="1668" t="n">
        <f aca="false">AO237</f>
        <v>1.005</v>
      </c>
      <c r="AP238" s="1675" t="n">
        <f aca="false">IF(AND($A238&gt;=AP$16,MONTH($A238)=MONTH(AP$16)),MAX(AN238,AO238)*AP237,AP237)</f>
        <v>1.55739783154092</v>
      </c>
      <c r="AR238" s="1670" t="n">
        <f aca="false">$A238</f>
        <v>42064</v>
      </c>
      <c r="AS238" s="1671" t="n">
        <f aca="false">IF(AND($A238&gt;=EDATE(AS$17,12),IF(Assm!$L$74=0,$D238,$E238)/AS237&gt;=1.05),IF(Assm!$L$74=0,$D238,$E238),AS237)</f>
        <v>2.77412681792376</v>
      </c>
      <c r="AT238" s="1671" t="n">
        <f aca="false">IF(AS238/AS237=1,AT237,AS238/AS237)</f>
        <v>1.05070990293319</v>
      </c>
      <c r="AU238" s="1671" t="n">
        <f aca="false">F238</f>
        <v>1.07</v>
      </c>
      <c r="AV238" s="1671" t="n">
        <f aca="false">MAX(AT238,AU238)</f>
        <v>1.07</v>
      </c>
      <c r="AW238" s="1675" t="n">
        <f aca="false">IF(AV238=AV237,AW237,AV238*AW237)</f>
        <v>3.44553336016748</v>
      </c>
    </row>
    <row r="239" customFormat="false" ht="12.75" hidden="false" customHeight="false" outlineLevel="0" collapsed="false">
      <c r="A239" s="1673" t="n">
        <f aca="false">EDATE(A238,1)</f>
        <v>42095</v>
      </c>
      <c r="B239" s="1659" t="n">
        <f aca="false">'[4]Monthly Curve Calc.'!B242</f>
        <v>549.845103226873</v>
      </c>
      <c r="C239" s="1660" t="n">
        <f aca="false">'[4]Monthly Curve Calc.'!C242</f>
        <v>255.892329798289</v>
      </c>
      <c r="D239" s="1661" t="n">
        <f aca="false">'[4]Monthly Curve Calc.'!F242</f>
        <v>2.89120032395961</v>
      </c>
      <c r="E239" s="1662" t="n">
        <f aca="false">IF($A239&lt;=E$16,D239,(B239/B238)/(C239/C238)*E238)</f>
        <v>2.61850967343757</v>
      </c>
      <c r="F239" s="1674" t="n">
        <f aca="false">IF(Assm!$L$75=0,F238,IF(AND($A239&gt;F$16,MONTH($A239)=MONTH(F$16)),B238/B226,F238))</f>
        <v>1.07</v>
      </c>
      <c r="G239" s="1668" t="n">
        <f aca="false">IF(Assm!$L$75=0,G238,IF(AND($A239&gt;G$16,MONTH($A239)=MONTH(G$16)),C238/C226,G238))</f>
        <v>1.02527113365492</v>
      </c>
      <c r="H239" s="1668" t="n">
        <f aca="false">IF(Assm!$L$75=0,H238,IF(AND($A239&gt;H$16,MONTH($A239)=MONTH(H$16)),C238/C226-H$18,H238))</f>
        <v>1.02277113365492</v>
      </c>
      <c r="I239" s="1668" t="n">
        <f aca="false">IF(Assm!$L$75=0,I238,IF($A239&gt;=I$16,IF(MONTH($A239)=MONTH(I$16),AVERAGE(D227:D238),I238),I238))</f>
        <v>2.84630677609597</v>
      </c>
      <c r="J239" s="1675" t="n">
        <f aca="false">IF(Assm!$L$75=0,J238,IF($A239&gt;=J$16,IF(MONTH($A239)=MONTH(J$16),AVERAGE(E227:E238),J238),J238))</f>
        <v>2.53323852524495</v>
      </c>
      <c r="K239" s="1624" t="n">
        <f aca="false">K238+1</f>
        <v>227</v>
      </c>
      <c r="L239" s="1667" t="n">
        <f aca="false">HLOOKUP(L$14,Dec_Change,$K239)</f>
        <v>1.02527113365492</v>
      </c>
      <c r="M239" s="1668" t="n">
        <f aca="false">M238</f>
        <v>0</v>
      </c>
      <c r="N239" s="1675" t="n">
        <f aca="false">IF(AND($A239&gt;=N$16,MONTH($A239)=MONTH(N$16)),MAX(L239,M239)*N238,N238)</f>
        <v>1.55739783154092</v>
      </c>
      <c r="P239" s="1667" t="n">
        <f aca="false">HLOOKUP(P$14,Dec_Change,$K239)</f>
        <v>1.07</v>
      </c>
      <c r="Q239" s="1668" t="n">
        <f aca="false">Q238</f>
        <v>0</v>
      </c>
      <c r="R239" s="1675" t="n">
        <f aca="false">IF(AND($A239&gt;=R$16,MONTH($A239)=MONTH(R$16)),MAX(P239,Q239)*R238,R238)</f>
        <v>3.67674088850714</v>
      </c>
      <c r="T239" s="1667" t="n">
        <f aca="false">HLOOKUP(T$14,Dec_Change,$K239)</f>
        <v>1.02527113365492</v>
      </c>
      <c r="U239" s="1668" t="n">
        <f aca="false">U238</f>
        <v>1.005</v>
      </c>
      <c r="V239" s="1675" t="n">
        <f aca="false">IF(AND($A239&gt;=V$16,MONTH($A239)=MONTH(V$16)),MAX(T239,U239)*V238,V238)</f>
        <v>1.55739783154092</v>
      </c>
      <c r="X239" s="1667" t="n">
        <f aca="false">HLOOKUP(X$14,Dec_Change,$K239)</f>
        <v>1.02277113365492</v>
      </c>
      <c r="Y239" s="1668" t="n">
        <f aca="false">Y238</f>
        <v>1.02</v>
      </c>
      <c r="Z239" s="1675" t="n">
        <f aca="false">IF(AND($A239&gt;=Z$16,MONTH($A239)=MONTH(Z$16)),MAX(X239,Y239)*Z238,Z238)</f>
        <v>1.5061761575234</v>
      </c>
      <c r="AB239" s="1667" t="n">
        <f aca="false">HLOOKUP(AB$14,Dec_Change,$K239)</f>
        <v>1.02277113365492</v>
      </c>
      <c r="AC239" s="1668" t="n">
        <f aca="false">AC238</f>
        <v>1.02</v>
      </c>
      <c r="AD239" s="1675" t="n">
        <f aca="false">IF(AND($A239&gt;=AD$16,MONTH($A239)=MONTH(AD$16)),MAX(AB239,AC239)*AD238,AD238)</f>
        <v>1.5061761575234</v>
      </c>
      <c r="AF239" s="1667" t="n">
        <f aca="false">HLOOKUP(AF$14,Dec_Change,$K239)</f>
        <v>1.07</v>
      </c>
      <c r="AG239" s="1668" t="n">
        <f aca="false">AG238</f>
        <v>0</v>
      </c>
      <c r="AH239" s="1675" t="n">
        <f aca="false">IF(AND($A239&gt;=AH$16,MONTH($A239)=MONTH(AH$16)),MAX(AF239,AG239)*AH238,AH238)</f>
        <v>3.67674088850714</v>
      </c>
      <c r="AJ239" s="1667" t="n">
        <f aca="false">HLOOKUP(AJ$14,Dec_Change,$K239)</f>
        <v>1.02277113365492</v>
      </c>
      <c r="AK239" s="1668" t="n">
        <f aca="false">AK238</f>
        <v>1.02</v>
      </c>
      <c r="AL239" s="1675" t="n">
        <f aca="false">IF(AND($A239&gt;=AL$16,MONTH($A239)=MONTH(AL$16)),MAX(AJ239,AK239)*AL238,AL238)</f>
        <v>1.5061761575234</v>
      </c>
      <c r="AN239" s="1667" t="n">
        <f aca="false">HLOOKUP(AN$14,Dec_Change,$K239)</f>
        <v>1.02527113365492</v>
      </c>
      <c r="AO239" s="1668" t="n">
        <f aca="false">AO238</f>
        <v>1.005</v>
      </c>
      <c r="AP239" s="1675" t="n">
        <f aca="false">IF(AND($A239&gt;=AP$16,MONTH($A239)=MONTH(AP$16)),MAX(AN239,AO239)*AP238,AP238)</f>
        <v>1.55739783154092</v>
      </c>
      <c r="AR239" s="1670" t="n">
        <f aca="false">$A239</f>
        <v>42095</v>
      </c>
      <c r="AS239" s="1671" t="n">
        <f aca="false">IF(AND($A239&gt;=EDATE(AS$17,12),IF(Assm!$L$74=0,$D239,$E239)/AS238&gt;=1.05),IF(Assm!$L$74=0,$D239,$E239),AS238)</f>
        <v>2.77412681792376</v>
      </c>
      <c r="AT239" s="1671" t="n">
        <f aca="false">IF(AS239/AS238=1,AT238,AS239/AS238)</f>
        <v>1.05070990293319</v>
      </c>
      <c r="AU239" s="1671" t="n">
        <f aca="false">F239</f>
        <v>1.07</v>
      </c>
      <c r="AV239" s="1671" t="n">
        <f aca="false">MAX(AT239,AU239)</f>
        <v>1.07</v>
      </c>
      <c r="AW239" s="1675" t="n">
        <f aca="false">IF(AV239=AV238,AW238,AV239*AW238)</f>
        <v>3.44553336016748</v>
      </c>
    </row>
    <row r="240" customFormat="false" ht="12.75" hidden="false" customHeight="false" outlineLevel="0" collapsed="false">
      <c r="A240" s="1673" t="n">
        <f aca="false">EDATE(A239,1)</f>
        <v>42125</v>
      </c>
      <c r="B240" s="1659" t="n">
        <f aca="false">'[4]Monthly Curve Calc.'!B243</f>
        <v>552.910923969377</v>
      </c>
      <c r="C240" s="1660" t="n">
        <f aca="false">'[4]Monthly Curve Calc.'!C243</f>
        <v>256.438331983841</v>
      </c>
      <c r="D240" s="1661" t="n">
        <f aca="false">'[4]Monthly Curve Calc.'!F243</f>
        <v>2.89596866052913</v>
      </c>
      <c r="E240" s="1662" t="n">
        <f aca="false">IF($A240&lt;=E$16,D240,(B240/B239)/(C240/C239)*E239)</f>
        <v>2.62750358021281</v>
      </c>
      <c r="F240" s="1674" t="n">
        <f aca="false">IF(Assm!$L$75=0,F239,IF(AND($A240&gt;F$16,MONTH($A240)=MONTH(F$16)),B239/B227,F239))</f>
        <v>1.06966656277056</v>
      </c>
      <c r="G240" s="1668" t="n">
        <f aca="false">IF(Assm!$L$75=0,G239,IF(AND($A240&gt;G$16,MONTH($A240)=MONTH(G$16)),C239/C227,G239))</f>
        <v>1.02564056909022</v>
      </c>
      <c r="H240" s="1668" t="n">
        <f aca="false">IF(Assm!$L$75=0,H239,IF(AND($A240&gt;H$16,MONTH($A240)=MONTH(H$16)),C239/C227-H$18,H239))</f>
        <v>1.02314056909022</v>
      </c>
      <c r="I240" s="1668" t="n">
        <f aca="false">IF(Assm!$L$75=0,I239,IF($A240&gt;=I$16,IF(MONTH($A240)=MONTH(I$16),AVERAGE(D228:D239),I239),I239))</f>
        <v>2.84630677609597</v>
      </c>
      <c r="J240" s="1675" t="n">
        <f aca="false">IF(Assm!$L$75=0,J239,IF($A240&gt;=J$16,IF(MONTH($A240)=MONTH(J$16),AVERAGE(E228:E239),J239),J239))</f>
        <v>2.53323852524495</v>
      </c>
      <c r="K240" s="1624" t="n">
        <f aca="false">K239+1</f>
        <v>228</v>
      </c>
      <c r="L240" s="1667" t="n">
        <f aca="false">HLOOKUP(L$14,Dec_Change,$K240)</f>
        <v>1.02564056909022</v>
      </c>
      <c r="M240" s="1668" t="n">
        <f aca="false">M239</f>
        <v>0</v>
      </c>
      <c r="N240" s="1675" t="n">
        <f aca="false">IF(AND($A240&gt;=N$16,MONTH($A240)=MONTH(N$16)),MAX(L240,M240)*N239,N239)</f>
        <v>1.59733039824151</v>
      </c>
      <c r="P240" s="1667" t="n">
        <f aca="false">HLOOKUP(P$14,Dec_Change,$K240)</f>
        <v>1.06966656277056</v>
      </c>
      <c r="Q240" s="1668" t="n">
        <f aca="false">Q239</f>
        <v>0</v>
      </c>
      <c r="R240" s="1675" t="n">
        <f aca="false">IF(AND($A240&gt;=R$16,MONTH($A240)=MONTH(R$16)),MAX(P240,Q240)*R239,R239)</f>
        <v>3.9328867884074</v>
      </c>
      <c r="T240" s="1667" t="n">
        <f aca="false">HLOOKUP(T$14,Dec_Change,$K240)</f>
        <v>1.02564056909022</v>
      </c>
      <c r="U240" s="1668" t="n">
        <f aca="false">U239</f>
        <v>1.005</v>
      </c>
      <c r="V240" s="1675" t="n">
        <f aca="false">IF(AND($A240&gt;=V$16,MONTH($A240)=MONTH(V$16)),MAX(T240,U240)*V239,V239)</f>
        <v>1.59733039824151</v>
      </c>
      <c r="X240" s="1667" t="n">
        <f aca="false">HLOOKUP(X$14,Dec_Change,$K240)</f>
        <v>1.02314056909022</v>
      </c>
      <c r="Y240" s="1668" t="n">
        <f aca="false">Y239</f>
        <v>1.02</v>
      </c>
      <c r="Z240" s="1675" t="n">
        <f aca="false">IF(AND($A240&gt;=Z$16,MONTH($A240)=MONTH(Z$16)),MAX(X240,Y240)*Z239,Z239)</f>
        <v>1.54102993095862</v>
      </c>
      <c r="AB240" s="1667" t="n">
        <f aca="false">HLOOKUP(AB$14,Dec_Change,$K240)</f>
        <v>1.02314056909022</v>
      </c>
      <c r="AC240" s="1668" t="n">
        <f aca="false">AC239</f>
        <v>1.02</v>
      </c>
      <c r="AD240" s="1675" t="n">
        <f aca="false">IF(AND($A240&gt;=AD$16,MONTH($A240)=MONTH(AD$16)),MAX(AB240,AC240)*AD239,AD239)</f>
        <v>1.54102993095862</v>
      </c>
      <c r="AF240" s="1667" t="n">
        <f aca="false">HLOOKUP(AF$14,Dec_Change,$K240)</f>
        <v>1.06966656277056</v>
      </c>
      <c r="AG240" s="1668" t="n">
        <f aca="false">AG239</f>
        <v>0</v>
      </c>
      <c r="AH240" s="1675" t="n">
        <f aca="false">IF(AND($A240&gt;=AH$16,MONTH($A240)=MONTH(AH$16)),MAX(AF240,AG240)*AH239,AH239)</f>
        <v>3.9328867884074</v>
      </c>
      <c r="AJ240" s="1667" t="n">
        <f aca="false">HLOOKUP(AJ$14,Dec_Change,$K240)</f>
        <v>1.02314056909022</v>
      </c>
      <c r="AK240" s="1668" t="n">
        <f aca="false">AK239</f>
        <v>1.02</v>
      </c>
      <c r="AL240" s="1675" t="n">
        <f aca="false">IF(AND($A240&gt;=AL$16,MONTH($A240)=MONTH(AL$16)),MAX(AJ240,AK240)*AL239,AL239)</f>
        <v>1.54102993095862</v>
      </c>
      <c r="AN240" s="1667" t="n">
        <f aca="false">HLOOKUP(AN$14,Dec_Change,$K240)</f>
        <v>1.02564056909022</v>
      </c>
      <c r="AO240" s="1668" t="n">
        <f aca="false">AO239</f>
        <v>1.005</v>
      </c>
      <c r="AP240" s="1675" t="n">
        <f aca="false">IF(AND($A240&gt;=AP$16,MONTH($A240)=MONTH(AP$16)),MAX(AN240,AO240)*AP239,AP239)</f>
        <v>1.59733039824151</v>
      </c>
      <c r="AR240" s="1670" t="n">
        <f aca="false">$A240</f>
        <v>42125</v>
      </c>
      <c r="AS240" s="1671" t="n">
        <f aca="false">IF(AND($A240&gt;=EDATE(AS$17,12),IF(Assm!$L$74=0,$D240,$E240)/AS239&gt;=1.05),IF(Assm!$L$74=0,$D240,$E240),AS239)</f>
        <v>2.77412681792376</v>
      </c>
      <c r="AT240" s="1671" t="n">
        <f aca="false">IF(AS240/AS239=1,AT239,AS240/AS239)</f>
        <v>1.05070990293319</v>
      </c>
      <c r="AU240" s="1671" t="n">
        <f aca="false">F240</f>
        <v>1.06966656277056</v>
      </c>
      <c r="AV240" s="1671" t="n">
        <f aca="false">MAX(AT240,AU240)</f>
        <v>1.06966656277056</v>
      </c>
      <c r="AW240" s="1675" t="n">
        <f aca="false">IF(AV240=AV239,AW239,AV240*AW239)</f>
        <v>3.68557182628163</v>
      </c>
    </row>
    <row r="241" customFormat="false" ht="12.75" hidden="false" customHeight="false" outlineLevel="0" collapsed="false">
      <c r="A241" s="1673" t="n">
        <f aca="false">EDATE(A240,1)</f>
        <v>42156</v>
      </c>
      <c r="B241" s="1659" t="n">
        <f aca="false">'[4]Monthly Curve Calc.'!B244</f>
        <v>555.993839084041</v>
      </c>
      <c r="C241" s="1660" t="n">
        <f aca="false">'[4]Monthly Curve Calc.'!C244</f>
        <v>256.98549918433</v>
      </c>
      <c r="D241" s="1661" t="n">
        <f aca="false">'[4]Monthly Curve Calc.'!F244</f>
        <v>2.90074486131804</v>
      </c>
      <c r="E241" s="1662" t="n">
        <f aca="false">IF($A241&lt;=E$16,D241,(B241/B240)/(C241/C240)*E240)</f>
        <v>2.63652837874296</v>
      </c>
      <c r="F241" s="1674" t="n">
        <f aca="false">IF(Assm!$L$75=0,F240,IF(AND($A241&gt;F$16,MONTH($A241)=MONTH(F$16)),B240/B228,F240))</f>
        <v>1.06966656277056</v>
      </c>
      <c r="G241" s="1668" t="n">
        <f aca="false">IF(Assm!$L$75=0,G240,IF(AND($A241&gt;G$16,MONTH($A241)=MONTH(G$16)),C240/C228,G240))</f>
        <v>1.02564056909022</v>
      </c>
      <c r="H241" s="1668" t="n">
        <f aca="false">IF(Assm!$L$75=0,H240,IF(AND($A241&gt;H$16,MONTH($A241)=MONTH(H$16)),C240/C228-H$18,H240))</f>
        <v>1.02314056909022</v>
      </c>
      <c r="I241" s="1668" t="n">
        <f aca="false">IF(Assm!$L$75=0,I240,IF($A241&gt;=I$16,IF(MONTH($A241)=MONTH(I$16),AVERAGE(D229:D240),I240),I240))</f>
        <v>2.84630677609597</v>
      </c>
      <c r="J241" s="1675" t="n">
        <f aca="false">IF(Assm!$L$75=0,J240,IF($A241&gt;=J$16,IF(MONTH($A241)=MONTH(J$16),AVERAGE(E229:E240),J240),J240))</f>
        <v>2.53323852524495</v>
      </c>
      <c r="K241" s="1624" t="n">
        <f aca="false">K240+1</f>
        <v>229</v>
      </c>
      <c r="L241" s="1667" t="n">
        <f aca="false">HLOOKUP(L$14,Dec_Change,$K241)</f>
        <v>1.02564056909022</v>
      </c>
      <c r="M241" s="1668" t="n">
        <f aca="false">M240</f>
        <v>0</v>
      </c>
      <c r="N241" s="1675" t="n">
        <f aca="false">IF(AND($A241&gt;=N$16,MONTH($A241)=MONTH(N$16)),MAX(L241,M241)*N240,N240)</f>
        <v>1.59733039824151</v>
      </c>
      <c r="P241" s="1667" t="n">
        <f aca="false">HLOOKUP(P$14,Dec_Change,$K241)</f>
        <v>1.06966656277056</v>
      </c>
      <c r="Q241" s="1668" t="n">
        <f aca="false">Q240</f>
        <v>0</v>
      </c>
      <c r="R241" s="1675" t="n">
        <f aca="false">IF(AND($A241&gt;=R$16,MONTH($A241)=MONTH(R$16)),MAX(P241,Q241)*R240,R240)</f>
        <v>3.9328867884074</v>
      </c>
      <c r="T241" s="1667" t="n">
        <f aca="false">HLOOKUP(T$14,Dec_Change,$K241)</f>
        <v>1.02564056909022</v>
      </c>
      <c r="U241" s="1668" t="n">
        <f aca="false">U240</f>
        <v>1.005</v>
      </c>
      <c r="V241" s="1675" t="n">
        <f aca="false">IF(AND($A241&gt;=V$16,MONTH($A241)=MONTH(V$16)),MAX(T241,U241)*V240,V240)</f>
        <v>1.59733039824151</v>
      </c>
      <c r="X241" s="1667" t="n">
        <f aca="false">HLOOKUP(X$14,Dec_Change,$K241)</f>
        <v>1.02314056909022</v>
      </c>
      <c r="Y241" s="1668" t="n">
        <f aca="false">Y240</f>
        <v>1.02</v>
      </c>
      <c r="Z241" s="1675" t="n">
        <f aca="false">IF(AND($A241&gt;=Z$16,MONTH($A241)=MONTH(Z$16)),MAX(X241,Y241)*Z240,Z240)</f>
        <v>1.54102993095862</v>
      </c>
      <c r="AB241" s="1667" t="n">
        <f aca="false">HLOOKUP(AB$14,Dec_Change,$K241)</f>
        <v>1.02314056909022</v>
      </c>
      <c r="AC241" s="1668" t="n">
        <f aca="false">AC240</f>
        <v>1.02</v>
      </c>
      <c r="AD241" s="1675" t="n">
        <f aca="false">IF(AND($A241&gt;=AD$16,MONTH($A241)=MONTH(AD$16)),MAX(AB241,AC241)*AD240,AD240)</f>
        <v>1.54102993095862</v>
      </c>
      <c r="AF241" s="1667" t="n">
        <f aca="false">HLOOKUP(AF$14,Dec_Change,$K241)</f>
        <v>1.06966656277056</v>
      </c>
      <c r="AG241" s="1668" t="n">
        <f aca="false">AG240</f>
        <v>0</v>
      </c>
      <c r="AH241" s="1675" t="n">
        <f aca="false">IF(AND($A241&gt;=AH$16,MONTH($A241)=MONTH(AH$16)),MAX(AF241,AG241)*AH240,AH240)</f>
        <v>3.9328867884074</v>
      </c>
      <c r="AJ241" s="1667" t="n">
        <f aca="false">HLOOKUP(AJ$14,Dec_Change,$K241)</f>
        <v>1.02314056909022</v>
      </c>
      <c r="AK241" s="1668" t="n">
        <f aca="false">AK240</f>
        <v>1.02</v>
      </c>
      <c r="AL241" s="1675" t="n">
        <f aca="false">IF(AND($A241&gt;=AL$16,MONTH($A241)=MONTH(AL$16)),MAX(AJ241,AK241)*AL240,AL240)</f>
        <v>1.54102993095862</v>
      </c>
      <c r="AN241" s="1667" t="n">
        <f aca="false">HLOOKUP(AN$14,Dec_Change,$K241)</f>
        <v>1.02564056909022</v>
      </c>
      <c r="AO241" s="1668" t="n">
        <f aca="false">AO240</f>
        <v>1.005</v>
      </c>
      <c r="AP241" s="1675" t="n">
        <f aca="false">IF(AND($A241&gt;=AP$16,MONTH($A241)=MONTH(AP$16)),MAX(AN241,AO241)*AP240,AP240)</f>
        <v>1.59733039824151</v>
      </c>
      <c r="AR241" s="1670" t="n">
        <f aca="false">$A241</f>
        <v>42156</v>
      </c>
      <c r="AS241" s="1671" t="n">
        <f aca="false">IF(AND($A241&gt;=EDATE(AS$17,12),IF(Assm!$L$74=0,$D241,$E241)/AS240&gt;=1.05),IF(Assm!$L$74=0,$D241,$E241),AS240)</f>
        <v>2.77412681792376</v>
      </c>
      <c r="AT241" s="1671" t="n">
        <f aca="false">IF(AS241/AS240=1,AT240,AS241/AS240)</f>
        <v>1.05070990293319</v>
      </c>
      <c r="AU241" s="1671" t="n">
        <f aca="false">F241</f>
        <v>1.06966656277056</v>
      </c>
      <c r="AV241" s="1671" t="n">
        <f aca="false">MAX(AT241,AU241)</f>
        <v>1.06966656277056</v>
      </c>
      <c r="AW241" s="1675" t="n">
        <f aca="false">IF(AV241=AV240,AW240,AV241*AW240)</f>
        <v>3.68557182628163</v>
      </c>
    </row>
    <row r="242" customFormat="false" ht="12.75" hidden="false" customHeight="false" outlineLevel="0" collapsed="false">
      <c r="A242" s="1673" t="n">
        <f aca="false">EDATE(A241,1)</f>
        <v>42186</v>
      </c>
      <c r="B242" s="1659" t="n">
        <f aca="false">'[4]Monthly Curve Calc.'!B245</f>
        <v>559.093943885492</v>
      </c>
      <c r="C242" s="1660" t="n">
        <f aca="false">'[4]Monthly Curve Calc.'!C245</f>
        <v>257.53383388557</v>
      </c>
      <c r="D242" s="1661" t="n">
        <f aca="false">'[4]Monthly Curve Calc.'!F245</f>
        <v>2.90552893929647</v>
      </c>
      <c r="E242" s="1662" t="n">
        <f aca="false">IF($A242&lt;=E$16,D242,(B242/B241)/(C242/C241)*E241)</f>
        <v>2.64558417513327</v>
      </c>
      <c r="F242" s="1674" t="n">
        <f aca="false">IF(Assm!$L$75=0,F241,IF(AND($A242&gt;F$16,MONTH($A242)=MONTH(F$16)),B241/B229,F241))</f>
        <v>1.06966656277056</v>
      </c>
      <c r="G242" s="1668" t="n">
        <f aca="false">IF(Assm!$L$75=0,G241,IF(AND($A242&gt;G$16,MONTH($A242)=MONTH(G$16)),C241/C229,G241))</f>
        <v>1.02564056909022</v>
      </c>
      <c r="H242" s="1668" t="n">
        <f aca="false">IF(Assm!$L$75=0,H241,IF(AND($A242&gt;H$16,MONTH($A242)=MONTH(H$16)),C241/C229-H$18,H241))</f>
        <v>1.02314056909022</v>
      </c>
      <c r="I242" s="1668" t="n">
        <f aca="false">IF(Assm!$L$75=0,I241,IF($A242&gt;=I$16,IF(MONTH($A242)=MONTH(I$16),AVERAGE(D230:D241),I241),I241))</f>
        <v>2.84630677609597</v>
      </c>
      <c r="J242" s="1675" t="n">
        <f aca="false">IF(Assm!$L$75=0,J241,IF($A242&gt;=J$16,IF(MONTH($A242)=MONTH(J$16),AVERAGE(E230:E241),J241),J241))</f>
        <v>2.53323852524495</v>
      </c>
      <c r="K242" s="1624" t="n">
        <f aca="false">K241+1</f>
        <v>230</v>
      </c>
      <c r="L242" s="1667" t="n">
        <f aca="false">HLOOKUP(L$14,Dec_Change,$K242)</f>
        <v>1.02564056909022</v>
      </c>
      <c r="M242" s="1668" t="n">
        <f aca="false">M241</f>
        <v>0</v>
      </c>
      <c r="N242" s="1675" t="n">
        <f aca="false">IF(AND($A242&gt;=N$16,MONTH($A242)=MONTH(N$16)),MAX(L242,M242)*N241,N241)</f>
        <v>1.59733039824151</v>
      </c>
      <c r="P242" s="1667" t="n">
        <f aca="false">HLOOKUP(P$14,Dec_Change,$K242)</f>
        <v>1.06966656277056</v>
      </c>
      <c r="Q242" s="1668" t="n">
        <f aca="false">Q241</f>
        <v>0</v>
      </c>
      <c r="R242" s="1675" t="n">
        <f aca="false">IF(AND($A242&gt;=R$16,MONTH($A242)=MONTH(R$16)),MAX(P242,Q242)*R241,R241)</f>
        <v>3.9328867884074</v>
      </c>
      <c r="T242" s="1667" t="n">
        <f aca="false">HLOOKUP(T$14,Dec_Change,$K242)</f>
        <v>1.02564056909022</v>
      </c>
      <c r="U242" s="1668" t="n">
        <f aca="false">U241</f>
        <v>1.005</v>
      </c>
      <c r="V242" s="1675" t="n">
        <f aca="false">IF(AND($A242&gt;=V$16,MONTH($A242)=MONTH(V$16)),MAX(T242,U242)*V241,V241)</f>
        <v>1.59733039824151</v>
      </c>
      <c r="X242" s="1667" t="n">
        <f aca="false">HLOOKUP(X$14,Dec_Change,$K242)</f>
        <v>1.02314056909022</v>
      </c>
      <c r="Y242" s="1668" t="n">
        <f aca="false">Y241</f>
        <v>1.02</v>
      </c>
      <c r="Z242" s="1675" t="n">
        <f aca="false">IF(AND($A242&gt;=Z$16,MONTH($A242)=MONTH(Z$16)),MAX(X242,Y242)*Z241,Z241)</f>
        <v>1.54102993095862</v>
      </c>
      <c r="AB242" s="1667" t="n">
        <f aca="false">HLOOKUP(AB$14,Dec_Change,$K242)</f>
        <v>1.02314056909022</v>
      </c>
      <c r="AC242" s="1668" t="n">
        <f aca="false">AC241</f>
        <v>1.02</v>
      </c>
      <c r="AD242" s="1675" t="n">
        <f aca="false">IF(AND($A242&gt;=AD$16,MONTH($A242)=MONTH(AD$16)),MAX(AB242,AC242)*AD241,AD241)</f>
        <v>1.54102993095862</v>
      </c>
      <c r="AF242" s="1667" t="n">
        <f aca="false">HLOOKUP(AF$14,Dec_Change,$K242)</f>
        <v>1.06966656277056</v>
      </c>
      <c r="AG242" s="1668" t="n">
        <f aca="false">AG241</f>
        <v>0</v>
      </c>
      <c r="AH242" s="1675" t="n">
        <f aca="false">IF(AND($A242&gt;=AH$16,MONTH($A242)=MONTH(AH$16)),MAX(AF242,AG242)*AH241,AH241)</f>
        <v>3.9328867884074</v>
      </c>
      <c r="AJ242" s="1667" t="n">
        <f aca="false">HLOOKUP(AJ$14,Dec_Change,$K242)</f>
        <v>1.02314056909022</v>
      </c>
      <c r="AK242" s="1668" t="n">
        <f aca="false">AK241</f>
        <v>1.02</v>
      </c>
      <c r="AL242" s="1675" t="n">
        <f aca="false">IF(AND($A242&gt;=AL$16,MONTH($A242)=MONTH(AL$16)),MAX(AJ242,AK242)*AL241,AL241)</f>
        <v>1.54102993095862</v>
      </c>
      <c r="AN242" s="1667" t="n">
        <f aca="false">HLOOKUP(AN$14,Dec_Change,$K242)</f>
        <v>1.02564056909022</v>
      </c>
      <c r="AO242" s="1668" t="n">
        <f aca="false">AO241</f>
        <v>1.005</v>
      </c>
      <c r="AP242" s="1675" t="n">
        <f aca="false">IF(AND($A242&gt;=AP$16,MONTH($A242)=MONTH(AP$16)),MAX(AN242,AO242)*AP241,AP241)</f>
        <v>1.59733039824151</v>
      </c>
      <c r="AR242" s="1670" t="n">
        <f aca="false">$A242</f>
        <v>42186</v>
      </c>
      <c r="AS242" s="1671" t="n">
        <f aca="false">IF(AND($A242&gt;=EDATE(AS$17,12),IF(Assm!$L$74=0,$D242,$E242)/AS241&gt;=1.05),IF(Assm!$L$74=0,$D242,$E242),AS241)</f>
        <v>2.77412681792376</v>
      </c>
      <c r="AT242" s="1671" t="n">
        <f aca="false">IF(AS242/AS241=1,AT241,AS242/AS241)</f>
        <v>1.05070990293319</v>
      </c>
      <c r="AU242" s="1671" t="n">
        <f aca="false">F242</f>
        <v>1.06966656277056</v>
      </c>
      <c r="AV242" s="1671" t="n">
        <f aca="false">MAX(AT242,AU242)</f>
        <v>1.06966656277056</v>
      </c>
      <c r="AW242" s="1675" t="n">
        <f aca="false">IF(AV242=AV241,AW241,AV242*AW241)</f>
        <v>3.68557182628163</v>
      </c>
    </row>
    <row r="243" customFormat="false" ht="12.75" hidden="false" customHeight="false" outlineLevel="0" collapsed="false">
      <c r="A243" s="1673" t="n">
        <f aca="false">EDATE(A242,1)</f>
        <v>42217</v>
      </c>
      <c r="B243" s="1659" t="n">
        <f aca="false">'[4]Monthly Curve Calc.'!B246</f>
        <v>562.211334219812</v>
      </c>
      <c r="C243" s="1660" t="n">
        <f aca="false">'[4]Monthly Curve Calc.'!C246</f>
        <v>258.08333857868</v>
      </c>
      <c r="D243" s="1661" t="n">
        <f aca="false">'[4]Monthly Curve Calc.'!F246</f>
        <v>2.91032090745594</v>
      </c>
      <c r="E243" s="1662" t="n">
        <f aca="false">IF($A243&lt;=E$16,D243,(B243/B242)/(C243/C242)*E242)</f>
        <v>2.65467107585339</v>
      </c>
      <c r="F243" s="1674" t="n">
        <f aca="false">IF(Assm!$L$75=0,F242,IF(AND($A243&gt;F$16,MONTH($A243)=MONTH(F$16)),B242/B230,F242))</f>
        <v>1.06966656277056</v>
      </c>
      <c r="G243" s="1668" t="n">
        <f aca="false">IF(Assm!$L$75=0,G242,IF(AND($A243&gt;G$16,MONTH($A243)=MONTH(G$16)),C242/C230,G242))</f>
        <v>1.02564056909022</v>
      </c>
      <c r="H243" s="1668" t="n">
        <f aca="false">IF(Assm!$L$75=0,H242,IF(AND($A243&gt;H$16,MONTH($A243)=MONTH(H$16)),C242/C230-H$18,H242))</f>
        <v>1.02314056909022</v>
      </c>
      <c r="I243" s="1668" t="n">
        <f aca="false">IF(Assm!$L$75=0,I242,IF($A243&gt;=I$16,IF(MONTH($A243)=MONTH(I$16),AVERAGE(D231:D242),I242),I242))</f>
        <v>2.84630677609597</v>
      </c>
      <c r="J243" s="1675" t="n">
        <f aca="false">IF(Assm!$L$75=0,J242,IF($A243&gt;=J$16,IF(MONTH($A243)=MONTH(J$16),AVERAGE(E231:E242),J242),J242))</f>
        <v>2.53323852524495</v>
      </c>
      <c r="K243" s="1624" t="n">
        <f aca="false">K242+1</f>
        <v>231</v>
      </c>
      <c r="L243" s="1667" t="n">
        <f aca="false">HLOOKUP(L$14,Dec_Change,$K243)</f>
        <v>1.02564056909022</v>
      </c>
      <c r="M243" s="1668" t="n">
        <f aca="false">M242</f>
        <v>0</v>
      </c>
      <c r="N243" s="1675" t="n">
        <f aca="false">IF(AND($A243&gt;=N$16,MONTH($A243)=MONTH(N$16)),MAX(L243,M243)*N242,N242)</f>
        <v>1.59733039824151</v>
      </c>
      <c r="P243" s="1667" t="n">
        <f aca="false">HLOOKUP(P$14,Dec_Change,$K243)</f>
        <v>1.06966656277056</v>
      </c>
      <c r="Q243" s="1668" t="n">
        <f aca="false">Q242</f>
        <v>0</v>
      </c>
      <c r="R243" s="1675" t="n">
        <f aca="false">IF(AND($A243&gt;=R$16,MONTH($A243)=MONTH(R$16)),MAX(P243,Q243)*R242,R242)</f>
        <v>3.9328867884074</v>
      </c>
      <c r="T243" s="1667" t="n">
        <f aca="false">HLOOKUP(T$14,Dec_Change,$K243)</f>
        <v>1.02564056909022</v>
      </c>
      <c r="U243" s="1668" t="n">
        <f aca="false">U242</f>
        <v>1.005</v>
      </c>
      <c r="V243" s="1675" t="n">
        <f aca="false">IF(AND($A243&gt;=V$16,MONTH($A243)=MONTH(V$16)),MAX(T243,U243)*V242,V242)</f>
        <v>1.59733039824151</v>
      </c>
      <c r="X243" s="1667" t="n">
        <f aca="false">HLOOKUP(X$14,Dec_Change,$K243)</f>
        <v>1.02314056909022</v>
      </c>
      <c r="Y243" s="1668" t="n">
        <f aca="false">Y242</f>
        <v>1.02</v>
      </c>
      <c r="Z243" s="1675" t="n">
        <f aca="false">IF(AND($A243&gt;=Z$16,MONTH($A243)=MONTH(Z$16)),MAX(X243,Y243)*Z242,Z242)</f>
        <v>1.54102993095862</v>
      </c>
      <c r="AB243" s="1667" t="n">
        <f aca="false">HLOOKUP(AB$14,Dec_Change,$K243)</f>
        <v>1.02314056909022</v>
      </c>
      <c r="AC243" s="1668" t="n">
        <f aca="false">AC242</f>
        <v>1.02</v>
      </c>
      <c r="AD243" s="1675" t="n">
        <f aca="false">IF(AND($A243&gt;=AD$16,MONTH($A243)=MONTH(AD$16)),MAX(AB243,AC243)*AD242,AD242)</f>
        <v>1.54102993095862</v>
      </c>
      <c r="AF243" s="1667" t="n">
        <f aca="false">HLOOKUP(AF$14,Dec_Change,$K243)</f>
        <v>1.06966656277056</v>
      </c>
      <c r="AG243" s="1668" t="n">
        <f aca="false">AG242</f>
        <v>0</v>
      </c>
      <c r="AH243" s="1675" t="n">
        <f aca="false">IF(AND($A243&gt;=AH$16,MONTH($A243)=MONTH(AH$16)),MAX(AF243,AG243)*AH242,AH242)</f>
        <v>3.9328867884074</v>
      </c>
      <c r="AJ243" s="1667" t="n">
        <f aca="false">HLOOKUP(AJ$14,Dec_Change,$K243)</f>
        <v>1.02314056909022</v>
      </c>
      <c r="AK243" s="1668" t="n">
        <f aca="false">AK242</f>
        <v>1.02</v>
      </c>
      <c r="AL243" s="1675" t="n">
        <f aca="false">IF(AND($A243&gt;=AL$16,MONTH($A243)=MONTH(AL$16)),MAX(AJ243,AK243)*AL242,AL242)</f>
        <v>1.54102993095862</v>
      </c>
      <c r="AN243" s="1667" t="n">
        <f aca="false">HLOOKUP(AN$14,Dec_Change,$K243)</f>
        <v>1.02564056909022</v>
      </c>
      <c r="AO243" s="1668" t="n">
        <f aca="false">AO242</f>
        <v>1.005</v>
      </c>
      <c r="AP243" s="1675" t="n">
        <f aca="false">IF(AND($A243&gt;=AP$16,MONTH($A243)=MONTH(AP$16)),MAX(AN243,AO243)*AP242,AP242)</f>
        <v>1.59733039824151</v>
      </c>
      <c r="AR243" s="1670" t="n">
        <f aca="false">$A243</f>
        <v>42217</v>
      </c>
      <c r="AS243" s="1671" t="n">
        <f aca="false">IF(AND($A243&gt;=EDATE(AS$17,12),IF(Assm!$L$74=0,$D243,$E243)/AS242&gt;=1.05),IF(Assm!$L$74=0,$D243,$E243),AS242)</f>
        <v>2.77412681792376</v>
      </c>
      <c r="AT243" s="1671" t="n">
        <f aca="false">IF(AS243/AS242=1,AT242,AS243/AS242)</f>
        <v>1.05070990293319</v>
      </c>
      <c r="AU243" s="1671" t="n">
        <f aca="false">F243</f>
        <v>1.06966656277056</v>
      </c>
      <c r="AV243" s="1671" t="n">
        <f aca="false">MAX(AT243,AU243)</f>
        <v>1.06966656277056</v>
      </c>
      <c r="AW243" s="1675" t="n">
        <f aca="false">IF(AV243=AV242,AW242,AV243*AW242)</f>
        <v>3.68557182628163</v>
      </c>
    </row>
    <row r="244" customFormat="false" ht="12.75" hidden="false" customHeight="false" outlineLevel="0" collapsed="false">
      <c r="A244" s="1673" t="n">
        <f aca="false">EDATE(A243,1)</f>
        <v>42248</v>
      </c>
      <c r="B244" s="1659" t="n">
        <f aca="false">'[4]Monthly Curve Calc.'!B247</f>
        <v>565.346106467498</v>
      </c>
      <c r="C244" s="1660" t="n">
        <f aca="false">'[4]Monthly Curve Calc.'!C247</f>
        <v>258.634015760092</v>
      </c>
      <c r="D244" s="1661" t="n">
        <f aca="false">'[4]Monthly Curve Calc.'!F247</f>
        <v>2.91512077880939</v>
      </c>
      <c r="E244" s="1662" t="n">
        <f aca="false">IF($A244&lt;=E$16,D244,(B244/B243)/(C244/C243)*E243)</f>
        <v>2.66378918773869</v>
      </c>
      <c r="F244" s="1674" t="n">
        <f aca="false">IF(Assm!$L$75=0,F243,IF(AND($A244&gt;F$16,MONTH($A244)=MONTH(F$16)),B243/B231,F243))</f>
        <v>1.06966656277056</v>
      </c>
      <c r="G244" s="1668" t="n">
        <f aca="false">IF(Assm!$L$75=0,G243,IF(AND($A244&gt;G$16,MONTH($A244)=MONTH(G$16)),C243/C231,G243))</f>
        <v>1.02564056909022</v>
      </c>
      <c r="H244" s="1668" t="n">
        <f aca="false">IF(Assm!$L$75=0,H243,IF(AND($A244&gt;H$16,MONTH($A244)=MONTH(H$16)),C243/C231-H$18,H243))</f>
        <v>1.02314056909022</v>
      </c>
      <c r="I244" s="1668" t="n">
        <f aca="false">IF(Assm!$L$75=0,I243,IF($A244&gt;=I$16,IF(MONTH($A244)=MONTH(I$16),AVERAGE(D232:D243),I243),I243))</f>
        <v>2.84630677609597</v>
      </c>
      <c r="J244" s="1675" t="n">
        <f aca="false">IF(Assm!$L$75=0,J243,IF($A244&gt;=J$16,IF(MONTH($A244)=MONTH(J$16),AVERAGE(E232:E243),J243),J243))</f>
        <v>2.53323852524495</v>
      </c>
      <c r="K244" s="1624" t="n">
        <f aca="false">K243+1</f>
        <v>232</v>
      </c>
      <c r="L244" s="1667" t="n">
        <f aca="false">HLOOKUP(L$14,Dec_Change,$K244)</f>
        <v>1.02564056909022</v>
      </c>
      <c r="M244" s="1668" t="n">
        <f aca="false">M243</f>
        <v>0</v>
      </c>
      <c r="N244" s="1675" t="n">
        <f aca="false">IF(AND($A244&gt;=N$16,MONTH($A244)=MONTH(N$16)),MAX(L244,M244)*N243,N243)</f>
        <v>1.59733039824151</v>
      </c>
      <c r="P244" s="1667" t="n">
        <f aca="false">HLOOKUP(P$14,Dec_Change,$K244)</f>
        <v>1.06966656277056</v>
      </c>
      <c r="Q244" s="1668" t="n">
        <f aca="false">Q243</f>
        <v>0</v>
      </c>
      <c r="R244" s="1675" t="n">
        <f aca="false">IF(AND($A244&gt;=R$16,MONTH($A244)=MONTH(R$16)),MAX(P244,Q244)*R243,R243)</f>
        <v>3.9328867884074</v>
      </c>
      <c r="T244" s="1667" t="n">
        <f aca="false">HLOOKUP(T$14,Dec_Change,$K244)</f>
        <v>1.02564056909022</v>
      </c>
      <c r="U244" s="1668" t="n">
        <f aca="false">U243</f>
        <v>1.005</v>
      </c>
      <c r="V244" s="1675" t="n">
        <f aca="false">IF(AND($A244&gt;=V$16,MONTH($A244)=MONTH(V$16)),MAX(T244,U244)*V243,V243)</f>
        <v>1.59733039824151</v>
      </c>
      <c r="X244" s="1667" t="n">
        <f aca="false">HLOOKUP(X$14,Dec_Change,$K244)</f>
        <v>1.02314056909022</v>
      </c>
      <c r="Y244" s="1668" t="n">
        <f aca="false">Y243</f>
        <v>1.02</v>
      </c>
      <c r="Z244" s="1675" t="n">
        <f aca="false">IF(AND($A244&gt;=Z$16,MONTH($A244)=MONTH(Z$16)),MAX(X244,Y244)*Z243,Z243)</f>
        <v>1.54102993095862</v>
      </c>
      <c r="AB244" s="1667" t="n">
        <f aca="false">HLOOKUP(AB$14,Dec_Change,$K244)</f>
        <v>1.02314056909022</v>
      </c>
      <c r="AC244" s="1668" t="n">
        <f aca="false">AC243</f>
        <v>1.02</v>
      </c>
      <c r="AD244" s="1675" t="n">
        <f aca="false">IF(AND($A244&gt;=AD$16,MONTH($A244)=MONTH(AD$16)),MAX(AB244,AC244)*AD243,AD243)</f>
        <v>1.54102993095862</v>
      </c>
      <c r="AF244" s="1667" t="n">
        <f aca="false">HLOOKUP(AF$14,Dec_Change,$K244)</f>
        <v>1.06966656277056</v>
      </c>
      <c r="AG244" s="1668" t="n">
        <f aca="false">AG243</f>
        <v>0</v>
      </c>
      <c r="AH244" s="1675" t="n">
        <f aca="false">IF(AND($A244&gt;=AH$16,MONTH($A244)=MONTH(AH$16)),MAX(AF244,AG244)*AH243,AH243)</f>
        <v>3.9328867884074</v>
      </c>
      <c r="AJ244" s="1667" t="n">
        <f aca="false">HLOOKUP(AJ$14,Dec_Change,$K244)</f>
        <v>1.02314056909022</v>
      </c>
      <c r="AK244" s="1668" t="n">
        <f aca="false">AK243</f>
        <v>1.02</v>
      </c>
      <c r="AL244" s="1675" t="n">
        <f aca="false">IF(AND($A244&gt;=AL$16,MONTH($A244)=MONTH(AL$16)),MAX(AJ244,AK244)*AL243,AL243)</f>
        <v>1.54102993095862</v>
      </c>
      <c r="AN244" s="1667" t="n">
        <f aca="false">HLOOKUP(AN$14,Dec_Change,$K244)</f>
        <v>1.02564056909022</v>
      </c>
      <c r="AO244" s="1668" t="n">
        <f aca="false">AO243</f>
        <v>1.005</v>
      </c>
      <c r="AP244" s="1675" t="n">
        <f aca="false">IF(AND($A244&gt;=AP$16,MONTH($A244)=MONTH(AP$16)),MAX(AN244,AO244)*AP243,AP243)</f>
        <v>1.59733039824151</v>
      </c>
      <c r="AR244" s="1670" t="n">
        <f aca="false">$A244</f>
        <v>42248</v>
      </c>
      <c r="AS244" s="1671" t="n">
        <f aca="false">IF(AND($A244&gt;=EDATE(AS$17,12),IF(Assm!$L$74=0,$D244,$E244)/AS243&gt;=1.05),IF(Assm!$L$74=0,$D244,$E244),AS243)</f>
        <v>2.91512077880939</v>
      </c>
      <c r="AT244" s="1671" t="n">
        <f aca="false">IF(AS244/AS243=1,AT243,AS244/AS243)</f>
        <v>1.05082462704108</v>
      </c>
      <c r="AU244" s="1671" t="n">
        <f aca="false">F244</f>
        <v>1.06966656277056</v>
      </c>
      <c r="AV244" s="1671" t="n">
        <f aca="false">MAX(AT244,AU244)</f>
        <v>1.06966656277056</v>
      </c>
      <c r="AW244" s="1675" t="n">
        <f aca="false">IF(AV244=AV243,AW243,AV244*AW243)</f>
        <v>3.68557182628163</v>
      </c>
    </row>
    <row r="245" customFormat="false" ht="12.75" hidden="false" customHeight="false" outlineLevel="0" collapsed="false">
      <c r="A245" s="1673" t="n">
        <f aca="false">EDATE(A244,1)</f>
        <v>42278</v>
      </c>
      <c r="B245" s="1659" t="n">
        <f aca="false">'[4]Monthly Curve Calc.'!B248</f>
        <v>568.498357546447</v>
      </c>
      <c r="C245" s="1660" t="n">
        <f aca="false">'[4]Monthly Curve Calc.'!C248</f>
        <v>259.185867931567</v>
      </c>
      <c r="D245" s="1661" t="n">
        <f aca="false">'[4]Monthly Curve Calc.'!F248</f>
        <v>2.91992856639125</v>
      </c>
      <c r="E245" s="1662" t="n">
        <f aca="false">IF($A245&lt;=E$16,D245,(B245/B244)/(C245/C244)*E244)</f>
        <v>2.6729386179915</v>
      </c>
      <c r="F245" s="1674" t="n">
        <f aca="false">IF(Assm!$L$75=0,F244,IF(AND($A245&gt;F$16,MONTH($A245)=MONTH(F$16)),B244/B232,F244))</f>
        <v>1.06966656277056</v>
      </c>
      <c r="G245" s="1668" t="n">
        <f aca="false">IF(Assm!$L$75=0,G244,IF(AND($A245&gt;G$16,MONTH($A245)=MONTH(G$16)),C244/C232,G244))</f>
        <v>1.02564056909022</v>
      </c>
      <c r="H245" s="1668" t="n">
        <f aca="false">IF(Assm!$L$75=0,H244,IF(AND($A245&gt;H$16,MONTH($A245)=MONTH(H$16)),C244/C232-H$18,H244))</f>
        <v>1.02314056909022</v>
      </c>
      <c r="I245" s="1668" t="n">
        <f aca="false">IF(Assm!$L$75=0,I244,IF($A245&gt;=I$16,IF(MONTH($A245)=MONTH(I$16),AVERAGE(D233:D244),I244),I244))</f>
        <v>2.84630677609597</v>
      </c>
      <c r="J245" s="1675" t="n">
        <f aca="false">IF(Assm!$L$75=0,J244,IF($A245&gt;=J$16,IF(MONTH($A245)=MONTH(J$16),AVERAGE(E233:E244),J244),J244))</f>
        <v>2.53323852524495</v>
      </c>
      <c r="K245" s="1624" t="n">
        <f aca="false">K244+1</f>
        <v>233</v>
      </c>
      <c r="L245" s="1667" t="n">
        <f aca="false">HLOOKUP(L$14,Dec_Change,$K245)</f>
        <v>1.02564056909022</v>
      </c>
      <c r="M245" s="1668" t="n">
        <f aca="false">M244</f>
        <v>0</v>
      </c>
      <c r="N245" s="1675" t="n">
        <f aca="false">IF(AND($A245&gt;=N$16,MONTH($A245)=MONTH(N$16)),MAX(L245,M245)*N244,N244)</f>
        <v>1.59733039824151</v>
      </c>
      <c r="P245" s="1667" t="n">
        <f aca="false">HLOOKUP(P$14,Dec_Change,$K245)</f>
        <v>1.06966656277056</v>
      </c>
      <c r="Q245" s="1668" t="n">
        <f aca="false">Q244</f>
        <v>0</v>
      </c>
      <c r="R245" s="1675" t="n">
        <f aca="false">IF(AND($A245&gt;=R$16,MONTH($A245)=MONTH(R$16)),MAX(P245,Q245)*R244,R244)</f>
        <v>3.9328867884074</v>
      </c>
      <c r="T245" s="1667" t="n">
        <f aca="false">HLOOKUP(T$14,Dec_Change,$K245)</f>
        <v>1.02564056909022</v>
      </c>
      <c r="U245" s="1668" t="n">
        <f aca="false">U244</f>
        <v>1.005</v>
      </c>
      <c r="V245" s="1675" t="n">
        <f aca="false">IF(AND($A245&gt;=V$16,MONTH($A245)=MONTH(V$16)),MAX(T245,U245)*V244,V244)</f>
        <v>1.59733039824151</v>
      </c>
      <c r="X245" s="1667" t="n">
        <f aca="false">HLOOKUP(X$14,Dec_Change,$K245)</f>
        <v>1.02314056909022</v>
      </c>
      <c r="Y245" s="1668" t="n">
        <f aca="false">Y244</f>
        <v>1.02</v>
      </c>
      <c r="Z245" s="1675" t="n">
        <f aca="false">IF(AND($A245&gt;=Z$16,MONTH($A245)=MONTH(Z$16)),MAX(X245,Y245)*Z244,Z244)</f>
        <v>1.54102993095862</v>
      </c>
      <c r="AB245" s="1667" t="n">
        <f aca="false">HLOOKUP(AB$14,Dec_Change,$K245)</f>
        <v>1.02314056909022</v>
      </c>
      <c r="AC245" s="1668" t="n">
        <f aca="false">AC244</f>
        <v>1.02</v>
      </c>
      <c r="AD245" s="1675" t="n">
        <f aca="false">IF(AND($A245&gt;=AD$16,MONTH($A245)=MONTH(AD$16)),MAX(AB245,AC245)*AD244,AD244)</f>
        <v>1.54102993095862</v>
      </c>
      <c r="AF245" s="1667" t="n">
        <f aca="false">HLOOKUP(AF$14,Dec_Change,$K245)</f>
        <v>1.06966656277056</v>
      </c>
      <c r="AG245" s="1668" t="n">
        <f aca="false">AG244</f>
        <v>0</v>
      </c>
      <c r="AH245" s="1675" t="n">
        <f aca="false">IF(AND($A245&gt;=AH$16,MONTH($A245)=MONTH(AH$16)),MAX(AF245,AG245)*AH244,AH244)</f>
        <v>3.9328867884074</v>
      </c>
      <c r="AJ245" s="1667" t="n">
        <f aca="false">HLOOKUP(AJ$14,Dec_Change,$K245)</f>
        <v>1.02314056909022</v>
      </c>
      <c r="AK245" s="1668" t="n">
        <f aca="false">AK244</f>
        <v>1.02</v>
      </c>
      <c r="AL245" s="1675" t="n">
        <f aca="false">IF(AND($A245&gt;=AL$16,MONTH($A245)=MONTH(AL$16)),MAX(AJ245,AK245)*AL244,AL244)</f>
        <v>1.54102993095862</v>
      </c>
      <c r="AN245" s="1667" t="n">
        <f aca="false">HLOOKUP(AN$14,Dec_Change,$K245)</f>
        <v>1.02564056909022</v>
      </c>
      <c r="AO245" s="1668" t="n">
        <f aca="false">AO244</f>
        <v>1.005</v>
      </c>
      <c r="AP245" s="1675" t="n">
        <f aca="false">IF(AND($A245&gt;=AP$16,MONTH($A245)=MONTH(AP$16)),MAX(AN245,AO245)*AP244,AP244)</f>
        <v>1.59733039824151</v>
      </c>
      <c r="AR245" s="1670" t="n">
        <f aca="false">$A245</f>
        <v>42278</v>
      </c>
      <c r="AS245" s="1671" t="n">
        <f aca="false">IF(AND($A245&gt;=EDATE(AS$17,12),IF(Assm!$L$74=0,$D245,$E245)/AS244&gt;=1.05),IF(Assm!$L$74=0,$D245,$E245),AS244)</f>
        <v>2.91512077880939</v>
      </c>
      <c r="AT245" s="1671" t="n">
        <f aca="false">IF(AS245/AS244=1,AT244,AS245/AS244)</f>
        <v>1.05082462704108</v>
      </c>
      <c r="AU245" s="1671" t="n">
        <f aca="false">F245</f>
        <v>1.06966656277056</v>
      </c>
      <c r="AV245" s="1671" t="n">
        <f aca="false">MAX(AT245,AU245)</f>
        <v>1.06966656277056</v>
      </c>
      <c r="AW245" s="1675" t="n">
        <f aca="false">IF(AV245=AV244,AW244,AV245*AW244)</f>
        <v>3.68557182628163</v>
      </c>
    </row>
    <row r="246" customFormat="false" ht="12.75" hidden="false" customHeight="false" outlineLevel="0" collapsed="false">
      <c r="A246" s="1673" t="n">
        <f aca="false">EDATE(A245,1)</f>
        <v>42309</v>
      </c>
      <c r="B246" s="1659" t="n">
        <f aca="false">'[4]Monthly Curve Calc.'!B249</f>
        <v>571.668184914949</v>
      </c>
      <c r="C246" s="1660" t="n">
        <f aca="false">'[4]Monthly Curve Calc.'!C249</f>
        <v>259.738897600203</v>
      </c>
      <c r="D246" s="1661" t="n">
        <f aca="false">'[4]Monthly Curve Calc.'!F249</f>
        <v>2.9247442832574</v>
      </c>
      <c r="E246" s="1662" t="n">
        <f aca="false">IF($A246&lt;=E$16,D246,(B246/B245)/(C246/C245)*E245)</f>
        <v>2.68211947418234</v>
      </c>
      <c r="F246" s="1674" t="n">
        <f aca="false">IF(Assm!$L$75=0,F245,IF(AND($A246&gt;F$16,MONTH($A246)=MONTH(F$16)),B245/B233,F245))</f>
        <v>1.06966656277056</v>
      </c>
      <c r="G246" s="1668" t="n">
        <f aca="false">IF(Assm!$L$75=0,G245,IF(AND($A246&gt;G$16,MONTH($A246)=MONTH(G$16)),C245/C233,G245))</f>
        <v>1.02564056909022</v>
      </c>
      <c r="H246" s="1668" t="n">
        <f aca="false">IF(Assm!$L$75=0,H245,IF(AND($A246&gt;H$16,MONTH($A246)=MONTH(H$16)),C245/C233-H$18,H245))</f>
        <v>1.02314056909022</v>
      </c>
      <c r="I246" s="1668" t="n">
        <f aca="false">IF(Assm!$L$75=0,I245,IF($A246&gt;=I$16,IF(MONTH($A246)=MONTH(I$16),AVERAGE(D234:D245),I245),I245))</f>
        <v>2.84630677609597</v>
      </c>
      <c r="J246" s="1675" t="n">
        <f aca="false">IF(Assm!$L$75=0,J245,IF($A246&gt;=J$16,IF(MONTH($A246)=MONTH(J$16),AVERAGE(E234:E245),J245),J245))</f>
        <v>2.53323852524495</v>
      </c>
      <c r="K246" s="1624" t="n">
        <f aca="false">K245+1</f>
        <v>234</v>
      </c>
      <c r="L246" s="1667" t="n">
        <f aca="false">HLOOKUP(L$14,Dec_Change,$K246)</f>
        <v>1.02564056909022</v>
      </c>
      <c r="M246" s="1668" t="n">
        <f aca="false">M245</f>
        <v>0</v>
      </c>
      <c r="N246" s="1675" t="n">
        <f aca="false">IF(AND($A246&gt;=N$16,MONTH($A246)=MONTH(N$16)),MAX(L246,M246)*N245,N245)</f>
        <v>1.59733039824151</v>
      </c>
      <c r="P246" s="1667" t="n">
        <f aca="false">HLOOKUP(P$14,Dec_Change,$K246)</f>
        <v>1.06966656277056</v>
      </c>
      <c r="Q246" s="1668" t="n">
        <f aca="false">Q245</f>
        <v>0</v>
      </c>
      <c r="R246" s="1675" t="n">
        <f aca="false">IF(AND($A246&gt;=R$16,MONTH($A246)=MONTH(R$16)),MAX(P246,Q246)*R245,R245)</f>
        <v>3.9328867884074</v>
      </c>
      <c r="T246" s="1667" t="n">
        <f aca="false">HLOOKUP(T$14,Dec_Change,$K246)</f>
        <v>1.02564056909022</v>
      </c>
      <c r="U246" s="1668" t="n">
        <f aca="false">U245</f>
        <v>1.005</v>
      </c>
      <c r="V246" s="1675" t="n">
        <f aca="false">IF(AND($A246&gt;=V$16,MONTH($A246)=MONTH(V$16)),MAX(T246,U246)*V245,V245)</f>
        <v>1.59733039824151</v>
      </c>
      <c r="X246" s="1667" t="n">
        <f aca="false">HLOOKUP(X$14,Dec_Change,$K246)</f>
        <v>1.02314056909022</v>
      </c>
      <c r="Y246" s="1668" t="n">
        <f aca="false">Y245</f>
        <v>1.02</v>
      </c>
      <c r="Z246" s="1675" t="n">
        <f aca="false">IF(AND($A246&gt;=Z$16,MONTH($A246)=MONTH(Z$16)),MAX(X246,Y246)*Z245,Z245)</f>
        <v>1.54102993095862</v>
      </c>
      <c r="AB246" s="1667" t="n">
        <f aca="false">HLOOKUP(AB$14,Dec_Change,$K246)</f>
        <v>1.02314056909022</v>
      </c>
      <c r="AC246" s="1668" t="n">
        <f aca="false">AC245</f>
        <v>1.02</v>
      </c>
      <c r="AD246" s="1675" t="n">
        <f aca="false">IF(AND($A246&gt;=AD$16,MONTH($A246)=MONTH(AD$16)),MAX(AB246,AC246)*AD245,AD245)</f>
        <v>1.54102993095862</v>
      </c>
      <c r="AF246" s="1667" t="n">
        <f aca="false">HLOOKUP(AF$14,Dec_Change,$K246)</f>
        <v>1.06966656277056</v>
      </c>
      <c r="AG246" s="1668" t="n">
        <f aca="false">AG245</f>
        <v>0</v>
      </c>
      <c r="AH246" s="1675" t="n">
        <f aca="false">IF(AND($A246&gt;=AH$16,MONTH($A246)=MONTH(AH$16)),MAX(AF246,AG246)*AH245,AH245)</f>
        <v>3.9328867884074</v>
      </c>
      <c r="AJ246" s="1667" t="n">
        <f aca="false">HLOOKUP(AJ$14,Dec_Change,$K246)</f>
        <v>1.02314056909022</v>
      </c>
      <c r="AK246" s="1668" t="n">
        <f aca="false">AK245</f>
        <v>1.02</v>
      </c>
      <c r="AL246" s="1675" t="n">
        <f aca="false">IF(AND($A246&gt;=AL$16,MONTH($A246)=MONTH(AL$16)),MAX(AJ246,AK246)*AL245,AL245)</f>
        <v>1.54102993095862</v>
      </c>
      <c r="AN246" s="1667" t="n">
        <f aca="false">HLOOKUP(AN$14,Dec_Change,$K246)</f>
        <v>1.02564056909022</v>
      </c>
      <c r="AO246" s="1668" t="n">
        <f aca="false">AO245</f>
        <v>1.005</v>
      </c>
      <c r="AP246" s="1675" t="n">
        <f aca="false">IF(AND($A246&gt;=AP$16,MONTH($A246)=MONTH(AP$16)),MAX(AN246,AO246)*AP245,AP245)</f>
        <v>1.59733039824151</v>
      </c>
      <c r="AR246" s="1670" t="n">
        <f aca="false">$A246</f>
        <v>42309</v>
      </c>
      <c r="AS246" s="1671" t="n">
        <f aca="false">IF(AND($A246&gt;=EDATE(AS$17,12),IF(Assm!$L$74=0,$D246,$E246)/AS245&gt;=1.05),IF(Assm!$L$74=0,$D246,$E246),AS245)</f>
        <v>2.91512077880939</v>
      </c>
      <c r="AT246" s="1671" t="n">
        <f aca="false">IF(AS246/AS245=1,AT245,AS246/AS245)</f>
        <v>1.05082462704108</v>
      </c>
      <c r="AU246" s="1671" t="n">
        <f aca="false">F246</f>
        <v>1.06966656277056</v>
      </c>
      <c r="AV246" s="1671" t="n">
        <f aca="false">MAX(AT246,AU246)</f>
        <v>1.06966656277056</v>
      </c>
      <c r="AW246" s="1675" t="n">
        <f aca="false">IF(AV246=AV245,AW245,AV246*AW245)</f>
        <v>3.68557182628163</v>
      </c>
    </row>
    <row r="247" customFormat="false" ht="12.75" hidden="false" customHeight="false" outlineLevel="0" collapsed="false">
      <c r="A247" s="1673" t="n">
        <f aca="false">EDATE(A246,1)</f>
        <v>42339</v>
      </c>
      <c r="B247" s="1659" t="n">
        <f aca="false">'[4]Monthly Curve Calc.'!B250</f>
        <v>574.8556865747</v>
      </c>
      <c r="C247" s="1660" t="n">
        <f aca="false">'[4]Monthly Curve Calc.'!C250</f>
        <v>260.293107278446</v>
      </c>
      <c r="D247" s="1661" t="n">
        <f aca="false">'[4]Monthly Curve Calc.'!F250</f>
        <v>2.9295679424853</v>
      </c>
      <c r="E247" s="1662" t="n">
        <f aca="false">IF($A247&lt;=E$16,D247,(B247/B246)/(C247/C246)*E246)</f>
        <v>2.69133186425122</v>
      </c>
      <c r="F247" s="1674" t="n">
        <f aca="false">IF(Assm!$L$75=0,F246,IF(AND($A247&gt;F$16,MONTH($A247)=MONTH(F$16)),B246/B234,F246))</f>
        <v>1.06966656277056</v>
      </c>
      <c r="G247" s="1668" t="n">
        <f aca="false">IF(Assm!$L$75=0,G246,IF(AND($A247&gt;G$16,MONTH($A247)=MONTH(G$16)),C246/C234,G246))</f>
        <v>1.02564056909022</v>
      </c>
      <c r="H247" s="1668" t="n">
        <f aca="false">IF(Assm!$L$75=0,H246,IF(AND($A247&gt;H$16,MONTH($A247)=MONTH(H$16)),C246/C234-H$18,H246))</f>
        <v>1.02314056909022</v>
      </c>
      <c r="I247" s="1668" t="n">
        <f aca="false">IF(Assm!$L$75=0,I246,IF($A247&gt;=I$16,IF(MONTH($A247)=MONTH(I$16),AVERAGE(D235:D246),I246),I246))</f>
        <v>2.84630677609597</v>
      </c>
      <c r="J247" s="1675" t="n">
        <f aca="false">IF(Assm!$L$75=0,J246,IF($A247&gt;=J$16,IF(MONTH($A247)=MONTH(J$16),AVERAGE(E235:E246),J246),J246))</f>
        <v>2.53323852524495</v>
      </c>
      <c r="K247" s="1624" t="n">
        <f aca="false">K246+1</f>
        <v>235</v>
      </c>
      <c r="L247" s="1667" t="n">
        <f aca="false">HLOOKUP(L$14,Dec_Change,$K247)</f>
        <v>1.02564056909022</v>
      </c>
      <c r="M247" s="1668" t="n">
        <f aca="false">M246</f>
        <v>0</v>
      </c>
      <c r="N247" s="1675" t="n">
        <f aca="false">IF(AND($A247&gt;=N$16,MONTH($A247)=MONTH(N$16)),MAX(L247,M247)*N246,N246)</f>
        <v>1.59733039824151</v>
      </c>
      <c r="P247" s="1667" t="n">
        <f aca="false">HLOOKUP(P$14,Dec_Change,$K247)</f>
        <v>1.06966656277056</v>
      </c>
      <c r="Q247" s="1668" t="n">
        <f aca="false">Q246</f>
        <v>0</v>
      </c>
      <c r="R247" s="1675" t="n">
        <f aca="false">IF(AND($A247&gt;=R$16,MONTH($A247)=MONTH(R$16)),MAX(P247,Q247)*R246,R246)</f>
        <v>3.9328867884074</v>
      </c>
      <c r="T247" s="1667" t="n">
        <f aca="false">HLOOKUP(T$14,Dec_Change,$K247)</f>
        <v>1.02564056909022</v>
      </c>
      <c r="U247" s="1668" t="n">
        <f aca="false">U246</f>
        <v>1.005</v>
      </c>
      <c r="V247" s="1675" t="n">
        <f aca="false">IF(AND($A247&gt;=V$16,MONTH($A247)=MONTH(V$16)),MAX(T247,U247)*V246,V246)</f>
        <v>1.59733039824151</v>
      </c>
      <c r="X247" s="1667" t="n">
        <f aca="false">HLOOKUP(X$14,Dec_Change,$K247)</f>
        <v>1.02314056909022</v>
      </c>
      <c r="Y247" s="1668" t="n">
        <f aca="false">Y246</f>
        <v>1.02</v>
      </c>
      <c r="Z247" s="1675" t="n">
        <f aca="false">IF(AND($A247&gt;=Z$16,MONTH($A247)=MONTH(Z$16)),MAX(X247,Y247)*Z246,Z246)</f>
        <v>1.54102993095862</v>
      </c>
      <c r="AB247" s="1667" t="n">
        <f aca="false">HLOOKUP(AB$14,Dec_Change,$K247)</f>
        <v>1.02314056909022</v>
      </c>
      <c r="AC247" s="1668" t="n">
        <f aca="false">AC246</f>
        <v>1.02</v>
      </c>
      <c r="AD247" s="1675" t="n">
        <f aca="false">IF(AND($A247&gt;=AD$16,MONTH($A247)=MONTH(AD$16)),MAX(AB247,AC247)*AD246,AD246)</f>
        <v>1.54102993095862</v>
      </c>
      <c r="AF247" s="1667" t="n">
        <f aca="false">HLOOKUP(AF$14,Dec_Change,$K247)</f>
        <v>1.06966656277056</v>
      </c>
      <c r="AG247" s="1668" t="n">
        <f aca="false">AG246</f>
        <v>0</v>
      </c>
      <c r="AH247" s="1675" t="n">
        <f aca="false">IF(AND($A247&gt;=AH$16,MONTH($A247)=MONTH(AH$16)),MAX(AF247,AG247)*AH246,AH246)</f>
        <v>3.9328867884074</v>
      </c>
      <c r="AJ247" s="1667" t="n">
        <f aca="false">HLOOKUP(AJ$14,Dec_Change,$K247)</f>
        <v>1.02314056909022</v>
      </c>
      <c r="AK247" s="1668" t="n">
        <f aca="false">AK246</f>
        <v>1.02</v>
      </c>
      <c r="AL247" s="1675" t="n">
        <f aca="false">IF(AND($A247&gt;=AL$16,MONTH($A247)=MONTH(AL$16)),MAX(AJ247,AK247)*AL246,AL246)</f>
        <v>1.54102993095862</v>
      </c>
      <c r="AN247" s="1667" t="n">
        <f aca="false">HLOOKUP(AN$14,Dec_Change,$K247)</f>
        <v>1.02564056909022</v>
      </c>
      <c r="AO247" s="1668" t="n">
        <f aca="false">AO246</f>
        <v>1.005</v>
      </c>
      <c r="AP247" s="1675" t="n">
        <f aca="false">IF(AND($A247&gt;=AP$16,MONTH($A247)=MONTH(AP$16)),MAX(AN247,AO247)*AP246,AP246)</f>
        <v>1.59733039824151</v>
      </c>
      <c r="AR247" s="1670" t="n">
        <f aca="false">$A247</f>
        <v>42339</v>
      </c>
      <c r="AS247" s="1671" t="n">
        <f aca="false">IF(AND($A247&gt;=EDATE(AS$17,12),IF(Assm!$L$74=0,$D247,$E247)/AS246&gt;=1.05),IF(Assm!$L$74=0,$D247,$E247),AS246)</f>
        <v>2.91512077880939</v>
      </c>
      <c r="AT247" s="1671" t="n">
        <f aca="false">IF(AS247/AS246=1,AT246,AS247/AS246)</f>
        <v>1.05082462704108</v>
      </c>
      <c r="AU247" s="1671" t="n">
        <f aca="false">F247</f>
        <v>1.06966656277056</v>
      </c>
      <c r="AV247" s="1671" t="n">
        <f aca="false">MAX(AT247,AU247)</f>
        <v>1.06966656277056</v>
      </c>
      <c r="AW247" s="1675" t="n">
        <f aca="false">IF(AV247=AV246,AW246,AV247*AW246)</f>
        <v>3.68557182628163</v>
      </c>
    </row>
    <row r="248" customFormat="false" ht="12.75" hidden="false" customHeight="false" outlineLevel="0" collapsed="false">
      <c r="A248" s="1673" t="n">
        <f aca="false">EDATE(A247,1)</f>
        <v>42370</v>
      </c>
      <c r="B248" s="1659" t="n">
        <f aca="false">'[4]Monthly Curve Calc.'!B251</f>
        <v>578.060961073834</v>
      </c>
      <c r="C248" s="1660" t="n">
        <f aca="false">'[4]Monthly Curve Calc.'!C251</f>
        <v>260.859267560075</v>
      </c>
      <c r="D248" s="1661" t="n">
        <f aca="false">'[4]Monthly Curve Calc.'!F251</f>
        <v>2.9344084151188</v>
      </c>
      <c r="E248" s="1662" t="n">
        <f aca="false">IF($A248&lt;=E$16,D248,(B248/B247)/(C248/C247)*E247)</f>
        <v>2.70046441875047</v>
      </c>
      <c r="F248" s="1674" t="n">
        <f aca="false">IF(Assm!$L$75=0,F247,IF(AND($A248&gt;F$16,MONTH($A248)=MONTH(F$16)),B247/B235,F247))</f>
        <v>1.06966656277056</v>
      </c>
      <c r="G248" s="1668" t="n">
        <f aca="false">IF(Assm!$L$75=0,G247,IF(AND($A248&gt;G$16,MONTH($A248)=MONTH(G$16)),C247/C235,G247))</f>
        <v>1.02564056909022</v>
      </c>
      <c r="H248" s="1668" t="n">
        <f aca="false">IF(Assm!$L$75=0,H247,IF(AND($A248&gt;H$16,MONTH($A248)=MONTH(H$16)),C247/C235-H$18,H247))</f>
        <v>1.02314056909022</v>
      </c>
      <c r="I248" s="1668" t="n">
        <f aca="false">IF(Assm!$L$75=0,I247,IF($A248&gt;=I$16,IF(MONTH($A248)=MONTH(I$16),AVERAGE(D236:D247),I247),I247))</f>
        <v>2.9031828886712</v>
      </c>
      <c r="J248" s="1675" t="n">
        <f aca="false">IF(Assm!$L$75=0,J247,IF($A248&gt;=J$16,IF(MONTH($A248)=MONTH(J$16),AVERAGE(E236:E247),J247),J247))</f>
        <v>2.64123741173285</v>
      </c>
      <c r="K248" s="1624" t="n">
        <f aca="false">K247+1</f>
        <v>236</v>
      </c>
      <c r="L248" s="1667" t="n">
        <f aca="false">HLOOKUP(L$14,Dec_Change,$K248)</f>
        <v>1.02564056909022</v>
      </c>
      <c r="M248" s="1668" t="n">
        <f aca="false">M247</f>
        <v>0</v>
      </c>
      <c r="N248" s="1675" t="n">
        <f aca="false">IF(AND($A248&gt;=N$16,MONTH($A248)=MONTH(N$16)),MAX(L248,M248)*N247,N247)</f>
        <v>1.59733039824151</v>
      </c>
      <c r="P248" s="1667" t="n">
        <f aca="false">HLOOKUP(P$14,Dec_Change,$K248)</f>
        <v>1.06966656277056</v>
      </c>
      <c r="Q248" s="1668" t="n">
        <f aca="false">Q247</f>
        <v>0</v>
      </c>
      <c r="R248" s="1675" t="n">
        <f aca="false">IF(AND($A248&gt;=R$16,MONTH($A248)=MONTH(R$16)),MAX(P248,Q248)*R247,R247)</f>
        <v>3.9328867884074</v>
      </c>
      <c r="T248" s="1667" t="n">
        <f aca="false">HLOOKUP(T$14,Dec_Change,$K248)</f>
        <v>1.02564056909022</v>
      </c>
      <c r="U248" s="1668" t="n">
        <f aca="false">U247</f>
        <v>1.005</v>
      </c>
      <c r="V248" s="1675" t="n">
        <f aca="false">IF(AND($A248&gt;=V$16,MONTH($A248)=MONTH(V$16)),MAX(T248,U248)*V247,V247)</f>
        <v>1.59733039824151</v>
      </c>
      <c r="X248" s="1667" t="n">
        <f aca="false">HLOOKUP(X$14,Dec_Change,$K248)</f>
        <v>1.02314056909022</v>
      </c>
      <c r="Y248" s="1668" t="n">
        <f aca="false">Y247</f>
        <v>1.02</v>
      </c>
      <c r="Z248" s="1675" t="n">
        <f aca="false">IF(AND($A248&gt;=Z$16,MONTH($A248)=MONTH(Z$16)),MAX(X248,Y248)*Z247,Z247)</f>
        <v>1.54102993095862</v>
      </c>
      <c r="AB248" s="1667" t="n">
        <f aca="false">HLOOKUP(AB$14,Dec_Change,$K248)</f>
        <v>1.02314056909022</v>
      </c>
      <c r="AC248" s="1668" t="n">
        <f aca="false">AC247</f>
        <v>1.02</v>
      </c>
      <c r="AD248" s="1675" t="n">
        <f aca="false">IF(AND($A248&gt;=AD$16,MONTH($A248)=MONTH(AD$16)),MAX(AB248,AC248)*AD247,AD247)</f>
        <v>1.54102993095862</v>
      </c>
      <c r="AF248" s="1667" t="n">
        <f aca="false">HLOOKUP(AF$14,Dec_Change,$K248)</f>
        <v>1.06966656277056</v>
      </c>
      <c r="AG248" s="1668" t="n">
        <f aca="false">AG247</f>
        <v>0</v>
      </c>
      <c r="AH248" s="1675" t="n">
        <f aca="false">IF(AND($A248&gt;=AH$16,MONTH($A248)=MONTH(AH$16)),MAX(AF248,AG248)*AH247,AH247)</f>
        <v>3.9328867884074</v>
      </c>
      <c r="AJ248" s="1667" t="n">
        <f aca="false">HLOOKUP(AJ$14,Dec_Change,$K248)</f>
        <v>1.02314056909022</v>
      </c>
      <c r="AK248" s="1668" t="n">
        <f aca="false">AK247</f>
        <v>1.02</v>
      </c>
      <c r="AL248" s="1675" t="n">
        <f aca="false">IF(AND($A248&gt;=AL$16,MONTH($A248)=MONTH(AL$16)),MAX(AJ248,AK248)*AL247,AL247)</f>
        <v>1.54102993095862</v>
      </c>
      <c r="AN248" s="1667" t="n">
        <f aca="false">HLOOKUP(AN$14,Dec_Change,$K248)</f>
        <v>1.02564056909022</v>
      </c>
      <c r="AO248" s="1668" t="n">
        <f aca="false">AO247</f>
        <v>1.005</v>
      </c>
      <c r="AP248" s="1675" t="n">
        <f aca="false">IF(AND($A248&gt;=AP$16,MONTH($A248)=MONTH(AP$16)),MAX(AN248,AO248)*AP247,AP247)</f>
        <v>1.59733039824151</v>
      </c>
      <c r="AR248" s="1670" t="n">
        <f aca="false">$A248</f>
        <v>42370</v>
      </c>
      <c r="AS248" s="1671" t="n">
        <f aca="false">IF(AND($A248&gt;=EDATE(AS$17,12),IF(Assm!$L$74=0,$D248,$E248)/AS247&gt;=1.05),IF(Assm!$L$74=0,$D248,$E248),AS247)</f>
        <v>2.91512077880939</v>
      </c>
      <c r="AT248" s="1671" t="n">
        <f aca="false">IF(AS248/AS247=1,AT247,AS248/AS247)</f>
        <v>1.05082462704108</v>
      </c>
      <c r="AU248" s="1671" t="n">
        <f aca="false">F248</f>
        <v>1.06966656277056</v>
      </c>
      <c r="AV248" s="1671" t="n">
        <f aca="false">MAX(AT248,AU248)</f>
        <v>1.06966656277056</v>
      </c>
      <c r="AW248" s="1675" t="n">
        <f aca="false">IF(AV248=AV247,AW247,AV248*AW247)</f>
        <v>3.68557182628163</v>
      </c>
    </row>
    <row r="249" customFormat="false" ht="12.75" hidden="false" customHeight="false" outlineLevel="0" collapsed="false">
      <c r="A249" s="1673" t="n">
        <f aca="false">EDATE(A248,1)</f>
        <v>42401</v>
      </c>
      <c r="B249" s="1659" t="n">
        <f aca="false">'[4]Monthly Curve Calc.'!B252</f>
        <v>581.284107509969</v>
      </c>
      <c r="C249" s="1660" t="n">
        <f aca="false">'[4]Monthly Curve Calc.'!C252</f>
        <v>261.426659289851</v>
      </c>
      <c r="D249" s="1661" t="n">
        <f aca="false">'[4]Monthly Curve Calc.'!F252</f>
        <v>2.93925688557853</v>
      </c>
      <c r="E249" s="1662" t="n">
        <f aca="false">IF($A249&lt;=E$16,D249,(B249/B248)/(C249/C248)*E248)</f>
        <v>2.709627962944</v>
      </c>
      <c r="F249" s="1674" t="n">
        <f aca="false">IF(Assm!$L$75=0,F248,IF(AND($A249&gt;F$16,MONTH($A249)=MONTH(F$16)),B248/B236,F248))</f>
        <v>1.06966656277056</v>
      </c>
      <c r="G249" s="1668" t="n">
        <f aca="false">IF(Assm!$L$75=0,G248,IF(AND($A249&gt;G$16,MONTH($A249)=MONTH(G$16)),C248/C236,G248))</f>
        <v>1.02564056909022</v>
      </c>
      <c r="H249" s="1668" t="n">
        <f aca="false">IF(Assm!$L$75=0,H248,IF(AND($A249&gt;H$16,MONTH($A249)=MONTH(H$16)),C248/C236-H$18,H248))</f>
        <v>1.02314056909022</v>
      </c>
      <c r="I249" s="1668" t="n">
        <f aca="false">IF(Assm!$L$75=0,I248,IF($A249&gt;=I$16,IF(MONTH($A249)=MONTH(I$16),AVERAGE(D237:D248),I248),I248))</f>
        <v>2.9031828886712</v>
      </c>
      <c r="J249" s="1675" t="n">
        <f aca="false">IF(Assm!$L$75=0,J248,IF($A249&gt;=J$16,IF(MONTH($A249)=MONTH(J$16),AVERAGE(E237:E248),J248),J248))</f>
        <v>2.64123741173285</v>
      </c>
      <c r="K249" s="1624" t="n">
        <f aca="false">K248+1</f>
        <v>237</v>
      </c>
      <c r="L249" s="1667" t="n">
        <f aca="false">HLOOKUP(L$14,Dec_Change,$K249)</f>
        <v>1.02564056909022</v>
      </c>
      <c r="M249" s="1668" t="n">
        <f aca="false">M248</f>
        <v>0</v>
      </c>
      <c r="N249" s="1675" t="n">
        <f aca="false">IF(AND($A249&gt;=N$16,MONTH($A249)=MONTH(N$16)),MAX(L249,M249)*N248,N248)</f>
        <v>1.59733039824151</v>
      </c>
      <c r="P249" s="1667" t="n">
        <f aca="false">HLOOKUP(P$14,Dec_Change,$K249)</f>
        <v>1.06966656277056</v>
      </c>
      <c r="Q249" s="1668" t="n">
        <f aca="false">Q248</f>
        <v>0</v>
      </c>
      <c r="R249" s="1675" t="n">
        <f aca="false">IF(AND($A249&gt;=R$16,MONTH($A249)=MONTH(R$16)),MAX(P249,Q249)*R248,R248)</f>
        <v>3.9328867884074</v>
      </c>
      <c r="T249" s="1667" t="n">
        <f aca="false">HLOOKUP(T$14,Dec_Change,$K249)</f>
        <v>1.02564056909022</v>
      </c>
      <c r="U249" s="1668" t="n">
        <f aca="false">U248</f>
        <v>1.005</v>
      </c>
      <c r="V249" s="1675" t="n">
        <f aca="false">IF(AND($A249&gt;=V$16,MONTH($A249)=MONTH(V$16)),MAX(T249,U249)*V248,V248)</f>
        <v>1.59733039824151</v>
      </c>
      <c r="X249" s="1667" t="n">
        <f aca="false">HLOOKUP(X$14,Dec_Change,$K249)</f>
        <v>1.02314056909022</v>
      </c>
      <c r="Y249" s="1668" t="n">
        <f aca="false">Y248</f>
        <v>1.02</v>
      </c>
      <c r="Z249" s="1675" t="n">
        <f aca="false">IF(AND($A249&gt;=Z$16,MONTH($A249)=MONTH(Z$16)),MAX(X249,Y249)*Z248,Z248)</f>
        <v>1.54102993095862</v>
      </c>
      <c r="AB249" s="1667" t="n">
        <f aca="false">HLOOKUP(AB$14,Dec_Change,$K249)</f>
        <v>1.02314056909022</v>
      </c>
      <c r="AC249" s="1668" t="n">
        <f aca="false">AC248</f>
        <v>1.02</v>
      </c>
      <c r="AD249" s="1675" t="n">
        <f aca="false">IF(AND($A249&gt;=AD$16,MONTH($A249)=MONTH(AD$16)),MAX(AB249,AC249)*AD248,AD248)</f>
        <v>1.54102993095862</v>
      </c>
      <c r="AF249" s="1667" t="n">
        <f aca="false">HLOOKUP(AF$14,Dec_Change,$K249)</f>
        <v>1.06966656277056</v>
      </c>
      <c r="AG249" s="1668" t="n">
        <f aca="false">AG248</f>
        <v>0</v>
      </c>
      <c r="AH249" s="1675" t="n">
        <f aca="false">IF(AND($A249&gt;=AH$16,MONTH($A249)=MONTH(AH$16)),MAX(AF249,AG249)*AH248,AH248)</f>
        <v>3.9328867884074</v>
      </c>
      <c r="AJ249" s="1667" t="n">
        <f aca="false">HLOOKUP(AJ$14,Dec_Change,$K249)</f>
        <v>1.02314056909022</v>
      </c>
      <c r="AK249" s="1668" t="n">
        <f aca="false">AK248</f>
        <v>1.02</v>
      </c>
      <c r="AL249" s="1675" t="n">
        <f aca="false">IF(AND($A249&gt;=AL$16,MONTH($A249)=MONTH(AL$16)),MAX(AJ249,AK249)*AL248,AL248)</f>
        <v>1.54102993095862</v>
      </c>
      <c r="AN249" s="1667" t="n">
        <f aca="false">HLOOKUP(AN$14,Dec_Change,$K249)</f>
        <v>1.02564056909022</v>
      </c>
      <c r="AO249" s="1668" t="n">
        <f aca="false">AO248</f>
        <v>1.005</v>
      </c>
      <c r="AP249" s="1675" t="n">
        <f aca="false">IF(AND($A249&gt;=AP$16,MONTH($A249)=MONTH(AP$16)),MAX(AN249,AO249)*AP248,AP248)</f>
        <v>1.59733039824151</v>
      </c>
      <c r="AR249" s="1670" t="n">
        <f aca="false">$A249</f>
        <v>42401</v>
      </c>
      <c r="AS249" s="1671" t="n">
        <f aca="false">IF(AND($A249&gt;=EDATE(AS$17,12),IF(Assm!$L$74=0,$D249,$E249)/AS248&gt;=1.05),IF(Assm!$L$74=0,$D249,$E249),AS248)</f>
        <v>2.91512077880939</v>
      </c>
      <c r="AT249" s="1671" t="n">
        <f aca="false">IF(AS249/AS248=1,AT248,AS249/AS248)</f>
        <v>1.05082462704108</v>
      </c>
      <c r="AU249" s="1671" t="n">
        <f aca="false">F249</f>
        <v>1.06966656277056</v>
      </c>
      <c r="AV249" s="1671" t="n">
        <f aca="false">MAX(AT249,AU249)</f>
        <v>1.06966656277056</v>
      </c>
      <c r="AW249" s="1675" t="n">
        <f aca="false">IF(AV249=AV248,AW248,AV249*AW248)</f>
        <v>3.68557182628163</v>
      </c>
    </row>
    <row r="250" customFormat="false" ht="12.75" hidden="false" customHeight="false" outlineLevel="0" collapsed="false">
      <c r="A250" s="1673" t="n">
        <f aca="false">EDATE(A249,1)</f>
        <v>42430</v>
      </c>
      <c r="B250" s="1659" t="n">
        <f aca="false">'[4]Monthly Curve Calc.'!B253</f>
        <v>584.525225533269</v>
      </c>
      <c r="C250" s="1660" t="n">
        <f aca="false">'[4]Monthly Curve Calc.'!C253</f>
        <v>261.99528514628</v>
      </c>
      <c r="D250" s="1661" t="n">
        <f aca="false">'[4]Monthly Curve Calc.'!F253</f>
        <v>2.94411336707915</v>
      </c>
      <c r="E250" s="1662" t="n">
        <f aca="false">IF($A250&lt;=E$16,D250,(B250/B249)/(C250/C249)*E249)</f>
        <v>2.7188226019898</v>
      </c>
      <c r="F250" s="1674" t="n">
        <f aca="false">IF(Assm!$L$75=0,F249,IF(AND($A250&gt;F$16,MONTH($A250)=MONTH(F$16)),B249/B237,F249))</f>
        <v>1.06966656277056</v>
      </c>
      <c r="G250" s="1668" t="n">
        <f aca="false">IF(Assm!$L$75=0,G249,IF(AND($A250&gt;G$16,MONTH($A250)=MONTH(G$16)),C249/C237,G249))</f>
        <v>1.02564056909022</v>
      </c>
      <c r="H250" s="1668" t="n">
        <f aca="false">IF(Assm!$L$75=0,H249,IF(AND($A250&gt;H$16,MONTH($A250)=MONTH(H$16)),C249/C237-H$18,H249))</f>
        <v>1.02314056909022</v>
      </c>
      <c r="I250" s="1668" t="n">
        <f aca="false">IF(Assm!$L$75=0,I249,IF($A250&gt;=I$16,IF(MONTH($A250)=MONTH(I$16),AVERAGE(D238:D249),I249),I249))</f>
        <v>2.9031828886712</v>
      </c>
      <c r="J250" s="1675" t="n">
        <f aca="false">IF(Assm!$L$75=0,J249,IF($A250&gt;=J$16,IF(MONTH($A250)=MONTH(J$16),AVERAGE(E238:E249),J249),J249))</f>
        <v>2.64123741173285</v>
      </c>
      <c r="K250" s="1624" t="n">
        <f aca="false">K249+1</f>
        <v>238</v>
      </c>
      <c r="L250" s="1667" t="n">
        <f aca="false">HLOOKUP(L$14,Dec_Change,$K250)</f>
        <v>1.02564056909022</v>
      </c>
      <c r="M250" s="1668" t="n">
        <f aca="false">M249</f>
        <v>0</v>
      </c>
      <c r="N250" s="1675" t="n">
        <f aca="false">IF(AND($A250&gt;=N$16,MONTH($A250)=MONTH(N$16)),MAX(L250,M250)*N249,N249)</f>
        <v>1.59733039824151</v>
      </c>
      <c r="P250" s="1667" t="n">
        <f aca="false">HLOOKUP(P$14,Dec_Change,$K250)</f>
        <v>1.06966656277056</v>
      </c>
      <c r="Q250" s="1668" t="n">
        <f aca="false">Q249</f>
        <v>0</v>
      </c>
      <c r="R250" s="1675" t="n">
        <f aca="false">IF(AND($A250&gt;=R$16,MONTH($A250)=MONTH(R$16)),MAX(P250,Q250)*R249,R249)</f>
        <v>3.9328867884074</v>
      </c>
      <c r="T250" s="1667" t="n">
        <f aca="false">HLOOKUP(T$14,Dec_Change,$K250)</f>
        <v>1.02564056909022</v>
      </c>
      <c r="U250" s="1668" t="n">
        <f aca="false">U249</f>
        <v>1.005</v>
      </c>
      <c r="V250" s="1675" t="n">
        <f aca="false">IF(AND($A250&gt;=V$16,MONTH($A250)=MONTH(V$16)),MAX(T250,U250)*V249,V249)</f>
        <v>1.59733039824151</v>
      </c>
      <c r="X250" s="1667" t="n">
        <f aca="false">HLOOKUP(X$14,Dec_Change,$K250)</f>
        <v>1.02314056909022</v>
      </c>
      <c r="Y250" s="1668" t="n">
        <f aca="false">Y249</f>
        <v>1.02</v>
      </c>
      <c r="Z250" s="1675" t="n">
        <f aca="false">IF(AND($A250&gt;=Z$16,MONTH($A250)=MONTH(Z$16)),MAX(X250,Y250)*Z249,Z249)</f>
        <v>1.54102993095862</v>
      </c>
      <c r="AB250" s="1667" t="n">
        <f aca="false">HLOOKUP(AB$14,Dec_Change,$K250)</f>
        <v>1.02314056909022</v>
      </c>
      <c r="AC250" s="1668" t="n">
        <f aca="false">AC249</f>
        <v>1.02</v>
      </c>
      <c r="AD250" s="1675" t="n">
        <f aca="false">IF(AND($A250&gt;=AD$16,MONTH($A250)=MONTH(AD$16)),MAX(AB250,AC250)*AD249,AD249)</f>
        <v>1.54102993095862</v>
      </c>
      <c r="AF250" s="1667" t="n">
        <f aca="false">HLOOKUP(AF$14,Dec_Change,$K250)</f>
        <v>1.06966656277056</v>
      </c>
      <c r="AG250" s="1668" t="n">
        <f aca="false">AG249</f>
        <v>0</v>
      </c>
      <c r="AH250" s="1675" t="n">
        <f aca="false">IF(AND($A250&gt;=AH$16,MONTH($A250)=MONTH(AH$16)),MAX(AF250,AG250)*AH249,AH249)</f>
        <v>3.9328867884074</v>
      </c>
      <c r="AJ250" s="1667" t="n">
        <f aca="false">HLOOKUP(AJ$14,Dec_Change,$K250)</f>
        <v>1.02314056909022</v>
      </c>
      <c r="AK250" s="1668" t="n">
        <f aca="false">AK249</f>
        <v>1.02</v>
      </c>
      <c r="AL250" s="1675" t="n">
        <f aca="false">IF(AND($A250&gt;=AL$16,MONTH($A250)=MONTH(AL$16)),MAX(AJ250,AK250)*AL249,AL249)</f>
        <v>1.54102993095862</v>
      </c>
      <c r="AN250" s="1667" t="n">
        <f aca="false">HLOOKUP(AN$14,Dec_Change,$K250)</f>
        <v>1.02564056909022</v>
      </c>
      <c r="AO250" s="1668" t="n">
        <f aca="false">AO249</f>
        <v>1.005</v>
      </c>
      <c r="AP250" s="1675" t="n">
        <f aca="false">IF(AND($A250&gt;=AP$16,MONTH($A250)=MONTH(AP$16)),MAX(AN250,AO250)*AP249,AP249)</f>
        <v>1.59733039824151</v>
      </c>
      <c r="AR250" s="1670" t="n">
        <f aca="false">$A250</f>
        <v>42430</v>
      </c>
      <c r="AS250" s="1671" t="n">
        <f aca="false">IF(AND($A250&gt;=EDATE(AS$17,12),IF(Assm!$L$74=0,$D250,$E250)/AS249&gt;=1.05),IF(Assm!$L$74=0,$D250,$E250),AS249)</f>
        <v>2.91512077880939</v>
      </c>
      <c r="AT250" s="1671" t="n">
        <f aca="false">IF(AS250/AS249=1,AT249,AS250/AS249)</f>
        <v>1.05082462704108</v>
      </c>
      <c r="AU250" s="1671" t="n">
        <f aca="false">F250</f>
        <v>1.06966656277056</v>
      </c>
      <c r="AV250" s="1671" t="n">
        <f aca="false">MAX(AT250,AU250)</f>
        <v>1.06966656277056</v>
      </c>
      <c r="AW250" s="1675" t="n">
        <f aca="false">IF(AV250=AV249,AW249,AV250*AW249)</f>
        <v>3.68557182628163</v>
      </c>
    </row>
    <row r="251" customFormat="false" ht="12.75" hidden="false" customHeight="false" outlineLevel="0" collapsed="false">
      <c r="A251" s="1673" t="n">
        <f aca="false">EDATE(A250,1)</f>
        <v>42461</v>
      </c>
      <c r="B251" s="1659" t="n">
        <f aca="false">'[4]Monthly Curve Calc.'!B254</f>
        <v>587.784415349527</v>
      </c>
      <c r="C251" s="1660" t="n">
        <f aca="false">'[4]Monthly Curve Calc.'!C254</f>
        <v>262.565147813697</v>
      </c>
      <c r="D251" s="1661" t="n">
        <f aca="false">'[4]Monthly Curve Calc.'!F254</f>
        <v>2.94897787285716</v>
      </c>
      <c r="E251" s="1662" t="n">
        <f aca="false">IF($A251&lt;=E$16,D251,(B251/B250)/(C251/C250)*E250)</f>
        <v>2.72804844140272</v>
      </c>
      <c r="F251" s="1674" t="n">
        <f aca="false">IF(Assm!$L$75=0,F250,IF(AND($A251&gt;F$16,MONTH($A251)=MONTH(F$16)),B250/B238,F250))</f>
        <v>1.06966656277056</v>
      </c>
      <c r="G251" s="1668" t="n">
        <f aca="false">IF(Assm!$L$75=0,G250,IF(AND($A251&gt;G$16,MONTH($A251)=MONTH(G$16)),C250/C238,G250))</f>
        <v>1.02564056909022</v>
      </c>
      <c r="H251" s="1668" t="n">
        <f aca="false">IF(Assm!$L$75=0,H250,IF(AND($A251&gt;H$16,MONTH($A251)=MONTH(H$16)),C250/C238-H$18,H250))</f>
        <v>1.02314056909022</v>
      </c>
      <c r="I251" s="1668" t="n">
        <f aca="false">IF(Assm!$L$75=0,I250,IF($A251&gt;=I$16,IF(MONTH($A251)=MONTH(I$16),AVERAGE(D239:D250),I250),I250))</f>
        <v>2.9031828886712</v>
      </c>
      <c r="J251" s="1675" t="n">
        <f aca="false">IF(Assm!$L$75=0,J250,IF($A251&gt;=J$16,IF(MONTH($A251)=MONTH(J$16),AVERAGE(E239:E250),J250),J250))</f>
        <v>2.64123741173285</v>
      </c>
      <c r="K251" s="1624" t="n">
        <f aca="false">K250+1</f>
        <v>239</v>
      </c>
      <c r="L251" s="1667" t="n">
        <f aca="false">HLOOKUP(L$14,Dec_Change,$K251)</f>
        <v>1.02564056909022</v>
      </c>
      <c r="M251" s="1668" t="n">
        <f aca="false">M250</f>
        <v>0</v>
      </c>
      <c r="N251" s="1675" t="n">
        <f aca="false">IF(AND($A251&gt;=N$16,MONTH($A251)=MONTH(N$16)),MAX(L251,M251)*N250,N250)</f>
        <v>1.59733039824151</v>
      </c>
      <c r="P251" s="1667" t="n">
        <f aca="false">HLOOKUP(P$14,Dec_Change,$K251)</f>
        <v>1.06966656277056</v>
      </c>
      <c r="Q251" s="1668" t="n">
        <f aca="false">Q250</f>
        <v>0</v>
      </c>
      <c r="R251" s="1675" t="n">
        <f aca="false">IF(AND($A251&gt;=R$16,MONTH($A251)=MONTH(R$16)),MAX(P251,Q251)*R250,R250)</f>
        <v>3.9328867884074</v>
      </c>
      <c r="T251" s="1667" t="n">
        <f aca="false">HLOOKUP(T$14,Dec_Change,$K251)</f>
        <v>1.02564056909022</v>
      </c>
      <c r="U251" s="1668" t="n">
        <f aca="false">U250</f>
        <v>1.005</v>
      </c>
      <c r="V251" s="1675" t="n">
        <f aca="false">IF(AND($A251&gt;=V$16,MONTH($A251)=MONTH(V$16)),MAX(T251,U251)*V250,V250)</f>
        <v>1.59733039824151</v>
      </c>
      <c r="X251" s="1667" t="n">
        <f aca="false">HLOOKUP(X$14,Dec_Change,$K251)</f>
        <v>1.02314056909022</v>
      </c>
      <c r="Y251" s="1668" t="n">
        <f aca="false">Y250</f>
        <v>1.02</v>
      </c>
      <c r="Z251" s="1675" t="n">
        <f aca="false">IF(AND($A251&gt;=Z$16,MONTH($A251)=MONTH(Z$16)),MAX(X251,Y251)*Z250,Z250)</f>
        <v>1.54102993095862</v>
      </c>
      <c r="AB251" s="1667" t="n">
        <f aca="false">HLOOKUP(AB$14,Dec_Change,$K251)</f>
        <v>1.02314056909022</v>
      </c>
      <c r="AC251" s="1668" t="n">
        <f aca="false">AC250</f>
        <v>1.02</v>
      </c>
      <c r="AD251" s="1675" t="n">
        <f aca="false">IF(AND($A251&gt;=AD$16,MONTH($A251)=MONTH(AD$16)),MAX(AB251,AC251)*AD250,AD250)</f>
        <v>1.54102993095862</v>
      </c>
      <c r="AF251" s="1667" t="n">
        <f aca="false">HLOOKUP(AF$14,Dec_Change,$K251)</f>
        <v>1.06966656277056</v>
      </c>
      <c r="AG251" s="1668" t="n">
        <f aca="false">AG250</f>
        <v>0</v>
      </c>
      <c r="AH251" s="1675" t="n">
        <f aca="false">IF(AND($A251&gt;=AH$16,MONTH($A251)=MONTH(AH$16)),MAX(AF251,AG251)*AH250,AH250)</f>
        <v>3.9328867884074</v>
      </c>
      <c r="AJ251" s="1667" t="n">
        <f aca="false">HLOOKUP(AJ$14,Dec_Change,$K251)</f>
        <v>1.02314056909022</v>
      </c>
      <c r="AK251" s="1668" t="n">
        <f aca="false">AK250</f>
        <v>1.02</v>
      </c>
      <c r="AL251" s="1675" t="n">
        <f aca="false">IF(AND($A251&gt;=AL$16,MONTH($A251)=MONTH(AL$16)),MAX(AJ251,AK251)*AL250,AL250)</f>
        <v>1.54102993095862</v>
      </c>
      <c r="AN251" s="1667" t="n">
        <f aca="false">HLOOKUP(AN$14,Dec_Change,$K251)</f>
        <v>1.02564056909022</v>
      </c>
      <c r="AO251" s="1668" t="n">
        <f aca="false">AO250</f>
        <v>1.005</v>
      </c>
      <c r="AP251" s="1675" t="n">
        <f aca="false">IF(AND($A251&gt;=AP$16,MONTH($A251)=MONTH(AP$16)),MAX(AN251,AO251)*AP250,AP250)</f>
        <v>1.59733039824151</v>
      </c>
      <c r="AR251" s="1670" t="n">
        <f aca="false">$A251</f>
        <v>42461</v>
      </c>
      <c r="AS251" s="1671" t="n">
        <f aca="false">IF(AND($A251&gt;=EDATE(AS$17,12),IF(Assm!$L$74=0,$D251,$E251)/AS250&gt;=1.05),IF(Assm!$L$74=0,$D251,$E251),AS250)</f>
        <v>2.91512077880939</v>
      </c>
      <c r="AT251" s="1671" t="n">
        <f aca="false">IF(AS251/AS250=1,AT250,AS251/AS250)</f>
        <v>1.05082462704108</v>
      </c>
      <c r="AU251" s="1671" t="n">
        <f aca="false">F251</f>
        <v>1.06966656277056</v>
      </c>
      <c r="AV251" s="1671" t="n">
        <f aca="false">MAX(AT251,AU251)</f>
        <v>1.06966656277056</v>
      </c>
      <c r="AW251" s="1675" t="n">
        <f aca="false">IF(AV251=AV250,AW250,AV251*AW250)</f>
        <v>3.68557182628163</v>
      </c>
    </row>
    <row r="252" customFormat="false" ht="12.75" hidden="false" customHeight="false" outlineLevel="0" collapsed="false">
      <c r="A252" s="1673" t="n">
        <f aca="false">EDATE(A251,1)</f>
        <v>42491</v>
      </c>
      <c r="B252" s="1659" t="n">
        <f aca="false">'[4]Monthly Curve Calc.'!B255</f>
        <v>591.061777723263</v>
      </c>
      <c r="C252" s="1660" t="n">
        <f aca="false">'[4]Monthly Curve Calc.'!C255</f>
        <v>263.136249982273</v>
      </c>
      <c r="D252" s="1661" t="n">
        <f aca="false">'[4]Monthly Curve Calc.'!F255</f>
        <v>2.95385041617093</v>
      </c>
      <c r="E252" s="1662" t="n">
        <f aca="false">IF($A252&lt;=E$16,D252,(B252/B251)/(C252/C251)*E251)</f>
        <v>2.73730558705563</v>
      </c>
      <c r="F252" s="1674" t="n">
        <f aca="false">IF(Assm!$L$75=0,F251,IF(AND($A252&gt;F$16,MONTH($A252)=MONTH(F$16)),B251/B239,F251))</f>
        <v>1.069</v>
      </c>
      <c r="G252" s="1668" t="n">
        <f aca="false">IF(Assm!$L$75=0,G251,IF(AND($A252&gt;G$16,MONTH($A252)=MONTH(G$16)),C251/C239,G251))</f>
        <v>1.02607666287093</v>
      </c>
      <c r="H252" s="1668" t="n">
        <f aca="false">IF(Assm!$L$75=0,H251,IF(AND($A252&gt;H$16,MONTH($A252)=MONTH(H$16)),C251/C239-H$18,H251))</f>
        <v>1.02357666287093</v>
      </c>
      <c r="I252" s="1668" t="n">
        <f aca="false">IF(Assm!$L$75=0,I251,IF($A252&gt;=I$16,IF(MONTH($A252)=MONTH(I$16),AVERAGE(D240:D251),I251),I251))</f>
        <v>2.9031828886712</v>
      </c>
      <c r="J252" s="1675" t="n">
        <f aca="false">IF(Assm!$L$75=0,J251,IF($A252&gt;=J$16,IF(MONTH($A252)=MONTH(J$16),AVERAGE(E240:E251),J251),J251))</f>
        <v>2.64123741173285</v>
      </c>
      <c r="K252" s="1624" t="n">
        <f aca="false">K251+1</f>
        <v>240</v>
      </c>
      <c r="L252" s="1667" t="n">
        <f aca="false">HLOOKUP(L$14,Dec_Change,$K252)</f>
        <v>1.02607666287093</v>
      </c>
      <c r="M252" s="1668" t="n">
        <f aca="false">M251</f>
        <v>0</v>
      </c>
      <c r="N252" s="1675" t="n">
        <f aca="false">IF(AND($A252&gt;=N$16,MONTH($A252)=MONTH(N$16)),MAX(L252,M252)*N251,N251)</f>
        <v>1.63898344452994</v>
      </c>
      <c r="P252" s="1667" t="n">
        <f aca="false">HLOOKUP(P$14,Dec_Change,$K252)</f>
        <v>1.069</v>
      </c>
      <c r="Q252" s="1668" t="n">
        <f aca="false">Q251</f>
        <v>0</v>
      </c>
      <c r="R252" s="1675" t="n">
        <f aca="false">IF(AND($A252&gt;=R$16,MONTH($A252)=MONTH(R$16)),MAX(P252,Q252)*R251,R251)</f>
        <v>4.2042559768075</v>
      </c>
      <c r="T252" s="1667" t="n">
        <f aca="false">HLOOKUP(T$14,Dec_Change,$K252)</f>
        <v>1.02607666287093</v>
      </c>
      <c r="U252" s="1668" t="n">
        <f aca="false">U251</f>
        <v>1.005</v>
      </c>
      <c r="V252" s="1675" t="n">
        <f aca="false">IF(AND($A252&gt;=V$16,MONTH($A252)=MONTH(V$16)),MAX(T252,U252)*V251,V251)</f>
        <v>1.63898344452994</v>
      </c>
      <c r="X252" s="1667" t="n">
        <f aca="false">HLOOKUP(X$14,Dec_Change,$K252)</f>
        <v>1.02357666287093</v>
      </c>
      <c r="Y252" s="1668" t="n">
        <f aca="false">Y251</f>
        <v>1.02</v>
      </c>
      <c r="Z252" s="1675" t="n">
        <f aca="false">IF(AND($A252&gt;=Z$16,MONTH($A252)=MONTH(Z$16)),MAX(X252,Y252)*Z251,Z251)</f>
        <v>1.57736227411484</v>
      </c>
      <c r="AB252" s="1667" t="n">
        <f aca="false">HLOOKUP(AB$14,Dec_Change,$K252)</f>
        <v>1.02357666287093</v>
      </c>
      <c r="AC252" s="1668" t="n">
        <f aca="false">AC251</f>
        <v>1.02</v>
      </c>
      <c r="AD252" s="1675" t="n">
        <f aca="false">IF(AND($A252&gt;=AD$16,MONTH($A252)=MONTH(AD$16)),MAX(AB252,AC252)*AD251,AD251)</f>
        <v>1.57736227411484</v>
      </c>
      <c r="AF252" s="1667" t="n">
        <f aca="false">HLOOKUP(AF$14,Dec_Change,$K252)</f>
        <v>1.069</v>
      </c>
      <c r="AG252" s="1668" t="n">
        <f aca="false">AG251</f>
        <v>0</v>
      </c>
      <c r="AH252" s="1675" t="n">
        <f aca="false">IF(AND($A252&gt;=AH$16,MONTH($A252)=MONTH(AH$16)),MAX(AF252,AG252)*AH251,AH251)</f>
        <v>4.2042559768075</v>
      </c>
      <c r="AJ252" s="1667" t="n">
        <f aca="false">HLOOKUP(AJ$14,Dec_Change,$K252)</f>
        <v>1.02357666287093</v>
      </c>
      <c r="AK252" s="1668" t="n">
        <f aca="false">AK251</f>
        <v>1.02</v>
      </c>
      <c r="AL252" s="1675" t="n">
        <f aca="false">IF(AND($A252&gt;=AL$16,MONTH($A252)=MONTH(AL$16)),MAX(AJ252,AK252)*AL251,AL251)</f>
        <v>1.57736227411484</v>
      </c>
      <c r="AN252" s="1667" t="n">
        <f aca="false">HLOOKUP(AN$14,Dec_Change,$K252)</f>
        <v>1.02607666287093</v>
      </c>
      <c r="AO252" s="1668" t="n">
        <f aca="false">AO251</f>
        <v>1.005</v>
      </c>
      <c r="AP252" s="1675" t="n">
        <f aca="false">IF(AND($A252&gt;=AP$16,MONTH($A252)=MONTH(AP$16)),MAX(AN252,AO252)*AP251,AP251)</f>
        <v>1.63898344452994</v>
      </c>
      <c r="AR252" s="1670" t="n">
        <f aca="false">$A252</f>
        <v>42491</v>
      </c>
      <c r="AS252" s="1671" t="n">
        <f aca="false">IF(AND($A252&gt;=EDATE(AS$17,12),IF(Assm!$L$74=0,$D252,$E252)/AS251&gt;=1.05),IF(Assm!$L$74=0,$D252,$E252),AS251)</f>
        <v>2.91512077880939</v>
      </c>
      <c r="AT252" s="1671" t="n">
        <f aca="false">IF(AS252/AS251=1,AT251,AS252/AS251)</f>
        <v>1.05082462704108</v>
      </c>
      <c r="AU252" s="1671" t="n">
        <f aca="false">F252</f>
        <v>1.069</v>
      </c>
      <c r="AV252" s="1671" t="n">
        <f aca="false">MAX(AT252,AU252)</f>
        <v>1.069</v>
      </c>
      <c r="AW252" s="1675" t="n">
        <f aca="false">IF(AV252=AV251,AW251,AV252*AW251)</f>
        <v>3.93987628229506</v>
      </c>
    </row>
    <row r="253" customFormat="false" ht="12.75" hidden="false" customHeight="false" outlineLevel="0" collapsed="false">
      <c r="A253" s="1673" t="n">
        <f aca="false">EDATE(A252,1)</f>
        <v>42522</v>
      </c>
      <c r="B253" s="1659" t="n">
        <f aca="false">'[4]Monthly Curve Calc.'!B256</f>
        <v>594.357413980839</v>
      </c>
      <c r="C253" s="1660" t="n">
        <f aca="false">'[4]Monthly Curve Calc.'!C256</f>
        <v>263.708594348032</v>
      </c>
      <c r="D253" s="1661" t="n">
        <f aca="false">'[4]Monthly Curve Calc.'!F256</f>
        <v>2.95873101030073</v>
      </c>
      <c r="E253" s="1662" t="n">
        <f aca="false">IF($A253&lt;=E$16,D253,(B253/B252)/(C253/C252)*E252)</f>
        <v>2.74659414518067</v>
      </c>
      <c r="F253" s="1674" t="n">
        <f aca="false">IF(Assm!$L$75=0,F252,IF(AND($A253&gt;F$16,MONTH($A253)=MONTH(F$16)),B252/B240,F252))</f>
        <v>1.069</v>
      </c>
      <c r="G253" s="1668" t="n">
        <f aca="false">IF(Assm!$L$75=0,G252,IF(AND($A253&gt;G$16,MONTH($A253)=MONTH(G$16)),C252/C240,G252))</f>
        <v>1.02607666287093</v>
      </c>
      <c r="H253" s="1668" t="n">
        <f aca="false">IF(Assm!$L$75=0,H252,IF(AND($A253&gt;H$16,MONTH($A253)=MONTH(H$16)),C252/C240-H$18,H252))</f>
        <v>1.02357666287093</v>
      </c>
      <c r="I253" s="1668" t="n">
        <f aca="false">IF(Assm!$L$75=0,I252,IF($A253&gt;=I$16,IF(MONTH($A253)=MONTH(I$16),AVERAGE(D241:D252),I252),I252))</f>
        <v>2.9031828886712</v>
      </c>
      <c r="J253" s="1675" t="n">
        <f aca="false">IF(Assm!$L$75=0,J252,IF($A253&gt;=J$16,IF(MONTH($A253)=MONTH(J$16),AVERAGE(E241:E252),J252),J252))</f>
        <v>2.64123741173285</v>
      </c>
      <c r="K253" s="1624" t="n">
        <f aca="false">K252+1</f>
        <v>241</v>
      </c>
      <c r="L253" s="1667" t="n">
        <f aca="false">HLOOKUP(L$14,Dec_Change,$K253)</f>
        <v>1.02607666287093</v>
      </c>
      <c r="M253" s="1668" t="n">
        <f aca="false">M252</f>
        <v>0</v>
      </c>
      <c r="N253" s="1675" t="n">
        <f aca="false">IF(AND($A253&gt;=N$16,MONTH($A253)=MONTH(N$16)),MAX(L253,M253)*N252,N252)</f>
        <v>1.63898344452994</v>
      </c>
      <c r="P253" s="1667" t="n">
        <f aca="false">HLOOKUP(P$14,Dec_Change,$K253)</f>
        <v>1.069</v>
      </c>
      <c r="Q253" s="1668" t="n">
        <f aca="false">Q252</f>
        <v>0</v>
      </c>
      <c r="R253" s="1675" t="n">
        <f aca="false">IF(AND($A253&gt;=R$16,MONTH($A253)=MONTH(R$16)),MAX(P253,Q253)*R252,R252)</f>
        <v>4.2042559768075</v>
      </c>
      <c r="T253" s="1667" t="n">
        <f aca="false">HLOOKUP(T$14,Dec_Change,$K253)</f>
        <v>1.02607666287093</v>
      </c>
      <c r="U253" s="1668" t="n">
        <f aca="false">U252</f>
        <v>1.005</v>
      </c>
      <c r="V253" s="1675" t="n">
        <f aca="false">IF(AND($A253&gt;=V$16,MONTH($A253)=MONTH(V$16)),MAX(T253,U253)*V252,V252)</f>
        <v>1.63898344452994</v>
      </c>
      <c r="X253" s="1667" t="n">
        <f aca="false">HLOOKUP(X$14,Dec_Change,$K253)</f>
        <v>1.02357666287093</v>
      </c>
      <c r="Y253" s="1668" t="n">
        <f aca="false">Y252</f>
        <v>1.02</v>
      </c>
      <c r="Z253" s="1675" t="n">
        <f aca="false">IF(AND($A253&gt;=Z$16,MONTH($A253)=MONTH(Z$16)),MAX(X253,Y253)*Z252,Z252)</f>
        <v>1.57736227411484</v>
      </c>
      <c r="AB253" s="1667" t="n">
        <f aca="false">HLOOKUP(AB$14,Dec_Change,$K253)</f>
        <v>1.02357666287093</v>
      </c>
      <c r="AC253" s="1668" t="n">
        <f aca="false">AC252</f>
        <v>1.02</v>
      </c>
      <c r="AD253" s="1675" t="n">
        <f aca="false">IF(AND($A253&gt;=AD$16,MONTH($A253)=MONTH(AD$16)),MAX(AB253,AC253)*AD252,AD252)</f>
        <v>1.57736227411484</v>
      </c>
      <c r="AF253" s="1667" t="n">
        <f aca="false">HLOOKUP(AF$14,Dec_Change,$K253)</f>
        <v>1.069</v>
      </c>
      <c r="AG253" s="1668" t="n">
        <f aca="false">AG252</f>
        <v>0</v>
      </c>
      <c r="AH253" s="1675" t="n">
        <f aca="false">IF(AND($A253&gt;=AH$16,MONTH($A253)=MONTH(AH$16)),MAX(AF253,AG253)*AH252,AH252)</f>
        <v>4.2042559768075</v>
      </c>
      <c r="AJ253" s="1667" t="n">
        <f aca="false">HLOOKUP(AJ$14,Dec_Change,$K253)</f>
        <v>1.02357666287093</v>
      </c>
      <c r="AK253" s="1668" t="n">
        <f aca="false">AK252</f>
        <v>1.02</v>
      </c>
      <c r="AL253" s="1675" t="n">
        <f aca="false">IF(AND($A253&gt;=AL$16,MONTH($A253)=MONTH(AL$16)),MAX(AJ253,AK253)*AL252,AL252)</f>
        <v>1.57736227411484</v>
      </c>
      <c r="AN253" s="1667" t="n">
        <f aca="false">HLOOKUP(AN$14,Dec_Change,$K253)</f>
        <v>1.02607666287093</v>
      </c>
      <c r="AO253" s="1668" t="n">
        <f aca="false">AO252</f>
        <v>1.005</v>
      </c>
      <c r="AP253" s="1675" t="n">
        <f aca="false">IF(AND($A253&gt;=AP$16,MONTH($A253)=MONTH(AP$16)),MAX(AN253,AO253)*AP252,AP252)</f>
        <v>1.63898344452994</v>
      </c>
      <c r="AR253" s="1670" t="n">
        <f aca="false">$A253</f>
        <v>42522</v>
      </c>
      <c r="AS253" s="1671" t="n">
        <f aca="false">IF(AND($A253&gt;=EDATE(AS$17,12),IF(Assm!$L$74=0,$D253,$E253)/AS252&gt;=1.05),IF(Assm!$L$74=0,$D253,$E253),AS252)</f>
        <v>2.91512077880939</v>
      </c>
      <c r="AT253" s="1671" t="n">
        <f aca="false">IF(AS253/AS252=1,AT252,AS253/AS252)</f>
        <v>1.05082462704108</v>
      </c>
      <c r="AU253" s="1671" t="n">
        <f aca="false">F253</f>
        <v>1.069</v>
      </c>
      <c r="AV253" s="1671" t="n">
        <f aca="false">MAX(AT253,AU253)</f>
        <v>1.069</v>
      </c>
      <c r="AW253" s="1675" t="n">
        <f aca="false">IF(AV253=AV252,AW252,AV253*AW252)</f>
        <v>3.93987628229506</v>
      </c>
    </row>
    <row r="254" customFormat="false" ht="12.75" hidden="false" customHeight="false" outlineLevel="0" collapsed="false">
      <c r="A254" s="1673" t="n">
        <f aca="false">EDATE(A253,1)</f>
        <v>42552</v>
      </c>
      <c r="B254" s="1659" t="n">
        <f aca="false">'[4]Monthly Curve Calc.'!B257</f>
        <v>597.671426013591</v>
      </c>
      <c r="C254" s="1660" t="n">
        <f aca="false">'[4]Monthly Curve Calc.'!C257</f>
        <v>264.282183612862</v>
      </c>
      <c r="D254" s="1661" t="n">
        <f aca="false">'[4]Monthly Curve Calc.'!F257</f>
        <v>2.96361966854878</v>
      </c>
      <c r="E254" s="1662" t="n">
        <f aca="false">IF($A254&lt;=E$16,D254,(B254/B253)/(C254/C253)*E253)</f>
        <v>2.75591422237047</v>
      </c>
      <c r="F254" s="1674" t="n">
        <f aca="false">IF(Assm!$L$75=0,F253,IF(AND($A254&gt;F$16,MONTH($A254)=MONTH(F$16)),B253/B241,F253))</f>
        <v>1.069</v>
      </c>
      <c r="G254" s="1668" t="n">
        <f aca="false">IF(Assm!$L$75=0,G253,IF(AND($A254&gt;G$16,MONTH($A254)=MONTH(G$16)),C253/C241,G253))</f>
        <v>1.02607666287093</v>
      </c>
      <c r="H254" s="1668" t="n">
        <f aca="false">IF(Assm!$L$75=0,H253,IF(AND($A254&gt;H$16,MONTH($A254)=MONTH(H$16)),C253/C241-H$18,H253))</f>
        <v>1.02357666287093</v>
      </c>
      <c r="I254" s="1668" t="n">
        <f aca="false">IF(Assm!$L$75=0,I253,IF($A254&gt;=I$16,IF(MONTH($A254)=MONTH(I$16),AVERAGE(D242:D253),I253),I253))</f>
        <v>2.9031828886712</v>
      </c>
      <c r="J254" s="1675" t="n">
        <f aca="false">IF(Assm!$L$75=0,J253,IF($A254&gt;=J$16,IF(MONTH($A254)=MONTH(J$16),AVERAGE(E242:E253),J253),J253))</f>
        <v>2.64123741173285</v>
      </c>
      <c r="K254" s="1624" t="n">
        <f aca="false">K253+1</f>
        <v>242</v>
      </c>
      <c r="L254" s="1667" t="n">
        <f aca="false">HLOOKUP(L$14,Dec_Change,$K254)</f>
        <v>1.02607666287093</v>
      </c>
      <c r="M254" s="1668" t="n">
        <f aca="false">M253</f>
        <v>0</v>
      </c>
      <c r="N254" s="1675" t="n">
        <f aca="false">IF(AND($A254&gt;=N$16,MONTH($A254)=MONTH(N$16)),MAX(L254,M254)*N253,N253)</f>
        <v>1.63898344452994</v>
      </c>
      <c r="P254" s="1667" t="n">
        <f aca="false">HLOOKUP(P$14,Dec_Change,$K254)</f>
        <v>1.069</v>
      </c>
      <c r="Q254" s="1668" t="n">
        <f aca="false">Q253</f>
        <v>0</v>
      </c>
      <c r="R254" s="1675" t="n">
        <f aca="false">IF(AND($A254&gt;=R$16,MONTH($A254)=MONTH(R$16)),MAX(P254,Q254)*R253,R253)</f>
        <v>4.2042559768075</v>
      </c>
      <c r="T254" s="1667" t="n">
        <f aca="false">HLOOKUP(T$14,Dec_Change,$K254)</f>
        <v>1.02607666287093</v>
      </c>
      <c r="U254" s="1668" t="n">
        <f aca="false">U253</f>
        <v>1.005</v>
      </c>
      <c r="V254" s="1675" t="n">
        <f aca="false">IF(AND($A254&gt;=V$16,MONTH($A254)=MONTH(V$16)),MAX(T254,U254)*V253,V253)</f>
        <v>1.63898344452994</v>
      </c>
      <c r="X254" s="1667" t="n">
        <f aca="false">HLOOKUP(X$14,Dec_Change,$K254)</f>
        <v>1.02357666287093</v>
      </c>
      <c r="Y254" s="1668" t="n">
        <f aca="false">Y253</f>
        <v>1.02</v>
      </c>
      <c r="Z254" s="1675" t="n">
        <f aca="false">IF(AND($A254&gt;=Z$16,MONTH($A254)=MONTH(Z$16)),MAX(X254,Y254)*Z253,Z253)</f>
        <v>1.57736227411484</v>
      </c>
      <c r="AB254" s="1667" t="n">
        <f aca="false">HLOOKUP(AB$14,Dec_Change,$K254)</f>
        <v>1.02357666287093</v>
      </c>
      <c r="AC254" s="1668" t="n">
        <f aca="false">AC253</f>
        <v>1.02</v>
      </c>
      <c r="AD254" s="1675" t="n">
        <f aca="false">IF(AND($A254&gt;=AD$16,MONTH($A254)=MONTH(AD$16)),MAX(AB254,AC254)*AD253,AD253)</f>
        <v>1.57736227411484</v>
      </c>
      <c r="AF254" s="1667" t="n">
        <f aca="false">HLOOKUP(AF$14,Dec_Change,$K254)</f>
        <v>1.069</v>
      </c>
      <c r="AG254" s="1668" t="n">
        <f aca="false">AG253</f>
        <v>0</v>
      </c>
      <c r="AH254" s="1675" t="n">
        <f aca="false">IF(AND($A254&gt;=AH$16,MONTH($A254)=MONTH(AH$16)),MAX(AF254,AG254)*AH253,AH253)</f>
        <v>4.2042559768075</v>
      </c>
      <c r="AJ254" s="1667" t="n">
        <f aca="false">HLOOKUP(AJ$14,Dec_Change,$K254)</f>
        <v>1.02357666287093</v>
      </c>
      <c r="AK254" s="1668" t="n">
        <f aca="false">AK253</f>
        <v>1.02</v>
      </c>
      <c r="AL254" s="1675" t="n">
        <f aca="false">IF(AND($A254&gt;=AL$16,MONTH($A254)=MONTH(AL$16)),MAX(AJ254,AK254)*AL253,AL253)</f>
        <v>1.57736227411484</v>
      </c>
      <c r="AN254" s="1667" t="n">
        <f aca="false">HLOOKUP(AN$14,Dec_Change,$K254)</f>
        <v>1.02607666287093</v>
      </c>
      <c r="AO254" s="1668" t="n">
        <f aca="false">AO253</f>
        <v>1.005</v>
      </c>
      <c r="AP254" s="1675" t="n">
        <f aca="false">IF(AND($A254&gt;=AP$16,MONTH($A254)=MONTH(AP$16)),MAX(AN254,AO254)*AP253,AP253)</f>
        <v>1.63898344452994</v>
      </c>
      <c r="AR254" s="1670" t="n">
        <f aca="false">$A254</f>
        <v>42552</v>
      </c>
      <c r="AS254" s="1671" t="n">
        <f aca="false">IF(AND($A254&gt;=EDATE(AS$17,12),IF(Assm!$L$74=0,$D254,$E254)/AS253&gt;=1.05),IF(Assm!$L$74=0,$D254,$E254),AS253)</f>
        <v>2.91512077880939</v>
      </c>
      <c r="AT254" s="1671" t="n">
        <f aca="false">IF(AS254/AS253=1,AT253,AS254/AS253)</f>
        <v>1.05082462704108</v>
      </c>
      <c r="AU254" s="1671" t="n">
        <f aca="false">F254</f>
        <v>1.069</v>
      </c>
      <c r="AV254" s="1671" t="n">
        <f aca="false">MAX(AT254,AU254)</f>
        <v>1.069</v>
      </c>
      <c r="AW254" s="1675" t="n">
        <f aca="false">IF(AV254=AV253,AW253,AV254*AW253)</f>
        <v>3.93987628229506</v>
      </c>
    </row>
    <row r="255" customFormat="false" ht="12.75" hidden="false" customHeight="false" outlineLevel="0" collapsed="false">
      <c r="A255" s="1673" t="n">
        <f aca="false">EDATE(A254,1)</f>
        <v>42583</v>
      </c>
      <c r="B255" s="1659" t="n">
        <f aca="false">'[4]Monthly Curve Calc.'!B258</f>
        <v>601.003916280978</v>
      </c>
      <c r="C255" s="1660" t="n">
        <f aca="false">'[4]Monthly Curve Calc.'!C258</f>
        <v>264.857020484526</v>
      </c>
      <c r="D255" s="1661" t="n">
        <f aca="false">'[4]Monthly Curve Calc.'!F258</f>
        <v>2.96851640423929</v>
      </c>
      <c r="E255" s="1662" t="n">
        <f aca="false">IF($A255&lt;=E$16,D255,(B255/B254)/(C255/C254)*E254)</f>
        <v>2.76526592557934</v>
      </c>
      <c r="F255" s="1674" t="n">
        <f aca="false">IF(Assm!$L$75=0,F254,IF(AND($A255&gt;F$16,MONTH($A255)=MONTH(F$16)),B254/B242,F254))</f>
        <v>1.069</v>
      </c>
      <c r="G255" s="1668" t="n">
        <f aca="false">IF(Assm!$L$75=0,G254,IF(AND($A255&gt;G$16,MONTH($A255)=MONTH(G$16)),C254/C242,G254))</f>
        <v>1.02607666287093</v>
      </c>
      <c r="H255" s="1668" t="n">
        <f aca="false">IF(Assm!$L$75=0,H254,IF(AND($A255&gt;H$16,MONTH($A255)=MONTH(H$16)),C254/C242-H$18,H254))</f>
        <v>1.02357666287093</v>
      </c>
      <c r="I255" s="1668" t="n">
        <f aca="false">IF(Assm!$L$75=0,I254,IF($A255&gt;=I$16,IF(MONTH($A255)=MONTH(I$16),AVERAGE(D243:D254),I254),I254))</f>
        <v>2.9031828886712</v>
      </c>
      <c r="J255" s="1675" t="n">
        <f aca="false">IF(Assm!$L$75=0,J254,IF($A255&gt;=J$16,IF(MONTH($A255)=MONTH(J$16),AVERAGE(E243:E254),J254),J254))</f>
        <v>2.64123741173285</v>
      </c>
      <c r="K255" s="1624" t="n">
        <f aca="false">K254+1</f>
        <v>243</v>
      </c>
      <c r="L255" s="1667" t="n">
        <f aca="false">HLOOKUP(L$14,Dec_Change,$K255)</f>
        <v>1.02607666287093</v>
      </c>
      <c r="M255" s="1668" t="n">
        <f aca="false">M254</f>
        <v>0</v>
      </c>
      <c r="N255" s="1675" t="n">
        <f aca="false">IF(AND($A255&gt;=N$16,MONTH($A255)=MONTH(N$16)),MAX(L255,M255)*N254,N254)</f>
        <v>1.63898344452994</v>
      </c>
      <c r="P255" s="1667" t="n">
        <f aca="false">HLOOKUP(P$14,Dec_Change,$K255)</f>
        <v>1.069</v>
      </c>
      <c r="Q255" s="1668" t="n">
        <f aca="false">Q254</f>
        <v>0</v>
      </c>
      <c r="R255" s="1675" t="n">
        <f aca="false">IF(AND($A255&gt;=R$16,MONTH($A255)=MONTH(R$16)),MAX(P255,Q255)*R254,R254)</f>
        <v>4.2042559768075</v>
      </c>
      <c r="T255" s="1667" t="n">
        <f aca="false">HLOOKUP(T$14,Dec_Change,$K255)</f>
        <v>1.02607666287093</v>
      </c>
      <c r="U255" s="1668" t="n">
        <f aca="false">U254</f>
        <v>1.005</v>
      </c>
      <c r="V255" s="1675" t="n">
        <f aca="false">IF(AND($A255&gt;=V$16,MONTH($A255)=MONTH(V$16)),MAX(T255,U255)*V254,V254)</f>
        <v>1.63898344452994</v>
      </c>
      <c r="X255" s="1667" t="n">
        <f aca="false">HLOOKUP(X$14,Dec_Change,$K255)</f>
        <v>1.02357666287093</v>
      </c>
      <c r="Y255" s="1668" t="n">
        <f aca="false">Y254</f>
        <v>1.02</v>
      </c>
      <c r="Z255" s="1675" t="n">
        <f aca="false">IF(AND($A255&gt;=Z$16,MONTH($A255)=MONTH(Z$16)),MAX(X255,Y255)*Z254,Z254)</f>
        <v>1.57736227411484</v>
      </c>
      <c r="AB255" s="1667" t="n">
        <f aca="false">HLOOKUP(AB$14,Dec_Change,$K255)</f>
        <v>1.02357666287093</v>
      </c>
      <c r="AC255" s="1668" t="n">
        <f aca="false">AC254</f>
        <v>1.02</v>
      </c>
      <c r="AD255" s="1675" t="n">
        <f aca="false">IF(AND($A255&gt;=AD$16,MONTH($A255)=MONTH(AD$16)),MAX(AB255,AC255)*AD254,AD254)</f>
        <v>1.57736227411484</v>
      </c>
      <c r="AF255" s="1667" t="n">
        <f aca="false">HLOOKUP(AF$14,Dec_Change,$K255)</f>
        <v>1.069</v>
      </c>
      <c r="AG255" s="1668" t="n">
        <f aca="false">AG254</f>
        <v>0</v>
      </c>
      <c r="AH255" s="1675" t="n">
        <f aca="false">IF(AND($A255&gt;=AH$16,MONTH($A255)=MONTH(AH$16)),MAX(AF255,AG255)*AH254,AH254)</f>
        <v>4.2042559768075</v>
      </c>
      <c r="AJ255" s="1667" t="n">
        <f aca="false">HLOOKUP(AJ$14,Dec_Change,$K255)</f>
        <v>1.02357666287093</v>
      </c>
      <c r="AK255" s="1668" t="n">
        <f aca="false">AK254</f>
        <v>1.02</v>
      </c>
      <c r="AL255" s="1675" t="n">
        <f aca="false">IF(AND($A255&gt;=AL$16,MONTH($A255)=MONTH(AL$16)),MAX(AJ255,AK255)*AL254,AL254)</f>
        <v>1.57736227411484</v>
      </c>
      <c r="AN255" s="1667" t="n">
        <f aca="false">HLOOKUP(AN$14,Dec_Change,$K255)</f>
        <v>1.02607666287093</v>
      </c>
      <c r="AO255" s="1668" t="n">
        <f aca="false">AO254</f>
        <v>1.005</v>
      </c>
      <c r="AP255" s="1675" t="n">
        <f aca="false">IF(AND($A255&gt;=AP$16,MONTH($A255)=MONTH(AP$16)),MAX(AN255,AO255)*AP254,AP254)</f>
        <v>1.63898344452994</v>
      </c>
      <c r="AR255" s="1670" t="n">
        <f aca="false">$A255</f>
        <v>42583</v>
      </c>
      <c r="AS255" s="1671" t="n">
        <f aca="false">IF(AND($A255&gt;=EDATE(AS$17,12),IF(Assm!$L$74=0,$D255,$E255)/AS254&gt;=1.05),IF(Assm!$L$74=0,$D255,$E255),AS254)</f>
        <v>2.91512077880939</v>
      </c>
      <c r="AT255" s="1671" t="n">
        <f aca="false">IF(AS255/AS254=1,AT254,AS255/AS254)</f>
        <v>1.05082462704108</v>
      </c>
      <c r="AU255" s="1671" t="n">
        <f aca="false">F255</f>
        <v>1.069</v>
      </c>
      <c r="AV255" s="1671" t="n">
        <f aca="false">MAX(AT255,AU255)</f>
        <v>1.069</v>
      </c>
      <c r="AW255" s="1675" t="n">
        <f aca="false">IF(AV255=AV254,AW254,AV255*AW254)</f>
        <v>3.93987628229506</v>
      </c>
    </row>
    <row r="256" customFormat="false" ht="12.75" hidden="false" customHeight="false" outlineLevel="0" collapsed="false">
      <c r="A256" s="1673" t="n">
        <f aca="false">EDATE(A255,1)</f>
        <v>42614</v>
      </c>
      <c r="B256" s="1659" t="n">
        <f aca="false">'[4]Monthly Curve Calc.'!B259</f>
        <v>604.354987813755</v>
      </c>
      <c r="C256" s="1660" t="n">
        <f aca="false">'[4]Monthly Curve Calc.'!C259</f>
        <v>265.43310767668</v>
      </c>
      <c r="D256" s="1661" t="n">
        <f aca="false">'[4]Monthly Curve Calc.'!F259</f>
        <v>2.97342123071846</v>
      </c>
      <c r="E256" s="1662" t="n">
        <f aca="false">IF($A256&lt;=E$16,D256,(B256/B255)/(C256/C255)*E255)</f>
        <v>2.77464936212453</v>
      </c>
      <c r="F256" s="1674" t="n">
        <f aca="false">IF(Assm!$L$75=0,F255,IF(AND($A256&gt;F$16,MONTH($A256)=MONTH(F$16)),B255/B243,F255))</f>
        <v>1.069</v>
      </c>
      <c r="G256" s="1668" t="n">
        <f aca="false">IF(Assm!$L$75=0,G255,IF(AND($A256&gt;G$16,MONTH($A256)=MONTH(G$16)),C255/C243,G255))</f>
        <v>1.02607666287093</v>
      </c>
      <c r="H256" s="1668" t="n">
        <f aca="false">IF(Assm!$L$75=0,H255,IF(AND($A256&gt;H$16,MONTH($A256)=MONTH(H$16)),C255/C243-H$18,H255))</f>
        <v>1.02357666287093</v>
      </c>
      <c r="I256" s="1668" t="n">
        <f aca="false">IF(Assm!$L$75=0,I255,IF($A256&gt;=I$16,IF(MONTH($A256)=MONTH(I$16),AVERAGE(D244:D255),I255),I255))</f>
        <v>2.9031828886712</v>
      </c>
      <c r="J256" s="1675" t="n">
        <f aca="false">IF(Assm!$L$75=0,J255,IF($A256&gt;=J$16,IF(MONTH($A256)=MONTH(J$16),AVERAGE(E244:E255),J255),J255))</f>
        <v>2.64123741173285</v>
      </c>
      <c r="K256" s="1624" t="n">
        <f aca="false">K255+1</f>
        <v>244</v>
      </c>
      <c r="L256" s="1667" t="n">
        <f aca="false">HLOOKUP(L$14,Dec_Change,$K256)</f>
        <v>1.02607666287093</v>
      </c>
      <c r="M256" s="1668" t="n">
        <f aca="false">M255</f>
        <v>0</v>
      </c>
      <c r="N256" s="1675" t="n">
        <f aca="false">IF(AND($A256&gt;=N$16,MONTH($A256)=MONTH(N$16)),MAX(L256,M256)*N255,N255)</f>
        <v>1.63898344452994</v>
      </c>
      <c r="P256" s="1667" t="n">
        <f aca="false">HLOOKUP(P$14,Dec_Change,$K256)</f>
        <v>1.069</v>
      </c>
      <c r="Q256" s="1668" t="n">
        <f aca="false">Q255</f>
        <v>0</v>
      </c>
      <c r="R256" s="1675" t="n">
        <f aca="false">IF(AND($A256&gt;=R$16,MONTH($A256)=MONTH(R$16)),MAX(P256,Q256)*R255,R255)</f>
        <v>4.2042559768075</v>
      </c>
      <c r="T256" s="1667" t="n">
        <f aca="false">HLOOKUP(T$14,Dec_Change,$K256)</f>
        <v>1.02607666287093</v>
      </c>
      <c r="U256" s="1668" t="n">
        <f aca="false">U255</f>
        <v>1.005</v>
      </c>
      <c r="V256" s="1675" t="n">
        <f aca="false">IF(AND($A256&gt;=V$16,MONTH($A256)=MONTH(V$16)),MAX(T256,U256)*V255,V255)</f>
        <v>1.63898344452994</v>
      </c>
      <c r="X256" s="1667" t="n">
        <f aca="false">HLOOKUP(X$14,Dec_Change,$K256)</f>
        <v>1.02357666287093</v>
      </c>
      <c r="Y256" s="1668" t="n">
        <f aca="false">Y255</f>
        <v>1.02</v>
      </c>
      <c r="Z256" s="1675" t="n">
        <f aca="false">IF(AND($A256&gt;=Z$16,MONTH($A256)=MONTH(Z$16)),MAX(X256,Y256)*Z255,Z255)</f>
        <v>1.57736227411484</v>
      </c>
      <c r="AB256" s="1667" t="n">
        <f aca="false">HLOOKUP(AB$14,Dec_Change,$K256)</f>
        <v>1.02357666287093</v>
      </c>
      <c r="AC256" s="1668" t="n">
        <f aca="false">AC255</f>
        <v>1.02</v>
      </c>
      <c r="AD256" s="1675" t="n">
        <f aca="false">IF(AND($A256&gt;=AD$16,MONTH($A256)=MONTH(AD$16)),MAX(AB256,AC256)*AD255,AD255)</f>
        <v>1.57736227411484</v>
      </c>
      <c r="AF256" s="1667" t="n">
        <f aca="false">HLOOKUP(AF$14,Dec_Change,$K256)</f>
        <v>1.069</v>
      </c>
      <c r="AG256" s="1668" t="n">
        <f aca="false">AG255</f>
        <v>0</v>
      </c>
      <c r="AH256" s="1675" t="n">
        <f aca="false">IF(AND($A256&gt;=AH$16,MONTH($A256)=MONTH(AH$16)),MAX(AF256,AG256)*AH255,AH255)</f>
        <v>4.2042559768075</v>
      </c>
      <c r="AJ256" s="1667" t="n">
        <f aca="false">HLOOKUP(AJ$14,Dec_Change,$K256)</f>
        <v>1.02357666287093</v>
      </c>
      <c r="AK256" s="1668" t="n">
        <f aca="false">AK255</f>
        <v>1.02</v>
      </c>
      <c r="AL256" s="1675" t="n">
        <f aca="false">IF(AND($A256&gt;=AL$16,MONTH($A256)=MONTH(AL$16)),MAX(AJ256,AK256)*AL255,AL255)</f>
        <v>1.57736227411484</v>
      </c>
      <c r="AN256" s="1667" t="n">
        <f aca="false">HLOOKUP(AN$14,Dec_Change,$K256)</f>
        <v>1.02607666287093</v>
      </c>
      <c r="AO256" s="1668" t="n">
        <f aca="false">AO255</f>
        <v>1.005</v>
      </c>
      <c r="AP256" s="1675" t="n">
        <f aca="false">IF(AND($A256&gt;=AP$16,MONTH($A256)=MONTH(AP$16)),MAX(AN256,AO256)*AP255,AP255)</f>
        <v>1.63898344452994</v>
      </c>
      <c r="AR256" s="1670" t="n">
        <f aca="false">$A256</f>
        <v>42614</v>
      </c>
      <c r="AS256" s="1671" t="n">
        <f aca="false">IF(AND($A256&gt;=EDATE(AS$17,12),IF(Assm!$L$74=0,$D256,$E256)/AS255&gt;=1.05),IF(Assm!$L$74=0,$D256,$E256),AS255)</f>
        <v>2.91512077880939</v>
      </c>
      <c r="AT256" s="1671" t="n">
        <f aca="false">IF(AS256/AS255=1,AT255,AS256/AS255)</f>
        <v>1.05082462704108</v>
      </c>
      <c r="AU256" s="1671" t="n">
        <f aca="false">F256</f>
        <v>1.069</v>
      </c>
      <c r="AV256" s="1671" t="n">
        <f aca="false">MAX(AT256,AU256)</f>
        <v>1.069</v>
      </c>
      <c r="AW256" s="1675" t="n">
        <f aca="false">IF(AV256=AV255,AW255,AV256*AW255)</f>
        <v>3.93987628229506</v>
      </c>
    </row>
    <row r="257" customFormat="false" ht="12.75" hidden="false" customHeight="false" outlineLevel="0" collapsed="false">
      <c r="A257" s="1673" t="n">
        <f aca="false">EDATE(A256,1)</f>
        <v>42644</v>
      </c>
      <c r="B257" s="1659" t="n">
        <f aca="false">'[4]Monthly Curve Calc.'!B260</f>
        <v>607.724744217151</v>
      </c>
      <c r="C257" s="1660" t="n">
        <f aca="false">'[4]Monthly Curve Calc.'!C260</f>
        <v>266.010447908878</v>
      </c>
      <c r="D257" s="1661" t="n">
        <f aca="false">'[4]Monthly Curve Calc.'!F260</f>
        <v>2.97833416135456</v>
      </c>
      <c r="E257" s="1662" t="n">
        <f aca="false">IF($A257&lt;=E$16,D257,(B257/B256)/(C257/C256)*E256)</f>
        <v>2.78406463968747</v>
      </c>
      <c r="F257" s="1674" t="n">
        <f aca="false">IF(Assm!$L$75=0,F256,IF(AND($A257&gt;F$16,MONTH($A257)=MONTH(F$16)),B256/B244,F256))</f>
        <v>1.069</v>
      </c>
      <c r="G257" s="1668" t="n">
        <f aca="false">IF(Assm!$L$75=0,G256,IF(AND($A257&gt;G$16,MONTH($A257)=MONTH(G$16)),C256/C244,G256))</f>
        <v>1.02607666287093</v>
      </c>
      <c r="H257" s="1668" t="n">
        <f aca="false">IF(Assm!$L$75=0,H256,IF(AND($A257&gt;H$16,MONTH($A257)=MONTH(H$16)),C256/C244-H$18,H256))</f>
        <v>1.02357666287093</v>
      </c>
      <c r="I257" s="1668" t="n">
        <f aca="false">IF(Assm!$L$75=0,I256,IF($A257&gt;=I$16,IF(MONTH($A257)=MONTH(I$16),AVERAGE(D245:D256),I256),I256))</f>
        <v>2.9031828886712</v>
      </c>
      <c r="J257" s="1675" t="n">
        <f aca="false">IF(Assm!$L$75=0,J256,IF($A257&gt;=J$16,IF(MONTH($A257)=MONTH(J$16),AVERAGE(E245:E256),J256),J256))</f>
        <v>2.64123741173285</v>
      </c>
      <c r="K257" s="1624" t="n">
        <f aca="false">K256+1</f>
        <v>245</v>
      </c>
      <c r="L257" s="1667" t="n">
        <f aca="false">HLOOKUP(L$14,Dec_Change,$K257)</f>
        <v>1.02607666287093</v>
      </c>
      <c r="M257" s="1668" t="n">
        <f aca="false">M256</f>
        <v>0</v>
      </c>
      <c r="N257" s="1675" t="n">
        <f aca="false">IF(AND($A257&gt;=N$16,MONTH($A257)=MONTH(N$16)),MAX(L257,M257)*N256,N256)</f>
        <v>1.63898344452994</v>
      </c>
      <c r="P257" s="1667" t="n">
        <f aca="false">HLOOKUP(P$14,Dec_Change,$K257)</f>
        <v>1.069</v>
      </c>
      <c r="Q257" s="1668" t="n">
        <f aca="false">Q256</f>
        <v>0</v>
      </c>
      <c r="R257" s="1675" t="n">
        <f aca="false">IF(AND($A257&gt;=R$16,MONTH($A257)=MONTH(R$16)),MAX(P257,Q257)*R256,R256)</f>
        <v>4.2042559768075</v>
      </c>
      <c r="T257" s="1667" t="n">
        <f aca="false">HLOOKUP(T$14,Dec_Change,$K257)</f>
        <v>1.02607666287093</v>
      </c>
      <c r="U257" s="1668" t="n">
        <f aca="false">U256</f>
        <v>1.005</v>
      </c>
      <c r="V257" s="1675" t="n">
        <f aca="false">IF(AND($A257&gt;=V$16,MONTH($A257)=MONTH(V$16)),MAX(T257,U257)*V256,V256)</f>
        <v>1.63898344452994</v>
      </c>
      <c r="X257" s="1667" t="n">
        <f aca="false">HLOOKUP(X$14,Dec_Change,$K257)</f>
        <v>1.02357666287093</v>
      </c>
      <c r="Y257" s="1668" t="n">
        <f aca="false">Y256</f>
        <v>1.02</v>
      </c>
      <c r="Z257" s="1675" t="n">
        <f aca="false">IF(AND($A257&gt;=Z$16,MONTH($A257)=MONTH(Z$16)),MAX(X257,Y257)*Z256,Z256)</f>
        <v>1.57736227411484</v>
      </c>
      <c r="AB257" s="1667" t="n">
        <f aca="false">HLOOKUP(AB$14,Dec_Change,$K257)</f>
        <v>1.02357666287093</v>
      </c>
      <c r="AC257" s="1668" t="n">
        <f aca="false">AC256</f>
        <v>1.02</v>
      </c>
      <c r="AD257" s="1675" t="n">
        <f aca="false">IF(AND($A257&gt;=AD$16,MONTH($A257)=MONTH(AD$16)),MAX(AB257,AC257)*AD256,AD256)</f>
        <v>1.57736227411484</v>
      </c>
      <c r="AF257" s="1667" t="n">
        <f aca="false">HLOOKUP(AF$14,Dec_Change,$K257)</f>
        <v>1.069</v>
      </c>
      <c r="AG257" s="1668" t="n">
        <f aca="false">AG256</f>
        <v>0</v>
      </c>
      <c r="AH257" s="1675" t="n">
        <f aca="false">IF(AND($A257&gt;=AH$16,MONTH($A257)=MONTH(AH$16)),MAX(AF257,AG257)*AH256,AH256)</f>
        <v>4.2042559768075</v>
      </c>
      <c r="AJ257" s="1667" t="n">
        <f aca="false">HLOOKUP(AJ$14,Dec_Change,$K257)</f>
        <v>1.02357666287093</v>
      </c>
      <c r="AK257" s="1668" t="n">
        <f aca="false">AK256</f>
        <v>1.02</v>
      </c>
      <c r="AL257" s="1675" t="n">
        <f aca="false">IF(AND($A257&gt;=AL$16,MONTH($A257)=MONTH(AL$16)),MAX(AJ257,AK257)*AL256,AL256)</f>
        <v>1.57736227411484</v>
      </c>
      <c r="AN257" s="1667" t="n">
        <f aca="false">HLOOKUP(AN$14,Dec_Change,$K257)</f>
        <v>1.02607666287093</v>
      </c>
      <c r="AO257" s="1668" t="n">
        <f aca="false">AO256</f>
        <v>1.005</v>
      </c>
      <c r="AP257" s="1675" t="n">
        <f aca="false">IF(AND($A257&gt;=AP$16,MONTH($A257)=MONTH(AP$16)),MAX(AN257,AO257)*AP256,AP256)</f>
        <v>1.63898344452994</v>
      </c>
      <c r="AR257" s="1670" t="n">
        <f aca="false">$A257</f>
        <v>42644</v>
      </c>
      <c r="AS257" s="1671" t="n">
        <f aca="false">IF(AND($A257&gt;=EDATE(AS$17,12),IF(Assm!$L$74=0,$D257,$E257)/AS256&gt;=1.05),IF(Assm!$L$74=0,$D257,$E257),AS256)</f>
        <v>2.91512077880939</v>
      </c>
      <c r="AT257" s="1671" t="n">
        <f aca="false">IF(AS257/AS256=1,AT256,AS257/AS256)</f>
        <v>1.05082462704108</v>
      </c>
      <c r="AU257" s="1671" t="n">
        <f aca="false">F257</f>
        <v>1.069</v>
      </c>
      <c r="AV257" s="1671" t="n">
        <f aca="false">MAX(AT257,AU257)</f>
        <v>1.069</v>
      </c>
      <c r="AW257" s="1675" t="n">
        <f aca="false">IF(AV257=AV256,AW256,AV257*AW256)</f>
        <v>3.93987628229506</v>
      </c>
    </row>
    <row r="258" customFormat="false" ht="12.75" hidden="false" customHeight="false" outlineLevel="0" collapsed="false">
      <c r="A258" s="1673" t="n">
        <f aca="false">EDATE(A257,1)</f>
        <v>42675</v>
      </c>
      <c r="B258" s="1659" t="n">
        <f aca="false">'[4]Monthly Curve Calc.'!B261</f>
        <v>611.11328967408</v>
      </c>
      <c r="C258" s="1660" t="n">
        <f aca="false">'[4]Monthly Curve Calc.'!C261</f>
        <v>266.589043906594</v>
      </c>
      <c r="D258" s="1661" t="n">
        <f aca="false">'[4]Monthly Curve Calc.'!F261</f>
        <v>2.98325520953795</v>
      </c>
      <c r="E258" s="1662" t="n">
        <f aca="false">IF($A258&lt;=E$16,D258,(B258/B257)/(C258/C257)*E257)</f>
        <v>2.79351186631496</v>
      </c>
      <c r="F258" s="1674" t="n">
        <f aca="false">IF(Assm!$L$75=0,F257,IF(AND($A258&gt;F$16,MONTH($A258)=MONTH(F$16)),B257/B245,F257))</f>
        <v>1.069</v>
      </c>
      <c r="G258" s="1668" t="n">
        <f aca="false">IF(Assm!$L$75=0,G257,IF(AND($A258&gt;G$16,MONTH($A258)=MONTH(G$16)),C257/C245,G257))</f>
        <v>1.02607666287093</v>
      </c>
      <c r="H258" s="1668" t="n">
        <f aca="false">IF(Assm!$L$75=0,H257,IF(AND($A258&gt;H$16,MONTH($A258)=MONTH(H$16)),C257/C245-H$18,H257))</f>
        <v>1.02357666287093</v>
      </c>
      <c r="I258" s="1668" t="n">
        <f aca="false">IF(Assm!$L$75=0,I257,IF($A258&gt;=I$16,IF(MONTH($A258)=MONTH(I$16),AVERAGE(D246:D257),I257),I257))</f>
        <v>2.9031828886712</v>
      </c>
      <c r="J258" s="1675" t="n">
        <f aca="false">IF(Assm!$L$75=0,J257,IF($A258&gt;=J$16,IF(MONTH($A258)=MONTH(J$16),AVERAGE(E246:E257),J257),J257))</f>
        <v>2.64123741173285</v>
      </c>
      <c r="K258" s="1624" t="n">
        <f aca="false">K257+1</f>
        <v>246</v>
      </c>
      <c r="L258" s="1667" t="n">
        <f aca="false">HLOOKUP(L$14,Dec_Change,$K258)</f>
        <v>1.02607666287093</v>
      </c>
      <c r="M258" s="1668" t="n">
        <f aca="false">M257</f>
        <v>0</v>
      </c>
      <c r="N258" s="1675" t="n">
        <f aca="false">IF(AND($A258&gt;=N$16,MONTH($A258)=MONTH(N$16)),MAX(L258,M258)*N257,N257)</f>
        <v>1.63898344452994</v>
      </c>
      <c r="P258" s="1667" t="n">
        <f aca="false">HLOOKUP(P$14,Dec_Change,$K258)</f>
        <v>1.069</v>
      </c>
      <c r="Q258" s="1668" t="n">
        <f aca="false">Q257</f>
        <v>0</v>
      </c>
      <c r="R258" s="1675" t="n">
        <f aca="false">IF(AND($A258&gt;=R$16,MONTH($A258)=MONTH(R$16)),MAX(P258,Q258)*R257,R257)</f>
        <v>4.2042559768075</v>
      </c>
      <c r="T258" s="1667" t="n">
        <f aca="false">HLOOKUP(T$14,Dec_Change,$K258)</f>
        <v>1.02607666287093</v>
      </c>
      <c r="U258" s="1668" t="n">
        <f aca="false">U257</f>
        <v>1.005</v>
      </c>
      <c r="V258" s="1675" t="n">
        <f aca="false">IF(AND($A258&gt;=V$16,MONTH($A258)=MONTH(V$16)),MAX(T258,U258)*V257,V257)</f>
        <v>1.63898344452994</v>
      </c>
      <c r="X258" s="1667" t="n">
        <f aca="false">HLOOKUP(X$14,Dec_Change,$K258)</f>
        <v>1.02357666287093</v>
      </c>
      <c r="Y258" s="1668" t="n">
        <f aca="false">Y257</f>
        <v>1.02</v>
      </c>
      <c r="Z258" s="1675" t="n">
        <f aca="false">IF(AND($A258&gt;=Z$16,MONTH($A258)=MONTH(Z$16)),MAX(X258,Y258)*Z257,Z257)</f>
        <v>1.57736227411484</v>
      </c>
      <c r="AB258" s="1667" t="n">
        <f aca="false">HLOOKUP(AB$14,Dec_Change,$K258)</f>
        <v>1.02357666287093</v>
      </c>
      <c r="AC258" s="1668" t="n">
        <f aca="false">AC257</f>
        <v>1.02</v>
      </c>
      <c r="AD258" s="1675" t="n">
        <f aca="false">IF(AND($A258&gt;=AD$16,MONTH($A258)=MONTH(AD$16)),MAX(AB258,AC258)*AD257,AD257)</f>
        <v>1.57736227411484</v>
      </c>
      <c r="AF258" s="1667" t="n">
        <f aca="false">HLOOKUP(AF$14,Dec_Change,$K258)</f>
        <v>1.069</v>
      </c>
      <c r="AG258" s="1668" t="n">
        <f aca="false">AG257</f>
        <v>0</v>
      </c>
      <c r="AH258" s="1675" t="n">
        <f aca="false">IF(AND($A258&gt;=AH$16,MONTH($A258)=MONTH(AH$16)),MAX(AF258,AG258)*AH257,AH257)</f>
        <v>4.2042559768075</v>
      </c>
      <c r="AJ258" s="1667" t="n">
        <f aca="false">HLOOKUP(AJ$14,Dec_Change,$K258)</f>
        <v>1.02357666287093</v>
      </c>
      <c r="AK258" s="1668" t="n">
        <f aca="false">AK257</f>
        <v>1.02</v>
      </c>
      <c r="AL258" s="1675" t="n">
        <f aca="false">IF(AND($A258&gt;=AL$16,MONTH($A258)=MONTH(AL$16)),MAX(AJ258,AK258)*AL257,AL257)</f>
        <v>1.57736227411484</v>
      </c>
      <c r="AN258" s="1667" t="n">
        <f aca="false">HLOOKUP(AN$14,Dec_Change,$K258)</f>
        <v>1.02607666287093</v>
      </c>
      <c r="AO258" s="1668" t="n">
        <f aca="false">AO257</f>
        <v>1.005</v>
      </c>
      <c r="AP258" s="1675" t="n">
        <f aca="false">IF(AND($A258&gt;=AP$16,MONTH($A258)=MONTH(AP$16)),MAX(AN258,AO258)*AP257,AP257)</f>
        <v>1.63898344452994</v>
      </c>
      <c r="AR258" s="1670" t="n">
        <f aca="false">$A258</f>
        <v>42675</v>
      </c>
      <c r="AS258" s="1671" t="n">
        <f aca="false">IF(AND($A258&gt;=EDATE(AS$17,12),IF(Assm!$L$74=0,$D258,$E258)/AS257&gt;=1.05),IF(Assm!$L$74=0,$D258,$E258),AS257)</f>
        <v>2.91512077880939</v>
      </c>
      <c r="AT258" s="1671" t="n">
        <f aca="false">IF(AS258/AS257=1,AT257,AS258/AS257)</f>
        <v>1.05082462704108</v>
      </c>
      <c r="AU258" s="1671" t="n">
        <f aca="false">F258</f>
        <v>1.069</v>
      </c>
      <c r="AV258" s="1671" t="n">
        <f aca="false">MAX(AT258,AU258)</f>
        <v>1.069</v>
      </c>
      <c r="AW258" s="1675" t="n">
        <f aca="false">IF(AV258=AV257,AW257,AV258*AW257)</f>
        <v>3.93987628229506</v>
      </c>
    </row>
    <row r="259" customFormat="false" ht="12.75" hidden="false" customHeight="false" outlineLevel="0" collapsed="false">
      <c r="A259" s="1673" t="n">
        <f aca="false">EDATE(A258,1)</f>
        <v>42705</v>
      </c>
      <c r="B259" s="1659" t="n">
        <f aca="false">'[4]Monthly Curve Calc.'!B262</f>
        <v>614.520728948354</v>
      </c>
      <c r="C259" s="1660" t="n">
        <f aca="false">'[4]Monthly Curve Calc.'!C262</f>
        <v>267.168898401227</v>
      </c>
      <c r="D259" s="1661" t="n">
        <f aca="false">'[4]Monthly Curve Calc.'!F262</f>
        <v>2.9881843886811</v>
      </c>
      <c r="E259" s="1662" t="n">
        <f aca="false">IF($A259&lt;=E$16,D259,(B259/B258)/(C259/C258)*E258)</f>
        <v>2.80299115042045</v>
      </c>
      <c r="F259" s="1674" t="n">
        <f aca="false">IF(Assm!$L$75=0,F258,IF(AND($A259&gt;F$16,MONTH($A259)=MONTH(F$16)),B258/B246,F258))</f>
        <v>1.069</v>
      </c>
      <c r="G259" s="1668" t="n">
        <f aca="false">IF(Assm!$L$75=0,G258,IF(AND($A259&gt;G$16,MONTH($A259)=MONTH(G$16)),C258/C246,G258))</f>
        <v>1.02607666287093</v>
      </c>
      <c r="H259" s="1668" t="n">
        <f aca="false">IF(Assm!$L$75=0,H258,IF(AND($A259&gt;H$16,MONTH($A259)=MONTH(H$16)),C258/C246-H$18,H258))</f>
        <v>1.02357666287093</v>
      </c>
      <c r="I259" s="1668" t="n">
        <f aca="false">IF(Assm!$L$75=0,I258,IF($A259&gt;=I$16,IF(MONTH($A259)=MONTH(I$16),AVERAGE(D247:D258),I258),I258))</f>
        <v>2.9031828886712</v>
      </c>
      <c r="J259" s="1675" t="n">
        <f aca="false">IF(Assm!$L$75=0,J258,IF($A259&gt;=J$16,IF(MONTH($A259)=MONTH(J$16),AVERAGE(E247:E258),J258),J258))</f>
        <v>2.64123741173285</v>
      </c>
      <c r="K259" s="1624" t="n">
        <f aca="false">K258+1</f>
        <v>247</v>
      </c>
      <c r="L259" s="1667" t="n">
        <f aca="false">HLOOKUP(L$14,Dec_Change,$K259)</f>
        <v>1.02607666287093</v>
      </c>
      <c r="M259" s="1668" t="n">
        <f aca="false">M258</f>
        <v>0</v>
      </c>
      <c r="N259" s="1675" t="n">
        <f aca="false">IF(AND($A259&gt;=N$16,MONTH($A259)=MONTH(N$16)),MAX(L259,M259)*N258,N258)</f>
        <v>1.63898344452994</v>
      </c>
      <c r="P259" s="1667" t="n">
        <f aca="false">HLOOKUP(P$14,Dec_Change,$K259)</f>
        <v>1.069</v>
      </c>
      <c r="Q259" s="1668" t="n">
        <f aca="false">Q258</f>
        <v>0</v>
      </c>
      <c r="R259" s="1675" t="n">
        <f aca="false">IF(AND($A259&gt;=R$16,MONTH($A259)=MONTH(R$16)),MAX(P259,Q259)*R258,R258)</f>
        <v>4.2042559768075</v>
      </c>
      <c r="T259" s="1667" t="n">
        <f aca="false">HLOOKUP(T$14,Dec_Change,$K259)</f>
        <v>1.02607666287093</v>
      </c>
      <c r="U259" s="1668" t="n">
        <f aca="false">U258</f>
        <v>1.005</v>
      </c>
      <c r="V259" s="1675" t="n">
        <f aca="false">IF(AND($A259&gt;=V$16,MONTH($A259)=MONTH(V$16)),MAX(T259,U259)*V258,V258)</f>
        <v>1.63898344452994</v>
      </c>
      <c r="X259" s="1667" t="n">
        <f aca="false">HLOOKUP(X$14,Dec_Change,$K259)</f>
        <v>1.02357666287093</v>
      </c>
      <c r="Y259" s="1668" t="n">
        <f aca="false">Y258</f>
        <v>1.02</v>
      </c>
      <c r="Z259" s="1675" t="n">
        <f aca="false">IF(AND($A259&gt;=Z$16,MONTH($A259)=MONTH(Z$16)),MAX(X259,Y259)*Z258,Z258)</f>
        <v>1.57736227411484</v>
      </c>
      <c r="AB259" s="1667" t="n">
        <f aca="false">HLOOKUP(AB$14,Dec_Change,$K259)</f>
        <v>1.02357666287093</v>
      </c>
      <c r="AC259" s="1668" t="n">
        <f aca="false">AC258</f>
        <v>1.02</v>
      </c>
      <c r="AD259" s="1675" t="n">
        <f aca="false">IF(AND($A259&gt;=AD$16,MONTH($A259)=MONTH(AD$16)),MAX(AB259,AC259)*AD258,AD258)</f>
        <v>1.57736227411484</v>
      </c>
      <c r="AF259" s="1667" t="n">
        <f aca="false">HLOOKUP(AF$14,Dec_Change,$K259)</f>
        <v>1.069</v>
      </c>
      <c r="AG259" s="1668" t="n">
        <f aca="false">AG258</f>
        <v>0</v>
      </c>
      <c r="AH259" s="1675" t="n">
        <f aca="false">IF(AND($A259&gt;=AH$16,MONTH($A259)=MONTH(AH$16)),MAX(AF259,AG259)*AH258,AH258)</f>
        <v>4.2042559768075</v>
      </c>
      <c r="AJ259" s="1667" t="n">
        <f aca="false">HLOOKUP(AJ$14,Dec_Change,$K259)</f>
        <v>1.02357666287093</v>
      </c>
      <c r="AK259" s="1668" t="n">
        <f aca="false">AK258</f>
        <v>1.02</v>
      </c>
      <c r="AL259" s="1675" t="n">
        <f aca="false">IF(AND($A259&gt;=AL$16,MONTH($A259)=MONTH(AL$16)),MAX(AJ259,AK259)*AL258,AL258)</f>
        <v>1.57736227411484</v>
      </c>
      <c r="AN259" s="1667" t="n">
        <f aca="false">HLOOKUP(AN$14,Dec_Change,$K259)</f>
        <v>1.02607666287093</v>
      </c>
      <c r="AO259" s="1668" t="n">
        <f aca="false">AO258</f>
        <v>1.005</v>
      </c>
      <c r="AP259" s="1675" t="n">
        <f aca="false">IF(AND($A259&gt;=AP$16,MONTH($A259)=MONTH(AP$16)),MAX(AN259,AO259)*AP258,AP258)</f>
        <v>1.63898344452994</v>
      </c>
      <c r="AR259" s="1670" t="n">
        <f aca="false">$A259</f>
        <v>42705</v>
      </c>
      <c r="AS259" s="1671" t="n">
        <f aca="false">IF(AND($A259&gt;=EDATE(AS$17,12),IF(Assm!$L$74=0,$D259,$E259)/AS258&gt;=1.05),IF(Assm!$L$74=0,$D259,$E259),AS258)</f>
        <v>2.91512077880939</v>
      </c>
      <c r="AT259" s="1671" t="n">
        <f aca="false">IF(AS259/AS258=1,AT258,AS259/AS258)</f>
        <v>1.05082462704108</v>
      </c>
      <c r="AU259" s="1671" t="n">
        <f aca="false">F259</f>
        <v>1.069</v>
      </c>
      <c r="AV259" s="1671" t="n">
        <f aca="false">MAX(AT259,AU259)</f>
        <v>1.069</v>
      </c>
      <c r="AW259" s="1675" t="n">
        <f aca="false">IF(AV259=AV258,AW258,AV259*AW258)</f>
        <v>3.93987628229506</v>
      </c>
    </row>
    <row r="260" customFormat="false" ht="12.75" hidden="false" customHeight="false" outlineLevel="0" collapsed="false">
      <c r="A260" s="1673" t="n">
        <f aca="false">EDATE(A259,1)</f>
        <v>42736</v>
      </c>
      <c r="B260" s="1659" t="n">
        <f aca="false">'[4]Monthly Curve Calc.'!B263</f>
        <v>617.898974975202</v>
      </c>
      <c r="C260" s="1660" t="n">
        <f aca="false">'[4]Monthly Curve Calc.'!C263</f>
        <v>267.760699845458</v>
      </c>
      <c r="D260" s="1661" t="n">
        <f aca="false">'[4]Monthly Curve Calc.'!F263</f>
        <v>2.99310910169973</v>
      </c>
      <c r="E260" s="1662" t="n">
        <f aca="false">IF($A260&lt;=E$16,D260,(B260/B259)/(C260/C259)*E259)</f>
        <v>2.81217102779035</v>
      </c>
      <c r="F260" s="1674" t="n">
        <f aca="false">IF(Assm!$L$75=0,F259,IF(AND($A260&gt;F$16,MONTH($A260)=MONTH(F$16)),B259/B247,F259))</f>
        <v>1.069</v>
      </c>
      <c r="G260" s="1668" t="n">
        <f aca="false">IF(Assm!$L$75=0,G259,IF(AND($A260&gt;G$16,MONTH($A260)=MONTH(G$16)),C259/C247,G259))</f>
        <v>1.02607666287093</v>
      </c>
      <c r="H260" s="1668" t="n">
        <f aca="false">IF(Assm!$L$75=0,H259,IF(AND($A260&gt;H$16,MONTH($A260)=MONTH(H$16)),C259/C247-H$18,H259))</f>
        <v>1.02357666287093</v>
      </c>
      <c r="I260" s="1668" t="n">
        <f aca="false">IF(Assm!$L$75=0,I259,IF($A260&gt;=I$16,IF(MONTH($A260)=MONTH(I$16),AVERAGE(D248:D259),I259),I259))</f>
        <v>2.96122241918212</v>
      </c>
      <c r="J260" s="1675" t="n">
        <f aca="false">IF(Assm!$L$75=0,J259,IF($A260&gt;=J$16,IF(MONTH($A260)=MONTH(J$16),AVERAGE(E248:E259),J259),J259))</f>
        <v>2.75143836031838</v>
      </c>
      <c r="K260" s="1624" t="n">
        <f aca="false">K259+1</f>
        <v>248</v>
      </c>
      <c r="L260" s="1667" t="n">
        <f aca="false">HLOOKUP(L$14,Dec_Change,$K260)</f>
        <v>1.02607666287093</v>
      </c>
      <c r="M260" s="1668" t="n">
        <f aca="false">M259</f>
        <v>0</v>
      </c>
      <c r="N260" s="1675" t="n">
        <f aca="false">IF(AND($A260&gt;=N$16,MONTH($A260)=MONTH(N$16)),MAX(L260,M260)*N259,N259)</f>
        <v>1.63898344452994</v>
      </c>
      <c r="P260" s="1667" t="n">
        <f aca="false">HLOOKUP(P$14,Dec_Change,$K260)</f>
        <v>1.069</v>
      </c>
      <c r="Q260" s="1668" t="n">
        <f aca="false">Q259</f>
        <v>0</v>
      </c>
      <c r="R260" s="1675" t="n">
        <f aca="false">IF(AND($A260&gt;=R$16,MONTH($A260)=MONTH(R$16)),MAX(P260,Q260)*R259,R259)</f>
        <v>4.2042559768075</v>
      </c>
      <c r="T260" s="1667" t="n">
        <f aca="false">HLOOKUP(T$14,Dec_Change,$K260)</f>
        <v>1.02607666287093</v>
      </c>
      <c r="U260" s="1668" t="n">
        <f aca="false">U259</f>
        <v>1.005</v>
      </c>
      <c r="V260" s="1675" t="n">
        <f aca="false">IF(AND($A260&gt;=V$16,MONTH($A260)=MONTH(V$16)),MAX(T260,U260)*V259,V259)</f>
        <v>1.63898344452994</v>
      </c>
      <c r="X260" s="1667" t="n">
        <f aca="false">HLOOKUP(X$14,Dec_Change,$K260)</f>
        <v>1.02357666287093</v>
      </c>
      <c r="Y260" s="1668" t="n">
        <f aca="false">Y259</f>
        <v>1.02</v>
      </c>
      <c r="Z260" s="1675" t="n">
        <f aca="false">IF(AND($A260&gt;=Z$16,MONTH($A260)=MONTH(Z$16)),MAX(X260,Y260)*Z259,Z259)</f>
        <v>1.57736227411484</v>
      </c>
      <c r="AB260" s="1667" t="n">
        <f aca="false">HLOOKUP(AB$14,Dec_Change,$K260)</f>
        <v>1.02357666287093</v>
      </c>
      <c r="AC260" s="1668" t="n">
        <f aca="false">AC259</f>
        <v>1.02</v>
      </c>
      <c r="AD260" s="1675" t="n">
        <f aca="false">IF(AND($A260&gt;=AD$16,MONTH($A260)=MONTH(AD$16)),MAX(AB260,AC260)*AD259,AD259)</f>
        <v>1.57736227411484</v>
      </c>
      <c r="AF260" s="1667" t="n">
        <f aca="false">HLOOKUP(AF$14,Dec_Change,$K260)</f>
        <v>1.069</v>
      </c>
      <c r="AG260" s="1668" t="n">
        <f aca="false">AG259</f>
        <v>0</v>
      </c>
      <c r="AH260" s="1675" t="n">
        <f aca="false">IF(AND($A260&gt;=AH$16,MONTH($A260)=MONTH(AH$16)),MAX(AF260,AG260)*AH259,AH259)</f>
        <v>4.2042559768075</v>
      </c>
      <c r="AJ260" s="1667" t="n">
        <f aca="false">HLOOKUP(AJ$14,Dec_Change,$K260)</f>
        <v>1.02357666287093</v>
      </c>
      <c r="AK260" s="1668" t="n">
        <f aca="false">AK259</f>
        <v>1.02</v>
      </c>
      <c r="AL260" s="1675" t="n">
        <f aca="false">IF(AND($A260&gt;=AL$16,MONTH($A260)=MONTH(AL$16)),MAX(AJ260,AK260)*AL259,AL259)</f>
        <v>1.57736227411484</v>
      </c>
      <c r="AN260" s="1667" t="n">
        <f aca="false">HLOOKUP(AN$14,Dec_Change,$K260)</f>
        <v>1.02607666287093</v>
      </c>
      <c r="AO260" s="1668" t="n">
        <f aca="false">AO259</f>
        <v>1.005</v>
      </c>
      <c r="AP260" s="1675" t="n">
        <f aca="false">IF(AND($A260&gt;=AP$16,MONTH($A260)=MONTH(AP$16)),MAX(AN260,AO260)*AP259,AP259)</f>
        <v>1.63898344452994</v>
      </c>
      <c r="AR260" s="1670" t="n">
        <f aca="false">$A260</f>
        <v>42736</v>
      </c>
      <c r="AS260" s="1671" t="n">
        <f aca="false">IF(AND($A260&gt;=EDATE(AS$17,12),IF(Assm!$L$74=0,$D260,$E260)/AS259&gt;=1.05),IF(Assm!$L$74=0,$D260,$E260),AS259)</f>
        <v>2.91512077880939</v>
      </c>
      <c r="AT260" s="1671" t="n">
        <f aca="false">IF(AS260/AS259=1,AT259,AS260/AS259)</f>
        <v>1.05082462704108</v>
      </c>
      <c r="AU260" s="1671" t="n">
        <f aca="false">F260</f>
        <v>1.069</v>
      </c>
      <c r="AV260" s="1671" t="n">
        <f aca="false">MAX(AT260,AU260)</f>
        <v>1.069</v>
      </c>
      <c r="AW260" s="1675" t="n">
        <f aca="false">IF(AV260=AV259,AW259,AV260*AW259)</f>
        <v>3.93987628229506</v>
      </c>
    </row>
    <row r="261" customFormat="false" ht="12.75" hidden="false" customHeight="false" outlineLevel="0" collapsed="false">
      <c r="A261" s="1673" t="n">
        <f aca="false">EDATE(A260,1)</f>
        <v>42767</v>
      </c>
      <c r="B261" s="1659" t="n">
        <f aca="false">'[4]Monthly Curve Calc.'!B264</f>
        <v>621.295792460556</v>
      </c>
      <c r="C261" s="1660" t="n">
        <f aca="false">'[4]Monthly Curve Calc.'!C264</f>
        <v>268.35381217936</v>
      </c>
      <c r="D261" s="1661" t="n">
        <f aca="false">'[4]Monthly Curve Calc.'!F264</f>
        <v>2.99804193095055</v>
      </c>
      <c r="E261" s="1662" t="n">
        <f aca="false">IF($A261&lt;=E$16,D261,(B261/B260)/(C261/C260)*E260)</f>
        <v>2.82138096952507</v>
      </c>
      <c r="F261" s="1674" t="n">
        <f aca="false">IF(Assm!$L$75=0,F260,IF(AND($A261&gt;F$16,MONTH($A261)=MONTH(F$16)),B260/B248,F260))</f>
        <v>1.069</v>
      </c>
      <c r="G261" s="1668" t="n">
        <f aca="false">IF(Assm!$L$75=0,G260,IF(AND($A261&gt;G$16,MONTH($A261)=MONTH(G$16)),C260/C248,G260))</f>
        <v>1.02607666287093</v>
      </c>
      <c r="H261" s="1668" t="n">
        <f aca="false">IF(Assm!$L$75=0,H260,IF(AND($A261&gt;H$16,MONTH($A261)=MONTH(H$16)),C260/C248-H$18,H260))</f>
        <v>1.02357666287093</v>
      </c>
      <c r="I261" s="1668" t="n">
        <f aca="false">IF(Assm!$L$75=0,I260,IF($A261&gt;=I$16,IF(MONTH($A261)=MONTH(I$16),AVERAGE(D249:D260),I260),I260))</f>
        <v>2.96122241918212</v>
      </c>
      <c r="J261" s="1675" t="n">
        <f aca="false">IF(Assm!$L$75=0,J260,IF($A261&gt;=J$16,IF(MONTH($A261)=MONTH(J$16),AVERAGE(E249:E260),J260),J260))</f>
        <v>2.75143836031838</v>
      </c>
      <c r="K261" s="1624" t="n">
        <f aca="false">K260+1</f>
        <v>249</v>
      </c>
      <c r="L261" s="1667" t="n">
        <f aca="false">HLOOKUP(L$14,Dec_Change,$K261)</f>
        <v>1.02607666287093</v>
      </c>
      <c r="M261" s="1668" t="n">
        <f aca="false">M260</f>
        <v>0</v>
      </c>
      <c r="N261" s="1675" t="n">
        <f aca="false">IF(AND($A261&gt;=N$16,MONTH($A261)=MONTH(N$16)),MAX(L261,M261)*N260,N260)</f>
        <v>1.63898344452994</v>
      </c>
      <c r="P261" s="1667" t="n">
        <f aca="false">HLOOKUP(P$14,Dec_Change,$K261)</f>
        <v>1.069</v>
      </c>
      <c r="Q261" s="1668" t="n">
        <f aca="false">Q260</f>
        <v>0</v>
      </c>
      <c r="R261" s="1675" t="n">
        <f aca="false">IF(AND($A261&gt;=R$16,MONTH($A261)=MONTH(R$16)),MAX(P261,Q261)*R260,R260)</f>
        <v>4.2042559768075</v>
      </c>
      <c r="T261" s="1667" t="n">
        <f aca="false">HLOOKUP(T$14,Dec_Change,$K261)</f>
        <v>1.02607666287093</v>
      </c>
      <c r="U261" s="1668" t="n">
        <f aca="false">U260</f>
        <v>1.005</v>
      </c>
      <c r="V261" s="1675" t="n">
        <f aca="false">IF(AND($A261&gt;=V$16,MONTH($A261)=MONTH(V$16)),MAX(T261,U261)*V260,V260)</f>
        <v>1.63898344452994</v>
      </c>
      <c r="X261" s="1667" t="n">
        <f aca="false">HLOOKUP(X$14,Dec_Change,$K261)</f>
        <v>1.02357666287093</v>
      </c>
      <c r="Y261" s="1668" t="n">
        <f aca="false">Y260</f>
        <v>1.02</v>
      </c>
      <c r="Z261" s="1675" t="n">
        <f aca="false">IF(AND($A261&gt;=Z$16,MONTH($A261)=MONTH(Z$16)),MAX(X261,Y261)*Z260,Z260)</f>
        <v>1.57736227411484</v>
      </c>
      <c r="AB261" s="1667" t="n">
        <f aca="false">HLOOKUP(AB$14,Dec_Change,$K261)</f>
        <v>1.02357666287093</v>
      </c>
      <c r="AC261" s="1668" t="n">
        <f aca="false">AC260</f>
        <v>1.02</v>
      </c>
      <c r="AD261" s="1675" t="n">
        <f aca="false">IF(AND($A261&gt;=AD$16,MONTH($A261)=MONTH(AD$16)),MAX(AB261,AC261)*AD260,AD260)</f>
        <v>1.57736227411484</v>
      </c>
      <c r="AF261" s="1667" t="n">
        <f aca="false">HLOOKUP(AF$14,Dec_Change,$K261)</f>
        <v>1.069</v>
      </c>
      <c r="AG261" s="1668" t="n">
        <f aca="false">AG260</f>
        <v>0</v>
      </c>
      <c r="AH261" s="1675" t="n">
        <f aca="false">IF(AND($A261&gt;=AH$16,MONTH($A261)=MONTH(AH$16)),MAX(AF261,AG261)*AH260,AH260)</f>
        <v>4.2042559768075</v>
      </c>
      <c r="AJ261" s="1667" t="n">
        <f aca="false">HLOOKUP(AJ$14,Dec_Change,$K261)</f>
        <v>1.02357666287093</v>
      </c>
      <c r="AK261" s="1668" t="n">
        <f aca="false">AK260</f>
        <v>1.02</v>
      </c>
      <c r="AL261" s="1675" t="n">
        <f aca="false">IF(AND($A261&gt;=AL$16,MONTH($A261)=MONTH(AL$16)),MAX(AJ261,AK261)*AL260,AL260)</f>
        <v>1.57736227411484</v>
      </c>
      <c r="AN261" s="1667" t="n">
        <f aca="false">HLOOKUP(AN$14,Dec_Change,$K261)</f>
        <v>1.02607666287093</v>
      </c>
      <c r="AO261" s="1668" t="n">
        <f aca="false">AO260</f>
        <v>1.005</v>
      </c>
      <c r="AP261" s="1675" t="n">
        <f aca="false">IF(AND($A261&gt;=AP$16,MONTH($A261)=MONTH(AP$16)),MAX(AN261,AO261)*AP260,AP260)</f>
        <v>1.63898344452994</v>
      </c>
      <c r="AR261" s="1670" t="n">
        <f aca="false">$A261</f>
        <v>42767</v>
      </c>
      <c r="AS261" s="1671" t="n">
        <f aca="false">IF(AND($A261&gt;=EDATE(AS$17,12),IF(Assm!$L$74=0,$D261,$E261)/AS260&gt;=1.05),IF(Assm!$L$74=0,$D261,$E261),AS260)</f>
        <v>2.91512077880939</v>
      </c>
      <c r="AT261" s="1671" t="n">
        <f aca="false">IF(AS261/AS260=1,AT260,AS261/AS260)</f>
        <v>1.05082462704108</v>
      </c>
      <c r="AU261" s="1671" t="n">
        <f aca="false">F261</f>
        <v>1.069</v>
      </c>
      <c r="AV261" s="1671" t="n">
        <f aca="false">MAX(AT261,AU261)</f>
        <v>1.069</v>
      </c>
      <c r="AW261" s="1675" t="n">
        <f aca="false">IF(AV261=AV260,AW260,AV261*AW260)</f>
        <v>3.93987628229506</v>
      </c>
    </row>
    <row r="262" customFormat="false" ht="12.75" hidden="false" customHeight="false" outlineLevel="0" collapsed="false">
      <c r="A262" s="1673" t="n">
        <f aca="false">EDATE(A261,1)</f>
        <v>42795</v>
      </c>
      <c r="B262" s="1659" t="n">
        <f aca="false">'[4]Monthly Curve Calc.'!B265</f>
        <v>624.711283498538</v>
      </c>
      <c r="C262" s="1660" t="n">
        <f aca="false">'[4]Monthly Curve Calc.'!C265</f>
        <v>268.948238306664</v>
      </c>
      <c r="D262" s="1661" t="n">
        <f aca="false">'[4]Monthly Curve Calc.'!F265</f>
        <v>3.00298288980961</v>
      </c>
      <c r="E262" s="1662" t="n">
        <f aca="false">IF($A262&lt;=E$16,D262,(B262/B261)/(C262/C261)*E261)</f>
        <v>2.83062107408627</v>
      </c>
      <c r="F262" s="1674" t="n">
        <f aca="false">IF(Assm!$L$75=0,F261,IF(AND($A262&gt;F$16,MONTH($A262)=MONTH(F$16)),B261/B249,F261))</f>
        <v>1.069</v>
      </c>
      <c r="G262" s="1668" t="n">
        <f aca="false">IF(Assm!$L$75=0,G261,IF(AND($A262&gt;G$16,MONTH($A262)=MONTH(G$16)),C261/C249,G261))</f>
        <v>1.02607666287093</v>
      </c>
      <c r="H262" s="1668" t="n">
        <f aca="false">IF(Assm!$L$75=0,H261,IF(AND($A262&gt;H$16,MONTH($A262)=MONTH(H$16)),C261/C249-H$18,H261))</f>
        <v>1.02357666287093</v>
      </c>
      <c r="I262" s="1668" t="n">
        <f aca="false">IF(Assm!$L$75=0,I261,IF($A262&gt;=I$16,IF(MONTH($A262)=MONTH(I$16),AVERAGE(D250:D261),I261),I261))</f>
        <v>2.96122241918212</v>
      </c>
      <c r="J262" s="1675" t="n">
        <f aca="false">IF(Assm!$L$75=0,J261,IF($A262&gt;=J$16,IF(MONTH($A262)=MONTH(J$16),AVERAGE(E250:E261),J261),J261))</f>
        <v>2.75143836031838</v>
      </c>
      <c r="K262" s="1624" t="n">
        <f aca="false">K261+1</f>
        <v>250</v>
      </c>
      <c r="L262" s="1667" t="n">
        <f aca="false">HLOOKUP(L$14,Dec_Change,$K262)</f>
        <v>1.02607666287093</v>
      </c>
      <c r="M262" s="1668" t="n">
        <f aca="false">M261</f>
        <v>0</v>
      </c>
      <c r="N262" s="1675" t="n">
        <f aca="false">IF(AND($A262&gt;=N$16,MONTH($A262)=MONTH(N$16)),MAX(L262,M262)*N261,N261)</f>
        <v>1.63898344452994</v>
      </c>
      <c r="P262" s="1667" t="n">
        <f aca="false">HLOOKUP(P$14,Dec_Change,$K262)</f>
        <v>1.069</v>
      </c>
      <c r="Q262" s="1668" t="n">
        <f aca="false">Q261</f>
        <v>0</v>
      </c>
      <c r="R262" s="1675" t="n">
        <f aca="false">IF(AND($A262&gt;=R$16,MONTH($A262)=MONTH(R$16)),MAX(P262,Q262)*R261,R261)</f>
        <v>4.2042559768075</v>
      </c>
      <c r="T262" s="1667" t="n">
        <f aca="false">HLOOKUP(T$14,Dec_Change,$K262)</f>
        <v>1.02607666287093</v>
      </c>
      <c r="U262" s="1668" t="n">
        <f aca="false">U261</f>
        <v>1.005</v>
      </c>
      <c r="V262" s="1675" t="n">
        <f aca="false">IF(AND($A262&gt;=V$16,MONTH($A262)=MONTH(V$16)),MAX(T262,U262)*V261,V261)</f>
        <v>1.63898344452994</v>
      </c>
      <c r="X262" s="1667" t="n">
        <f aca="false">HLOOKUP(X$14,Dec_Change,$K262)</f>
        <v>1.02357666287093</v>
      </c>
      <c r="Y262" s="1668" t="n">
        <f aca="false">Y261</f>
        <v>1.02</v>
      </c>
      <c r="Z262" s="1675" t="n">
        <f aca="false">IF(AND($A262&gt;=Z$16,MONTH($A262)=MONTH(Z$16)),MAX(X262,Y262)*Z261,Z261)</f>
        <v>1.57736227411484</v>
      </c>
      <c r="AB262" s="1667" t="n">
        <f aca="false">HLOOKUP(AB$14,Dec_Change,$K262)</f>
        <v>1.02357666287093</v>
      </c>
      <c r="AC262" s="1668" t="n">
        <f aca="false">AC261</f>
        <v>1.02</v>
      </c>
      <c r="AD262" s="1675" t="n">
        <f aca="false">IF(AND($A262&gt;=AD$16,MONTH($A262)=MONTH(AD$16)),MAX(AB262,AC262)*AD261,AD261)</f>
        <v>1.57736227411484</v>
      </c>
      <c r="AF262" s="1667" t="n">
        <f aca="false">HLOOKUP(AF$14,Dec_Change,$K262)</f>
        <v>1.069</v>
      </c>
      <c r="AG262" s="1668" t="n">
        <f aca="false">AG261</f>
        <v>0</v>
      </c>
      <c r="AH262" s="1675" t="n">
        <f aca="false">IF(AND($A262&gt;=AH$16,MONTH($A262)=MONTH(AH$16)),MAX(AF262,AG262)*AH261,AH261)</f>
        <v>4.2042559768075</v>
      </c>
      <c r="AJ262" s="1667" t="n">
        <f aca="false">HLOOKUP(AJ$14,Dec_Change,$K262)</f>
        <v>1.02357666287093</v>
      </c>
      <c r="AK262" s="1668" t="n">
        <f aca="false">AK261</f>
        <v>1.02</v>
      </c>
      <c r="AL262" s="1675" t="n">
        <f aca="false">IF(AND($A262&gt;=AL$16,MONTH($A262)=MONTH(AL$16)),MAX(AJ262,AK262)*AL261,AL261)</f>
        <v>1.57736227411484</v>
      </c>
      <c r="AN262" s="1667" t="n">
        <f aca="false">HLOOKUP(AN$14,Dec_Change,$K262)</f>
        <v>1.02607666287093</v>
      </c>
      <c r="AO262" s="1668" t="n">
        <f aca="false">AO261</f>
        <v>1.005</v>
      </c>
      <c r="AP262" s="1675" t="n">
        <f aca="false">IF(AND($A262&gt;=AP$16,MONTH($A262)=MONTH(AP$16)),MAX(AN262,AO262)*AP261,AP261)</f>
        <v>1.63898344452994</v>
      </c>
      <c r="AR262" s="1670" t="n">
        <f aca="false">$A262</f>
        <v>42795</v>
      </c>
      <c r="AS262" s="1671" t="n">
        <f aca="false">IF(AND($A262&gt;=EDATE(AS$17,12),IF(Assm!$L$74=0,$D262,$E262)/AS261&gt;=1.05),IF(Assm!$L$74=0,$D262,$E262),AS261)</f>
        <v>2.91512077880939</v>
      </c>
      <c r="AT262" s="1671" t="n">
        <f aca="false">IF(AS262/AS261=1,AT261,AS262/AS261)</f>
        <v>1.05082462704108</v>
      </c>
      <c r="AU262" s="1671" t="n">
        <f aca="false">F262</f>
        <v>1.069</v>
      </c>
      <c r="AV262" s="1671" t="n">
        <f aca="false">MAX(AT262,AU262)</f>
        <v>1.069</v>
      </c>
      <c r="AW262" s="1675" t="n">
        <f aca="false">IF(AV262=AV261,AW261,AV262*AW261)</f>
        <v>3.93987628229506</v>
      </c>
    </row>
    <row r="263" customFormat="false" ht="12.75" hidden="false" customHeight="false" outlineLevel="0" collapsed="false">
      <c r="A263" s="1673" t="n">
        <f aca="false">EDATE(A262,1)</f>
        <v>42826</v>
      </c>
      <c r="B263" s="1659" t="n">
        <f aca="false">'[4]Monthly Curve Calc.'!B266</f>
        <v>628.145550744524</v>
      </c>
      <c r="C263" s="1660" t="n">
        <f aca="false">'[4]Monthly Curve Calc.'!C266</f>
        <v>269.543981137531</v>
      </c>
      <c r="D263" s="1661" t="n">
        <f aca="false">'[4]Monthly Curve Calc.'!F266</f>
        <v>3.00793199167501</v>
      </c>
      <c r="E263" s="1662" t="n">
        <f aca="false">IF($A263&lt;=E$16,D263,(B263/B262)/(C263/C262)*E262)</f>
        <v>2.83989144025809</v>
      </c>
      <c r="F263" s="1674" t="n">
        <f aca="false">IF(Assm!$L$75=0,F262,IF(AND($A263&gt;F$16,MONTH($A263)=MONTH(F$16)),B262/B250,F262))</f>
        <v>1.069</v>
      </c>
      <c r="G263" s="1668" t="n">
        <f aca="false">IF(Assm!$L$75=0,G262,IF(AND($A263&gt;G$16,MONTH($A263)=MONTH(G$16)),C262/C250,G262))</f>
        <v>1.02607666287093</v>
      </c>
      <c r="H263" s="1668" t="n">
        <f aca="false">IF(Assm!$L$75=0,H262,IF(AND($A263&gt;H$16,MONTH($A263)=MONTH(H$16)),C262/C250-H$18,H262))</f>
        <v>1.02357666287093</v>
      </c>
      <c r="I263" s="1668" t="n">
        <f aca="false">IF(Assm!$L$75=0,I262,IF($A263&gt;=I$16,IF(MONTH($A263)=MONTH(I$16),AVERAGE(D251:D262),I262),I262))</f>
        <v>2.96122241918212</v>
      </c>
      <c r="J263" s="1675" t="n">
        <f aca="false">IF(Assm!$L$75=0,J262,IF($A263&gt;=J$16,IF(MONTH($A263)=MONTH(J$16),AVERAGE(E251:E262),J262),J262))</f>
        <v>2.75143836031838</v>
      </c>
      <c r="K263" s="1624" t="n">
        <f aca="false">K262+1</f>
        <v>251</v>
      </c>
      <c r="L263" s="1667" t="n">
        <f aca="false">HLOOKUP(L$14,Dec_Change,$K263)</f>
        <v>1.02607666287093</v>
      </c>
      <c r="M263" s="1668" t="n">
        <f aca="false">M262</f>
        <v>0</v>
      </c>
      <c r="N263" s="1675" t="n">
        <f aca="false">IF(AND($A263&gt;=N$16,MONTH($A263)=MONTH(N$16)),MAX(L263,M263)*N262,N262)</f>
        <v>1.63898344452994</v>
      </c>
      <c r="P263" s="1667" t="n">
        <f aca="false">HLOOKUP(P$14,Dec_Change,$K263)</f>
        <v>1.069</v>
      </c>
      <c r="Q263" s="1668" t="n">
        <f aca="false">Q262</f>
        <v>0</v>
      </c>
      <c r="R263" s="1675" t="n">
        <f aca="false">IF(AND($A263&gt;=R$16,MONTH($A263)=MONTH(R$16)),MAX(P263,Q263)*R262,R262)</f>
        <v>4.2042559768075</v>
      </c>
      <c r="T263" s="1667" t="n">
        <f aca="false">HLOOKUP(T$14,Dec_Change,$K263)</f>
        <v>1.02607666287093</v>
      </c>
      <c r="U263" s="1668" t="n">
        <f aca="false">U262</f>
        <v>1.005</v>
      </c>
      <c r="V263" s="1675" t="n">
        <f aca="false">IF(AND($A263&gt;=V$16,MONTH($A263)=MONTH(V$16)),MAX(T263,U263)*V262,V262)</f>
        <v>1.63898344452994</v>
      </c>
      <c r="X263" s="1667" t="n">
        <f aca="false">HLOOKUP(X$14,Dec_Change,$K263)</f>
        <v>1.02357666287093</v>
      </c>
      <c r="Y263" s="1668" t="n">
        <f aca="false">Y262</f>
        <v>1.02</v>
      </c>
      <c r="Z263" s="1675" t="n">
        <f aca="false">IF(AND($A263&gt;=Z$16,MONTH($A263)=MONTH(Z$16)),MAX(X263,Y263)*Z262,Z262)</f>
        <v>1.57736227411484</v>
      </c>
      <c r="AB263" s="1667" t="n">
        <f aca="false">HLOOKUP(AB$14,Dec_Change,$K263)</f>
        <v>1.02357666287093</v>
      </c>
      <c r="AC263" s="1668" t="n">
        <f aca="false">AC262</f>
        <v>1.02</v>
      </c>
      <c r="AD263" s="1675" t="n">
        <f aca="false">IF(AND($A263&gt;=AD$16,MONTH($A263)=MONTH(AD$16)),MAX(AB263,AC263)*AD262,AD262)</f>
        <v>1.57736227411484</v>
      </c>
      <c r="AF263" s="1667" t="n">
        <f aca="false">HLOOKUP(AF$14,Dec_Change,$K263)</f>
        <v>1.069</v>
      </c>
      <c r="AG263" s="1668" t="n">
        <f aca="false">AG262</f>
        <v>0</v>
      </c>
      <c r="AH263" s="1675" t="n">
        <f aca="false">IF(AND($A263&gt;=AH$16,MONTH($A263)=MONTH(AH$16)),MAX(AF263,AG263)*AH262,AH262)</f>
        <v>4.2042559768075</v>
      </c>
      <c r="AJ263" s="1667" t="n">
        <f aca="false">HLOOKUP(AJ$14,Dec_Change,$K263)</f>
        <v>1.02357666287093</v>
      </c>
      <c r="AK263" s="1668" t="n">
        <f aca="false">AK262</f>
        <v>1.02</v>
      </c>
      <c r="AL263" s="1675" t="n">
        <f aca="false">IF(AND($A263&gt;=AL$16,MONTH($A263)=MONTH(AL$16)),MAX(AJ263,AK263)*AL262,AL262)</f>
        <v>1.57736227411484</v>
      </c>
      <c r="AN263" s="1667" t="n">
        <f aca="false">HLOOKUP(AN$14,Dec_Change,$K263)</f>
        <v>1.02607666287093</v>
      </c>
      <c r="AO263" s="1668" t="n">
        <f aca="false">AO262</f>
        <v>1.005</v>
      </c>
      <c r="AP263" s="1675" t="n">
        <f aca="false">IF(AND($A263&gt;=AP$16,MONTH($A263)=MONTH(AP$16)),MAX(AN263,AO263)*AP262,AP262)</f>
        <v>1.63898344452994</v>
      </c>
      <c r="AR263" s="1670" t="n">
        <f aca="false">$A263</f>
        <v>42826</v>
      </c>
      <c r="AS263" s="1671" t="n">
        <f aca="false">IF(AND($A263&gt;=EDATE(AS$17,12),IF(Assm!$L$74=0,$D263,$E263)/AS262&gt;=1.05),IF(Assm!$L$74=0,$D263,$E263),AS262)</f>
        <v>2.91512077880939</v>
      </c>
      <c r="AT263" s="1671" t="n">
        <f aca="false">IF(AS263/AS262=1,AT262,AS263/AS262)</f>
        <v>1.05082462704108</v>
      </c>
      <c r="AU263" s="1671" t="n">
        <f aca="false">F263</f>
        <v>1.069</v>
      </c>
      <c r="AV263" s="1671" t="n">
        <f aca="false">MAX(AT263,AU263)</f>
        <v>1.069</v>
      </c>
      <c r="AW263" s="1675" t="n">
        <f aca="false">IF(AV263=AV262,AW262,AV263*AW262)</f>
        <v>3.93987628229506</v>
      </c>
    </row>
    <row r="264" customFormat="false" ht="12.75" hidden="false" customHeight="false" outlineLevel="0" collapsed="false">
      <c r="A264" s="1673" t="n">
        <f aca="false">EDATE(A263,1)</f>
        <v>42856</v>
      </c>
      <c r="B264" s="1659" t="n">
        <f aca="false">'[4]Monthly Curve Calc.'!B267</f>
        <v>631.59869741822</v>
      </c>
      <c r="C264" s="1660" t="n">
        <f aca="false">'[4]Monthly Curve Calc.'!C267</f>
        <v>270.14104358857</v>
      </c>
      <c r="D264" s="1661" t="n">
        <f aca="false">'[4]Monthly Curve Calc.'!F267</f>
        <v>3.01288924996692</v>
      </c>
      <c r="E264" s="1662" t="n">
        <f aca="false">IF($A264&lt;=E$16,D264,(B264/B263)/(C264/C263)*E263)</f>
        <v>2.84919216714818</v>
      </c>
      <c r="F264" s="1674" t="n">
        <f aca="false">IF(Assm!$L$75=0,F263,IF(AND($A264&gt;F$16,MONTH($A264)=MONTH(F$16)),B263/B251,F263))</f>
        <v>1.06866656267332</v>
      </c>
      <c r="G264" s="1668" t="n">
        <f aca="false">IF(Assm!$L$75=0,G263,IF(AND($A264&gt;G$16,MONTH($A264)=MONTH(G$16)),C263/C251,G263))</f>
        <v>1.02657943516855</v>
      </c>
      <c r="H264" s="1668" t="n">
        <f aca="false">IF(Assm!$L$75=0,H263,IF(AND($A264&gt;H$16,MONTH($A264)=MONTH(H$16)),C263/C251-H$18,H263))</f>
        <v>1.02407943516855</v>
      </c>
      <c r="I264" s="1668" t="n">
        <f aca="false">IF(Assm!$L$75=0,I263,IF($A264&gt;=I$16,IF(MONTH($A264)=MONTH(I$16),AVERAGE(D252:D263),I263),I263))</f>
        <v>2.96122241918212</v>
      </c>
      <c r="J264" s="1675" t="n">
        <f aca="false">IF(Assm!$L$75=0,J263,IF($A264&gt;=J$16,IF(MONTH($A264)=MONTH(J$16),AVERAGE(E252:E263),J263),J263))</f>
        <v>2.75143836031838</v>
      </c>
      <c r="K264" s="1624" t="n">
        <f aca="false">K263+1</f>
        <v>252</v>
      </c>
      <c r="L264" s="1667" t="n">
        <f aca="false">HLOOKUP(L$14,Dec_Change,$K264)</f>
        <v>1.02657943516855</v>
      </c>
      <c r="M264" s="1668" t="n">
        <f aca="false">M263</f>
        <v>0</v>
      </c>
      <c r="N264" s="1675" t="n">
        <f aca="false">IF(AND($A264&gt;=N$16,MONTH($A264)=MONTH(N$16)),MAX(L264,M264)*N263,N263)</f>
        <v>1.68254669873615</v>
      </c>
      <c r="P264" s="1667" t="n">
        <f aca="false">HLOOKUP(P$14,Dec_Change,$K264)</f>
        <v>1.06866656267332</v>
      </c>
      <c r="Q264" s="1668" t="n">
        <f aca="false">Q263</f>
        <v>0</v>
      </c>
      <c r="R264" s="1675" t="n">
        <f aca="false">IF(AND($A264&gt;=R$16,MONTH($A264)=MONTH(R$16)),MAX(P264,Q264)*R263,R263)</f>
        <v>4.49294778333362</v>
      </c>
      <c r="T264" s="1667" t="n">
        <f aca="false">HLOOKUP(T$14,Dec_Change,$K264)</f>
        <v>1.02657943516855</v>
      </c>
      <c r="U264" s="1668" t="n">
        <f aca="false">U263</f>
        <v>1.005</v>
      </c>
      <c r="V264" s="1675" t="n">
        <f aca="false">IF(AND($A264&gt;=V$16,MONTH($A264)=MONTH(V$16)),MAX(T264,U264)*V263,V263)</f>
        <v>1.68254669873615</v>
      </c>
      <c r="X264" s="1667" t="n">
        <f aca="false">HLOOKUP(X$14,Dec_Change,$K264)</f>
        <v>1.02407943516855</v>
      </c>
      <c r="Y264" s="1668" t="n">
        <f aca="false">Y263</f>
        <v>1.02</v>
      </c>
      <c r="Z264" s="1675" t="n">
        <f aca="false">IF(AND($A264&gt;=Z$16,MONTH($A264)=MONTH(Z$16)),MAX(X264,Y264)*Z263,Z263)</f>
        <v>1.6153442667317</v>
      </c>
      <c r="AB264" s="1667" t="n">
        <f aca="false">HLOOKUP(AB$14,Dec_Change,$K264)</f>
        <v>1.02407943516855</v>
      </c>
      <c r="AC264" s="1668" t="n">
        <f aca="false">AC263</f>
        <v>1.02</v>
      </c>
      <c r="AD264" s="1675" t="n">
        <f aca="false">IF(AND($A264&gt;=AD$16,MONTH($A264)=MONTH(AD$16)),MAX(AB264,AC264)*AD263,AD263)</f>
        <v>1.6153442667317</v>
      </c>
      <c r="AF264" s="1667" t="n">
        <f aca="false">HLOOKUP(AF$14,Dec_Change,$K264)</f>
        <v>1.06866656267332</v>
      </c>
      <c r="AG264" s="1668" t="n">
        <f aca="false">AG263</f>
        <v>0</v>
      </c>
      <c r="AH264" s="1675" t="n">
        <f aca="false">IF(AND($A264&gt;=AH$16,MONTH($A264)=MONTH(AH$16)),MAX(AF264,AG264)*AH263,AH263)</f>
        <v>4.49294778333362</v>
      </c>
      <c r="AJ264" s="1667" t="n">
        <f aca="false">HLOOKUP(AJ$14,Dec_Change,$K264)</f>
        <v>1.02407943516855</v>
      </c>
      <c r="AK264" s="1668" t="n">
        <f aca="false">AK263</f>
        <v>1.02</v>
      </c>
      <c r="AL264" s="1675" t="n">
        <f aca="false">IF(AND($A264&gt;=AL$16,MONTH($A264)=MONTH(AL$16)),MAX(AJ264,AK264)*AL263,AL263)</f>
        <v>1.6153442667317</v>
      </c>
      <c r="AN264" s="1667" t="n">
        <f aca="false">HLOOKUP(AN$14,Dec_Change,$K264)</f>
        <v>1.02657943516855</v>
      </c>
      <c r="AO264" s="1668" t="n">
        <f aca="false">AO263</f>
        <v>1.005</v>
      </c>
      <c r="AP264" s="1675" t="n">
        <f aca="false">IF(AND($A264&gt;=AP$16,MONTH($A264)=MONTH(AP$16)),MAX(AN264,AO264)*AP263,AP263)</f>
        <v>1.68254669873615</v>
      </c>
      <c r="AR264" s="1670" t="n">
        <f aca="false">$A264</f>
        <v>42856</v>
      </c>
      <c r="AS264" s="1671" t="n">
        <f aca="false">IF(AND($A264&gt;=EDATE(AS$17,12),IF(Assm!$L$74=0,$D264,$E264)/AS263&gt;=1.05),IF(Assm!$L$74=0,$D264,$E264),AS263)</f>
        <v>2.91512077880939</v>
      </c>
      <c r="AT264" s="1671" t="n">
        <f aca="false">IF(AS264/AS263=1,AT263,AS264/AS263)</f>
        <v>1.05082462704108</v>
      </c>
      <c r="AU264" s="1671" t="n">
        <f aca="false">F264</f>
        <v>1.06866656267332</v>
      </c>
      <c r="AV264" s="1671" t="n">
        <f aca="false">MAX(AT264,AU264)</f>
        <v>1.06866656267332</v>
      </c>
      <c r="AW264" s="1675" t="n">
        <f aca="false">IF(AV264=AV263,AW263,AV264*AW263)</f>
        <v>4.21041404395839</v>
      </c>
    </row>
    <row r="265" customFormat="false" ht="12.75" hidden="false" customHeight="false" outlineLevel="0" collapsed="false">
      <c r="A265" s="1673" t="n">
        <f aca="false">EDATE(A264,1)</f>
        <v>42887</v>
      </c>
      <c r="B265" s="1659" t="n">
        <f aca="false">'[4]Monthly Curve Calc.'!B268</f>
        <v>635.070827306771</v>
      </c>
      <c r="C265" s="1660" t="n">
        <f aca="false">'[4]Monthly Curve Calc.'!C268</f>
        <v>270.739428582851</v>
      </c>
      <c r="D265" s="1661" t="n">
        <f aca="false">'[4]Monthly Curve Calc.'!F268</f>
        <v>3.01785467812765</v>
      </c>
      <c r="E265" s="1662" t="n">
        <f aca="false">IF($A265&lt;=E$16,D265,(B265/B264)/(C265/C264)*E264)</f>
        <v>2.85852335418877</v>
      </c>
      <c r="F265" s="1674" t="n">
        <f aca="false">IF(Assm!$L$75=0,F264,IF(AND($A265&gt;F$16,MONTH($A265)=MONTH(F$16)),B264/B252,F264))</f>
        <v>1.06866656267332</v>
      </c>
      <c r="G265" s="1668" t="n">
        <f aca="false">IF(Assm!$L$75=0,G264,IF(AND($A265&gt;G$16,MONTH($A265)=MONTH(G$16)),C264/C252,G264))</f>
        <v>1.02657943516855</v>
      </c>
      <c r="H265" s="1668" t="n">
        <f aca="false">IF(Assm!$L$75=0,H264,IF(AND($A265&gt;H$16,MONTH($A265)=MONTH(H$16)),C264/C252-H$18,H264))</f>
        <v>1.02407943516855</v>
      </c>
      <c r="I265" s="1668" t="n">
        <f aca="false">IF(Assm!$L$75=0,I264,IF($A265&gt;=I$16,IF(MONTH($A265)=MONTH(I$16),AVERAGE(D253:D264),I264),I264))</f>
        <v>2.96122241918212</v>
      </c>
      <c r="J265" s="1675" t="n">
        <f aca="false">IF(Assm!$L$75=0,J264,IF($A265&gt;=J$16,IF(MONTH($A265)=MONTH(J$16),AVERAGE(E253:E264),J264),J264))</f>
        <v>2.75143836031838</v>
      </c>
      <c r="K265" s="1624" t="n">
        <f aca="false">K264+1</f>
        <v>253</v>
      </c>
      <c r="L265" s="1667" t="n">
        <f aca="false">HLOOKUP(L$14,Dec_Change,$K265)</f>
        <v>1.02657943516855</v>
      </c>
      <c r="M265" s="1668" t="n">
        <f aca="false">M264</f>
        <v>0</v>
      </c>
      <c r="N265" s="1675" t="n">
        <f aca="false">IF(AND($A265&gt;=N$16,MONTH($A265)=MONTH(N$16)),MAX(L265,M265)*N264,N264)</f>
        <v>1.68254669873615</v>
      </c>
      <c r="P265" s="1667" t="n">
        <f aca="false">HLOOKUP(P$14,Dec_Change,$K265)</f>
        <v>1.06866656267332</v>
      </c>
      <c r="Q265" s="1668" t="n">
        <f aca="false">Q264</f>
        <v>0</v>
      </c>
      <c r="R265" s="1675" t="n">
        <f aca="false">IF(AND($A265&gt;=R$16,MONTH($A265)=MONTH(R$16)),MAX(P265,Q265)*R264,R264)</f>
        <v>4.49294778333362</v>
      </c>
      <c r="T265" s="1667" t="n">
        <f aca="false">HLOOKUP(T$14,Dec_Change,$K265)</f>
        <v>1.02657943516855</v>
      </c>
      <c r="U265" s="1668" t="n">
        <f aca="false">U264</f>
        <v>1.005</v>
      </c>
      <c r="V265" s="1675" t="n">
        <f aca="false">IF(AND($A265&gt;=V$16,MONTH($A265)=MONTH(V$16)),MAX(T265,U265)*V264,V264)</f>
        <v>1.68254669873615</v>
      </c>
      <c r="X265" s="1667" t="n">
        <f aca="false">HLOOKUP(X$14,Dec_Change,$K265)</f>
        <v>1.02407943516855</v>
      </c>
      <c r="Y265" s="1668" t="n">
        <f aca="false">Y264</f>
        <v>1.02</v>
      </c>
      <c r="Z265" s="1675" t="n">
        <f aca="false">IF(AND($A265&gt;=Z$16,MONTH($A265)=MONTH(Z$16)),MAX(X265,Y265)*Z264,Z264)</f>
        <v>1.6153442667317</v>
      </c>
      <c r="AB265" s="1667" t="n">
        <f aca="false">HLOOKUP(AB$14,Dec_Change,$K265)</f>
        <v>1.02407943516855</v>
      </c>
      <c r="AC265" s="1668" t="n">
        <f aca="false">AC264</f>
        <v>1.02</v>
      </c>
      <c r="AD265" s="1675" t="n">
        <f aca="false">IF(AND($A265&gt;=AD$16,MONTH($A265)=MONTH(AD$16)),MAX(AB265,AC265)*AD264,AD264)</f>
        <v>1.6153442667317</v>
      </c>
      <c r="AF265" s="1667" t="n">
        <f aca="false">HLOOKUP(AF$14,Dec_Change,$K265)</f>
        <v>1.06866656267332</v>
      </c>
      <c r="AG265" s="1668" t="n">
        <f aca="false">AG264</f>
        <v>0</v>
      </c>
      <c r="AH265" s="1675" t="n">
        <f aca="false">IF(AND($A265&gt;=AH$16,MONTH($A265)=MONTH(AH$16)),MAX(AF265,AG265)*AH264,AH264)</f>
        <v>4.49294778333362</v>
      </c>
      <c r="AJ265" s="1667" t="n">
        <f aca="false">HLOOKUP(AJ$14,Dec_Change,$K265)</f>
        <v>1.02407943516855</v>
      </c>
      <c r="AK265" s="1668" t="n">
        <f aca="false">AK264</f>
        <v>1.02</v>
      </c>
      <c r="AL265" s="1675" t="n">
        <f aca="false">IF(AND($A265&gt;=AL$16,MONTH($A265)=MONTH(AL$16)),MAX(AJ265,AK265)*AL264,AL264)</f>
        <v>1.6153442667317</v>
      </c>
      <c r="AN265" s="1667" t="n">
        <f aca="false">HLOOKUP(AN$14,Dec_Change,$K265)</f>
        <v>1.02657943516855</v>
      </c>
      <c r="AO265" s="1668" t="n">
        <f aca="false">AO264</f>
        <v>1.005</v>
      </c>
      <c r="AP265" s="1675" t="n">
        <f aca="false">IF(AND($A265&gt;=AP$16,MONTH($A265)=MONTH(AP$16)),MAX(AN265,AO265)*AP264,AP264)</f>
        <v>1.68254669873615</v>
      </c>
      <c r="AR265" s="1670" t="n">
        <f aca="false">$A265</f>
        <v>42887</v>
      </c>
      <c r="AS265" s="1671" t="n">
        <f aca="false">IF(AND($A265&gt;=EDATE(AS$17,12),IF(Assm!$L$74=0,$D265,$E265)/AS264&gt;=1.05),IF(Assm!$L$74=0,$D265,$E265),AS264)</f>
        <v>2.91512077880939</v>
      </c>
      <c r="AT265" s="1671" t="n">
        <f aca="false">IF(AS265/AS264=1,AT264,AS265/AS264)</f>
        <v>1.05082462704108</v>
      </c>
      <c r="AU265" s="1671" t="n">
        <f aca="false">F265</f>
        <v>1.06866656267332</v>
      </c>
      <c r="AV265" s="1671" t="n">
        <f aca="false">MAX(AT265,AU265)</f>
        <v>1.06866656267332</v>
      </c>
      <c r="AW265" s="1675" t="n">
        <f aca="false">IF(AV265=AV264,AW264,AV265*AW264)</f>
        <v>4.21041404395839</v>
      </c>
    </row>
    <row r="266" customFormat="false" ht="12.75" hidden="false" customHeight="false" outlineLevel="0" collapsed="false">
      <c r="A266" s="1673" t="n">
        <f aca="false">EDATE(A265,1)</f>
        <v>42917</v>
      </c>
      <c r="B266" s="1659" t="n">
        <f aca="false">'[4]Monthly Curve Calc.'!B269</f>
        <v>638.562044767878</v>
      </c>
      <c r="C266" s="1660" t="n">
        <f aca="false">'[4]Monthly Curve Calc.'!C269</f>
        <v>271.339139049916</v>
      </c>
      <c r="D266" s="1661" t="n">
        <f aca="false">'[4]Monthly Curve Calc.'!F269</f>
        <v>3.02282828962165</v>
      </c>
      <c r="E266" s="1662" t="n">
        <f aca="false">IF($A266&lt;=E$16,D266,(B266/B265)/(C266/C265)*E265)</f>
        <v>2.86788510113775</v>
      </c>
      <c r="F266" s="1674" t="n">
        <f aca="false">IF(Assm!$L$75=0,F265,IF(AND($A266&gt;F$16,MONTH($A266)=MONTH(F$16)),B265/B253,F265))</f>
        <v>1.06866656267332</v>
      </c>
      <c r="G266" s="1668" t="n">
        <f aca="false">IF(Assm!$L$75=0,G265,IF(AND($A266&gt;G$16,MONTH($A266)=MONTH(G$16)),C265/C253,G265))</f>
        <v>1.02657943516855</v>
      </c>
      <c r="H266" s="1668" t="n">
        <f aca="false">IF(Assm!$L$75=0,H265,IF(AND($A266&gt;H$16,MONTH($A266)=MONTH(H$16)),C265/C253-H$18,H265))</f>
        <v>1.02407943516855</v>
      </c>
      <c r="I266" s="1668" t="n">
        <f aca="false">IF(Assm!$L$75=0,I265,IF($A266&gt;=I$16,IF(MONTH($A266)=MONTH(I$16),AVERAGE(D254:D265),I265),I265))</f>
        <v>2.96122241918212</v>
      </c>
      <c r="J266" s="1675" t="n">
        <f aca="false">IF(Assm!$L$75=0,J265,IF($A266&gt;=J$16,IF(MONTH($A266)=MONTH(J$16),AVERAGE(E254:E265),J265),J265))</f>
        <v>2.75143836031838</v>
      </c>
      <c r="K266" s="1624" t="n">
        <f aca="false">K265+1</f>
        <v>254</v>
      </c>
      <c r="L266" s="1667" t="n">
        <f aca="false">HLOOKUP(L$14,Dec_Change,$K266)</f>
        <v>1.02657943516855</v>
      </c>
      <c r="M266" s="1668" t="n">
        <f aca="false">M265</f>
        <v>0</v>
      </c>
      <c r="N266" s="1675" t="n">
        <f aca="false">IF(AND($A266&gt;=N$16,MONTH($A266)=MONTH(N$16)),MAX(L266,M266)*N265,N265)</f>
        <v>1.68254669873615</v>
      </c>
      <c r="P266" s="1667" t="n">
        <f aca="false">HLOOKUP(P$14,Dec_Change,$K266)</f>
        <v>1.06866656267332</v>
      </c>
      <c r="Q266" s="1668" t="n">
        <f aca="false">Q265</f>
        <v>0</v>
      </c>
      <c r="R266" s="1675" t="n">
        <f aca="false">IF(AND($A266&gt;=R$16,MONTH($A266)=MONTH(R$16)),MAX(P266,Q266)*R265,R265)</f>
        <v>4.49294778333362</v>
      </c>
      <c r="T266" s="1667" t="n">
        <f aca="false">HLOOKUP(T$14,Dec_Change,$K266)</f>
        <v>1.02657943516855</v>
      </c>
      <c r="U266" s="1668" t="n">
        <f aca="false">U265</f>
        <v>1.005</v>
      </c>
      <c r="V266" s="1675" t="n">
        <f aca="false">IF(AND($A266&gt;=V$16,MONTH($A266)=MONTH(V$16)),MAX(T266,U266)*V265,V265)</f>
        <v>1.68254669873615</v>
      </c>
      <c r="X266" s="1667" t="n">
        <f aca="false">HLOOKUP(X$14,Dec_Change,$K266)</f>
        <v>1.02407943516855</v>
      </c>
      <c r="Y266" s="1668" t="n">
        <f aca="false">Y265</f>
        <v>1.02</v>
      </c>
      <c r="Z266" s="1675" t="n">
        <f aca="false">IF(AND($A266&gt;=Z$16,MONTH($A266)=MONTH(Z$16)),MAX(X266,Y266)*Z265,Z265)</f>
        <v>1.6153442667317</v>
      </c>
      <c r="AB266" s="1667" t="n">
        <f aca="false">HLOOKUP(AB$14,Dec_Change,$K266)</f>
        <v>1.02407943516855</v>
      </c>
      <c r="AC266" s="1668" t="n">
        <f aca="false">AC265</f>
        <v>1.02</v>
      </c>
      <c r="AD266" s="1675" t="n">
        <f aca="false">IF(AND($A266&gt;=AD$16,MONTH($A266)=MONTH(AD$16)),MAX(AB266,AC266)*AD265,AD265)</f>
        <v>1.6153442667317</v>
      </c>
      <c r="AF266" s="1667" t="n">
        <f aca="false">HLOOKUP(AF$14,Dec_Change,$K266)</f>
        <v>1.06866656267332</v>
      </c>
      <c r="AG266" s="1668" t="n">
        <f aca="false">AG265</f>
        <v>0</v>
      </c>
      <c r="AH266" s="1675" t="n">
        <f aca="false">IF(AND($A266&gt;=AH$16,MONTH($A266)=MONTH(AH$16)),MAX(AF266,AG266)*AH265,AH265)</f>
        <v>4.49294778333362</v>
      </c>
      <c r="AJ266" s="1667" t="n">
        <f aca="false">HLOOKUP(AJ$14,Dec_Change,$K266)</f>
        <v>1.02407943516855</v>
      </c>
      <c r="AK266" s="1668" t="n">
        <f aca="false">AK265</f>
        <v>1.02</v>
      </c>
      <c r="AL266" s="1675" t="n">
        <f aca="false">IF(AND($A266&gt;=AL$16,MONTH($A266)=MONTH(AL$16)),MAX(AJ266,AK266)*AL265,AL265)</f>
        <v>1.6153442667317</v>
      </c>
      <c r="AN266" s="1667" t="n">
        <f aca="false">HLOOKUP(AN$14,Dec_Change,$K266)</f>
        <v>1.02657943516855</v>
      </c>
      <c r="AO266" s="1668" t="n">
        <f aca="false">AO265</f>
        <v>1.005</v>
      </c>
      <c r="AP266" s="1675" t="n">
        <f aca="false">IF(AND($A266&gt;=AP$16,MONTH($A266)=MONTH(AP$16)),MAX(AN266,AO266)*AP265,AP265)</f>
        <v>1.68254669873615</v>
      </c>
      <c r="AR266" s="1670" t="n">
        <f aca="false">$A266</f>
        <v>42917</v>
      </c>
      <c r="AS266" s="1671" t="n">
        <f aca="false">IF(AND($A266&gt;=EDATE(AS$17,12),IF(Assm!$L$74=0,$D266,$E266)/AS265&gt;=1.05),IF(Assm!$L$74=0,$D266,$E266),AS265)</f>
        <v>2.91512077880939</v>
      </c>
      <c r="AT266" s="1671" t="n">
        <f aca="false">IF(AS266/AS265=1,AT265,AS266/AS265)</f>
        <v>1.05082462704108</v>
      </c>
      <c r="AU266" s="1671" t="n">
        <f aca="false">F266</f>
        <v>1.06866656267332</v>
      </c>
      <c r="AV266" s="1671" t="n">
        <f aca="false">MAX(AT266,AU266)</f>
        <v>1.06866656267332</v>
      </c>
      <c r="AW266" s="1675" t="n">
        <f aca="false">IF(AV266=AV265,AW265,AV266*AW265)</f>
        <v>4.21041404395839</v>
      </c>
    </row>
    <row r="267" customFormat="false" ht="12.75" hidden="false" customHeight="false" outlineLevel="0" collapsed="false">
      <c r="A267" s="1673" t="n">
        <f aca="false">EDATE(A266,1)</f>
        <v>42948</v>
      </c>
      <c r="B267" s="1659" t="n">
        <f aca="false">'[4]Monthly Curve Calc.'!B270</f>
        <v>642.072454732934</v>
      </c>
      <c r="C267" s="1660" t="n">
        <f aca="false">'[4]Monthly Curve Calc.'!C270</f>
        <v>271.940177925799</v>
      </c>
      <c r="D267" s="1661" t="n">
        <f aca="false">'[4]Monthly Curve Calc.'!F270</f>
        <v>3.02781009793555</v>
      </c>
      <c r="E267" s="1662" t="n">
        <f aca="false">IF($A267&lt;=E$16,D267,(B267/B266)/(C267/C266)*E266)</f>
        <v>2.87727750807969</v>
      </c>
      <c r="F267" s="1674" t="n">
        <f aca="false">IF(Assm!$L$75=0,F266,IF(AND($A267&gt;F$16,MONTH($A267)=MONTH(F$16)),B266/B254,F266))</f>
        <v>1.06866656267332</v>
      </c>
      <c r="G267" s="1668" t="n">
        <f aca="false">IF(Assm!$L$75=0,G266,IF(AND($A267&gt;G$16,MONTH($A267)=MONTH(G$16)),C266/C254,G266))</f>
        <v>1.02657943516855</v>
      </c>
      <c r="H267" s="1668" t="n">
        <f aca="false">IF(Assm!$L$75=0,H266,IF(AND($A267&gt;H$16,MONTH($A267)=MONTH(H$16)),C266/C254-H$18,H266))</f>
        <v>1.02407943516855</v>
      </c>
      <c r="I267" s="1668" t="n">
        <f aca="false">IF(Assm!$L$75=0,I266,IF($A267&gt;=I$16,IF(MONTH($A267)=MONTH(I$16),AVERAGE(D255:D266),I266),I266))</f>
        <v>2.96122241918212</v>
      </c>
      <c r="J267" s="1675" t="n">
        <f aca="false">IF(Assm!$L$75=0,J266,IF($A267&gt;=J$16,IF(MONTH($A267)=MONTH(J$16),AVERAGE(E255:E266),J266),J266))</f>
        <v>2.75143836031838</v>
      </c>
      <c r="K267" s="1624" t="n">
        <f aca="false">K266+1</f>
        <v>255</v>
      </c>
      <c r="L267" s="1667" t="n">
        <f aca="false">HLOOKUP(L$14,Dec_Change,$K267)</f>
        <v>1.02657943516855</v>
      </c>
      <c r="M267" s="1668" t="n">
        <f aca="false">M266</f>
        <v>0</v>
      </c>
      <c r="N267" s="1675" t="n">
        <f aca="false">IF(AND($A267&gt;=N$16,MONTH($A267)=MONTH(N$16)),MAX(L267,M267)*N266,N266)</f>
        <v>1.68254669873615</v>
      </c>
      <c r="P267" s="1667" t="n">
        <f aca="false">HLOOKUP(P$14,Dec_Change,$K267)</f>
        <v>1.06866656267332</v>
      </c>
      <c r="Q267" s="1668" t="n">
        <f aca="false">Q266</f>
        <v>0</v>
      </c>
      <c r="R267" s="1675" t="n">
        <f aca="false">IF(AND($A267&gt;=R$16,MONTH($A267)=MONTH(R$16)),MAX(P267,Q267)*R266,R266)</f>
        <v>4.49294778333362</v>
      </c>
      <c r="T267" s="1667" t="n">
        <f aca="false">HLOOKUP(T$14,Dec_Change,$K267)</f>
        <v>1.02657943516855</v>
      </c>
      <c r="U267" s="1668" t="n">
        <f aca="false">U266</f>
        <v>1.005</v>
      </c>
      <c r="V267" s="1675" t="n">
        <f aca="false">IF(AND($A267&gt;=V$16,MONTH($A267)=MONTH(V$16)),MAX(T267,U267)*V266,V266)</f>
        <v>1.68254669873615</v>
      </c>
      <c r="X267" s="1667" t="n">
        <f aca="false">HLOOKUP(X$14,Dec_Change,$K267)</f>
        <v>1.02407943516855</v>
      </c>
      <c r="Y267" s="1668" t="n">
        <f aca="false">Y266</f>
        <v>1.02</v>
      </c>
      <c r="Z267" s="1675" t="n">
        <f aca="false">IF(AND($A267&gt;=Z$16,MONTH($A267)=MONTH(Z$16)),MAX(X267,Y267)*Z266,Z266)</f>
        <v>1.6153442667317</v>
      </c>
      <c r="AB267" s="1667" t="n">
        <f aca="false">HLOOKUP(AB$14,Dec_Change,$K267)</f>
        <v>1.02407943516855</v>
      </c>
      <c r="AC267" s="1668" t="n">
        <f aca="false">AC266</f>
        <v>1.02</v>
      </c>
      <c r="AD267" s="1675" t="n">
        <f aca="false">IF(AND($A267&gt;=AD$16,MONTH($A267)=MONTH(AD$16)),MAX(AB267,AC267)*AD266,AD266)</f>
        <v>1.6153442667317</v>
      </c>
      <c r="AF267" s="1667" t="n">
        <f aca="false">HLOOKUP(AF$14,Dec_Change,$K267)</f>
        <v>1.06866656267332</v>
      </c>
      <c r="AG267" s="1668" t="n">
        <f aca="false">AG266</f>
        <v>0</v>
      </c>
      <c r="AH267" s="1675" t="n">
        <f aca="false">IF(AND($A267&gt;=AH$16,MONTH($A267)=MONTH(AH$16)),MAX(AF267,AG267)*AH266,AH266)</f>
        <v>4.49294778333362</v>
      </c>
      <c r="AJ267" s="1667" t="n">
        <f aca="false">HLOOKUP(AJ$14,Dec_Change,$K267)</f>
        <v>1.02407943516855</v>
      </c>
      <c r="AK267" s="1668" t="n">
        <f aca="false">AK266</f>
        <v>1.02</v>
      </c>
      <c r="AL267" s="1675" t="n">
        <f aca="false">IF(AND($A267&gt;=AL$16,MONTH($A267)=MONTH(AL$16)),MAX(AJ267,AK267)*AL266,AL266)</f>
        <v>1.6153442667317</v>
      </c>
      <c r="AN267" s="1667" t="n">
        <f aca="false">HLOOKUP(AN$14,Dec_Change,$K267)</f>
        <v>1.02657943516855</v>
      </c>
      <c r="AO267" s="1668" t="n">
        <f aca="false">AO266</f>
        <v>1.005</v>
      </c>
      <c r="AP267" s="1675" t="n">
        <f aca="false">IF(AND($A267&gt;=AP$16,MONTH($A267)=MONTH(AP$16)),MAX(AN267,AO267)*AP266,AP266)</f>
        <v>1.68254669873615</v>
      </c>
      <c r="AR267" s="1670" t="n">
        <f aca="false">$A267</f>
        <v>42948</v>
      </c>
      <c r="AS267" s="1671" t="n">
        <f aca="false">IF(AND($A267&gt;=EDATE(AS$17,12),IF(Assm!$L$74=0,$D267,$E267)/AS266&gt;=1.05),IF(Assm!$L$74=0,$D267,$E267),AS266)</f>
        <v>2.91512077880939</v>
      </c>
      <c r="AT267" s="1671" t="n">
        <f aca="false">IF(AS267/AS266=1,AT266,AS267/AS266)</f>
        <v>1.05082462704108</v>
      </c>
      <c r="AU267" s="1671" t="n">
        <f aca="false">F267</f>
        <v>1.06866656267332</v>
      </c>
      <c r="AV267" s="1671" t="n">
        <f aca="false">MAX(AT267,AU267)</f>
        <v>1.06866656267332</v>
      </c>
      <c r="AW267" s="1675" t="n">
        <f aca="false">IF(AV267=AV266,AW266,AV267*AW266)</f>
        <v>4.21041404395839</v>
      </c>
    </row>
    <row r="268" customFormat="false" ht="12.75" hidden="false" customHeight="false" outlineLevel="0" collapsed="false">
      <c r="A268" s="1673" t="n">
        <f aca="false">EDATE(A267,1)</f>
        <v>42979</v>
      </c>
      <c r="B268" s="1659" t="n">
        <f aca="false">'[4]Monthly Curve Calc.'!B271</f>
        <v>645.602162710177</v>
      </c>
      <c r="C268" s="1660" t="n">
        <f aca="false">'[4]Monthly Curve Calc.'!C271</f>
        <v>272.542548153037</v>
      </c>
      <c r="D268" s="1661" t="n">
        <f aca="false">'[4]Monthly Curve Calc.'!F271</f>
        <v>3.03280011657821</v>
      </c>
      <c r="E268" s="1662" t="n">
        <f aca="false">IF($A268&lt;=E$16,D268,(B268/B267)/(C268/C267)*E267)</f>
        <v>2.88670067542696</v>
      </c>
      <c r="F268" s="1674" t="n">
        <f aca="false">IF(Assm!$L$75=0,F267,IF(AND($A268&gt;F$16,MONTH($A268)=MONTH(F$16)),B267/B255,F267))</f>
        <v>1.06866656267332</v>
      </c>
      <c r="G268" s="1668" t="n">
        <f aca="false">IF(Assm!$L$75=0,G267,IF(AND($A268&gt;G$16,MONTH($A268)=MONTH(G$16)),C267/C255,G267))</f>
        <v>1.02657943516855</v>
      </c>
      <c r="H268" s="1668" t="n">
        <f aca="false">IF(Assm!$L$75=0,H267,IF(AND($A268&gt;H$16,MONTH($A268)=MONTH(H$16)),C267/C255-H$18,H267))</f>
        <v>1.02407943516855</v>
      </c>
      <c r="I268" s="1668" t="n">
        <f aca="false">IF(Assm!$L$75=0,I267,IF($A268&gt;=I$16,IF(MONTH($A268)=MONTH(I$16),AVERAGE(D256:D267),I267),I267))</f>
        <v>2.96122241918212</v>
      </c>
      <c r="J268" s="1675" t="n">
        <f aca="false">IF(Assm!$L$75=0,J267,IF($A268&gt;=J$16,IF(MONTH($A268)=MONTH(J$16),AVERAGE(E256:E267),J267),J267))</f>
        <v>2.75143836031838</v>
      </c>
      <c r="K268" s="1624" t="n">
        <f aca="false">K267+1</f>
        <v>256</v>
      </c>
      <c r="L268" s="1667" t="n">
        <f aca="false">HLOOKUP(L$14,Dec_Change,$K268)</f>
        <v>1.02657943516855</v>
      </c>
      <c r="M268" s="1668" t="n">
        <f aca="false">M267</f>
        <v>0</v>
      </c>
      <c r="N268" s="1675" t="n">
        <f aca="false">IF(AND($A268&gt;=N$16,MONTH($A268)=MONTH(N$16)),MAX(L268,M268)*N267,N267)</f>
        <v>1.68254669873615</v>
      </c>
      <c r="P268" s="1667" t="n">
        <f aca="false">HLOOKUP(P$14,Dec_Change,$K268)</f>
        <v>1.06866656267332</v>
      </c>
      <c r="Q268" s="1668" t="n">
        <f aca="false">Q267</f>
        <v>0</v>
      </c>
      <c r="R268" s="1675" t="n">
        <f aca="false">IF(AND($A268&gt;=R$16,MONTH($A268)=MONTH(R$16)),MAX(P268,Q268)*R267,R267)</f>
        <v>4.49294778333362</v>
      </c>
      <c r="T268" s="1667" t="n">
        <f aca="false">HLOOKUP(T$14,Dec_Change,$K268)</f>
        <v>1.02657943516855</v>
      </c>
      <c r="U268" s="1668" t="n">
        <f aca="false">U267</f>
        <v>1.005</v>
      </c>
      <c r="V268" s="1675" t="n">
        <f aca="false">IF(AND($A268&gt;=V$16,MONTH($A268)=MONTH(V$16)),MAX(T268,U268)*V267,V267)</f>
        <v>1.68254669873615</v>
      </c>
      <c r="X268" s="1667" t="n">
        <f aca="false">HLOOKUP(X$14,Dec_Change,$K268)</f>
        <v>1.02407943516855</v>
      </c>
      <c r="Y268" s="1668" t="n">
        <f aca="false">Y267</f>
        <v>1.02</v>
      </c>
      <c r="Z268" s="1675" t="n">
        <f aca="false">IF(AND($A268&gt;=Z$16,MONTH($A268)=MONTH(Z$16)),MAX(X268,Y268)*Z267,Z267)</f>
        <v>1.6153442667317</v>
      </c>
      <c r="AB268" s="1667" t="n">
        <f aca="false">HLOOKUP(AB$14,Dec_Change,$K268)</f>
        <v>1.02407943516855</v>
      </c>
      <c r="AC268" s="1668" t="n">
        <f aca="false">AC267</f>
        <v>1.02</v>
      </c>
      <c r="AD268" s="1675" t="n">
        <f aca="false">IF(AND($A268&gt;=AD$16,MONTH($A268)=MONTH(AD$16)),MAX(AB268,AC268)*AD267,AD267)</f>
        <v>1.6153442667317</v>
      </c>
      <c r="AF268" s="1667" t="n">
        <f aca="false">HLOOKUP(AF$14,Dec_Change,$K268)</f>
        <v>1.06866656267332</v>
      </c>
      <c r="AG268" s="1668" t="n">
        <f aca="false">AG267</f>
        <v>0</v>
      </c>
      <c r="AH268" s="1675" t="n">
        <f aca="false">IF(AND($A268&gt;=AH$16,MONTH($A268)=MONTH(AH$16)),MAX(AF268,AG268)*AH267,AH267)</f>
        <v>4.49294778333362</v>
      </c>
      <c r="AJ268" s="1667" t="n">
        <f aca="false">HLOOKUP(AJ$14,Dec_Change,$K268)</f>
        <v>1.02407943516855</v>
      </c>
      <c r="AK268" s="1668" t="n">
        <f aca="false">AK267</f>
        <v>1.02</v>
      </c>
      <c r="AL268" s="1675" t="n">
        <f aca="false">IF(AND($A268&gt;=AL$16,MONTH($A268)=MONTH(AL$16)),MAX(AJ268,AK268)*AL267,AL267)</f>
        <v>1.6153442667317</v>
      </c>
      <c r="AN268" s="1667" t="n">
        <f aca="false">HLOOKUP(AN$14,Dec_Change,$K268)</f>
        <v>1.02657943516855</v>
      </c>
      <c r="AO268" s="1668" t="n">
        <f aca="false">AO267</f>
        <v>1.005</v>
      </c>
      <c r="AP268" s="1675" t="n">
        <f aca="false">IF(AND($A268&gt;=AP$16,MONTH($A268)=MONTH(AP$16)),MAX(AN268,AO268)*AP267,AP267)</f>
        <v>1.68254669873615</v>
      </c>
      <c r="AR268" s="1670" t="n">
        <f aca="false">$A268</f>
        <v>42979</v>
      </c>
      <c r="AS268" s="1671" t="n">
        <f aca="false">IF(AND($A268&gt;=EDATE(AS$17,12),IF(Assm!$L$74=0,$D268,$E268)/AS267&gt;=1.05),IF(Assm!$L$74=0,$D268,$E268),AS267)</f>
        <v>2.91512077880939</v>
      </c>
      <c r="AT268" s="1671" t="n">
        <f aca="false">IF(AS268/AS267=1,AT267,AS268/AS267)</f>
        <v>1.05082462704108</v>
      </c>
      <c r="AU268" s="1671" t="n">
        <f aca="false">F268</f>
        <v>1.06866656267332</v>
      </c>
      <c r="AV268" s="1671" t="n">
        <f aca="false">MAX(AT268,AU268)</f>
        <v>1.06866656267332</v>
      </c>
      <c r="AW268" s="1675" t="n">
        <f aca="false">IF(AV268=AV267,AW267,AV268*AW267)</f>
        <v>4.21041404395839</v>
      </c>
    </row>
    <row r="269" customFormat="false" ht="12.75" hidden="false" customHeight="false" outlineLevel="0" collapsed="false">
      <c r="A269" s="1673" t="n">
        <f aca="false">EDATE(A268,1)</f>
        <v>43009</v>
      </c>
      <c r="B269" s="1659" t="n">
        <f aca="false">'[4]Monthly Curve Calc.'!B272</f>
        <v>649.151274787866</v>
      </c>
      <c r="C269" s="1660" t="n">
        <f aca="false">'[4]Monthly Curve Calc.'!C272</f>
        <v>273.146252680685</v>
      </c>
      <c r="D269" s="1661" t="n">
        <f aca="false">'[4]Monthly Curve Calc.'!F272</f>
        <v>3.03779835908079</v>
      </c>
      <c r="E269" s="1662" t="n">
        <f aca="false">IF($A269&lt;=E$16,D269,(B269/B268)/(C269/C268)*E268)</f>
        <v>2.89615470392079</v>
      </c>
      <c r="F269" s="1674" t="n">
        <f aca="false">IF(Assm!$L$75=0,F268,IF(AND($A269&gt;F$16,MONTH($A269)=MONTH(F$16)),B268/B256,F268))</f>
        <v>1.06866656267332</v>
      </c>
      <c r="G269" s="1668" t="n">
        <f aca="false">IF(Assm!$L$75=0,G268,IF(AND($A269&gt;G$16,MONTH($A269)=MONTH(G$16)),C268/C256,G268))</f>
        <v>1.02657943516855</v>
      </c>
      <c r="H269" s="1668" t="n">
        <f aca="false">IF(Assm!$L$75=0,H268,IF(AND($A269&gt;H$16,MONTH($A269)=MONTH(H$16)),C268/C256-H$18,H268))</f>
        <v>1.02407943516855</v>
      </c>
      <c r="I269" s="1668" t="n">
        <f aca="false">IF(Assm!$L$75=0,I268,IF($A269&gt;=I$16,IF(MONTH($A269)=MONTH(I$16),AVERAGE(D257:D268),I268),I268))</f>
        <v>2.96122241918212</v>
      </c>
      <c r="J269" s="1675" t="n">
        <f aca="false">IF(Assm!$L$75=0,J268,IF($A269&gt;=J$16,IF(MONTH($A269)=MONTH(J$16),AVERAGE(E257:E268),J268),J268))</f>
        <v>2.75143836031838</v>
      </c>
      <c r="K269" s="1624" t="n">
        <f aca="false">K268+1</f>
        <v>257</v>
      </c>
      <c r="L269" s="1667" t="n">
        <f aca="false">HLOOKUP(L$14,Dec_Change,$K269)</f>
        <v>1.02657943516855</v>
      </c>
      <c r="M269" s="1668" t="n">
        <f aca="false">M268</f>
        <v>0</v>
      </c>
      <c r="N269" s="1675" t="n">
        <f aca="false">IF(AND($A269&gt;=N$16,MONTH($A269)=MONTH(N$16)),MAX(L269,M269)*N268,N268)</f>
        <v>1.68254669873615</v>
      </c>
      <c r="P269" s="1667" t="n">
        <f aca="false">HLOOKUP(P$14,Dec_Change,$K269)</f>
        <v>1.06866656267332</v>
      </c>
      <c r="Q269" s="1668" t="n">
        <f aca="false">Q268</f>
        <v>0</v>
      </c>
      <c r="R269" s="1675" t="n">
        <f aca="false">IF(AND($A269&gt;=R$16,MONTH($A269)=MONTH(R$16)),MAX(P269,Q269)*R268,R268)</f>
        <v>4.49294778333362</v>
      </c>
      <c r="T269" s="1667" t="n">
        <f aca="false">HLOOKUP(T$14,Dec_Change,$K269)</f>
        <v>1.02657943516855</v>
      </c>
      <c r="U269" s="1668" t="n">
        <f aca="false">U268</f>
        <v>1.005</v>
      </c>
      <c r="V269" s="1675" t="n">
        <f aca="false">IF(AND($A269&gt;=V$16,MONTH($A269)=MONTH(V$16)),MAX(T269,U269)*V268,V268)</f>
        <v>1.68254669873615</v>
      </c>
      <c r="X269" s="1667" t="n">
        <f aca="false">HLOOKUP(X$14,Dec_Change,$K269)</f>
        <v>1.02407943516855</v>
      </c>
      <c r="Y269" s="1668" t="n">
        <f aca="false">Y268</f>
        <v>1.02</v>
      </c>
      <c r="Z269" s="1675" t="n">
        <f aca="false">IF(AND($A269&gt;=Z$16,MONTH($A269)=MONTH(Z$16)),MAX(X269,Y269)*Z268,Z268)</f>
        <v>1.6153442667317</v>
      </c>
      <c r="AB269" s="1667" t="n">
        <f aca="false">HLOOKUP(AB$14,Dec_Change,$K269)</f>
        <v>1.02407943516855</v>
      </c>
      <c r="AC269" s="1668" t="n">
        <f aca="false">AC268</f>
        <v>1.02</v>
      </c>
      <c r="AD269" s="1675" t="n">
        <f aca="false">IF(AND($A269&gt;=AD$16,MONTH($A269)=MONTH(AD$16)),MAX(AB269,AC269)*AD268,AD268)</f>
        <v>1.6153442667317</v>
      </c>
      <c r="AF269" s="1667" t="n">
        <f aca="false">HLOOKUP(AF$14,Dec_Change,$K269)</f>
        <v>1.06866656267332</v>
      </c>
      <c r="AG269" s="1668" t="n">
        <f aca="false">AG268</f>
        <v>0</v>
      </c>
      <c r="AH269" s="1675" t="n">
        <f aca="false">IF(AND($A269&gt;=AH$16,MONTH($A269)=MONTH(AH$16)),MAX(AF269,AG269)*AH268,AH268)</f>
        <v>4.49294778333362</v>
      </c>
      <c r="AJ269" s="1667" t="n">
        <f aca="false">HLOOKUP(AJ$14,Dec_Change,$K269)</f>
        <v>1.02407943516855</v>
      </c>
      <c r="AK269" s="1668" t="n">
        <f aca="false">AK268</f>
        <v>1.02</v>
      </c>
      <c r="AL269" s="1675" t="n">
        <f aca="false">IF(AND($A269&gt;=AL$16,MONTH($A269)=MONTH(AL$16)),MAX(AJ269,AK269)*AL268,AL268)</f>
        <v>1.6153442667317</v>
      </c>
      <c r="AN269" s="1667" t="n">
        <f aca="false">HLOOKUP(AN$14,Dec_Change,$K269)</f>
        <v>1.02657943516855</v>
      </c>
      <c r="AO269" s="1668" t="n">
        <f aca="false">AO268</f>
        <v>1.005</v>
      </c>
      <c r="AP269" s="1675" t="n">
        <f aca="false">IF(AND($A269&gt;=AP$16,MONTH($A269)=MONTH(AP$16)),MAX(AN269,AO269)*AP268,AP268)</f>
        <v>1.68254669873615</v>
      </c>
      <c r="AR269" s="1670" t="n">
        <f aca="false">$A269</f>
        <v>43009</v>
      </c>
      <c r="AS269" s="1671" t="n">
        <f aca="false">IF(AND($A269&gt;=EDATE(AS$17,12),IF(Assm!$L$74=0,$D269,$E269)/AS268&gt;=1.05),IF(Assm!$L$74=0,$D269,$E269),AS268)</f>
        <v>2.91512077880939</v>
      </c>
      <c r="AT269" s="1671" t="n">
        <f aca="false">IF(AS269/AS268=1,AT268,AS269/AS268)</f>
        <v>1.05082462704108</v>
      </c>
      <c r="AU269" s="1671" t="n">
        <f aca="false">F269</f>
        <v>1.06866656267332</v>
      </c>
      <c r="AV269" s="1671" t="n">
        <f aca="false">MAX(AT269,AU269)</f>
        <v>1.06866656267332</v>
      </c>
      <c r="AW269" s="1675" t="n">
        <f aca="false">IF(AV269=AV268,AW268,AV269*AW268)</f>
        <v>4.21041404395839</v>
      </c>
    </row>
    <row r="270" customFormat="false" ht="12.75" hidden="false" customHeight="false" outlineLevel="0" collapsed="false">
      <c r="A270" s="1673" t="n">
        <f aca="false">EDATE(A269,1)</f>
        <v>43040</v>
      </c>
      <c r="B270" s="1659" t="n">
        <f aca="false">'[4]Monthly Curve Calc.'!B273</f>
        <v>652.719897637462</v>
      </c>
      <c r="C270" s="1660" t="n">
        <f aca="false">'[4]Monthly Curve Calc.'!C273</f>
        <v>273.751294464328</v>
      </c>
      <c r="D270" s="1661" t="n">
        <f aca="false">'[4]Monthly Curve Calc.'!F273</f>
        <v>3.04280483899669</v>
      </c>
      <c r="E270" s="1662" t="n">
        <f aca="false">IF($A270&lt;=E$16,D270,(B270/B269)/(C270/C269)*E269)</f>
        <v>2.90563969463233</v>
      </c>
      <c r="F270" s="1674" t="n">
        <f aca="false">IF(Assm!$L$75=0,F269,IF(AND($A270&gt;F$16,MONTH($A270)=MONTH(F$16)),B269/B257,F269))</f>
        <v>1.06866656267332</v>
      </c>
      <c r="G270" s="1668" t="n">
        <f aca="false">IF(Assm!$L$75=0,G269,IF(AND($A270&gt;G$16,MONTH($A270)=MONTH(G$16)),C269/C257,G269))</f>
        <v>1.02657943516855</v>
      </c>
      <c r="H270" s="1668" t="n">
        <f aca="false">IF(Assm!$L$75=0,H269,IF(AND($A270&gt;H$16,MONTH($A270)=MONTH(H$16)),C269/C257-H$18,H269))</f>
        <v>1.02407943516855</v>
      </c>
      <c r="I270" s="1668" t="n">
        <f aca="false">IF(Assm!$L$75=0,I269,IF($A270&gt;=I$16,IF(MONTH($A270)=MONTH(I$16),AVERAGE(D258:D269),I269),I269))</f>
        <v>2.96122241918212</v>
      </c>
      <c r="J270" s="1675" t="n">
        <f aca="false">IF(Assm!$L$75=0,J269,IF($A270&gt;=J$16,IF(MONTH($A270)=MONTH(J$16),AVERAGE(E258:E269),J269),J269))</f>
        <v>2.75143836031838</v>
      </c>
      <c r="K270" s="1624" t="n">
        <f aca="false">K269+1</f>
        <v>258</v>
      </c>
      <c r="L270" s="1667" t="n">
        <f aca="false">HLOOKUP(L$14,Dec_Change,$K270)</f>
        <v>1.02657943516855</v>
      </c>
      <c r="M270" s="1668" t="n">
        <f aca="false">M269</f>
        <v>0</v>
      </c>
      <c r="N270" s="1675" t="n">
        <f aca="false">IF(AND($A270&gt;=N$16,MONTH($A270)=MONTH(N$16)),MAX(L270,M270)*N269,N269)</f>
        <v>1.68254669873615</v>
      </c>
      <c r="P270" s="1667" t="n">
        <f aca="false">HLOOKUP(P$14,Dec_Change,$K270)</f>
        <v>1.06866656267332</v>
      </c>
      <c r="Q270" s="1668" t="n">
        <f aca="false">Q269</f>
        <v>0</v>
      </c>
      <c r="R270" s="1675" t="n">
        <f aca="false">IF(AND($A270&gt;=R$16,MONTH($A270)=MONTH(R$16)),MAX(P270,Q270)*R269,R269)</f>
        <v>4.49294778333362</v>
      </c>
      <c r="T270" s="1667" t="n">
        <f aca="false">HLOOKUP(T$14,Dec_Change,$K270)</f>
        <v>1.02657943516855</v>
      </c>
      <c r="U270" s="1668" t="n">
        <f aca="false">U269</f>
        <v>1.005</v>
      </c>
      <c r="V270" s="1675" t="n">
        <f aca="false">IF(AND($A270&gt;=V$16,MONTH($A270)=MONTH(V$16)),MAX(T270,U270)*V269,V269)</f>
        <v>1.68254669873615</v>
      </c>
      <c r="X270" s="1667" t="n">
        <f aca="false">HLOOKUP(X$14,Dec_Change,$K270)</f>
        <v>1.02407943516855</v>
      </c>
      <c r="Y270" s="1668" t="n">
        <f aca="false">Y269</f>
        <v>1.02</v>
      </c>
      <c r="Z270" s="1675" t="n">
        <f aca="false">IF(AND($A270&gt;=Z$16,MONTH($A270)=MONTH(Z$16)),MAX(X270,Y270)*Z269,Z269)</f>
        <v>1.6153442667317</v>
      </c>
      <c r="AB270" s="1667" t="n">
        <f aca="false">HLOOKUP(AB$14,Dec_Change,$K270)</f>
        <v>1.02407943516855</v>
      </c>
      <c r="AC270" s="1668" t="n">
        <f aca="false">AC269</f>
        <v>1.02</v>
      </c>
      <c r="AD270" s="1675" t="n">
        <f aca="false">IF(AND($A270&gt;=AD$16,MONTH($A270)=MONTH(AD$16)),MAX(AB270,AC270)*AD269,AD269)</f>
        <v>1.6153442667317</v>
      </c>
      <c r="AF270" s="1667" t="n">
        <f aca="false">HLOOKUP(AF$14,Dec_Change,$K270)</f>
        <v>1.06866656267332</v>
      </c>
      <c r="AG270" s="1668" t="n">
        <f aca="false">AG269</f>
        <v>0</v>
      </c>
      <c r="AH270" s="1675" t="n">
        <f aca="false">IF(AND($A270&gt;=AH$16,MONTH($A270)=MONTH(AH$16)),MAX(AF270,AG270)*AH269,AH269)</f>
        <v>4.49294778333362</v>
      </c>
      <c r="AJ270" s="1667" t="n">
        <f aca="false">HLOOKUP(AJ$14,Dec_Change,$K270)</f>
        <v>1.02407943516855</v>
      </c>
      <c r="AK270" s="1668" t="n">
        <f aca="false">AK269</f>
        <v>1.02</v>
      </c>
      <c r="AL270" s="1675" t="n">
        <f aca="false">IF(AND($A270&gt;=AL$16,MONTH($A270)=MONTH(AL$16)),MAX(AJ270,AK270)*AL269,AL269)</f>
        <v>1.6153442667317</v>
      </c>
      <c r="AN270" s="1667" t="n">
        <f aca="false">HLOOKUP(AN$14,Dec_Change,$K270)</f>
        <v>1.02657943516855</v>
      </c>
      <c r="AO270" s="1668" t="n">
        <f aca="false">AO269</f>
        <v>1.005</v>
      </c>
      <c r="AP270" s="1675" t="n">
        <f aca="false">IF(AND($A270&gt;=AP$16,MONTH($A270)=MONTH(AP$16)),MAX(AN270,AO270)*AP269,AP269)</f>
        <v>1.68254669873615</v>
      </c>
      <c r="AR270" s="1670" t="n">
        <f aca="false">$A270</f>
        <v>43040</v>
      </c>
      <c r="AS270" s="1671" t="n">
        <f aca="false">IF(AND($A270&gt;=EDATE(AS$17,12),IF(Assm!$L$74=0,$D270,$E270)/AS269&gt;=1.05),IF(Assm!$L$74=0,$D270,$E270),AS269)</f>
        <v>2.91512077880939</v>
      </c>
      <c r="AT270" s="1671" t="n">
        <f aca="false">IF(AS270/AS269=1,AT269,AS270/AS269)</f>
        <v>1.05082462704108</v>
      </c>
      <c r="AU270" s="1671" t="n">
        <f aca="false">F270</f>
        <v>1.06866656267332</v>
      </c>
      <c r="AV270" s="1671" t="n">
        <f aca="false">MAX(AT270,AU270)</f>
        <v>1.06866656267332</v>
      </c>
      <c r="AW270" s="1675" t="n">
        <f aca="false">IF(AV270=AV269,AW269,AV270*AW269)</f>
        <v>4.21041404395839</v>
      </c>
    </row>
    <row r="271" customFormat="false" ht="12.75" hidden="false" customHeight="false" outlineLevel="0" collapsed="false">
      <c r="A271" s="1673" t="n">
        <f aca="false">EDATE(A270,1)</f>
        <v>43070</v>
      </c>
      <c r="B271" s="1659" t="n">
        <f aca="false">'[4]Monthly Curve Calc.'!B274</f>
        <v>656.308138516842</v>
      </c>
      <c r="C271" s="1660" t="n">
        <f aca="false">'[4]Monthly Curve Calc.'!C274</f>
        <v>274.357676466101</v>
      </c>
      <c r="D271" s="1661" t="n">
        <f aca="false">'[4]Monthly Curve Calc.'!F274</f>
        <v>3.04781956990169</v>
      </c>
      <c r="E271" s="1662" t="n">
        <f aca="false">IF($A271&lt;=E$16,D271,(B271/B270)/(C271/C270)*E270)</f>
        <v>2.91515574896373</v>
      </c>
      <c r="F271" s="1674" t="n">
        <f aca="false">IF(Assm!$L$75=0,F270,IF(AND($A271&gt;F$16,MONTH($A271)=MONTH(F$16)),B270/B258,F270))</f>
        <v>1.06866656267332</v>
      </c>
      <c r="G271" s="1668" t="n">
        <f aca="false">IF(Assm!$L$75=0,G270,IF(AND($A271&gt;G$16,MONTH($A271)=MONTH(G$16)),C270/C258,G270))</f>
        <v>1.02657943516855</v>
      </c>
      <c r="H271" s="1668" t="n">
        <f aca="false">IF(Assm!$L$75=0,H270,IF(AND($A271&gt;H$16,MONTH($A271)=MONTH(H$16)),C270/C258-H$18,H270))</f>
        <v>1.02407943516855</v>
      </c>
      <c r="I271" s="1668" t="n">
        <f aca="false">IF(Assm!$L$75=0,I270,IF($A271&gt;=I$16,IF(MONTH($A271)=MONTH(I$16),AVERAGE(D259:D270),I270),I270))</f>
        <v>2.96122241918212</v>
      </c>
      <c r="J271" s="1675" t="n">
        <f aca="false">IF(Assm!$L$75=0,J270,IF($A271&gt;=J$16,IF(MONTH($A271)=MONTH(J$16),AVERAGE(E259:E270),J270),J270))</f>
        <v>2.75143836031838</v>
      </c>
      <c r="K271" s="1624" t="n">
        <f aca="false">K270+1</f>
        <v>259</v>
      </c>
      <c r="L271" s="1667" t="n">
        <f aca="false">HLOOKUP(L$14,Dec_Change,$K271)</f>
        <v>1.02657943516855</v>
      </c>
      <c r="M271" s="1668" t="n">
        <f aca="false">M270</f>
        <v>0</v>
      </c>
      <c r="N271" s="1675" t="n">
        <f aca="false">IF(AND($A271&gt;=N$16,MONTH($A271)=MONTH(N$16)),MAX(L271,M271)*N270,N270)</f>
        <v>1.68254669873615</v>
      </c>
      <c r="P271" s="1667" t="n">
        <f aca="false">HLOOKUP(P$14,Dec_Change,$K271)</f>
        <v>1.06866656267332</v>
      </c>
      <c r="Q271" s="1668" t="n">
        <f aca="false">Q270</f>
        <v>0</v>
      </c>
      <c r="R271" s="1675" t="n">
        <f aca="false">IF(AND($A271&gt;=R$16,MONTH($A271)=MONTH(R$16)),MAX(P271,Q271)*R270,R270)</f>
        <v>4.49294778333362</v>
      </c>
      <c r="T271" s="1667" t="n">
        <f aca="false">HLOOKUP(T$14,Dec_Change,$K271)</f>
        <v>1.02657943516855</v>
      </c>
      <c r="U271" s="1668" t="n">
        <f aca="false">U270</f>
        <v>1.005</v>
      </c>
      <c r="V271" s="1675" t="n">
        <f aca="false">IF(AND($A271&gt;=V$16,MONTH($A271)=MONTH(V$16)),MAX(T271,U271)*V270,V270)</f>
        <v>1.68254669873615</v>
      </c>
      <c r="X271" s="1667" t="n">
        <f aca="false">HLOOKUP(X$14,Dec_Change,$K271)</f>
        <v>1.02407943516855</v>
      </c>
      <c r="Y271" s="1668" t="n">
        <f aca="false">Y270</f>
        <v>1.02</v>
      </c>
      <c r="Z271" s="1675" t="n">
        <f aca="false">IF(AND($A271&gt;=Z$16,MONTH($A271)=MONTH(Z$16)),MAX(X271,Y271)*Z270,Z270)</f>
        <v>1.6153442667317</v>
      </c>
      <c r="AB271" s="1667" t="n">
        <f aca="false">HLOOKUP(AB$14,Dec_Change,$K271)</f>
        <v>1.02407943516855</v>
      </c>
      <c r="AC271" s="1668" t="n">
        <f aca="false">AC270</f>
        <v>1.02</v>
      </c>
      <c r="AD271" s="1675" t="n">
        <f aca="false">IF(AND($A271&gt;=AD$16,MONTH($A271)=MONTH(AD$16)),MAX(AB271,AC271)*AD270,AD270)</f>
        <v>1.6153442667317</v>
      </c>
      <c r="AF271" s="1667" t="n">
        <f aca="false">HLOOKUP(AF$14,Dec_Change,$K271)</f>
        <v>1.06866656267332</v>
      </c>
      <c r="AG271" s="1668" t="n">
        <f aca="false">AG270</f>
        <v>0</v>
      </c>
      <c r="AH271" s="1675" t="n">
        <f aca="false">IF(AND($A271&gt;=AH$16,MONTH($A271)=MONTH(AH$16)),MAX(AF271,AG271)*AH270,AH270)</f>
        <v>4.49294778333362</v>
      </c>
      <c r="AJ271" s="1667" t="n">
        <f aca="false">HLOOKUP(AJ$14,Dec_Change,$K271)</f>
        <v>1.02407943516855</v>
      </c>
      <c r="AK271" s="1668" t="n">
        <f aca="false">AK270</f>
        <v>1.02</v>
      </c>
      <c r="AL271" s="1675" t="n">
        <f aca="false">IF(AND($A271&gt;=AL$16,MONTH($A271)=MONTH(AL$16)),MAX(AJ271,AK271)*AL270,AL270)</f>
        <v>1.6153442667317</v>
      </c>
      <c r="AN271" s="1667" t="n">
        <f aca="false">HLOOKUP(AN$14,Dec_Change,$K271)</f>
        <v>1.02657943516855</v>
      </c>
      <c r="AO271" s="1668" t="n">
        <f aca="false">AO270</f>
        <v>1.005</v>
      </c>
      <c r="AP271" s="1675" t="n">
        <f aca="false">IF(AND($A271&gt;=AP$16,MONTH($A271)=MONTH(AP$16)),MAX(AN271,AO271)*AP270,AP270)</f>
        <v>1.68254669873615</v>
      </c>
      <c r="AR271" s="1670" t="n">
        <f aca="false">$A271</f>
        <v>43070</v>
      </c>
      <c r="AS271" s="1671" t="n">
        <f aca="false">IF(AND($A271&gt;=EDATE(AS$17,12),IF(Assm!$L$74=0,$D271,$E271)/AS270&gt;=1.05),IF(Assm!$L$74=0,$D271,$E271),AS270)</f>
        <v>2.91512077880939</v>
      </c>
      <c r="AT271" s="1671" t="n">
        <f aca="false">IF(AS271/AS270=1,AT270,AS271/AS270)</f>
        <v>1.05082462704108</v>
      </c>
      <c r="AU271" s="1671" t="n">
        <f aca="false">F271</f>
        <v>1.06866656267332</v>
      </c>
      <c r="AV271" s="1671" t="n">
        <f aca="false">MAX(AT271,AU271)</f>
        <v>1.06866656267332</v>
      </c>
      <c r="AW271" s="1675" t="n">
        <f aca="false">IF(AV271=AV270,AW270,AV271*AW270)</f>
        <v>4.21041404395839</v>
      </c>
    </row>
    <row r="272" customFormat="false" ht="12.75" hidden="false" customHeight="false" outlineLevel="0" collapsed="false">
      <c r="A272" s="1673" t="n">
        <f aca="false">EDATE(A271,1)</f>
        <v>43101</v>
      </c>
      <c r="B272" s="1659" t="n">
        <f aca="false">'[4]Monthly Curve Calc.'!B275</f>
        <v>659.916105273517</v>
      </c>
      <c r="C272" s="1660" t="n">
        <f aca="false">'[4]Monthly Curve Calc.'!C275</f>
        <v>274.973117170653</v>
      </c>
      <c r="D272" s="1661" t="n">
        <f aca="false">'[4]Monthly Curve Calc.'!F275</f>
        <v>3.05285098115965</v>
      </c>
      <c r="E272" s="1662" t="n">
        <f aca="false">IF($A272&lt;=E$16,D272,(B272/B271)/(C272/C271)*E271)</f>
        <v>2.92462090392727</v>
      </c>
      <c r="F272" s="1674" t="n">
        <f aca="false">IF(Assm!$L$75=0,F271,IF(AND($A272&gt;F$16,MONTH($A272)=MONTH(F$16)),B271/B259,F271))</f>
        <v>1.06866656267332</v>
      </c>
      <c r="G272" s="1668" t="n">
        <f aca="false">IF(Assm!$L$75=0,G271,IF(AND($A272&gt;G$16,MONTH($A272)=MONTH(G$16)),C271/C259,G271))</f>
        <v>1.02657943516855</v>
      </c>
      <c r="H272" s="1668" t="n">
        <f aca="false">IF(Assm!$L$75=0,H271,IF(AND($A272&gt;H$16,MONTH($A272)=MONTH(H$16)),C271/C259-H$18,H271))</f>
        <v>1.02407943516855</v>
      </c>
      <c r="I272" s="1668" t="n">
        <f aca="false">IF(Assm!$L$75=0,I271,IF($A272&gt;=I$16,IF(MONTH($A272)=MONTH(I$16),AVERAGE(D260:D271),I271),I271))</f>
        <v>3.02038925952867</v>
      </c>
      <c r="J272" s="1675" t="n">
        <f aca="false">IF(Assm!$L$75=0,J271,IF($A272&gt;=J$16,IF(MONTH($A272)=MONTH(J$16),AVERAGE(E260:E271),J271),J271))</f>
        <v>2.86338278876317</v>
      </c>
      <c r="K272" s="1624" t="n">
        <f aca="false">K271+1</f>
        <v>260</v>
      </c>
      <c r="L272" s="1667" t="n">
        <f aca="false">HLOOKUP(L$14,Dec_Change,$K272)</f>
        <v>1.02657943516855</v>
      </c>
      <c r="M272" s="1668" t="n">
        <f aca="false">M271</f>
        <v>0</v>
      </c>
      <c r="N272" s="1675" t="n">
        <f aca="false">IF(AND($A272&gt;=N$16,MONTH($A272)=MONTH(N$16)),MAX(L272,M272)*N271,N271)</f>
        <v>1.68254669873615</v>
      </c>
      <c r="P272" s="1667" t="n">
        <f aca="false">HLOOKUP(P$14,Dec_Change,$K272)</f>
        <v>1.06866656267332</v>
      </c>
      <c r="Q272" s="1668" t="n">
        <f aca="false">Q271</f>
        <v>0</v>
      </c>
      <c r="R272" s="1675" t="n">
        <f aca="false">IF(AND($A272&gt;=R$16,MONTH($A272)=MONTH(R$16)),MAX(P272,Q272)*R271,R271)</f>
        <v>4.49294778333362</v>
      </c>
      <c r="T272" s="1667" t="n">
        <f aca="false">HLOOKUP(T$14,Dec_Change,$K272)</f>
        <v>1.02657943516855</v>
      </c>
      <c r="U272" s="1668" t="n">
        <f aca="false">U271</f>
        <v>1.005</v>
      </c>
      <c r="V272" s="1675" t="n">
        <f aca="false">IF(AND($A272&gt;=V$16,MONTH($A272)=MONTH(V$16)),MAX(T272,U272)*V271,V271)</f>
        <v>1.68254669873615</v>
      </c>
      <c r="X272" s="1667" t="n">
        <f aca="false">HLOOKUP(X$14,Dec_Change,$K272)</f>
        <v>1.02407943516855</v>
      </c>
      <c r="Y272" s="1668" t="n">
        <f aca="false">Y271</f>
        <v>1.02</v>
      </c>
      <c r="Z272" s="1675" t="n">
        <f aca="false">IF(AND($A272&gt;=Z$16,MONTH($A272)=MONTH(Z$16)),MAX(X272,Y272)*Z271,Z271)</f>
        <v>1.6153442667317</v>
      </c>
      <c r="AB272" s="1667" t="n">
        <f aca="false">HLOOKUP(AB$14,Dec_Change,$K272)</f>
        <v>1.02407943516855</v>
      </c>
      <c r="AC272" s="1668" t="n">
        <f aca="false">AC271</f>
        <v>1.02</v>
      </c>
      <c r="AD272" s="1675" t="n">
        <f aca="false">IF(AND($A272&gt;=AD$16,MONTH($A272)=MONTH(AD$16)),MAX(AB272,AC272)*AD271,AD271)</f>
        <v>1.6153442667317</v>
      </c>
      <c r="AF272" s="1667" t="n">
        <f aca="false">HLOOKUP(AF$14,Dec_Change,$K272)</f>
        <v>1.06866656267332</v>
      </c>
      <c r="AG272" s="1668" t="n">
        <f aca="false">AG271</f>
        <v>0</v>
      </c>
      <c r="AH272" s="1675" t="n">
        <f aca="false">IF(AND($A272&gt;=AH$16,MONTH($A272)=MONTH(AH$16)),MAX(AF272,AG272)*AH271,AH271)</f>
        <v>4.49294778333362</v>
      </c>
      <c r="AJ272" s="1667" t="n">
        <f aca="false">HLOOKUP(AJ$14,Dec_Change,$K272)</f>
        <v>1.02407943516855</v>
      </c>
      <c r="AK272" s="1668" t="n">
        <f aca="false">AK271</f>
        <v>1.02</v>
      </c>
      <c r="AL272" s="1675" t="n">
        <f aca="false">IF(AND($A272&gt;=AL$16,MONTH($A272)=MONTH(AL$16)),MAX(AJ272,AK272)*AL271,AL271)</f>
        <v>1.6153442667317</v>
      </c>
      <c r="AN272" s="1667" t="n">
        <f aca="false">HLOOKUP(AN$14,Dec_Change,$K272)</f>
        <v>1.02657943516855</v>
      </c>
      <c r="AO272" s="1668" t="n">
        <f aca="false">AO271</f>
        <v>1.005</v>
      </c>
      <c r="AP272" s="1675" t="n">
        <f aca="false">IF(AND($A272&gt;=AP$16,MONTH($A272)=MONTH(AP$16)),MAX(AN272,AO272)*AP271,AP271)</f>
        <v>1.68254669873615</v>
      </c>
      <c r="AR272" s="1670" t="n">
        <f aca="false">$A272</f>
        <v>43101</v>
      </c>
      <c r="AS272" s="1671" t="n">
        <f aca="false">IF(AND($A272&gt;=EDATE(AS$17,12),IF(Assm!$L$74=0,$D272,$E272)/AS271&gt;=1.05),IF(Assm!$L$74=0,$D272,$E272),AS271)</f>
        <v>2.91512077880939</v>
      </c>
      <c r="AT272" s="1671" t="n">
        <f aca="false">IF(AS272/AS271=1,AT271,AS272/AS271)</f>
        <v>1.05082462704108</v>
      </c>
      <c r="AU272" s="1671" t="n">
        <f aca="false">F272</f>
        <v>1.06866656267332</v>
      </c>
      <c r="AV272" s="1671" t="n">
        <f aca="false">MAX(AT272,AU272)</f>
        <v>1.06866656267332</v>
      </c>
      <c r="AW272" s="1675" t="n">
        <f aca="false">IF(AV272=AV271,AW271,AV272*AW271)</f>
        <v>4.21041404395839</v>
      </c>
    </row>
    <row r="273" customFormat="false" ht="12.75" hidden="false" customHeight="false" outlineLevel="0" collapsed="false">
      <c r="A273" s="1673" t="n">
        <f aca="false">EDATE(A272,1)</f>
        <v>43132</v>
      </c>
      <c r="B273" s="1659" t="n">
        <f aca="false">'[4]Monthly Curve Calc.'!B276</f>
        <v>663.543906347874</v>
      </c>
      <c r="C273" s="1660" t="n">
        <f aca="false">'[4]Monthly Curve Calc.'!C276</f>
        <v>275.589938435303</v>
      </c>
      <c r="D273" s="1661" t="n">
        <f aca="false">'[4]Monthly Curve Calc.'!F276</f>
        <v>3.05789069838804</v>
      </c>
      <c r="E273" s="1662" t="n">
        <f aca="false">IF($A273&lt;=E$16,D273,(B273/B272)/(C273/C272)*E272)</f>
        <v>2.93411679109389</v>
      </c>
      <c r="F273" s="1674" t="n">
        <f aca="false">IF(Assm!$L$75=0,F272,IF(AND($A273&gt;F$16,MONTH($A273)=MONTH(F$16)),B272/B260,F272))</f>
        <v>1.06866656267332</v>
      </c>
      <c r="G273" s="1668" t="n">
        <f aca="false">IF(Assm!$L$75=0,G272,IF(AND($A273&gt;G$16,MONTH($A273)=MONTH(G$16)),C272/C260,G272))</f>
        <v>1.02657943516855</v>
      </c>
      <c r="H273" s="1668" t="n">
        <f aca="false">IF(Assm!$L$75=0,H272,IF(AND($A273&gt;H$16,MONTH($A273)=MONTH(H$16)),C272/C260-H$18,H272))</f>
        <v>1.02407943516855</v>
      </c>
      <c r="I273" s="1668" t="n">
        <f aca="false">IF(Assm!$L$75=0,I272,IF($A273&gt;=I$16,IF(MONTH($A273)=MONTH(I$16),AVERAGE(D261:D272),I272),I272))</f>
        <v>3.02038925952867</v>
      </c>
      <c r="J273" s="1675" t="n">
        <f aca="false">IF(Assm!$L$75=0,J272,IF($A273&gt;=J$16,IF(MONTH($A273)=MONTH(J$16),AVERAGE(E261:E272),J272),J272))</f>
        <v>2.86338278876317</v>
      </c>
      <c r="K273" s="1624" t="n">
        <f aca="false">K272+1</f>
        <v>261</v>
      </c>
      <c r="L273" s="1667" t="n">
        <f aca="false">HLOOKUP(L$14,Dec_Change,$K273)</f>
        <v>1.02657943516855</v>
      </c>
      <c r="M273" s="1668" t="n">
        <f aca="false">M272</f>
        <v>0</v>
      </c>
      <c r="N273" s="1675" t="n">
        <f aca="false">IF(AND($A273&gt;=N$16,MONTH($A273)=MONTH(N$16)),MAX(L273,M273)*N272,N272)</f>
        <v>1.68254669873615</v>
      </c>
      <c r="P273" s="1667" t="n">
        <f aca="false">HLOOKUP(P$14,Dec_Change,$K273)</f>
        <v>1.06866656267332</v>
      </c>
      <c r="Q273" s="1668" t="n">
        <f aca="false">Q272</f>
        <v>0</v>
      </c>
      <c r="R273" s="1675" t="n">
        <f aca="false">IF(AND($A273&gt;=R$16,MONTH($A273)=MONTH(R$16)),MAX(P273,Q273)*R272,R272)</f>
        <v>4.49294778333362</v>
      </c>
      <c r="T273" s="1667" t="n">
        <f aca="false">HLOOKUP(T$14,Dec_Change,$K273)</f>
        <v>1.02657943516855</v>
      </c>
      <c r="U273" s="1668" t="n">
        <f aca="false">U272</f>
        <v>1.005</v>
      </c>
      <c r="V273" s="1675" t="n">
        <f aca="false">IF(AND($A273&gt;=V$16,MONTH($A273)=MONTH(V$16)),MAX(T273,U273)*V272,V272)</f>
        <v>1.68254669873615</v>
      </c>
      <c r="X273" s="1667" t="n">
        <f aca="false">HLOOKUP(X$14,Dec_Change,$K273)</f>
        <v>1.02407943516855</v>
      </c>
      <c r="Y273" s="1668" t="n">
        <f aca="false">Y272</f>
        <v>1.02</v>
      </c>
      <c r="Z273" s="1675" t="n">
        <f aca="false">IF(AND($A273&gt;=Z$16,MONTH($A273)=MONTH(Z$16)),MAX(X273,Y273)*Z272,Z272)</f>
        <v>1.6153442667317</v>
      </c>
      <c r="AB273" s="1667" t="n">
        <f aca="false">HLOOKUP(AB$14,Dec_Change,$K273)</f>
        <v>1.02407943516855</v>
      </c>
      <c r="AC273" s="1668" t="n">
        <f aca="false">AC272</f>
        <v>1.02</v>
      </c>
      <c r="AD273" s="1675" t="n">
        <f aca="false">IF(AND($A273&gt;=AD$16,MONTH($A273)=MONTH(AD$16)),MAX(AB273,AC273)*AD272,AD272)</f>
        <v>1.6153442667317</v>
      </c>
      <c r="AF273" s="1667" t="n">
        <f aca="false">HLOOKUP(AF$14,Dec_Change,$K273)</f>
        <v>1.06866656267332</v>
      </c>
      <c r="AG273" s="1668" t="n">
        <f aca="false">AG272</f>
        <v>0</v>
      </c>
      <c r="AH273" s="1675" t="n">
        <f aca="false">IF(AND($A273&gt;=AH$16,MONTH($A273)=MONTH(AH$16)),MAX(AF273,AG273)*AH272,AH272)</f>
        <v>4.49294778333362</v>
      </c>
      <c r="AJ273" s="1667" t="n">
        <f aca="false">HLOOKUP(AJ$14,Dec_Change,$K273)</f>
        <v>1.02407943516855</v>
      </c>
      <c r="AK273" s="1668" t="n">
        <f aca="false">AK272</f>
        <v>1.02</v>
      </c>
      <c r="AL273" s="1675" t="n">
        <f aca="false">IF(AND($A273&gt;=AL$16,MONTH($A273)=MONTH(AL$16)),MAX(AJ273,AK273)*AL272,AL272)</f>
        <v>1.6153442667317</v>
      </c>
      <c r="AN273" s="1667" t="n">
        <f aca="false">HLOOKUP(AN$14,Dec_Change,$K273)</f>
        <v>1.02657943516855</v>
      </c>
      <c r="AO273" s="1668" t="n">
        <f aca="false">AO272</f>
        <v>1.005</v>
      </c>
      <c r="AP273" s="1675" t="n">
        <f aca="false">IF(AND($A273&gt;=AP$16,MONTH($A273)=MONTH(AP$16)),MAX(AN273,AO273)*AP272,AP272)</f>
        <v>1.68254669873615</v>
      </c>
      <c r="AR273" s="1670" t="n">
        <f aca="false">$A273</f>
        <v>43132</v>
      </c>
      <c r="AS273" s="1671" t="n">
        <f aca="false">IF(AND($A273&gt;=EDATE(AS$17,12),IF(Assm!$L$74=0,$D273,$E273)/AS272&gt;=1.05),IF(Assm!$L$74=0,$D273,$E273),AS272)</f>
        <v>2.91512077880939</v>
      </c>
      <c r="AT273" s="1671" t="n">
        <f aca="false">IF(AS273/AS272=1,AT272,AS273/AS272)</f>
        <v>1.05082462704108</v>
      </c>
      <c r="AU273" s="1671" t="n">
        <f aca="false">F273</f>
        <v>1.06866656267332</v>
      </c>
      <c r="AV273" s="1671" t="n">
        <f aca="false">MAX(AT273,AU273)</f>
        <v>1.06866656267332</v>
      </c>
      <c r="AW273" s="1675" t="n">
        <f aca="false">IF(AV273=AV272,AW272,AV273*AW272)</f>
        <v>4.21041404395839</v>
      </c>
    </row>
    <row r="274" customFormat="false" ht="12.75" hidden="false" customHeight="false" outlineLevel="0" collapsed="false">
      <c r="A274" s="1673" t="n">
        <f aca="false">EDATE(A273,1)</f>
        <v>43160</v>
      </c>
      <c r="B274" s="1659" t="n">
        <f aca="false">'[4]Monthly Curve Calc.'!B277</f>
        <v>667.19165077644</v>
      </c>
      <c r="C274" s="1660" t="n">
        <f aca="false">'[4]Monthly Curve Calc.'!C277</f>
        <v>276.208143356931</v>
      </c>
      <c r="D274" s="1661" t="n">
        <f aca="false">'[4]Monthly Curve Calc.'!F277</f>
        <v>3.06293873529856</v>
      </c>
      <c r="E274" s="1662" t="n">
        <f aca="false">IF($A274&lt;=E$16,D274,(B274/B273)/(C274/C273)*E273)</f>
        <v>2.9436435102473</v>
      </c>
      <c r="F274" s="1674" t="n">
        <f aca="false">IF(Assm!$L$75=0,F273,IF(AND($A274&gt;F$16,MONTH($A274)=MONTH(F$16)),B273/B261,F273))</f>
        <v>1.06866656267332</v>
      </c>
      <c r="G274" s="1668" t="n">
        <f aca="false">IF(Assm!$L$75=0,G273,IF(AND($A274&gt;G$16,MONTH($A274)=MONTH(G$16)),C273/C261,G273))</f>
        <v>1.02657943516855</v>
      </c>
      <c r="H274" s="1668" t="n">
        <f aca="false">IF(Assm!$L$75=0,H273,IF(AND($A274&gt;H$16,MONTH($A274)=MONTH(H$16)),C273/C261-H$18,H273))</f>
        <v>1.02407943516855</v>
      </c>
      <c r="I274" s="1668" t="n">
        <f aca="false">IF(Assm!$L$75=0,I273,IF($A274&gt;=I$16,IF(MONTH($A274)=MONTH(I$16),AVERAGE(D262:D273),I273),I273))</f>
        <v>3.02038925952867</v>
      </c>
      <c r="J274" s="1675" t="n">
        <f aca="false">IF(Assm!$L$75=0,J273,IF($A274&gt;=J$16,IF(MONTH($A274)=MONTH(J$16),AVERAGE(E262:E273),J273),J273))</f>
        <v>2.86338278876317</v>
      </c>
      <c r="K274" s="1624" t="n">
        <f aca="false">K273+1</f>
        <v>262</v>
      </c>
      <c r="L274" s="1667" t="n">
        <f aca="false">HLOOKUP(L$14,Dec_Change,$K274)</f>
        <v>1.02657943516855</v>
      </c>
      <c r="M274" s="1668" t="n">
        <f aca="false">M273</f>
        <v>0</v>
      </c>
      <c r="N274" s="1675" t="n">
        <f aca="false">IF(AND($A274&gt;=N$16,MONTH($A274)=MONTH(N$16)),MAX(L274,M274)*N273,N273)</f>
        <v>1.68254669873615</v>
      </c>
      <c r="P274" s="1667" t="n">
        <f aca="false">HLOOKUP(P$14,Dec_Change,$K274)</f>
        <v>1.06866656267332</v>
      </c>
      <c r="Q274" s="1668" t="n">
        <f aca="false">Q273</f>
        <v>0</v>
      </c>
      <c r="R274" s="1675" t="n">
        <f aca="false">IF(AND($A274&gt;=R$16,MONTH($A274)=MONTH(R$16)),MAX(P274,Q274)*R273,R273)</f>
        <v>4.49294778333362</v>
      </c>
      <c r="T274" s="1667" t="n">
        <f aca="false">HLOOKUP(T$14,Dec_Change,$K274)</f>
        <v>1.02657943516855</v>
      </c>
      <c r="U274" s="1668" t="n">
        <f aca="false">U273</f>
        <v>1.005</v>
      </c>
      <c r="V274" s="1675" t="n">
        <f aca="false">IF(AND($A274&gt;=V$16,MONTH($A274)=MONTH(V$16)),MAX(T274,U274)*V273,V273)</f>
        <v>1.68254669873615</v>
      </c>
      <c r="X274" s="1667" t="n">
        <f aca="false">HLOOKUP(X$14,Dec_Change,$K274)</f>
        <v>1.02407943516855</v>
      </c>
      <c r="Y274" s="1668" t="n">
        <f aca="false">Y273</f>
        <v>1.02</v>
      </c>
      <c r="Z274" s="1675" t="n">
        <f aca="false">IF(AND($A274&gt;=Z$16,MONTH($A274)=MONTH(Z$16)),MAX(X274,Y274)*Z273,Z273)</f>
        <v>1.6153442667317</v>
      </c>
      <c r="AB274" s="1667" t="n">
        <f aca="false">HLOOKUP(AB$14,Dec_Change,$K274)</f>
        <v>1.02407943516855</v>
      </c>
      <c r="AC274" s="1668" t="n">
        <f aca="false">AC273</f>
        <v>1.02</v>
      </c>
      <c r="AD274" s="1675" t="n">
        <f aca="false">IF(AND($A274&gt;=AD$16,MONTH($A274)=MONTH(AD$16)),MAX(AB274,AC274)*AD273,AD273)</f>
        <v>1.6153442667317</v>
      </c>
      <c r="AF274" s="1667" t="n">
        <f aca="false">HLOOKUP(AF$14,Dec_Change,$K274)</f>
        <v>1.06866656267332</v>
      </c>
      <c r="AG274" s="1668" t="n">
        <f aca="false">AG273</f>
        <v>0</v>
      </c>
      <c r="AH274" s="1675" t="n">
        <f aca="false">IF(AND($A274&gt;=AH$16,MONTH($A274)=MONTH(AH$16)),MAX(AF274,AG274)*AH273,AH273)</f>
        <v>4.49294778333362</v>
      </c>
      <c r="AJ274" s="1667" t="n">
        <f aca="false">HLOOKUP(AJ$14,Dec_Change,$K274)</f>
        <v>1.02407943516855</v>
      </c>
      <c r="AK274" s="1668" t="n">
        <f aca="false">AK273</f>
        <v>1.02</v>
      </c>
      <c r="AL274" s="1675" t="n">
        <f aca="false">IF(AND($A274&gt;=AL$16,MONTH($A274)=MONTH(AL$16)),MAX(AJ274,AK274)*AL273,AL273)</f>
        <v>1.6153442667317</v>
      </c>
      <c r="AN274" s="1667" t="n">
        <f aca="false">HLOOKUP(AN$14,Dec_Change,$K274)</f>
        <v>1.02657943516855</v>
      </c>
      <c r="AO274" s="1668" t="n">
        <f aca="false">AO273</f>
        <v>1.005</v>
      </c>
      <c r="AP274" s="1675" t="n">
        <f aca="false">IF(AND($A274&gt;=AP$16,MONTH($A274)=MONTH(AP$16)),MAX(AN274,AO274)*AP273,AP273)</f>
        <v>1.68254669873615</v>
      </c>
      <c r="AR274" s="1670" t="n">
        <f aca="false">$A274</f>
        <v>43160</v>
      </c>
      <c r="AS274" s="1671" t="n">
        <f aca="false">IF(AND($A274&gt;=EDATE(AS$17,12),IF(Assm!$L$74=0,$D274,$E274)/AS273&gt;=1.05),IF(Assm!$L$74=0,$D274,$E274),AS273)</f>
        <v>3.06293873529856</v>
      </c>
      <c r="AT274" s="1671" t="n">
        <f aca="false">IF(AS274/AS273=1,AT273,AS274/AS273)</f>
        <v>1.05070731805134</v>
      </c>
      <c r="AU274" s="1671" t="n">
        <f aca="false">F274</f>
        <v>1.06866656267332</v>
      </c>
      <c r="AV274" s="1671" t="n">
        <f aca="false">MAX(AT274,AU274)</f>
        <v>1.06866656267332</v>
      </c>
      <c r="AW274" s="1675" t="n">
        <f aca="false">IF(AV274=AV273,AW273,AV274*AW273)</f>
        <v>4.21041404395839</v>
      </c>
    </row>
    <row r="275" customFormat="false" ht="12.75" hidden="false" customHeight="false" outlineLevel="0" collapsed="false">
      <c r="A275" s="1673" t="n">
        <f aca="false">EDATE(A274,1)</f>
        <v>43191</v>
      </c>
      <c r="B275" s="1659" t="n">
        <f aca="false">'[4]Monthly Curve Calc.'!B278</f>
        <v>670.859448195152</v>
      </c>
      <c r="C275" s="1660" t="n">
        <f aca="false">'[4]Monthly Curve Calc.'!C278</f>
        <v>276.827735039366</v>
      </c>
      <c r="D275" s="1661" t="n">
        <f aca="false">'[4]Monthly Curve Calc.'!F278</f>
        <v>3.06799510562553</v>
      </c>
      <c r="E275" s="1662" t="n">
        <f aca="false">IF($A275&lt;=E$16,D275,(B275/B274)/(C275/C274)*E274)</f>
        <v>2.9532011614952</v>
      </c>
      <c r="F275" s="1674" t="n">
        <f aca="false">IF(Assm!$L$75=0,F274,IF(AND($A275&gt;F$16,MONTH($A275)=MONTH(F$16)),B274/B262,F274))</f>
        <v>1.06866656267332</v>
      </c>
      <c r="G275" s="1668" t="n">
        <f aca="false">IF(Assm!$L$75=0,G274,IF(AND($A275&gt;G$16,MONTH($A275)=MONTH(G$16)),C274/C262,G274))</f>
        <v>1.02657943516855</v>
      </c>
      <c r="H275" s="1668" t="n">
        <f aca="false">IF(Assm!$L$75=0,H274,IF(AND($A275&gt;H$16,MONTH($A275)=MONTH(H$16)),C274/C262-H$18,H274))</f>
        <v>1.02407943516855</v>
      </c>
      <c r="I275" s="1668" t="n">
        <f aca="false">IF(Assm!$L$75=0,I274,IF($A275&gt;=I$16,IF(MONTH($A275)=MONTH(I$16),AVERAGE(D263:D274),I274),I274))</f>
        <v>3.02038925952867</v>
      </c>
      <c r="J275" s="1675" t="n">
        <f aca="false">IF(Assm!$L$75=0,J274,IF($A275&gt;=J$16,IF(MONTH($A275)=MONTH(J$16),AVERAGE(E263:E274),J274),J274))</f>
        <v>2.86338278876317</v>
      </c>
      <c r="K275" s="1624" t="n">
        <f aca="false">K274+1</f>
        <v>263</v>
      </c>
      <c r="L275" s="1667" t="n">
        <f aca="false">HLOOKUP(L$14,Dec_Change,$K275)</f>
        <v>1.02657943516855</v>
      </c>
      <c r="M275" s="1668" t="n">
        <f aca="false">M274</f>
        <v>0</v>
      </c>
      <c r="N275" s="1675" t="n">
        <f aca="false">IF(AND($A275&gt;=N$16,MONTH($A275)=MONTH(N$16)),MAX(L275,M275)*N274,N274)</f>
        <v>1.68254669873615</v>
      </c>
      <c r="P275" s="1667" t="n">
        <f aca="false">HLOOKUP(P$14,Dec_Change,$K275)</f>
        <v>1.06866656267332</v>
      </c>
      <c r="Q275" s="1668" t="n">
        <f aca="false">Q274</f>
        <v>0</v>
      </c>
      <c r="R275" s="1675" t="n">
        <f aca="false">IF(AND($A275&gt;=R$16,MONTH($A275)=MONTH(R$16)),MAX(P275,Q275)*R274,R274)</f>
        <v>4.49294778333362</v>
      </c>
      <c r="T275" s="1667" t="n">
        <f aca="false">HLOOKUP(T$14,Dec_Change,$K275)</f>
        <v>1.02657943516855</v>
      </c>
      <c r="U275" s="1668" t="n">
        <f aca="false">U274</f>
        <v>1.005</v>
      </c>
      <c r="V275" s="1675" t="n">
        <f aca="false">IF(AND($A275&gt;=V$16,MONTH($A275)=MONTH(V$16)),MAX(T275,U275)*V274,V274)</f>
        <v>1.68254669873615</v>
      </c>
      <c r="X275" s="1667" t="n">
        <f aca="false">HLOOKUP(X$14,Dec_Change,$K275)</f>
        <v>1.02407943516855</v>
      </c>
      <c r="Y275" s="1668" t="n">
        <f aca="false">Y274</f>
        <v>1.02</v>
      </c>
      <c r="Z275" s="1675" t="n">
        <f aca="false">IF(AND($A275&gt;=Z$16,MONTH($A275)=MONTH(Z$16)),MAX(X275,Y275)*Z274,Z274)</f>
        <v>1.6153442667317</v>
      </c>
      <c r="AB275" s="1667" t="n">
        <f aca="false">HLOOKUP(AB$14,Dec_Change,$K275)</f>
        <v>1.02407943516855</v>
      </c>
      <c r="AC275" s="1668" t="n">
        <f aca="false">AC274</f>
        <v>1.02</v>
      </c>
      <c r="AD275" s="1675" t="n">
        <f aca="false">IF(AND($A275&gt;=AD$16,MONTH($A275)=MONTH(AD$16)),MAX(AB275,AC275)*AD274,AD274)</f>
        <v>1.6153442667317</v>
      </c>
      <c r="AF275" s="1667" t="n">
        <f aca="false">HLOOKUP(AF$14,Dec_Change,$K275)</f>
        <v>1.06866656267332</v>
      </c>
      <c r="AG275" s="1668" t="n">
        <f aca="false">AG274</f>
        <v>0</v>
      </c>
      <c r="AH275" s="1675" t="n">
        <f aca="false">IF(AND($A275&gt;=AH$16,MONTH($A275)=MONTH(AH$16)),MAX(AF275,AG275)*AH274,AH274)</f>
        <v>4.49294778333362</v>
      </c>
      <c r="AJ275" s="1667" t="n">
        <f aca="false">HLOOKUP(AJ$14,Dec_Change,$K275)</f>
        <v>1.02407943516855</v>
      </c>
      <c r="AK275" s="1668" t="n">
        <f aca="false">AK274</f>
        <v>1.02</v>
      </c>
      <c r="AL275" s="1675" t="n">
        <f aca="false">IF(AND($A275&gt;=AL$16,MONTH($A275)=MONTH(AL$16)),MAX(AJ275,AK275)*AL274,AL274)</f>
        <v>1.6153442667317</v>
      </c>
      <c r="AN275" s="1667" t="n">
        <f aca="false">HLOOKUP(AN$14,Dec_Change,$K275)</f>
        <v>1.02657943516855</v>
      </c>
      <c r="AO275" s="1668" t="n">
        <f aca="false">AO274</f>
        <v>1.005</v>
      </c>
      <c r="AP275" s="1675" t="n">
        <f aca="false">IF(AND($A275&gt;=AP$16,MONTH($A275)=MONTH(AP$16)),MAX(AN275,AO275)*AP274,AP274)</f>
        <v>1.68254669873615</v>
      </c>
      <c r="AR275" s="1670" t="n">
        <f aca="false">$A275</f>
        <v>43191</v>
      </c>
      <c r="AS275" s="1671" t="n">
        <f aca="false">IF(AND($A275&gt;=EDATE(AS$17,12),IF(Assm!$L$74=0,$D275,$E275)/AS274&gt;=1.05),IF(Assm!$L$74=0,$D275,$E275),AS274)</f>
        <v>3.06293873529856</v>
      </c>
      <c r="AT275" s="1671" t="n">
        <f aca="false">IF(AS275/AS274=1,AT274,AS275/AS274)</f>
        <v>1.05070731805134</v>
      </c>
      <c r="AU275" s="1671" t="n">
        <f aca="false">F275</f>
        <v>1.06866656267332</v>
      </c>
      <c r="AV275" s="1671" t="n">
        <f aca="false">MAX(AT275,AU275)</f>
        <v>1.06866656267332</v>
      </c>
      <c r="AW275" s="1675" t="n">
        <f aca="false">IF(AV275=AV274,AW274,AV275*AW274)</f>
        <v>4.21041404395839</v>
      </c>
    </row>
    <row r="276" customFormat="false" ht="12.75" hidden="false" customHeight="false" outlineLevel="0" collapsed="false">
      <c r="A276" s="1673" t="n">
        <f aca="false">EDATE(A275,1)</f>
        <v>43221</v>
      </c>
      <c r="B276" s="1659" t="n">
        <f aca="false">'[4]Monthly Curve Calc.'!B279</f>
        <v>674.54740884266</v>
      </c>
      <c r="C276" s="1660" t="n">
        <f aca="false">'[4]Monthly Curve Calc.'!C279</f>
        <v>277.448716593396</v>
      </c>
      <c r="D276" s="1661" t="n">
        <f aca="false">'[4]Monthly Curve Calc.'!F279</f>
        <v>3.07305982312594</v>
      </c>
      <c r="E276" s="1662" t="n">
        <f aca="false">IF($A276&lt;=E$16,D276,(B276/B275)/(C276/C275)*E275)</f>
        <v>2.96278984527033</v>
      </c>
      <c r="F276" s="1674" t="n">
        <f aca="false">IF(Assm!$L$75=0,F275,IF(AND($A276&gt;F$16,MONTH($A276)=MONTH(F$16)),B275/B263,F275))</f>
        <v>1.068</v>
      </c>
      <c r="G276" s="1668" t="n">
        <f aca="false">IF(Assm!$L$75=0,G275,IF(AND($A276&gt;G$16,MONTH($A276)=MONTH(G$16)),C275/C263,G275))</f>
        <v>1.02702250620139</v>
      </c>
      <c r="H276" s="1668" t="n">
        <f aca="false">IF(Assm!$L$75=0,H275,IF(AND($A276&gt;H$16,MONTH($A276)=MONTH(H$16)),C275/C263-H$18,H275))</f>
        <v>1.02452250620139</v>
      </c>
      <c r="I276" s="1668" t="n">
        <f aca="false">IF(Assm!$L$75=0,I275,IF($A276&gt;=I$16,IF(MONTH($A276)=MONTH(I$16),AVERAGE(D264:D275),I275),I275))</f>
        <v>3.02038925952867</v>
      </c>
      <c r="J276" s="1675" t="n">
        <f aca="false">IF(Assm!$L$75=0,J275,IF($A276&gt;=J$16,IF(MONTH($A276)=MONTH(J$16),AVERAGE(E264:E275),J275),J275))</f>
        <v>2.86338278876317</v>
      </c>
      <c r="K276" s="1624" t="n">
        <f aca="false">K275+1</f>
        <v>264</v>
      </c>
      <c r="L276" s="1667" t="n">
        <f aca="false">HLOOKUP(L$14,Dec_Change,$K276)</f>
        <v>1.02702250620139</v>
      </c>
      <c r="M276" s="1668" t="n">
        <f aca="false">M275</f>
        <v>0</v>
      </c>
      <c r="N276" s="1675" t="n">
        <f aca="false">IF(AND($A276&gt;=N$16,MONTH($A276)=MONTH(N$16)),MAX(L276,M276)*N275,N275)</f>
        <v>1.72801332733687</v>
      </c>
      <c r="P276" s="1667" t="n">
        <f aca="false">HLOOKUP(P$14,Dec_Change,$K276)</f>
        <v>1.068</v>
      </c>
      <c r="Q276" s="1668" t="n">
        <f aca="false">Q275</f>
        <v>0</v>
      </c>
      <c r="R276" s="1675" t="n">
        <f aca="false">IF(AND($A276&gt;=R$16,MONTH($A276)=MONTH(R$16)),MAX(P276,Q276)*R275,R275)</f>
        <v>4.79846823260031</v>
      </c>
      <c r="T276" s="1667" t="n">
        <f aca="false">HLOOKUP(T$14,Dec_Change,$K276)</f>
        <v>1.02702250620139</v>
      </c>
      <c r="U276" s="1668" t="n">
        <f aca="false">U275</f>
        <v>1.005</v>
      </c>
      <c r="V276" s="1675" t="n">
        <f aca="false">IF(AND($A276&gt;=V$16,MONTH($A276)=MONTH(V$16)),MAX(T276,U276)*V275,V275)</f>
        <v>1.72801332733687</v>
      </c>
      <c r="X276" s="1667" t="n">
        <f aca="false">HLOOKUP(X$14,Dec_Change,$K276)</f>
        <v>1.02452250620139</v>
      </c>
      <c r="Y276" s="1668" t="n">
        <f aca="false">Y275</f>
        <v>1.02</v>
      </c>
      <c r="Z276" s="1675" t="n">
        <f aca="false">IF(AND($A276&gt;=Z$16,MONTH($A276)=MONTH(Z$16)),MAX(X276,Y276)*Z275,Z275)</f>
        <v>1.65495655653001</v>
      </c>
      <c r="AB276" s="1667" t="n">
        <f aca="false">HLOOKUP(AB$14,Dec_Change,$K276)</f>
        <v>1.02452250620139</v>
      </c>
      <c r="AC276" s="1668" t="n">
        <f aca="false">AC275</f>
        <v>1.02</v>
      </c>
      <c r="AD276" s="1675" t="n">
        <f aca="false">IF(AND($A276&gt;=AD$16,MONTH($A276)=MONTH(AD$16)),MAX(AB276,AC276)*AD275,AD275)</f>
        <v>1.65495655653001</v>
      </c>
      <c r="AF276" s="1667" t="n">
        <f aca="false">HLOOKUP(AF$14,Dec_Change,$K276)</f>
        <v>1.068</v>
      </c>
      <c r="AG276" s="1668" t="n">
        <f aca="false">AG275</f>
        <v>0</v>
      </c>
      <c r="AH276" s="1675" t="n">
        <f aca="false">IF(AND($A276&gt;=AH$16,MONTH($A276)=MONTH(AH$16)),MAX(AF276,AG276)*AH275,AH275)</f>
        <v>4.79846823260031</v>
      </c>
      <c r="AJ276" s="1667" t="n">
        <f aca="false">HLOOKUP(AJ$14,Dec_Change,$K276)</f>
        <v>1.02452250620139</v>
      </c>
      <c r="AK276" s="1668" t="n">
        <f aca="false">AK275</f>
        <v>1.02</v>
      </c>
      <c r="AL276" s="1675" t="n">
        <f aca="false">IF(AND($A276&gt;=AL$16,MONTH($A276)=MONTH(AL$16)),MAX(AJ276,AK276)*AL275,AL275)</f>
        <v>1.65495655653001</v>
      </c>
      <c r="AN276" s="1667" t="n">
        <f aca="false">HLOOKUP(AN$14,Dec_Change,$K276)</f>
        <v>1.02702250620139</v>
      </c>
      <c r="AO276" s="1668" t="n">
        <f aca="false">AO275</f>
        <v>1.005</v>
      </c>
      <c r="AP276" s="1675" t="n">
        <f aca="false">IF(AND($A276&gt;=AP$16,MONTH($A276)=MONTH(AP$16)),MAX(AN276,AO276)*AP275,AP275)</f>
        <v>1.72801332733687</v>
      </c>
      <c r="AR276" s="1670" t="n">
        <f aca="false">$A276</f>
        <v>43221</v>
      </c>
      <c r="AS276" s="1671" t="n">
        <f aca="false">IF(AND($A276&gt;=EDATE(AS$17,12),IF(Assm!$L$74=0,$D276,$E276)/AS275&gt;=1.05),IF(Assm!$L$74=0,$D276,$E276),AS275)</f>
        <v>3.06293873529856</v>
      </c>
      <c r="AT276" s="1671" t="n">
        <f aca="false">IF(AS276/AS275=1,AT275,AS276/AS275)</f>
        <v>1.05070731805134</v>
      </c>
      <c r="AU276" s="1671" t="n">
        <f aca="false">F276</f>
        <v>1.068</v>
      </c>
      <c r="AV276" s="1671" t="n">
        <f aca="false">MAX(AT276,AU276)</f>
        <v>1.068</v>
      </c>
      <c r="AW276" s="1675" t="n">
        <f aca="false">IF(AV276=AV275,AW275,AV276*AW275)</f>
        <v>4.49672219894756</v>
      </c>
    </row>
    <row r="277" customFormat="false" ht="12.75" hidden="false" customHeight="false" outlineLevel="0" collapsed="false">
      <c r="A277" s="1673" t="n">
        <f aca="false">EDATE(A276,1)</f>
        <v>43252</v>
      </c>
      <c r="B277" s="1659" t="n">
        <f aca="false">'[4]Monthly Curve Calc.'!B280</f>
        <v>678.255643563632</v>
      </c>
      <c r="C277" s="1660" t="n">
        <f aca="false">'[4]Monthly Curve Calc.'!C280</f>
        <v>278.07109113679</v>
      </c>
      <c r="D277" s="1661" t="n">
        <f aca="false">'[4]Monthly Curve Calc.'!F280</f>
        <v>3.07813290157952</v>
      </c>
      <c r="E277" s="1662" t="n">
        <f aca="false">IF($A277&lt;=E$16,D277,(B277/B276)/(C277/C276)*E276)</f>
        <v>2.97240966233151</v>
      </c>
      <c r="F277" s="1674" t="n">
        <f aca="false">IF(Assm!$L$75=0,F276,IF(AND($A277&gt;F$16,MONTH($A277)=MONTH(F$16)),B276/B264,F276))</f>
        <v>1.068</v>
      </c>
      <c r="G277" s="1668" t="n">
        <f aca="false">IF(Assm!$L$75=0,G276,IF(AND($A277&gt;G$16,MONTH($A277)=MONTH(G$16)),C276/C264,G276))</f>
        <v>1.02702250620139</v>
      </c>
      <c r="H277" s="1668" t="n">
        <f aca="false">IF(Assm!$L$75=0,H276,IF(AND($A277&gt;H$16,MONTH($A277)=MONTH(H$16)),C276/C264-H$18,H276))</f>
        <v>1.02452250620139</v>
      </c>
      <c r="I277" s="1668" t="n">
        <f aca="false">IF(Assm!$L$75=0,I276,IF($A277&gt;=I$16,IF(MONTH($A277)=MONTH(I$16),AVERAGE(D265:D276),I276),I276))</f>
        <v>3.02038925952867</v>
      </c>
      <c r="J277" s="1675" t="n">
        <f aca="false">IF(Assm!$L$75=0,J276,IF($A277&gt;=J$16,IF(MONTH($A277)=MONTH(J$16),AVERAGE(E265:E276),J276),J276))</f>
        <v>2.86338278876317</v>
      </c>
      <c r="K277" s="1624" t="n">
        <f aca="false">K276+1</f>
        <v>265</v>
      </c>
      <c r="L277" s="1667" t="n">
        <f aca="false">HLOOKUP(L$14,Dec_Change,$K277)</f>
        <v>1.02702250620139</v>
      </c>
      <c r="M277" s="1668" t="n">
        <f aca="false">M276</f>
        <v>0</v>
      </c>
      <c r="N277" s="1675" t="n">
        <f aca="false">IF(AND($A277&gt;=N$16,MONTH($A277)=MONTH(N$16)),MAX(L277,M277)*N276,N276)</f>
        <v>1.72801332733687</v>
      </c>
      <c r="P277" s="1667" t="n">
        <f aca="false">HLOOKUP(P$14,Dec_Change,$K277)</f>
        <v>1.068</v>
      </c>
      <c r="Q277" s="1668" t="n">
        <f aca="false">Q276</f>
        <v>0</v>
      </c>
      <c r="R277" s="1675" t="n">
        <f aca="false">IF(AND($A277&gt;=R$16,MONTH($A277)=MONTH(R$16)),MAX(P277,Q277)*R276,R276)</f>
        <v>4.79846823260031</v>
      </c>
      <c r="T277" s="1667" t="n">
        <f aca="false">HLOOKUP(T$14,Dec_Change,$K277)</f>
        <v>1.02702250620139</v>
      </c>
      <c r="U277" s="1668" t="n">
        <f aca="false">U276</f>
        <v>1.005</v>
      </c>
      <c r="V277" s="1675" t="n">
        <f aca="false">IF(AND($A277&gt;=V$16,MONTH($A277)=MONTH(V$16)),MAX(T277,U277)*V276,V276)</f>
        <v>1.72801332733687</v>
      </c>
      <c r="X277" s="1667" t="n">
        <f aca="false">HLOOKUP(X$14,Dec_Change,$K277)</f>
        <v>1.02452250620139</v>
      </c>
      <c r="Y277" s="1668" t="n">
        <f aca="false">Y276</f>
        <v>1.02</v>
      </c>
      <c r="Z277" s="1675" t="n">
        <f aca="false">IF(AND($A277&gt;=Z$16,MONTH($A277)=MONTH(Z$16)),MAX(X277,Y277)*Z276,Z276)</f>
        <v>1.65495655653001</v>
      </c>
      <c r="AB277" s="1667" t="n">
        <f aca="false">HLOOKUP(AB$14,Dec_Change,$K277)</f>
        <v>1.02452250620139</v>
      </c>
      <c r="AC277" s="1668" t="n">
        <f aca="false">AC276</f>
        <v>1.02</v>
      </c>
      <c r="AD277" s="1675" t="n">
        <f aca="false">IF(AND($A277&gt;=AD$16,MONTH($A277)=MONTH(AD$16)),MAX(AB277,AC277)*AD276,AD276)</f>
        <v>1.65495655653001</v>
      </c>
      <c r="AF277" s="1667" t="n">
        <f aca="false">HLOOKUP(AF$14,Dec_Change,$K277)</f>
        <v>1.068</v>
      </c>
      <c r="AG277" s="1668" t="n">
        <f aca="false">AG276</f>
        <v>0</v>
      </c>
      <c r="AH277" s="1675" t="n">
        <f aca="false">IF(AND($A277&gt;=AH$16,MONTH($A277)=MONTH(AH$16)),MAX(AF277,AG277)*AH276,AH276)</f>
        <v>4.79846823260031</v>
      </c>
      <c r="AJ277" s="1667" t="n">
        <f aca="false">HLOOKUP(AJ$14,Dec_Change,$K277)</f>
        <v>1.02452250620139</v>
      </c>
      <c r="AK277" s="1668" t="n">
        <f aca="false">AK276</f>
        <v>1.02</v>
      </c>
      <c r="AL277" s="1675" t="n">
        <f aca="false">IF(AND($A277&gt;=AL$16,MONTH($A277)=MONTH(AL$16)),MAX(AJ277,AK277)*AL276,AL276)</f>
        <v>1.65495655653001</v>
      </c>
      <c r="AN277" s="1667" t="n">
        <f aca="false">HLOOKUP(AN$14,Dec_Change,$K277)</f>
        <v>1.02702250620139</v>
      </c>
      <c r="AO277" s="1668" t="n">
        <f aca="false">AO276</f>
        <v>1.005</v>
      </c>
      <c r="AP277" s="1675" t="n">
        <f aca="false">IF(AND($A277&gt;=AP$16,MONTH($A277)=MONTH(AP$16)),MAX(AN277,AO277)*AP276,AP276)</f>
        <v>1.72801332733687</v>
      </c>
      <c r="AR277" s="1670" t="n">
        <f aca="false">$A277</f>
        <v>43252</v>
      </c>
      <c r="AS277" s="1671" t="n">
        <f aca="false">IF(AND($A277&gt;=EDATE(AS$17,12),IF(Assm!$L$74=0,$D277,$E277)/AS276&gt;=1.05),IF(Assm!$L$74=0,$D277,$E277),AS276)</f>
        <v>3.06293873529856</v>
      </c>
      <c r="AT277" s="1671" t="n">
        <f aca="false">IF(AS277/AS276=1,AT276,AS277/AS276)</f>
        <v>1.05070731805134</v>
      </c>
      <c r="AU277" s="1671" t="n">
        <f aca="false">F277</f>
        <v>1.068</v>
      </c>
      <c r="AV277" s="1671" t="n">
        <f aca="false">MAX(AT277,AU277)</f>
        <v>1.068</v>
      </c>
      <c r="AW277" s="1675" t="n">
        <f aca="false">IF(AV277=AV276,AW276,AV277*AW276)</f>
        <v>4.49672219894756</v>
      </c>
    </row>
    <row r="278" customFormat="false" ht="12.75" hidden="false" customHeight="false" outlineLevel="0" collapsed="false">
      <c r="A278" s="1673" t="n">
        <f aca="false">EDATE(A277,1)</f>
        <v>43282</v>
      </c>
      <c r="B278" s="1659" t="n">
        <f aca="false">'[4]Monthly Curve Calc.'!B281</f>
        <v>681.984263812095</v>
      </c>
      <c r="C278" s="1660" t="n">
        <f aca="false">'[4]Monthly Curve Calc.'!C281</f>
        <v>278.694861794309</v>
      </c>
      <c r="D278" s="1661" t="n">
        <f aca="false">'[4]Monthly Curve Calc.'!F281</f>
        <v>3.0832143547887</v>
      </c>
      <c r="E278" s="1662" t="n">
        <f aca="false">IF($A278&lt;=E$16,D278,(B278/B277)/(C278/C277)*E277)</f>
        <v>2.98206071376473</v>
      </c>
      <c r="F278" s="1674" t="n">
        <f aca="false">IF(Assm!$L$75=0,F277,IF(AND($A278&gt;F$16,MONTH($A278)=MONTH(F$16)),B277/B265,F277))</f>
        <v>1.068</v>
      </c>
      <c r="G278" s="1668" t="n">
        <f aca="false">IF(Assm!$L$75=0,G277,IF(AND($A278&gt;G$16,MONTH($A278)=MONTH(G$16)),C277/C265,G277))</f>
        <v>1.02702250620139</v>
      </c>
      <c r="H278" s="1668" t="n">
        <f aca="false">IF(Assm!$L$75=0,H277,IF(AND($A278&gt;H$16,MONTH($A278)=MONTH(H$16)),C277/C265-H$18,H277))</f>
        <v>1.02452250620139</v>
      </c>
      <c r="I278" s="1668" t="n">
        <f aca="false">IF(Assm!$L$75=0,I277,IF($A278&gt;=I$16,IF(MONTH($A278)=MONTH(I$16),AVERAGE(D266:D277),I277),I277))</f>
        <v>3.02038925952867</v>
      </c>
      <c r="J278" s="1675" t="n">
        <f aca="false">IF(Assm!$L$75=0,J277,IF($A278&gt;=J$16,IF(MONTH($A278)=MONTH(J$16),AVERAGE(E266:E277),J277),J277))</f>
        <v>2.86338278876317</v>
      </c>
      <c r="K278" s="1624" t="n">
        <f aca="false">K277+1</f>
        <v>266</v>
      </c>
      <c r="L278" s="1667" t="n">
        <f aca="false">HLOOKUP(L$14,Dec_Change,$K278)</f>
        <v>1.02702250620139</v>
      </c>
      <c r="M278" s="1668" t="n">
        <f aca="false">M277</f>
        <v>0</v>
      </c>
      <c r="N278" s="1675" t="n">
        <f aca="false">IF(AND($A278&gt;=N$16,MONTH($A278)=MONTH(N$16)),MAX(L278,M278)*N277,N277)</f>
        <v>1.72801332733687</v>
      </c>
      <c r="P278" s="1667" t="n">
        <f aca="false">HLOOKUP(P$14,Dec_Change,$K278)</f>
        <v>1.068</v>
      </c>
      <c r="Q278" s="1668" t="n">
        <f aca="false">Q277</f>
        <v>0</v>
      </c>
      <c r="R278" s="1675" t="n">
        <f aca="false">IF(AND($A278&gt;=R$16,MONTH($A278)=MONTH(R$16)),MAX(P278,Q278)*R277,R277)</f>
        <v>4.79846823260031</v>
      </c>
      <c r="T278" s="1667" t="n">
        <f aca="false">HLOOKUP(T$14,Dec_Change,$K278)</f>
        <v>1.02702250620139</v>
      </c>
      <c r="U278" s="1668" t="n">
        <f aca="false">U277</f>
        <v>1.005</v>
      </c>
      <c r="V278" s="1675" t="n">
        <f aca="false">IF(AND($A278&gt;=V$16,MONTH($A278)=MONTH(V$16)),MAX(T278,U278)*V277,V277)</f>
        <v>1.72801332733687</v>
      </c>
      <c r="X278" s="1667" t="n">
        <f aca="false">HLOOKUP(X$14,Dec_Change,$K278)</f>
        <v>1.02452250620139</v>
      </c>
      <c r="Y278" s="1668" t="n">
        <f aca="false">Y277</f>
        <v>1.02</v>
      </c>
      <c r="Z278" s="1675" t="n">
        <f aca="false">IF(AND($A278&gt;=Z$16,MONTH($A278)=MONTH(Z$16)),MAX(X278,Y278)*Z277,Z277)</f>
        <v>1.65495655653001</v>
      </c>
      <c r="AB278" s="1667" t="n">
        <f aca="false">HLOOKUP(AB$14,Dec_Change,$K278)</f>
        <v>1.02452250620139</v>
      </c>
      <c r="AC278" s="1668" t="n">
        <f aca="false">AC277</f>
        <v>1.02</v>
      </c>
      <c r="AD278" s="1675" t="n">
        <f aca="false">IF(AND($A278&gt;=AD$16,MONTH($A278)=MONTH(AD$16)),MAX(AB278,AC278)*AD277,AD277)</f>
        <v>1.65495655653001</v>
      </c>
      <c r="AF278" s="1667" t="n">
        <f aca="false">HLOOKUP(AF$14,Dec_Change,$K278)</f>
        <v>1.068</v>
      </c>
      <c r="AG278" s="1668" t="n">
        <f aca="false">AG277</f>
        <v>0</v>
      </c>
      <c r="AH278" s="1675" t="n">
        <f aca="false">IF(AND($A278&gt;=AH$16,MONTH($A278)=MONTH(AH$16)),MAX(AF278,AG278)*AH277,AH277)</f>
        <v>4.79846823260031</v>
      </c>
      <c r="AJ278" s="1667" t="n">
        <f aca="false">HLOOKUP(AJ$14,Dec_Change,$K278)</f>
        <v>1.02452250620139</v>
      </c>
      <c r="AK278" s="1668" t="n">
        <f aca="false">AK277</f>
        <v>1.02</v>
      </c>
      <c r="AL278" s="1675" t="n">
        <f aca="false">IF(AND($A278&gt;=AL$16,MONTH($A278)=MONTH(AL$16)),MAX(AJ278,AK278)*AL277,AL277)</f>
        <v>1.65495655653001</v>
      </c>
      <c r="AN278" s="1667" t="n">
        <f aca="false">HLOOKUP(AN$14,Dec_Change,$K278)</f>
        <v>1.02702250620139</v>
      </c>
      <c r="AO278" s="1668" t="n">
        <f aca="false">AO277</f>
        <v>1.005</v>
      </c>
      <c r="AP278" s="1675" t="n">
        <f aca="false">IF(AND($A278&gt;=AP$16,MONTH($A278)=MONTH(AP$16)),MAX(AN278,AO278)*AP277,AP277)</f>
        <v>1.72801332733687</v>
      </c>
      <c r="AR278" s="1670" t="n">
        <f aca="false">$A278</f>
        <v>43282</v>
      </c>
      <c r="AS278" s="1671" t="n">
        <f aca="false">IF(AND($A278&gt;=EDATE(AS$17,12),IF(Assm!$L$74=0,$D278,$E278)/AS277&gt;=1.05),IF(Assm!$L$74=0,$D278,$E278),AS277)</f>
        <v>3.06293873529856</v>
      </c>
      <c r="AT278" s="1671" t="n">
        <f aca="false">IF(AS278/AS277=1,AT277,AS278/AS277)</f>
        <v>1.05070731805134</v>
      </c>
      <c r="AU278" s="1671" t="n">
        <f aca="false">F278</f>
        <v>1.068</v>
      </c>
      <c r="AV278" s="1671" t="n">
        <f aca="false">MAX(AT278,AU278)</f>
        <v>1.068</v>
      </c>
      <c r="AW278" s="1675" t="n">
        <f aca="false">IF(AV278=AV277,AW277,AV278*AW277)</f>
        <v>4.49672219894756</v>
      </c>
    </row>
    <row r="279" customFormat="false" ht="12.75" hidden="false" customHeight="false" outlineLevel="0" collapsed="false">
      <c r="A279" s="1673" t="n">
        <f aca="false">EDATE(A278,1)</f>
        <v>43313</v>
      </c>
      <c r="B279" s="1659" t="n">
        <f aca="false">'[4]Monthly Curve Calc.'!B282</f>
        <v>685.733381654774</v>
      </c>
      <c r="C279" s="1660" t="n">
        <f aca="false">'[4]Monthly Curve Calc.'!C282</f>
        <v>279.320031697725</v>
      </c>
      <c r="D279" s="1661" t="n">
        <f aca="false">'[4]Monthly Curve Calc.'!F282</f>
        <v>3.08830419657873</v>
      </c>
      <c r="E279" s="1662" t="n">
        <f aca="false">IF($A279&lt;=E$16,D279,(B279/B278)/(C279/C278)*E278)</f>
        <v>2.99174310098418</v>
      </c>
      <c r="F279" s="1674" t="n">
        <f aca="false">IF(Assm!$L$75=0,F278,IF(AND($A279&gt;F$16,MONTH($A279)=MONTH(F$16)),B278/B266,F278))</f>
        <v>1.068</v>
      </c>
      <c r="G279" s="1668" t="n">
        <f aca="false">IF(Assm!$L$75=0,G278,IF(AND($A279&gt;G$16,MONTH($A279)=MONTH(G$16)),C278/C266,G278))</f>
        <v>1.02702250620139</v>
      </c>
      <c r="H279" s="1668" t="n">
        <f aca="false">IF(Assm!$L$75=0,H278,IF(AND($A279&gt;H$16,MONTH($A279)=MONTH(H$16)),C278/C266-H$18,H278))</f>
        <v>1.02452250620139</v>
      </c>
      <c r="I279" s="1668" t="n">
        <f aca="false">IF(Assm!$L$75=0,I278,IF($A279&gt;=I$16,IF(MONTH($A279)=MONTH(I$16),AVERAGE(D267:D278),I278),I278))</f>
        <v>3.02038925952867</v>
      </c>
      <c r="J279" s="1675" t="n">
        <f aca="false">IF(Assm!$L$75=0,J278,IF($A279&gt;=J$16,IF(MONTH($A279)=MONTH(J$16),AVERAGE(E267:E278),J278),J278))</f>
        <v>2.86338278876317</v>
      </c>
      <c r="K279" s="1624" t="n">
        <f aca="false">K278+1</f>
        <v>267</v>
      </c>
      <c r="L279" s="1667" t="n">
        <f aca="false">HLOOKUP(L$14,Dec_Change,$K279)</f>
        <v>1.02702250620139</v>
      </c>
      <c r="M279" s="1668" t="n">
        <f aca="false">M278</f>
        <v>0</v>
      </c>
      <c r="N279" s="1675" t="n">
        <f aca="false">IF(AND($A279&gt;=N$16,MONTH($A279)=MONTH(N$16)),MAX(L279,M279)*N278,N278)</f>
        <v>1.72801332733687</v>
      </c>
      <c r="P279" s="1667" t="n">
        <f aca="false">HLOOKUP(P$14,Dec_Change,$K279)</f>
        <v>1.068</v>
      </c>
      <c r="Q279" s="1668" t="n">
        <f aca="false">Q278</f>
        <v>0</v>
      </c>
      <c r="R279" s="1675" t="n">
        <f aca="false">IF(AND($A279&gt;=R$16,MONTH($A279)=MONTH(R$16)),MAX(P279,Q279)*R278,R278)</f>
        <v>4.79846823260031</v>
      </c>
      <c r="T279" s="1667" t="n">
        <f aca="false">HLOOKUP(T$14,Dec_Change,$K279)</f>
        <v>1.02702250620139</v>
      </c>
      <c r="U279" s="1668" t="n">
        <f aca="false">U278</f>
        <v>1.005</v>
      </c>
      <c r="V279" s="1675" t="n">
        <f aca="false">IF(AND($A279&gt;=V$16,MONTH($A279)=MONTH(V$16)),MAX(T279,U279)*V278,V278)</f>
        <v>1.72801332733687</v>
      </c>
      <c r="X279" s="1667" t="n">
        <f aca="false">HLOOKUP(X$14,Dec_Change,$K279)</f>
        <v>1.02452250620139</v>
      </c>
      <c r="Y279" s="1668" t="n">
        <f aca="false">Y278</f>
        <v>1.02</v>
      </c>
      <c r="Z279" s="1675" t="n">
        <f aca="false">IF(AND($A279&gt;=Z$16,MONTH($A279)=MONTH(Z$16)),MAX(X279,Y279)*Z278,Z278)</f>
        <v>1.65495655653001</v>
      </c>
      <c r="AB279" s="1667" t="n">
        <f aca="false">HLOOKUP(AB$14,Dec_Change,$K279)</f>
        <v>1.02452250620139</v>
      </c>
      <c r="AC279" s="1668" t="n">
        <f aca="false">AC278</f>
        <v>1.02</v>
      </c>
      <c r="AD279" s="1675" t="n">
        <f aca="false">IF(AND($A279&gt;=AD$16,MONTH($A279)=MONTH(AD$16)),MAX(AB279,AC279)*AD278,AD278)</f>
        <v>1.65495655653001</v>
      </c>
      <c r="AF279" s="1667" t="n">
        <f aca="false">HLOOKUP(AF$14,Dec_Change,$K279)</f>
        <v>1.068</v>
      </c>
      <c r="AG279" s="1668" t="n">
        <f aca="false">AG278</f>
        <v>0</v>
      </c>
      <c r="AH279" s="1675" t="n">
        <f aca="false">IF(AND($A279&gt;=AH$16,MONTH($A279)=MONTH(AH$16)),MAX(AF279,AG279)*AH278,AH278)</f>
        <v>4.79846823260031</v>
      </c>
      <c r="AJ279" s="1667" t="n">
        <f aca="false">HLOOKUP(AJ$14,Dec_Change,$K279)</f>
        <v>1.02452250620139</v>
      </c>
      <c r="AK279" s="1668" t="n">
        <f aca="false">AK278</f>
        <v>1.02</v>
      </c>
      <c r="AL279" s="1675" t="n">
        <f aca="false">IF(AND($A279&gt;=AL$16,MONTH($A279)=MONTH(AL$16)),MAX(AJ279,AK279)*AL278,AL278)</f>
        <v>1.65495655653001</v>
      </c>
      <c r="AN279" s="1667" t="n">
        <f aca="false">HLOOKUP(AN$14,Dec_Change,$K279)</f>
        <v>1.02702250620139</v>
      </c>
      <c r="AO279" s="1668" t="n">
        <f aca="false">AO278</f>
        <v>1.005</v>
      </c>
      <c r="AP279" s="1675" t="n">
        <f aca="false">IF(AND($A279&gt;=AP$16,MONTH($A279)=MONTH(AP$16)),MAX(AN279,AO279)*AP278,AP278)</f>
        <v>1.72801332733687</v>
      </c>
      <c r="AR279" s="1670" t="n">
        <f aca="false">$A279</f>
        <v>43313</v>
      </c>
      <c r="AS279" s="1671" t="n">
        <f aca="false">IF(AND($A279&gt;=EDATE(AS$17,12),IF(Assm!$L$74=0,$D279,$E279)/AS278&gt;=1.05),IF(Assm!$L$74=0,$D279,$E279),AS278)</f>
        <v>3.06293873529856</v>
      </c>
      <c r="AT279" s="1671" t="n">
        <f aca="false">IF(AS279/AS278=1,AT278,AS279/AS278)</f>
        <v>1.05070731805134</v>
      </c>
      <c r="AU279" s="1671" t="n">
        <f aca="false">F279</f>
        <v>1.068</v>
      </c>
      <c r="AV279" s="1671" t="n">
        <f aca="false">MAX(AT279,AU279)</f>
        <v>1.068</v>
      </c>
      <c r="AW279" s="1675" t="n">
        <f aca="false">IF(AV279=AV278,AW278,AV279*AW278)</f>
        <v>4.49672219894756</v>
      </c>
    </row>
    <row r="280" customFormat="false" ht="12.75" hidden="false" customHeight="false" outlineLevel="0" collapsed="false">
      <c r="A280" s="1673" t="n">
        <f aca="false">EDATE(A279,1)</f>
        <v>43344</v>
      </c>
      <c r="B280" s="1659" t="n">
        <f aca="false">'[4]Monthly Curve Calc.'!B283</f>
        <v>689.50310977447</v>
      </c>
      <c r="C280" s="1660" t="n">
        <f aca="false">'[4]Monthly Curve Calc.'!C283</f>
        <v>279.946603985833</v>
      </c>
      <c r="D280" s="1661" t="n">
        <f aca="false">'[4]Monthly Curve Calc.'!F283</f>
        <v>3.09340244079768</v>
      </c>
      <c r="E280" s="1662" t="n">
        <f aca="false">IF($A280&lt;=E$16,D280,(B280/B279)/(C280/C279)*E279)</f>
        <v>3.00145692573333</v>
      </c>
      <c r="F280" s="1674" t="n">
        <f aca="false">IF(Assm!$L$75=0,F279,IF(AND($A280&gt;F$16,MONTH($A280)=MONTH(F$16)),B279/B267,F279))</f>
        <v>1.068</v>
      </c>
      <c r="G280" s="1668" t="n">
        <f aca="false">IF(Assm!$L$75=0,G279,IF(AND($A280&gt;G$16,MONTH($A280)=MONTH(G$16)),C279/C267,G279))</f>
        <v>1.02702250620139</v>
      </c>
      <c r="H280" s="1668" t="n">
        <f aca="false">IF(Assm!$L$75=0,H279,IF(AND($A280&gt;H$16,MONTH($A280)=MONTH(H$16)),C279/C267-H$18,H279))</f>
        <v>1.02452250620139</v>
      </c>
      <c r="I280" s="1668" t="n">
        <f aca="false">IF(Assm!$L$75=0,I279,IF($A280&gt;=I$16,IF(MONTH($A280)=MONTH(I$16),AVERAGE(D268:D279),I279),I279))</f>
        <v>3.02038925952867</v>
      </c>
      <c r="J280" s="1675" t="n">
        <f aca="false">IF(Assm!$L$75=0,J279,IF($A280&gt;=J$16,IF(MONTH($A280)=MONTH(J$16),AVERAGE(E268:E279),J279),J279))</f>
        <v>2.86338278876317</v>
      </c>
      <c r="K280" s="1624" t="n">
        <f aca="false">K279+1</f>
        <v>268</v>
      </c>
      <c r="L280" s="1667" t="n">
        <f aca="false">HLOOKUP(L$14,Dec_Change,$K280)</f>
        <v>1.02702250620139</v>
      </c>
      <c r="M280" s="1668" t="n">
        <f aca="false">M279</f>
        <v>0</v>
      </c>
      <c r="N280" s="1675" t="n">
        <f aca="false">IF(AND($A280&gt;=N$16,MONTH($A280)=MONTH(N$16)),MAX(L280,M280)*N279,N279)</f>
        <v>1.72801332733687</v>
      </c>
      <c r="P280" s="1667" t="n">
        <f aca="false">HLOOKUP(P$14,Dec_Change,$K280)</f>
        <v>1.068</v>
      </c>
      <c r="Q280" s="1668" t="n">
        <f aca="false">Q279</f>
        <v>0</v>
      </c>
      <c r="R280" s="1675" t="n">
        <f aca="false">IF(AND($A280&gt;=R$16,MONTH($A280)=MONTH(R$16)),MAX(P280,Q280)*R279,R279)</f>
        <v>4.79846823260031</v>
      </c>
      <c r="T280" s="1667" t="n">
        <f aca="false">HLOOKUP(T$14,Dec_Change,$K280)</f>
        <v>1.02702250620139</v>
      </c>
      <c r="U280" s="1668" t="n">
        <f aca="false">U279</f>
        <v>1.005</v>
      </c>
      <c r="V280" s="1675" t="n">
        <f aca="false">IF(AND($A280&gt;=V$16,MONTH($A280)=MONTH(V$16)),MAX(T280,U280)*V279,V279)</f>
        <v>1.72801332733687</v>
      </c>
      <c r="X280" s="1667" t="n">
        <f aca="false">HLOOKUP(X$14,Dec_Change,$K280)</f>
        <v>1.02452250620139</v>
      </c>
      <c r="Y280" s="1668" t="n">
        <f aca="false">Y279</f>
        <v>1.02</v>
      </c>
      <c r="Z280" s="1675" t="n">
        <f aca="false">IF(AND($A280&gt;=Z$16,MONTH($A280)=MONTH(Z$16)),MAX(X280,Y280)*Z279,Z279)</f>
        <v>1.65495655653001</v>
      </c>
      <c r="AB280" s="1667" t="n">
        <f aca="false">HLOOKUP(AB$14,Dec_Change,$K280)</f>
        <v>1.02452250620139</v>
      </c>
      <c r="AC280" s="1668" t="n">
        <f aca="false">AC279</f>
        <v>1.02</v>
      </c>
      <c r="AD280" s="1675" t="n">
        <f aca="false">IF(AND($A280&gt;=AD$16,MONTH($A280)=MONTH(AD$16)),MAX(AB280,AC280)*AD279,AD279)</f>
        <v>1.65495655653001</v>
      </c>
      <c r="AF280" s="1667" t="n">
        <f aca="false">HLOOKUP(AF$14,Dec_Change,$K280)</f>
        <v>1.068</v>
      </c>
      <c r="AG280" s="1668" t="n">
        <f aca="false">AG279</f>
        <v>0</v>
      </c>
      <c r="AH280" s="1675" t="n">
        <f aca="false">IF(AND($A280&gt;=AH$16,MONTH($A280)=MONTH(AH$16)),MAX(AF280,AG280)*AH279,AH279)</f>
        <v>4.79846823260031</v>
      </c>
      <c r="AJ280" s="1667" t="n">
        <f aca="false">HLOOKUP(AJ$14,Dec_Change,$K280)</f>
        <v>1.02452250620139</v>
      </c>
      <c r="AK280" s="1668" t="n">
        <f aca="false">AK279</f>
        <v>1.02</v>
      </c>
      <c r="AL280" s="1675" t="n">
        <f aca="false">IF(AND($A280&gt;=AL$16,MONTH($A280)=MONTH(AL$16)),MAX(AJ280,AK280)*AL279,AL279)</f>
        <v>1.65495655653001</v>
      </c>
      <c r="AN280" s="1667" t="n">
        <f aca="false">HLOOKUP(AN$14,Dec_Change,$K280)</f>
        <v>1.02702250620139</v>
      </c>
      <c r="AO280" s="1668" t="n">
        <f aca="false">AO279</f>
        <v>1.005</v>
      </c>
      <c r="AP280" s="1675" t="n">
        <f aca="false">IF(AND($A280&gt;=AP$16,MONTH($A280)=MONTH(AP$16)),MAX(AN280,AO280)*AP279,AP279)</f>
        <v>1.72801332733687</v>
      </c>
      <c r="AR280" s="1670" t="n">
        <f aca="false">$A280</f>
        <v>43344</v>
      </c>
      <c r="AS280" s="1671" t="n">
        <f aca="false">IF(AND($A280&gt;=EDATE(AS$17,12),IF(Assm!$L$74=0,$D280,$E280)/AS279&gt;=1.05),IF(Assm!$L$74=0,$D280,$E280),AS279)</f>
        <v>3.06293873529856</v>
      </c>
      <c r="AT280" s="1671" t="n">
        <f aca="false">IF(AS280/AS279=1,AT279,AS280/AS279)</f>
        <v>1.05070731805134</v>
      </c>
      <c r="AU280" s="1671" t="n">
        <f aca="false">F280</f>
        <v>1.068</v>
      </c>
      <c r="AV280" s="1671" t="n">
        <f aca="false">MAX(AT280,AU280)</f>
        <v>1.068</v>
      </c>
      <c r="AW280" s="1675" t="n">
        <f aca="false">IF(AV280=AV279,AW279,AV280*AW279)</f>
        <v>4.49672219894756</v>
      </c>
    </row>
    <row r="281" customFormat="false" ht="12.75" hidden="false" customHeight="false" outlineLevel="0" collapsed="false">
      <c r="A281" s="1673" t="n">
        <f aca="false">EDATE(A280,1)</f>
        <v>43374</v>
      </c>
      <c r="B281" s="1659" t="n">
        <f aca="false">'[4]Monthly Curve Calc.'!B284</f>
        <v>693.293561473441</v>
      </c>
      <c r="C281" s="1660" t="n">
        <f aca="false">'[4]Monthly Curve Calc.'!C284</f>
        <v>280.574581804471</v>
      </c>
      <c r="D281" s="1661" t="n">
        <f aca="false">'[4]Monthly Curve Calc.'!F284</f>
        <v>3.09850910131647</v>
      </c>
      <c r="E281" s="1662" t="n">
        <f aca="false">IF($A281&lt;=E$16,D281,(B281/B280)/(C281/C280)*E280)</f>
        <v>3.01120229008601</v>
      </c>
      <c r="F281" s="1674" t="n">
        <f aca="false">IF(Assm!$L$75=0,F280,IF(AND($A281&gt;F$16,MONTH($A281)=MONTH(F$16)),B280/B268,F280))</f>
        <v>1.068</v>
      </c>
      <c r="G281" s="1668" t="n">
        <f aca="false">IF(Assm!$L$75=0,G280,IF(AND($A281&gt;G$16,MONTH($A281)=MONTH(G$16)),C280/C268,G280))</f>
        <v>1.02702250620139</v>
      </c>
      <c r="H281" s="1668" t="n">
        <f aca="false">IF(Assm!$L$75=0,H280,IF(AND($A281&gt;H$16,MONTH($A281)=MONTH(H$16)),C280/C268-H$18,H280))</f>
        <v>1.02452250620139</v>
      </c>
      <c r="I281" s="1668" t="n">
        <f aca="false">IF(Assm!$L$75=0,I280,IF($A281&gt;=I$16,IF(MONTH($A281)=MONTH(I$16),AVERAGE(D269:D280),I280),I280))</f>
        <v>3.02038925952867</v>
      </c>
      <c r="J281" s="1675" t="n">
        <f aca="false">IF(Assm!$L$75=0,J280,IF($A281&gt;=J$16,IF(MONTH($A281)=MONTH(J$16),AVERAGE(E269:E280),J280),J280))</f>
        <v>2.86338278876317</v>
      </c>
      <c r="K281" s="1624" t="n">
        <f aca="false">K280+1</f>
        <v>269</v>
      </c>
      <c r="L281" s="1667" t="n">
        <f aca="false">HLOOKUP(L$14,Dec_Change,$K281)</f>
        <v>1.02702250620139</v>
      </c>
      <c r="M281" s="1668" t="n">
        <f aca="false">M280</f>
        <v>0</v>
      </c>
      <c r="N281" s="1675" t="n">
        <f aca="false">IF(AND($A281&gt;=N$16,MONTH($A281)=MONTH(N$16)),MAX(L281,M281)*N280,N280)</f>
        <v>1.72801332733687</v>
      </c>
      <c r="P281" s="1667" t="n">
        <f aca="false">HLOOKUP(P$14,Dec_Change,$K281)</f>
        <v>1.068</v>
      </c>
      <c r="Q281" s="1668" t="n">
        <f aca="false">Q280</f>
        <v>0</v>
      </c>
      <c r="R281" s="1675" t="n">
        <f aca="false">IF(AND($A281&gt;=R$16,MONTH($A281)=MONTH(R$16)),MAX(P281,Q281)*R280,R280)</f>
        <v>4.79846823260031</v>
      </c>
      <c r="T281" s="1667" t="n">
        <f aca="false">HLOOKUP(T$14,Dec_Change,$K281)</f>
        <v>1.02702250620139</v>
      </c>
      <c r="U281" s="1668" t="n">
        <f aca="false">U280</f>
        <v>1.005</v>
      </c>
      <c r="V281" s="1675" t="n">
        <f aca="false">IF(AND($A281&gt;=V$16,MONTH($A281)=MONTH(V$16)),MAX(T281,U281)*V280,V280)</f>
        <v>1.72801332733687</v>
      </c>
      <c r="X281" s="1667" t="n">
        <f aca="false">HLOOKUP(X$14,Dec_Change,$K281)</f>
        <v>1.02452250620139</v>
      </c>
      <c r="Y281" s="1668" t="n">
        <f aca="false">Y280</f>
        <v>1.02</v>
      </c>
      <c r="Z281" s="1675" t="n">
        <f aca="false">IF(AND($A281&gt;=Z$16,MONTH($A281)=MONTH(Z$16)),MAX(X281,Y281)*Z280,Z280)</f>
        <v>1.65495655653001</v>
      </c>
      <c r="AB281" s="1667" t="n">
        <f aca="false">HLOOKUP(AB$14,Dec_Change,$K281)</f>
        <v>1.02452250620139</v>
      </c>
      <c r="AC281" s="1668" t="n">
        <f aca="false">AC280</f>
        <v>1.02</v>
      </c>
      <c r="AD281" s="1675" t="n">
        <f aca="false">IF(AND($A281&gt;=AD$16,MONTH($A281)=MONTH(AD$16)),MAX(AB281,AC281)*AD280,AD280)</f>
        <v>1.65495655653001</v>
      </c>
      <c r="AF281" s="1667" t="n">
        <f aca="false">HLOOKUP(AF$14,Dec_Change,$K281)</f>
        <v>1.068</v>
      </c>
      <c r="AG281" s="1668" t="n">
        <f aca="false">AG280</f>
        <v>0</v>
      </c>
      <c r="AH281" s="1675" t="n">
        <f aca="false">IF(AND($A281&gt;=AH$16,MONTH($A281)=MONTH(AH$16)),MAX(AF281,AG281)*AH280,AH280)</f>
        <v>4.79846823260031</v>
      </c>
      <c r="AJ281" s="1667" t="n">
        <f aca="false">HLOOKUP(AJ$14,Dec_Change,$K281)</f>
        <v>1.02452250620139</v>
      </c>
      <c r="AK281" s="1668" t="n">
        <f aca="false">AK280</f>
        <v>1.02</v>
      </c>
      <c r="AL281" s="1675" t="n">
        <f aca="false">IF(AND($A281&gt;=AL$16,MONTH($A281)=MONTH(AL$16)),MAX(AJ281,AK281)*AL280,AL280)</f>
        <v>1.65495655653001</v>
      </c>
      <c r="AN281" s="1667" t="n">
        <f aca="false">HLOOKUP(AN$14,Dec_Change,$K281)</f>
        <v>1.02702250620139</v>
      </c>
      <c r="AO281" s="1668" t="n">
        <f aca="false">AO280</f>
        <v>1.005</v>
      </c>
      <c r="AP281" s="1675" t="n">
        <f aca="false">IF(AND($A281&gt;=AP$16,MONTH($A281)=MONTH(AP$16)),MAX(AN281,AO281)*AP280,AP280)</f>
        <v>1.72801332733687</v>
      </c>
      <c r="AR281" s="1670" t="n">
        <f aca="false">$A281</f>
        <v>43374</v>
      </c>
      <c r="AS281" s="1671" t="n">
        <f aca="false">IF(AND($A281&gt;=EDATE(AS$17,12),IF(Assm!$L$74=0,$D281,$E281)/AS280&gt;=1.05),IF(Assm!$L$74=0,$D281,$E281),AS280)</f>
        <v>3.06293873529856</v>
      </c>
      <c r="AT281" s="1671" t="n">
        <f aca="false">IF(AS281/AS280=1,AT280,AS281/AS280)</f>
        <v>1.05070731805134</v>
      </c>
      <c r="AU281" s="1671" t="n">
        <f aca="false">F281</f>
        <v>1.068</v>
      </c>
      <c r="AV281" s="1671" t="n">
        <f aca="false">MAX(AT281,AU281)</f>
        <v>1.068</v>
      </c>
      <c r="AW281" s="1675" t="n">
        <f aca="false">IF(AV281=AV280,AW280,AV281*AW280)</f>
        <v>4.49672219894756</v>
      </c>
    </row>
    <row r="282" customFormat="false" ht="12.75" hidden="false" customHeight="false" outlineLevel="0" collapsed="false">
      <c r="A282" s="1673" t="n">
        <f aca="false">EDATE(A281,1)</f>
        <v>43405</v>
      </c>
      <c r="B282" s="1659" t="n">
        <f aca="false">'[4]Monthly Curve Calc.'!B285</f>
        <v>697.10485067681</v>
      </c>
      <c r="C282" s="1660" t="n">
        <f aca="false">'[4]Monthly Curve Calc.'!C285</f>
        <v>281.203968306534</v>
      </c>
      <c r="D282" s="1661" t="n">
        <f aca="false">'[4]Monthly Curve Calc.'!F285</f>
        <v>3.10362419202893</v>
      </c>
      <c r="E282" s="1662" t="n">
        <f aca="false">IF($A282&lt;=E$16,D282,(B282/B281)/(C282/C281)*E281)</f>
        <v>3.02097929644746</v>
      </c>
      <c r="F282" s="1674" t="n">
        <f aca="false">IF(Assm!$L$75=0,F281,IF(AND($A282&gt;F$16,MONTH($A282)=MONTH(F$16)),B281/B269,F281))</f>
        <v>1.068</v>
      </c>
      <c r="G282" s="1668" t="n">
        <f aca="false">IF(Assm!$L$75=0,G281,IF(AND($A282&gt;G$16,MONTH($A282)=MONTH(G$16)),C281/C269,G281))</f>
        <v>1.02702250620139</v>
      </c>
      <c r="H282" s="1668" t="n">
        <f aca="false">IF(Assm!$L$75=0,H281,IF(AND($A282&gt;H$16,MONTH($A282)=MONTH(H$16)),C281/C269-H$18,H281))</f>
        <v>1.02452250620139</v>
      </c>
      <c r="I282" s="1668" t="n">
        <f aca="false">IF(Assm!$L$75=0,I281,IF($A282&gt;=I$16,IF(MONTH($A282)=MONTH(I$16),AVERAGE(D270:D281),I281),I281))</f>
        <v>3.02038925952867</v>
      </c>
      <c r="J282" s="1675" t="n">
        <f aca="false">IF(Assm!$L$75=0,J281,IF($A282&gt;=J$16,IF(MONTH($A282)=MONTH(J$16),AVERAGE(E270:E281),J281),J281))</f>
        <v>2.86338278876317</v>
      </c>
      <c r="K282" s="1624" t="n">
        <f aca="false">K281+1</f>
        <v>270</v>
      </c>
      <c r="L282" s="1667" t="n">
        <f aca="false">HLOOKUP(L$14,Dec_Change,$K282)</f>
        <v>1.02702250620139</v>
      </c>
      <c r="M282" s="1668" t="n">
        <f aca="false">M281</f>
        <v>0</v>
      </c>
      <c r="N282" s="1675" t="n">
        <f aca="false">IF(AND($A282&gt;=N$16,MONTH($A282)=MONTH(N$16)),MAX(L282,M282)*N281,N281)</f>
        <v>1.72801332733687</v>
      </c>
      <c r="P282" s="1667" t="n">
        <f aca="false">HLOOKUP(P$14,Dec_Change,$K282)</f>
        <v>1.068</v>
      </c>
      <c r="Q282" s="1668" t="n">
        <f aca="false">Q281</f>
        <v>0</v>
      </c>
      <c r="R282" s="1675" t="n">
        <f aca="false">IF(AND($A282&gt;=R$16,MONTH($A282)=MONTH(R$16)),MAX(P282,Q282)*R281,R281)</f>
        <v>4.79846823260031</v>
      </c>
      <c r="T282" s="1667" t="n">
        <f aca="false">HLOOKUP(T$14,Dec_Change,$K282)</f>
        <v>1.02702250620139</v>
      </c>
      <c r="U282" s="1668" t="n">
        <f aca="false">U281</f>
        <v>1.005</v>
      </c>
      <c r="V282" s="1675" t="n">
        <f aca="false">IF(AND($A282&gt;=V$16,MONTH($A282)=MONTH(V$16)),MAX(T282,U282)*V281,V281)</f>
        <v>1.72801332733687</v>
      </c>
      <c r="X282" s="1667" t="n">
        <f aca="false">HLOOKUP(X$14,Dec_Change,$K282)</f>
        <v>1.02452250620139</v>
      </c>
      <c r="Y282" s="1668" t="n">
        <f aca="false">Y281</f>
        <v>1.02</v>
      </c>
      <c r="Z282" s="1675" t="n">
        <f aca="false">IF(AND($A282&gt;=Z$16,MONTH($A282)=MONTH(Z$16)),MAX(X282,Y282)*Z281,Z281)</f>
        <v>1.65495655653001</v>
      </c>
      <c r="AB282" s="1667" t="n">
        <f aca="false">HLOOKUP(AB$14,Dec_Change,$K282)</f>
        <v>1.02452250620139</v>
      </c>
      <c r="AC282" s="1668" t="n">
        <f aca="false">AC281</f>
        <v>1.02</v>
      </c>
      <c r="AD282" s="1675" t="n">
        <f aca="false">IF(AND($A282&gt;=AD$16,MONTH($A282)=MONTH(AD$16)),MAX(AB282,AC282)*AD281,AD281)</f>
        <v>1.65495655653001</v>
      </c>
      <c r="AF282" s="1667" t="n">
        <f aca="false">HLOOKUP(AF$14,Dec_Change,$K282)</f>
        <v>1.068</v>
      </c>
      <c r="AG282" s="1668" t="n">
        <f aca="false">AG281</f>
        <v>0</v>
      </c>
      <c r="AH282" s="1675" t="n">
        <f aca="false">IF(AND($A282&gt;=AH$16,MONTH($A282)=MONTH(AH$16)),MAX(AF282,AG282)*AH281,AH281)</f>
        <v>4.79846823260031</v>
      </c>
      <c r="AJ282" s="1667" t="n">
        <f aca="false">HLOOKUP(AJ$14,Dec_Change,$K282)</f>
        <v>1.02452250620139</v>
      </c>
      <c r="AK282" s="1668" t="n">
        <f aca="false">AK281</f>
        <v>1.02</v>
      </c>
      <c r="AL282" s="1675" t="n">
        <f aca="false">IF(AND($A282&gt;=AL$16,MONTH($A282)=MONTH(AL$16)),MAX(AJ282,AK282)*AL281,AL281)</f>
        <v>1.65495655653001</v>
      </c>
      <c r="AN282" s="1667" t="n">
        <f aca="false">HLOOKUP(AN$14,Dec_Change,$K282)</f>
        <v>1.02702250620139</v>
      </c>
      <c r="AO282" s="1668" t="n">
        <f aca="false">AO281</f>
        <v>1.005</v>
      </c>
      <c r="AP282" s="1675" t="n">
        <f aca="false">IF(AND($A282&gt;=AP$16,MONTH($A282)=MONTH(AP$16)),MAX(AN282,AO282)*AP281,AP281)</f>
        <v>1.72801332733687</v>
      </c>
      <c r="AR282" s="1670" t="n">
        <f aca="false">$A282</f>
        <v>43405</v>
      </c>
      <c r="AS282" s="1671" t="n">
        <f aca="false">IF(AND($A282&gt;=EDATE(AS$17,12),IF(Assm!$L$74=0,$D282,$E282)/AS281&gt;=1.05),IF(Assm!$L$74=0,$D282,$E282),AS281)</f>
        <v>3.06293873529856</v>
      </c>
      <c r="AT282" s="1671" t="n">
        <f aca="false">IF(AS282/AS281=1,AT281,AS282/AS281)</f>
        <v>1.05070731805134</v>
      </c>
      <c r="AU282" s="1671" t="n">
        <f aca="false">F282</f>
        <v>1.068</v>
      </c>
      <c r="AV282" s="1671" t="n">
        <f aca="false">MAX(AT282,AU282)</f>
        <v>1.068</v>
      </c>
      <c r="AW282" s="1675" t="n">
        <f aca="false">IF(AV282=AV281,AW281,AV282*AW281)</f>
        <v>4.49672219894756</v>
      </c>
    </row>
    <row r="283" customFormat="false" ht="12.75" hidden="false" customHeight="false" outlineLevel="0" collapsed="false">
      <c r="A283" s="1673" t="n">
        <f aca="false">EDATE(A282,1)</f>
        <v>43435</v>
      </c>
      <c r="B283" s="1659" t="n">
        <f aca="false">'[4]Monthly Curve Calc.'!B286</f>
        <v>700.937091935988</v>
      </c>
      <c r="C283" s="1660" t="n">
        <f aca="false">'[4]Monthly Curve Calc.'!C286</f>
        <v>281.834766651987</v>
      </c>
      <c r="D283" s="1661" t="n">
        <f aca="false">'[4]Monthly Curve Calc.'!F286</f>
        <v>3.10874772685181</v>
      </c>
      <c r="E283" s="1662" t="n">
        <f aca="false">IF($A283&lt;=E$16,D283,(B283/B282)/(C283/C282)*E282)</f>
        <v>3.03078804755542</v>
      </c>
      <c r="F283" s="1674" t="n">
        <f aca="false">IF(Assm!$L$75=0,F282,IF(AND($A283&gt;F$16,MONTH($A283)=MONTH(F$16)),B282/B270,F282))</f>
        <v>1.068</v>
      </c>
      <c r="G283" s="1668" t="n">
        <f aca="false">IF(Assm!$L$75=0,G282,IF(AND($A283&gt;G$16,MONTH($A283)=MONTH(G$16)),C282/C270,G282))</f>
        <v>1.02702250620139</v>
      </c>
      <c r="H283" s="1668" t="n">
        <f aca="false">IF(Assm!$L$75=0,H282,IF(AND($A283&gt;H$16,MONTH($A283)=MONTH(H$16)),C282/C270-H$18,H282))</f>
        <v>1.02452250620139</v>
      </c>
      <c r="I283" s="1668" t="n">
        <f aca="false">IF(Assm!$L$75=0,I282,IF($A283&gt;=I$16,IF(MONTH($A283)=MONTH(I$16),AVERAGE(D271:D282),I282),I282))</f>
        <v>3.02038925952867</v>
      </c>
      <c r="J283" s="1675" t="n">
        <f aca="false">IF(Assm!$L$75=0,J282,IF($A283&gt;=J$16,IF(MONTH($A283)=MONTH(J$16),AVERAGE(E271:E282),J282),J282))</f>
        <v>2.86338278876317</v>
      </c>
      <c r="K283" s="1624" t="n">
        <f aca="false">K282+1</f>
        <v>271</v>
      </c>
      <c r="L283" s="1667" t="n">
        <f aca="false">HLOOKUP(L$14,Dec_Change,$K283)</f>
        <v>1.02702250620139</v>
      </c>
      <c r="M283" s="1668" t="n">
        <f aca="false">M282</f>
        <v>0</v>
      </c>
      <c r="N283" s="1675" t="n">
        <f aca="false">IF(AND($A283&gt;=N$16,MONTH($A283)=MONTH(N$16)),MAX(L283,M283)*N282,N282)</f>
        <v>1.72801332733687</v>
      </c>
      <c r="P283" s="1667" t="n">
        <f aca="false">HLOOKUP(P$14,Dec_Change,$K283)</f>
        <v>1.068</v>
      </c>
      <c r="Q283" s="1668" t="n">
        <f aca="false">Q282</f>
        <v>0</v>
      </c>
      <c r="R283" s="1675" t="n">
        <f aca="false">IF(AND($A283&gt;=R$16,MONTH($A283)=MONTH(R$16)),MAX(P283,Q283)*R282,R282)</f>
        <v>4.79846823260031</v>
      </c>
      <c r="T283" s="1667" t="n">
        <f aca="false">HLOOKUP(T$14,Dec_Change,$K283)</f>
        <v>1.02702250620139</v>
      </c>
      <c r="U283" s="1668" t="n">
        <f aca="false">U282</f>
        <v>1.005</v>
      </c>
      <c r="V283" s="1675" t="n">
        <f aca="false">IF(AND($A283&gt;=V$16,MONTH($A283)=MONTH(V$16)),MAX(T283,U283)*V282,V282)</f>
        <v>1.72801332733687</v>
      </c>
      <c r="X283" s="1667" t="n">
        <f aca="false">HLOOKUP(X$14,Dec_Change,$K283)</f>
        <v>1.02452250620139</v>
      </c>
      <c r="Y283" s="1668" t="n">
        <f aca="false">Y282</f>
        <v>1.02</v>
      </c>
      <c r="Z283" s="1675" t="n">
        <f aca="false">IF(AND($A283&gt;=Z$16,MONTH($A283)=MONTH(Z$16)),MAX(X283,Y283)*Z282,Z282)</f>
        <v>1.65495655653001</v>
      </c>
      <c r="AB283" s="1667" t="n">
        <f aca="false">HLOOKUP(AB$14,Dec_Change,$K283)</f>
        <v>1.02452250620139</v>
      </c>
      <c r="AC283" s="1668" t="n">
        <f aca="false">AC282</f>
        <v>1.02</v>
      </c>
      <c r="AD283" s="1675" t="n">
        <f aca="false">IF(AND($A283&gt;=AD$16,MONTH($A283)=MONTH(AD$16)),MAX(AB283,AC283)*AD282,AD282)</f>
        <v>1.65495655653001</v>
      </c>
      <c r="AF283" s="1667" t="n">
        <f aca="false">HLOOKUP(AF$14,Dec_Change,$K283)</f>
        <v>1.068</v>
      </c>
      <c r="AG283" s="1668" t="n">
        <f aca="false">AG282</f>
        <v>0</v>
      </c>
      <c r="AH283" s="1675" t="n">
        <f aca="false">IF(AND($A283&gt;=AH$16,MONTH($A283)=MONTH(AH$16)),MAX(AF283,AG283)*AH282,AH282)</f>
        <v>4.79846823260031</v>
      </c>
      <c r="AJ283" s="1667" t="n">
        <f aca="false">HLOOKUP(AJ$14,Dec_Change,$K283)</f>
        <v>1.02452250620139</v>
      </c>
      <c r="AK283" s="1668" t="n">
        <f aca="false">AK282</f>
        <v>1.02</v>
      </c>
      <c r="AL283" s="1675" t="n">
        <f aca="false">IF(AND($A283&gt;=AL$16,MONTH($A283)=MONTH(AL$16)),MAX(AJ283,AK283)*AL282,AL282)</f>
        <v>1.65495655653001</v>
      </c>
      <c r="AN283" s="1667" t="n">
        <f aca="false">HLOOKUP(AN$14,Dec_Change,$K283)</f>
        <v>1.02702250620139</v>
      </c>
      <c r="AO283" s="1668" t="n">
        <f aca="false">AO282</f>
        <v>1.005</v>
      </c>
      <c r="AP283" s="1675" t="n">
        <f aca="false">IF(AND($A283&gt;=AP$16,MONTH($A283)=MONTH(AP$16)),MAX(AN283,AO283)*AP282,AP282)</f>
        <v>1.72801332733687</v>
      </c>
      <c r="AR283" s="1670" t="n">
        <f aca="false">$A283</f>
        <v>43435</v>
      </c>
      <c r="AS283" s="1671" t="n">
        <f aca="false">IF(AND($A283&gt;=EDATE(AS$17,12),IF(Assm!$L$74=0,$D283,$E283)/AS282&gt;=1.05),IF(Assm!$L$74=0,$D283,$E283),AS282)</f>
        <v>3.06293873529856</v>
      </c>
      <c r="AT283" s="1671" t="n">
        <f aca="false">IF(AS283/AS282=1,AT282,AS283/AS282)</f>
        <v>1.05070731805134</v>
      </c>
      <c r="AU283" s="1671" t="n">
        <f aca="false">F283</f>
        <v>1.068</v>
      </c>
      <c r="AV283" s="1671" t="n">
        <f aca="false">MAX(AT283,AU283)</f>
        <v>1.068</v>
      </c>
      <c r="AW283" s="1675" t="n">
        <f aca="false">IF(AV283=AV282,AW282,AV283*AW282)</f>
        <v>4.49672219894756</v>
      </c>
    </row>
    <row r="284" customFormat="false" ht="12.75" hidden="false" customHeight="false" outlineLevel="0" collapsed="false">
      <c r="A284" s="1673" t="n">
        <f aca="false">EDATE(A283,1)</f>
        <v>43466</v>
      </c>
      <c r="B284" s="1659" t="n">
        <f aca="false">'[4]Monthly Curve Calc.'!B287</f>
        <v>704.790400432116</v>
      </c>
      <c r="C284" s="1660" t="n">
        <f aca="false">'[4]Monthly Curve Calc.'!C287</f>
        <v>282.480056369098</v>
      </c>
      <c r="D284" s="1661" t="n">
        <f aca="false">'[4]Monthly Curve Calc.'!F287</f>
        <v>3.11389218833154</v>
      </c>
      <c r="E284" s="1662" t="n">
        <f aca="false">IF($A284&lt;=E$16,D284,(B284/B283)/(C284/C283)*E283)</f>
        <v>3.04048789191255</v>
      </c>
      <c r="F284" s="1674" t="n">
        <f aca="false">IF(Assm!$L$75=0,F283,IF(AND($A284&gt;F$16,MONTH($A284)=MONTH(F$16)),B283/B271,F283))</f>
        <v>1.068</v>
      </c>
      <c r="G284" s="1668" t="n">
        <f aca="false">IF(Assm!$L$75=0,G283,IF(AND($A284&gt;G$16,MONTH($A284)=MONTH(G$16)),C283/C271,G283))</f>
        <v>1.02702250620139</v>
      </c>
      <c r="H284" s="1668" t="n">
        <f aca="false">IF(Assm!$L$75=0,H283,IF(AND($A284&gt;H$16,MONTH($A284)=MONTH(H$16)),C283/C271-H$18,H283))</f>
        <v>1.02452250620139</v>
      </c>
      <c r="I284" s="1668" t="n">
        <f aca="false">IF(Assm!$L$75=0,I283,IF($A284&gt;=I$16,IF(MONTH($A284)=MONTH(I$16),AVERAGE(D272:D283),I283),I283))</f>
        <v>3.08072252146163</v>
      </c>
      <c r="J284" s="1675" t="n">
        <f aca="false">IF(Assm!$L$75=0,J283,IF($A284&gt;=J$16,IF(MONTH($A284)=MONTH(J$16),AVERAGE(E272:E283),J283),J283))</f>
        <v>2.97741768741139</v>
      </c>
      <c r="K284" s="1624" t="n">
        <f aca="false">K283+1</f>
        <v>272</v>
      </c>
      <c r="L284" s="1667" t="n">
        <f aca="false">HLOOKUP(L$14,Dec_Change,$K284)</f>
        <v>1.02702250620139</v>
      </c>
      <c r="M284" s="1668" t="n">
        <f aca="false">M283</f>
        <v>0</v>
      </c>
      <c r="N284" s="1675" t="n">
        <f aca="false">IF(AND($A284&gt;=N$16,MONTH($A284)=MONTH(N$16)),MAX(L284,M284)*N283,N283)</f>
        <v>1.72801332733687</v>
      </c>
      <c r="P284" s="1667" t="n">
        <f aca="false">HLOOKUP(P$14,Dec_Change,$K284)</f>
        <v>1.068</v>
      </c>
      <c r="Q284" s="1668" t="n">
        <f aca="false">Q283</f>
        <v>0</v>
      </c>
      <c r="R284" s="1675" t="n">
        <f aca="false">IF(AND($A284&gt;=R$16,MONTH($A284)=MONTH(R$16)),MAX(P284,Q284)*R283,R283)</f>
        <v>4.79846823260031</v>
      </c>
      <c r="T284" s="1667" t="n">
        <f aca="false">HLOOKUP(T$14,Dec_Change,$K284)</f>
        <v>1.02702250620139</v>
      </c>
      <c r="U284" s="1668" t="n">
        <f aca="false">U283</f>
        <v>1.005</v>
      </c>
      <c r="V284" s="1675" t="n">
        <f aca="false">IF(AND($A284&gt;=V$16,MONTH($A284)=MONTH(V$16)),MAX(T284,U284)*V283,V283)</f>
        <v>1.72801332733687</v>
      </c>
      <c r="X284" s="1667" t="n">
        <f aca="false">HLOOKUP(X$14,Dec_Change,$K284)</f>
        <v>1.02452250620139</v>
      </c>
      <c r="Y284" s="1668" t="n">
        <f aca="false">Y283</f>
        <v>1.02</v>
      </c>
      <c r="Z284" s="1675" t="n">
        <f aca="false">IF(AND($A284&gt;=Z$16,MONTH($A284)=MONTH(Z$16)),MAX(X284,Y284)*Z283,Z283)</f>
        <v>1.65495655653001</v>
      </c>
      <c r="AB284" s="1667" t="n">
        <f aca="false">HLOOKUP(AB$14,Dec_Change,$K284)</f>
        <v>1.02452250620139</v>
      </c>
      <c r="AC284" s="1668" t="n">
        <f aca="false">AC283</f>
        <v>1.02</v>
      </c>
      <c r="AD284" s="1675" t="n">
        <f aca="false">IF(AND($A284&gt;=AD$16,MONTH($A284)=MONTH(AD$16)),MAX(AB284,AC284)*AD283,AD283)</f>
        <v>1.65495655653001</v>
      </c>
      <c r="AF284" s="1667" t="n">
        <f aca="false">HLOOKUP(AF$14,Dec_Change,$K284)</f>
        <v>1.068</v>
      </c>
      <c r="AG284" s="1668" t="n">
        <f aca="false">AG283</f>
        <v>0</v>
      </c>
      <c r="AH284" s="1675" t="n">
        <f aca="false">IF(AND($A284&gt;=AH$16,MONTH($A284)=MONTH(AH$16)),MAX(AF284,AG284)*AH283,AH283)</f>
        <v>4.79846823260031</v>
      </c>
      <c r="AJ284" s="1667" t="n">
        <f aca="false">HLOOKUP(AJ$14,Dec_Change,$K284)</f>
        <v>1.02452250620139</v>
      </c>
      <c r="AK284" s="1668" t="n">
        <f aca="false">AK283</f>
        <v>1.02</v>
      </c>
      <c r="AL284" s="1675" t="n">
        <f aca="false">IF(AND($A284&gt;=AL$16,MONTH($A284)=MONTH(AL$16)),MAX(AJ284,AK284)*AL283,AL283)</f>
        <v>1.65495655653001</v>
      </c>
      <c r="AN284" s="1667" t="n">
        <f aca="false">HLOOKUP(AN$14,Dec_Change,$K284)</f>
        <v>1.02702250620139</v>
      </c>
      <c r="AO284" s="1668" t="n">
        <f aca="false">AO283</f>
        <v>1.005</v>
      </c>
      <c r="AP284" s="1675" t="n">
        <f aca="false">IF(AND($A284&gt;=AP$16,MONTH($A284)=MONTH(AP$16)),MAX(AN284,AO284)*AP283,AP283)</f>
        <v>1.72801332733687</v>
      </c>
      <c r="AR284" s="1670" t="n">
        <f aca="false">$A284</f>
        <v>43466</v>
      </c>
      <c r="AS284" s="1671" t="n">
        <f aca="false">IF(AND($A284&gt;=EDATE(AS$17,12),IF(Assm!$L$74=0,$D284,$E284)/AS283&gt;=1.05),IF(Assm!$L$74=0,$D284,$E284),AS283)</f>
        <v>3.06293873529856</v>
      </c>
      <c r="AT284" s="1671" t="n">
        <f aca="false">IF(AS284/AS283=1,AT283,AS284/AS283)</f>
        <v>1.05070731805134</v>
      </c>
      <c r="AU284" s="1671" t="n">
        <f aca="false">F284</f>
        <v>1.068</v>
      </c>
      <c r="AV284" s="1671" t="n">
        <f aca="false">MAX(AT284,AU284)</f>
        <v>1.068</v>
      </c>
      <c r="AW284" s="1675" t="n">
        <f aca="false">IF(AV284=AV283,AW283,AV284*AW283)</f>
        <v>4.49672219894756</v>
      </c>
    </row>
    <row r="285" customFormat="false" ht="12.75" hidden="false" customHeight="false" outlineLevel="0" collapsed="false">
      <c r="A285" s="1673" t="n">
        <f aca="false">EDATE(A284,1)</f>
        <v>43497</v>
      </c>
      <c r="B285" s="1659" t="n">
        <f aca="false">'[4]Monthly Curve Calc.'!B288</f>
        <v>708.66489197953</v>
      </c>
      <c r="C285" s="1660" t="n">
        <f aca="false">'[4]Monthly Curve Calc.'!C288</f>
        <v>283.126823543458</v>
      </c>
      <c r="D285" s="1661" t="n">
        <f aca="false">'[4]Monthly Curve Calc.'!F288</f>
        <v>3.11904516304111</v>
      </c>
      <c r="E285" s="1662" t="n">
        <f aca="false">IF($A285&lt;=E$16,D285,(B285/B284)/(C285/C284)*E284)</f>
        <v>3.05021878000453</v>
      </c>
      <c r="F285" s="1674" t="n">
        <f aca="false">IF(Assm!$L$75=0,F284,IF(AND($A285&gt;F$16,MONTH($A285)=MONTH(F$16)),B284/B272,F284))</f>
        <v>1.068</v>
      </c>
      <c r="G285" s="1668" t="n">
        <f aca="false">IF(Assm!$L$75=0,G284,IF(AND($A285&gt;G$16,MONTH($A285)=MONTH(G$16)),C284/C272,G284))</f>
        <v>1.02702250620139</v>
      </c>
      <c r="H285" s="1668" t="n">
        <f aca="false">IF(Assm!$L$75=0,H284,IF(AND($A285&gt;H$16,MONTH($A285)=MONTH(H$16)),C284/C272-H$18,H284))</f>
        <v>1.02452250620139</v>
      </c>
      <c r="I285" s="1668" t="n">
        <f aca="false">IF(Assm!$L$75=0,I284,IF($A285&gt;=I$16,IF(MONTH($A285)=MONTH(I$16),AVERAGE(D273:D284),I284),I284))</f>
        <v>3.08072252146163</v>
      </c>
      <c r="J285" s="1675" t="n">
        <f aca="false">IF(Assm!$L$75=0,J284,IF($A285&gt;=J$16,IF(MONTH($A285)=MONTH(J$16),AVERAGE(E273:E284),J284),J284))</f>
        <v>2.97741768741139</v>
      </c>
      <c r="K285" s="1624" t="n">
        <f aca="false">K284+1</f>
        <v>273</v>
      </c>
      <c r="L285" s="1667" t="n">
        <f aca="false">HLOOKUP(L$14,Dec_Change,$K285)</f>
        <v>1.02702250620139</v>
      </c>
      <c r="M285" s="1668" t="n">
        <f aca="false">M284</f>
        <v>0</v>
      </c>
      <c r="N285" s="1675" t="n">
        <f aca="false">IF(AND($A285&gt;=N$16,MONTH($A285)=MONTH(N$16)),MAX(L285,M285)*N284,N284)</f>
        <v>1.72801332733687</v>
      </c>
      <c r="P285" s="1667" t="n">
        <f aca="false">HLOOKUP(P$14,Dec_Change,$K285)</f>
        <v>1.068</v>
      </c>
      <c r="Q285" s="1668" t="n">
        <f aca="false">Q284</f>
        <v>0</v>
      </c>
      <c r="R285" s="1675" t="n">
        <f aca="false">IF(AND($A285&gt;=R$16,MONTH($A285)=MONTH(R$16)),MAX(P285,Q285)*R284,R284)</f>
        <v>4.79846823260031</v>
      </c>
      <c r="T285" s="1667" t="n">
        <f aca="false">HLOOKUP(T$14,Dec_Change,$K285)</f>
        <v>1.02702250620139</v>
      </c>
      <c r="U285" s="1668" t="n">
        <f aca="false">U284</f>
        <v>1.005</v>
      </c>
      <c r="V285" s="1675" t="n">
        <f aca="false">IF(AND($A285&gt;=V$16,MONTH($A285)=MONTH(V$16)),MAX(T285,U285)*V284,V284)</f>
        <v>1.72801332733687</v>
      </c>
      <c r="X285" s="1667" t="n">
        <f aca="false">HLOOKUP(X$14,Dec_Change,$K285)</f>
        <v>1.02452250620139</v>
      </c>
      <c r="Y285" s="1668" t="n">
        <f aca="false">Y284</f>
        <v>1.02</v>
      </c>
      <c r="Z285" s="1675" t="n">
        <f aca="false">IF(AND($A285&gt;=Z$16,MONTH($A285)=MONTH(Z$16)),MAX(X285,Y285)*Z284,Z284)</f>
        <v>1.65495655653001</v>
      </c>
      <c r="AB285" s="1667" t="n">
        <f aca="false">HLOOKUP(AB$14,Dec_Change,$K285)</f>
        <v>1.02452250620139</v>
      </c>
      <c r="AC285" s="1668" t="n">
        <f aca="false">AC284</f>
        <v>1.02</v>
      </c>
      <c r="AD285" s="1675" t="n">
        <f aca="false">IF(AND($A285&gt;=AD$16,MONTH($A285)=MONTH(AD$16)),MAX(AB285,AC285)*AD284,AD284)</f>
        <v>1.65495655653001</v>
      </c>
      <c r="AF285" s="1667" t="n">
        <f aca="false">HLOOKUP(AF$14,Dec_Change,$K285)</f>
        <v>1.068</v>
      </c>
      <c r="AG285" s="1668" t="n">
        <f aca="false">AG284</f>
        <v>0</v>
      </c>
      <c r="AH285" s="1675" t="n">
        <f aca="false">IF(AND($A285&gt;=AH$16,MONTH($A285)=MONTH(AH$16)),MAX(AF285,AG285)*AH284,AH284)</f>
        <v>4.79846823260031</v>
      </c>
      <c r="AJ285" s="1667" t="n">
        <f aca="false">HLOOKUP(AJ$14,Dec_Change,$K285)</f>
        <v>1.02452250620139</v>
      </c>
      <c r="AK285" s="1668" t="n">
        <f aca="false">AK284</f>
        <v>1.02</v>
      </c>
      <c r="AL285" s="1675" t="n">
        <f aca="false">IF(AND($A285&gt;=AL$16,MONTH($A285)=MONTH(AL$16)),MAX(AJ285,AK285)*AL284,AL284)</f>
        <v>1.65495655653001</v>
      </c>
      <c r="AN285" s="1667" t="n">
        <f aca="false">HLOOKUP(AN$14,Dec_Change,$K285)</f>
        <v>1.02702250620139</v>
      </c>
      <c r="AO285" s="1668" t="n">
        <f aca="false">AO284</f>
        <v>1.005</v>
      </c>
      <c r="AP285" s="1675" t="n">
        <f aca="false">IF(AND($A285&gt;=AP$16,MONTH($A285)=MONTH(AP$16)),MAX(AN285,AO285)*AP284,AP284)</f>
        <v>1.72801332733687</v>
      </c>
      <c r="AR285" s="1670" t="n">
        <f aca="false">$A285</f>
        <v>43497</v>
      </c>
      <c r="AS285" s="1671" t="n">
        <f aca="false">IF(AND($A285&gt;=EDATE(AS$17,12),IF(Assm!$L$74=0,$D285,$E285)/AS284&gt;=1.05),IF(Assm!$L$74=0,$D285,$E285),AS284)</f>
        <v>3.06293873529856</v>
      </c>
      <c r="AT285" s="1671" t="n">
        <f aca="false">IF(AS285/AS284=1,AT284,AS285/AS284)</f>
        <v>1.05070731805134</v>
      </c>
      <c r="AU285" s="1671" t="n">
        <f aca="false">F285</f>
        <v>1.068</v>
      </c>
      <c r="AV285" s="1671" t="n">
        <f aca="false">MAX(AT285,AU285)</f>
        <v>1.068</v>
      </c>
      <c r="AW285" s="1675" t="n">
        <f aca="false">IF(AV285=AV284,AW284,AV285*AW284)</f>
        <v>4.49672219894756</v>
      </c>
    </row>
    <row r="286" customFormat="false" ht="12.75" hidden="false" customHeight="false" outlineLevel="0" collapsed="false">
      <c r="A286" s="1673" t="n">
        <f aca="false">EDATE(A285,1)</f>
        <v>43525</v>
      </c>
      <c r="B286" s="1659" t="n">
        <f aca="false">'[4]Monthly Curve Calc.'!B289</f>
        <v>712.560683029238</v>
      </c>
      <c r="C286" s="1660" t="n">
        <f aca="false">'[4]Monthly Curve Calc.'!C289</f>
        <v>283.775071557857</v>
      </c>
      <c r="D286" s="1661" t="n">
        <f aca="false">'[4]Monthly Curve Calc.'!F289</f>
        <v>3.12420666506851</v>
      </c>
      <c r="E286" s="1662" t="n">
        <f aca="false">IF($A286&lt;=E$16,D286,(B286/B285)/(C286/C285)*E285)</f>
        <v>3.05998081118486</v>
      </c>
      <c r="F286" s="1674" t="n">
        <f aca="false">IF(Assm!$L$75=0,F285,IF(AND($A286&gt;F$16,MONTH($A286)=MONTH(F$16)),B285/B273,F285))</f>
        <v>1.068</v>
      </c>
      <c r="G286" s="1668" t="n">
        <f aca="false">IF(Assm!$L$75=0,G285,IF(AND($A286&gt;G$16,MONTH($A286)=MONTH(G$16)),C285/C273,G285))</f>
        <v>1.02702250620139</v>
      </c>
      <c r="H286" s="1668" t="n">
        <f aca="false">IF(Assm!$L$75=0,H285,IF(AND($A286&gt;H$16,MONTH($A286)=MONTH(H$16)),C285/C273-H$18,H285))</f>
        <v>1.02452250620139</v>
      </c>
      <c r="I286" s="1668" t="n">
        <f aca="false">IF(Assm!$L$75=0,I285,IF($A286&gt;=I$16,IF(MONTH($A286)=MONTH(I$16),AVERAGE(D274:D285),I285),I285))</f>
        <v>3.08072252146163</v>
      </c>
      <c r="J286" s="1675" t="n">
        <f aca="false">IF(Assm!$L$75=0,J285,IF($A286&gt;=J$16,IF(MONTH($A286)=MONTH(J$16),AVERAGE(E274:E285),J285),J285))</f>
        <v>2.97741768741139</v>
      </c>
      <c r="K286" s="1624" t="n">
        <f aca="false">K285+1</f>
        <v>274</v>
      </c>
      <c r="L286" s="1667" t="n">
        <f aca="false">HLOOKUP(L$14,Dec_Change,$K286)</f>
        <v>1.02702250620139</v>
      </c>
      <c r="M286" s="1668" t="n">
        <f aca="false">M285</f>
        <v>0</v>
      </c>
      <c r="N286" s="1675" t="n">
        <f aca="false">IF(AND($A286&gt;=N$16,MONTH($A286)=MONTH(N$16)),MAX(L286,M286)*N285,N285)</f>
        <v>1.72801332733687</v>
      </c>
      <c r="P286" s="1667" t="n">
        <f aca="false">HLOOKUP(P$14,Dec_Change,$K286)</f>
        <v>1.068</v>
      </c>
      <c r="Q286" s="1668" t="n">
        <f aca="false">Q285</f>
        <v>0</v>
      </c>
      <c r="R286" s="1675" t="n">
        <f aca="false">IF(AND($A286&gt;=R$16,MONTH($A286)=MONTH(R$16)),MAX(P286,Q286)*R285,R285)</f>
        <v>4.79846823260031</v>
      </c>
      <c r="T286" s="1667" t="n">
        <f aca="false">HLOOKUP(T$14,Dec_Change,$K286)</f>
        <v>1.02702250620139</v>
      </c>
      <c r="U286" s="1668" t="n">
        <f aca="false">U285</f>
        <v>1.005</v>
      </c>
      <c r="V286" s="1675" t="n">
        <f aca="false">IF(AND($A286&gt;=V$16,MONTH($A286)=MONTH(V$16)),MAX(T286,U286)*V285,V285)</f>
        <v>1.72801332733687</v>
      </c>
      <c r="X286" s="1667" t="n">
        <f aca="false">HLOOKUP(X$14,Dec_Change,$K286)</f>
        <v>1.02452250620139</v>
      </c>
      <c r="Y286" s="1668" t="n">
        <f aca="false">Y285</f>
        <v>1.02</v>
      </c>
      <c r="Z286" s="1675" t="n">
        <f aca="false">IF(AND($A286&gt;=Z$16,MONTH($A286)=MONTH(Z$16)),MAX(X286,Y286)*Z285,Z285)</f>
        <v>1.65495655653001</v>
      </c>
      <c r="AB286" s="1667" t="n">
        <f aca="false">HLOOKUP(AB$14,Dec_Change,$K286)</f>
        <v>1.02452250620139</v>
      </c>
      <c r="AC286" s="1668" t="n">
        <f aca="false">AC285</f>
        <v>1.02</v>
      </c>
      <c r="AD286" s="1675" t="n">
        <f aca="false">IF(AND($A286&gt;=AD$16,MONTH($A286)=MONTH(AD$16)),MAX(AB286,AC286)*AD285,AD285)</f>
        <v>1.65495655653001</v>
      </c>
      <c r="AF286" s="1667" t="n">
        <f aca="false">HLOOKUP(AF$14,Dec_Change,$K286)</f>
        <v>1.068</v>
      </c>
      <c r="AG286" s="1668" t="n">
        <f aca="false">AG285</f>
        <v>0</v>
      </c>
      <c r="AH286" s="1675" t="n">
        <f aca="false">IF(AND($A286&gt;=AH$16,MONTH($A286)=MONTH(AH$16)),MAX(AF286,AG286)*AH285,AH285)</f>
        <v>4.79846823260031</v>
      </c>
      <c r="AJ286" s="1667" t="n">
        <f aca="false">HLOOKUP(AJ$14,Dec_Change,$K286)</f>
        <v>1.02452250620139</v>
      </c>
      <c r="AK286" s="1668" t="n">
        <f aca="false">AK285</f>
        <v>1.02</v>
      </c>
      <c r="AL286" s="1675" t="n">
        <f aca="false">IF(AND($A286&gt;=AL$16,MONTH($A286)=MONTH(AL$16)),MAX(AJ286,AK286)*AL285,AL285)</f>
        <v>1.65495655653001</v>
      </c>
      <c r="AN286" s="1667" t="n">
        <f aca="false">HLOOKUP(AN$14,Dec_Change,$K286)</f>
        <v>1.02702250620139</v>
      </c>
      <c r="AO286" s="1668" t="n">
        <f aca="false">AO285</f>
        <v>1.005</v>
      </c>
      <c r="AP286" s="1675" t="n">
        <f aca="false">IF(AND($A286&gt;=AP$16,MONTH($A286)=MONTH(AP$16)),MAX(AN286,AO286)*AP285,AP285)</f>
        <v>1.72801332733687</v>
      </c>
      <c r="AR286" s="1670" t="n">
        <f aca="false">$A286</f>
        <v>43525</v>
      </c>
      <c r="AS286" s="1671" t="n">
        <f aca="false">IF(AND($A286&gt;=EDATE(AS$17,12),IF(Assm!$L$74=0,$D286,$E286)/AS285&gt;=1.05),IF(Assm!$L$74=0,$D286,$E286),AS285)</f>
        <v>3.06293873529856</v>
      </c>
      <c r="AT286" s="1671" t="n">
        <f aca="false">IF(AS286/AS285=1,AT285,AS286/AS285)</f>
        <v>1.05070731805134</v>
      </c>
      <c r="AU286" s="1671" t="n">
        <f aca="false">F286</f>
        <v>1.068</v>
      </c>
      <c r="AV286" s="1671" t="n">
        <f aca="false">MAX(AT286,AU286)</f>
        <v>1.068</v>
      </c>
      <c r="AW286" s="1675" t="n">
        <f aca="false">IF(AV286=AV285,AW285,AV286*AW285)</f>
        <v>4.49672219894756</v>
      </c>
    </row>
    <row r="287" customFormat="false" ht="12.75" hidden="false" customHeight="false" outlineLevel="0" collapsed="false">
      <c r="A287" s="1673" t="n">
        <f aca="false">EDATE(A286,1)</f>
        <v>43556</v>
      </c>
      <c r="B287" s="1659" t="n">
        <f aca="false">'[4]Monthly Curve Calc.'!B290</f>
        <v>716.477890672423</v>
      </c>
      <c r="C287" s="1660" t="n">
        <f aca="false">'[4]Monthly Curve Calc.'!C290</f>
        <v>284.424803802831</v>
      </c>
      <c r="D287" s="1661" t="n">
        <f aca="false">'[4]Monthly Curve Calc.'!F290</f>
        <v>3.12937670852503</v>
      </c>
      <c r="E287" s="1662" t="n">
        <f aca="false">IF($A287&lt;=E$16,D287,(B287/B286)/(C287/C286)*E286)</f>
        <v>3.06977408512503</v>
      </c>
      <c r="F287" s="1674" t="n">
        <f aca="false">IF(Assm!$L$75=0,F286,IF(AND($A287&gt;F$16,MONTH($A287)=MONTH(F$16)),B286/B274,F286))</f>
        <v>1.068</v>
      </c>
      <c r="G287" s="1668" t="n">
        <f aca="false">IF(Assm!$L$75=0,G286,IF(AND($A287&gt;G$16,MONTH($A287)=MONTH(G$16)),C286/C274,G286))</f>
        <v>1.02702250620139</v>
      </c>
      <c r="H287" s="1668" t="n">
        <f aca="false">IF(Assm!$L$75=0,H286,IF(AND($A287&gt;H$16,MONTH($A287)=MONTH(H$16)),C286/C274-H$18,H286))</f>
        <v>1.02452250620139</v>
      </c>
      <c r="I287" s="1668" t="n">
        <f aca="false">IF(Assm!$L$75=0,I286,IF($A287&gt;=I$16,IF(MONTH($A287)=MONTH(I$16),AVERAGE(D275:D286),I286),I286))</f>
        <v>3.08072252146163</v>
      </c>
      <c r="J287" s="1675" t="n">
        <f aca="false">IF(Assm!$L$75=0,J286,IF($A287&gt;=J$16,IF(MONTH($A287)=MONTH(J$16),AVERAGE(E275:E286),J286),J286))</f>
        <v>2.97741768741139</v>
      </c>
      <c r="K287" s="1624" t="n">
        <f aca="false">K286+1</f>
        <v>275</v>
      </c>
      <c r="L287" s="1667" t="n">
        <f aca="false">HLOOKUP(L$14,Dec_Change,$K287)</f>
        <v>1.02702250620139</v>
      </c>
      <c r="M287" s="1668" t="n">
        <f aca="false">M286</f>
        <v>0</v>
      </c>
      <c r="N287" s="1675" t="n">
        <f aca="false">IF(AND($A287&gt;=N$16,MONTH($A287)=MONTH(N$16)),MAX(L287,M287)*N286,N286)</f>
        <v>1.72801332733687</v>
      </c>
      <c r="P287" s="1667" t="n">
        <f aca="false">HLOOKUP(P$14,Dec_Change,$K287)</f>
        <v>1.068</v>
      </c>
      <c r="Q287" s="1668" t="n">
        <f aca="false">Q286</f>
        <v>0</v>
      </c>
      <c r="R287" s="1675" t="n">
        <f aca="false">IF(AND($A287&gt;=R$16,MONTH($A287)=MONTH(R$16)),MAX(P287,Q287)*R286,R286)</f>
        <v>4.79846823260031</v>
      </c>
      <c r="T287" s="1667" t="n">
        <f aca="false">HLOOKUP(T$14,Dec_Change,$K287)</f>
        <v>1.02702250620139</v>
      </c>
      <c r="U287" s="1668" t="n">
        <f aca="false">U286</f>
        <v>1.005</v>
      </c>
      <c r="V287" s="1675" t="n">
        <f aca="false">IF(AND($A287&gt;=V$16,MONTH($A287)=MONTH(V$16)),MAX(T287,U287)*V286,V286)</f>
        <v>1.72801332733687</v>
      </c>
      <c r="X287" s="1667" t="n">
        <f aca="false">HLOOKUP(X$14,Dec_Change,$K287)</f>
        <v>1.02452250620139</v>
      </c>
      <c r="Y287" s="1668" t="n">
        <f aca="false">Y286</f>
        <v>1.02</v>
      </c>
      <c r="Z287" s="1675" t="n">
        <f aca="false">IF(AND($A287&gt;=Z$16,MONTH($A287)=MONTH(Z$16)),MAX(X287,Y287)*Z286,Z286)</f>
        <v>1.65495655653001</v>
      </c>
      <c r="AB287" s="1667" t="n">
        <f aca="false">HLOOKUP(AB$14,Dec_Change,$K287)</f>
        <v>1.02452250620139</v>
      </c>
      <c r="AC287" s="1668" t="n">
        <f aca="false">AC286</f>
        <v>1.02</v>
      </c>
      <c r="AD287" s="1675" t="n">
        <f aca="false">IF(AND($A287&gt;=AD$16,MONTH($A287)=MONTH(AD$16)),MAX(AB287,AC287)*AD286,AD286)</f>
        <v>1.65495655653001</v>
      </c>
      <c r="AF287" s="1667" t="n">
        <f aca="false">HLOOKUP(AF$14,Dec_Change,$K287)</f>
        <v>1.068</v>
      </c>
      <c r="AG287" s="1668" t="n">
        <f aca="false">AG286</f>
        <v>0</v>
      </c>
      <c r="AH287" s="1675" t="n">
        <f aca="false">IF(AND($A287&gt;=AH$16,MONTH($A287)=MONTH(AH$16)),MAX(AF287,AG287)*AH286,AH286)</f>
        <v>4.79846823260031</v>
      </c>
      <c r="AJ287" s="1667" t="n">
        <f aca="false">HLOOKUP(AJ$14,Dec_Change,$K287)</f>
        <v>1.02452250620139</v>
      </c>
      <c r="AK287" s="1668" t="n">
        <f aca="false">AK286</f>
        <v>1.02</v>
      </c>
      <c r="AL287" s="1675" t="n">
        <f aca="false">IF(AND($A287&gt;=AL$16,MONTH($A287)=MONTH(AL$16)),MAX(AJ287,AK287)*AL286,AL286)</f>
        <v>1.65495655653001</v>
      </c>
      <c r="AN287" s="1667" t="n">
        <f aca="false">HLOOKUP(AN$14,Dec_Change,$K287)</f>
        <v>1.02702250620139</v>
      </c>
      <c r="AO287" s="1668" t="n">
        <f aca="false">AO286</f>
        <v>1.005</v>
      </c>
      <c r="AP287" s="1675" t="n">
        <f aca="false">IF(AND($A287&gt;=AP$16,MONTH($A287)=MONTH(AP$16)),MAX(AN287,AO287)*AP286,AP286)</f>
        <v>1.72801332733687</v>
      </c>
      <c r="AR287" s="1670" t="n">
        <f aca="false">$A287</f>
        <v>43556</v>
      </c>
      <c r="AS287" s="1671" t="n">
        <f aca="false">IF(AND($A287&gt;=EDATE(AS$17,12),IF(Assm!$L$74=0,$D287,$E287)/AS286&gt;=1.05),IF(Assm!$L$74=0,$D287,$E287),AS286)</f>
        <v>3.06293873529856</v>
      </c>
      <c r="AT287" s="1671" t="n">
        <f aca="false">IF(AS287/AS286=1,AT286,AS287/AS286)</f>
        <v>1.05070731805134</v>
      </c>
      <c r="AU287" s="1671" t="n">
        <f aca="false">F287</f>
        <v>1.068</v>
      </c>
      <c r="AV287" s="1671" t="n">
        <f aca="false">MAX(AT287,AU287)</f>
        <v>1.068</v>
      </c>
      <c r="AW287" s="1675" t="n">
        <f aca="false">IF(AV287=AV286,AW286,AV287*AW286)</f>
        <v>4.49672219894756</v>
      </c>
    </row>
    <row r="288" customFormat="false" ht="12.75" hidden="false" customHeight="false" outlineLevel="0" collapsed="false">
      <c r="A288" s="1673" t="n">
        <f aca="false">EDATE(A287,1)</f>
        <v>43586</v>
      </c>
      <c r="B288" s="1659" t="n">
        <f aca="false">'[4]Monthly Curve Calc.'!B291</f>
        <v>720.416632643961</v>
      </c>
      <c r="C288" s="1660" t="n">
        <f aca="false">'[4]Monthly Curve Calc.'!C291</f>
        <v>285.076023676679</v>
      </c>
      <c r="D288" s="1661" t="n">
        <f aca="false">'[4]Monthly Curve Calc.'!F291</f>
        <v>3.13455530754531</v>
      </c>
      <c r="E288" s="1662" t="n">
        <f aca="false">IF($A288&lt;=E$16,D288,(B288/B287)/(C288/C287)*E287)</f>
        <v>3.07959870181549</v>
      </c>
      <c r="F288" s="1674" t="n">
        <f aca="false">IF(Assm!$L$75=0,F287,IF(AND($A288&gt;F$16,MONTH($A288)=MONTH(F$16)),B287/B275,F287))</f>
        <v>1.068</v>
      </c>
      <c r="G288" s="1668" t="n">
        <f aca="false">IF(Assm!$L$75=0,G287,IF(AND($A288&gt;G$16,MONTH($A288)=MONTH(G$16)),C287/C275,G287))</f>
        <v>1.02744330788382</v>
      </c>
      <c r="H288" s="1668" t="n">
        <f aca="false">IF(Assm!$L$75=0,H287,IF(AND($A288&gt;H$16,MONTH($A288)=MONTH(H$16)),C287/C275-H$18,H287))</f>
        <v>1.02494330788382</v>
      </c>
      <c r="I288" s="1668" t="n">
        <f aca="false">IF(Assm!$L$75=0,I287,IF($A288&gt;=I$16,IF(MONTH($A288)=MONTH(I$16),AVERAGE(D276:D287),I287),I287))</f>
        <v>3.08072252146163</v>
      </c>
      <c r="J288" s="1675" t="n">
        <f aca="false">IF(Assm!$L$75=0,J287,IF($A288&gt;=J$16,IF(MONTH($A288)=MONTH(J$16),AVERAGE(E276:E287),J287),J287))</f>
        <v>2.97741768741139</v>
      </c>
      <c r="K288" s="1624" t="n">
        <f aca="false">K287+1</f>
        <v>276</v>
      </c>
      <c r="L288" s="1667" t="n">
        <f aca="false">HLOOKUP(L$14,Dec_Change,$K288)</f>
        <v>1.02744330788382</v>
      </c>
      <c r="M288" s="1668" t="n">
        <f aca="false">M287</f>
        <v>0</v>
      </c>
      <c r="N288" s="1675" t="n">
        <f aca="false">IF(AND($A288&gt;=N$16,MONTH($A288)=MONTH(N$16)),MAX(L288,M288)*N287,N287)</f>
        <v>1.77543572910631</v>
      </c>
      <c r="P288" s="1667" t="n">
        <f aca="false">HLOOKUP(P$14,Dec_Change,$K288)</f>
        <v>1.068</v>
      </c>
      <c r="Q288" s="1668" t="n">
        <f aca="false">Q287</f>
        <v>0</v>
      </c>
      <c r="R288" s="1675" t="n">
        <f aca="false">IF(AND($A288&gt;=R$16,MONTH($A288)=MONTH(R$16)),MAX(P288,Q288)*R287,R287)</f>
        <v>5.12476407241713</v>
      </c>
      <c r="T288" s="1667" t="n">
        <f aca="false">HLOOKUP(T$14,Dec_Change,$K288)</f>
        <v>1.02744330788382</v>
      </c>
      <c r="U288" s="1668" t="n">
        <f aca="false">U287</f>
        <v>1.005</v>
      </c>
      <c r="V288" s="1675" t="n">
        <f aca="false">IF(AND($A288&gt;=V$16,MONTH($A288)=MONTH(V$16)),MAX(T288,U288)*V287,V287)</f>
        <v>1.77543572910631</v>
      </c>
      <c r="X288" s="1667" t="n">
        <f aca="false">HLOOKUP(X$14,Dec_Change,$K288)</f>
        <v>1.02494330788382</v>
      </c>
      <c r="Y288" s="1668" t="n">
        <f aca="false">Y287</f>
        <v>1.02</v>
      </c>
      <c r="Z288" s="1675" t="n">
        <f aca="false">IF(AND($A288&gt;=Z$16,MONTH($A288)=MONTH(Z$16)),MAX(X288,Y288)*Z287,Z287)</f>
        <v>1.69623664745388</v>
      </c>
      <c r="AB288" s="1667" t="n">
        <f aca="false">HLOOKUP(AB$14,Dec_Change,$K288)</f>
        <v>1.02494330788382</v>
      </c>
      <c r="AC288" s="1668" t="n">
        <f aca="false">AC287</f>
        <v>1.02</v>
      </c>
      <c r="AD288" s="1675" t="n">
        <f aca="false">IF(AND($A288&gt;=AD$16,MONTH($A288)=MONTH(AD$16)),MAX(AB288,AC288)*AD287,AD287)</f>
        <v>1.69623664745388</v>
      </c>
      <c r="AF288" s="1667" t="n">
        <f aca="false">HLOOKUP(AF$14,Dec_Change,$K288)</f>
        <v>1.068</v>
      </c>
      <c r="AG288" s="1668" t="n">
        <f aca="false">AG287</f>
        <v>0</v>
      </c>
      <c r="AH288" s="1675" t="n">
        <f aca="false">IF(AND($A288&gt;=AH$16,MONTH($A288)=MONTH(AH$16)),MAX(AF288,AG288)*AH287,AH287)</f>
        <v>5.12476407241713</v>
      </c>
      <c r="AJ288" s="1667" t="n">
        <f aca="false">HLOOKUP(AJ$14,Dec_Change,$K288)</f>
        <v>1.02494330788382</v>
      </c>
      <c r="AK288" s="1668" t="n">
        <f aca="false">AK287</f>
        <v>1.02</v>
      </c>
      <c r="AL288" s="1675" t="n">
        <f aca="false">IF(AND($A288&gt;=AL$16,MONTH($A288)=MONTH(AL$16)),MAX(AJ288,AK288)*AL287,AL287)</f>
        <v>1.69623664745388</v>
      </c>
      <c r="AN288" s="1667" t="n">
        <f aca="false">HLOOKUP(AN$14,Dec_Change,$K288)</f>
        <v>1.02744330788382</v>
      </c>
      <c r="AO288" s="1668" t="n">
        <f aca="false">AO287</f>
        <v>1.005</v>
      </c>
      <c r="AP288" s="1675" t="n">
        <f aca="false">IF(AND($A288&gt;=AP$16,MONTH($A288)=MONTH(AP$16)),MAX(AN288,AO288)*AP287,AP287)</f>
        <v>1.77543572910631</v>
      </c>
      <c r="AR288" s="1670" t="n">
        <f aca="false">$A288</f>
        <v>43586</v>
      </c>
      <c r="AS288" s="1671" t="n">
        <f aca="false">IF(AND($A288&gt;=EDATE(AS$17,12),IF(Assm!$L$74=0,$D288,$E288)/AS287&gt;=1.05),IF(Assm!$L$74=0,$D288,$E288),AS287)</f>
        <v>3.06293873529856</v>
      </c>
      <c r="AT288" s="1671" t="n">
        <f aca="false">IF(AS288/AS287=1,AT287,AS288/AS287)</f>
        <v>1.05070731805134</v>
      </c>
      <c r="AU288" s="1671" t="n">
        <f aca="false">F288</f>
        <v>1.068</v>
      </c>
      <c r="AV288" s="1671" t="n">
        <f aca="false">MAX(AT288,AU288)</f>
        <v>1.068</v>
      </c>
      <c r="AW288" s="1675" t="n">
        <f aca="false">IF(AV288=AV287,AW287,AV288*AW287)</f>
        <v>4.49672219894756</v>
      </c>
    </row>
    <row r="289" customFormat="false" ht="13.5" hidden="false" customHeight="false" outlineLevel="0" collapsed="false">
      <c r="A289" s="1676"/>
      <c r="B289" s="1677"/>
      <c r="C289" s="1678"/>
      <c r="D289" s="1678"/>
      <c r="E289" s="1678"/>
      <c r="F289" s="1677"/>
      <c r="G289" s="1678"/>
      <c r="H289" s="1678"/>
      <c r="I289" s="1678"/>
      <c r="J289" s="1679"/>
      <c r="L289" s="1680"/>
      <c r="M289" s="1678"/>
      <c r="N289" s="1679"/>
      <c r="P289" s="1680"/>
      <c r="Q289" s="1678"/>
      <c r="R289" s="1679"/>
      <c r="T289" s="1680"/>
      <c r="U289" s="1678"/>
      <c r="V289" s="1679"/>
      <c r="X289" s="1680"/>
      <c r="Y289" s="1678"/>
      <c r="Z289" s="1679"/>
      <c r="AB289" s="1680"/>
      <c r="AC289" s="1678"/>
      <c r="AD289" s="1679"/>
      <c r="AF289" s="1680"/>
      <c r="AG289" s="1678"/>
      <c r="AH289" s="1679"/>
      <c r="AJ289" s="1680"/>
      <c r="AK289" s="1678"/>
      <c r="AL289" s="1679"/>
      <c r="AN289" s="1680"/>
      <c r="AO289" s="1678"/>
      <c r="AP289" s="1679"/>
      <c r="AR289" s="1680"/>
      <c r="AS289" s="1678"/>
      <c r="AT289" s="1678"/>
      <c r="AU289" s="1678"/>
      <c r="AV289" s="1678"/>
      <c r="AW289" s="1679"/>
    </row>
    <row r="291" customFormat="false" ht="12.75" hidden="false" customHeight="false" outlineLevel="0" collapsed="false">
      <c r="A291" s="1681" t="n">
        <v>1</v>
      </c>
      <c r="B291" s="1681" t="n">
        <f aca="false">A291+1</f>
        <v>2</v>
      </c>
      <c r="C291" s="1681" t="n">
        <f aca="false">B291+1</f>
        <v>3</v>
      </c>
      <c r="D291" s="1681" t="n">
        <f aca="false">C291+1</f>
        <v>4</v>
      </c>
      <c r="E291" s="1681" t="n">
        <f aca="false">D291+1</f>
        <v>5</v>
      </c>
      <c r="F291" s="1681" t="n">
        <f aca="false">E291+1</f>
        <v>6</v>
      </c>
      <c r="G291" s="1681" t="n">
        <f aca="false">F291+1</f>
        <v>7</v>
      </c>
      <c r="H291" s="1681" t="n">
        <f aca="false">G291+1</f>
        <v>8</v>
      </c>
      <c r="I291" s="1681" t="n">
        <f aca="false">H291+1</f>
        <v>9</v>
      </c>
      <c r="J291" s="1681" t="n">
        <f aca="false">I291+1</f>
        <v>10</v>
      </c>
      <c r="K291" s="1681" t="n">
        <f aca="false">J291+1</f>
        <v>11</v>
      </c>
      <c r="L291" s="1681" t="n">
        <f aca="false">K291+1</f>
        <v>12</v>
      </c>
      <c r="M291" s="1681" t="n">
        <f aca="false">L291+1</f>
        <v>13</v>
      </c>
      <c r="N291" s="1681" t="n">
        <f aca="false">M291+1</f>
        <v>14</v>
      </c>
      <c r="O291" s="1681" t="n">
        <f aca="false">N291+1</f>
        <v>15</v>
      </c>
      <c r="P291" s="1681" t="n">
        <f aca="false">O291+1</f>
        <v>16</v>
      </c>
      <c r="Q291" s="1681" t="n">
        <f aca="false">P291+1</f>
        <v>17</v>
      </c>
      <c r="R291" s="1681" t="n">
        <f aca="false">Q291+1</f>
        <v>18</v>
      </c>
      <c r="S291" s="1681" t="n">
        <f aca="false">R291+1</f>
        <v>19</v>
      </c>
      <c r="T291" s="1681" t="n">
        <f aca="false">S291+1</f>
        <v>20</v>
      </c>
      <c r="U291" s="1681" t="n">
        <f aca="false">T291+1</f>
        <v>21</v>
      </c>
      <c r="V291" s="1681" t="n">
        <f aca="false">U291+1</f>
        <v>22</v>
      </c>
      <c r="W291" s="1681" t="n">
        <f aca="false">V291+1</f>
        <v>23</v>
      </c>
      <c r="X291" s="1681" t="n">
        <f aca="false">W291+1</f>
        <v>24</v>
      </c>
      <c r="Y291" s="1681" t="n">
        <f aca="false">X291+1</f>
        <v>25</v>
      </c>
      <c r="Z291" s="1681" t="n">
        <f aca="false">Y291+1</f>
        <v>26</v>
      </c>
      <c r="AA291" s="1681" t="n">
        <f aca="false">Z291+1</f>
        <v>27</v>
      </c>
      <c r="AB291" s="1681" t="n">
        <f aca="false">AA291+1</f>
        <v>28</v>
      </c>
      <c r="AC291" s="1681" t="n">
        <f aca="false">AB291+1</f>
        <v>29</v>
      </c>
      <c r="AD291" s="1681" t="n">
        <f aca="false">AC291+1</f>
        <v>30</v>
      </c>
      <c r="AE291" s="1681" t="n">
        <f aca="false">AD291+1</f>
        <v>31</v>
      </c>
      <c r="AF291" s="1681" t="n">
        <f aca="false">AE291+1</f>
        <v>32</v>
      </c>
      <c r="AG291" s="1681" t="n">
        <f aca="false">AF291+1</f>
        <v>33</v>
      </c>
      <c r="AH291" s="1681" t="n">
        <f aca="false">AG291+1</f>
        <v>34</v>
      </c>
      <c r="AI291" s="1681" t="n">
        <f aca="false">AH291+1</f>
        <v>35</v>
      </c>
      <c r="AJ291" s="1681" t="n">
        <f aca="false">AI291+1</f>
        <v>36</v>
      </c>
      <c r="AK291" s="1681" t="n">
        <f aca="false">AJ291+1</f>
        <v>37</v>
      </c>
      <c r="AL291" s="1681" t="n">
        <f aca="false">AK291+1</f>
        <v>38</v>
      </c>
      <c r="AM291" s="1681" t="n">
        <f aca="false">AL291+1</f>
        <v>39</v>
      </c>
      <c r="AN291" s="1681" t="n">
        <f aca="false">AM291+1</f>
        <v>40</v>
      </c>
      <c r="AO291" s="1681" t="n">
        <f aca="false">AN291+1</f>
        <v>41</v>
      </c>
      <c r="AP291" s="1681" t="n">
        <f aca="false">AO291+1</f>
        <v>42</v>
      </c>
      <c r="AQ291" s="1681" t="n">
        <f aca="false">AP291+1</f>
        <v>43</v>
      </c>
      <c r="AR291" s="1681" t="n">
        <f aca="false">AQ291+1</f>
        <v>44</v>
      </c>
      <c r="AS291" s="1681" t="n">
        <f aca="false">AR291+1</f>
        <v>45</v>
      </c>
      <c r="AT291" s="1681" t="n">
        <f aca="false">AS291+1</f>
        <v>46</v>
      </c>
      <c r="AU291" s="1681" t="n">
        <f aca="false">AT291+1</f>
        <v>47</v>
      </c>
      <c r="AV291" s="1681" t="n">
        <f aca="false">AU291+1</f>
        <v>48</v>
      </c>
      <c r="AW291" s="1681" t="n">
        <f aca="false">AV291+1</f>
        <v>49</v>
      </c>
    </row>
  </sheetData>
  <mergeCells count="10">
    <mergeCell ref="L12:N12"/>
    <mergeCell ref="P12:R12"/>
    <mergeCell ref="T12:V12"/>
    <mergeCell ref="X12:Z12"/>
    <mergeCell ref="AB12:AD12"/>
    <mergeCell ref="AF12:AH12"/>
    <mergeCell ref="AJ12:AL12"/>
    <mergeCell ref="AN12:AP12"/>
    <mergeCell ref="F14:J14"/>
    <mergeCell ref="AR14:AW14"/>
  </mergeCells>
  <printOptions headings="false" gridLines="false" gridLinesSet="true" horizontalCentered="true" verticalCentered="false"/>
  <pageMargins left="0.25" right="0.25" top="0.5" bottom="0.5" header="0.511811023622047" footer="0.511811023622047"/>
  <pageSetup paperSize="1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W81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N11" activeCellId="0" sqref="N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.7"/>
    <col collapsed="false" customWidth="true" hidden="false" outlineLevel="0" max="3" min="2" style="0" width="12.7"/>
    <col collapsed="false" customWidth="true" hidden="false" outlineLevel="0" max="4" min="4" style="0" width="1.7"/>
    <col collapsed="false" customWidth="true" hidden="false" outlineLevel="0" max="9" min="5" style="0" width="12.7"/>
    <col collapsed="false" customWidth="true" hidden="false" outlineLevel="0" max="10" min="10" style="0" width="1.7"/>
    <col collapsed="false" customWidth="true" hidden="false" outlineLevel="0" max="12" min="11" style="0" width="12.7"/>
    <col collapsed="false" customWidth="true" hidden="false" outlineLevel="0" max="13" min="13" style="0" width="1.7"/>
    <col collapsed="false" customWidth="true" hidden="false" outlineLevel="0" max="16" min="14" style="0" width="12.7"/>
    <col collapsed="false" customWidth="true" hidden="false" outlineLevel="0" max="17" min="17" style="0" width="1.7"/>
    <col collapsed="false" customWidth="true" hidden="false" outlineLevel="0" max="24" min="18" style="0" width="12.7"/>
    <col collapsed="false" customWidth="true" hidden="false" outlineLevel="0" max="25" min="25" style="0" width="1.7"/>
    <col collapsed="false" customWidth="true" hidden="false" outlineLevel="0" max="26" min="26" style="1682" width="12.7"/>
    <col collapsed="false" customWidth="true" hidden="false" outlineLevel="0" max="38" min="27" style="0" width="12.7"/>
    <col collapsed="false" customWidth="true" hidden="false" outlineLevel="0" max="39" min="39" style="0" width="1.7"/>
    <col collapsed="false" customWidth="true" hidden="false" outlineLevel="0" max="44" min="40" style="0" width="12.7"/>
    <col collapsed="false" customWidth="true" hidden="false" outlineLevel="0" max="45" min="45" style="0" width="1.7"/>
    <col collapsed="false" customWidth="true" hidden="false" outlineLevel="0" max="47" min="46" style="0" width="12.7"/>
    <col collapsed="false" customWidth="true" hidden="false" outlineLevel="0" max="48" min="48" style="0" width="1.7"/>
    <col collapsed="false" customWidth="true" hidden="false" outlineLevel="0" max="51" min="49" style="0" width="12.7"/>
    <col collapsed="false" customWidth="true" hidden="false" outlineLevel="0" max="52" min="52" style="0" width="1.7"/>
    <col collapsed="false" customWidth="true" hidden="false" outlineLevel="0" max="59" min="53" style="0" width="12.7"/>
    <col collapsed="false" customWidth="true" hidden="false" outlineLevel="0" max="60" min="60" style="0" width="1.7"/>
    <col collapsed="false" customWidth="true" hidden="false" outlineLevel="0" max="61" min="61" style="1682" width="12.7"/>
    <col collapsed="false" customWidth="true" hidden="false" outlineLevel="0" max="63" min="62" style="0" width="12.7"/>
    <col collapsed="false" customWidth="true" hidden="false" outlineLevel="0" max="64" min="64" style="0" width="1.7"/>
    <col collapsed="false" customWidth="true" hidden="false" outlineLevel="0" max="68" min="65" style="0" width="12.7"/>
    <col collapsed="false" customWidth="true" hidden="false" outlineLevel="0" max="71" min="70" style="0" width="12.7"/>
    <col collapsed="false" customWidth="true" hidden="false" outlineLevel="0" max="72" min="72" style="0" width="1.7"/>
    <col collapsed="false" customWidth="true" hidden="false" outlineLevel="0" max="77" min="73" style="0" width="12.7"/>
    <col collapsed="false" customWidth="true" hidden="false" outlineLevel="0" max="78" min="78" style="0" width="1.7"/>
    <col collapsed="false" customWidth="true" hidden="false" outlineLevel="0" max="80" min="79" style="0" width="12.7"/>
    <col collapsed="false" customWidth="true" hidden="false" outlineLevel="0" max="81" min="81" style="0" width="1.7"/>
    <col collapsed="false" customWidth="true" hidden="false" outlineLevel="0" max="84" min="82" style="0" width="12.7"/>
    <col collapsed="false" customWidth="true" hidden="false" outlineLevel="0" max="85" min="85" style="0" width="1.7"/>
    <col collapsed="false" customWidth="true" hidden="false" outlineLevel="0" max="92" min="86" style="0" width="12.7"/>
    <col collapsed="false" customWidth="true" hidden="false" outlineLevel="0" max="93" min="93" style="0" width="1.7"/>
    <col collapsed="false" customWidth="true" hidden="false" outlineLevel="0" max="94" min="94" style="1682" width="12.7"/>
    <col collapsed="false" customWidth="true" hidden="false" outlineLevel="0" max="96" min="95" style="0" width="12.7"/>
    <col collapsed="false" customWidth="true" hidden="false" outlineLevel="0" max="97" min="97" style="0" width="1.7"/>
    <col collapsed="false" customWidth="true" hidden="false" outlineLevel="0" max="101" min="98" style="0" width="12.7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</row>
    <row r="2" customFormat="false" ht="15.75" hidden="false" customHeight="false" outlineLevel="0" collapsed="false">
      <c r="A2" s="18" t="str">
        <f aca="false">TOC!B3</f>
        <v>480 MW POWER PLANT (CUIABA, BRAZIL)</v>
      </c>
    </row>
    <row r="3" customFormat="false" ht="15" hidden="false" customHeight="false" outlineLevel="0" collapsed="false">
      <c r="A3" s="19" t="str">
        <f aca="false">TOC!B4</f>
        <v>ENRON INTERNATIONAL</v>
      </c>
    </row>
    <row r="4" customFormat="false" ht="15" hidden="false" customHeight="false" outlineLevel="0" collapsed="false">
      <c r="A4" s="21" t="s">
        <v>1907</v>
      </c>
      <c r="B4" s="358"/>
      <c r="C4" s="358"/>
      <c r="D4" s="358"/>
      <c r="E4" s="358"/>
    </row>
    <row r="5" customFormat="false" ht="12.75" hidden="false" customHeight="false" outlineLevel="0" collapsed="false">
      <c r="AA5" s="1683" t="s">
        <v>1835</v>
      </c>
      <c r="AB5" s="1683" t="s">
        <v>1218</v>
      </c>
      <c r="BJ5" s="1683" t="s">
        <v>1835</v>
      </c>
      <c r="BK5" s="1683" t="s">
        <v>1218</v>
      </c>
      <c r="CQ5" s="1683" t="s">
        <v>1835</v>
      </c>
      <c r="CR5" s="1683" t="s">
        <v>1218</v>
      </c>
    </row>
    <row r="6" customFormat="false" ht="13.5" hidden="false" customHeight="false" outlineLevel="0" collapsed="false">
      <c r="B6" s="330" t="s">
        <v>1908</v>
      </c>
      <c r="K6" s="1684" t="n">
        <v>1.3</v>
      </c>
      <c r="AA6" s="1685" t="n">
        <f aca="false">Exch</f>
        <v>1.065</v>
      </c>
      <c r="AB6" s="1686" t="n">
        <f aca="false">(Pis+Cofins)/(1-(Pis+Cofins))</f>
        <v>0.0272213662044171</v>
      </c>
      <c r="AK6" s="330" t="s">
        <v>1909</v>
      </c>
      <c r="AT6" s="1687" t="n">
        <f aca="false">$K6</f>
        <v>1.3</v>
      </c>
      <c r="BJ6" s="1685" t="n">
        <f aca="false">Exch</f>
        <v>1.065</v>
      </c>
      <c r="BK6" s="1686" t="n">
        <f aca="false">(Pis+Cofins)/(1-(Pis+Cofins))</f>
        <v>0.0272213662044171</v>
      </c>
      <c r="BR6" s="330" t="s">
        <v>1910</v>
      </c>
      <c r="CA6" s="1687" t="n">
        <f aca="false">$K6</f>
        <v>1.3</v>
      </c>
      <c r="CQ6" s="1685" t="n">
        <f aca="false">Exch</f>
        <v>1.065</v>
      </c>
      <c r="CR6" s="1686" t="n">
        <f aca="false">(Pis+Cofins)/(1-(Pis+Cofins))</f>
        <v>0.0272213662044171</v>
      </c>
    </row>
    <row r="7" customFormat="false" ht="12.75" hidden="false" customHeight="false" outlineLevel="0" collapsed="false">
      <c r="B7" s="1688" t="s">
        <v>713</v>
      </c>
      <c r="C7" s="855" t="s">
        <v>1911</v>
      </c>
      <c r="E7" s="1689" t="s">
        <v>1912</v>
      </c>
      <c r="F7" s="1689"/>
      <c r="G7" s="1690" t="s">
        <v>1913</v>
      </c>
      <c r="H7" s="1690"/>
      <c r="I7" s="1691" t="s">
        <v>1914</v>
      </c>
      <c r="K7" s="1692" t="s">
        <v>1915</v>
      </c>
      <c r="L7" s="1693" t="s">
        <v>1916</v>
      </c>
      <c r="N7" s="1689" t="s">
        <v>1917</v>
      </c>
      <c r="O7" s="1689"/>
      <c r="P7" s="1691" t="s">
        <v>1914</v>
      </c>
      <c r="R7" s="1692" t="s">
        <v>1918</v>
      </c>
      <c r="S7" s="29" t="s">
        <v>1918</v>
      </c>
      <c r="T7" s="29" t="s">
        <v>1919</v>
      </c>
      <c r="U7" s="29" t="s">
        <v>1920</v>
      </c>
      <c r="V7" s="29" t="s">
        <v>1921</v>
      </c>
      <c r="W7" s="29" t="s">
        <v>1922</v>
      </c>
      <c r="X7" s="1693" t="s">
        <v>1914</v>
      </c>
      <c r="Z7" s="1692" t="s">
        <v>1914</v>
      </c>
      <c r="AA7" s="29" t="s">
        <v>1923</v>
      </c>
      <c r="AB7" s="29" t="s">
        <v>1924</v>
      </c>
      <c r="AC7" s="1694" t="s">
        <v>1925</v>
      </c>
      <c r="AD7" s="1695" t="s">
        <v>66</v>
      </c>
      <c r="AE7" s="29" t="s">
        <v>1914</v>
      </c>
      <c r="AF7" s="854" t="s">
        <v>64</v>
      </c>
      <c r="AG7" s="1693" t="s">
        <v>1926</v>
      </c>
      <c r="AK7" s="1688" t="s">
        <v>713</v>
      </c>
      <c r="AL7" s="855" t="s">
        <v>1911</v>
      </c>
      <c r="AN7" s="1689" t="s">
        <v>1912</v>
      </c>
      <c r="AO7" s="1689"/>
      <c r="AP7" s="1690" t="s">
        <v>1913</v>
      </c>
      <c r="AQ7" s="1690"/>
      <c r="AR7" s="1691" t="s">
        <v>1914</v>
      </c>
      <c r="AT7" s="1692" t="s">
        <v>1915</v>
      </c>
      <c r="AU7" s="1693" t="s">
        <v>1916</v>
      </c>
      <c r="AW7" s="1689" t="s">
        <v>1917</v>
      </c>
      <c r="AX7" s="1689"/>
      <c r="AY7" s="1691" t="s">
        <v>1914</v>
      </c>
      <c r="BA7" s="1692" t="s">
        <v>1918</v>
      </c>
      <c r="BB7" s="29" t="s">
        <v>1918</v>
      </c>
      <c r="BC7" s="29" t="s">
        <v>1919</v>
      </c>
      <c r="BD7" s="29" t="s">
        <v>1920</v>
      </c>
      <c r="BE7" s="29" t="s">
        <v>1921</v>
      </c>
      <c r="BF7" s="29" t="s">
        <v>1922</v>
      </c>
      <c r="BG7" s="1693" t="s">
        <v>1914</v>
      </c>
      <c r="BI7" s="1692" t="s">
        <v>1914</v>
      </c>
      <c r="BJ7" s="29" t="s">
        <v>1923</v>
      </c>
      <c r="BK7" s="1693" t="s">
        <v>1924</v>
      </c>
      <c r="BM7" s="1696" t="s">
        <v>1914</v>
      </c>
      <c r="BN7" s="1695" t="s">
        <v>713</v>
      </c>
      <c r="BO7" s="1690" t="s">
        <v>64</v>
      </c>
      <c r="BP7" s="1693" t="s">
        <v>1926</v>
      </c>
      <c r="BR7" s="1688" t="s">
        <v>713</v>
      </c>
      <c r="BS7" s="855" t="s">
        <v>1911</v>
      </c>
      <c r="BU7" s="1689" t="s">
        <v>1912</v>
      </c>
      <c r="BV7" s="1689"/>
      <c r="BW7" s="1690" t="s">
        <v>1913</v>
      </c>
      <c r="BX7" s="1690"/>
      <c r="BY7" s="1691" t="s">
        <v>1914</v>
      </c>
      <c r="CA7" s="1692" t="s">
        <v>1915</v>
      </c>
      <c r="CB7" s="1693" t="s">
        <v>1916</v>
      </c>
      <c r="CD7" s="1689" t="s">
        <v>1917</v>
      </c>
      <c r="CE7" s="1689"/>
      <c r="CF7" s="1691" t="s">
        <v>1914</v>
      </c>
      <c r="CH7" s="1692" t="s">
        <v>1918</v>
      </c>
      <c r="CI7" s="29" t="s">
        <v>1918</v>
      </c>
      <c r="CJ7" s="29" t="s">
        <v>1919</v>
      </c>
      <c r="CK7" s="29" t="s">
        <v>1920</v>
      </c>
      <c r="CL7" s="29" t="s">
        <v>1921</v>
      </c>
      <c r="CM7" s="1697" t="s">
        <v>1922</v>
      </c>
      <c r="CN7" s="1691" t="s">
        <v>1914</v>
      </c>
      <c r="CP7" s="1692" t="s">
        <v>1914</v>
      </c>
      <c r="CQ7" s="29" t="s">
        <v>1923</v>
      </c>
      <c r="CR7" s="1693" t="s">
        <v>1924</v>
      </c>
      <c r="CT7" s="1696" t="s">
        <v>1914</v>
      </c>
      <c r="CU7" s="1695" t="s">
        <v>713</v>
      </c>
      <c r="CV7" s="1690" t="s">
        <v>64</v>
      </c>
      <c r="CW7" s="1693" t="s">
        <v>1926</v>
      </c>
    </row>
    <row r="8" customFormat="false" ht="12.75" hidden="false" customHeight="false" outlineLevel="0" collapsed="false">
      <c r="B8" s="470" t="s">
        <v>727</v>
      </c>
      <c r="C8" s="233" t="s">
        <v>727</v>
      </c>
      <c r="E8" s="1121" t="s">
        <v>348</v>
      </c>
      <c r="F8" s="1698" t="s">
        <v>1386</v>
      </c>
      <c r="G8" s="1699" t="s">
        <v>348</v>
      </c>
      <c r="H8" s="1698" t="s">
        <v>1386</v>
      </c>
      <c r="I8" s="46" t="s">
        <v>1927</v>
      </c>
      <c r="K8" s="1121" t="s">
        <v>1927</v>
      </c>
      <c r="L8" s="133" t="s">
        <v>1927</v>
      </c>
      <c r="N8" s="1121" t="s">
        <v>348</v>
      </c>
      <c r="O8" s="1698" t="s">
        <v>1386</v>
      </c>
      <c r="P8" s="46" t="s">
        <v>1917</v>
      </c>
      <c r="R8" s="1121" t="s">
        <v>1928</v>
      </c>
      <c r="S8" s="45" t="s">
        <v>1929</v>
      </c>
      <c r="T8" s="45" t="s">
        <v>1322</v>
      </c>
      <c r="U8" s="45" t="s">
        <v>1930</v>
      </c>
      <c r="V8" s="45" t="s">
        <v>1930</v>
      </c>
      <c r="W8" s="1700" t="n">
        <f aca="false">Rev_Exp!$B$86</f>
        <v>0.176470588235294</v>
      </c>
      <c r="X8" s="133" t="s">
        <v>733</v>
      </c>
      <c r="Z8" s="1121" t="s">
        <v>1797</v>
      </c>
      <c r="AA8" s="45" t="s">
        <v>1931</v>
      </c>
      <c r="AB8" s="45" t="s">
        <v>1932</v>
      </c>
      <c r="AC8" s="1701" t="s">
        <v>1644</v>
      </c>
      <c r="AD8" s="1702" t="s">
        <v>1644</v>
      </c>
      <c r="AE8" s="45" t="s">
        <v>1933</v>
      </c>
      <c r="AF8" s="44" t="s">
        <v>63</v>
      </c>
      <c r="AG8" s="133" t="s">
        <v>1840</v>
      </c>
      <c r="AK8" s="470" t="s">
        <v>727</v>
      </c>
      <c r="AL8" s="233" t="s">
        <v>727</v>
      </c>
      <c r="AN8" s="1121" t="s">
        <v>348</v>
      </c>
      <c r="AO8" s="1698" t="s">
        <v>1386</v>
      </c>
      <c r="AP8" s="1699" t="s">
        <v>348</v>
      </c>
      <c r="AQ8" s="1698" t="s">
        <v>1386</v>
      </c>
      <c r="AR8" s="46" t="s">
        <v>1927</v>
      </c>
      <c r="AT8" s="1121" t="s">
        <v>1927</v>
      </c>
      <c r="AU8" s="133" t="s">
        <v>1927</v>
      </c>
      <c r="AW8" s="1121" t="s">
        <v>348</v>
      </c>
      <c r="AX8" s="1698" t="s">
        <v>1386</v>
      </c>
      <c r="AY8" s="46" t="s">
        <v>1917</v>
      </c>
      <c r="BA8" s="1121" t="s">
        <v>1928</v>
      </c>
      <c r="BB8" s="45" t="s">
        <v>1929</v>
      </c>
      <c r="BC8" s="45" t="s">
        <v>1322</v>
      </c>
      <c r="BD8" s="45" t="s">
        <v>1930</v>
      </c>
      <c r="BE8" s="45" t="s">
        <v>1930</v>
      </c>
      <c r="BF8" s="1700" t="n">
        <f aca="false">Rev_Exp!$B$86</f>
        <v>0.176470588235294</v>
      </c>
      <c r="BG8" s="133" t="s">
        <v>733</v>
      </c>
      <c r="BI8" s="1121" t="s">
        <v>1797</v>
      </c>
      <c r="BJ8" s="45" t="s">
        <v>1931</v>
      </c>
      <c r="BK8" s="133" t="s">
        <v>1932</v>
      </c>
      <c r="BM8" s="1703" t="s">
        <v>1934</v>
      </c>
      <c r="BN8" s="1702" t="s">
        <v>1644</v>
      </c>
      <c r="BO8" s="1704" t="s">
        <v>63</v>
      </c>
      <c r="BP8" s="133" t="s">
        <v>1840</v>
      </c>
      <c r="BR8" s="470" t="s">
        <v>727</v>
      </c>
      <c r="BS8" s="233" t="s">
        <v>727</v>
      </c>
      <c r="BU8" s="1121" t="s">
        <v>348</v>
      </c>
      <c r="BV8" s="1698" t="s">
        <v>1386</v>
      </c>
      <c r="BW8" s="1699" t="s">
        <v>348</v>
      </c>
      <c r="BX8" s="1698" t="s">
        <v>1386</v>
      </c>
      <c r="BY8" s="46" t="s">
        <v>1927</v>
      </c>
      <c r="CA8" s="1121" t="s">
        <v>1927</v>
      </c>
      <c r="CB8" s="133" t="s">
        <v>1927</v>
      </c>
      <c r="CD8" s="1121" t="s">
        <v>348</v>
      </c>
      <c r="CE8" s="1698" t="s">
        <v>1386</v>
      </c>
      <c r="CF8" s="46" t="s">
        <v>1917</v>
      </c>
      <c r="CH8" s="1121" t="s">
        <v>1928</v>
      </c>
      <c r="CI8" s="45" t="s">
        <v>1929</v>
      </c>
      <c r="CJ8" s="45" t="s">
        <v>1322</v>
      </c>
      <c r="CK8" s="45" t="s">
        <v>1930</v>
      </c>
      <c r="CL8" s="45" t="s">
        <v>1930</v>
      </c>
      <c r="CM8" s="1705" t="n">
        <f aca="false">Rev_Exp!$B$86</f>
        <v>0.176470588235294</v>
      </c>
      <c r="CN8" s="46" t="s">
        <v>733</v>
      </c>
      <c r="CP8" s="1121" t="s">
        <v>1797</v>
      </c>
      <c r="CQ8" s="45" t="s">
        <v>1931</v>
      </c>
      <c r="CR8" s="133" t="s">
        <v>1932</v>
      </c>
      <c r="CT8" s="1703" t="s">
        <v>1934</v>
      </c>
      <c r="CU8" s="1702" t="s">
        <v>1644</v>
      </c>
      <c r="CV8" s="1704" t="s">
        <v>63</v>
      </c>
      <c r="CW8" s="133" t="s">
        <v>1840</v>
      </c>
    </row>
    <row r="9" customFormat="false" ht="12.75" hidden="false" customHeight="false" outlineLevel="0" collapsed="false">
      <c r="B9" s="660" t="n">
        <v>1</v>
      </c>
      <c r="C9" s="1706" t="n">
        <f aca="false">YEAR(Startops1)</f>
        <v>1999</v>
      </c>
      <c r="E9" s="1707" t="n">
        <f aca="false">VLOOKUP($C9,Sr_Debt_Table,O$78)</f>
        <v>0</v>
      </c>
      <c r="F9" s="1708" t="n">
        <f aca="false">VLOOKUP($C9,Sr_Debt_Table,P$78)</f>
        <v>0</v>
      </c>
      <c r="G9" s="1709" t="n">
        <f aca="false">VLOOKUP($C9,Sr_Debt_Table,R$78)</f>
        <v>0</v>
      </c>
      <c r="H9" s="1708" t="n">
        <f aca="false">VLOOKUP($C9,Sr_Debt_Table,S$78)</f>
        <v>0</v>
      </c>
      <c r="I9" s="1710" t="n">
        <f aca="false">SUM(E9:H9)</f>
        <v>0</v>
      </c>
      <c r="K9" s="1707" t="n">
        <f aca="false">(K$6-1)*I9</f>
        <v>0</v>
      </c>
      <c r="L9" s="1711" t="n">
        <f aca="false">-HLOOKUP($C9,CF_Table,CF!$AB$34)</f>
        <v>0</v>
      </c>
      <c r="N9" s="1707" t="n">
        <f aca="false">VLOOKUP($C9,Sub_Debt_Table,X$78)</f>
        <v>0</v>
      </c>
      <c r="O9" s="1708" t="n">
        <f aca="false">VLOOKUP($C9,Sub_Debt_Table,Z$78)</f>
        <v>0</v>
      </c>
      <c r="P9" s="1710" t="n">
        <f aca="false">SUM(N9:O9)</f>
        <v>0</v>
      </c>
      <c r="R9" s="1707" t="n">
        <f aca="false">VLOOKUP($C9,OM_Table_US,AD$78)</f>
        <v>337.5</v>
      </c>
      <c r="S9" s="1712" t="n">
        <f aca="false">VLOOKUP($C9,OM_Table_US,AE$78)</f>
        <v>56.25</v>
      </c>
      <c r="T9" s="1712" t="n">
        <f aca="false">VLOOKUP($C9,OM_Table_US,AF$78)</f>
        <v>0</v>
      </c>
      <c r="U9" s="1712" t="n">
        <f aca="false">VLOOKUP($C9,OM_Table_US,AG$78)</f>
        <v>64.434375</v>
      </c>
      <c r="V9" s="1712" t="n">
        <f aca="false">VLOOKUP($C9,OM_Table_US,AH$78)</f>
        <v>5085.76391052632</v>
      </c>
      <c r="W9" s="1712" t="n">
        <f aca="false">VLOOKUP($C9,OM_Table_US,AI$78)</f>
        <v>59.5588235294118</v>
      </c>
      <c r="X9" s="1711" t="n">
        <f aca="false">SUM(R9:W9)</f>
        <v>5603.50710905573</v>
      </c>
      <c r="Z9" s="1707" t="n">
        <f aca="false">SUM(I9,K9,L9,P9,X9)</f>
        <v>5603.50710905573</v>
      </c>
      <c r="AA9" s="109" t="n">
        <f aca="false">Z9*AA$6</f>
        <v>5967.73507114435</v>
      </c>
      <c r="AB9" s="109" t="n">
        <f aca="false">AA9*(1+AB$6)</f>
        <v>6130.18497292691</v>
      </c>
      <c r="AC9" s="1713" t="n">
        <f aca="false">HLOOKUP($C9,CF_Table,CF!$AB$9)</f>
        <v>9</v>
      </c>
      <c r="AD9" s="1714" t="n">
        <f aca="false">HLOOKUP($C9,CF_Table,CF!$AB$12)</f>
        <v>9</v>
      </c>
      <c r="AE9" s="109" t="n">
        <f aca="false">AB9*AC9/AD9</f>
        <v>6130.18497292691</v>
      </c>
      <c r="AF9" s="170" t="n">
        <v>150</v>
      </c>
      <c r="AG9" s="1715" t="n">
        <f aca="false">AE9/AF9/AC9*1000</f>
        <v>4540.87775772364</v>
      </c>
      <c r="AK9" s="1716" t="n">
        <f aca="false">$B9</f>
        <v>1</v>
      </c>
      <c r="AL9" s="187" t="n">
        <f aca="false">$C9</f>
        <v>1999</v>
      </c>
      <c r="AN9" s="1707" t="n">
        <f aca="false">E9*$AC9/$AD9</f>
        <v>0</v>
      </c>
      <c r="AO9" s="1708" t="n">
        <f aca="false">F9*$AC9/$AD9</f>
        <v>0</v>
      </c>
      <c r="AP9" s="1709" t="n">
        <f aca="false">G9*$AC9/$AD9</f>
        <v>0</v>
      </c>
      <c r="AQ9" s="1708" t="n">
        <f aca="false">H9*$AC9/$AD9</f>
        <v>0</v>
      </c>
      <c r="AR9" s="1710" t="n">
        <f aca="false">SUM(AN9:AQ9)</f>
        <v>0</v>
      </c>
      <c r="AT9" s="1707" t="n">
        <f aca="false">K9*$AC9/$AD9</f>
        <v>0</v>
      </c>
      <c r="AU9" s="1711" t="n">
        <f aca="false">L9*$AC9/$AD9</f>
        <v>0</v>
      </c>
      <c r="AW9" s="1707" t="n">
        <f aca="false">N9*$AC9/$AD9</f>
        <v>0</v>
      </c>
      <c r="AX9" s="1708" t="n">
        <f aca="false">O9*$AC9/$AD9</f>
        <v>0</v>
      </c>
      <c r="AY9" s="1710" t="n">
        <f aca="false">SUM(AW9:AX9)</f>
        <v>0</v>
      </c>
      <c r="BA9" s="1707" t="n">
        <f aca="false">R9*$AC9/$AD9</f>
        <v>337.5</v>
      </c>
      <c r="BB9" s="1712" t="n">
        <f aca="false">S9*$AC9/$AD9</f>
        <v>56.25</v>
      </c>
      <c r="BC9" s="1712" t="n">
        <f aca="false">T9*$AC9/$AD9</f>
        <v>0</v>
      </c>
      <c r="BD9" s="1712" t="n">
        <f aca="false">U9*$AC9/$AD9</f>
        <v>64.434375</v>
      </c>
      <c r="BE9" s="1712" t="n">
        <f aca="false">V9*$AC9/$AD9</f>
        <v>5085.76391052632</v>
      </c>
      <c r="BF9" s="1712" t="n">
        <f aca="false">W9*$AC9/$AD9</f>
        <v>59.5588235294118</v>
      </c>
      <c r="BG9" s="1711" t="n">
        <f aca="false">SUM(BA9:BF9)</f>
        <v>5603.50710905573</v>
      </c>
      <c r="BI9" s="1707" t="n">
        <f aca="false">SUM(AR9,AT9,AU9,AY9,BG9)</f>
        <v>5603.50710905573</v>
      </c>
      <c r="BJ9" s="109" t="n">
        <f aca="false">BI9*BJ$6</f>
        <v>5967.73507114435</v>
      </c>
      <c r="BK9" s="1715" t="n">
        <f aca="false">BJ9*(1+BK$6)</f>
        <v>6130.18497292691</v>
      </c>
      <c r="BM9" s="1717" t="n">
        <f aca="false">BK9</f>
        <v>6130.18497292691</v>
      </c>
      <c r="BN9" s="1714" t="n">
        <f aca="false">$AC9</f>
        <v>9</v>
      </c>
      <c r="BO9" s="1718" t="n">
        <v>150</v>
      </c>
      <c r="BP9" s="1715" t="n">
        <f aca="false">BM9/BN9/BO9*1000</f>
        <v>4540.87775772364</v>
      </c>
      <c r="BR9" s="1716" t="n">
        <f aca="false">$B9</f>
        <v>1</v>
      </c>
      <c r="BS9" s="187" t="n">
        <f aca="false">$C9</f>
        <v>1999</v>
      </c>
      <c r="BU9" s="1707" t="n">
        <f aca="false">AN9</f>
        <v>0</v>
      </c>
      <c r="BV9" s="1708" t="n">
        <f aca="false">AO9</f>
        <v>0</v>
      </c>
      <c r="BW9" s="1709" t="n">
        <f aca="false">AP9</f>
        <v>0</v>
      </c>
      <c r="BX9" s="1708" t="n">
        <f aca="false">AQ9</f>
        <v>0</v>
      </c>
      <c r="BY9" s="1710" t="n">
        <f aca="false">SUM(BU9:BX9)</f>
        <v>0</v>
      </c>
      <c r="CA9" s="1707" t="n">
        <f aca="false">AT9</f>
        <v>0</v>
      </c>
      <c r="CB9" s="1711" t="n">
        <f aca="false">AU9</f>
        <v>0</v>
      </c>
      <c r="CD9" s="1707" t="n">
        <f aca="false">AW9</f>
        <v>0</v>
      </c>
      <c r="CE9" s="1708" t="n">
        <f aca="false">AX9</f>
        <v>0</v>
      </c>
      <c r="CF9" s="1710" t="n">
        <f aca="false">SUM(CD9:CE9)</f>
        <v>0</v>
      </c>
      <c r="CH9" s="1707" t="n">
        <f aca="false">BA9</f>
        <v>337.5</v>
      </c>
      <c r="CI9" s="1712" t="n">
        <f aca="false">BB9</f>
        <v>56.25</v>
      </c>
      <c r="CJ9" s="1712" t="n">
        <f aca="false">BC9</f>
        <v>0</v>
      </c>
      <c r="CK9" s="1712" t="n">
        <f aca="false">BD9</f>
        <v>64.434375</v>
      </c>
      <c r="CL9" s="1712" t="n">
        <f aca="false">BE9</f>
        <v>5085.76391052632</v>
      </c>
      <c r="CM9" s="1708" t="n">
        <f aca="false">BF9</f>
        <v>59.5588235294118</v>
      </c>
      <c r="CN9" s="1710" t="n">
        <f aca="false">SUM(CH9:CM9)</f>
        <v>5603.50710905573</v>
      </c>
      <c r="CP9" s="1707" t="n">
        <f aca="false">SUM(BY9,CA9,CB9,CF9,CN9)</f>
        <v>5603.50710905573</v>
      </c>
      <c r="CQ9" s="109" t="n">
        <f aca="false">CP9*CQ$6</f>
        <v>5967.73507114435</v>
      </c>
      <c r="CR9" s="1715" t="n">
        <f aca="false">CQ9*(1+CR$6)</f>
        <v>6130.18497292691</v>
      </c>
      <c r="CT9" s="1717" t="n">
        <f aca="false">CR9</f>
        <v>6130.18497292691</v>
      </c>
      <c r="CU9" s="1714" t="n">
        <f aca="false">$AC9</f>
        <v>9</v>
      </c>
      <c r="CV9" s="1719" t="n">
        <f aca="false">$BO9</f>
        <v>150</v>
      </c>
      <c r="CW9" s="1715" t="n">
        <f aca="false">CT9/CU9/CV9*1000</f>
        <v>4540.87775772364</v>
      </c>
    </row>
    <row r="10" customFormat="false" ht="12.75" hidden="false" customHeight="false" outlineLevel="0" collapsed="false">
      <c r="B10" s="660" t="n">
        <v>2</v>
      </c>
      <c r="C10" s="1706" t="n">
        <f aca="false">YEAR(Startops2)</f>
        <v>2001</v>
      </c>
      <c r="E10" s="1707" t="n">
        <f aca="false">VLOOKUP($C10,Sr_Debt_Table,O$78)</f>
        <v>4242.5625</v>
      </c>
      <c r="F10" s="1708" t="n">
        <f aca="false">VLOOKUP($C10,Sr_Debt_Table,P$78)</f>
        <v>0</v>
      </c>
      <c r="G10" s="1709" t="n">
        <f aca="false">VLOOKUP($C10,Sr_Debt_Table,R$78)</f>
        <v>1667.6076259198</v>
      </c>
      <c r="H10" s="1708" t="n">
        <f aca="false">VLOOKUP($C10,Sr_Debt_Table,S$78)</f>
        <v>0</v>
      </c>
      <c r="I10" s="1710" t="n">
        <f aca="false">SUM(E10:H10)</f>
        <v>5910.1701259198</v>
      </c>
      <c r="K10" s="1707" t="n">
        <f aca="false">(K$6-1)*I10</f>
        <v>1773.05103777594</v>
      </c>
      <c r="L10" s="1711" t="n">
        <f aca="false">-HLOOKUP($C10,CF_Table,CF!$AB$34)</f>
        <v>355.008286204035</v>
      </c>
      <c r="N10" s="1707" t="n">
        <f aca="false">VLOOKUP($C10,Sub_Debt_Table,X$78)</f>
        <v>2694.78154144109</v>
      </c>
      <c r="O10" s="1708" t="n">
        <f aca="false">VLOOKUP($C10,Sub_Debt_Table,Z$78)</f>
        <v>0</v>
      </c>
      <c r="P10" s="1710" t="n">
        <f aca="false">SUM(N10:O10)</f>
        <v>2694.78154144109</v>
      </c>
      <c r="R10" s="1707" t="n">
        <f aca="false">VLOOKUP($C10,OM_Table_US,AD$78)</f>
        <v>900</v>
      </c>
      <c r="S10" s="1712" t="n">
        <f aca="false">VLOOKUP($C10,OM_Table_US,AE$78)</f>
        <v>150</v>
      </c>
      <c r="T10" s="1712" t="n">
        <f aca="false">VLOOKUP($C10,OM_Table_US,AF$78)</f>
        <v>1390.002</v>
      </c>
      <c r="U10" s="1712" t="n">
        <f aca="false">VLOOKUP($C10,OM_Table_US,AG$78)</f>
        <v>425.5092</v>
      </c>
      <c r="V10" s="1712" t="n">
        <f aca="false">VLOOKUP($C10,OM_Table_US,AH$78)</f>
        <v>5085.76391052632</v>
      </c>
      <c r="W10" s="1712" t="n">
        <f aca="false">VLOOKUP($C10,OM_Table_US,AI$78)</f>
        <v>158.823529411765</v>
      </c>
      <c r="X10" s="1711" t="n">
        <f aca="false">SUM(R10:W10)</f>
        <v>8110.09863993808</v>
      </c>
      <c r="Z10" s="1707" t="n">
        <f aca="false">SUM(I10,K10,L10,P10,X10)</f>
        <v>18843.109631279</v>
      </c>
      <c r="AA10" s="109" t="n">
        <f aca="false">Z10*AA$6</f>
        <v>20067.9117573121</v>
      </c>
      <c r="AB10" s="109" t="n">
        <f aca="false">AA10*(1+AB$6)</f>
        <v>20614.1877322158</v>
      </c>
      <c r="AC10" s="1713" t="n">
        <f aca="false">HLOOKUP($C10,CF_Table,CF!$AB$10)</f>
        <v>7</v>
      </c>
      <c r="AD10" s="1714" t="n">
        <f aca="false">HLOOKUP($C10,CF_Table,CF!$AB$12)</f>
        <v>12</v>
      </c>
      <c r="AE10" s="109" t="n">
        <f aca="false">AB10*AC10/AD10</f>
        <v>12024.9428437926</v>
      </c>
      <c r="AF10" s="170" t="n">
        <v>300</v>
      </c>
      <c r="AG10" s="1715" t="n">
        <f aca="false">AE10/AF10/AC10*1000</f>
        <v>5726.16325894883</v>
      </c>
      <c r="AK10" s="1716" t="n">
        <f aca="false">$B10</f>
        <v>2</v>
      </c>
      <c r="AL10" s="187" t="n">
        <f aca="false">$C10</f>
        <v>2001</v>
      </c>
      <c r="AN10" s="1707" t="n">
        <f aca="false">E10*$AC10/$AD10</f>
        <v>2474.828125</v>
      </c>
      <c r="AO10" s="1708" t="n">
        <f aca="false">F10*$AC10/$AD10</f>
        <v>0</v>
      </c>
      <c r="AP10" s="1709" t="n">
        <f aca="false">G10*$AC10/$AD10</f>
        <v>972.771115119884</v>
      </c>
      <c r="AQ10" s="1708" t="n">
        <f aca="false">H10*$AC10/$AD10</f>
        <v>0</v>
      </c>
      <c r="AR10" s="1710" t="n">
        <f aca="false">SUM(AN10:AQ10)</f>
        <v>3447.59924011988</v>
      </c>
      <c r="AT10" s="1707" t="n">
        <f aca="false">K10*$AC10/$AD10</f>
        <v>1034.27977203597</v>
      </c>
      <c r="AU10" s="1711" t="n">
        <f aca="false">L10*$AC10/$AD10</f>
        <v>207.088166952354</v>
      </c>
      <c r="AW10" s="1707" t="n">
        <f aca="false">N10*$AC10/$AD10</f>
        <v>1571.95589917397</v>
      </c>
      <c r="AX10" s="1708" t="n">
        <f aca="false">O10*$AC10/$AD10</f>
        <v>0</v>
      </c>
      <c r="AY10" s="1710" t="n">
        <f aca="false">SUM(AW10:AX10)</f>
        <v>1571.95589917397</v>
      </c>
      <c r="BA10" s="1707" t="n">
        <f aca="false">R10*$AC10/$AD10</f>
        <v>525</v>
      </c>
      <c r="BB10" s="1712" t="n">
        <f aca="false">S10*$AC10/$AD10</f>
        <v>87.5</v>
      </c>
      <c r="BC10" s="1712" t="n">
        <f aca="false">T10*$AC10/$AD10</f>
        <v>810.8345</v>
      </c>
      <c r="BD10" s="1712" t="n">
        <f aca="false">U10*$AC10/$AD10</f>
        <v>248.2137</v>
      </c>
      <c r="BE10" s="1712" t="n">
        <f aca="false">V10*$AC10/$AD10</f>
        <v>2966.69561447369</v>
      </c>
      <c r="BF10" s="1712" t="n">
        <f aca="false">W10*$AC10/$AD10</f>
        <v>92.6470588235294</v>
      </c>
      <c r="BG10" s="1711" t="n">
        <f aca="false">SUM(BA10:BF10)</f>
        <v>4730.89087329722</v>
      </c>
      <c r="BI10" s="1707" t="n">
        <f aca="false">SUM(AR10,AT10,AU10,AY10,BG10)</f>
        <v>10991.8139515794</v>
      </c>
      <c r="BJ10" s="109" t="n">
        <f aca="false">BI10*BJ$6</f>
        <v>11706.2818584321</v>
      </c>
      <c r="BK10" s="1715" t="n">
        <f aca="false">BJ10*(1+BK$6)</f>
        <v>12024.9428437926</v>
      </c>
      <c r="BM10" s="1717" t="n">
        <f aca="false">BK10</f>
        <v>12024.9428437926</v>
      </c>
      <c r="BN10" s="1714" t="n">
        <f aca="false">$AC10</f>
        <v>7</v>
      </c>
      <c r="BO10" s="1718" t="n">
        <v>300</v>
      </c>
      <c r="BP10" s="1715" t="n">
        <f aca="false">BM10/BN10/BO10*1000</f>
        <v>5726.16325894883</v>
      </c>
      <c r="BR10" s="1716" t="n">
        <f aca="false">$B10</f>
        <v>2</v>
      </c>
      <c r="BS10" s="187" t="n">
        <f aca="false">$C10</f>
        <v>2001</v>
      </c>
      <c r="BU10" s="1707" t="n">
        <f aca="false">AN10</f>
        <v>2474.828125</v>
      </c>
      <c r="BV10" s="1708" t="n">
        <f aca="false">AO10</f>
        <v>0</v>
      </c>
      <c r="BW10" s="1709" t="n">
        <f aca="false">AP10</f>
        <v>972.771115119884</v>
      </c>
      <c r="BX10" s="1708" t="n">
        <f aca="false">AQ10</f>
        <v>0</v>
      </c>
      <c r="BY10" s="1710" t="n">
        <f aca="false">SUM(BU10:BX10)</f>
        <v>3447.59924011988</v>
      </c>
      <c r="CA10" s="1707" t="n">
        <f aca="false">AT10</f>
        <v>1034.27977203597</v>
      </c>
      <c r="CB10" s="1711" t="n">
        <f aca="false">AU10</f>
        <v>207.088166952354</v>
      </c>
      <c r="CD10" s="1707" t="n">
        <f aca="false">AW10</f>
        <v>1571.95589917397</v>
      </c>
      <c r="CE10" s="1708" t="n">
        <f aca="false">AX10</f>
        <v>0</v>
      </c>
      <c r="CF10" s="1710" t="n">
        <f aca="false">SUM(CD10:CE10)</f>
        <v>1571.95589917397</v>
      </c>
      <c r="CH10" s="1707" t="n">
        <f aca="false">BA10</f>
        <v>525</v>
      </c>
      <c r="CI10" s="1712" t="n">
        <f aca="false">BB10</f>
        <v>87.5</v>
      </c>
      <c r="CJ10" s="1712" t="n">
        <f aca="false">BC10</f>
        <v>810.8345</v>
      </c>
      <c r="CK10" s="1712" t="n">
        <f aca="false">BD10</f>
        <v>248.2137</v>
      </c>
      <c r="CL10" s="1712" t="n">
        <f aca="false">BE10</f>
        <v>2966.69561447369</v>
      </c>
      <c r="CM10" s="1708" t="n">
        <f aca="false">BF10</f>
        <v>92.6470588235294</v>
      </c>
      <c r="CN10" s="1710" t="n">
        <f aca="false">SUM(CH10:CM10)</f>
        <v>4730.89087329722</v>
      </c>
      <c r="CP10" s="1707" t="n">
        <f aca="false">SUM(BY10,CA10,CB10,CF10,CN10)</f>
        <v>10991.8139515794</v>
      </c>
      <c r="CQ10" s="109" t="n">
        <f aca="false">CP10*CQ$6</f>
        <v>11706.2818584321</v>
      </c>
      <c r="CR10" s="1715" t="n">
        <f aca="false">CQ10*(1+CR$6)</f>
        <v>12024.9428437926</v>
      </c>
      <c r="CT10" s="1717" t="n">
        <f aca="false">CR10</f>
        <v>12024.9428437926</v>
      </c>
      <c r="CU10" s="1714" t="n">
        <f aca="false">$AC10</f>
        <v>7</v>
      </c>
      <c r="CV10" s="1719" t="n">
        <f aca="false">$BO10</f>
        <v>300</v>
      </c>
      <c r="CW10" s="1715" t="n">
        <f aca="false">CT10/CU10/CV10*1000</f>
        <v>5726.16325894883</v>
      </c>
    </row>
    <row r="11" customFormat="false" ht="12.75" hidden="false" customHeight="false" outlineLevel="0" collapsed="false">
      <c r="B11" s="660" t="n">
        <v>3</v>
      </c>
      <c r="C11" s="1706" t="n">
        <f aca="false">YEAR(Startops3)</f>
        <v>2001</v>
      </c>
      <c r="E11" s="1707" t="n">
        <f aca="false">VLOOKUP($C11,Sr_Debt_Table,O$78)</f>
        <v>4242.5625</v>
      </c>
      <c r="F11" s="1708" t="n">
        <f aca="false">VLOOKUP($C11,Sr_Debt_Table,P$78)</f>
        <v>0</v>
      </c>
      <c r="G11" s="1709" t="n">
        <f aca="false">VLOOKUP($C11,Sr_Debt_Table,R$78)</f>
        <v>1667.6076259198</v>
      </c>
      <c r="H11" s="1708" t="n">
        <f aca="false">VLOOKUP($C11,Sr_Debt_Table,S$78)</f>
        <v>0</v>
      </c>
      <c r="I11" s="1710" t="n">
        <f aca="false">SUM(E11:H11)</f>
        <v>5910.1701259198</v>
      </c>
      <c r="K11" s="1707" t="n">
        <f aca="false">(K$6-1)*I11</f>
        <v>1773.05103777594</v>
      </c>
      <c r="L11" s="1711" t="n">
        <f aca="false">-HLOOKUP($C11,CF_Table,CF!$AB$34)</f>
        <v>355.008286204035</v>
      </c>
      <c r="N11" s="1707" t="n">
        <f aca="false">VLOOKUP($C11,Sub_Debt_Table,X$78)</f>
        <v>2694.78154144109</v>
      </c>
      <c r="O11" s="1708" t="n">
        <f aca="false">VLOOKUP($C11,Sub_Debt_Table,Z$78)</f>
        <v>0</v>
      </c>
      <c r="P11" s="1710" t="n">
        <f aca="false">SUM(N11:O11)</f>
        <v>2694.78154144109</v>
      </c>
      <c r="R11" s="1707" t="n">
        <f aca="false">VLOOKUP($C11,OM_Table_US,AD$78)</f>
        <v>900</v>
      </c>
      <c r="S11" s="1712" t="n">
        <f aca="false">VLOOKUP($C11,OM_Table_US,AE$78)</f>
        <v>150</v>
      </c>
      <c r="T11" s="1712" t="n">
        <f aca="false">VLOOKUP($C11,OM_Table_US,AF$78)</f>
        <v>1390.002</v>
      </c>
      <c r="U11" s="1712" t="n">
        <f aca="false">VLOOKUP($C11,OM_Table_US,AG$78)</f>
        <v>425.5092</v>
      </c>
      <c r="V11" s="1712" t="n">
        <f aca="false">VLOOKUP($C11,OM_Table_US,AH$78)</f>
        <v>5085.76391052632</v>
      </c>
      <c r="W11" s="1712" t="n">
        <f aca="false">VLOOKUP($C11,OM_Table_US,AI$78)</f>
        <v>158.823529411765</v>
      </c>
      <c r="X11" s="1711" t="n">
        <f aca="false">SUM(R11:W11)</f>
        <v>8110.09863993808</v>
      </c>
      <c r="Z11" s="1707" t="n">
        <f aca="false">SUM(I11,K11,L11,P11,X11)</f>
        <v>18843.109631279</v>
      </c>
      <c r="AA11" s="109" t="n">
        <f aca="false">Z11*AA$6</f>
        <v>20067.9117573121</v>
      </c>
      <c r="AB11" s="109" t="n">
        <f aca="false">AA11*(1+AB$6)</f>
        <v>20614.1877322158</v>
      </c>
      <c r="AC11" s="1713" t="n">
        <f aca="false">HLOOKUP($C11,CF_Table,CF!$AB$11)</f>
        <v>5</v>
      </c>
      <c r="AD11" s="1714" t="n">
        <f aca="false">HLOOKUP($C11,CF_Table,CF!$AB$12)</f>
        <v>12</v>
      </c>
      <c r="AE11" s="109" t="n">
        <f aca="false">AB11*AC11/AD11</f>
        <v>8589.24488842325</v>
      </c>
      <c r="AF11" s="170" t="n">
        <v>480</v>
      </c>
      <c r="AG11" s="1715"/>
      <c r="AK11" s="1716" t="n">
        <f aca="false">$B11</f>
        <v>3</v>
      </c>
      <c r="AL11" s="187" t="n">
        <f aca="false">$C11</f>
        <v>2001</v>
      </c>
      <c r="AN11" s="1707" t="n">
        <f aca="false">E11*$AC11/$AD11</f>
        <v>1767.734375</v>
      </c>
      <c r="AO11" s="1708" t="n">
        <f aca="false">F11*$AC11/$AD11</f>
        <v>0</v>
      </c>
      <c r="AP11" s="1709" t="n">
        <f aca="false">G11*$AC11/$AD11</f>
        <v>694.836510799917</v>
      </c>
      <c r="AQ11" s="1708" t="n">
        <f aca="false">H11*$AC11/$AD11</f>
        <v>0</v>
      </c>
      <c r="AR11" s="1710" t="n">
        <f aca="false">SUM(AN11:AQ11)</f>
        <v>2462.57088579992</v>
      </c>
      <c r="AT11" s="1707" t="n">
        <f aca="false">K11*$AC11/$AD11</f>
        <v>738.771265739975</v>
      </c>
      <c r="AU11" s="1711" t="n">
        <f aca="false">L11*$AC11/$AD11</f>
        <v>147.920119251681</v>
      </c>
      <c r="AW11" s="1707" t="n">
        <f aca="false">N11*$AC11/$AD11</f>
        <v>1122.82564226712</v>
      </c>
      <c r="AX11" s="1708" t="n">
        <f aca="false">O11*$AC11/$AD11</f>
        <v>0</v>
      </c>
      <c r="AY11" s="1710" t="n">
        <f aca="false">SUM(AW11:AX11)</f>
        <v>1122.82564226712</v>
      </c>
      <c r="BA11" s="1707" t="n">
        <f aca="false">R11*$AC11/$AD11</f>
        <v>375</v>
      </c>
      <c r="BB11" s="1712" t="n">
        <f aca="false">S11*$AC11/$AD11</f>
        <v>62.5</v>
      </c>
      <c r="BC11" s="1712" t="n">
        <f aca="false">T11*$AC11/$AD11</f>
        <v>579.1675</v>
      </c>
      <c r="BD11" s="1712" t="n">
        <f aca="false">U11*$AC11/$AD11</f>
        <v>177.2955</v>
      </c>
      <c r="BE11" s="1712" t="n">
        <f aca="false">V11*$AC11/$AD11</f>
        <v>2119.06829605263</v>
      </c>
      <c r="BF11" s="1712" t="n">
        <f aca="false">W11*$AC11/$AD11</f>
        <v>66.1764705882353</v>
      </c>
      <c r="BG11" s="1711" t="n">
        <f aca="false">SUM(BA11:BF11)</f>
        <v>3379.20776664087</v>
      </c>
      <c r="BI11" s="1707" t="n">
        <f aca="false">SUM(AR11,AT11,AU11,AY11,BG11)</f>
        <v>7851.29567969956</v>
      </c>
      <c r="BJ11" s="109" t="n">
        <f aca="false">BI11*BJ$6</f>
        <v>8361.62989888003</v>
      </c>
      <c r="BK11" s="1715" t="n">
        <f aca="false">BJ11*(1+BK$6)</f>
        <v>8589.24488842325</v>
      </c>
      <c r="BM11" s="1717"/>
      <c r="BN11" s="1714"/>
      <c r="BO11" s="1718"/>
      <c r="BP11" s="1715"/>
      <c r="BR11" s="1716" t="n">
        <f aca="false">$B11</f>
        <v>3</v>
      </c>
      <c r="BS11" s="187" t="n">
        <f aca="false">$C11</f>
        <v>2001</v>
      </c>
      <c r="BU11" s="1707"/>
      <c r="BV11" s="1708"/>
      <c r="BW11" s="1709"/>
      <c r="BX11" s="1708"/>
      <c r="BY11" s="1710"/>
      <c r="CA11" s="1707"/>
      <c r="CB11" s="1711"/>
      <c r="CD11" s="1707"/>
      <c r="CE11" s="1708"/>
      <c r="CF11" s="1710"/>
      <c r="CH11" s="1707"/>
      <c r="CI11" s="1712"/>
      <c r="CJ11" s="1712"/>
      <c r="CK11" s="1712"/>
      <c r="CL11" s="1712"/>
      <c r="CM11" s="1708"/>
      <c r="CN11" s="1710"/>
      <c r="CP11" s="1707"/>
      <c r="CQ11" s="109"/>
      <c r="CR11" s="1715"/>
      <c r="CT11" s="1717"/>
      <c r="CU11" s="1714"/>
      <c r="CV11" s="1719"/>
      <c r="CW11" s="1715"/>
    </row>
    <row r="12" customFormat="false" ht="12.75" hidden="false" customHeight="false" outlineLevel="0" collapsed="false">
      <c r="B12" s="660" t="n">
        <v>3</v>
      </c>
      <c r="C12" s="1533" t="n">
        <f aca="false">C11+1</f>
        <v>2002</v>
      </c>
      <c r="E12" s="1707" t="n">
        <f aca="false">VLOOKUP($C12,Sr_Debt_Table,O$78)</f>
        <v>10000.3258928571</v>
      </c>
      <c r="F12" s="1708" t="n">
        <f aca="false">VLOOKUP($C12,Sr_Debt_Table,P$78)</f>
        <v>10017.8571428571</v>
      </c>
      <c r="G12" s="1709" t="n">
        <f aca="false">VLOOKUP($C12,Sr_Debt_Table,R$78)</f>
        <v>3987.25126295221</v>
      </c>
      <c r="H12" s="1708" t="n">
        <f aca="false">VLOOKUP($C12,Sr_Debt_Table,S$78)</f>
        <v>545.214868494574</v>
      </c>
      <c r="I12" s="1710" t="n">
        <f aca="false">SUM(E12:H12)</f>
        <v>24550.6491671611</v>
      </c>
      <c r="K12" s="1707" t="n">
        <f aca="false">(K$6-1)*I12</f>
        <v>7365.19475014832</v>
      </c>
      <c r="L12" s="1711" t="n">
        <f aca="false">-HLOOKUP($C12,CF_Table,CF!$AB$34)</f>
        <v>349.775557535993</v>
      </c>
      <c r="N12" s="1707" t="n">
        <f aca="false">VLOOKUP($C12,Sub_Debt_Table,X$78)</f>
        <v>6397.33203104365</v>
      </c>
      <c r="O12" s="1708" t="n">
        <f aca="false">VLOOKUP($C12,Sub_Debt_Table,Z$78)</f>
        <v>2228.4103888757</v>
      </c>
      <c r="P12" s="1710" t="n">
        <f aca="false">SUM(N12:O12)</f>
        <v>8625.74241991935</v>
      </c>
      <c r="R12" s="1707" t="n">
        <f aca="false">VLOOKUP($C12,OM_Table_US,AD$78)</f>
        <v>900</v>
      </c>
      <c r="S12" s="1712" t="n">
        <f aca="false">VLOOKUP($C12,OM_Table_US,AE$78)</f>
        <v>150</v>
      </c>
      <c r="T12" s="1712" t="n">
        <f aca="false">VLOOKUP($C12,OM_Table_US,AF$78)</f>
        <v>1390.002</v>
      </c>
      <c r="U12" s="1712" t="n">
        <f aca="false">VLOOKUP($C12,OM_Table_US,AG$78)</f>
        <v>490.3197</v>
      </c>
      <c r="V12" s="1712" t="n">
        <f aca="false">VLOOKUP($C12,OM_Table_US,AH$78)</f>
        <v>5085.76391052632</v>
      </c>
      <c r="W12" s="1712" t="n">
        <f aca="false">VLOOKUP($C12,OM_Table_US,AI$78)</f>
        <v>158.823529411765</v>
      </c>
      <c r="X12" s="1711" t="n">
        <f aca="false">SUM(R12:W12)</f>
        <v>8174.90913993808</v>
      </c>
      <c r="Z12" s="1707" t="n">
        <f aca="false">SUM(I12,K12,L12,P12,X12)</f>
        <v>49066.2710347028</v>
      </c>
      <c r="AA12" s="109" t="n">
        <f aca="false">Z12*AA$6</f>
        <v>52255.5786519585</v>
      </c>
      <c r="AB12" s="109" t="n">
        <f aca="false">AA12*(1+AB$6)</f>
        <v>53678.0468946672</v>
      </c>
      <c r="AC12" s="1713" t="n">
        <f aca="false">HLOOKUP($C12,CF_Table,CF!$AB$11)</f>
        <v>12</v>
      </c>
      <c r="AD12" s="1714" t="n">
        <f aca="false">HLOOKUP($C12,CF_Table,CF!$AB$12)</f>
        <v>12</v>
      </c>
      <c r="AE12" s="109" t="n">
        <f aca="false">AB12*AC12/AD12</f>
        <v>53678.0468946672</v>
      </c>
      <c r="AF12" s="170" t="n">
        <v>480</v>
      </c>
      <c r="AG12" s="1715"/>
      <c r="AK12" s="1716" t="n">
        <f aca="false">$B12</f>
        <v>3</v>
      </c>
      <c r="AL12" s="187" t="n">
        <f aca="false">$C12</f>
        <v>2002</v>
      </c>
      <c r="AN12" s="1707" t="n">
        <f aca="false">E12*$AC12/$AD12</f>
        <v>10000.3258928571</v>
      </c>
      <c r="AO12" s="1708" t="n">
        <f aca="false">F12*$AC12/$AD12</f>
        <v>10017.8571428571</v>
      </c>
      <c r="AP12" s="1709" t="n">
        <f aca="false">G12*$AC12/$AD12</f>
        <v>3987.25126295221</v>
      </c>
      <c r="AQ12" s="1708" t="n">
        <f aca="false">H12*$AC12/$AD12</f>
        <v>545.214868494574</v>
      </c>
      <c r="AR12" s="1710" t="n">
        <f aca="false">SUM(AN12:AQ12)</f>
        <v>24550.6491671611</v>
      </c>
      <c r="AT12" s="1707" t="n">
        <f aca="false">K12*$AC12/$AD12</f>
        <v>7365.19475014832</v>
      </c>
      <c r="AU12" s="1711" t="n">
        <f aca="false">L12*$AC12/$AD12</f>
        <v>349.775557535993</v>
      </c>
      <c r="AW12" s="1707" t="n">
        <f aca="false">N12*$AC12/$AD12</f>
        <v>6397.33203104365</v>
      </c>
      <c r="AX12" s="1708" t="n">
        <f aca="false">O12*$AC12/$AD12</f>
        <v>2228.4103888757</v>
      </c>
      <c r="AY12" s="1710" t="n">
        <f aca="false">SUM(AW12:AX12)</f>
        <v>8625.74241991935</v>
      </c>
      <c r="BA12" s="1707" t="n">
        <f aca="false">R12*$AC12/$AD12</f>
        <v>900</v>
      </c>
      <c r="BB12" s="1712" t="n">
        <f aca="false">S12*$AC12/$AD12</f>
        <v>150</v>
      </c>
      <c r="BC12" s="1712" t="n">
        <f aca="false">T12*$AC12/$AD12</f>
        <v>1390.002</v>
      </c>
      <c r="BD12" s="1712" t="n">
        <f aca="false">U12*$AC12/$AD12</f>
        <v>490.3197</v>
      </c>
      <c r="BE12" s="1712" t="n">
        <f aca="false">V12*$AC12/$AD12</f>
        <v>5085.76391052632</v>
      </c>
      <c r="BF12" s="1712" t="n">
        <f aca="false">W12*$AC12/$AD12</f>
        <v>158.823529411765</v>
      </c>
      <c r="BG12" s="1711" t="n">
        <f aca="false">SUM(BA12:BF12)</f>
        <v>8174.90913993808</v>
      </c>
      <c r="BI12" s="1707" t="n">
        <f aca="false">SUM(AR12,AT12,AU12,AY12,BG12)</f>
        <v>49066.2710347028</v>
      </c>
      <c r="BJ12" s="109" t="n">
        <f aca="false">BI12*BJ$6</f>
        <v>52255.5786519585</v>
      </c>
      <c r="BK12" s="1715" t="n">
        <f aca="false">BJ12*(1+BK$6)</f>
        <v>53678.0468946672</v>
      </c>
      <c r="BM12" s="1717"/>
      <c r="BN12" s="1714"/>
      <c r="BO12" s="1718"/>
      <c r="BP12" s="1715"/>
      <c r="BR12" s="1716" t="n">
        <f aca="false">$B12</f>
        <v>3</v>
      </c>
      <c r="BS12" s="187" t="n">
        <f aca="false">$C12</f>
        <v>2002</v>
      </c>
      <c r="BU12" s="1707"/>
      <c r="BV12" s="1708"/>
      <c r="BW12" s="1709"/>
      <c r="BX12" s="1708"/>
      <c r="BY12" s="1710"/>
      <c r="CA12" s="1707"/>
      <c r="CB12" s="1711"/>
      <c r="CD12" s="1707"/>
      <c r="CE12" s="1708"/>
      <c r="CF12" s="1710"/>
      <c r="CH12" s="1707"/>
      <c r="CI12" s="1712"/>
      <c r="CJ12" s="1712"/>
      <c r="CK12" s="1712"/>
      <c r="CL12" s="1712"/>
      <c r="CM12" s="1708"/>
      <c r="CN12" s="1710"/>
      <c r="CP12" s="1707"/>
      <c r="CQ12" s="109"/>
      <c r="CR12" s="1715"/>
      <c r="CT12" s="1717"/>
      <c r="CU12" s="1714"/>
      <c r="CV12" s="1719"/>
      <c r="CW12" s="1715"/>
    </row>
    <row r="13" customFormat="false" ht="12.75" hidden="false" customHeight="false" outlineLevel="0" collapsed="false">
      <c r="B13" s="660" t="n">
        <v>3</v>
      </c>
      <c r="C13" s="1533" t="n">
        <f aca="false">C14</f>
        <v>2002</v>
      </c>
      <c r="E13" s="1707" t="n">
        <f aca="false">VLOOKUP($C13,Sr_Debt_Table,O$78)</f>
        <v>10000.3258928571</v>
      </c>
      <c r="F13" s="1708" t="n">
        <f aca="false">VLOOKUP($C13,Sr_Debt_Table,P$78)</f>
        <v>10017.8571428571</v>
      </c>
      <c r="G13" s="1709" t="n">
        <f aca="false">VLOOKUP($C13,Sr_Debt_Table,R$78)</f>
        <v>3987.25126295221</v>
      </c>
      <c r="H13" s="1708" t="n">
        <f aca="false">VLOOKUP($C13,Sr_Debt_Table,S$78)</f>
        <v>545.214868494574</v>
      </c>
      <c r="I13" s="1710" t="n">
        <f aca="false">SUM(E13:H13)</f>
        <v>24550.6491671611</v>
      </c>
      <c r="K13" s="1707" t="n">
        <f aca="false">(K$6-1)*I13</f>
        <v>7365.19475014832</v>
      </c>
      <c r="L13" s="1711" t="n">
        <f aca="false">-HLOOKUP($C13,CF_Table,CF!$AB$34)</f>
        <v>349.775557535993</v>
      </c>
      <c r="N13" s="1707" t="n">
        <f aca="false">VLOOKUP($C13,Sub_Debt_Table,X$78)</f>
        <v>6397.33203104365</v>
      </c>
      <c r="O13" s="1708" t="n">
        <f aca="false">VLOOKUP($C13,Sub_Debt_Table,Z$78)</f>
        <v>2228.4103888757</v>
      </c>
      <c r="P13" s="1710" t="n">
        <f aca="false">SUM(N13:O13)</f>
        <v>8625.74241991935</v>
      </c>
      <c r="R13" s="1707" t="n">
        <f aca="false">VLOOKUP($C13,OM_Table_US,AD$78)</f>
        <v>900</v>
      </c>
      <c r="S13" s="1712" t="n">
        <f aca="false">VLOOKUP($C13,OM_Table_US,AE$78)</f>
        <v>150</v>
      </c>
      <c r="T13" s="1712" t="n">
        <f aca="false">VLOOKUP($C13,OM_Table_US,AF$78)</f>
        <v>1390.002</v>
      </c>
      <c r="U13" s="1712" t="n">
        <f aca="false">VLOOKUP($C13,OM_Table_US,AG$78)</f>
        <v>490.3197</v>
      </c>
      <c r="V13" s="1712" t="n">
        <f aca="false">VLOOKUP($C13,OM_Table_US,AH$78)</f>
        <v>5085.76391052632</v>
      </c>
      <c r="W13" s="1712" t="n">
        <f aca="false">VLOOKUP($C13,OM_Table_US,AI$78)</f>
        <v>158.823529411765</v>
      </c>
      <c r="X13" s="1711" t="n">
        <f aca="false">SUM(R13:W13)</f>
        <v>8174.90913993808</v>
      </c>
      <c r="Z13" s="1707" t="n">
        <f aca="false">SUM(I13,K13,L13,P13,X13)</f>
        <v>49066.2710347028</v>
      </c>
      <c r="AA13" s="109" t="n">
        <f aca="false">Z13*AA$6</f>
        <v>52255.5786519585</v>
      </c>
      <c r="AB13" s="109" t="n">
        <f aca="false">AA13*(1+AB$6)</f>
        <v>53678.0468946672</v>
      </c>
      <c r="AC13" s="1713" t="n">
        <f aca="false">12-AC14</f>
        <v>4</v>
      </c>
      <c r="AD13" s="1714" t="n">
        <f aca="false">HLOOKUP($C13,CF_Table,CF!$AB$12)</f>
        <v>12</v>
      </c>
      <c r="AE13" s="109" t="n">
        <f aca="false">AB13*AC13/AD13</f>
        <v>17892.6822982224</v>
      </c>
      <c r="AF13" s="170" t="n">
        <v>480</v>
      </c>
      <c r="AG13" s="1715" t="n">
        <f aca="false">SUM(AE11:AE13)/AF13/SUM(AC11:AC13)*1000</f>
        <v>7952.37838108262</v>
      </c>
      <c r="AK13" s="1716" t="n">
        <f aca="false">$B13</f>
        <v>3</v>
      </c>
      <c r="AL13" s="187" t="n">
        <f aca="false">$C13</f>
        <v>2002</v>
      </c>
      <c r="AN13" s="1707" t="n">
        <f aca="false">E13*$AC13/$AD13</f>
        <v>3333.44196428571</v>
      </c>
      <c r="AO13" s="1708" t="n">
        <f aca="false">F13*$AC13/$AD13</f>
        <v>3339.28571428571</v>
      </c>
      <c r="AP13" s="1709" t="n">
        <f aca="false">G13*$AC13/$AD13</f>
        <v>1329.0837543174</v>
      </c>
      <c r="AQ13" s="1708" t="n">
        <f aca="false">H13*$AC13/$AD13</f>
        <v>181.738289498191</v>
      </c>
      <c r="AR13" s="1710" t="n">
        <f aca="false">SUM(AN13:AQ13)</f>
        <v>8183.54972238702</v>
      </c>
      <c r="AT13" s="1707" t="n">
        <f aca="false">K13*$AC13/$AD13</f>
        <v>2455.06491671611</v>
      </c>
      <c r="AU13" s="1711" t="n">
        <f aca="false">L13*$AC13/$AD13</f>
        <v>116.591852511998</v>
      </c>
      <c r="AW13" s="1707" t="n">
        <f aca="false">N13*$AC13/$AD13</f>
        <v>2132.44401034788</v>
      </c>
      <c r="AX13" s="1708" t="n">
        <f aca="false">O13*$AC13/$AD13</f>
        <v>742.803462958566</v>
      </c>
      <c r="AY13" s="1710" t="n">
        <f aca="false">SUM(AW13:AX13)</f>
        <v>2875.24747330645</v>
      </c>
      <c r="BA13" s="1707" t="n">
        <f aca="false">R13*$AC13/$AD13</f>
        <v>300</v>
      </c>
      <c r="BB13" s="1712" t="n">
        <f aca="false">S13*$AC13/$AD13</f>
        <v>50</v>
      </c>
      <c r="BC13" s="1712" t="n">
        <f aca="false">T13*$AC13/$AD13</f>
        <v>463.334</v>
      </c>
      <c r="BD13" s="1712" t="n">
        <f aca="false">U13*$AC13/$AD13</f>
        <v>163.4399</v>
      </c>
      <c r="BE13" s="1712" t="n">
        <f aca="false">V13*$AC13/$AD13</f>
        <v>1695.25463684211</v>
      </c>
      <c r="BF13" s="1712" t="n">
        <f aca="false">W13*$AC13/$AD13</f>
        <v>52.9411764705882</v>
      </c>
      <c r="BG13" s="1711" t="n">
        <f aca="false">SUM(BA13:BF13)</f>
        <v>2724.96971331269</v>
      </c>
      <c r="BI13" s="1707" t="n">
        <f aca="false">SUM(AR13,AT13,AU13,AY13,BG13)</f>
        <v>16355.4236782343</v>
      </c>
      <c r="BJ13" s="109" t="n">
        <f aca="false">BI13*BJ$6</f>
        <v>17418.5262173195</v>
      </c>
      <c r="BK13" s="1715" t="n">
        <f aca="false">BJ13*(1+BK$6)</f>
        <v>17892.6822982224</v>
      </c>
      <c r="BM13" s="1717" t="n">
        <f aca="false">SUM(BK11:BK13)</f>
        <v>80159.9740813128</v>
      </c>
      <c r="BN13" s="1714" t="n">
        <f aca="false">SUM($AC11:$AC13)</f>
        <v>21</v>
      </c>
      <c r="BO13" s="1718" t="n">
        <v>480</v>
      </c>
      <c r="BP13" s="1715" t="n">
        <f aca="false">BM13/BN13/BO13*1000</f>
        <v>7952.37838108262</v>
      </c>
      <c r="BR13" s="1716" t="n">
        <f aca="false">$B13</f>
        <v>3</v>
      </c>
      <c r="BS13" s="187" t="n">
        <f aca="false">$C13</f>
        <v>2002</v>
      </c>
      <c r="BU13" s="1707" t="n">
        <f aca="false">SUM(AN11:AN13)</f>
        <v>15101.5022321429</v>
      </c>
      <c r="BV13" s="1708" t="n">
        <f aca="false">SUM(AO11:AO13)</f>
        <v>13357.1428571429</v>
      </c>
      <c r="BW13" s="1709" t="n">
        <f aca="false">SUM(AP11:AP13)</f>
        <v>6011.17152806953</v>
      </c>
      <c r="BX13" s="1708" t="n">
        <f aca="false">SUM(AQ11:AQ13)</f>
        <v>726.953157992765</v>
      </c>
      <c r="BY13" s="1710" t="n">
        <f aca="false">SUM(BU13:BX13)</f>
        <v>35196.769775348</v>
      </c>
      <c r="CA13" s="1707" t="n">
        <f aca="false">SUM(AT11:AT13)</f>
        <v>10559.0309326044</v>
      </c>
      <c r="CB13" s="1711" t="n">
        <f aca="false">SUM(AU11:AU13)</f>
        <v>614.287529299672</v>
      </c>
      <c r="CD13" s="1707" t="n">
        <f aca="false">SUM(AW11:AW13)</f>
        <v>9652.60168365866</v>
      </c>
      <c r="CE13" s="1708" t="n">
        <f aca="false">SUM(AX11:AX13)</f>
        <v>2971.21385183427</v>
      </c>
      <c r="CF13" s="1710" t="n">
        <f aca="false">SUM(CD13:CE13)</f>
        <v>12623.8155354929</v>
      </c>
      <c r="CH13" s="1707" t="n">
        <f aca="false">SUM(BA11:BA13)</f>
        <v>1575</v>
      </c>
      <c r="CI13" s="1712" t="n">
        <f aca="false">SUM(BB11:BB13)</f>
        <v>262.5</v>
      </c>
      <c r="CJ13" s="1712" t="n">
        <f aca="false">SUM(BC11:BC13)</f>
        <v>2432.5035</v>
      </c>
      <c r="CK13" s="1712" t="n">
        <f aca="false">SUM(BD11:BD13)</f>
        <v>831.0551</v>
      </c>
      <c r="CL13" s="1712" t="n">
        <f aca="false">SUM(BE11:BE13)</f>
        <v>8900.08684342106</v>
      </c>
      <c r="CM13" s="1708" t="n">
        <f aca="false">SUM(BF11:BF13)</f>
        <v>277.941176470588</v>
      </c>
      <c r="CN13" s="1710" t="n">
        <f aca="false">SUM(CH13:CM13)</f>
        <v>14279.0866198916</v>
      </c>
      <c r="CP13" s="1707" t="n">
        <f aca="false">SUM(BY13,CA13,CB13,CF13,CN13)</f>
        <v>73272.9903926367</v>
      </c>
      <c r="CQ13" s="109" t="n">
        <f aca="false">CP13*CQ$6</f>
        <v>78035.734768158</v>
      </c>
      <c r="CR13" s="1715" t="n">
        <f aca="false">CQ13*(1+CR$6)</f>
        <v>80159.9740813128</v>
      </c>
      <c r="CT13" s="1717" t="n">
        <f aca="false">SUM(CR11:CR13)</f>
        <v>80159.9740813128</v>
      </c>
      <c r="CU13" s="1714" t="n">
        <f aca="false">SUM($AC11:$AC13)</f>
        <v>21</v>
      </c>
      <c r="CV13" s="1719" t="n">
        <f aca="false">$BO13</f>
        <v>480</v>
      </c>
      <c r="CW13" s="1715" t="n">
        <f aca="false">CT13/CU13/CV13*1000</f>
        <v>7952.37838108262</v>
      </c>
    </row>
    <row r="14" customFormat="false" ht="12.75" hidden="false" customHeight="false" outlineLevel="0" collapsed="false">
      <c r="B14" s="660" t="n">
        <v>4</v>
      </c>
      <c r="C14" s="1706" t="n">
        <f aca="false">YEAR(Startops4)</f>
        <v>2002</v>
      </c>
      <c r="E14" s="1707" t="n">
        <f aca="false">VLOOKUP($C14,Sr_Debt_Table,O$78)</f>
        <v>10000.3258928571</v>
      </c>
      <c r="F14" s="1708" t="n">
        <f aca="false">VLOOKUP($C14,Sr_Debt_Table,P$78)</f>
        <v>10017.8571428571</v>
      </c>
      <c r="G14" s="1709" t="n">
        <f aca="false">VLOOKUP($C14,Sr_Debt_Table,R$78)</f>
        <v>3987.25126295221</v>
      </c>
      <c r="H14" s="1708" t="n">
        <f aca="false">VLOOKUP($C14,Sr_Debt_Table,S$78)</f>
        <v>545.214868494574</v>
      </c>
      <c r="I14" s="1710" t="n">
        <f aca="false">SUM(E14:H14)</f>
        <v>24550.6491671611</v>
      </c>
      <c r="K14" s="1707" t="n">
        <f aca="false">(K$6-1)*I14</f>
        <v>7365.19475014832</v>
      </c>
      <c r="L14" s="1711" t="n">
        <f aca="false">-HLOOKUP($C14,CF_Table,CF!$AB$34)</f>
        <v>349.775557535993</v>
      </c>
      <c r="N14" s="1707" t="n">
        <f aca="false">VLOOKUP($C14,Sub_Debt_Table,X$78)</f>
        <v>6397.33203104365</v>
      </c>
      <c r="O14" s="1708" t="n">
        <f aca="false">VLOOKUP($C14,Sub_Debt_Table,Z$78)</f>
        <v>2228.4103888757</v>
      </c>
      <c r="P14" s="1710" t="n">
        <f aca="false">SUM(N14:O14)</f>
        <v>8625.74241991935</v>
      </c>
      <c r="R14" s="1707" t="n">
        <f aca="false">VLOOKUP($C14,OM_Table_US,AD$78)</f>
        <v>900</v>
      </c>
      <c r="S14" s="1712" t="n">
        <f aca="false">VLOOKUP($C14,OM_Table_US,AE$78)</f>
        <v>150</v>
      </c>
      <c r="T14" s="1712" t="n">
        <f aca="false">VLOOKUP($C14,OM_Table_US,AF$78)</f>
        <v>1390.002</v>
      </c>
      <c r="U14" s="1712" t="n">
        <f aca="false">VLOOKUP($C14,OM_Table_US,AG$78)</f>
        <v>490.3197</v>
      </c>
      <c r="V14" s="1712" t="n">
        <f aca="false">VLOOKUP($C14,OM_Table_US,AH$78)</f>
        <v>5085.76391052632</v>
      </c>
      <c r="W14" s="1712" t="n">
        <f aca="false">VLOOKUP($C14,OM_Table_US,AI$78)</f>
        <v>158.823529411765</v>
      </c>
      <c r="X14" s="1711" t="n">
        <f aca="false">SUM(R14:W14)</f>
        <v>8174.90913993808</v>
      </c>
      <c r="Z14" s="1707" t="n">
        <f aca="false">SUM(I14,K14,L14,P14,X14)</f>
        <v>49066.2710347028</v>
      </c>
      <c r="AA14" s="109" t="n">
        <f aca="false">Z14*AA$6</f>
        <v>52255.5786519585</v>
      </c>
      <c r="AB14" s="109" t="n">
        <f aca="false">AA14*(1+AB$6)</f>
        <v>53678.0468946672</v>
      </c>
      <c r="AC14" s="1720" t="n">
        <v>8</v>
      </c>
      <c r="AD14" s="1714" t="n">
        <f aca="false">HLOOKUP($C14,CF_Table,CF!$AB$12)</f>
        <v>12</v>
      </c>
      <c r="AE14" s="109" t="n">
        <f aca="false">AB14*AC14/AD14</f>
        <v>35785.3645964448</v>
      </c>
      <c r="AF14" s="170" t="n">
        <v>480</v>
      </c>
      <c r="AG14" s="1715"/>
      <c r="AK14" s="1716" t="n">
        <f aca="false">$B14</f>
        <v>4</v>
      </c>
      <c r="AL14" s="187" t="n">
        <f aca="false">$C14</f>
        <v>2002</v>
      </c>
      <c r="AN14" s="1707" t="n">
        <f aca="false">E14*$AC14/$AD14</f>
        <v>6666.88392857143</v>
      </c>
      <c r="AO14" s="1708" t="n">
        <f aca="false">F14*$AC14/$AD14</f>
        <v>6678.57142857143</v>
      </c>
      <c r="AP14" s="1709" t="n">
        <f aca="false">G14*$AC14/$AD14</f>
        <v>2658.16750863481</v>
      </c>
      <c r="AQ14" s="1708" t="n">
        <f aca="false">H14*$AC14/$AD14</f>
        <v>363.476578996382</v>
      </c>
      <c r="AR14" s="1710" t="n">
        <f aca="false">SUM(AN14:AQ14)</f>
        <v>16367.099444774</v>
      </c>
      <c r="AT14" s="1707" t="n">
        <f aca="false">K14*$AC14/$AD14</f>
        <v>4910.12983343222</v>
      </c>
      <c r="AU14" s="1711" t="n">
        <f aca="false">L14*$AC14/$AD14</f>
        <v>233.183705023995</v>
      </c>
      <c r="AW14" s="1707" t="n">
        <f aca="false">N14*$AC14/$AD14</f>
        <v>4264.88802069577</v>
      </c>
      <c r="AX14" s="1708" t="n">
        <f aca="false">O14*$AC14/$AD14</f>
        <v>1485.60692591713</v>
      </c>
      <c r="AY14" s="1710" t="n">
        <f aca="false">SUM(AW14:AX14)</f>
        <v>5750.4949466129</v>
      </c>
      <c r="BA14" s="1707" t="n">
        <f aca="false">R14*$AC14/$AD14</f>
        <v>600</v>
      </c>
      <c r="BB14" s="1712" t="n">
        <f aca="false">S14*$AC14/$AD14</f>
        <v>100</v>
      </c>
      <c r="BC14" s="1712" t="n">
        <f aca="false">T14*$AC14/$AD14</f>
        <v>926.668</v>
      </c>
      <c r="BD14" s="1712" t="n">
        <f aca="false">U14*$AC14/$AD14</f>
        <v>326.8798</v>
      </c>
      <c r="BE14" s="1712" t="n">
        <f aca="false">V14*$AC14/$AD14</f>
        <v>3390.50927368421</v>
      </c>
      <c r="BF14" s="1712" t="n">
        <f aca="false">W14*$AC14/$AD14</f>
        <v>105.882352941176</v>
      </c>
      <c r="BG14" s="1711" t="n">
        <f aca="false">SUM(BA14:BF14)</f>
        <v>5449.93942662539</v>
      </c>
      <c r="BI14" s="1707" t="n">
        <f aca="false">SUM(AR14,AT14,AU14,AY14,BG14)</f>
        <v>32710.8473564685</v>
      </c>
      <c r="BJ14" s="109" t="n">
        <f aca="false">BI14*BJ$6</f>
        <v>34837.052434639</v>
      </c>
      <c r="BK14" s="1715" t="n">
        <f aca="false">BJ14*(1+BK$6)</f>
        <v>35785.3645964448</v>
      </c>
      <c r="BM14" s="1717"/>
      <c r="BN14" s="1714"/>
      <c r="BO14" s="1718"/>
      <c r="BP14" s="1715"/>
      <c r="BR14" s="1716" t="n">
        <f aca="false">$B14</f>
        <v>4</v>
      </c>
      <c r="BS14" s="187" t="n">
        <f aca="false">$C14</f>
        <v>2002</v>
      </c>
      <c r="BU14" s="1707"/>
      <c r="BV14" s="1708"/>
      <c r="BW14" s="1709"/>
      <c r="BX14" s="1708"/>
      <c r="BY14" s="1710"/>
      <c r="CA14" s="1707"/>
      <c r="CB14" s="1711"/>
      <c r="CD14" s="1707"/>
      <c r="CE14" s="1708"/>
      <c r="CF14" s="1710"/>
      <c r="CH14" s="1707"/>
      <c r="CI14" s="1712"/>
      <c r="CJ14" s="1712"/>
      <c r="CK14" s="1712"/>
      <c r="CL14" s="1712"/>
      <c r="CM14" s="1708"/>
      <c r="CN14" s="1710"/>
      <c r="CP14" s="1707"/>
      <c r="CQ14" s="109"/>
      <c r="CR14" s="1715"/>
      <c r="CT14" s="1717"/>
      <c r="CU14" s="1714"/>
      <c r="CV14" s="1719"/>
      <c r="CW14" s="1715"/>
    </row>
    <row r="15" customFormat="false" ht="12.75" hidden="false" customHeight="false" outlineLevel="0" collapsed="false">
      <c r="B15" s="1531" t="n">
        <f aca="false">B13+1</f>
        <v>4</v>
      </c>
      <c r="C15" s="1533" t="n">
        <f aca="false">C13+1</f>
        <v>2003</v>
      </c>
      <c r="E15" s="1707" t="n">
        <f aca="false">VLOOKUP($C15,Sr_Debt_Table,O$78)</f>
        <v>9273.02946428572</v>
      </c>
      <c r="F15" s="1708" t="n">
        <f aca="false">VLOOKUP($C15,Sr_Debt_Table,P$78)</f>
        <v>10017.8571428571</v>
      </c>
      <c r="G15" s="1709" t="n">
        <f aca="false">VLOOKUP($C15,Sr_Debt_Table,R$78)</f>
        <v>3916.78721740795</v>
      </c>
      <c r="H15" s="1708" t="n">
        <f aca="false">VLOOKUP($C15,Sr_Debt_Table,S$78)</f>
        <v>924.357049166911</v>
      </c>
      <c r="I15" s="1710" t="n">
        <f aca="false">SUM(E15:H15)</f>
        <v>24132.0308737177</v>
      </c>
      <c r="K15" s="1707" t="n">
        <f aca="false">(K$6-1)*I15</f>
        <v>7239.60926211532</v>
      </c>
      <c r="L15" s="1711" t="n">
        <f aca="false">-HLOOKUP($C15,CF_Table,CF!$AB$34)</f>
        <v>359.73877510785</v>
      </c>
      <c r="N15" s="1707" t="n">
        <f aca="false">VLOOKUP($C15,Sub_Debt_Table,X$78)</f>
        <v>6098.22364659681</v>
      </c>
      <c r="O15" s="1708" t="n">
        <f aca="false">VLOOKUP($C15,Sub_Debt_Table,Z$78)</f>
        <v>2527.51877332254</v>
      </c>
      <c r="P15" s="1710" t="n">
        <f aca="false">SUM(N15:O15)</f>
        <v>8625.74241991935</v>
      </c>
      <c r="R15" s="1707" t="n">
        <f aca="false">VLOOKUP($C15,OM_Table_US,AD$78)</f>
        <v>900</v>
      </c>
      <c r="S15" s="1712" t="n">
        <f aca="false">VLOOKUP($C15,OM_Table_US,AE$78)</f>
        <v>150</v>
      </c>
      <c r="T15" s="1712" t="n">
        <f aca="false">VLOOKUP($C15,OM_Table_US,AF$78)</f>
        <v>1390.002</v>
      </c>
      <c r="U15" s="1712" t="n">
        <f aca="false">VLOOKUP($C15,OM_Table_US,AG$78)</f>
        <v>490.3197</v>
      </c>
      <c r="V15" s="1712" t="n">
        <f aca="false">VLOOKUP($C15,OM_Table_US,AH$78)</f>
        <v>5085.76391052632</v>
      </c>
      <c r="W15" s="1712" t="n">
        <f aca="false">VLOOKUP($C15,OM_Table_US,AI$78)</f>
        <v>158.823529411765</v>
      </c>
      <c r="X15" s="1711" t="n">
        <f aca="false">SUM(R15:W15)</f>
        <v>8174.90913993808</v>
      </c>
      <c r="Z15" s="1707" t="n">
        <f aca="false">SUM(I15,K15,L15,P15,X15)</f>
        <v>48532.0304707983</v>
      </c>
      <c r="AA15" s="109" t="n">
        <f aca="false">Z15*AA$6</f>
        <v>51686.6124514002</v>
      </c>
      <c r="AB15" s="109" t="n">
        <f aca="false">AA15*(1+AB$6)</f>
        <v>53093.5926568055</v>
      </c>
      <c r="AC15" s="1713" t="n">
        <f aca="false">12-AC14</f>
        <v>4</v>
      </c>
      <c r="AD15" s="1714" t="n">
        <f aca="false">HLOOKUP($C15,CF_Table,CF!$AB$12)</f>
        <v>12</v>
      </c>
      <c r="AE15" s="109" t="n">
        <f aca="false">AB15*AC15/AD15</f>
        <v>17697.8642189352</v>
      </c>
      <c r="AF15" s="170" t="n">
        <v>480</v>
      </c>
      <c r="AG15" s="1715" t="n">
        <f aca="false">SUM(AE14:AE15)/AF15/SUM(AC14:AC15)*1000</f>
        <v>9285.28278044791</v>
      </c>
      <c r="AK15" s="1716" t="n">
        <f aca="false">$B15</f>
        <v>4</v>
      </c>
      <c r="AL15" s="187" t="n">
        <f aca="false">$C15</f>
        <v>2003</v>
      </c>
      <c r="AN15" s="1707" t="n">
        <f aca="false">E15*$AC15/$AD15</f>
        <v>3091.00982142857</v>
      </c>
      <c r="AO15" s="1708" t="n">
        <f aca="false">F15*$AC15/$AD15</f>
        <v>3339.28571428571</v>
      </c>
      <c r="AP15" s="1709" t="n">
        <f aca="false">G15*$AC15/$AD15</f>
        <v>1305.59573913598</v>
      </c>
      <c r="AQ15" s="1708" t="n">
        <f aca="false">H15*$AC15/$AD15</f>
        <v>308.11901638897</v>
      </c>
      <c r="AR15" s="1710" t="n">
        <f aca="false">SUM(AN15:AQ15)</f>
        <v>8044.01029123924</v>
      </c>
      <c r="AT15" s="1707" t="n">
        <f aca="false">K15*$AC15/$AD15</f>
        <v>2413.20308737177</v>
      </c>
      <c r="AU15" s="1711" t="n">
        <f aca="false">L15*$AC15/$AD15</f>
        <v>119.91292503595</v>
      </c>
      <c r="AW15" s="1707" t="n">
        <f aca="false">N15*$AC15/$AD15</f>
        <v>2032.74121553227</v>
      </c>
      <c r="AX15" s="1708" t="n">
        <f aca="false">O15*$AC15/$AD15</f>
        <v>842.50625777418</v>
      </c>
      <c r="AY15" s="1710" t="n">
        <f aca="false">SUM(AW15:AX15)</f>
        <v>2875.24747330645</v>
      </c>
      <c r="BA15" s="1707" t="n">
        <f aca="false">R15*$AC15/$AD15</f>
        <v>300</v>
      </c>
      <c r="BB15" s="1712" t="n">
        <f aca="false">S15*$AC15/$AD15</f>
        <v>50</v>
      </c>
      <c r="BC15" s="1712" t="n">
        <f aca="false">T15*$AC15/$AD15</f>
        <v>463.334</v>
      </c>
      <c r="BD15" s="1712" t="n">
        <f aca="false">U15*$AC15/$AD15</f>
        <v>163.4399</v>
      </c>
      <c r="BE15" s="1712" t="n">
        <f aca="false">V15*$AC15/$AD15</f>
        <v>1695.25463684211</v>
      </c>
      <c r="BF15" s="1712" t="n">
        <f aca="false">W15*$AC15/$AD15</f>
        <v>52.9411764705882</v>
      </c>
      <c r="BG15" s="1711" t="n">
        <f aca="false">SUM(BA15:BF15)</f>
        <v>2724.96971331269</v>
      </c>
      <c r="BI15" s="1707" t="n">
        <f aca="false">SUM(AR15,AT15,AU15,AY15,BG15)</f>
        <v>16177.3434902661</v>
      </c>
      <c r="BJ15" s="109" t="n">
        <f aca="false">BI15*BJ$6</f>
        <v>17228.8708171334</v>
      </c>
      <c r="BK15" s="1715" t="n">
        <f aca="false">BJ15*(1+BK$6)</f>
        <v>17697.8642189352</v>
      </c>
      <c r="BM15" s="1717" t="n">
        <f aca="false">SUM(BK14:BK15)</f>
        <v>53483.22881538</v>
      </c>
      <c r="BN15" s="1714" t="n">
        <f aca="false">SUM($AC14:$AC15)</f>
        <v>12</v>
      </c>
      <c r="BO15" s="1718" t="n">
        <v>480</v>
      </c>
      <c r="BP15" s="1715" t="n">
        <f aca="false">BM15/BN15/BO15*1000</f>
        <v>9285.28278044791</v>
      </c>
      <c r="BR15" s="1716" t="n">
        <f aca="false">$B15</f>
        <v>4</v>
      </c>
      <c r="BS15" s="187" t="n">
        <f aca="false">$C15</f>
        <v>2003</v>
      </c>
      <c r="BU15" s="1707" t="n">
        <f aca="false">SUM(AN14:AN15)</f>
        <v>9757.89375</v>
      </c>
      <c r="BV15" s="1708" t="n">
        <f aca="false">SUM(AO14:AO15)</f>
        <v>10017.8571428571</v>
      </c>
      <c r="BW15" s="1709" t="n">
        <f aca="false">SUM(AP14:AP15)</f>
        <v>3963.76324777079</v>
      </c>
      <c r="BX15" s="1708" t="n">
        <f aca="false">SUM(AQ14:AQ15)</f>
        <v>671.595595385353</v>
      </c>
      <c r="BY15" s="1710" t="n">
        <f aca="false">SUM(BU15:BX15)</f>
        <v>24411.1097360133</v>
      </c>
      <c r="CA15" s="1707" t="n">
        <f aca="false">SUM(AT14:AT15)</f>
        <v>7323.33292080399</v>
      </c>
      <c r="CB15" s="1711" t="n">
        <f aca="false">SUM(AU14:AU15)</f>
        <v>353.096630059945</v>
      </c>
      <c r="CD15" s="1707" t="n">
        <f aca="false">SUM(AW14:AW15)</f>
        <v>6297.62923622804</v>
      </c>
      <c r="CE15" s="1708" t="n">
        <f aca="false">SUM(AX14:AX15)</f>
        <v>2328.11318369131</v>
      </c>
      <c r="CF15" s="1710" t="n">
        <f aca="false">SUM(CD15:CE15)</f>
        <v>8625.74241991935</v>
      </c>
      <c r="CH15" s="1707" t="n">
        <f aca="false">SUM(BA14:BA15)</f>
        <v>900</v>
      </c>
      <c r="CI15" s="1712" t="n">
        <f aca="false">SUM(BB14:BB15)</f>
        <v>150</v>
      </c>
      <c r="CJ15" s="1712" t="n">
        <f aca="false">SUM(BC14:BC15)</f>
        <v>1390.002</v>
      </c>
      <c r="CK15" s="1712" t="n">
        <f aca="false">SUM(BD14:BD15)</f>
        <v>490.3197</v>
      </c>
      <c r="CL15" s="1712" t="n">
        <f aca="false">SUM(BE14:BE15)</f>
        <v>5085.76391052632</v>
      </c>
      <c r="CM15" s="1708" t="n">
        <f aca="false">SUM(BF14:BF15)</f>
        <v>158.823529411765</v>
      </c>
      <c r="CN15" s="1710" t="n">
        <f aca="false">SUM(CH15:CM15)</f>
        <v>8174.90913993808</v>
      </c>
      <c r="CP15" s="1707" t="n">
        <f aca="false">SUM(BY15,CA15,CB15,CF15,CN15)</f>
        <v>48888.1908467347</v>
      </c>
      <c r="CQ15" s="109" t="n">
        <f aca="false">CP15*CQ$6</f>
        <v>52065.9232517724</v>
      </c>
      <c r="CR15" s="1715" t="n">
        <f aca="false">CQ15*(1+CR$6)</f>
        <v>53483.22881538</v>
      </c>
      <c r="CT15" s="1717" t="n">
        <f aca="false">SUM(CR14:CR15)</f>
        <v>53483.22881538</v>
      </c>
      <c r="CU15" s="1714" t="n">
        <f aca="false">SUM($AC14:$AC15)</f>
        <v>12</v>
      </c>
      <c r="CV15" s="1719" t="n">
        <f aca="false">$BO15</f>
        <v>480</v>
      </c>
      <c r="CW15" s="1715" t="n">
        <f aca="false">CT15/CU15/CV15*1000</f>
        <v>9285.28278044791</v>
      </c>
    </row>
    <row r="16" customFormat="false" ht="12.75" hidden="false" customHeight="false" outlineLevel="0" collapsed="false">
      <c r="B16" s="1531" t="n">
        <f aca="false">B14+1</f>
        <v>5</v>
      </c>
      <c r="C16" s="1533" t="n">
        <f aca="false">C14+1</f>
        <v>2003</v>
      </c>
      <c r="E16" s="1707" t="n">
        <f aca="false">VLOOKUP($C16,Sr_Debt_Table,O$78)</f>
        <v>9273.02946428572</v>
      </c>
      <c r="F16" s="1708" t="n">
        <f aca="false">VLOOKUP($C16,Sr_Debt_Table,P$78)</f>
        <v>10017.8571428571</v>
      </c>
      <c r="G16" s="1709" t="n">
        <f aca="false">VLOOKUP($C16,Sr_Debt_Table,R$78)</f>
        <v>3916.78721740795</v>
      </c>
      <c r="H16" s="1708" t="n">
        <f aca="false">VLOOKUP($C16,Sr_Debt_Table,S$78)</f>
        <v>924.357049166911</v>
      </c>
      <c r="I16" s="1710" t="n">
        <f aca="false">SUM(E16:H16)</f>
        <v>24132.0308737177</v>
      </c>
      <c r="K16" s="1707" t="n">
        <f aca="false">(K$6-1)*I16</f>
        <v>7239.60926211532</v>
      </c>
      <c r="L16" s="1711" t="n">
        <f aca="false">-HLOOKUP($C16,CF_Table,CF!$AB$34)</f>
        <v>359.73877510785</v>
      </c>
      <c r="N16" s="1707" t="n">
        <f aca="false">VLOOKUP($C16,Sub_Debt_Table,X$78)</f>
        <v>6098.22364659681</v>
      </c>
      <c r="O16" s="1708" t="n">
        <f aca="false">VLOOKUP($C16,Sub_Debt_Table,Z$78)</f>
        <v>2527.51877332254</v>
      </c>
      <c r="P16" s="1710" t="n">
        <f aca="false">SUM(N16:O16)</f>
        <v>8625.74241991935</v>
      </c>
      <c r="R16" s="1707" t="n">
        <f aca="false">VLOOKUP($C16,OM_Table_US,AD$78)</f>
        <v>900</v>
      </c>
      <c r="S16" s="1712" t="n">
        <f aca="false">VLOOKUP($C16,OM_Table_US,AE$78)</f>
        <v>150</v>
      </c>
      <c r="T16" s="1712" t="n">
        <f aca="false">VLOOKUP($C16,OM_Table_US,AF$78)</f>
        <v>1390.002</v>
      </c>
      <c r="U16" s="1712" t="n">
        <f aca="false">VLOOKUP($C16,OM_Table_US,AG$78)</f>
        <v>490.3197</v>
      </c>
      <c r="V16" s="1712" t="n">
        <f aca="false">VLOOKUP($C16,OM_Table_US,AH$78)</f>
        <v>5085.76391052632</v>
      </c>
      <c r="W16" s="1712" t="n">
        <f aca="false">VLOOKUP($C16,OM_Table_US,AI$78)</f>
        <v>158.823529411765</v>
      </c>
      <c r="X16" s="1711" t="n">
        <f aca="false">SUM(R16:W16)</f>
        <v>8174.90913993808</v>
      </c>
      <c r="Z16" s="1707" t="n">
        <f aca="false">SUM(I16,K16,L16,P16,X16)</f>
        <v>48532.0304707983</v>
      </c>
      <c r="AA16" s="109" t="n">
        <f aca="false">Z16*AA$6</f>
        <v>51686.6124514002</v>
      </c>
      <c r="AB16" s="109" t="n">
        <f aca="false">AA16*(1+AB$6)</f>
        <v>53093.5926568055</v>
      </c>
      <c r="AC16" s="1713" t="n">
        <f aca="false">12-AC15</f>
        <v>8</v>
      </c>
      <c r="AD16" s="1714" t="n">
        <f aca="false">HLOOKUP($C16,CF_Table,CF!$AB$12)</f>
        <v>12</v>
      </c>
      <c r="AE16" s="109" t="n">
        <f aca="false">AB16*AC16/AD16</f>
        <v>35395.7284378704</v>
      </c>
      <c r="AF16" s="170" t="n">
        <v>480</v>
      </c>
      <c r="AG16" s="1715"/>
      <c r="AK16" s="1716" t="n">
        <f aca="false">$B16</f>
        <v>5</v>
      </c>
      <c r="AL16" s="187" t="n">
        <f aca="false">$C16</f>
        <v>2003</v>
      </c>
      <c r="AN16" s="1707" t="n">
        <f aca="false">E16*$AC16/$AD16</f>
        <v>6182.01964285714</v>
      </c>
      <c r="AO16" s="1708" t="n">
        <f aca="false">F16*$AC16/$AD16</f>
        <v>6678.57142857143</v>
      </c>
      <c r="AP16" s="1709" t="n">
        <f aca="false">G16*$AC16/$AD16</f>
        <v>2611.19147827197</v>
      </c>
      <c r="AQ16" s="1708" t="n">
        <f aca="false">H16*$AC16/$AD16</f>
        <v>616.23803277794</v>
      </c>
      <c r="AR16" s="1710" t="n">
        <f aca="false">SUM(AN16:AQ16)</f>
        <v>16088.0205824785</v>
      </c>
      <c r="AT16" s="1707" t="n">
        <f aca="false">K16*$AC16/$AD16</f>
        <v>4826.40617474354</v>
      </c>
      <c r="AU16" s="1711" t="n">
        <f aca="false">L16*$AC16/$AD16</f>
        <v>239.8258500719</v>
      </c>
      <c r="AW16" s="1707" t="n">
        <f aca="false">N16*$AC16/$AD16</f>
        <v>4065.48243106454</v>
      </c>
      <c r="AX16" s="1708" t="n">
        <f aca="false">O16*$AC16/$AD16</f>
        <v>1685.01251554836</v>
      </c>
      <c r="AY16" s="1710" t="n">
        <f aca="false">SUM(AW16:AX16)</f>
        <v>5750.4949466129</v>
      </c>
      <c r="BA16" s="1707" t="n">
        <f aca="false">R16*$AC16/$AD16</f>
        <v>600</v>
      </c>
      <c r="BB16" s="1712" t="n">
        <f aca="false">S16*$AC16/$AD16</f>
        <v>100</v>
      </c>
      <c r="BC16" s="1712" t="n">
        <f aca="false">T16*$AC16/$AD16</f>
        <v>926.668</v>
      </c>
      <c r="BD16" s="1712" t="n">
        <f aca="false">U16*$AC16/$AD16</f>
        <v>326.8798</v>
      </c>
      <c r="BE16" s="1712" t="n">
        <f aca="false">V16*$AC16/$AD16</f>
        <v>3390.50927368421</v>
      </c>
      <c r="BF16" s="1712" t="n">
        <f aca="false">W16*$AC16/$AD16</f>
        <v>105.882352941176</v>
      </c>
      <c r="BG16" s="1711" t="n">
        <f aca="false">SUM(BA16:BF16)</f>
        <v>5449.93942662539</v>
      </c>
      <c r="BI16" s="1707" t="n">
        <f aca="false">SUM(AR16,AT16,AU16,AY16,BG16)</f>
        <v>32354.6869805322</v>
      </c>
      <c r="BJ16" s="109" t="n">
        <f aca="false">BI16*BJ$6</f>
        <v>34457.7416342668</v>
      </c>
      <c r="BK16" s="1715" t="n">
        <f aca="false">BJ16*(1+BK$6)</f>
        <v>35395.7284378704</v>
      </c>
      <c r="BM16" s="1717"/>
      <c r="BN16" s="1714"/>
      <c r="BO16" s="1718"/>
      <c r="BP16" s="1715"/>
      <c r="BR16" s="1716" t="n">
        <f aca="false">$B16</f>
        <v>5</v>
      </c>
      <c r="BS16" s="187" t="n">
        <f aca="false">$C16</f>
        <v>2003</v>
      </c>
      <c r="BU16" s="1707"/>
      <c r="BV16" s="1708"/>
      <c r="BW16" s="1709"/>
      <c r="BX16" s="1708"/>
      <c r="BY16" s="1710"/>
      <c r="CA16" s="1707"/>
      <c r="CB16" s="1711"/>
      <c r="CD16" s="1707"/>
      <c r="CE16" s="1708"/>
      <c r="CF16" s="1710"/>
      <c r="CH16" s="1707"/>
      <c r="CI16" s="1712"/>
      <c r="CJ16" s="1712"/>
      <c r="CK16" s="1712"/>
      <c r="CL16" s="1712"/>
      <c r="CM16" s="1708"/>
      <c r="CN16" s="1710"/>
      <c r="CP16" s="1707"/>
      <c r="CQ16" s="109"/>
      <c r="CR16" s="1715"/>
      <c r="CT16" s="1717"/>
      <c r="CU16" s="1714"/>
      <c r="CV16" s="1719"/>
      <c r="CW16" s="1715"/>
    </row>
    <row r="17" customFormat="false" ht="12.75" hidden="false" customHeight="false" outlineLevel="0" collapsed="false">
      <c r="B17" s="1531" t="n">
        <f aca="false">B15+1</f>
        <v>5</v>
      </c>
      <c r="C17" s="1533" t="n">
        <f aca="false">C15+1</f>
        <v>2004</v>
      </c>
      <c r="E17" s="1707" t="n">
        <f aca="false">VLOOKUP($C17,Sr_Debt_Table,O$78)</f>
        <v>8545.73303571429</v>
      </c>
      <c r="F17" s="1708" t="n">
        <f aca="false">VLOOKUP($C17,Sr_Debt_Table,P$78)</f>
        <v>10017.8571428571</v>
      </c>
      <c r="G17" s="1709" t="n">
        <f aca="false">VLOOKUP($C17,Sr_Debt_Table,R$78)</f>
        <v>3768.98953581929</v>
      </c>
      <c r="H17" s="1708" t="n">
        <f aca="false">VLOOKUP($C17,Sr_Debt_Table,S$78)</f>
        <v>2596.50856507559</v>
      </c>
      <c r="I17" s="1710" t="n">
        <f aca="false">SUM(E17:H17)</f>
        <v>24929.0882794663</v>
      </c>
      <c r="K17" s="1707" t="n">
        <f aca="false">(K$6-1)*I17</f>
        <v>7478.7264838399</v>
      </c>
      <c r="L17" s="1711" t="n">
        <f aca="false">-HLOOKUP($C17,CF_Table,CF!$AB$34)</f>
        <v>355.637680165807</v>
      </c>
      <c r="N17" s="1707" t="n">
        <f aca="false">VLOOKUP($C17,Sub_Debt_Table,X$78)</f>
        <v>5758.9674392476</v>
      </c>
      <c r="O17" s="1708" t="n">
        <f aca="false">VLOOKUP($C17,Sub_Debt_Table,Z$78)</f>
        <v>2866.77498067176</v>
      </c>
      <c r="P17" s="1710" t="n">
        <f aca="false">SUM(N17:O17)</f>
        <v>8625.74241991935</v>
      </c>
      <c r="R17" s="1707" t="n">
        <f aca="false">VLOOKUP($C17,OM_Table_US,AD$78)</f>
        <v>900</v>
      </c>
      <c r="S17" s="1712" t="n">
        <f aca="false">VLOOKUP($C17,OM_Table_US,AE$78)</f>
        <v>150</v>
      </c>
      <c r="T17" s="1712" t="n">
        <f aca="false">VLOOKUP($C17,OM_Table_US,AF$78)</f>
        <v>1390.002</v>
      </c>
      <c r="U17" s="1712" t="n">
        <f aca="false">VLOOKUP($C17,OM_Table_US,AG$78)</f>
        <v>490.3197</v>
      </c>
      <c r="V17" s="1712" t="n">
        <f aca="false">VLOOKUP($C17,OM_Table_US,AH$78)</f>
        <v>5085.76391052632</v>
      </c>
      <c r="W17" s="1712" t="n">
        <f aca="false">VLOOKUP($C17,OM_Table_US,AI$78)</f>
        <v>158.823529411765</v>
      </c>
      <c r="X17" s="1711" t="n">
        <f aca="false">SUM(R17:W17)</f>
        <v>8174.90913993808</v>
      </c>
      <c r="Z17" s="1707" t="n">
        <f aca="false">SUM(I17,K17,L17,P17,X17)</f>
        <v>49564.1040033295</v>
      </c>
      <c r="AA17" s="109" t="n">
        <f aca="false">Z17*AA$6</f>
        <v>52785.7707635459</v>
      </c>
      <c r="AB17" s="109" t="n">
        <f aca="false">AA17*(1+AB$6)</f>
        <v>54222.6715598827</v>
      </c>
      <c r="AC17" s="1713" t="n">
        <f aca="false">12-AC16</f>
        <v>4</v>
      </c>
      <c r="AD17" s="1714" t="n">
        <f aca="false">HLOOKUP($C17,CF_Table,CF!$AB$12)</f>
        <v>12</v>
      </c>
      <c r="AE17" s="109" t="n">
        <f aca="false">AB17*AC17/AD17</f>
        <v>18074.2238532942</v>
      </c>
      <c r="AF17" s="170" t="n">
        <v>480</v>
      </c>
      <c r="AG17" s="1715" t="n">
        <f aca="false">SUM(AE16:AE17)/AF17/SUM(AC16:AC17)*1000</f>
        <v>9282.97782832719</v>
      </c>
      <c r="AK17" s="1716" t="n">
        <f aca="false">$B17</f>
        <v>5</v>
      </c>
      <c r="AL17" s="187" t="n">
        <f aca="false">$C17</f>
        <v>2004</v>
      </c>
      <c r="AN17" s="1707" t="n">
        <f aca="false">E17*$AC17/$AD17</f>
        <v>2848.57767857143</v>
      </c>
      <c r="AO17" s="1708" t="n">
        <f aca="false">F17*$AC17/$AD17</f>
        <v>3339.28571428571</v>
      </c>
      <c r="AP17" s="1709" t="n">
        <f aca="false">G17*$AC17/$AD17</f>
        <v>1256.3298452731</v>
      </c>
      <c r="AQ17" s="1708" t="n">
        <f aca="false">H17*$AC17/$AD17</f>
        <v>865.502855025198</v>
      </c>
      <c r="AR17" s="1710" t="n">
        <f aca="false">SUM(AN17:AQ17)</f>
        <v>8309.69609315544</v>
      </c>
      <c r="AT17" s="1707" t="n">
        <f aca="false">K17*$AC17/$AD17</f>
        <v>2492.90882794663</v>
      </c>
      <c r="AU17" s="1711" t="n">
        <f aca="false">L17*$AC17/$AD17</f>
        <v>118.545893388603</v>
      </c>
      <c r="AW17" s="1707" t="n">
        <f aca="false">N17*$AC17/$AD17</f>
        <v>1919.65581308253</v>
      </c>
      <c r="AX17" s="1708" t="n">
        <f aca="false">O17*$AC17/$AD17</f>
        <v>955.591660223919</v>
      </c>
      <c r="AY17" s="1710" t="n">
        <f aca="false">SUM(AW17:AX17)</f>
        <v>2875.24747330645</v>
      </c>
      <c r="BA17" s="1707" t="n">
        <f aca="false">R17*$AC17/$AD17</f>
        <v>300</v>
      </c>
      <c r="BB17" s="1712" t="n">
        <f aca="false">S17*$AC17/$AD17</f>
        <v>50</v>
      </c>
      <c r="BC17" s="1712" t="n">
        <f aca="false">T17*$AC17/$AD17</f>
        <v>463.334</v>
      </c>
      <c r="BD17" s="1712" t="n">
        <f aca="false">U17*$AC17/$AD17</f>
        <v>163.4399</v>
      </c>
      <c r="BE17" s="1712" t="n">
        <f aca="false">V17*$AC17/$AD17</f>
        <v>1695.25463684211</v>
      </c>
      <c r="BF17" s="1712" t="n">
        <f aca="false">W17*$AC17/$AD17</f>
        <v>52.9411764705882</v>
      </c>
      <c r="BG17" s="1711" t="n">
        <f aca="false">SUM(BA17:BF17)</f>
        <v>2724.96971331269</v>
      </c>
      <c r="BI17" s="1707" t="n">
        <f aca="false">SUM(AR17,AT17,AU17,AY17,BG17)</f>
        <v>16521.3680011098</v>
      </c>
      <c r="BJ17" s="109" t="n">
        <f aca="false">BI17*BJ$6</f>
        <v>17595.256921182</v>
      </c>
      <c r="BK17" s="1715" t="n">
        <f aca="false">BJ17*(1+BK$6)</f>
        <v>18074.2238532943</v>
      </c>
      <c r="BM17" s="1717" t="n">
        <f aca="false">SUM(BK16:BK17)</f>
        <v>53469.9522911646</v>
      </c>
      <c r="BN17" s="1714" t="n">
        <f aca="false">SUM($AC16:$AC17)</f>
        <v>12</v>
      </c>
      <c r="BO17" s="1718" t="n">
        <v>480</v>
      </c>
      <c r="BP17" s="1715" t="n">
        <f aca="false">BM17/BN17/BO17*1000</f>
        <v>9282.97782832719</v>
      </c>
      <c r="BR17" s="1716" t="n">
        <f aca="false">$B17</f>
        <v>5</v>
      </c>
      <c r="BS17" s="187" t="n">
        <f aca="false">$C17</f>
        <v>2004</v>
      </c>
      <c r="BU17" s="1707" t="n">
        <f aca="false">SUM(AN16:AN17)</f>
        <v>9030.59732142857</v>
      </c>
      <c r="BV17" s="1708" t="n">
        <f aca="false">SUM(AO16:AO17)</f>
        <v>10017.8571428571</v>
      </c>
      <c r="BW17" s="1709" t="n">
        <f aca="false">SUM(AP16:AP17)</f>
        <v>3867.52132354506</v>
      </c>
      <c r="BX17" s="1708" t="n">
        <f aca="false">SUM(AQ16:AQ17)</f>
        <v>1481.74088780314</v>
      </c>
      <c r="BY17" s="1710" t="n">
        <f aca="false">SUM(BU17:BX17)</f>
        <v>24397.7166756339</v>
      </c>
      <c r="CA17" s="1707" t="n">
        <f aca="false">SUM(AT16:AT17)</f>
        <v>7319.31500269018</v>
      </c>
      <c r="CB17" s="1711" t="n">
        <f aca="false">SUM(AU16:AU17)</f>
        <v>358.371743460503</v>
      </c>
      <c r="CD17" s="1707" t="n">
        <f aca="false">SUM(AW16:AW17)</f>
        <v>5985.13824414707</v>
      </c>
      <c r="CE17" s="1708" t="n">
        <f aca="false">SUM(AX16:AX17)</f>
        <v>2640.60417577228</v>
      </c>
      <c r="CF17" s="1710" t="n">
        <f aca="false">SUM(CD17:CE17)</f>
        <v>8625.74241991935</v>
      </c>
      <c r="CH17" s="1707" t="n">
        <f aca="false">SUM(BA16:BA17)</f>
        <v>900</v>
      </c>
      <c r="CI17" s="1712" t="n">
        <f aca="false">SUM(BB16:BB17)</f>
        <v>150</v>
      </c>
      <c r="CJ17" s="1712" t="n">
        <f aca="false">SUM(BC16:BC17)</f>
        <v>1390.002</v>
      </c>
      <c r="CK17" s="1712" t="n">
        <f aca="false">SUM(BD16:BD17)</f>
        <v>490.3197</v>
      </c>
      <c r="CL17" s="1712" t="n">
        <f aca="false">SUM(BE16:BE17)</f>
        <v>5085.76391052632</v>
      </c>
      <c r="CM17" s="1708" t="n">
        <f aca="false">SUM(BF16:BF17)</f>
        <v>158.823529411765</v>
      </c>
      <c r="CN17" s="1710" t="n">
        <f aca="false">SUM(CH17:CM17)</f>
        <v>8174.90913993808</v>
      </c>
      <c r="CP17" s="1707" t="n">
        <f aca="false">SUM(BY17,CA17,CB17,CF17,CN17)</f>
        <v>48876.054981642</v>
      </c>
      <c r="CQ17" s="109" t="n">
        <f aca="false">CP17*CQ$6</f>
        <v>52052.9985554488</v>
      </c>
      <c r="CR17" s="1715" t="n">
        <f aca="false">CQ17*(1+CR$6)</f>
        <v>53469.9522911646</v>
      </c>
      <c r="CT17" s="1717" t="n">
        <f aca="false">SUM(CR16:CR17)</f>
        <v>53469.9522911646</v>
      </c>
      <c r="CU17" s="1714" t="n">
        <f aca="false">SUM($AC16:$AC17)</f>
        <v>12</v>
      </c>
      <c r="CV17" s="1719" t="n">
        <f aca="false">$BO17</f>
        <v>480</v>
      </c>
      <c r="CW17" s="1715" t="n">
        <f aca="false">CT17/CU17/CV17*1000</f>
        <v>9282.97782832719</v>
      </c>
    </row>
    <row r="18" customFormat="false" ht="12.75" hidden="false" customHeight="false" outlineLevel="0" collapsed="false">
      <c r="B18" s="1531" t="n">
        <f aca="false">B16+1</f>
        <v>6</v>
      </c>
      <c r="C18" s="1533" t="n">
        <f aca="false">C16+1</f>
        <v>2004</v>
      </c>
      <c r="E18" s="1707" t="n">
        <f aca="false">VLOOKUP($C18,Sr_Debt_Table,O$78)</f>
        <v>8545.73303571429</v>
      </c>
      <c r="F18" s="1708" t="n">
        <f aca="false">VLOOKUP($C18,Sr_Debt_Table,P$78)</f>
        <v>10017.8571428571</v>
      </c>
      <c r="G18" s="1709" t="n">
        <f aca="false">VLOOKUP($C18,Sr_Debt_Table,R$78)</f>
        <v>3768.98953581929</v>
      </c>
      <c r="H18" s="1708" t="n">
        <f aca="false">VLOOKUP($C18,Sr_Debt_Table,S$78)</f>
        <v>2596.50856507559</v>
      </c>
      <c r="I18" s="1710" t="n">
        <f aca="false">SUM(E18:H18)</f>
        <v>24929.0882794663</v>
      </c>
      <c r="K18" s="1707" t="n">
        <f aca="false">(K$6-1)*I18</f>
        <v>7478.7264838399</v>
      </c>
      <c r="L18" s="1711" t="n">
        <f aca="false">-HLOOKUP($C18,CF_Table,CF!$AB$34)</f>
        <v>355.637680165807</v>
      </c>
      <c r="N18" s="1707" t="n">
        <f aca="false">VLOOKUP($C18,Sub_Debt_Table,X$78)</f>
        <v>5758.9674392476</v>
      </c>
      <c r="O18" s="1708" t="n">
        <f aca="false">VLOOKUP($C18,Sub_Debt_Table,Z$78)</f>
        <v>2866.77498067176</v>
      </c>
      <c r="P18" s="1710" t="n">
        <f aca="false">SUM(N18:O18)</f>
        <v>8625.74241991935</v>
      </c>
      <c r="R18" s="1707" t="n">
        <f aca="false">VLOOKUP($C18,OM_Table_US,AD$78)</f>
        <v>900</v>
      </c>
      <c r="S18" s="1712" t="n">
        <f aca="false">VLOOKUP($C18,OM_Table_US,AE$78)</f>
        <v>150</v>
      </c>
      <c r="T18" s="1712" t="n">
        <f aca="false">VLOOKUP($C18,OM_Table_US,AF$78)</f>
        <v>1390.002</v>
      </c>
      <c r="U18" s="1712" t="n">
        <f aca="false">VLOOKUP($C18,OM_Table_US,AG$78)</f>
        <v>490.3197</v>
      </c>
      <c r="V18" s="1712" t="n">
        <f aca="false">VLOOKUP($C18,OM_Table_US,AH$78)</f>
        <v>5085.76391052632</v>
      </c>
      <c r="W18" s="1712" t="n">
        <f aca="false">VLOOKUP($C18,OM_Table_US,AI$78)</f>
        <v>158.823529411765</v>
      </c>
      <c r="X18" s="1711" t="n">
        <f aca="false">SUM(R18:W18)</f>
        <v>8174.90913993808</v>
      </c>
      <c r="Z18" s="1707" t="n">
        <f aca="false">SUM(I18,K18,L18,P18,X18)</f>
        <v>49564.1040033295</v>
      </c>
      <c r="AA18" s="109" t="n">
        <f aca="false">Z18*AA$6</f>
        <v>52785.7707635459</v>
      </c>
      <c r="AB18" s="109" t="n">
        <f aca="false">AA18*(1+AB$6)</f>
        <v>54222.6715598827</v>
      </c>
      <c r="AC18" s="1713" t="n">
        <f aca="false">12-AC17</f>
        <v>8</v>
      </c>
      <c r="AD18" s="1714" t="n">
        <f aca="false">HLOOKUP($C18,CF_Table,CF!$AB$12)</f>
        <v>12</v>
      </c>
      <c r="AE18" s="109" t="n">
        <f aca="false">AB18*AC18/AD18</f>
        <v>36148.4477065885</v>
      </c>
      <c r="AF18" s="170" t="n">
        <v>480</v>
      </c>
      <c r="AG18" s="1715"/>
      <c r="AK18" s="1716" t="n">
        <f aca="false">$B18</f>
        <v>6</v>
      </c>
      <c r="AL18" s="187" t="n">
        <f aca="false">$C18</f>
        <v>2004</v>
      </c>
      <c r="AN18" s="1707" t="n">
        <f aca="false">E18*$AC18/$AD18</f>
        <v>5697.15535714286</v>
      </c>
      <c r="AO18" s="1708" t="n">
        <f aca="false">F18*$AC18/$AD18</f>
        <v>6678.57142857143</v>
      </c>
      <c r="AP18" s="1709" t="n">
        <f aca="false">G18*$AC18/$AD18</f>
        <v>2512.65969054619</v>
      </c>
      <c r="AQ18" s="1708" t="n">
        <f aca="false">H18*$AC18/$AD18</f>
        <v>1731.0057100504</v>
      </c>
      <c r="AR18" s="1710" t="n">
        <f aca="false">SUM(AN18:AQ18)</f>
        <v>16619.3921863109</v>
      </c>
      <c r="AT18" s="1707" t="n">
        <f aca="false">K18*$AC18/$AD18</f>
        <v>4985.81765589326</v>
      </c>
      <c r="AU18" s="1711" t="n">
        <f aca="false">L18*$AC18/$AD18</f>
        <v>237.091786777205</v>
      </c>
      <c r="AW18" s="1707" t="n">
        <f aca="false">N18*$AC18/$AD18</f>
        <v>3839.31162616506</v>
      </c>
      <c r="AX18" s="1708" t="n">
        <f aca="false">O18*$AC18/$AD18</f>
        <v>1911.18332044784</v>
      </c>
      <c r="AY18" s="1710" t="n">
        <f aca="false">SUM(AW18:AX18)</f>
        <v>5750.4949466129</v>
      </c>
      <c r="BA18" s="1707" t="n">
        <f aca="false">R18*$AC18/$AD18</f>
        <v>600</v>
      </c>
      <c r="BB18" s="1712" t="n">
        <f aca="false">S18*$AC18/$AD18</f>
        <v>100</v>
      </c>
      <c r="BC18" s="1712" t="n">
        <f aca="false">T18*$AC18/$AD18</f>
        <v>926.668</v>
      </c>
      <c r="BD18" s="1712" t="n">
        <f aca="false">U18*$AC18/$AD18</f>
        <v>326.8798</v>
      </c>
      <c r="BE18" s="1712" t="n">
        <f aca="false">V18*$AC18/$AD18</f>
        <v>3390.50927368421</v>
      </c>
      <c r="BF18" s="1712" t="n">
        <f aca="false">W18*$AC18/$AD18</f>
        <v>105.882352941176</v>
      </c>
      <c r="BG18" s="1711" t="n">
        <f aca="false">SUM(BA18:BF18)</f>
        <v>5449.93942662539</v>
      </c>
      <c r="BI18" s="1707" t="n">
        <f aca="false">SUM(AR18,AT18,AU18,AY18,BG18)</f>
        <v>33042.7360022196</v>
      </c>
      <c r="BJ18" s="109" t="n">
        <f aca="false">BI18*BJ$6</f>
        <v>35190.5138423639</v>
      </c>
      <c r="BK18" s="1715" t="n">
        <f aca="false">BJ18*(1+BK$6)</f>
        <v>36148.4477065885</v>
      </c>
      <c r="BM18" s="1717"/>
      <c r="BN18" s="1714"/>
      <c r="BO18" s="1718"/>
      <c r="BP18" s="1715"/>
      <c r="BR18" s="1716" t="n">
        <f aca="false">$B18</f>
        <v>6</v>
      </c>
      <c r="BS18" s="187" t="n">
        <f aca="false">$C18</f>
        <v>2004</v>
      </c>
      <c r="BU18" s="1707"/>
      <c r="BV18" s="1708"/>
      <c r="BW18" s="1709"/>
      <c r="BX18" s="1708"/>
      <c r="BY18" s="1710"/>
      <c r="CA18" s="1707"/>
      <c r="CB18" s="1711"/>
      <c r="CD18" s="1707"/>
      <c r="CE18" s="1708"/>
      <c r="CF18" s="1710"/>
      <c r="CH18" s="1707"/>
      <c r="CI18" s="1712"/>
      <c r="CJ18" s="1712"/>
      <c r="CK18" s="1712"/>
      <c r="CL18" s="1712"/>
      <c r="CM18" s="1708"/>
      <c r="CN18" s="1710"/>
      <c r="CP18" s="1707"/>
      <c r="CQ18" s="109"/>
      <c r="CR18" s="1715"/>
      <c r="CT18" s="1717"/>
      <c r="CU18" s="1714"/>
      <c r="CV18" s="1719"/>
      <c r="CW18" s="1715"/>
    </row>
    <row r="19" customFormat="false" ht="12.75" hidden="false" customHeight="false" outlineLevel="0" collapsed="false">
      <c r="B19" s="1531" t="n">
        <f aca="false">B17+1</f>
        <v>6</v>
      </c>
      <c r="C19" s="1533" t="n">
        <f aca="false">C17+1</f>
        <v>2005</v>
      </c>
      <c r="E19" s="1707" t="n">
        <f aca="false">VLOOKUP($C19,Sr_Debt_Table,O$78)</f>
        <v>7818.43660714286</v>
      </c>
      <c r="F19" s="1708" t="n">
        <f aca="false">VLOOKUP($C19,Sr_Debt_Table,P$78)</f>
        <v>10017.8571428571</v>
      </c>
      <c r="G19" s="1709" t="n">
        <f aca="false">VLOOKUP($C19,Sr_Debt_Table,R$78)</f>
        <v>3468.40469062521</v>
      </c>
      <c r="H19" s="1708" t="n">
        <f aca="false">VLOOKUP($C19,Sr_Debt_Table,S$78)</f>
        <v>3296.30224347767</v>
      </c>
      <c r="I19" s="1710" t="n">
        <f aca="false">SUM(E19:H19)</f>
        <v>24601.0006841029</v>
      </c>
      <c r="K19" s="1707" t="n">
        <f aca="false">(K$6-1)*I19</f>
        <v>7380.30020523087</v>
      </c>
      <c r="L19" s="1711" t="n">
        <f aca="false">-HLOOKUP($C19,CF_Table,CF!$AB$34)</f>
        <v>347.371512062213</v>
      </c>
      <c r="N19" s="1707" t="n">
        <f aca="false">VLOOKUP($C19,Sub_Debt_Table,X$78)</f>
        <v>5374.17456746693</v>
      </c>
      <c r="O19" s="1708" t="n">
        <f aca="false">VLOOKUP($C19,Sub_Debt_Table,Z$78)</f>
        <v>3251.56785245242</v>
      </c>
      <c r="P19" s="1710" t="n">
        <f aca="false">SUM(N19:O19)</f>
        <v>8625.74241991935</v>
      </c>
      <c r="R19" s="1707" t="n">
        <f aca="false">VLOOKUP($C19,OM_Table_US,AD$78)</f>
        <v>900</v>
      </c>
      <c r="S19" s="1712" t="n">
        <f aca="false">VLOOKUP($C19,OM_Table_US,AE$78)</f>
        <v>150</v>
      </c>
      <c r="T19" s="1712" t="n">
        <f aca="false">VLOOKUP($C19,OM_Table_US,AF$78)</f>
        <v>1390.002</v>
      </c>
      <c r="U19" s="1712" t="n">
        <f aca="false">VLOOKUP($C19,OM_Table_US,AG$78)</f>
        <v>490.3197</v>
      </c>
      <c r="V19" s="1712" t="n">
        <f aca="false">VLOOKUP($C19,OM_Table_US,AH$78)</f>
        <v>5085.76391052632</v>
      </c>
      <c r="W19" s="1712" t="n">
        <f aca="false">VLOOKUP($C19,OM_Table_US,AI$78)</f>
        <v>158.823529411765</v>
      </c>
      <c r="X19" s="1711" t="n">
        <f aca="false">SUM(R19:W19)</f>
        <v>8174.90913993808</v>
      </c>
      <c r="Z19" s="1707" t="n">
        <f aca="false">SUM(I19,K19,L19,P19,X19)</f>
        <v>49129.3239612534</v>
      </c>
      <c r="AA19" s="109" t="n">
        <f aca="false">Z19*AA$6</f>
        <v>52322.7300187349</v>
      </c>
      <c r="AB19" s="109" t="n">
        <f aca="false">AA19*(1+AB$6)</f>
        <v>53747.0262133897</v>
      </c>
      <c r="AC19" s="1713" t="n">
        <f aca="false">12-AC18</f>
        <v>4</v>
      </c>
      <c r="AD19" s="1714" t="n">
        <f aca="false">HLOOKUP($C19,CF_Table,CF!$AB$12)</f>
        <v>12</v>
      </c>
      <c r="AE19" s="109" t="n">
        <f aca="false">AB19*AC19/AD19</f>
        <v>17915.6754044632</v>
      </c>
      <c r="AF19" s="170" t="n">
        <v>480</v>
      </c>
      <c r="AG19" s="1715" t="n">
        <f aca="false">SUM(AE18:AE19)/AF19/SUM(AC18:AC19)*1000</f>
        <v>9386.13248455759</v>
      </c>
      <c r="AK19" s="1716" t="n">
        <f aca="false">$B19</f>
        <v>6</v>
      </c>
      <c r="AL19" s="187" t="n">
        <f aca="false">$C19</f>
        <v>2005</v>
      </c>
      <c r="AN19" s="1707" t="n">
        <f aca="false">E19*$AC19/$AD19</f>
        <v>2606.14553571429</v>
      </c>
      <c r="AO19" s="1708" t="n">
        <f aca="false">F19*$AC19/$AD19</f>
        <v>3339.28571428571</v>
      </c>
      <c r="AP19" s="1709" t="n">
        <f aca="false">G19*$AC19/$AD19</f>
        <v>1156.13489687507</v>
      </c>
      <c r="AQ19" s="1708" t="n">
        <f aca="false">H19*$AC19/$AD19</f>
        <v>1098.76741449256</v>
      </c>
      <c r="AR19" s="1710" t="n">
        <f aca="false">SUM(AN19:AQ19)</f>
        <v>8200.33356136763</v>
      </c>
      <c r="AT19" s="1707" t="n">
        <f aca="false">K19*$AC19/$AD19</f>
        <v>2460.10006841029</v>
      </c>
      <c r="AU19" s="1711" t="n">
        <f aca="false">L19*$AC19/$AD19</f>
        <v>115.790504020738</v>
      </c>
      <c r="AW19" s="1707" t="n">
        <f aca="false">N19*$AC19/$AD19</f>
        <v>1791.39152248898</v>
      </c>
      <c r="AX19" s="1708" t="n">
        <f aca="false">O19*$AC19/$AD19</f>
        <v>1083.85595081747</v>
      </c>
      <c r="AY19" s="1710" t="n">
        <f aca="false">SUM(AW19:AX19)</f>
        <v>2875.24747330645</v>
      </c>
      <c r="BA19" s="1707" t="n">
        <f aca="false">R19*$AC19/$AD19</f>
        <v>300</v>
      </c>
      <c r="BB19" s="1712" t="n">
        <f aca="false">S19*$AC19/$AD19</f>
        <v>50</v>
      </c>
      <c r="BC19" s="1712" t="n">
        <f aca="false">T19*$AC19/$AD19</f>
        <v>463.334</v>
      </c>
      <c r="BD19" s="1712" t="n">
        <f aca="false">U19*$AC19/$AD19</f>
        <v>163.4399</v>
      </c>
      <c r="BE19" s="1712" t="n">
        <f aca="false">V19*$AC19/$AD19</f>
        <v>1695.25463684211</v>
      </c>
      <c r="BF19" s="1712" t="n">
        <f aca="false">W19*$AC19/$AD19</f>
        <v>52.9411764705882</v>
      </c>
      <c r="BG19" s="1711" t="n">
        <f aca="false">SUM(BA19:BF19)</f>
        <v>2724.96971331269</v>
      </c>
      <c r="BI19" s="1707" t="n">
        <f aca="false">SUM(AR19,AT19,AU19,AY19,BG19)</f>
        <v>16376.4413204178</v>
      </c>
      <c r="BJ19" s="109" t="n">
        <f aca="false">BI19*BJ$6</f>
        <v>17440.910006245</v>
      </c>
      <c r="BK19" s="1715" t="n">
        <f aca="false">BJ19*(1+BK$6)</f>
        <v>17915.6754044632</v>
      </c>
      <c r="BM19" s="1717" t="n">
        <f aca="false">SUM(BK18:BK19)</f>
        <v>54064.1231110517</v>
      </c>
      <c r="BN19" s="1714" t="n">
        <f aca="false">SUM($AC18:$AC19)</f>
        <v>12</v>
      </c>
      <c r="BO19" s="1718" t="n">
        <v>480</v>
      </c>
      <c r="BP19" s="1715" t="n">
        <f aca="false">BM19/BN19/BO19*1000</f>
        <v>9386.1324845576</v>
      </c>
      <c r="BR19" s="1716" t="n">
        <f aca="false">$B19</f>
        <v>6</v>
      </c>
      <c r="BS19" s="187" t="n">
        <f aca="false">$C19</f>
        <v>2005</v>
      </c>
      <c r="BU19" s="1707" t="n">
        <f aca="false">SUM(AN18:AN19)</f>
        <v>8303.30089285715</v>
      </c>
      <c r="BV19" s="1708" t="n">
        <f aca="false">SUM(AO18:AO19)</f>
        <v>10017.8571428571</v>
      </c>
      <c r="BW19" s="1709" t="n">
        <f aca="false">SUM(AP18:AP19)</f>
        <v>3668.79458742126</v>
      </c>
      <c r="BX19" s="1708" t="n">
        <f aca="false">SUM(AQ18:AQ19)</f>
        <v>2829.77312454295</v>
      </c>
      <c r="BY19" s="1710" t="n">
        <f aca="false">SUM(BU19:BX19)</f>
        <v>24819.7257476785</v>
      </c>
      <c r="CA19" s="1707" t="n">
        <f aca="false">SUM(AT18:AT19)</f>
        <v>7445.91772430355</v>
      </c>
      <c r="CB19" s="1711" t="n">
        <f aca="false">SUM(AU18:AU19)</f>
        <v>352.882290797943</v>
      </c>
      <c r="CD19" s="1707" t="n">
        <f aca="false">SUM(AW18:AW19)</f>
        <v>5630.70314865404</v>
      </c>
      <c r="CE19" s="1708" t="n">
        <f aca="false">SUM(AX18:AX19)</f>
        <v>2995.03927126531</v>
      </c>
      <c r="CF19" s="1710" t="n">
        <f aca="false">SUM(CD19:CE19)</f>
        <v>8625.74241991935</v>
      </c>
      <c r="CH19" s="1707" t="n">
        <f aca="false">SUM(BA18:BA19)</f>
        <v>900</v>
      </c>
      <c r="CI19" s="1712" t="n">
        <f aca="false">SUM(BB18:BB19)</f>
        <v>150</v>
      </c>
      <c r="CJ19" s="1712" t="n">
        <f aca="false">SUM(BC18:BC19)</f>
        <v>1390.002</v>
      </c>
      <c r="CK19" s="1712" t="n">
        <f aca="false">SUM(BD18:BD19)</f>
        <v>490.3197</v>
      </c>
      <c r="CL19" s="1712" t="n">
        <f aca="false">SUM(BE18:BE19)</f>
        <v>5085.76391052632</v>
      </c>
      <c r="CM19" s="1708" t="n">
        <f aca="false">SUM(BF18:BF19)</f>
        <v>158.823529411765</v>
      </c>
      <c r="CN19" s="1710" t="n">
        <f aca="false">SUM(CH19:CM19)</f>
        <v>8174.90913993808</v>
      </c>
      <c r="CP19" s="1707" t="n">
        <f aca="false">SUM(BY19,CA19,CB19,CF19,CN19)</f>
        <v>49419.1773226374</v>
      </c>
      <c r="CQ19" s="109" t="n">
        <f aca="false">CP19*CQ$6</f>
        <v>52631.4238486089</v>
      </c>
      <c r="CR19" s="1715" t="n">
        <f aca="false">CQ19*(1+CR$6)</f>
        <v>54064.1231110517</v>
      </c>
      <c r="CT19" s="1717" t="n">
        <f aca="false">SUM(CR18:CR19)</f>
        <v>54064.1231110517</v>
      </c>
      <c r="CU19" s="1714" t="n">
        <f aca="false">SUM($AC18:$AC19)</f>
        <v>12</v>
      </c>
      <c r="CV19" s="1719" t="n">
        <f aca="false">$BO19</f>
        <v>480</v>
      </c>
      <c r="CW19" s="1715" t="n">
        <f aca="false">CT19/CU19/CV19*1000</f>
        <v>9386.1324845576</v>
      </c>
    </row>
    <row r="20" customFormat="false" ht="12.75" hidden="false" customHeight="false" outlineLevel="0" collapsed="false">
      <c r="B20" s="1531" t="n">
        <f aca="false">B18+1</f>
        <v>7</v>
      </c>
      <c r="C20" s="1533" t="n">
        <f aca="false">C18+1</f>
        <v>2005</v>
      </c>
      <c r="E20" s="1707" t="n">
        <f aca="false">VLOOKUP($C20,Sr_Debt_Table,O$78)</f>
        <v>7818.43660714286</v>
      </c>
      <c r="F20" s="1708" t="n">
        <f aca="false">VLOOKUP($C20,Sr_Debt_Table,P$78)</f>
        <v>10017.8571428571</v>
      </c>
      <c r="G20" s="1709" t="n">
        <f aca="false">VLOOKUP($C20,Sr_Debt_Table,R$78)</f>
        <v>3468.40469062521</v>
      </c>
      <c r="H20" s="1708" t="n">
        <f aca="false">VLOOKUP($C20,Sr_Debt_Table,S$78)</f>
        <v>3296.30224347767</v>
      </c>
      <c r="I20" s="1710" t="n">
        <f aca="false">SUM(E20:H20)</f>
        <v>24601.0006841029</v>
      </c>
      <c r="K20" s="1707" t="n">
        <f aca="false">(K$6-1)*I20</f>
        <v>7380.30020523087</v>
      </c>
      <c r="L20" s="1711" t="n">
        <f aca="false">-HLOOKUP($C20,CF_Table,CF!$AB$34)</f>
        <v>347.371512062213</v>
      </c>
      <c r="N20" s="1707" t="n">
        <f aca="false">VLOOKUP($C20,Sub_Debt_Table,X$78)</f>
        <v>5374.17456746693</v>
      </c>
      <c r="O20" s="1708" t="n">
        <f aca="false">VLOOKUP($C20,Sub_Debt_Table,Z$78)</f>
        <v>3251.56785245242</v>
      </c>
      <c r="P20" s="1710" t="n">
        <f aca="false">SUM(N20:O20)</f>
        <v>8625.74241991935</v>
      </c>
      <c r="R20" s="1707" t="n">
        <f aca="false">VLOOKUP($C20,OM_Table_US,AD$78)</f>
        <v>900</v>
      </c>
      <c r="S20" s="1712" t="n">
        <f aca="false">VLOOKUP($C20,OM_Table_US,AE$78)</f>
        <v>150</v>
      </c>
      <c r="T20" s="1712" t="n">
        <f aca="false">VLOOKUP($C20,OM_Table_US,AF$78)</f>
        <v>1390.002</v>
      </c>
      <c r="U20" s="1712" t="n">
        <f aca="false">VLOOKUP($C20,OM_Table_US,AG$78)</f>
        <v>490.3197</v>
      </c>
      <c r="V20" s="1712" t="n">
        <f aca="false">VLOOKUP($C20,OM_Table_US,AH$78)</f>
        <v>5085.76391052632</v>
      </c>
      <c r="W20" s="1712" t="n">
        <f aca="false">VLOOKUP($C20,OM_Table_US,AI$78)</f>
        <v>158.823529411765</v>
      </c>
      <c r="X20" s="1711" t="n">
        <f aca="false">SUM(R20:W20)</f>
        <v>8174.90913993808</v>
      </c>
      <c r="Z20" s="1707" t="n">
        <f aca="false">SUM(I20,K20,L20,P20,X20)</f>
        <v>49129.3239612534</v>
      </c>
      <c r="AA20" s="109" t="n">
        <f aca="false">Z20*AA$6</f>
        <v>52322.7300187349</v>
      </c>
      <c r="AB20" s="109" t="n">
        <f aca="false">AA20*(1+AB$6)</f>
        <v>53747.0262133897</v>
      </c>
      <c r="AC20" s="1713" t="n">
        <f aca="false">12-AC19</f>
        <v>8</v>
      </c>
      <c r="AD20" s="1714" t="n">
        <f aca="false">HLOOKUP($C20,CF_Table,CF!$AB$12)</f>
        <v>12</v>
      </c>
      <c r="AE20" s="109" t="n">
        <f aca="false">AB20*AC20/AD20</f>
        <v>35831.3508089265</v>
      </c>
      <c r="AF20" s="170" t="n">
        <v>480</v>
      </c>
      <c r="AG20" s="1715"/>
      <c r="AK20" s="1716" t="n">
        <f aca="false">$B20</f>
        <v>7</v>
      </c>
      <c r="AL20" s="187" t="n">
        <f aca="false">$C20</f>
        <v>2005</v>
      </c>
      <c r="AN20" s="1707" t="n">
        <f aca="false">E20*$AC20/$AD20</f>
        <v>5212.29107142857</v>
      </c>
      <c r="AO20" s="1708" t="n">
        <f aca="false">F20*$AC20/$AD20</f>
        <v>6678.57142857143</v>
      </c>
      <c r="AP20" s="1709" t="n">
        <f aca="false">G20*$AC20/$AD20</f>
        <v>2312.26979375014</v>
      </c>
      <c r="AQ20" s="1708" t="n">
        <f aca="false">H20*$AC20/$AD20</f>
        <v>2197.53482898511</v>
      </c>
      <c r="AR20" s="1710" t="n">
        <f aca="false">SUM(AN20:AQ20)</f>
        <v>16400.6671227353</v>
      </c>
      <c r="AT20" s="1707" t="n">
        <f aca="false">K20*$AC20/$AD20</f>
        <v>4920.20013682058</v>
      </c>
      <c r="AU20" s="1711" t="n">
        <f aca="false">L20*$AC20/$AD20</f>
        <v>231.581008041475</v>
      </c>
      <c r="AW20" s="1707" t="n">
        <f aca="false">N20*$AC20/$AD20</f>
        <v>3582.78304497795</v>
      </c>
      <c r="AX20" s="1708" t="n">
        <f aca="false">O20*$AC20/$AD20</f>
        <v>2167.71190163495</v>
      </c>
      <c r="AY20" s="1710" t="n">
        <f aca="false">SUM(AW20:AX20)</f>
        <v>5750.4949466129</v>
      </c>
      <c r="BA20" s="1707" t="n">
        <f aca="false">R20*$AC20/$AD20</f>
        <v>600</v>
      </c>
      <c r="BB20" s="1712" t="n">
        <f aca="false">S20*$AC20/$AD20</f>
        <v>100</v>
      </c>
      <c r="BC20" s="1712" t="n">
        <f aca="false">T20*$AC20/$AD20</f>
        <v>926.668</v>
      </c>
      <c r="BD20" s="1712" t="n">
        <f aca="false">U20*$AC20/$AD20</f>
        <v>326.8798</v>
      </c>
      <c r="BE20" s="1712" t="n">
        <f aca="false">V20*$AC20/$AD20</f>
        <v>3390.50927368421</v>
      </c>
      <c r="BF20" s="1712" t="n">
        <f aca="false">W20*$AC20/$AD20</f>
        <v>105.882352941176</v>
      </c>
      <c r="BG20" s="1711" t="n">
        <f aca="false">SUM(BA20:BF20)</f>
        <v>5449.93942662539</v>
      </c>
      <c r="BI20" s="1707" t="n">
        <f aca="false">SUM(AR20,AT20,AU20,AY20,BG20)</f>
        <v>32752.8826408356</v>
      </c>
      <c r="BJ20" s="109" t="n">
        <f aca="false">BI20*BJ$6</f>
        <v>34881.8200124899</v>
      </c>
      <c r="BK20" s="1715" t="n">
        <f aca="false">BJ20*(1+BK$6)</f>
        <v>35831.3508089265</v>
      </c>
      <c r="BM20" s="1717"/>
      <c r="BN20" s="1714"/>
      <c r="BO20" s="1718"/>
      <c r="BP20" s="1715"/>
      <c r="BR20" s="1716" t="n">
        <f aca="false">$B20</f>
        <v>7</v>
      </c>
      <c r="BS20" s="187" t="n">
        <f aca="false">$C20</f>
        <v>2005</v>
      </c>
      <c r="BU20" s="1707"/>
      <c r="BV20" s="1708"/>
      <c r="BW20" s="1709"/>
      <c r="BX20" s="1708"/>
      <c r="BY20" s="1710"/>
      <c r="CA20" s="1707"/>
      <c r="CB20" s="1711"/>
      <c r="CD20" s="1707"/>
      <c r="CE20" s="1708"/>
      <c r="CF20" s="1710"/>
      <c r="CH20" s="1707"/>
      <c r="CI20" s="1712"/>
      <c r="CJ20" s="1712"/>
      <c r="CK20" s="1712"/>
      <c r="CL20" s="1712"/>
      <c r="CM20" s="1708"/>
      <c r="CN20" s="1710"/>
      <c r="CP20" s="1707"/>
      <c r="CQ20" s="109"/>
      <c r="CR20" s="1715"/>
      <c r="CT20" s="1717"/>
      <c r="CU20" s="1714"/>
      <c r="CV20" s="1719"/>
      <c r="CW20" s="1715"/>
    </row>
    <row r="21" customFormat="false" ht="12.75" hidden="false" customHeight="false" outlineLevel="0" collapsed="false">
      <c r="B21" s="1531" t="n">
        <f aca="false">B19+1</f>
        <v>7</v>
      </c>
      <c r="C21" s="1533" t="n">
        <f aca="false">C19+1</f>
        <v>2006</v>
      </c>
      <c r="E21" s="1707" t="n">
        <f aca="false">VLOOKUP($C21,Sr_Debt_Table,O$78)</f>
        <v>7091.14017857143</v>
      </c>
      <c r="F21" s="1708" t="n">
        <f aca="false">VLOOKUP($C21,Sr_Debt_Table,P$78)</f>
        <v>10017.8571428571</v>
      </c>
      <c r="G21" s="1709" t="n">
        <f aca="false">VLOOKUP($C21,Sr_Debt_Table,R$78)</f>
        <v>3096.3766759808</v>
      </c>
      <c r="H21" s="1708" t="n">
        <f aca="false">VLOOKUP($C21,Sr_Debt_Table,S$78)</f>
        <v>3734.33323840592</v>
      </c>
      <c r="I21" s="1710" t="n">
        <f aca="false">SUM(E21:H21)</f>
        <v>23939.7072358153</v>
      </c>
      <c r="K21" s="1707" t="n">
        <f aca="false">(K$6-1)*I21</f>
        <v>7181.91217074459</v>
      </c>
      <c r="L21" s="1711" t="n">
        <f aca="false">-HLOOKUP($C21,CF_Table,CF!$AB$34)</f>
        <v>336.361242219459</v>
      </c>
      <c r="N21" s="1707" t="n">
        <f aca="false">VLOOKUP($C21,Sub_Debt_Table,X$78)</f>
        <v>4937.7328724715</v>
      </c>
      <c r="O21" s="1708" t="n">
        <f aca="false">VLOOKUP($C21,Sub_Debt_Table,Z$78)</f>
        <v>3688.00954744785</v>
      </c>
      <c r="P21" s="1710" t="n">
        <f aca="false">SUM(N21:O21)</f>
        <v>8625.74241991935</v>
      </c>
      <c r="R21" s="1707" t="n">
        <f aca="false">VLOOKUP($C21,OM_Table_US,AD$78)</f>
        <v>900</v>
      </c>
      <c r="S21" s="1712" t="n">
        <f aca="false">VLOOKUP($C21,OM_Table_US,AE$78)</f>
        <v>150</v>
      </c>
      <c r="T21" s="1712" t="n">
        <f aca="false">VLOOKUP($C21,OM_Table_US,AF$78)</f>
        <v>1390.002</v>
      </c>
      <c r="U21" s="1712" t="n">
        <f aca="false">VLOOKUP($C21,OM_Table_US,AG$78)</f>
        <v>490.3197</v>
      </c>
      <c r="V21" s="1712" t="n">
        <f aca="false">VLOOKUP($C21,OM_Table_US,AH$78)</f>
        <v>5085.76391052632</v>
      </c>
      <c r="W21" s="1712" t="n">
        <f aca="false">VLOOKUP($C21,OM_Table_US,AI$78)</f>
        <v>158.823529411765</v>
      </c>
      <c r="X21" s="1711" t="n">
        <f aca="false">SUM(R21:W21)</f>
        <v>8174.90913993808</v>
      </c>
      <c r="Z21" s="1707" t="n">
        <f aca="false">SUM(I21,K21,L21,P21,X21)</f>
        <v>48258.6322086368</v>
      </c>
      <c r="AA21" s="109" t="n">
        <f aca="false">Z21*AA$6</f>
        <v>51395.4433021982</v>
      </c>
      <c r="AB21" s="109" t="n">
        <f aca="false">AA21*(1+AB$6)</f>
        <v>52794.4974855657</v>
      </c>
      <c r="AC21" s="1713" t="n">
        <f aca="false">12-AC20</f>
        <v>4</v>
      </c>
      <c r="AD21" s="1714" t="n">
        <f aca="false">HLOOKUP($C21,CF_Table,CF!$AB$12)</f>
        <v>12</v>
      </c>
      <c r="AE21" s="109" t="n">
        <f aca="false">AB21*AC21/AD21</f>
        <v>17598.1658285219</v>
      </c>
      <c r="AF21" s="170" t="n">
        <v>480</v>
      </c>
      <c r="AG21" s="1715" t="n">
        <f aca="false">SUM(AE20:AE21)/AF21/SUM(AC20:AC21)*1000</f>
        <v>9275.957749557</v>
      </c>
      <c r="AK21" s="1716" t="n">
        <f aca="false">$B21</f>
        <v>7</v>
      </c>
      <c r="AL21" s="187" t="n">
        <f aca="false">$C21</f>
        <v>2006</v>
      </c>
      <c r="AN21" s="1707" t="n">
        <f aca="false">E21*$AC21/$AD21</f>
        <v>2363.71339285714</v>
      </c>
      <c r="AO21" s="1708" t="n">
        <f aca="false">F21*$AC21/$AD21</f>
        <v>3339.28571428571</v>
      </c>
      <c r="AP21" s="1709" t="n">
        <f aca="false">G21*$AC21/$AD21</f>
        <v>1032.12555866027</v>
      </c>
      <c r="AQ21" s="1708" t="n">
        <f aca="false">H21*$AC21/$AD21</f>
        <v>1244.77774613531</v>
      </c>
      <c r="AR21" s="1710" t="n">
        <f aca="false">SUM(AN21:AQ21)</f>
        <v>7979.90241193843</v>
      </c>
      <c r="AT21" s="1707" t="n">
        <f aca="false">K21*$AC21/$AD21</f>
        <v>2393.97072358153</v>
      </c>
      <c r="AU21" s="1711" t="n">
        <f aca="false">L21*$AC21/$AD21</f>
        <v>112.120414073153</v>
      </c>
      <c r="AW21" s="1707" t="n">
        <f aca="false">N21*$AC21/$AD21</f>
        <v>1645.9109574905</v>
      </c>
      <c r="AX21" s="1708" t="n">
        <f aca="false">O21*$AC21/$AD21</f>
        <v>1229.33651581595</v>
      </c>
      <c r="AY21" s="1710" t="n">
        <f aca="false">SUM(AW21:AX21)</f>
        <v>2875.24747330645</v>
      </c>
      <c r="BA21" s="1707" t="n">
        <f aca="false">R21*$AC21/$AD21</f>
        <v>300</v>
      </c>
      <c r="BB21" s="1712" t="n">
        <f aca="false">S21*$AC21/$AD21</f>
        <v>50</v>
      </c>
      <c r="BC21" s="1712" t="n">
        <f aca="false">T21*$AC21/$AD21</f>
        <v>463.334</v>
      </c>
      <c r="BD21" s="1712" t="n">
        <f aca="false">U21*$AC21/$AD21</f>
        <v>163.4399</v>
      </c>
      <c r="BE21" s="1712" t="n">
        <f aca="false">V21*$AC21/$AD21</f>
        <v>1695.25463684211</v>
      </c>
      <c r="BF21" s="1712" t="n">
        <f aca="false">W21*$AC21/$AD21</f>
        <v>52.9411764705882</v>
      </c>
      <c r="BG21" s="1711" t="n">
        <f aca="false">SUM(BA21:BF21)</f>
        <v>2724.96971331269</v>
      </c>
      <c r="BI21" s="1707" t="n">
        <f aca="false">SUM(AR21,AT21,AU21,AY21,BG21)</f>
        <v>16086.2107362123</v>
      </c>
      <c r="BJ21" s="109" t="n">
        <f aca="false">BI21*BJ$6</f>
        <v>17131.8144340661</v>
      </c>
      <c r="BK21" s="1715" t="n">
        <f aca="false">BJ21*(1+BK$6)</f>
        <v>17598.1658285219</v>
      </c>
      <c r="BM21" s="1717" t="n">
        <f aca="false">SUM(BK20:BK21)</f>
        <v>53429.5166374483</v>
      </c>
      <c r="BN21" s="1714" t="n">
        <f aca="false">SUM($AC20:$AC21)</f>
        <v>12</v>
      </c>
      <c r="BO21" s="1718" t="n">
        <v>480</v>
      </c>
      <c r="BP21" s="1715" t="n">
        <f aca="false">BM21/BN21/BO21*1000</f>
        <v>9275.957749557</v>
      </c>
      <c r="BR21" s="1716" t="n">
        <f aca="false">$B21</f>
        <v>7</v>
      </c>
      <c r="BS21" s="187" t="n">
        <f aca="false">$C21</f>
        <v>2006</v>
      </c>
      <c r="BU21" s="1707" t="n">
        <f aca="false">SUM(AN20:AN21)</f>
        <v>7576.00446428572</v>
      </c>
      <c r="BV21" s="1708" t="n">
        <f aca="false">SUM(AO20:AO21)</f>
        <v>10017.8571428571</v>
      </c>
      <c r="BW21" s="1709" t="n">
        <f aca="false">SUM(AP20:AP21)</f>
        <v>3344.39535241041</v>
      </c>
      <c r="BX21" s="1708" t="n">
        <f aca="false">SUM(AQ20:AQ21)</f>
        <v>3442.31257512042</v>
      </c>
      <c r="BY21" s="1710" t="n">
        <f aca="false">SUM(BU21:BX21)</f>
        <v>24380.5695346737</v>
      </c>
      <c r="CA21" s="1707" t="n">
        <f aca="false">SUM(AT20:AT21)</f>
        <v>7314.17086040211</v>
      </c>
      <c r="CB21" s="1711" t="n">
        <f aca="false">SUM(AU20:AU21)</f>
        <v>343.701422114628</v>
      </c>
      <c r="CD21" s="1707" t="n">
        <f aca="false">SUM(AW20:AW21)</f>
        <v>5228.69400246845</v>
      </c>
      <c r="CE21" s="1708" t="n">
        <f aca="false">SUM(AX20:AX21)</f>
        <v>3397.0484174509</v>
      </c>
      <c r="CF21" s="1710" t="n">
        <f aca="false">SUM(CD21:CE21)</f>
        <v>8625.74241991935</v>
      </c>
      <c r="CH21" s="1707" t="n">
        <f aca="false">SUM(BA20:BA21)</f>
        <v>900</v>
      </c>
      <c r="CI21" s="1712" t="n">
        <f aca="false">SUM(BB20:BB21)</f>
        <v>150</v>
      </c>
      <c r="CJ21" s="1712" t="n">
        <f aca="false">SUM(BC20:BC21)</f>
        <v>1390.002</v>
      </c>
      <c r="CK21" s="1712" t="n">
        <f aca="false">SUM(BD20:BD21)</f>
        <v>490.3197</v>
      </c>
      <c r="CL21" s="1712" t="n">
        <f aca="false">SUM(BE20:BE21)</f>
        <v>5085.76391052632</v>
      </c>
      <c r="CM21" s="1708" t="n">
        <f aca="false">SUM(BF20:BF21)</f>
        <v>158.823529411765</v>
      </c>
      <c r="CN21" s="1710" t="n">
        <f aca="false">SUM(CH21:CM21)</f>
        <v>8174.90913993808</v>
      </c>
      <c r="CP21" s="1707" t="n">
        <f aca="false">SUM(BY21,CA21,CB21,CF21,CN21)</f>
        <v>48839.0933770479</v>
      </c>
      <c r="CQ21" s="109" t="n">
        <f aca="false">CP21*CQ$6</f>
        <v>52013.634446556</v>
      </c>
      <c r="CR21" s="1715" t="n">
        <f aca="false">CQ21*(1+CR$6)</f>
        <v>53429.5166374483</v>
      </c>
      <c r="CT21" s="1717" t="n">
        <f aca="false">SUM(CR20:CR21)</f>
        <v>53429.5166374483</v>
      </c>
      <c r="CU21" s="1714" t="n">
        <f aca="false">SUM($AC20:$AC21)</f>
        <v>12</v>
      </c>
      <c r="CV21" s="1719" t="n">
        <f aca="false">$BO21</f>
        <v>480</v>
      </c>
      <c r="CW21" s="1715" t="n">
        <f aca="false">CT21/CU21/CV21*1000</f>
        <v>9275.957749557</v>
      </c>
    </row>
    <row r="22" customFormat="false" ht="12.75" hidden="false" customHeight="false" outlineLevel="0" collapsed="false">
      <c r="B22" s="1531" t="n">
        <f aca="false">B20+1</f>
        <v>8</v>
      </c>
      <c r="C22" s="1533" t="n">
        <f aca="false">C20+1</f>
        <v>2006</v>
      </c>
      <c r="E22" s="1707" t="n">
        <f aca="false">VLOOKUP($C22,Sr_Debt_Table,O$78)</f>
        <v>7091.14017857143</v>
      </c>
      <c r="F22" s="1708" t="n">
        <f aca="false">VLOOKUP($C22,Sr_Debt_Table,P$78)</f>
        <v>10017.8571428571</v>
      </c>
      <c r="G22" s="1709" t="n">
        <f aca="false">VLOOKUP($C22,Sr_Debt_Table,R$78)</f>
        <v>3096.3766759808</v>
      </c>
      <c r="H22" s="1708" t="n">
        <f aca="false">VLOOKUP($C22,Sr_Debt_Table,S$78)</f>
        <v>3734.33323840592</v>
      </c>
      <c r="I22" s="1710" t="n">
        <f aca="false">SUM(E22:H22)</f>
        <v>23939.7072358153</v>
      </c>
      <c r="K22" s="1707" t="n">
        <f aca="false">(K$6-1)*I22</f>
        <v>7181.91217074459</v>
      </c>
      <c r="L22" s="1711" t="n">
        <f aca="false">-HLOOKUP($C22,CF_Table,CF!$AB$34)</f>
        <v>336.361242219459</v>
      </c>
      <c r="N22" s="1707" t="n">
        <f aca="false">VLOOKUP($C22,Sub_Debt_Table,X$78)</f>
        <v>4937.7328724715</v>
      </c>
      <c r="O22" s="1708" t="n">
        <f aca="false">VLOOKUP($C22,Sub_Debt_Table,Z$78)</f>
        <v>3688.00954744785</v>
      </c>
      <c r="P22" s="1710" t="n">
        <f aca="false">SUM(N22:O22)</f>
        <v>8625.74241991935</v>
      </c>
      <c r="R22" s="1707" t="n">
        <f aca="false">VLOOKUP($C22,OM_Table_US,AD$78)</f>
        <v>900</v>
      </c>
      <c r="S22" s="1712" t="n">
        <f aca="false">VLOOKUP($C22,OM_Table_US,AE$78)</f>
        <v>150</v>
      </c>
      <c r="T22" s="1712" t="n">
        <f aca="false">VLOOKUP($C22,OM_Table_US,AF$78)</f>
        <v>1390.002</v>
      </c>
      <c r="U22" s="1712" t="n">
        <f aca="false">VLOOKUP($C22,OM_Table_US,AG$78)</f>
        <v>490.3197</v>
      </c>
      <c r="V22" s="1712" t="n">
        <f aca="false">VLOOKUP($C22,OM_Table_US,AH$78)</f>
        <v>5085.76391052632</v>
      </c>
      <c r="W22" s="1712" t="n">
        <f aca="false">VLOOKUP($C22,OM_Table_US,AI$78)</f>
        <v>158.823529411765</v>
      </c>
      <c r="X22" s="1711" t="n">
        <f aca="false">SUM(R22:W22)</f>
        <v>8174.90913993808</v>
      </c>
      <c r="Z22" s="1707" t="n">
        <f aca="false">SUM(I22,K22,L22,P22,X22)</f>
        <v>48258.6322086368</v>
      </c>
      <c r="AA22" s="109" t="n">
        <f aca="false">Z22*AA$6</f>
        <v>51395.4433021982</v>
      </c>
      <c r="AB22" s="109" t="n">
        <f aca="false">AA22*(1+AB$6)</f>
        <v>52794.4974855657</v>
      </c>
      <c r="AC22" s="1713" t="n">
        <f aca="false">12-AC21</f>
        <v>8</v>
      </c>
      <c r="AD22" s="1714" t="n">
        <f aca="false">HLOOKUP($C22,CF_Table,CF!$AB$12)</f>
        <v>12</v>
      </c>
      <c r="AE22" s="109" t="n">
        <f aca="false">AB22*AC22/AD22</f>
        <v>35196.3316570438</v>
      </c>
      <c r="AF22" s="170" t="n">
        <v>480</v>
      </c>
      <c r="AG22" s="1715"/>
      <c r="AK22" s="1716" t="n">
        <f aca="false">$B22</f>
        <v>8</v>
      </c>
      <c r="AL22" s="187" t="n">
        <f aca="false">$C22</f>
        <v>2006</v>
      </c>
      <c r="AN22" s="1707" t="n">
        <f aca="false">E22*$AC22/$AD22</f>
        <v>4727.42678571429</v>
      </c>
      <c r="AO22" s="1708" t="n">
        <f aca="false">F22*$AC22/$AD22</f>
        <v>6678.57142857143</v>
      </c>
      <c r="AP22" s="1709" t="n">
        <f aca="false">G22*$AC22/$AD22</f>
        <v>2064.25111732053</v>
      </c>
      <c r="AQ22" s="1708" t="n">
        <f aca="false">H22*$AC22/$AD22</f>
        <v>2489.55549227061</v>
      </c>
      <c r="AR22" s="1710" t="n">
        <f aca="false">SUM(AN22:AQ22)</f>
        <v>15959.8048238769</v>
      </c>
      <c r="AT22" s="1707" t="n">
        <f aca="false">K22*$AC22/$AD22</f>
        <v>4787.94144716306</v>
      </c>
      <c r="AU22" s="1711" t="n">
        <f aca="false">L22*$AC22/$AD22</f>
        <v>224.240828146306</v>
      </c>
      <c r="AW22" s="1707" t="n">
        <f aca="false">N22*$AC22/$AD22</f>
        <v>3291.821914981</v>
      </c>
      <c r="AX22" s="1708" t="n">
        <f aca="false">O22*$AC22/$AD22</f>
        <v>2458.6730316319</v>
      </c>
      <c r="AY22" s="1710" t="n">
        <f aca="false">SUM(AW22:AX22)</f>
        <v>5750.4949466129</v>
      </c>
      <c r="BA22" s="1707" t="n">
        <f aca="false">R22*$AC22/$AD22</f>
        <v>600</v>
      </c>
      <c r="BB22" s="1712" t="n">
        <f aca="false">S22*$AC22/$AD22</f>
        <v>100</v>
      </c>
      <c r="BC22" s="1712" t="n">
        <f aca="false">T22*$AC22/$AD22</f>
        <v>926.668</v>
      </c>
      <c r="BD22" s="1712" t="n">
        <f aca="false">U22*$AC22/$AD22</f>
        <v>326.8798</v>
      </c>
      <c r="BE22" s="1712" t="n">
        <f aca="false">V22*$AC22/$AD22</f>
        <v>3390.50927368421</v>
      </c>
      <c r="BF22" s="1712" t="n">
        <f aca="false">W22*$AC22/$AD22</f>
        <v>105.882352941176</v>
      </c>
      <c r="BG22" s="1711" t="n">
        <f aca="false">SUM(BA22:BF22)</f>
        <v>5449.93942662539</v>
      </c>
      <c r="BI22" s="1707" t="n">
        <f aca="false">SUM(AR22,AT22,AU22,AY22,BG22)</f>
        <v>32172.4214724245</v>
      </c>
      <c r="BJ22" s="109" t="n">
        <f aca="false">BI22*BJ$6</f>
        <v>34263.6288681321</v>
      </c>
      <c r="BK22" s="1715" t="n">
        <f aca="false">BJ22*(1+BK$6)</f>
        <v>35196.3316570438</v>
      </c>
      <c r="BM22" s="1717"/>
      <c r="BN22" s="1714"/>
      <c r="BO22" s="1718"/>
      <c r="BP22" s="1715"/>
      <c r="BR22" s="1716" t="n">
        <f aca="false">$B22</f>
        <v>8</v>
      </c>
      <c r="BS22" s="187" t="n">
        <f aca="false">$C22</f>
        <v>2006</v>
      </c>
      <c r="BU22" s="1707"/>
      <c r="BV22" s="1708"/>
      <c r="BW22" s="1709"/>
      <c r="BX22" s="1708"/>
      <c r="BY22" s="1710"/>
      <c r="CA22" s="1707"/>
      <c r="CB22" s="1711"/>
      <c r="CD22" s="1707"/>
      <c r="CE22" s="1708"/>
      <c r="CF22" s="1710"/>
      <c r="CH22" s="1707"/>
      <c r="CI22" s="1712"/>
      <c r="CJ22" s="1712"/>
      <c r="CK22" s="1712"/>
      <c r="CL22" s="1712"/>
      <c r="CM22" s="1708"/>
      <c r="CN22" s="1710"/>
      <c r="CP22" s="1707"/>
      <c r="CQ22" s="109"/>
      <c r="CR22" s="1715"/>
      <c r="CT22" s="1717"/>
      <c r="CU22" s="1714"/>
      <c r="CV22" s="1719"/>
      <c r="CW22" s="1715"/>
    </row>
    <row r="23" customFormat="false" ht="12.75" hidden="false" customHeight="false" outlineLevel="0" collapsed="false">
      <c r="B23" s="1531" t="n">
        <f aca="false">B21+1</f>
        <v>8</v>
      </c>
      <c r="C23" s="1533" t="n">
        <f aca="false">C21+1</f>
        <v>2007</v>
      </c>
      <c r="E23" s="1707" t="n">
        <f aca="false">VLOOKUP($C23,Sr_Debt_Table,O$78)</f>
        <v>6363.84375000001</v>
      </c>
      <c r="F23" s="1708" t="n">
        <f aca="false">VLOOKUP($C23,Sr_Debt_Table,P$78)</f>
        <v>10017.8571428571</v>
      </c>
      <c r="G23" s="1709" t="n">
        <f aca="false">VLOOKUP($C23,Sr_Debt_Table,R$78)</f>
        <v>2670.21811779903</v>
      </c>
      <c r="H23" s="1708" t="n">
        <f aca="false">VLOOKUP($C23,Sr_Debt_Table,S$78)</f>
        <v>4006.96663773886</v>
      </c>
      <c r="I23" s="1710" t="n">
        <f aca="false">SUM(E23:H23)</f>
        <v>23058.885648395</v>
      </c>
      <c r="K23" s="1707" t="n">
        <f aca="false">(K$6-1)*I23</f>
        <v>6917.66569451851</v>
      </c>
      <c r="L23" s="1711" t="n">
        <f aca="false">-HLOOKUP($C23,CF_Table,CF!$AB$34)</f>
        <v>309.668701656701</v>
      </c>
      <c r="N23" s="1707" t="n">
        <f aca="false">VLOOKUP($C23,Sub_Debt_Table,X$78)</f>
        <v>4442.70979096531</v>
      </c>
      <c r="O23" s="1708" t="n">
        <f aca="false">VLOOKUP($C23,Sub_Debt_Table,Z$78)</f>
        <v>4183.03262895404</v>
      </c>
      <c r="P23" s="1710" t="n">
        <f aca="false">SUM(N23:O23)</f>
        <v>8625.74241991935</v>
      </c>
      <c r="R23" s="1707" t="n">
        <f aca="false">VLOOKUP($C23,OM_Table_US,AD$78)</f>
        <v>900</v>
      </c>
      <c r="S23" s="1712" t="n">
        <f aca="false">VLOOKUP($C23,OM_Table_US,AE$78)</f>
        <v>150</v>
      </c>
      <c r="T23" s="1712" t="n">
        <f aca="false">VLOOKUP($C23,OM_Table_US,AF$78)</f>
        <v>1390.002</v>
      </c>
      <c r="U23" s="1712" t="n">
        <f aca="false">VLOOKUP($C23,OM_Table_US,AG$78)</f>
        <v>490.3197</v>
      </c>
      <c r="V23" s="1712" t="n">
        <f aca="false">VLOOKUP($C23,OM_Table_US,AH$78)</f>
        <v>5085.76391052632</v>
      </c>
      <c r="W23" s="1712" t="n">
        <f aca="false">VLOOKUP($C23,OM_Table_US,AI$78)</f>
        <v>158.823529411765</v>
      </c>
      <c r="X23" s="1711" t="n">
        <f aca="false">SUM(R23:W23)</f>
        <v>8174.90913993808</v>
      </c>
      <c r="Z23" s="1707" t="n">
        <f aca="false">SUM(I23,K23,L23,P23,X23)</f>
        <v>47086.8716044277</v>
      </c>
      <c r="AA23" s="109" t="n">
        <f aca="false">Z23*AA$6</f>
        <v>50147.5182587155</v>
      </c>
      <c r="AB23" s="109" t="n">
        <f aca="false">AA23*(1+AB$6)</f>
        <v>51512.6022174787</v>
      </c>
      <c r="AC23" s="1713" t="n">
        <f aca="false">12-AC22</f>
        <v>4</v>
      </c>
      <c r="AD23" s="1714" t="n">
        <f aca="false">HLOOKUP($C23,CF_Table,CF!$AB$12)</f>
        <v>12</v>
      </c>
      <c r="AE23" s="109" t="n">
        <f aca="false">AB23*AC23/AD23</f>
        <v>17170.8674058262</v>
      </c>
      <c r="AF23" s="170" t="n">
        <v>480</v>
      </c>
      <c r="AG23" s="1715" t="n">
        <f aca="false">SUM(AE22:AE23)/AF23/SUM(AC22:AC23)*1000</f>
        <v>9091.52761508159</v>
      </c>
      <c r="AK23" s="1716" t="n">
        <f aca="false">$B23</f>
        <v>8</v>
      </c>
      <c r="AL23" s="187" t="n">
        <f aca="false">$C23</f>
        <v>2007</v>
      </c>
      <c r="AN23" s="1707" t="n">
        <f aca="false">E23*$AC23/$AD23</f>
        <v>2121.28125</v>
      </c>
      <c r="AO23" s="1708" t="n">
        <f aca="false">F23*$AC23/$AD23</f>
        <v>3339.28571428571</v>
      </c>
      <c r="AP23" s="1709" t="n">
        <f aca="false">G23*$AC23/$AD23</f>
        <v>890.072705933009</v>
      </c>
      <c r="AQ23" s="1708" t="n">
        <f aca="false">H23*$AC23/$AD23</f>
        <v>1335.65554591295</v>
      </c>
      <c r="AR23" s="1710" t="n">
        <f aca="false">SUM(AN23:AQ23)</f>
        <v>7686.29521613168</v>
      </c>
      <c r="AT23" s="1707" t="n">
        <f aca="false">K23*$AC23/$AD23</f>
        <v>2305.8885648395</v>
      </c>
      <c r="AU23" s="1711" t="n">
        <f aca="false">L23*$AC23/$AD23</f>
        <v>103.222900552234</v>
      </c>
      <c r="AW23" s="1707" t="n">
        <f aca="false">N23*$AC23/$AD23</f>
        <v>1480.9032636551</v>
      </c>
      <c r="AX23" s="1708" t="n">
        <f aca="false">O23*$AC23/$AD23</f>
        <v>1394.34420965135</v>
      </c>
      <c r="AY23" s="1710" t="n">
        <f aca="false">SUM(AW23:AX23)</f>
        <v>2875.24747330645</v>
      </c>
      <c r="BA23" s="1707" t="n">
        <f aca="false">R23*$AC23/$AD23</f>
        <v>300</v>
      </c>
      <c r="BB23" s="1712" t="n">
        <f aca="false">S23*$AC23/$AD23</f>
        <v>50</v>
      </c>
      <c r="BC23" s="1712" t="n">
        <f aca="false">T23*$AC23/$AD23</f>
        <v>463.334</v>
      </c>
      <c r="BD23" s="1712" t="n">
        <f aca="false">U23*$AC23/$AD23</f>
        <v>163.4399</v>
      </c>
      <c r="BE23" s="1712" t="n">
        <f aca="false">V23*$AC23/$AD23</f>
        <v>1695.25463684211</v>
      </c>
      <c r="BF23" s="1712" t="n">
        <f aca="false">W23*$AC23/$AD23</f>
        <v>52.9411764705882</v>
      </c>
      <c r="BG23" s="1711" t="n">
        <f aca="false">SUM(BA23:BF23)</f>
        <v>2724.96971331269</v>
      </c>
      <c r="BI23" s="1707" t="n">
        <f aca="false">SUM(AR23,AT23,AU23,AY23,BG23)</f>
        <v>15695.6238681426</v>
      </c>
      <c r="BJ23" s="109" t="n">
        <f aca="false">BI23*BJ$6</f>
        <v>16715.8394195718</v>
      </c>
      <c r="BK23" s="1715" t="n">
        <f aca="false">BJ23*(1+BK$6)</f>
        <v>17170.8674058262</v>
      </c>
      <c r="BM23" s="1717" t="n">
        <f aca="false">SUM(BK22:BK23)</f>
        <v>52367.19906287</v>
      </c>
      <c r="BN23" s="1714" t="n">
        <f aca="false">SUM($AC22:$AC23)</f>
        <v>12</v>
      </c>
      <c r="BO23" s="1718" t="n">
        <v>480</v>
      </c>
      <c r="BP23" s="1715" t="n">
        <f aca="false">BM23/BN23/BO23*1000</f>
        <v>9091.52761508159</v>
      </c>
      <c r="BR23" s="1716" t="n">
        <f aca="false">$B23</f>
        <v>8</v>
      </c>
      <c r="BS23" s="187" t="n">
        <f aca="false">$C23</f>
        <v>2007</v>
      </c>
      <c r="BU23" s="1707" t="n">
        <f aca="false">SUM(AN22:AN23)</f>
        <v>6848.70803571429</v>
      </c>
      <c r="BV23" s="1708" t="n">
        <f aca="false">SUM(AO22:AO23)</f>
        <v>10017.8571428571</v>
      </c>
      <c r="BW23" s="1709" t="n">
        <f aca="false">SUM(AP22:AP23)</f>
        <v>2954.32382325354</v>
      </c>
      <c r="BX23" s="1708" t="n">
        <f aca="false">SUM(AQ22:AQ23)</f>
        <v>3825.21103818357</v>
      </c>
      <c r="BY23" s="1710" t="n">
        <f aca="false">SUM(BU23:BX23)</f>
        <v>23646.1000400085</v>
      </c>
      <c r="CA23" s="1707" t="n">
        <f aca="false">SUM(AT22:AT23)</f>
        <v>7093.83001200256</v>
      </c>
      <c r="CB23" s="1711" t="n">
        <f aca="false">SUM(AU22:AU23)</f>
        <v>327.46372869854</v>
      </c>
      <c r="CD23" s="1707" t="n">
        <f aca="false">SUM(AW22:AW23)</f>
        <v>4772.72517863611</v>
      </c>
      <c r="CE23" s="1708" t="n">
        <f aca="false">SUM(AX22:AX23)</f>
        <v>3853.01724128325</v>
      </c>
      <c r="CF23" s="1710" t="n">
        <f aca="false">SUM(CD23:CE23)</f>
        <v>8625.74241991935</v>
      </c>
      <c r="CH23" s="1707" t="n">
        <f aca="false">SUM(BA22:BA23)</f>
        <v>900</v>
      </c>
      <c r="CI23" s="1712" t="n">
        <f aca="false">SUM(BB22:BB23)</f>
        <v>150</v>
      </c>
      <c r="CJ23" s="1712" t="n">
        <f aca="false">SUM(BC22:BC23)</f>
        <v>1390.002</v>
      </c>
      <c r="CK23" s="1712" t="n">
        <f aca="false">SUM(BD22:BD23)</f>
        <v>490.3197</v>
      </c>
      <c r="CL23" s="1712" t="n">
        <f aca="false">SUM(BE22:BE23)</f>
        <v>5085.76391052632</v>
      </c>
      <c r="CM23" s="1708" t="n">
        <f aca="false">SUM(BF22:BF23)</f>
        <v>158.823529411765</v>
      </c>
      <c r="CN23" s="1710" t="n">
        <f aca="false">SUM(CH23:CM23)</f>
        <v>8174.90913993808</v>
      </c>
      <c r="CP23" s="1707" t="n">
        <f aca="false">SUM(BY23,CA23,CB23,CF23,CN23)</f>
        <v>47868.0453405671</v>
      </c>
      <c r="CQ23" s="109" t="n">
        <f aca="false">CP23*CQ$6</f>
        <v>50979.4682877039</v>
      </c>
      <c r="CR23" s="1715" t="n">
        <f aca="false">CQ23*(1+CR$6)</f>
        <v>52367.19906287</v>
      </c>
      <c r="CT23" s="1717" t="n">
        <f aca="false">SUM(CR22:CR23)</f>
        <v>52367.19906287</v>
      </c>
      <c r="CU23" s="1714" t="n">
        <f aca="false">SUM($AC22:$AC23)</f>
        <v>12</v>
      </c>
      <c r="CV23" s="1719" t="n">
        <f aca="false">$BO23</f>
        <v>480</v>
      </c>
      <c r="CW23" s="1715" t="n">
        <f aca="false">CT23/CU23/CV23*1000</f>
        <v>9091.52761508159</v>
      </c>
    </row>
    <row r="24" customFormat="false" ht="12.75" hidden="false" customHeight="false" outlineLevel="0" collapsed="false">
      <c r="B24" s="1531" t="n">
        <f aca="false">B22+1</f>
        <v>9</v>
      </c>
      <c r="C24" s="1533" t="n">
        <f aca="false">C22+1</f>
        <v>2007</v>
      </c>
      <c r="E24" s="1707" t="n">
        <f aca="false">VLOOKUP($C24,Sr_Debt_Table,O$78)</f>
        <v>6363.84375000001</v>
      </c>
      <c r="F24" s="1708" t="n">
        <f aca="false">VLOOKUP($C24,Sr_Debt_Table,P$78)</f>
        <v>10017.8571428571</v>
      </c>
      <c r="G24" s="1709" t="n">
        <f aca="false">VLOOKUP($C24,Sr_Debt_Table,R$78)</f>
        <v>2670.21811779903</v>
      </c>
      <c r="H24" s="1708" t="n">
        <f aca="false">VLOOKUP($C24,Sr_Debt_Table,S$78)</f>
        <v>4006.96663773886</v>
      </c>
      <c r="I24" s="1710" t="n">
        <f aca="false">SUM(E24:H24)</f>
        <v>23058.885648395</v>
      </c>
      <c r="K24" s="1707" t="n">
        <f aca="false">(K$6-1)*I24</f>
        <v>6917.66569451851</v>
      </c>
      <c r="L24" s="1711" t="n">
        <f aca="false">-HLOOKUP($C24,CF_Table,CF!$AB$34)</f>
        <v>309.668701656701</v>
      </c>
      <c r="N24" s="1707" t="n">
        <f aca="false">VLOOKUP($C24,Sub_Debt_Table,X$78)</f>
        <v>4442.70979096531</v>
      </c>
      <c r="O24" s="1708" t="n">
        <f aca="false">VLOOKUP($C24,Sub_Debt_Table,Z$78)</f>
        <v>4183.03262895404</v>
      </c>
      <c r="P24" s="1710" t="n">
        <f aca="false">SUM(N24:O24)</f>
        <v>8625.74241991935</v>
      </c>
      <c r="R24" s="1707" t="n">
        <f aca="false">VLOOKUP($C24,OM_Table_US,AD$78)</f>
        <v>900</v>
      </c>
      <c r="S24" s="1712" t="n">
        <f aca="false">VLOOKUP($C24,OM_Table_US,AE$78)</f>
        <v>150</v>
      </c>
      <c r="T24" s="1712" t="n">
        <f aca="false">VLOOKUP($C24,OM_Table_US,AF$78)</f>
        <v>1390.002</v>
      </c>
      <c r="U24" s="1712" t="n">
        <f aca="false">VLOOKUP($C24,OM_Table_US,AG$78)</f>
        <v>490.3197</v>
      </c>
      <c r="V24" s="1712" t="n">
        <f aca="false">VLOOKUP($C24,OM_Table_US,AH$78)</f>
        <v>5085.76391052632</v>
      </c>
      <c r="W24" s="1712" t="n">
        <f aca="false">VLOOKUP($C24,OM_Table_US,AI$78)</f>
        <v>158.823529411765</v>
      </c>
      <c r="X24" s="1711" t="n">
        <f aca="false">SUM(R24:W24)</f>
        <v>8174.90913993808</v>
      </c>
      <c r="Z24" s="1707" t="n">
        <f aca="false">SUM(I24,K24,L24,P24,X24)</f>
        <v>47086.8716044277</v>
      </c>
      <c r="AA24" s="109" t="n">
        <f aca="false">Z24*AA$6</f>
        <v>50147.5182587155</v>
      </c>
      <c r="AB24" s="109" t="n">
        <f aca="false">AA24*(1+AB$6)</f>
        <v>51512.6022174787</v>
      </c>
      <c r="AC24" s="1713" t="n">
        <f aca="false">12-AC23</f>
        <v>8</v>
      </c>
      <c r="AD24" s="1714" t="n">
        <f aca="false">HLOOKUP($C24,CF_Table,CF!$AB$12)</f>
        <v>12</v>
      </c>
      <c r="AE24" s="109" t="n">
        <f aca="false">AB24*AC24/AD24</f>
        <v>34341.7348116524</v>
      </c>
      <c r="AF24" s="170" t="n">
        <v>480</v>
      </c>
      <c r="AG24" s="1715"/>
      <c r="AK24" s="1716" t="n">
        <f aca="false">$B24</f>
        <v>9</v>
      </c>
      <c r="AL24" s="187" t="n">
        <f aca="false">$C24</f>
        <v>2007</v>
      </c>
      <c r="AN24" s="1707" t="n">
        <f aca="false">E24*$AC24/$AD24</f>
        <v>4242.5625</v>
      </c>
      <c r="AO24" s="1708" t="n">
        <f aca="false">F24*$AC24/$AD24</f>
        <v>6678.57142857143</v>
      </c>
      <c r="AP24" s="1709" t="n">
        <f aca="false">G24*$AC24/$AD24</f>
        <v>1780.14541186602</v>
      </c>
      <c r="AQ24" s="1708" t="n">
        <f aca="false">H24*$AC24/$AD24</f>
        <v>2671.31109182591</v>
      </c>
      <c r="AR24" s="1710" t="n">
        <f aca="false">SUM(AN24:AQ24)</f>
        <v>15372.5904322634</v>
      </c>
      <c r="AT24" s="1707" t="n">
        <f aca="false">K24*$AC24/$AD24</f>
        <v>4611.77712967901</v>
      </c>
      <c r="AU24" s="1711" t="n">
        <f aca="false">L24*$AC24/$AD24</f>
        <v>206.445801104468</v>
      </c>
      <c r="AW24" s="1707" t="n">
        <f aca="false">N24*$AC24/$AD24</f>
        <v>2961.80652731021</v>
      </c>
      <c r="AX24" s="1708" t="n">
        <f aca="false">O24*$AC24/$AD24</f>
        <v>2788.68841930269</v>
      </c>
      <c r="AY24" s="1710" t="n">
        <f aca="false">SUM(AW24:AX24)</f>
        <v>5750.4949466129</v>
      </c>
      <c r="BA24" s="1707" t="n">
        <f aca="false">R24*$AC24/$AD24</f>
        <v>600</v>
      </c>
      <c r="BB24" s="1712" t="n">
        <f aca="false">S24*$AC24/$AD24</f>
        <v>100</v>
      </c>
      <c r="BC24" s="1712" t="n">
        <f aca="false">T24*$AC24/$AD24</f>
        <v>926.668</v>
      </c>
      <c r="BD24" s="1712" t="n">
        <f aca="false">U24*$AC24/$AD24</f>
        <v>326.8798</v>
      </c>
      <c r="BE24" s="1712" t="n">
        <f aca="false">V24*$AC24/$AD24</f>
        <v>3390.50927368421</v>
      </c>
      <c r="BF24" s="1712" t="n">
        <f aca="false">W24*$AC24/$AD24</f>
        <v>105.882352941176</v>
      </c>
      <c r="BG24" s="1711" t="n">
        <f aca="false">SUM(BA24:BF24)</f>
        <v>5449.93942662539</v>
      </c>
      <c r="BI24" s="1707" t="n">
        <f aca="false">SUM(AR24,AT24,AU24,AY24,BG24)</f>
        <v>31391.2477362851</v>
      </c>
      <c r="BJ24" s="109" t="n">
        <f aca="false">BI24*BJ$6</f>
        <v>33431.6788391437</v>
      </c>
      <c r="BK24" s="1715" t="n">
        <f aca="false">BJ24*(1+BK$6)</f>
        <v>34341.7348116524</v>
      </c>
      <c r="BM24" s="1717"/>
      <c r="BN24" s="1714"/>
      <c r="BO24" s="1718"/>
      <c r="BP24" s="1715"/>
      <c r="BR24" s="1716" t="n">
        <f aca="false">$B24</f>
        <v>9</v>
      </c>
      <c r="BS24" s="187" t="n">
        <f aca="false">$C24</f>
        <v>2007</v>
      </c>
      <c r="BU24" s="1707"/>
      <c r="BV24" s="1708"/>
      <c r="BW24" s="1709"/>
      <c r="BX24" s="1708"/>
      <c r="BY24" s="1710"/>
      <c r="CA24" s="1707"/>
      <c r="CB24" s="1711"/>
      <c r="CD24" s="1707"/>
      <c r="CE24" s="1708"/>
      <c r="CF24" s="1710"/>
      <c r="CH24" s="1707"/>
      <c r="CI24" s="1712"/>
      <c r="CJ24" s="1712"/>
      <c r="CK24" s="1712"/>
      <c r="CL24" s="1712"/>
      <c r="CM24" s="1708"/>
      <c r="CN24" s="1710"/>
      <c r="CP24" s="1707"/>
      <c r="CQ24" s="109"/>
      <c r="CR24" s="1715"/>
      <c r="CT24" s="1717"/>
      <c r="CU24" s="1714"/>
      <c r="CV24" s="1719"/>
      <c r="CW24" s="1715"/>
    </row>
    <row r="25" customFormat="false" ht="12.75" hidden="false" customHeight="false" outlineLevel="0" collapsed="false">
      <c r="B25" s="1531" t="n">
        <f aca="false">B23+1</f>
        <v>9</v>
      </c>
      <c r="C25" s="1533" t="n">
        <f aca="false">C23+1</f>
        <v>2008</v>
      </c>
      <c r="E25" s="1707" t="n">
        <f aca="false">VLOOKUP($C25,Sr_Debt_Table,O$78)</f>
        <v>5636.54732142858</v>
      </c>
      <c r="F25" s="1708" t="n">
        <f aca="false">VLOOKUP($C25,Sr_Debt_Table,P$78)</f>
        <v>10017.8571428571</v>
      </c>
      <c r="G25" s="1709" t="n">
        <f aca="false">VLOOKUP($C25,Sr_Debt_Table,R$78)</f>
        <v>2229.05109098398</v>
      </c>
      <c r="H25" s="1708" t="n">
        <f aca="false">VLOOKUP($C25,Sr_Debt_Table,S$78)</f>
        <v>3040.02684810471</v>
      </c>
      <c r="I25" s="1710" t="n">
        <f aca="false">SUM(E25:H25)</f>
        <v>20923.4824033744</v>
      </c>
      <c r="K25" s="1707" t="n">
        <f aca="false">(K$6-1)*I25</f>
        <v>6277.04472101232</v>
      </c>
      <c r="L25" s="1711" t="n">
        <f aca="false">-HLOOKUP($C25,CF_Table,CF!$AB$34)</f>
        <v>284.97228742217</v>
      </c>
      <c r="N25" s="1707" t="n">
        <f aca="false">VLOOKUP($C25,Sub_Debt_Table,X$78)</f>
        <v>3881.24223634396</v>
      </c>
      <c r="O25" s="1708" t="n">
        <f aca="false">VLOOKUP($C25,Sub_Debt_Table,Z$78)</f>
        <v>4744.5001835754</v>
      </c>
      <c r="P25" s="1710" t="n">
        <f aca="false">SUM(N25:O25)</f>
        <v>8625.74241991935</v>
      </c>
      <c r="R25" s="1707" t="n">
        <f aca="false">VLOOKUP($C25,OM_Table_US,AD$78)</f>
        <v>900</v>
      </c>
      <c r="S25" s="1712" t="n">
        <f aca="false">VLOOKUP($C25,OM_Table_US,AE$78)</f>
        <v>150</v>
      </c>
      <c r="T25" s="1712" t="n">
        <f aca="false">VLOOKUP($C25,OM_Table_US,AF$78)</f>
        <v>1390.002</v>
      </c>
      <c r="U25" s="1712" t="n">
        <f aca="false">VLOOKUP($C25,OM_Table_US,AG$78)</f>
        <v>490.3197</v>
      </c>
      <c r="V25" s="1712" t="n">
        <f aca="false">VLOOKUP($C25,OM_Table_US,AH$78)</f>
        <v>5085.76391052632</v>
      </c>
      <c r="W25" s="1712" t="n">
        <f aca="false">VLOOKUP($C25,OM_Table_US,AI$78)</f>
        <v>158.823529411765</v>
      </c>
      <c r="X25" s="1711" t="n">
        <f aca="false">SUM(R25:W25)</f>
        <v>8174.90913993808</v>
      </c>
      <c r="Z25" s="1707" t="n">
        <f aca="false">SUM(I25,K25,L25,P25,X25)</f>
        <v>44286.1509716663</v>
      </c>
      <c r="AA25" s="109" t="n">
        <f aca="false">Z25*AA$6</f>
        <v>47164.7507848246</v>
      </c>
      <c r="AB25" s="109" t="n">
        <f aca="false">AA25*(1+AB$6)</f>
        <v>48448.6397378784</v>
      </c>
      <c r="AC25" s="1713" t="n">
        <f aca="false">12-AC24</f>
        <v>4</v>
      </c>
      <c r="AD25" s="1714" t="n">
        <f aca="false">HLOOKUP($C25,CF_Table,CF!$AB$12)</f>
        <v>12</v>
      </c>
      <c r="AE25" s="109" t="n">
        <f aca="false">AB25*AC25/AD25</f>
        <v>16149.5465792928</v>
      </c>
      <c r="AF25" s="170" t="n">
        <v>480</v>
      </c>
      <c r="AG25" s="1715" t="n">
        <f aca="false">SUM(AE24:AE25)/AF25/SUM(AC24:AC25)*1000</f>
        <v>8765.84746370577</v>
      </c>
      <c r="AK25" s="1716" t="n">
        <f aca="false">$B25</f>
        <v>9</v>
      </c>
      <c r="AL25" s="187" t="n">
        <f aca="false">$C25</f>
        <v>2008</v>
      </c>
      <c r="AN25" s="1707" t="n">
        <f aca="false">E25*$AC25/$AD25</f>
        <v>1878.84910714286</v>
      </c>
      <c r="AO25" s="1708" t="n">
        <f aca="false">F25*$AC25/$AD25</f>
        <v>3339.28571428571</v>
      </c>
      <c r="AP25" s="1709" t="n">
        <f aca="false">G25*$AC25/$AD25</f>
        <v>743.017030327993</v>
      </c>
      <c r="AQ25" s="1708" t="n">
        <f aca="false">H25*$AC25/$AD25</f>
        <v>1013.34228270157</v>
      </c>
      <c r="AR25" s="1710" t="n">
        <f aca="false">SUM(AN25:AQ25)</f>
        <v>6974.49413445814</v>
      </c>
      <c r="AT25" s="1707" t="n">
        <f aca="false">K25*$AC25/$AD25</f>
        <v>2092.34824033744</v>
      </c>
      <c r="AU25" s="1711" t="n">
        <f aca="false">L25*$AC25/$AD25</f>
        <v>94.9907624740566</v>
      </c>
      <c r="AW25" s="1707" t="n">
        <f aca="false">N25*$AC25/$AD25</f>
        <v>1293.74741211465</v>
      </c>
      <c r="AX25" s="1708" t="n">
        <f aca="false">O25*$AC25/$AD25</f>
        <v>1581.5000611918</v>
      </c>
      <c r="AY25" s="1710" t="n">
        <f aca="false">SUM(AW25:AX25)</f>
        <v>2875.24747330645</v>
      </c>
      <c r="BA25" s="1707" t="n">
        <f aca="false">R25*$AC25/$AD25</f>
        <v>300</v>
      </c>
      <c r="BB25" s="1712" t="n">
        <f aca="false">S25*$AC25/$AD25</f>
        <v>50</v>
      </c>
      <c r="BC25" s="1712" t="n">
        <f aca="false">T25*$AC25/$AD25</f>
        <v>463.334</v>
      </c>
      <c r="BD25" s="1712" t="n">
        <f aca="false">U25*$AC25/$AD25</f>
        <v>163.4399</v>
      </c>
      <c r="BE25" s="1712" t="n">
        <f aca="false">V25*$AC25/$AD25</f>
        <v>1695.25463684211</v>
      </c>
      <c r="BF25" s="1712" t="n">
        <f aca="false">W25*$AC25/$AD25</f>
        <v>52.9411764705882</v>
      </c>
      <c r="BG25" s="1711" t="n">
        <f aca="false">SUM(BA25:BF25)</f>
        <v>2724.96971331269</v>
      </c>
      <c r="BI25" s="1707" t="n">
        <f aca="false">SUM(AR25,AT25,AU25,AY25,BG25)</f>
        <v>14762.0503238888</v>
      </c>
      <c r="BJ25" s="109" t="n">
        <f aca="false">BI25*BJ$6</f>
        <v>15721.5835949415</v>
      </c>
      <c r="BK25" s="1715" t="n">
        <f aca="false">BJ25*(1+BK$6)</f>
        <v>16149.5465792928</v>
      </c>
      <c r="BM25" s="1717" t="n">
        <f aca="false">SUM(BK24:BK25)</f>
        <v>50491.2813909452</v>
      </c>
      <c r="BN25" s="1714" t="n">
        <f aca="false">SUM($AC24:$AC25)</f>
        <v>12</v>
      </c>
      <c r="BO25" s="1718" t="n">
        <v>480</v>
      </c>
      <c r="BP25" s="1715" t="n">
        <f aca="false">BM25/BN25/BO25*1000</f>
        <v>8765.84746370577</v>
      </c>
      <c r="BR25" s="1716" t="n">
        <f aca="false">$B25</f>
        <v>9</v>
      </c>
      <c r="BS25" s="187" t="n">
        <f aca="false">$C25</f>
        <v>2008</v>
      </c>
      <c r="BU25" s="1707" t="n">
        <f aca="false">SUM(AN24:AN25)</f>
        <v>6121.41160714286</v>
      </c>
      <c r="BV25" s="1708" t="n">
        <f aca="false">SUM(AO24:AO25)</f>
        <v>10017.8571428571</v>
      </c>
      <c r="BW25" s="1709" t="n">
        <f aca="false">SUM(AP24:AP25)</f>
        <v>2523.16244219401</v>
      </c>
      <c r="BX25" s="1708" t="n">
        <f aca="false">SUM(AQ24:AQ25)</f>
        <v>3684.65337452747</v>
      </c>
      <c r="BY25" s="1710" t="n">
        <f aca="false">SUM(BU25:BX25)</f>
        <v>22347.0845667215</v>
      </c>
      <c r="CA25" s="1707" t="n">
        <f aca="false">SUM(AT24:AT25)</f>
        <v>6704.12537001645</v>
      </c>
      <c r="CB25" s="1711" t="n">
        <f aca="false">SUM(AU24:AU25)</f>
        <v>301.436563578524</v>
      </c>
      <c r="CD25" s="1707" t="n">
        <f aca="false">SUM(AW24:AW25)</f>
        <v>4255.55393942486</v>
      </c>
      <c r="CE25" s="1708" t="n">
        <f aca="false">SUM(AX24:AX25)</f>
        <v>4370.18848049449</v>
      </c>
      <c r="CF25" s="1710" t="n">
        <f aca="false">SUM(CD25:CE25)</f>
        <v>8625.74241991935</v>
      </c>
      <c r="CH25" s="1707" t="n">
        <f aca="false">SUM(BA24:BA25)</f>
        <v>900</v>
      </c>
      <c r="CI25" s="1712" t="n">
        <f aca="false">SUM(BB24:BB25)</f>
        <v>150</v>
      </c>
      <c r="CJ25" s="1712" t="n">
        <f aca="false">SUM(BC24:BC25)</f>
        <v>1390.002</v>
      </c>
      <c r="CK25" s="1712" t="n">
        <f aca="false">SUM(BD24:BD25)</f>
        <v>490.3197</v>
      </c>
      <c r="CL25" s="1712" t="n">
        <f aca="false">SUM(BE24:BE25)</f>
        <v>5085.76391052632</v>
      </c>
      <c r="CM25" s="1708" t="n">
        <f aca="false">SUM(BF24:BF25)</f>
        <v>158.823529411765</v>
      </c>
      <c r="CN25" s="1710" t="n">
        <f aca="false">SUM(CH25:CM25)</f>
        <v>8174.90913993808</v>
      </c>
      <c r="CP25" s="1707" t="n">
        <f aca="false">SUM(BY25,CA25,CB25,CF25,CN25)</f>
        <v>46153.2980601739</v>
      </c>
      <c r="CQ25" s="109" t="n">
        <f aca="false">CP25*CQ$6</f>
        <v>49153.2624340852</v>
      </c>
      <c r="CR25" s="1715" t="n">
        <f aca="false">CQ25*(1+CR$6)</f>
        <v>50491.2813909452</v>
      </c>
      <c r="CT25" s="1717" t="n">
        <f aca="false">SUM(CR24:CR25)</f>
        <v>50491.2813909452</v>
      </c>
      <c r="CU25" s="1714" t="n">
        <f aca="false">SUM($AC24:$AC25)</f>
        <v>12</v>
      </c>
      <c r="CV25" s="1719" t="n">
        <f aca="false">$BO25</f>
        <v>480</v>
      </c>
      <c r="CW25" s="1715" t="n">
        <f aca="false">CT25/CU25/CV25*1000</f>
        <v>8765.84746370577</v>
      </c>
    </row>
    <row r="26" customFormat="false" ht="12.75" hidden="false" customHeight="false" outlineLevel="0" collapsed="false">
      <c r="B26" s="1531" t="n">
        <f aca="false">B24+1</f>
        <v>10</v>
      </c>
      <c r="C26" s="1533" t="n">
        <f aca="false">C24+1</f>
        <v>2008</v>
      </c>
      <c r="E26" s="1707" t="n">
        <f aca="false">VLOOKUP($C26,Sr_Debt_Table,O$78)</f>
        <v>5636.54732142858</v>
      </c>
      <c r="F26" s="1708" t="n">
        <f aca="false">VLOOKUP($C26,Sr_Debt_Table,P$78)</f>
        <v>10017.8571428571</v>
      </c>
      <c r="G26" s="1709" t="n">
        <f aca="false">VLOOKUP($C26,Sr_Debt_Table,R$78)</f>
        <v>2229.05109098398</v>
      </c>
      <c r="H26" s="1708" t="n">
        <f aca="false">VLOOKUP($C26,Sr_Debt_Table,S$78)</f>
        <v>3040.02684810471</v>
      </c>
      <c r="I26" s="1710" t="n">
        <f aca="false">SUM(E26:H26)</f>
        <v>20923.4824033744</v>
      </c>
      <c r="K26" s="1707" t="n">
        <f aca="false">(K$6-1)*I26</f>
        <v>6277.04472101232</v>
      </c>
      <c r="L26" s="1711" t="n">
        <f aca="false">-HLOOKUP($C26,CF_Table,CF!$AB$34)</f>
        <v>284.97228742217</v>
      </c>
      <c r="N26" s="1707" t="n">
        <f aca="false">VLOOKUP($C26,Sub_Debt_Table,X$78)</f>
        <v>3881.24223634396</v>
      </c>
      <c r="O26" s="1708" t="n">
        <f aca="false">VLOOKUP($C26,Sub_Debt_Table,Z$78)</f>
        <v>4744.5001835754</v>
      </c>
      <c r="P26" s="1710" t="n">
        <f aca="false">SUM(N26:O26)</f>
        <v>8625.74241991935</v>
      </c>
      <c r="R26" s="1707" t="n">
        <f aca="false">VLOOKUP($C26,OM_Table_US,AD$78)</f>
        <v>900</v>
      </c>
      <c r="S26" s="1712" t="n">
        <f aca="false">VLOOKUP($C26,OM_Table_US,AE$78)</f>
        <v>150</v>
      </c>
      <c r="T26" s="1712" t="n">
        <f aca="false">VLOOKUP($C26,OM_Table_US,AF$78)</f>
        <v>1390.002</v>
      </c>
      <c r="U26" s="1712" t="n">
        <f aca="false">VLOOKUP($C26,OM_Table_US,AG$78)</f>
        <v>490.3197</v>
      </c>
      <c r="V26" s="1712" t="n">
        <f aca="false">VLOOKUP($C26,OM_Table_US,AH$78)</f>
        <v>5085.76391052632</v>
      </c>
      <c r="W26" s="1712" t="n">
        <f aca="false">VLOOKUP($C26,OM_Table_US,AI$78)</f>
        <v>158.823529411765</v>
      </c>
      <c r="X26" s="1711" t="n">
        <f aca="false">SUM(R26:W26)</f>
        <v>8174.90913993808</v>
      </c>
      <c r="Z26" s="1707" t="n">
        <f aca="false">SUM(I26,K26,L26,P26,X26)</f>
        <v>44286.1509716663</v>
      </c>
      <c r="AA26" s="109" t="n">
        <f aca="false">Z26*AA$6</f>
        <v>47164.7507848246</v>
      </c>
      <c r="AB26" s="109" t="n">
        <f aca="false">AA26*(1+AB$6)</f>
        <v>48448.6397378784</v>
      </c>
      <c r="AC26" s="1713" t="n">
        <f aca="false">12-AC25</f>
        <v>8</v>
      </c>
      <c r="AD26" s="1714" t="n">
        <f aca="false">HLOOKUP($C26,CF_Table,CF!$AB$12)</f>
        <v>12</v>
      </c>
      <c r="AE26" s="109" t="n">
        <f aca="false">AB26*AC26/AD26</f>
        <v>32299.0931585856</v>
      </c>
      <c r="AF26" s="170" t="n">
        <v>480</v>
      </c>
      <c r="AG26" s="1715"/>
      <c r="AK26" s="1716" t="n">
        <f aca="false">$B26</f>
        <v>10</v>
      </c>
      <c r="AL26" s="187" t="n">
        <f aca="false">$C26</f>
        <v>2008</v>
      </c>
      <c r="AN26" s="1707" t="n">
        <f aca="false">E26*$AC26/$AD26</f>
        <v>3757.69821428572</v>
      </c>
      <c r="AO26" s="1708" t="n">
        <f aca="false">F26*$AC26/$AD26</f>
        <v>6678.57142857143</v>
      </c>
      <c r="AP26" s="1709" t="n">
        <f aca="false">G26*$AC26/$AD26</f>
        <v>1486.03406065599</v>
      </c>
      <c r="AQ26" s="1708" t="n">
        <f aca="false">H26*$AC26/$AD26</f>
        <v>2026.68456540314</v>
      </c>
      <c r="AR26" s="1710" t="n">
        <f aca="false">SUM(AN26:AQ26)</f>
        <v>13948.9882689163</v>
      </c>
      <c r="AT26" s="1707" t="n">
        <f aca="false">K26*$AC26/$AD26</f>
        <v>4184.69648067488</v>
      </c>
      <c r="AU26" s="1711" t="n">
        <f aca="false">L26*$AC26/$AD26</f>
        <v>189.981524948113</v>
      </c>
      <c r="AW26" s="1707" t="n">
        <f aca="false">N26*$AC26/$AD26</f>
        <v>2587.49482422931</v>
      </c>
      <c r="AX26" s="1708" t="n">
        <f aca="false">O26*$AC26/$AD26</f>
        <v>3163.0001223836</v>
      </c>
      <c r="AY26" s="1710" t="n">
        <f aca="false">SUM(AW26:AX26)</f>
        <v>5750.4949466129</v>
      </c>
      <c r="BA26" s="1707" t="n">
        <f aca="false">R26*$AC26/$AD26</f>
        <v>600</v>
      </c>
      <c r="BB26" s="1712" t="n">
        <f aca="false">S26*$AC26/$AD26</f>
        <v>100</v>
      </c>
      <c r="BC26" s="1712" t="n">
        <f aca="false">T26*$AC26/$AD26</f>
        <v>926.668</v>
      </c>
      <c r="BD26" s="1712" t="n">
        <f aca="false">U26*$AC26/$AD26</f>
        <v>326.8798</v>
      </c>
      <c r="BE26" s="1712" t="n">
        <f aca="false">V26*$AC26/$AD26</f>
        <v>3390.50927368421</v>
      </c>
      <c r="BF26" s="1712" t="n">
        <f aca="false">W26*$AC26/$AD26</f>
        <v>105.882352941176</v>
      </c>
      <c r="BG26" s="1711" t="n">
        <f aca="false">SUM(BA26:BF26)</f>
        <v>5449.93942662539</v>
      </c>
      <c r="BI26" s="1707" t="n">
        <f aca="false">SUM(AR26,AT26,AU26,AY26,BG26)</f>
        <v>29524.1006477776</v>
      </c>
      <c r="BJ26" s="109" t="n">
        <f aca="false">BI26*BJ$6</f>
        <v>31443.1671898831</v>
      </c>
      <c r="BK26" s="1715" t="n">
        <f aca="false">BJ26*(1+BK$6)</f>
        <v>32299.0931585856</v>
      </c>
      <c r="BM26" s="1717"/>
      <c r="BN26" s="1714"/>
      <c r="BO26" s="1718"/>
      <c r="BP26" s="1715"/>
      <c r="BR26" s="1716" t="n">
        <f aca="false">$B26</f>
        <v>10</v>
      </c>
      <c r="BS26" s="187" t="n">
        <f aca="false">$C26</f>
        <v>2008</v>
      </c>
      <c r="BU26" s="1707"/>
      <c r="BV26" s="1708"/>
      <c r="BW26" s="1709"/>
      <c r="BX26" s="1708"/>
      <c r="BY26" s="1710"/>
      <c r="CA26" s="1707"/>
      <c r="CB26" s="1711"/>
      <c r="CD26" s="1707"/>
      <c r="CE26" s="1708"/>
      <c r="CF26" s="1710"/>
      <c r="CH26" s="1707"/>
      <c r="CI26" s="1712"/>
      <c r="CJ26" s="1712"/>
      <c r="CK26" s="1712"/>
      <c r="CL26" s="1712"/>
      <c r="CM26" s="1708"/>
      <c r="CN26" s="1710"/>
      <c r="CP26" s="1707"/>
      <c r="CQ26" s="109"/>
      <c r="CR26" s="1715"/>
      <c r="CT26" s="1717"/>
      <c r="CU26" s="1714"/>
      <c r="CV26" s="1719"/>
      <c r="CW26" s="1715"/>
    </row>
    <row r="27" customFormat="false" ht="12.75" hidden="false" customHeight="false" outlineLevel="0" collapsed="false">
      <c r="B27" s="1531" t="n">
        <f aca="false">B25+1</f>
        <v>10</v>
      </c>
      <c r="C27" s="1533" t="n">
        <f aca="false">C25+1</f>
        <v>2009</v>
      </c>
      <c r="E27" s="1707" t="n">
        <f aca="false">VLOOKUP($C27,Sr_Debt_Table,O$78)</f>
        <v>4909.25089285715</v>
      </c>
      <c r="F27" s="1708" t="n">
        <f aca="false">VLOOKUP($C27,Sr_Debt_Table,P$78)</f>
        <v>10017.8571428571</v>
      </c>
      <c r="G27" s="1709" t="n">
        <f aca="false">VLOOKUP($C27,Sr_Debt_Table,R$78)</f>
        <v>1947.57417042701</v>
      </c>
      <c r="H27" s="1708" t="n">
        <f aca="false">VLOOKUP($C27,Sr_Debt_Table,S$78)</f>
        <v>2073.08705847056</v>
      </c>
      <c r="I27" s="1710" t="n">
        <f aca="false">SUM(E27:H27)</f>
        <v>18947.7692646119</v>
      </c>
      <c r="K27" s="1707" t="n">
        <f aca="false">(K$6-1)*I27</f>
        <v>5684.33077938356</v>
      </c>
      <c r="L27" s="1711" t="n">
        <f aca="false">-HLOOKUP($C27,CF_Table,CF!$AB$34)</f>
        <v>273.027996000807</v>
      </c>
      <c r="N27" s="1707" t="n">
        <f aca="false">VLOOKUP($C27,Sub_Debt_Table,X$78)</f>
        <v>3244.41169920355</v>
      </c>
      <c r="O27" s="1708" t="n">
        <f aca="false">VLOOKUP($C27,Sub_Debt_Table,Z$78)</f>
        <v>5381.3307207158</v>
      </c>
      <c r="P27" s="1710" t="n">
        <f aca="false">SUM(N27:O27)</f>
        <v>8625.74241991935</v>
      </c>
      <c r="R27" s="1707" t="n">
        <f aca="false">VLOOKUP($C27,OM_Table_US,AD$78)</f>
        <v>900</v>
      </c>
      <c r="S27" s="1712" t="n">
        <f aca="false">VLOOKUP($C27,OM_Table_US,AE$78)</f>
        <v>150</v>
      </c>
      <c r="T27" s="1712" t="n">
        <f aca="false">VLOOKUP($C27,OM_Table_US,AF$78)</f>
        <v>1390.002</v>
      </c>
      <c r="U27" s="1712" t="n">
        <f aca="false">VLOOKUP($C27,OM_Table_US,AG$78)</f>
        <v>490.3197</v>
      </c>
      <c r="V27" s="1712" t="n">
        <f aca="false">VLOOKUP($C27,OM_Table_US,AH$78)</f>
        <v>5085.76391052632</v>
      </c>
      <c r="W27" s="1712" t="n">
        <f aca="false">VLOOKUP($C27,OM_Table_US,AI$78)</f>
        <v>158.823529411765</v>
      </c>
      <c r="X27" s="1711" t="n">
        <f aca="false">SUM(R27:W27)</f>
        <v>8174.90913993808</v>
      </c>
      <c r="Z27" s="1707" t="n">
        <f aca="false">SUM(I27,K27,L27,P27,X27)</f>
        <v>41705.7795998537</v>
      </c>
      <c r="AA27" s="109" t="n">
        <f aca="false">Z27*AA$6</f>
        <v>44416.6552738441</v>
      </c>
      <c r="AB27" s="109" t="n">
        <f aca="false">AA27*(1+AB$6)</f>
        <v>45625.7373126288</v>
      </c>
      <c r="AC27" s="1713" t="n">
        <f aca="false">12-AC26</f>
        <v>4</v>
      </c>
      <c r="AD27" s="1714" t="n">
        <f aca="false">HLOOKUP($C27,CF_Table,CF!$AB$12)</f>
        <v>12</v>
      </c>
      <c r="AE27" s="109" t="n">
        <f aca="false">AB27*AC27/AD27</f>
        <v>15208.5791042096</v>
      </c>
      <c r="AF27" s="170" t="n">
        <v>480</v>
      </c>
      <c r="AG27" s="1715" t="n">
        <f aca="false">SUM(AE26:AE27)/AF27/SUM(AC26:AC27)*1000</f>
        <v>8247.85976784639</v>
      </c>
      <c r="AK27" s="1716" t="n">
        <f aca="false">$B27</f>
        <v>10</v>
      </c>
      <c r="AL27" s="187" t="n">
        <f aca="false">$C27</f>
        <v>2009</v>
      </c>
      <c r="AN27" s="1707" t="n">
        <f aca="false">E27*$AC27/$AD27</f>
        <v>1636.41696428572</v>
      </c>
      <c r="AO27" s="1708" t="n">
        <f aca="false">F27*$AC27/$AD27</f>
        <v>3339.28571428571</v>
      </c>
      <c r="AP27" s="1709" t="n">
        <f aca="false">G27*$AC27/$AD27</f>
        <v>649.191390142337</v>
      </c>
      <c r="AQ27" s="1708" t="n">
        <f aca="false">H27*$AC27/$AD27</f>
        <v>691.029019490185</v>
      </c>
      <c r="AR27" s="1710" t="n">
        <f aca="false">SUM(AN27:AQ27)</f>
        <v>6315.92308820395</v>
      </c>
      <c r="AT27" s="1707" t="n">
        <f aca="false">K27*$AC27/$AD27</f>
        <v>1894.77692646119</v>
      </c>
      <c r="AU27" s="1711" t="n">
        <f aca="false">L27*$AC27/$AD27</f>
        <v>91.0093320002689</v>
      </c>
      <c r="AW27" s="1707" t="n">
        <f aca="false">N27*$AC27/$AD27</f>
        <v>1081.47056640118</v>
      </c>
      <c r="AX27" s="1708" t="n">
        <f aca="false">O27*$AC27/$AD27</f>
        <v>1793.77690690527</v>
      </c>
      <c r="AY27" s="1710" t="n">
        <f aca="false">SUM(AW27:AX27)</f>
        <v>2875.24747330645</v>
      </c>
      <c r="BA27" s="1707" t="n">
        <f aca="false">R27*$AC27/$AD27</f>
        <v>300</v>
      </c>
      <c r="BB27" s="1712" t="n">
        <f aca="false">S27*$AC27/$AD27</f>
        <v>50</v>
      </c>
      <c r="BC27" s="1712" t="n">
        <f aca="false">T27*$AC27/$AD27</f>
        <v>463.334</v>
      </c>
      <c r="BD27" s="1712" t="n">
        <f aca="false">U27*$AC27/$AD27</f>
        <v>163.4399</v>
      </c>
      <c r="BE27" s="1712" t="n">
        <f aca="false">V27*$AC27/$AD27</f>
        <v>1695.25463684211</v>
      </c>
      <c r="BF27" s="1712" t="n">
        <f aca="false">W27*$AC27/$AD27</f>
        <v>52.9411764705882</v>
      </c>
      <c r="BG27" s="1711" t="n">
        <f aca="false">SUM(BA27:BF27)</f>
        <v>2724.96971331269</v>
      </c>
      <c r="BI27" s="1707" t="n">
        <f aca="false">SUM(AR27,AT27,AU27,AY27,BG27)</f>
        <v>13901.9265332846</v>
      </c>
      <c r="BJ27" s="109" t="n">
        <f aca="false">BI27*BJ$6</f>
        <v>14805.551757948</v>
      </c>
      <c r="BK27" s="1715" t="n">
        <f aca="false">BJ27*(1+BK$6)</f>
        <v>15208.5791042096</v>
      </c>
      <c r="BM27" s="1717" t="n">
        <f aca="false">SUM(BK26:BK27)</f>
        <v>47507.6722627952</v>
      </c>
      <c r="BN27" s="1714" t="n">
        <f aca="false">SUM($AC26:$AC27)</f>
        <v>12</v>
      </c>
      <c r="BO27" s="1718" t="n">
        <v>480</v>
      </c>
      <c r="BP27" s="1715" t="n">
        <f aca="false">BM27/BN27/BO27*1000</f>
        <v>8247.85976784639</v>
      </c>
      <c r="BR27" s="1716" t="n">
        <f aca="false">$B27</f>
        <v>10</v>
      </c>
      <c r="BS27" s="187" t="n">
        <f aca="false">$C27</f>
        <v>2009</v>
      </c>
      <c r="BU27" s="1707" t="n">
        <f aca="false">SUM(AN26:AN27)</f>
        <v>5394.11517857143</v>
      </c>
      <c r="BV27" s="1708" t="n">
        <f aca="false">SUM(AO26:AO27)</f>
        <v>10017.8571428571</v>
      </c>
      <c r="BW27" s="1709" t="n">
        <f aca="false">SUM(AP26:AP27)</f>
        <v>2135.22545079832</v>
      </c>
      <c r="BX27" s="1708" t="n">
        <f aca="false">SUM(AQ26:AQ27)</f>
        <v>2717.71358489332</v>
      </c>
      <c r="BY27" s="1710" t="n">
        <f aca="false">SUM(BU27:BX27)</f>
        <v>20264.9113571202</v>
      </c>
      <c r="CA27" s="1707" t="n">
        <f aca="false">SUM(AT26:AT27)</f>
        <v>6079.47340713607</v>
      </c>
      <c r="CB27" s="1711" t="n">
        <f aca="false">SUM(AU26:AU27)</f>
        <v>280.990856948382</v>
      </c>
      <c r="CD27" s="1707" t="n">
        <f aca="false">SUM(AW26:AW27)</f>
        <v>3668.96539063049</v>
      </c>
      <c r="CE27" s="1708" t="n">
        <f aca="false">SUM(AX26:AX27)</f>
        <v>4956.77702928886</v>
      </c>
      <c r="CF27" s="1710" t="n">
        <f aca="false">SUM(CD27:CE27)</f>
        <v>8625.74241991935</v>
      </c>
      <c r="CH27" s="1707" t="n">
        <f aca="false">SUM(BA26:BA27)</f>
        <v>900</v>
      </c>
      <c r="CI27" s="1712" t="n">
        <f aca="false">SUM(BB26:BB27)</f>
        <v>150</v>
      </c>
      <c r="CJ27" s="1712" t="n">
        <f aca="false">SUM(BC26:BC27)</f>
        <v>1390.002</v>
      </c>
      <c r="CK27" s="1712" t="n">
        <f aca="false">SUM(BD26:BD27)</f>
        <v>490.3197</v>
      </c>
      <c r="CL27" s="1712" t="n">
        <f aca="false">SUM(BE26:BE27)</f>
        <v>5085.76391052632</v>
      </c>
      <c r="CM27" s="1708" t="n">
        <f aca="false">SUM(BF26:BF27)</f>
        <v>158.823529411765</v>
      </c>
      <c r="CN27" s="1710" t="n">
        <f aca="false">SUM(CH27:CM27)</f>
        <v>8174.90913993808</v>
      </c>
      <c r="CP27" s="1707" t="n">
        <f aca="false">SUM(BY27,CA27,CB27,CF27,CN27)</f>
        <v>43426.0271810621</v>
      </c>
      <c r="CQ27" s="109" t="n">
        <f aca="false">CP27*CQ$6</f>
        <v>46248.7189478311</v>
      </c>
      <c r="CR27" s="1715" t="n">
        <f aca="false">CQ27*(1+CR$6)</f>
        <v>47507.6722627952</v>
      </c>
      <c r="CT27" s="1717" t="n">
        <f aca="false">SUM(CR26:CR27)</f>
        <v>47507.6722627952</v>
      </c>
      <c r="CU27" s="1714" t="n">
        <f aca="false">SUM($AC26:$AC27)</f>
        <v>12</v>
      </c>
      <c r="CV27" s="1719" t="n">
        <f aca="false">$BO27</f>
        <v>480</v>
      </c>
      <c r="CW27" s="1715" t="n">
        <f aca="false">CT27/CU27/CV27*1000</f>
        <v>8247.85976784639</v>
      </c>
    </row>
    <row r="28" customFormat="false" ht="12.75" hidden="false" customHeight="false" outlineLevel="0" collapsed="false">
      <c r="B28" s="1531" t="n">
        <f aca="false">B26+1</f>
        <v>11</v>
      </c>
      <c r="C28" s="1533" t="n">
        <f aca="false">C26+1</f>
        <v>2009</v>
      </c>
      <c r="E28" s="1707" t="n">
        <f aca="false">VLOOKUP($C28,Sr_Debt_Table,O$78)</f>
        <v>4909.25089285715</v>
      </c>
      <c r="F28" s="1708" t="n">
        <f aca="false">VLOOKUP($C28,Sr_Debt_Table,P$78)</f>
        <v>10017.8571428571</v>
      </c>
      <c r="G28" s="1709" t="n">
        <f aca="false">VLOOKUP($C28,Sr_Debt_Table,R$78)</f>
        <v>1947.57417042701</v>
      </c>
      <c r="H28" s="1708" t="n">
        <f aca="false">VLOOKUP($C28,Sr_Debt_Table,S$78)</f>
        <v>2073.08705847056</v>
      </c>
      <c r="I28" s="1710" t="n">
        <f aca="false">SUM(E28:H28)</f>
        <v>18947.7692646119</v>
      </c>
      <c r="K28" s="1707" t="n">
        <f aca="false">(K$6-1)*I28</f>
        <v>5684.33077938356</v>
      </c>
      <c r="L28" s="1711" t="n">
        <f aca="false">-HLOOKUP($C28,CF_Table,CF!$AB$34)</f>
        <v>273.027996000807</v>
      </c>
      <c r="N28" s="1707" t="n">
        <f aca="false">VLOOKUP($C28,Sub_Debt_Table,X$78)</f>
        <v>3244.41169920355</v>
      </c>
      <c r="O28" s="1708" t="n">
        <f aca="false">VLOOKUP($C28,Sub_Debt_Table,Z$78)</f>
        <v>5381.3307207158</v>
      </c>
      <c r="P28" s="1710" t="n">
        <f aca="false">SUM(N28:O28)</f>
        <v>8625.74241991935</v>
      </c>
      <c r="R28" s="1707" t="n">
        <f aca="false">VLOOKUP($C28,OM_Table_US,AD$78)</f>
        <v>900</v>
      </c>
      <c r="S28" s="1712" t="n">
        <f aca="false">VLOOKUP($C28,OM_Table_US,AE$78)</f>
        <v>150</v>
      </c>
      <c r="T28" s="1712" t="n">
        <f aca="false">VLOOKUP($C28,OM_Table_US,AF$78)</f>
        <v>1390.002</v>
      </c>
      <c r="U28" s="1712" t="n">
        <f aca="false">VLOOKUP($C28,OM_Table_US,AG$78)</f>
        <v>490.3197</v>
      </c>
      <c r="V28" s="1712" t="n">
        <f aca="false">VLOOKUP($C28,OM_Table_US,AH$78)</f>
        <v>5085.76391052632</v>
      </c>
      <c r="W28" s="1712" t="n">
        <f aca="false">VLOOKUP($C28,OM_Table_US,AI$78)</f>
        <v>158.823529411765</v>
      </c>
      <c r="X28" s="1711" t="n">
        <f aca="false">SUM(R28:W28)</f>
        <v>8174.90913993808</v>
      </c>
      <c r="Z28" s="1707" t="n">
        <f aca="false">SUM(I28,K28,L28,P28,X28)</f>
        <v>41705.7795998537</v>
      </c>
      <c r="AA28" s="109" t="n">
        <f aca="false">Z28*AA$6</f>
        <v>44416.6552738441</v>
      </c>
      <c r="AB28" s="109" t="n">
        <f aca="false">AA28*(1+AB$6)</f>
        <v>45625.7373126288</v>
      </c>
      <c r="AC28" s="1713" t="n">
        <f aca="false">12-AC27</f>
        <v>8</v>
      </c>
      <c r="AD28" s="1714" t="n">
        <f aca="false">HLOOKUP($C28,CF_Table,CF!$AB$12)</f>
        <v>12</v>
      </c>
      <c r="AE28" s="109" t="n">
        <f aca="false">AB28*AC28/AD28</f>
        <v>30417.1582084192</v>
      </c>
      <c r="AF28" s="170" t="n">
        <v>480</v>
      </c>
      <c r="AG28" s="1715"/>
      <c r="AK28" s="1716" t="n">
        <f aca="false">$B28</f>
        <v>11</v>
      </c>
      <c r="AL28" s="187" t="n">
        <f aca="false">$C28</f>
        <v>2009</v>
      </c>
      <c r="AN28" s="1707" t="n">
        <f aca="false">E28*$AC28/$AD28</f>
        <v>3272.83392857143</v>
      </c>
      <c r="AO28" s="1708" t="n">
        <f aca="false">F28*$AC28/$AD28</f>
        <v>6678.57142857143</v>
      </c>
      <c r="AP28" s="1709" t="n">
        <f aca="false">G28*$AC28/$AD28</f>
        <v>1298.38278028467</v>
      </c>
      <c r="AQ28" s="1708" t="n">
        <f aca="false">H28*$AC28/$AD28</f>
        <v>1382.05803898037</v>
      </c>
      <c r="AR28" s="1710" t="n">
        <f aca="false">SUM(AN28:AQ28)</f>
        <v>12631.8461764079</v>
      </c>
      <c r="AT28" s="1707" t="n">
        <f aca="false">K28*$AC28/$AD28</f>
        <v>3789.55385292237</v>
      </c>
      <c r="AU28" s="1711" t="n">
        <f aca="false">L28*$AC28/$AD28</f>
        <v>182.018664000538</v>
      </c>
      <c r="AW28" s="1707" t="n">
        <f aca="false">N28*$AC28/$AD28</f>
        <v>2162.94113280237</v>
      </c>
      <c r="AX28" s="1708" t="n">
        <f aca="false">O28*$AC28/$AD28</f>
        <v>3587.55381381054</v>
      </c>
      <c r="AY28" s="1710" t="n">
        <f aca="false">SUM(AW28:AX28)</f>
        <v>5750.4949466129</v>
      </c>
      <c r="BA28" s="1707" t="n">
        <f aca="false">R28*$AC28/$AD28</f>
        <v>600</v>
      </c>
      <c r="BB28" s="1712" t="n">
        <f aca="false">S28*$AC28/$AD28</f>
        <v>100</v>
      </c>
      <c r="BC28" s="1712" t="n">
        <f aca="false">T28*$AC28/$AD28</f>
        <v>926.668</v>
      </c>
      <c r="BD28" s="1712" t="n">
        <f aca="false">U28*$AC28/$AD28</f>
        <v>326.8798</v>
      </c>
      <c r="BE28" s="1712" t="n">
        <f aca="false">V28*$AC28/$AD28</f>
        <v>3390.50927368421</v>
      </c>
      <c r="BF28" s="1712" t="n">
        <f aca="false">W28*$AC28/$AD28</f>
        <v>105.882352941176</v>
      </c>
      <c r="BG28" s="1711" t="n">
        <f aca="false">SUM(BA28:BF28)</f>
        <v>5449.93942662539</v>
      </c>
      <c r="BI28" s="1707" t="n">
        <f aca="false">SUM(AR28,AT28,AU28,AY28,BG28)</f>
        <v>27803.8530665691</v>
      </c>
      <c r="BJ28" s="109" t="n">
        <f aca="false">BI28*BJ$6</f>
        <v>29611.1035158961</v>
      </c>
      <c r="BK28" s="1715" t="n">
        <f aca="false">BJ28*(1+BK$6)</f>
        <v>30417.1582084192</v>
      </c>
      <c r="BM28" s="1717"/>
      <c r="BN28" s="1714"/>
      <c r="BO28" s="1718"/>
      <c r="BP28" s="1715"/>
      <c r="BR28" s="1716" t="n">
        <f aca="false">$B28</f>
        <v>11</v>
      </c>
      <c r="BS28" s="187" t="n">
        <f aca="false">$C28</f>
        <v>2009</v>
      </c>
      <c r="BU28" s="1707"/>
      <c r="BV28" s="1708"/>
      <c r="BW28" s="1709"/>
      <c r="BX28" s="1708"/>
      <c r="BY28" s="1710"/>
      <c r="CA28" s="1707"/>
      <c r="CB28" s="1711"/>
      <c r="CD28" s="1707"/>
      <c r="CE28" s="1708"/>
      <c r="CF28" s="1710"/>
      <c r="CH28" s="1707"/>
      <c r="CI28" s="1712"/>
      <c r="CJ28" s="1712"/>
      <c r="CK28" s="1712"/>
      <c r="CL28" s="1712"/>
      <c r="CM28" s="1708"/>
      <c r="CN28" s="1710"/>
      <c r="CP28" s="1707"/>
      <c r="CQ28" s="109"/>
      <c r="CR28" s="1715"/>
      <c r="CT28" s="1717"/>
      <c r="CU28" s="1714"/>
      <c r="CV28" s="1719"/>
      <c r="CW28" s="1715"/>
    </row>
    <row r="29" customFormat="false" ht="12.75" hidden="false" customHeight="false" outlineLevel="0" collapsed="false">
      <c r="B29" s="1531" t="n">
        <f aca="false">B27+1</f>
        <v>11</v>
      </c>
      <c r="C29" s="1533" t="n">
        <f aca="false">C27+1</f>
        <v>2010</v>
      </c>
      <c r="E29" s="1707" t="n">
        <f aca="false">VLOOKUP($C29,Sr_Debt_Table,O$78)</f>
        <v>4181.95446428572</v>
      </c>
      <c r="F29" s="1708" t="n">
        <f aca="false">VLOOKUP($C29,Sr_Debt_Table,P$78)</f>
        <v>10017.8571428571</v>
      </c>
      <c r="G29" s="1709" t="n">
        <f aca="false">VLOOKUP($C29,Sr_Debt_Table,R$78)</f>
        <v>1719.3272852894</v>
      </c>
      <c r="H29" s="1708" t="n">
        <f aca="false">VLOOKUP($C29,Sr_Debt_Table,S$78)</f>
        <v>2073.08705847056</v>
      </c>
      <c r="I29" s="1710" t="n">
        <f aca="false">SUM(E29:H29)</f>
        <v>17992.2259509028</v>
      </c>
      <c r="K29" s="1707" t="n">
        <f aca="false">(K$6-1)*I29</f>
        <v>5397.66778527085</v>
      </c>
      <c r="L29" s="1711" t="n">
        <f aca="false">-HLOOKUP($C29,CF_Table,CF!$AB$34)</f>
        <v>267.127078264657</v>
      </c>
      <c r="N29" s="1707" t="n">
        <f aca="false">VLOOKUP($C29,Sub_Debt_Table,X$78)</f>
        <v>2522.10258321547</v>
      </c>
      <c r="O29" s="1708" t="n">
        <f aca="false">VLOOKUP($C29,Sub_Debt_Table,Z$78)</f>
        <v>6103.63983670388</v>
      </c>
      <c r="P29" s="1710" t="n">
        <f aca="false">SUM(N29:O29)</f>
        <v>8625.74241991935</v>
      </c>
      <c r="R29" s="1707" t="n">
        <f aca="false">VLOOKUP($C29,OM_Table_US,AD$78)</f>
        <v>900</v>
      </c>
      <c r="S29" s="1712" t="n">
        <f aca="false">VLOOKUP($C29,OM_Table_US,AE$78)</f>
        <v>150</v>
      </c>
      <c r="T29" s="1712" t="n">
        <f aca="false">VLOOKUP($C29,OM_Table_US,AF$78)</f>
        <v>1390.002</v>
      </c>
      <c r="U29" s="1712" t="n">
        <f aca="false">VLOOKUP($C29,OM_Table_US,AG$78)</f>
        <v>490.3197</v>
      </c>
      <c r="V29" s="1712" t="n">
        <f aca="false">VLOOKUP($C29,OM_Table_US,AH$78)</f>
        <v>5085.76391052632</v>
      </c>
      <c r="W29" s="1712" t="n">
        <f aca="false">VLOOKUP($C29,OM_Table_US,AI$78)</f>
        <v>158.823529411765</v>
      </c>
      <c r="X29" s="1711" t="n">
        <f aca="false">SUM(R29:W29)</f>
        <v>8174.90913993808</v>
      </c>
      <c r="Z29" s="1707" t="n">
        <f aca="false">SUM(I29,K29,L29,P29,X29)</f>
        <v>40457.6723742958</v>
      </c>
      <c r="AA29" s="109" t="n">
        <f aca="false">Z29*AA$6</f>
        <v>43087.421078625</v>
      </c>
      <c r="AB29" s="109" t="n">
        <f aca="false">AA29*(1+AB$6)</f>
        <v>44260.3195466101</v>
      </c>
      <c r="AC29" s="1713" t="n">
        <f aca="false">12-AC28</f>
        <v>4</v>
      </c>
      <c r="AD29" s="1714" t="n">
        <f aca="false">HLOOKUP($C29,CF_Table,CF!$AB$12)</f>
        <v>12</v>
      </c>
      <c r="AE29" s="109" t="n">
        <f aca="false">AB29*AC29/AD29</f>
        <v>14753.43984887</v>
      </c>
      <c r="AF29" s="170" t="n">
        <v>480</v>
      </c>
      <c r="AG29" s="1715" t="n">
        <f aca="false">SUM(AE28:AE29)/AF29/SUM(AC28:AC29)*1000</f>
        <v>7842.11771827938</v>
      </c>
      <c r="AK29" s="1716" t="n">
        <f aca="false">$B29</f>
        <v>11</v>
      </c>
      <c r="AL29" s="187" t="n">
        <f aca="false">$C29</f>
        <v>2010</v>
      </c>
      <c r="AN29" s="1707" t="n">
        <f aca="false">E29*$AC29/$AD29</f>
        <v>1393.98482142857</v>
      </c>
      <c r="AO29" s="1708" t="n">
        <f aca="false">F29*$AC29/$AD29</f>
        <v>3339.28571428571</v>
      </c>
      <c r="AP29" s="1709" t="n">
        <f aca="false">G29*$AC29/$AD29</f>
        <v>573.109095096467</v>
      </c>
      <c r="AQ29" s="1708" t="n">
        <f aca="false">H29*$AC29/$AD29</f>
        <v>691.029019490185</v>
      </c>
      <c r="AR29" s="1710" t="n">
        <f aca="false">SUM(AN29:AQ29)</f>
        <v>5997.40865030094</v>
      </c>
      <c r="AT29" s="1707" t="n">
        <f aca="false">K29*$AC29/$AD29</f>
        <v>1799.22259509028</v>
      </c>
      <c r="AU29" s="1711" t="n">
        <f aca="false">L29*$AC29/$AD29</f>
        <v>89.0423594215524</v>
      </c>
      <c r="AW29" s="1707" t="n">
        <f aca="false">N29*$AC29/$AD29</f>
        <v>840.700861071824</v>
      </c>
      <c r="AX29" s="1708" t="n">
        <f aca="false">O29*$AC29/$AD29</f>
        <v>2034.54661223463</v>
      </c>
      <c r="AY29" s="1710" t="n">
        <f aca="false">SUM(AW29:AX29)</f>
        <v>2875.24747330645</v>
      </c>
      <c r="BA29" s="1707" t="n">
        <f aca="false">R29*$AC29/$AD29</f>
        <v>300</v>
      </c>
      <c r="BB29" s="1712" t="n">
        <f aca="false">S29*$AC29/$AD29</f>
        <v>50</v>
      </c>
      <c r="BC29" s="1712" t="n">
        <f aca="false">T29*$AC29/$AD29</f>
        <v>463.334</v>
      </c>
      <c r="BD29" s="1712" t="n">
        <f aca="false">U29*$AC29/$AD29</f>
        <v>163.4399</v>
      </c>
      <c r="BE29" s="1712" t="n">
        <f aca="false">V29*$AC29/$AD29</f>
        <v>1695.25463684211</v>
      </c>
      <c r="BF29" s="1712" t="n">
        <f aca="false">W29*$AC29/$AD29</f>
        <v>52.9411764705882</v>
      </c>
      <c r="BG29" s="1711" t="n">
        <f aca="false">SUM(BA29:BF29)</f>
        <v>2724.96971331269</v>
      </c>
      <c r="BI29" s="1707" t="n">
        <f aca="false">SUM(AR29,AT29,AU29,AY29,BG29)</f>
        <v>13485.8907914319</v>
      </c>
      <c r="BJ29" s="109" t="n">
        <f aca="false">BI29*BJ$6</f>
        <v>14362.473692875</v>
      </c>
      <c r="BK29" s="1715" t="n">
        <f aca="false">BJ29*(1+BK$6)</f>
        <v>14753.43984887</v>
      </c>
      <c r="BM29" s="1717" t="n">
        <f aca="false">SUM(BK28:BK29)</f>
        <v>45170.5980572893</v>
      </c>
      <c r="BN29" s="1714" t="n">
        <f aca="false">SUM($AC28:$AC29)</f>
        <v>12</v>
      </c>
      <c r="BO29" s="1718" t="n">
        <v>480</v>
      </c>
      <c r="BP29" s="1715" t="n">
        <f aca="false">BM29/BN29/BO29*1000</f>
        <v>7842.11771827938</v>
      </c>
      <c r="BR29" s="1716" t="n">
        <f aca="false">$B29</f>
        <v>11</v>
      </c>
      <c r="BS29" s="187" t="n">
        <f aca="false">$C29</f>
        <v>2010</v>
      </c>
      <c r="BU29" s="1707" t="n">
        <f aca="false">SUM(AN28:AN29)</f>
        <v>4666.81875000001</v>
      </c>
      <c r="BV29" s="1708" t="n">
        <f aca="false">SUM(AO28:AO29)</f>
        <v>10017.8571428571</v>
      </c>
      <c r="BW29" s="1709" t="n">
        <f aca="false">SUM(AP28:AP29)</f>
        <v>1871.49187538114</v>
      </c>
      <c r="BX29" s="1708" t="n">
        <f aca="false">SUM(AQ28:AQ29)</f>
        <v>2073.08705847056</v>
      </c>
      <c r="BY29" s="1710" t="n">
        <f aca="false">SUM(BU29:BX29)</f>
        <v>18629.2548267088</v>
      </c>
      <c r="CA29" s="1707" t="n">
        <f aca="false">SUM(AT28:AT29)</f>
        <v>5588.77644801265</v>
      </c>
      <c r="CB29" s="1711" t="n">
        <f aca="false">SUM(AU28:AU29)</f>
        <v>271.06102342209</v>
      </c>
      <c r="CD29" s="1707" t="n">
        <f aca="false">SUM(AW28:AW29)</f>
        <v>3003.64199387419</v>
      </c>
      <c r="CE29" s="1708" t="n">
        <f aca="false">SUM(AX28:AX29)</f>
        <v>5622.10042604516</v>
      </c>
      <c r="CF29" s="1710" t="n">
        <f aca="false">SUM(CD29:CE29)</f>
        <v>8625.74241991935</v>
      </c>
      <c r="CH29" s="1707" t="n">
        <f aca="false">SUM(BA28:BA29)</f>
        <v>900</v>
      </c>
      <c r="CI29" s="1712" t="n">
        <f aca="false">SUM(BB28:BB29)</f>
        <v>150</v>
      </c>
      <c r="CJ29" s="1712" t="n">
        <f aca="false">SUM(BC28:BC29)</f>
        <v>1390.002</v>
      </c>
      <c r="CK29" s="1712" t="n">
        <f aca="false">SUM(BD28:BD29)</f>
        <v>490.3197</v>
      </c>
      <c r="CL29" s="1712" t="n">
        <f aca="false">SUM(BE28:BE29)</f>
        <v>5085.76391052632</v>
      </c>
      <c r="CM29" s="1708" t="n">
        <f aca="false">SUM(BF28:BF29)</f>
        <v>158.823529411765</v>
      </c>
      <c r="CN29" s="1710" t="n">
        <f aca="false">SUM(CH29:CM29)</f>
        <v>8174.90913993808</v>
      </c>
      <c r="CP29" s="1707" t="n">
        <f aca="false">SUM(BY29,CA29,CB29,CF29,CN29)</f>
        <v>41289.743858001</v>
      </c>
      <c r="CQ29" s="109" t="n">
        <f aca="false">CP29*CQ$6</f>
        <v>43973.5772087711</v>
      </c>
      <c r="CR29" s="1715" t="n">
        <f aca="false">CQ29*(1+CR$6)</f>
        <v>45170.5980572892</v>
      </c>
      <c r="CT29" s="1717" t="n">
        <f aca="false">SUM(CR28:CR29)</f>
        <v>45170.5980572892</v>
      </c>
      <c r="CU29" s="1714" t="n">
        <f aca="false">SUM($AC28:$AC29)</f>
        <v>12</v>
      </c>
      <c r="CV29" s="1719" t="n">
        <f aca="false">$BO29</f>
        <v>480</v>
      </c>
      <c r="CW29" s="1715" t="n">
        <f aca="false">CT29/CU29/CV29*1000</f>
        <v>7842.11771827938</v>
      </c>
    </row>
    <row r="30" customFormat="false" ht="12.75" hidden="false" customHeight="false" outlineLevel="0" collapsed="false">
      <c r="B30" s="1531" t="n">
        <f aca="false">B28+1</f>
        <v>12</v>
      </c>
      <c r="C30" s="1533" t="n">
        <f aca="false">C28+1</f>
        <v>2010</v>
      </c>
      <c r="E30" s="1707" t="n">
        <f aca="false">VLOOKUP($C30,Sr_Debt_Table,O$78)</f>
        <v>4181.95446428572</v>
      </c>
      <c r="F30" s="1708" t="n">
        <f aca="false">VLOOKUP($C30,Sr_Debt_Table,P$78)</f>
        <v>10017.8571428571</v>
      </c>
      <c r="G30" s="1709" t="n">
        <f aca="false">VLOOKUP($C30,Sr_Debt_Table,R$78)</f>
        <v>1719.3272852894</v>
      </c>
      <c r="H30" s="1708" t="n">
        <f aca="false">VLOOKUP($C30,Sr_Debt_Table,S$78)</f>
        <v>2073.08705847056</v>
      </c>
      <c r="I30" s="1710" t="n">
        <f aca="false">SUM(E30:H30)</f>
        <v>17992.2259509028</v>
      </c>
      <c r="K30" s="1707" t="n">
        <f aca="false">(K$6-1)*I30</f>
        <v>5397.66778527085</v>
      </c>
      <c r="L30" s="1711" t="n">
        <f aca="false">-HLOOKUP($C30,CF_Table,CF!$AB$34)</f>
        <v>267.127078264657</v>
      </c>
      <c r="N30" s="1707" t="n">
        <f aca="false">VLOOKUP($C30,Sub_Debt_Table,X$78)</f>
        <v>2522.10258321547</v>
      </c>
      <c r="O30" s="1708" t="n">
        <f aca="false">VLOOKUP($C30,Sub_Debt_Table,Z$78)</f>
        <v>6103.63983670388</v>
      </c>
      <c r="P30" s="1710" t="n">
        <f aca="false">SUM(N30:O30)</f>
        <v>8625.74241991935</v>
      </c>
      <c r="R30" s="1707" t="n">
        <f aca="false">VLOOKUP($C30,OM_Table_US,AD$78)</f>
        <v>900</v>
      </c>
      <c r="S30" s="1712" t="n">
        <f aca="false">VLOOKUP($C30,OM_Table_US,AE$78)</f>
        <v>150</v>
      </c>
      <c r="T30" s="1712" t="n">
        <f aca="false">VLOOKUP($C30,OM_Table_US,AF$78)</f>
        <v>1390.002</v>
      </c>
      <c r="U30" s="1712" t="n">
        <f aca="false">VLOOKUP($C30,OM_Table_US,AG$78)</f>
        <v>490.3197</v>
      </c>
      <c r="V30" s="1712" t="n">
        <f aca="false">VLOOKUP($C30,OM_Table_US,AH$78)</f>
        <v>5085.76391052632</v>
      </c>
      <c r="W30" s="1712" t="n">
        <f aca="false">VLOOKUP($C30,OM_Table_US,AI$78)</f>
        <v>158.823529411765</v>
      </c>
      <c r="X30" s="1711" t="n">
        <f aca="false">SUM(R30:W30)</f>
        <v>8174.90913993808</v>
      </c>
      <c r="Z30" s="1707" t="n">
        <f aca="false">SUM(I30,K30,L30,P30,X30)</f>
        <v>40457.6723742958</v>
      </c>
      <c r="AA30" s="109" t="n">
        <f aca="false">Z30*AA$6</f>
        <v>43087.421078625</v>
      </c>
      <c r="AB30" s="109" t="n">
        <f aca="false">AA30*(1+AB$6)</f>
        <v>44260.3195466101</v>
      </c>
      <c r="AC30" s="1713" t="n">
        <f aca="false">12-AC29</f>
        <v>8</v>
      </c>
      <c r="AD30" s="1714" t="n">
        <f aca="false">HLOOKUP($C30,CF_Table,CF!$AB$12)</f>
        <v>12</v>
      </c>
      <c r="AE30" s="109" t="n">
        <f aca="false">AB30*AC30/AD30</f>
        <v>29506.8796977401</v>
      </c>
      <c r="AF30" s="170" t="n">
        <v>480</v>
      </c>
      <c r="AG30" s="1715"/>
      <c r="AK30" s="1716" t="n">
        <f aca="false">$B30</f>
        <v>12</v>
      </c>
      <c r="AL30" s="187" t="n">
        <f aca="false">$C30</f>
        <v>2010</v>
      </c>
      <c r="AN30" s="1707" t="n">
        <f aca="false">E30*$AC30/$AD30</f>
        <v>2787.96964285715</v>
      </c>
      <c r="AO30" s="1708" t="n">
        <f aca="false">F30*$AC30/$AD30</f>
        <v>6678.57142857143</v>
      </c>
      <c r="AP30" s="1709" t="n">
        <f aca="false">G30*$AC30/$AD30</f>
        <v>1146.21819019293</v>
      </c>
      <c r="AQ30" s="1708" t="n">
        <f aca="false">H30*$AC30/$AD30</f>
        <v>1382.05803898037</v>
      </c>
      <c r="AR30" s="1710" t="n">
        <f aca="false">SUM(AN30:AQ30)</f>
        <v>11994.8173006019</v>
      </c>
      <c r="AT30" s="1707" t="n">
        <f aca="false">K30*$AC30/$AD30</f>
        <v>3598.44519018056</v>
      </c>
      <c r="AU30" s="1711" t="n">
        <f aca="false">L30*$AC30/$AD30</f>
        <v>178.084718843105</v>
      </c>
      <c r="AW30" s="1707" t="n">
        <f aca="false">N30*$AC30/$AD30</f>
        <v>1681.40172214365</v>
      </c>
      <c r="AX30" s="1708" t="n">
        <f aca="false">O30*$AC30/$AD30</f>
        <v>4069.09322446925</v>
      </c>
      <c r="AY30" s="1710" t="n">
        <f aca="false">SUM(AW30:AX30)</f>
        <v>5750.4949466129</v>
      </c>
      <c r="BA30" s="1707" t="n">
        <f aca="false">R30*$AC30/$AD30</f>
        <v>600</v>
      </c>
      <c r="BB30" s="1712" t="n">
        <f aca="false">S30*$AC30/$AD30</f>
        <v>100</v>
      </c>
      <c r="BC30" s="1712" t="n">
        <f aca="false">T30*$AC30/$AD30</f>
        <v>926.668</v>
      </c>
      <c r="BD30" s="1712" t="n">
        <f aca="false">U30*$AC30/$AD30</f>
        <v>326.8798</v>
      </c>
      <c r="BE30" s="1712" t="n">
        <f aca="false">V30*$AC30/$AD30</f>
        <v>3390.50927368421</v>
      </c>
      <c r="BF30" s="1712" t="n">
        <f aca="false">W30*$AC30/$AD30</f>
        <v>105.882352941176</v>
      </c>
      <c r="BG30" s="1711" t="n">
        <f aca="false">SUM(BA30:BF30)</f>
        <v>5449.93942662539</v>
      </c>
      <c r="BI30" s="1707" t="n">
        <f aca="false">SUM(AR30,AT30,AU30,AY30,BG30)</f>
        <v>26971.7815828638</v>
      </c>
      <c r="BJ30" s="109" t="n">
        <f aca="false">BI30*BJ$6</f>
        <v>28724.94738575</v>
      </c>
      <c r="BK30" s="1715" t="n">
        <f aca="false">BJ30*(1+BK$6)</f>
        <v>29506.8796977401</v>
      </c>
      <c r="BM30" s="1717"/>
      <c r="BN30" s="1714"/>
      <c r="BO30" s="1718"/>
      <c r="BP30" s="1715"/>
      <c r="BR30" s="1716" t="n">
        <f aca="false">$B30</f>
        <v>12</v>
      </c>
      <c r="BS30" s="187" t="n">
        <f aca="false">$C30</f>
        <v>2010</v>
      </c>
      <c r="BU30" s="1707"/>
      <c r="BV30" s="1708"/>
      <c r="BW30" s="1709"/>
      <c r="BX30" s="1708"/>
      <c r="BY30" s="1710"/>
      <c r="CA30" s="1707"/>
      <c r="CB30" s="1711"/>
      <c r="CD30" s="1707"/>
      <c r="CE30" s="1708"/>
      <c r="CF30" s="1710"/>
      <c r="CH30" s="1707"/>
      <c r="CI30" s="1712"/>
      <c r="CJ30" s="1712"/>
      <c r="CK30" s="1712"/>
      <c r="CL30" s="1712"/>
      <c r="CM30" s="1708"/>
      <c r="CN30" s="1710"/>
      <c r="CP30" s="1707"/>
      <c r="CQ30" s="109"/>
      <c r="CR30" s="1715"/>
      <c r="CT30" s="1717"/>
      <c r="CU30" s="1714"/>
      <c r="CV30" s="1719"/>
      <c r="CW30" s="1715"/>
    </row>
    <row r="31" customFormat="false" ht="12.75" hidden="false" customHeight="false" outlineLevel="0" collapsed="false">
      <c r="B31" s="1531" t="n">
        <f aca="false">B29+1</f>
        <v>12</v>
      </c>
      <c r="C31" s="1533" t="n">
        <f aca="false">C29+1</f>
        <v>2011</v>
      </c>
      <c r="E31" s="1707" t="n">
        <f aca="false">VLOOKUP($C31,Sr_Debt_Table,O$78)</f>
        <v>3454.65803571429</v>
      </c>
      <c r="F31" s="1708" t="n">
        <f aca="false">VLOOKUP($C31,Sr_Debt_Table,P$78)</f>
        <v>10017.8571428571</v>
      </c>
      <c r="G31" s="1709" t="n">
        <f aca="false">VLOOKUP($C31,Sr_Debt_Table,R$78)</f>
        <v>1491.08040015179</v>
      </c>
      <c r="H31" s="1708" t="n">
        <f aca="false">VLOOKUP($C31,Sr_Debt_Table,S$78)</f>
        <v>2556.55695328763</v>
      </c>
      <c r="I31" s="1710" t="n">
        <f aca="false">SUM(E31:H31)</f>
        <v>17520.1525320109</v>
      </c>
      <c r="K31" s="1707" t="n">
        <f aca="false">(K$6-1)*I31</f>
        <v>5256.04575960326</v>
      </c>
      <c r="L31" s="1711" t="n">
        <f aca="false">-HLOOKUP($C31,CF_Table,CF!$AB$34)</f>
        <v>212.102925749873</v>
      </c>
      <c r="N31" s="1707" t="n">
        <f aca="false">VLOOKUP($C31,Sub_Debt_Table,X$78)</f>
        <v>1702.84152613389</v>
      </c>
      <c r="O31" s="1708" t="n">
        <f aca="false">VLOOKUP($C31,Sub_Debt_Table,Z$78)</f>
        <v>6922.90089378546</v>
      </c>
      <c r="P31" s="1710" t="n">
        <f aca="false">SUM(N31:O31)</f>
        <v>8625.74241991935</v>
      </c>
      <c r="R31" s="1707" t="n">
        <f aca="false">VLOOKUP($C31,OM_Table_US,AD$78)</f>
        <v>900</v>
      </c>
      <c r="S31" s="1712" t="n">
        <f aca="false">VLOOKUP($C31,OM_Table_US,AE$78)</f>
        <v>150</v>
      </c>
      <c r="T31" s="1712" t="n">
        <f aca="false">VLOOKUP($C31,OM_Table_US,AF$78)</f>
        <v>1390.002</v>
      </c>
      <c r="U31" s="1712" t="n">
        <f aca="false">VLOOKUP($C31,OM_Table_US,AG$78)</f>
        <v>490.3197</v>
      </c>
      <c r="V31" s="1712" t="n">
        <f aca="false">VLOOKUP($C31,OM_Table_US,AH$78)</f>
        <v>5085.76391052632</v>
      </c>
      <c r="W31" s="1712" t="n">
        <f aca="false">VLOOKUP($C31,OM_Table_US,AI$78)</f>
        <v>158.823529411765</v>
      </c>
      <c r="X31" s="1711" t="n">
        <f aca="false">SUM(R31:W31)</f>
        <v>8174.90913993808</v>
      </c>
      <c r="Z31" s="1707" t="n">
        <f aca="false">SUM(I31,K31,L31,P31,X31)</f>
        <v>39788.9527772214</v>
      </c>
      <c r="AA31" s="109" t="n">
        <f aca="false">Z31*AA$6</f>
        <v>42375.2347077408</v>
      </c>
      <c r="AB31" s="109" t="n">
        <f aca="false">AA31*(1+AB$6)</f>
        <v>43528.7464897184</v>
      </c>
      <c r="AC31" s="1713" t="n">
        <f aca="false">12-AC30</f>
        <v>4</v>
      </c>
      <c r="AD31" s="1714" t="n">
        <f aca="false">HLOOKUP($C31,CF_Table,CF!$AB$12)</f>
        <v>12</v>
      </c>
      <c r="AE31" s="109" t="n">
        <f aca="false">AB31*AC31/AD31</f>
        <v>14509.5821632395</v>
      </c>
      <c r="AF31" s="170" t="n">
        <v>480</v>
      </c>
      <c r="AG31" s="1715" t="n">
        <f aca="false">SUM(AE30:AE31)/AF31/SUM(AC30:AC31)*1000</f>
        <v>7641.7468508645</v>
      </c>
      <c r="AK31" s="1716" t="n">
        <f aca="false">$B31</f>
        <v>12</v>
      </c>
      <c r="AL31" s="187" t="n">
        <f aca="false">$C31</f>
        <v>2011</v>
      </c>
      <c r="AN31" s="1707" t="n">
        <f aca="false">E31*$AC31/$AD31</f>
        <v>1151.55267857143</v>
      </c>
      <c r="AO31" s="1708" t="n">
        <f aca="false">F31*$AC31/$AD31</f>
        <v>3339.28571428571</v>
      </c>
      <c r="AP31" s="1709" t="n">
        <f aca="false">G31*$AC31/$AD31</f>
        <v>497.026800050598</v>
      </c>
      <c r="AQ31" s="1708" t="n">
        <f aca="false">H31*$AC31/$AD31</f>
        <v>852.185651095877</v>
      </c>
      <c r="AR31" s="1710" t="n">
        <f aca="false">SUM(AN31:AQ31)</f>
        <v>5840.05084400362</v>
      </c>
      <c r="AT31" s="1707" t="n">
        <f aca="false">K31*$AC31/$AD31</f>
        <v>1752.01525320109</v>
      </c>
      <c r="AU31" s="1711" t="n">
        <f aca="false">L31*$AC31/$AD31</f>
        <v>70.7009752499578</v>
      </c>
      <c r="AW31" s="1707" t="n">
        <f aca="false">N31*$AC31/$AD31</f>
        <v>567.613842044631</v>
      </c>
      <c r="AX31" s="1708" t="n">
        <f aca="false">O31*$AC31/$AD31</f>
        <v>2307.63363126182</v>
      </c>
      <c r="AY31" s="1710" t="n">
        <f aca="false">SUM(AW31:AX31)</f>
        <v>2875.24747330645</v>
      </c>
      <c r="BA31" s="1707" t="n">
        <f aca="false">R31*$AC31/$AD31</f>
        <v>300</v>
      </c>
      <c r="BB31" s="1712" t="n">
        <f aca="false">S31*$AC31/$AD31</f>
        <v>50</v>
      </c>
      <c r="BC31" s="1712" t="n">
        <f aca="false">T31*$AC31/$AD31</f>
        <v>463.334</v>
      </c>
      <c r="BD31" s="1712" t="n">
        <f aca="false">U31*$AC31/$AD31</f>
        <v>163.4399</v>
      </c>
      <c r="BE31" s="1712" t="n">
        <f aca="false">V31*$AC31/$AD31</f>
        <v>1695.25463684211</v>
      </c>
      <c r="BF31" s="1712" t="n">
        <f aca="false">W31*$AC31/$AD31</f>
        <v>52.9411764705882</v>
      </c>
      <c r="BG31" s="1711" t="n">
        <f aca="false">SUM(BA31:BF31)</f>
        <v>2724.96971331269</v>
      </c>
      <c r="BI31" s="1707" t="n">
        <f aca="false">SUM(AR31,AT31,AU31,AY31,BG31)</f>
        <v>13262.9842590738</v>
      </c>
      <c r="BJ31" s="109" t="n">
        <f aca="false">BI31*BJ$6</f>
        <v>14125.0782359136</v>
      </c>
      <c r="BK31" s="1715" t="n">
        <f aca="false">BJ31*(1+BK$6)</f>
        <v>14509.5821632394</v>
      </c>
      <c r="BM31" s="1717" t="n">
        <f aca="false">SUM(BK30:BK31)</f>
        <v>44016.4618609795</v>
      </c>
      <c r="BN31" s="1714" t="n">
        <f aca="false">SUM($AC30:$AC31)</f>
        <v>12</v>
      </c>
      <c r="BO31" s="1718" t="n">
        <v>480</v>
      </c>
      <c r="BP31" s="1715" t="n">
        <f aca="false">BM31/BN31/BO31*1000</f>
        <v>7641.7468508645</v>
      </c>
      <c r="BR31" s="1716" t="n">
        <f aca="false">$B31</f>
        <v>12</v>
      </c>
      <c r="BS31" s="187" t="n">
        <f aca="false">$C31</f>
        <v>2011</v>
      </c>
      <c r="BU31" s="1707" t="n">
        <f aca="false">SUM(AN30:AN31)</f>
        <v>3939.52232142858</v>
      </c>
      <c r="BV31" s="1708" t="n">
        <f aca="false">SUM(AO30:AO31)</f>
        <v>10017.8571428571</v>
      </c>
      <c r="BW31" s="1709" t="n">
        <f aca="false">SUM(AP30:AP31)</f>
        <v>1643.24499024353</v>
      </c>
      <c r="BX31" s="1708" t="n">
        <f aca="false">SUM(AQ30:AQ31)</f>
        <v>2234.24369007625</v>
      </c>
      <c r="BY31" s="1710" t="n">
        <f aca="false">SUM(BU31:BX31)</f>
        <v>17834.8681446055</v>
      </c>
      <c r="CA31" s="1707" t="n">
        <f aca="false">SUM(AT30:AT31)</f>
        <v>5350.46044338165</v>
      </c>
      <c r="CB31" s="1711" t="n">
        <f aca="false">SUM(AU30:AU31)</f>
        <v>248.785694093063</v>
      </c>
      <c r="CD31" s="1707" t="n">
        <f aca="false">SUM(AW30:AW31)</f>
        <v>2249.01556418828</v>
      </c>
      <c r="CE31" s="1708" t="n">
        <f aca="false">SUM(AX30:AX31)</f>
        <v>6376.72685573107</v>
      </c>
      <c r="CF31" s="1710" t="n">
        <f aca="false">SUM(CD31:CE31)</f>
        <v>8625.74241991935</v>
      </c>
      <c r="CH31" s="1707" t="n">
        <f aca="false">SUM(BA30:BA31)</f>
        <v>900</v>
      </c>
      <c r="CI31" s="1712" t="n">
        <f aca="false">SUM(BB30:BB31)</f>
        <v>150</v>
      </c>
      <c r="CJ31" s="1712" t="n">
        <f aca="false">SUM(BC30:BC31)</f>
        <v>1390.002</v>
      </c>
      <c r="CK31" s="1712" t="n">
        <f aca="false">SUM(BD30:BD31)</f>
        <v>490.3197</v>
      </c>
      <c r="CL31" s="1712" t="n">
        <f aca="false">SUM(BE30:BE31)</f>
        <v>5085.76391052632</v>
      </c>
      <c r="CM31" s="1708" t="n">
        <f aca="false">SUM(BF30:BF31)</f>
        <v>158.823529411765</v>
      </c>
      <c r="CN31" s="1710" t="n">
        <f aca="false">SUM(CH31:CM31)</f>
        <v>8174.90913993808</v>
      </c>
      <c r="CP31" s="1707" t="n">
        <f aca="false">SUM(BY31,CA31,CB31,CF31,CN31)</f>
        <v>40234.7658419376</v>
      </c>
      <c r="CQ31" s="109" t="n">
        <f aca="false">CP31*CQ$6</f>
        <v>42850.0256216636</v>
      </c>
      <c r="CR31" s="1715" t="n">
        <f aca="false">CQ31*(1+CR$6)</f>
        <v>44016.4618609795</v>
      </c>
      <c r="CT31" s="1717" t="n">
        <f aca="false">SUM(CR30:CR31)</f>
        <v>44016.4618609795</v>
      </c>
      <c r="CU31" s="1714" t="n">
        <f aca="false">SUM($AC30:$AC31)</f>
        <v>12</v>
      </c>
      <c r="CV31" s="1719" t="n">
        <f aca="false">$BO31</f>
        <v>480</v>
      </c>
      <c r="CW31" s="1715" t="n">
        <f aca="false">CT31/CU31/CV31*1000</f>
        <v>7641.7468508645</v>
      </c>
    </row>
    <row r="32" customFormat="false" ht="12.75" hidden="false" customHeight="false" outlineLevel="0" collapsed="false">
      <c r="B32" s="1531" t="n">
        <f aca="false">B30+1</f>
        <v>13</v>
      </c>
      <c r="C32" s="1533" t="n">
        <f aca="false">C30+1</f>
        <v>2011</v>
      </c>
      <c r="E32" s="1707" t="n">
        <f aca="false">VLOOKUP($C32,Sr_Debt_Table,O$78)</f>
        <v>3454.65803571429</v>
      </c>
      <c r="F32" s="1708" t="n">
        <f aca="false">VLOOKUP($C32,Sr_Debt_Table,P$78)</f>
        <v>10017.8571428571</v>
      </c>
      <c r="G32" s="1709" t="n">
        <f aca="false">VLOOKUP($C32,Sr_Debt_Table,R$78)</f>
        <v>1491.08040015179</v>
      </c>
      <c r="H32" s="1708" t="n">
        <f aca="false">VLOOKUP($C32,Sr_Debt_Table,S$78)</f>
        <v>2556.55695328763</v>
      </c>
      <c r="I32" s="1710" t="n">
        <f aca="false">SUM(E32:H32)</f>
        <v>17520.1525320109</v>
      </c>
      <c r="K32" s="1707" t="n">
        <f aca="false">(K$6-1)*I32</f>
        <v>5256.04575960326</v>
      </c>
      <c r="L32" s="1711" t="n">
        <f aca="false">-HLOOKUP($C32,CF_Table,CF!$AB$34)</f>
        <v>212.102925749873</v>
      </c>
      <c r="N32" s="1707" t="n">
        <f aca="false">VLOOKUP($C32,Sub_Debt_Table,X$78)</f>
        <v>1702.84152613389</v>
      </c>
      <c r="O32" s="1708" t="n">
        <f aca="false">VLOOKUP($C32,Sub_Debt_Table,Z$78)</f>
        <v>6922.90089378546</v>
      </c>
      <c r="P32" s="1710" t="n">
        <f aca="false">SUM(N32:O32)</f>
        <v>8625.74241991935</v>
      </c>
      <c r="R32" s="1707" t="n">
        <f aca="false">VLOOKUP($C32,OM_Table_US,AD$78)</f>
        <v>900</v>
      </c>
      <c r="S32" s="1712" t="n">
        <f aca="false">VLOOKUP($C32,OM_Table_US,AE$78)</f>
        <v>150</v>
      </c>
      <c r="T32" s="1712" t="n">
        <f aca="false">VLOOKUP($C32,OM_Table_US,AF$78)</f>
        <v>1390.002</v>
      </c>
      <c r="U32" s="1712" t="n">
        <f aca="false">VLOOKUP($C32,OM_Table_US,AG$78)</f>
        <v>490.3197</v>
      </c>
      <c r="V32" s="1712" t="n">
        <f aca="false">VLOOKUP($C32,OM_Table_US,AH$78)</f>
        <v>5085.76391052632</v>
      </c>
      <c r="W32" s="1712" t="n">
        <f aca="false">VLOOKUP($C32,OM_Table_US,AI$78)</f>
        <v>158.823529411765</v>
      </c>
      <c r="X32" s="1711" t="n">
        <f aca="false">SUM(R32:W32)</f>
        <v>8174.90913993808</v>
      </c>
      <c r="Z32" s="1707" t="n">
        <f aca="false">SUM(I32,K32,L32,P32,X32)</f>
        <v>39788.9527772214</v>
      </c>
      <c r="AA32" s="109" t="n">
        <f aca="false">Z32*AA$6</f>
        <v>42375.2347077408</v>
      </c>
      <c r="AB32" s="109" t="n">
        <f aca="false">AA32*(1+AB$6)</f>
        <v>43528.7464897184</v>
      </c>
      <c r="AC32" s="1713" t="n">
        <f aca="false">12-AC31</f>
        <v>8</v>
      </c>
      <c r="AD32" s="1714" t="n">
        <f aca="false">HLOOKUP($C32,CF_Table,CF!$AB$12)</f>
        <v>12</v>
      </c>
      <c r="AE32" s="109" t="n">
        <f aca="false">AB32*AC32/AD32</f>
        <v>29019.1643264789</v>
      </c>
      <c r="AF32" s="170" t="n">
        <v>480</v>
      </c>
      <c r="AG32" s="1715"/>
      <c r="AK32" s="1716" t="n">
        <f aca="false">$B32</f>
        <v>13</v>
      </c>
      <c r="AL32" s="187" t="n">
        <f aca="false">$C32</f>
        <v>2011</v>
      </c>
      <c r="AN32" s="1707" t="n">
        <f aca="false">E32*$AC32/$AD32</f>
        <v>2303.10535714286</v>
      </c>
      <c r="AO32" s="1708" t="n">
        <f aca="false">F32*$AC32/$AD32</f>
        <v>6678.57142857143</v>
      </c>
      <c r="AP32" s="1709" t="n">
        <f aca="false">G32*$AC32/$AD32</f>
        <v>994.053600101196</v>
      </c>
      <c r="AQ32" s="1708" t="n">
        <f aca="false">H32*$AC32/$AD32</f>
        <v>1704.37130219175</v>
      </c>
      <c r="AR32" s="1710" t="n">
        <f aca="false">SUM(AN32:AQ32)</f>
        <v>11680.1016880072</v>
      </c>
      <c r="AT32" s="1707" t="n">
        <f aca="false">K32*$AC32/$AD32</f>
        <v>3504.03050640217</v>
      </c>
      <c r="AU32" s="1711" t="n">
        <f aca="false">L32*$AC32/$AD32</f>
        <v>141.401950499916</v>
      </c>
      <c r="AW32" s="1707" t="n">
        <f aca="false">N32*$AC32/$AD32</f>
        <v>1135.22768408926</v>
      </c>
      <c r="AX32" s="1708" t="n">
        <f aca="false">O32*$AC32/$AD32</f>
        <v>4615.26726252364</v>
      </c>
      <c r="AY32" s="1710" t="n">
        <f aca="false">SUM(AW32:AX32)</f>
        <v>5750.4949466129</v>
      </c>
      <c r="BA32" s="1707" t="n">
        <f aca="false">R32*$AC32/$AD32</f>
        <v>600</v>
      </c>
      <c r="BB32" s="1712" t="n">
        <f aca="false">S32*$AC32/$AD32</f>
        <v>100</v>
      </c>
      <c r="BC32" s="1712" t="n">
        <f aca="false">T32*$AC32/$AD32</f>
        <v>926.668</v>
      </c>
      <c r="BD32" s="1712" t="n">
        <f aca="false">U32*$AC32/$AD32</f>
        <v>326.8798</v>
      </c>
      <c r="BE32" s="1712" t="n">
        <f aca="false">V32*$AC32/$AD32</f>
        <v>3390.50927368421</v>
      </c>
      <c r="BF32" s="1712" t="n">
        <f aca="false">W32*$AC32/$AD32</f>
        <v>105.882352941176</v>
      </c>
      <c r="BG32" s="1711" t="n">
        <f aca="false">SUM(BA32:BF32)</f>
        <v>5449.93942662539</v>
      </c>
      <c r="BI32" s="1707" t="n">
        <f aca="false">SUM(AR32,AT32,AU32,AY32,BG32)</f>
        <v>26525.9685181476</v>
      </c>
      <c r="BJ32" s="109" t="n">
        <f aca="false">BI32*BJ$6</f>
        <v>28250.1564718272</v>
      </c>
      <c r="BK32" s="1715" t="n">
        <f aca="false">BJ32*(1+BK$6)</f>
        <v>29019.1643264789</v>
      </c>
      <c r="BM32" s="1717"/>
      <c r="BN32" s="1714"/>
      <c r="BO32" s="1718"/>
      <c r="BP32" s="1715"/>
      <c r="BR32" s="1716" t="n">
        <f aca="false">$B32</f>
        <v>13</v>
      </c>
      <c r="BS32" s="187" t="n">
        <f aca="false">$C32</f>
        <v>2011</v>
      </c>
      <c r="BU32" s="1707"/>
      <c r="BV32" s="1708"/>
      <c r="BW32" s="1709"/>
      <c r="BX32" s="1708"/>
      <c r="BY32" s="1710"/>
      <c r="CA32" s="1707"/>
      <c r="CB32" s="1711"/>
      <c r="CD32" s="1707"/>
      <c r="CE32" s="1708"/>
      <c r="CF32" s="1710"/>
      <c r="CH32" s="1707"/>
      <c r="CI32" s="1712"/>
      <c r="CJ32" s="1712"/>
      <c r="CK32" s="1712"/>
      <c r="CL32" s="1712"/>
      <c r="CM32" s="1708"/>
      <c r="CN32" s="1710"/>
      <c r="CP32" s="1707"/>
      <c r="CQ32" s="109"/>
      <c r="CR32" s="1715"/>
      <c r="CT32" s="1717"/>
      <c r="CU32" s="1714"/>
      <c r="CV32" s="1719"/>
      <c r="CW32" s="1715"/>
    </row>
    <row r="33" customFormat="false" ht="12.75" hidden="false" customHeight="false" outlineLevel="0" collapsed="false">
      <c r="B33" s="1531" t="n">
        <f aca="false">B31+1</f>
        <v>13</v>
      </c>
      <c r="C33" s="1533" t="n">
        <f aca="false">C31+1</f>
        <v>2012</v>
      </c>
      <c r="E33" s="1707" t="n">
        <f aca="false">VLOOKUP($C33,Sr_Debt_Table,O$78)</f>
        <v>2727.36160714286</v>
      </c>
      <c r="F33" s="1708" t="n">
        <f aca="false">VLOOKUP($C33,Sr_Debt_Table,P$78)</f>
        <v>10017.8571428571</v>
      </c>
      <c r="G33" s="1709" t="n">
        <f aca="false">VLOOKUP($C33,Sr_Debt_Table,R$78)</f>
        <v>1182.98846188515</v>
      </c>
      <c r="H33" s="1708" t="n">
        <f aca="false">VLOOKUP($C33,Sr_Debt_Table,S$78)</f>
        <v>3040.02684810471</v>
      </c>
      <c r="I33" s="1710" t="n">
        <f aca="false">SUM(E33:H33)</f>
        <v>16968.2340599899</v>
      </c>
      <c r="K33" s="1707" t="n">
        <f aca="false">(K$6-1)*I33</f>
        <v>5090.47021799696</v>
      </c>
      <c r="L33" s="1711" t="n">
        <f aca="false">-HLOOKUP($C33,CF_Table,CF!$AB$34)</f>
        <v>198.827883443026</v>
      </c>
      <c r="N33" s="1707" t="n">
        <f aca="false">VLOOKUP($C33,Sub_Debt_Table,X$78)</f>
        <v>773.615153665539</v>
      </c>
      <c r="O33" s="1708" t="n">
        <f aca="false">VLOOKUP($C33,Sub_Debt_Table,Z$78)</f>
        <v>7852.12726625381</v>
      </c>
      <c r="P33" s="1710" t="n">
        <f aca="false">SUM(N33:O33)</f>
        <v>8625.74241991935</v>
      </c>
      <c r="R33" s="1707" t="n">
        <f aca="false">VLOOKUP($C33,OM_Table_US,AD$78)</f>
        <v>900</v>
      </c>
      <c r="S33" s="1712" t="n">
        <f aca="false">VLOOKUP($C33,OM_Table_US,AE$78)</f>
        <v>150</v>
      </c>
      <c r="T33" s="1712" t="n">
        <f aca="false">VLOOKUP($C33,OM_Table_US,AF$78)</f>
        <v>1390.002</v>
      </c>
      <c r="U33" s="1712" t="n">
        <f aca="false">VLOOKUP($C33,OM_Table_US,AG$78)</f>
        <v>490.3197</v>
      </c>
      <c r="V33" s="1712" t="n">
        <f aca="false">VLOOKUP($C33,OM_Table_US,AH$78)</f>
        <v>5085.76391052632</v>
      </c>
      <c r="W33" s="1712" t="n">
        <f aca="false">VLOOKUP($C33,OM_Table_US,AI$78)</f>
        <v>158.823529411765</v>
      </c>
      <c r="X33" s="1711" t="n">
        <f aca="false">SUM(R33:W33)</f>
        <v>8174.90913993808</v>
      </c>
      <c r="Z33" s="1707" t="n">
        <f aca="false">SUM(I33,K33,L33,P33,X33)</f>
        <v>39058.1837212873</v>
      </c>
      <c r="AA33" s="109" t="n">
        <f aca="false">Z33*AA$6</f>
        <v>41596.9656631709</v>
      </c>
      <c r="AB33" s="109" t="n">
        <f aca="false">AA33*(1+AB$6)</f>
        <v>42729.2918984807</v>
      </c>
      <c r="AC33" s="1713" t="n">
        <f aca="false">12-AC32</f>
        <v>4</v>
      </c>
      <c r="AD33" s="1714" t="n">
        <f aca="false">HLOOKUP($C33,CF_Table,CF!$AB$12)</f>
        <v>12</v>
      </c>
      <c r="AE33" s="109" t="n">
        <f aca="false">AB33*AC33/AD33</f>
        <v>14243.0972994936</v>
      </c>
      <c r="AF33" s="170" t="n">
        <v>480</v>
      </c>
      <c r="AG33" s="1715" t="n">
        <f aca="false">SUM(AE32:AE33)/AF33/SUM(AC32:AC33)*1000</f>
        <v>7510.80931006466</v>
      </c>
      <c r="AK33" s="1716" t="n">
        <f aca="false">$B33</f>
        <v>13</v>
      </c>
      <c r="AL33" s="187" t="n">
        <f aca="false">$C33</f>
        <v>2012</v>
      </c>
      <c r="AN33" s="1707" t="n">
        <f aca="false">E33*$AC33/$AD33</f>
        <v>909.120535714288</v>
      </c>
      <c r="AO33" s="1708" t="n">
        <f aca="false">F33*$AC33/$AD33</f>
        <v>3339.28571428571</v>
      </c>
      <c r="AP33" s="1709" t="n">
        <f aca="false">G33*$AC33/$AD33</f>
        <v>394.329487295049</v>
      </c>
      <c r="AQ33" s="1708" t="n">
        <f aca="false">H33*$AC33/$AD33</f>
        <v>1013.34228270157</v>
      </c>
      <c r="AR33" s="1710" t="n">
        <f aca="false">SUM(AN33:AQ33)</f>
        <v>5656.07801999662</v>
      </c>
      <c r="AT33" s="1707" t="n">
        <f aca="false">K33*$AC33/$AD33</f>
        <v>1696.82340599899</v>
      </c>
      <c r="AU33" s="1711" t="n">
        <f aca="false">L33*$AC33/$AD33</f>
        <v>66.2759611476754</v>
      </c>
      <c r="AW33" s="1707" t="n">
        <f aca="false">N33*$AC33/$AD33</f>
        <v>257.871717888513</v>
      </c>
      <c r="AX33" s="1708" t="n">
        <f aca="false">O33*$AC33/$AD33</f>
        <v>2617.37575541794</v>
      </c>
      <c r="AY33" s="1710" t="n">
        <f aca="false">SUM(AW33:AX33)</f>
        <v>2875.24747330645</v>
      </c>
      <c r="BA33" s="1707" t="n">
        <f aca="false">R33*$AC33/$AD33</f>
        <v>300</v>
      </c>
      <c r="BB33" s="1712" t="n">
        <f aca="false">S33*$AC33/$AD33</f>
        <v>50</v>
      </c>
      <c r="BC33" s="1712" t="n">
        <f aca="false">T33*$AC33/$AD33</f>
        <v>463.334</v>
      </c>
      <c r="BD33" s="1712" t="n">
        <f aca="false">U33*$AC33/$AD33</f>
        <v>163.4399</v>
      </c>
      <c r="BE33" s="1712" t="n">
        <f aca="false">V33*$AC33/$AD33</f>
        <v>1695.25463684211</v>
      </c>
      <c r="BF33" s="1712" t="n">
        <f aca="false">W33*$AC33/$AD33</f>
        <v>52.9411764705882</v>
      </c>
      <c r="BG33" s="1711" t="n">
        <f aca="false">SUM(BA33:BF33)</f>
        <v>2724.96971331269</v>
      </c>
      <c r="BI33" s="1707" t="n">
        <f aca="false">SUM(AR33,AT33,AU33,AY33,BG33)</f>
        <v>13019.3945737624</v>
      </c>
      <c r="BJ33" s="109" t="n">
        <f aca="false">BI33*BJ$6</f>
        <v>13865.655221057</v>
      </c>
      <c r="BK33" s="1715" t="n">
        <f aca="false">BJ33*(1+BK$6)</f>
        <v>14243.0972994936</v>
      </c>
      <c r="BM33" s="1717" t="n">
        <f aca="false">SUM(BK32:BK33)</f>
        <v>43262.2616259725</v>
      </c>
      <c r="BN33" s="1714" t="n">
        <f aca="false">SUM($AC32:$AC33)</f>
        <v>12</v>
      </c>
      <c r="BO33" s="1718" t="n">
        <v>480</v>
      </c>
      <c r="BP33" s="1715" t="n">
        <f aca="false">BM33/BN33/BO33*1000</f>
        <v>7510.80931006466</v>
      </c>
      <c r="BR33" s="1716" t="n">
        <f aca="false">$B33</f>
        <v>13</v>
      </c>
      <c r="BS33" s="187" t="n">
        <f aca="false">$C33</f>
        <v>2012</v>
      </c>
      <c r="BU33" s="1707" t="n">
        <f aca="false">SUM(AN32:AN33)</f>
        <v>3212.22589285715</v>
      </c>
      <c r="BV33" s="1708" t="n">
        <f aca="false">SUM(AO32:AO33)</f>
        <v>10017.8571428571</v>
      </c>
      <c r="BW33" s="1709" t="n">
        <f aca="false">SUM(AP32:AP33)</f>
        <v>1388.38308739624</v>
      </c>
      <c r="BX33" s="1708" t="n">
        <f aca="false">SUM(AQ32:AQ33)</f>
        <v>2717.71358489332</v>
      </c>
      <c r="BY33" s="1710" t="n">
        <f aca="false">SUM(BU33:BX33)</f>
        <v>17336.1797080039</v>
      </c>
      <c r="CA33" s="1707" t="n">
        <f aca="false">SUM(AT32:AT33)</f>
        <v>5200.85391240116</v>
      </c>
      <c r="CB33" s="1711" t="n">
        <f aca="false">SUM(AU32:AU33)</f>
        <v>207.677911647591</v>
      </c>
      <c r="CD33" s="1707" t="n">
        <f aca="false">SUM(AW32:AW33)</f>
        <v>1393.09940197778</v>
      </c>
      <c r="CE33" s="1708" t="n">
        <f aca="false">SUM(AX32:AX33)</f>
        <v>7232.64301794158</v>
      </c>
      <c r="CF33" s="1710" t="n">
        <f aca="false">SUM(CD33:CE33)</f>
        <v>8625.74241991935</v>
      </c>
      <c r="CH33" s="1707" t="n">
        <f aca="false">SUM(BA32:BA33)</f>
        <v>900</v>
      </c>
      <c r="CI33" s="1712" t="n">
        <f aca="false">SUM(BB32:BB33)</f>
        <v>150</v>
      </c>
      <c r="CJ33" s="1712" t="n">
        <f aca="false">SUM(BC32:BC33)</f>
        <v>1390.002</v>
      </c>
      <c r="CK33" s="1712" t="n">
        <f aca="false">SUM(BD32:BD33)</f>
        <v>490.3197</v>
      </c>
      <c r="CL33" s="1712" t="n">
        <f aca="false">SUM(BE32:BE33)</f>
        <v>5085.76391052632</v>
      </c>
      <c r="CM33" s="1708" t="n">
        <f aca="false">SUM(BF32:BF33)</f>
        <v>158.823529411765</v>
      </c>
      <c r="CN33" s="1710" t="n">
        <f aca="false">SUM(CH33:CM33)</f>
        <v>8174.90913993808</v>
      </c>
      <c r="CP33" s="1707" t="n">
        <f aca="false">SUM(BY33,CA33,CB33,CF33,CN33)</f>
        <v>39545.36309191</v>
      </c>
      <c r="CQ33" s="109" t="n">
        <f aca="false">CP33*CQ$6</f>
        <v>42115.8116928842</v>
      </c>
      <c r="CR33" s="1715" t="n">
        <f aca="false">CQ33*(1+CR$6)</f>
        <v>43262.2616259725</v>
      </c>
      <c r="CT33" s="1717" t="n">
        <f aca="false">SUM(CR32:CR33)</f>
        <v>43262.2616259725</v>
      </c>
      <c r="CU33" s="1714" t="n">
        <f aca="false">SUM($AC32:$AC33)</f>
        <v>12</v>
      </c>
      <c r="CV33" s="1719" t="n">
        <f aca="false">$BO33</f>
        <v>480</v>
      </c>
      <c r="CW33" s="1715" t="n">
        <f aca="false">CT33/CU33/CV33*1000</f>
        <v>7510.80931006466</v>
      </c>
    </row>
    <row r="34" customFormat="false" ht="12.75" hidden="false" customHeight="false" outlineLevel="0" collapsed="false">
      <c r="B34" s="1531" t="n">
        <f aca="false">B32+1</f>
        <v>14</v>
      </c>
      <c r="C34" s="1533" t="n">
        <f aca="false">C32+1</f>
        <v>2012</v>
      </c>
      <c r="E34" s="1707" t="n">
        <f aca="false">VLOOKUP($C34,Sr_Debt_Table,O$78)</f>
        <v>2727.36160714286</v>
      </c>
      <c r="F34" s="1708" t="n">
        <f aca="false">VLOOKUP($C34,Sr_Debt_Table,P$78)</f>
        <v>10017.8571428571</v>
      </c>
      <c r="G34" s="1709" t="n">
        <f aca="false">VLOOKUP($C34,Sr_Debt_Table,R$78)</f>
        <v>1182.98846188515</v>
      </c>
      <c r="H34" s="1708" t="n">
        <f aca="false">VLOOKUP($C34,Sr_Debt_Table,S$78)</f>
        <v>3040.02684810471</v>
      </c>
      <c r="I34" s="1710" t="n">
        <f aca="false">SUM(E34:H34)</f>
        <v>16968.2340599899</v>
      </c>
      <c r="K34" s="1707" t="n">
        <f aca="false">(K$6-1)*I34</f>
        <v>5090.47021799696</v>
      </c>
      <c r="L34" s="1711" t="n">
        <f aca="false">-HLOOKUP($C34,CF_Table,CF!$AB$34)</f>
        <v>198.827883443026</v>
      </c>
      <c r="N34" s="1707" t="n">
        <f aca="false">VLOOKUP($C34,Sub_Debt_Table,X$78)</f>
        <v>773.615153665539</v>
      </c>
      <c r="O34" s="1708" t="n">
        <f aca="false">VLOOKUP($C34,Sub_Debt_Table,Z$78)</f>
        <v>7852.12726625381</v>
      </c>
      <c r="P34" s="1710" t="n">
        <f aca="false">SUM(N34:O34)</f>
        <v>8625.74241991935</v>
      </c>
      <c r="R34" s="1707" t="n">
        <f aca="false">VLOOKUP($C34,OM_Table_US,AD$78)</f>
        <v>900</v>
      </c>
      <c r="S34" s="1712" t="n">
        <f aca="false">VLOOKUP($C34,OM_Table_US,AE$78)</f>
        <v>150</v>
      </c>
      <c r="T34" s="1712" t="n">
        <f aca="false">VLOOKUP($C34,OM_Table_US,AF$78)</f>
        <v>1390.002</v>
      </c>
      <c r="U34" s="1712" t="n">
        <f aca="false">VLOOKUP($C34,OM_Table_US,AG$78)</f>
        <v>490.3197</v>
      </c>
      <c r="V34" s="1712" t="n">
        <f aca="false">VLOOKUP($C34,OM_Table_US,AH$78)</f>
        <v>5085.76391052632</v>
      </c>
      <c r="W34" s="1712" t="n">
        <f aca="false">VLOOKUP($C34,OM_Table_US,AI$78)</f>
        <v>158.823529411765</v>
      </c>
      <c r="X34" s="1711" t="n">
        <f aca="false">SUM(R34:W34)</f>
        <v>8174.90913993808</v>
      </c>
      <c r="Z34" s="1707" t="n">
        <f aca="false">SUM(I34,K34,L34,P34,X34)</f>
        <v>39058.1837212873</v>
      </c>
      <c r="AA34" s="109" t="n">
        <f aca="false">Z34*AA$6</f>
        <v>41596.9656631709</v>
      </c>
      <c r="AB34" s="109" t="n">
        <f aca="false">AA34*(1+AB$6)</f>
        <v>42729.2918984807</v>
      </c>
      <c r="AC34" s="1713" t="n">
        <f aca="false">12-AC33</f>
        <v>8</v>
      </c>
      <c r="AD34" s="1714" t="n">
        <f aca="false">HLOOKUP($C34,CF_Table,CF!$AB$12)</f>
        <v>12</v>
      </c>
      <c r="AE34" s="109" t="n">
        <f aca="false">AB34*AC34/AD34</f>
        <v>28486.1945989871</v>
      </c>
      <c r="AF34" s="170" t="n">
        <v>480</v>
      </c>
      <c r="AG34" s="1715"/>
      <c r="AK34" s="1716" t="n">
        <f aca="false">$B34</f>
        <v>14</v>
      </c>
      <c r="AL34" s="187" t="n">
        <f aca="false">$C34</f>
        <v>2012</v>
      </c>
      <c r="AN34" s="1707" t="n">
        <f aca="false">E34*$AC34/$AD34</f>
        <v>1818.24107142858</v>
      </c>
      <c r="AO34" s="1708" t="n">
        <f aca="false">F34*$AC34/$AD34</f>
        <v>6678.57142857143</v>
      </c>
      <c r="AP34" s="1709" t="n">
        <f aca="false">G34*$AC34/$AD34</f>
        <v>788.658974590097</v>
      </c>
      <c r="AQ34" s="1708" t="n">
        <f aca="false">H34*$AC34/$AD34</f>
        <v>2026.68456540314</v>
      </c>
      <c r="AR34" s="1710" t="n">
        <f aca="false">SUM(AN34:AQ34)</f>
        <v>11312.1560399932</v>
      </c>
      <c r="AT34" s="1707" t="n">
        <f aca="false">K34*$AC34/$AD34</f>
        <v>3393.64681199797</v>
      </c>
      <c r="AU34" s="1711" t="n">
        <f aca="false">L34*$AC34/$AD34</f>
        <v>132.551922295351</v>
      </c>
      <c r="AW34" s="1707" t="n">
        <f aca="false">N34*$AC34/$AD34</f>
        <v>515.743435777026</v>
      </c>
      <c r="AX34" s="1708" t="n">
        <f aca="false">O34*$AC34/$AD34</f>
        <v>5234.75151083588</v>
      </c>
      <c r="AY34" s="1710" t="n">
        <f aca="false">SUM(AW34:AX34)</f>
        <v>5750.4949466129</v>
      </c>
      <c r="BA34" s="1707" t="n">
        <f aca="false">R34*$AC34/$AD34</f>
        <v>600</v>
      </c>
      <c r="BB34" s="1712" t="n">
        <f aca="false">S34*$AC34/$AD34</f>
        <v>100</v>
      </c>
      <c r="BC34" s="1712" t="n">
        <f aca="false">T34*$AC34/$AD34</f>
        <v>926.668</v>
      </c>
      <c r="BD34" s="1712" t="n">
        <f aca="false">U34*$AC34/$AD34</f>
        <v>326.8798</v>
      </c>
      <c r="BE34" s="1712" t="n">
        <f aca="false">V34*$AC34/$AD34</f>
        <v>3390.50927368421</v>
      </c>
      <c r="BF34" s="1712" t="n">
        <f aca="false">W34*$AC34/$AD34</f>
        <v>105.882352941176</v>
      </c>
      <c r="BG34" s="1711" t="n">
        <f aca="false">SUM(BA34:BF34)</f>
        <v>5449.93942662539</v>
      </c>
      <c r="BI34" s="1707" t="n">
        <f aca="false">SUM(AR34,AT34,AU34,AY34,BG34)</f>
        <v>26038.7891475249</v>
      </c>
      <c r="BJ34" s="109" t="n">
        <f aca="false">BI34*BJ$6</f>
        <v>27731.310442114</v>
      </c>
      <c r="BK34" s="1715" t="n">
        <f aca="false">BJ34*(1+BK$6)</f>
        <v>28486.1945989871</v>
      </c>
      <c r="BM34" s="1717"/>
      <c r="BN34" s="1714"/>
      <c r="BO34" s="1718"/>
      <c r="BP34" s="1715"/>
      <c r="BR34" s="1716" t="n">
        <f aca="false">$B34</f>
        <v>14</v>
      </c>
      <c r="BS34" s="187" t="n">
        <f aca="false">$C34</f>
        <v>2012</v>
      </c>
      <c r="BU34" s="1707"/>
      <c r="BV34" s="1708"/>
      <c r="BW34" s="1709"/>
      <c r="BX34" s="1708"/>
      <c r="BY34" s="1710"/>
      <c r="CA34" s="1707"/>
      <c r="CB34" s="1711"/>
      <c r="CD34" s="1707"/>
      <c r="CE34" s="1708"/>
      <c r="CF34" s="1710"/>
      <c r="CH34" s="1707"/>
      <c r="CI34" s="1712"/>
      <c r="CJ34" s="1712"/>
      <c r="CK34" s="1712"/>
      <c r="CL34" s="1712"/>
      <c r="CM34" s="1708"/>
      <c r="CN34" s="1710"/>
      <c r="CP34" s="1707"/>
      <c r="CQ34" s="109"/>
      <c r="CR34" s="1715"/>
      <c r="CT34" s="1717"/>
      <c r="CU34" s="1714"/>
      <c r="CV34" s="1719"/>
      <c r="CW34" s="1715"/>
    </row>
    <row r="35" customFormat="false" ht="12.75" hidden="false" customHeight="false" outlineLevel="0" collapsed="false">
      <c r="B35" s="1531" t="n">
        <f aca="false">B33+1</f>
        <v>14</v>
      </c>
      <c r="C35" s="1533" t="n">
        <f aca="false">C33+1</f>
        <v>2013</v>
      </c>
      <c r="E35" s="1707" t="n">
        <f aca="false">VLOOKUP($C35,Sr_Debt_Table,O$78)</f>
        <v>2000.06517857143</v>
      </c>
      <c r="F35" s="1708" t="n">
        <f aca="false">VLOOKUP($C35,Sr_Debt_Table,P$78)</f>
        <v>10017.8571428571</v>
      </c>
      <c r="G35" s="1709" t="n">
        <f aca="false">VLOOKUP($C35,Sr_Debt_Table,R$78)</f>
        <v>848.281505908817</v>
      </c>
      <c r="H35" s="1708" t="n">
        <f aca="false">VLOOKUP($C35,Sr_Debt_Table,S$78)</f>
        <v>3040.02684810471</v>
      </c>
      <c r="I35" s="1710" t="n">
        <f aca="false">SUM(E35:H35)</f>
        <v>15906.2306754421</v>
      </c>
      <c r="K35" s="1707" t="n">
        <f aca="false">(K$6-1)*I35</f>
        <v>4771.86920263263</v>
      </c>
      <c r="L35" s="1711" t="n">
        <f aca="false">-HLOOKUP($C35,CF_Table,CF!$AB$34)</f>
        <v>186.916008132844</v>
      </c>
      <c r="N35" s="1707" t="n">
        <f aca="false">VLOOKUP($C35,Sub_Debt_Table,X$78)</f>
        <v>0</v>
      </c>
      <c r="O35" s="1708" t="n">
        <f aca="false">VLOOKUP($C35,Sub_Debt_Table,Z$78)</f>
        <v>0</v>
      </c>
      <c r="P35" s="1710" t="n">
        <f aca="false">SUM(N35:O35)</f>
        <v>0</v>
      </c>
      <c r="R35" s="1707" t="n">
        <f aca="false">VLOOKUP($C35,OM_Table_US,AD$78)</f>
        <v>900</v>
      </c>
      <c r="S35" s="1712" t="n">
        <f aca="false">VLOOKUP($C35,OM_Table_US,AE$78)</f>
        <v>150</v>
      </c>
      <c r="T35" s="1712" t="n">
        <f aca="false">VLOOKUP($C35,OM_Table_US,AF$78)</f>
        <v>1390.002</v>
      </c>
      <c r="U35" s="1712" t="n">
        <f aca="false">VLOOKUP($C35,OM_Table_US,AG$78)</f>
        <v>490.3197</v>
      </c>
      <c r="V35" s="1712" t="n">
        <f aca="false">VLOOKUP($C35,OM_Table_US,AH$78)</f>
        <v>5085.76391052632</v>
      </c>
      <c r="W35" s="1712" t="n">
        <f aca="false">VLOOKUP($C35,OM_Table_US,AI$78)</f>
        <v>158.823529411765</v>
      </c>
      <c r="X35" s="1711" t="n">
        <f aca="false">SUM(R35:W35)</f>
        <v>8174.90913993808</v>
      </c>
      <c r="Z35" s="1707" t="n">
        <f aca="false">SUM(I35,K35,L35,P35,X35)</f>
        <v>29039.9250261457</v>
      </c>
      <c r="AA35" s="109" t="n">
        <f aca="false">Z35*AA$6</f>
        <v>30927.5201528451</v>
      </c>
      <c r="AB35" s="109" t="n">
        <f aca="false">AA35*(1+AB$6)</f>
        <v>31769.4095047202</v>
      </c>
      <c r="AC35" s="1713" t="n">
        <f aca="false">12-AC34</f>
        <v>4</v>
      </c>
      <c r="AD35" s="1714" t="n">
        <f aca="false">HLOOKUP($C35,CF_Table,CF!$AB$12)</f>
        <v>12</v>
      </c>
      <c r="AE35" s="109" t="n">
        <f aca="false">AB35*AC35/AD35</f>
        <v>10589.8031682401</v>
      </c>
      <c r="AF35" s="170" t="n">
        <v>480</v>
      </c>
      <c r="AG35" s="1715" t="n">
        <f aca="false">SUM(AE34:AE35)/AF35/SUM(AC34:AC35)*1000</f>
        <v>6784.02739014361</v>
      </c>
      <c r="AK35" s="1716" t="n">
        <f aca="false">$B35</f>
        <v>14</v>
      </c>
      <c r="AL35" s="187" t="n">
        <f aca="false">$C35</f>
        <v>2013</v>
      </c>
      <c r="AN35" s="1707" t="n">
        <f aca="false">E35*$AC35/$AD35</f>
        <v>666.688392857144</v>
      </c>
      <c r="AO35" s="1708" t="n">
        <f aca="false">F35*$AC35/$AD35</f>
        <v>3339.28571428571</v>
      </c>
      <c r="AP35" s="1709" t="n">
        <f aca="false">G35*$AC35/$AD35</f>
        <v>282.760501969606</v>
      </c>
      <c r="AQ35" s="1708" t="n">
        <f aca="false">H35*$AC35/$AD35</f>
        <v>1013.34228270157</v>
      </c>
      <c r="AR35" s="1710" t="n">
        <f aca="false">SUM(AN35:AQ35)</f>
        <v>5302.07689181403</v>
      </c>
      <c r="AT35" s="1707" t="n">
        <f aca="false">K35*$AC35/$AD35</f>
        <v>1590.62306754421</v>
      </c>
      <c r="AU35" s="1711" t="n">
        <f aca="false">L35*$AC35/$AD35</f>
        <v>62.3053360442813</v>
      </c>
      <c r="AW35" s="1707" t="n">
        <f aca="false">N35*$AC35/$AD35</f>
        <v>0</v>
      </c>
      <c r="AX35" s="1708" t="n">
        <f aca="false">O35*$AC35/$AD35</f>
        <v>0</v>
      </c>
      <c r="AY35" s="1710" t="n">
        <f aca="false">SUM(AW35:AX35)</f>
        <v>0</v>
      </c>
      <c r="BA35" s="1707" t="n">
        <f aca="false">R35*$AC35/$AD35</f>
        <v>300</v>
      </c>
      <c r="BB35" s="1712" t="n">
        <f aca="false">S35*$AC35/$AD35</f>
        <v>50</v>
      </c>
      <c r="BC35" s="1712" t="n">
        <f aca="false">T35*$AC35/$AD35</f>
        <v>463.334</v>
      </c>
      <c r="BD35" s="1712" t="n">
        <f aca="false">U35*$AC35/$AD35</f>
        <v>163.4399</v>
      </c>
      <c r="BE35" s="1712" t="n">
        <f aca="false">V35*$AC35/$AD35</f>
        <v>1695.25463684211</v>
      </c>
      <c r="BF35" s="1712" t="n">
        <f aca="false">W35*$AC35/$AD35</f>
        <v>52.9411764705882</v>
      </c>
      <c r="BG35" s="1711" t="n">
        <f aca="false">SUM(BA35:BF35)</f>
        <v>2724.96971331269</v>
      </c>
      <c r="BI35" s="1707" t="n">
        <f aca="false">SUM(AR35,AT35,AU35,AY35,BG35)</f>
        <v>9679.97500871522</v>
      </c>
      <c r="BJ35" s="109" t="n">
        <f aca="false">BI35*BJ$6</f>
        <v>10309.1733842817</v>
      </c>
      <c r="BK35" s="1715" t="n">
        <f aca="false">BJ35*(1+BK$6)</f>
        <v>10589.8031682401</v>
      </c>
      <c r="BM35" s="1717" t="n">
        <f aca="false">SUM(BK34:BK35)</f>
        <v>39075.9977672272</v>
      </c>
      <c r="BN35" s="1714" t="n">
        <f aca="false">SUM($AC34:$AC35)</f>
        <v>12</v>
      </c>
      <c r="BO35" s="1718" t="n">
        <v>480</v>
      </c>
      <c r="BP35" s="1715" t="n">
        <f aca="false">BM35/BN35/BO35*1000</f>
        <v>6784.02739014361</v>
      </c>
      <c r="BR35" s="1716" t="n">
        <f aca="false">$B35</f>
        <v>14</v>
      </c>
      <c r="BS35" s="187" t="n">
        <f aca="false">$C35</f>
        <v>2013</v>
      </c>
      <c r="BU35" s="1707" t="n">
        <f aca="false">SUM(AN34:AN35)</f>
        <v>2484.92946428572</v>
      </c>
      <c r="BV35" s="1708" t="n">
        <f aca="false">SUM(AO34:AO35)</f>
        <v>10017.8571428571</v>
      </c>
      <c r="BW35" s="1709" t="n">
        <f aca="false">SUM(AP34:AP35)</f>
        <v>1071.4194765597</v>
      </c>
      <c r="BX35" s="1708" t="n">
        <f aca="false">SUM(AQ34:AQ35)</f>
        <v>3040.02684810471</v>
      </c>
      <c r="BY35" s="1710" t="n">
        <f aca="false">SUM(BU35:BX35)</f>
        <v>16614.2329318073</v>
      </c>
      <c r="CA35" s="1707" t="n">
        <f aca="false">SUM(AT34:AT35)</f>
        <v>4984.26987954218</v>
      </c>
      <c r="CB35" s="1711" t="n">
        <f aca="false">SUM(AU34:AU35)</f>
        <v>194.857258339632</v>
      </c>
      <c r="CD35" s="1707" t="n">
        <f aca="false">SUM(AW34:AW35)</f>
        <v>515.743435777026</v>
      </c>
      <c r="CE35" s="1708" t="n">
        <f aca="false">SUM(AX34:AX35)</f>
        <v>5234.75151083588</v>
      </c>
      <c r="CF35" s="1710" t="n">
        <f aca="false">SUM(CD35:CE35)</f>
        <v>5750.4949466129</v>
      </c>
      <c r="CH35" s="1707" t="n">
        <f aca="false">SUM(BA34:BA35)</f>
        <v>900</v>
      </c>
      <c r="CI35" s="1712" t="n">
        <f aca="false">SUM(BB34:BB35)</f>
        <v>150</v>
      </c>
      <c r="CJ35" s="1712" t="n">
        <f aca="false">SUM(BC34:BC35)</f>
        <v>1390.002</v>
      </c>
      <c r="CK35" s="1712" t="n">
        <f aca="false">SUM(BD34:BD35)</f>
        <v>490.3197</v>
      </c>
      <c r="CL35" s="1712" t="n">
        <f aca="false">SUM(BE34:BE35)</f>
        <v>5085.76391052632</v>
      </c>
      <c r="CM35" s="1708" t="n">
        <f aca="false">SUM(BF34:BF35)</f>
        <v>158.823529411765</v>
      </c>
      <c r="CN35" s="1710" t="n">
        <f aca="false">SUM(CH35:CM35)</f>
        <v>8174.90913993808</v>
      </c>
      <c r="CP35" s="1707" t="n">
        <f aca="false">SUM(BY35,CA35,CB35,CF35,CN35)</f>
        <v>35718.7641562401</v>
      </c>
      <c r="CQ35" s="109" t="n">
        <f aca="false">CP35*CQ$6</f>
        <v>38040.4838263957</v>
      </c>
      <c r="CR35" s="1715" t="n">
        <f aca="false">CQ35*(1+CR$6)</f>
        <v>39075.9977672272</v>
      </c>
      <c r="CT35" s="1717" t="n">
        <f aca="false">SUM(CR34:CR35)</f>
        <v>39075.9977672272</v>
      </c>
      <c r="CU35" s="1714" t="n">
        <f aca="false">SUM($AC34:$AC35)</f>
        <v>12</v>
      </c>
      <c r="CV35" s="1719" t="n">
        <f aca="false">$BO35</f>
        <v>480</v>
      </c>
      <c r="CW35" s="1715" t="n">
        <f aca="false">CT35/CU35/CV35*1000</f>
        <v>6784.02739014361</v>
      </c>
    </row>
    <row r="36" customFormat="false" ht="12.75" hidden="false" customHeight="false" outlineLevel="0" collapsed="false">
      <c r="B36" s="1531" t="n">
        <f aca="false">B34+1</f>
        <v>15</v>
      </c>
      <c r="C36" s="1533" t="n">
        <f aca="false">C34+1</f>
        <v>2013</v>
      </c>
      <c r="E36" s="1707" t="n">
        <f aca="false">VLOOKUP($C36,Sr_Debt_Table,O$78)</f>
        <v>2000.06517857143</v>
      </c>
      <c r="F36" s="1708" t="n">
        <f aca="false">VLOOKUP($C36,Sr_Debt_Table,P$78)</f>
        <v>10017.8571428571</v>
      </c>
      <c r="G36" s="1709" t="n">
        <f aca="false">VLOOKUP($C36,Sr_Debt_Table,R$78)</f>
        <v>848.281505908817</v>
      </c>
      <c r="H36" s="1708" t="n">
        <f aca="false">VLOOKUP($C36,Sr_Debt_Table,S$78)</f>
        <v>3040.02684810471</v>
      </c>
      <c r="I36" s="1710" t="n">
        <f aca="false">SUM(E36:H36)</f>
        <v>15906.2306754421</v>
      </c>
      <c r="K36" s="1707" t="n">
        <f aca="false">(K$6-1)*I36</f>
        <v>4771.86920263263</v>
      </c>
      <c r="L36" s="1711" t="n">
        <f aca="false">-HLOOKUP($C36,CF_Table,CF!$AB$34)</f>
        <v>186.916008132844</v>
      </c>
      <c r="N36" s="1707" t="n">
        <f aca="false">VLOOKUP($C36,Sub_Debt_Table,X$78)</f>
        <v>0</v>
      </c>
      <c r="O36" s="1708" t="n">
        <f aca="false">VLOOKUP($C36,Sub_Debt_Table,Z$78)</f>
        <v>0</v>
      </c>
      <c r="P36" s="1710" t="n">
        <f aca="false">SUM(N36:O36)</f>
        <v>0</v>
      </c>
      <c r="R36" s="1707" t="n">
        <f aca="false">VLOOKUP($C36,OM_Table_US,AD$78)</f>
        <v>900</v>
      </c>
      <c r="S36" s="1712" t="n">
        <f aca="false">VLOOKUP($C36,OM_Table_US,AE$78)</f>
        <v>150</v>
      </c>
      <c r="T36" s="1712" t="n">
        <f aca="false">VLOOKUP($C36,OM_Table_US,AF$78)</f>
        <v>1390.002</v>
      </c>
      <c r="U36" s="1712" t="n">
        <f aca="false">VLOOKUP($C36,OM_Table_US,AG$78)</f>
        <v>490.3197</v>
      </c>
      <c r="V36" s="1712" t="n">
        <f aca="false">VLOOKUP($C36,OM_Table_US,AH$78)</f>
        <v>5085.76391052632</v>
      </c>
      <c r="W36" s="1712" t="n">
        <f aca="false">VLOOKUP($C36,OM_Table_US,AI$78)</f>
        <v>158.823529411765</v>
      </c>
      <c r="X36" s="1711" t="n">
        <f aca="false">SUM(R36:W36)</f>
        <v>8174.90913993808</v>
      </c>
      <c r="Z36" s="1707" t="n">
        <f aca="false">SUM(I36,K36,L36,P36,X36)</f>
        <v>29039.9250261457</v>
      </c>
      <c r="AA36" s="109" t="n">
        <f aca="false">Z36*AA$6</f>
        <v>30927.5201528451</v>
      </c>
      <c r="AB36" s="109" t="n">
        <f aca="false">AA36*(1+AB$6)</f>
        <v>31769.4095047202</v>
      </c>
      <c r="AC36" s="1713" t="n">
        <f aca="false">12-AC35</f>
        <v>8</v>
      </c>
      <c r="AD36" s="1714" t="n">
        <f aca="false">HLOOKUP($C36,CF_Table,CF!$AB$12)</f>
        <v>12</v>
      </c>
      <c r="AE36" s="109" t="n">
        <f aca="false">AB36*AC36/AD36</f>
        <v>21179.6063364801</v>
      </c>
      <c r="AF36" s="170" t="n">
        <v>480</v>
      </c>
      <c r="AG36" s="1715"/>
      <c r="AK36" s="1716" t="n">
        <f aca="false">$B36</f>
        <v>15</v>
      </c>
      <c r="AL36" s="187" t="n">
        <f aca="false">$C36</f>
        <v>2013</v>
      </c>
      <c r="AN36" s="1707" t="n">
        <f aca="false">E36*$AC36/$AD36</f>
        <v>1333.37678571429</v>
      </c>
      <c r="AO36" s="1708" t="n">
        <f aca="false">F36*$AC36/$AD36</f>
        <v>6678.57142857143</v>
      </c>
      <c r="AP36" s="1709" t="n">
        <f aca="false">G36*$AC36/$AD36</f>
        <v>565.521003939212</v>
      </c>
      <c r="AQ36" s="1708" t="n">
        <f aca="false">H36*$AC36/$AD36</f>
        <v>2026.68456540314</v>
      </c>
      <c r="AR36" s="1710" t="n">
        <f aca="false">SUM(AN36:AQ36)</f>
        <v>10604.1537836281</v>
      </c>
      <c r="AT36" s="1707" t="n">
        <f aca="false">K36*$AC36/$AD36</f>
        <v>3181.24613508842</v>
      </c>
      <c r="AU36" s="1711" t="n">
        <f aca="false">L36*$AC36/$AD36</f>
        <v>124.610672088563</v>
      </c>
      <c r="AW36" s="1707" t="n">
        <f aca="false">N36*$AC36/$AD36</f>
        <v>0</v>
      </c>
      <c r="AX36" s="1708" t="n">
        <f aca="false">O36*$AC36/$AD36</f>
        <v>0</v>
      </c>
      <c r="AY36" s="1710" t="n">
        <f aca="false">SUM(AW36:AX36)</f>
        <v>0</v>
      </c>
      <c r="BA36" s="1707" t="n">
        <f aca="false">R36*$AC36/$AD36</f>
        <v>600</v>
      </c>
      <c r="BB36" s="1712" t="n">
        <f aca="false">S36*$AC36/$AD36</f>
        <v>100</v>
      </c>
      <c r="BC36" s="1712" t="n">
        <f aca="false">T36*$AC36/$AD36</f>
        <v>926.668</v>
      </c>
      <c r="BD36" s="1712" t="n">
        <f aca="false">U36*$AC36/$AD36</f>
        <v>326.8798</v>
      </c>
      <c r="BE36" s="1712" t="n">
        <f aca="false">V36*$AC36/$AD36</f>
        <v>3390.50927368421</v>
      </c>
      <c r="BF36" s="1712" t="n">
        <f aca="false">W36*$AC36/$AD36</f>
        <v>105.882352941176</v>
      </c>
      <c r="BG36" s="1711" t="n">
        <f aca="false">SUM(BA36:BF36)</f>
        <v>5449.93942662539</v>
      </c>
      <c r="BI36" s="1707" t="n">
        <f aca="false">SUM(AR36,AT36,AU36,AY36,BG36)</f>
        <v>19359.9500174304</v>
      </c>
      <c r="BJ36" s="109" t="n">
        <f aca="false">BI36*BJ$6</f>
        <v>20618.3467685634</v>
      </c>
      <c r="BK36" s="1715" t="n">
        <f aca="false">BJ36*(1+BK$6)</f>
        <v>21179.6063364801</v>
      </c>
      <c r="BM36" s="1717"/>
      <c r="BN36" s="1714"/>
      <c r="BO36" s="1718"/>
      <c r="BP36" s="1715"/>
      <c r="BR36" s="1716" t="n">
        <f aca="false">$B36</f>
        <v>15</v>
      </c>
      <c r="BS36" s="187" t="n">
        <f aca="false">$C36</f>
        <v>2013</v>
      </c>
      <c r="BU36" s="1707"/>
      <c r="BV36" s="1708"/>
      <c r="BW36" s="1709"/>
      <c r="BX36" s="1708"/>
      <c r="BY36" s="1710"/>
      <c r="CA36" s="1707"/>
      <c r="CB36" s="1711"/>
      <c r="CD36" s="1707"/>
      <c r="CE36" s="1708"/>
      <c r="CF36" s="1710"/>
      <c r="CH36" s="1707"/>
      <c r="CI36" s="1712"/>
      <c r="CJ36" s="1712"/>
      <c r="CK36" s="1712"/>
      <c r="CL36" s="1712"/>
      <c r="CM36" s="1708"/>
      <c r="CN36" s="1710"/>
      <c r="CP36" s="1707"/>
      <c r="CQ36" s="109"/>
      <c r="CR36" s="1715"/>
      <c r="CT36" s="1717"/>
      <c r="CU36" s="1714"/>
      <c r="CV36" s="1719"/>
      <c r="CW36" s="1715"/>
    </row>
    <row r="37" customFormat="false" ht="12.75" hidden="false" customHeight="false" outlineLevel="0" collapsed="false">
      <c r="B37" s="1531" t="n">
        <f aca="false">B35+1</f>
        <v>15</v>
      </c>
      <c r="C37" s="1533" t="n">
        <f aca="false">C35+1</f>
        <v>2014</v>
      </c>
      <c r="E37" s="1707" t="n">
        <f aca="false">VLOOKUP($C37,Sr_Debt_Table,O$78)</f>
        <v>1272.76875</v>
      </c>
      <c r="F37" s="1708" t="n">
        <f aca="false">VLOOKUP($C37,Sr_Debt_Table,P$78)</f>
        <v>10017.8571428571</v>
      </c>
      <c r="G37" s="1709" t="n">
        <f aca="false">VLOOKUP($C37,Sr_Debt_Table,R$78)</f>
        <v>513.574549932489</v>
      </c>
      <c r="H37" s="1708" t="n">
        <f aca="false">VLOOKUP($C37,Sr_Debt_Table,S$78)</f>
        <v>3149.08020783788</v>
      </c>
      <c r="I37" s="1710" t="n">
        <f aca="false">SUM(E37:H37)</f>
        <v>14953.2806506275</v>
      </c>
      <c r="K37" s="1707" t="n">
        <f aca="false">(K$6-1)*I37</f>
        <v>4485.98419518826</v>
      </c>
      <c r="L37" s="1711" t="n">
        <f aca="false">-HLOOKUP($C37,CF_Table,CF!$AB$34)</f>
        <v>162.440373020126</v>
      </c>
      <c r="N37" s="1707" t="n">
        <f aca="false">VLOOKUP($C37,Sub_Debt_Table,X$78)</f>
        <v>0</v>
      </c>
      <c r="O37" s="1708" t="n">
        <f aca="false">VLOOKUP($C37,Sub_Debt_Table,Z$78)</f>
        <v>0</v>
      </c>
      <c r="P37" s="1710" t="n">
        <f aca="false">SUM(N37:O37)</f>
        <v>0</v>
      </c>
      <c r="R37" s="1707" t="n">
        <f aca="false">VLOOKUP($C37,OM_Table_US,AD$78)</f>
        <v>900</v>
      </c>
      <c r="S37" s="1712" t="n">
        <f aca="false">VLOOKUP($C37,OM_Table_US,AE$78)</f>
        <v>150</v>
      </c>
      <c r="T37" s="1712" t="n">
        <f aca="false">VLOOKUP($C37,OM_Table_US,AF$78)</f>
        <v>1390.002</v>
      </c>
      <c r="U37" s="1712" t="n">
        <f aca="false">VLOOKUP($C37,OM_Table_US,AG$78)</f>
        <v>490.3197</v>
      </c>
      <c r="V37" s="1712" t="n">
        <f aca="false">VLOOKUP($C37,OM_Table_US,AH$78)</f>
        <v>5085.76391052632</v>
      </c>
      <c r="W37" s="1712" t="n">
        <f aca="false">VLOOKUP($C37,OM_Table_US,AI$78)</f>
        <v>158.823529411765</v>
      </c>
      <c r="X37" s="1711" t="n">
        <f aca="false">SUM(R37:W37)</f>
        <v>8174.90913993808</v>
      </c>
      <c r="Z37" s="1707" t="n">
        <f aca="false">SUM(I37,K37,L37,P37,X37)</f>
        <v>27776.614358774</v>
      </c>
      <c r="AA37" s="109" t="n">
        <f aca="false">Z37*AA$6</f>
        <v>29582.0942920943</v>
      </c>
      <c r="AB37" s="109" t="n">
        <f aca="false">AA37*(1+AB$6)</f>
        <v>30387.359313913</v>
      </c>
      <c r="AC37" s="1713" t="n">
        <f aca="false">12-AC36</f>
        <v>4</v>
      </c>
      <c r="AD37" s="1714" t="n">
        <f aca="false">HLOOKUP($C37,CF_Table,CF!$AB$12)</f>
        <v>12</v>
      </c>
      <c r="AE37" s="109" t="n">
        <f aca="false">AB37*AC37/AD37</f>
        <v>10129.1197713043</v>
      </c>
      <c r="AF37" s="170" t="n">
        <v>480</v>
      </c>
      <c r="AG37" s="1715" t="n">
        <f aca="false">SUM(AE36:AE37)/AF37/SUM(AC36:AC37)*1000</f>
        <v>5435.54272704591</v>
      </c>
      <c r="AK37" s="1716" t="n">
        <f aca="false">$B37</f>
        <v>15</v>
      </c>
      <c r="AL37" s="187" t="n">
        <f aca="false">$C37</f>
        <v>2014</v>
      </c>
      <c r="AN37" s="1707" t="n">
        <f aca="false">E37*$AC37/$AD37</f>
        <v>424.256250000002</v>
      </c>
      <c r="AO37" s="1708" t="n">
        <f aca="false">F37*$AC37/$AD37</f>
        <v>3339.28571428571</v>
      </c>
      <c r="AP37" s="1709" t="n">
        <f aca="false">G37*$AC37/$AD37</f>
        <v>171.191516644163</v>
      </c>
      <c r="AQ37" s="1708" t="n">
        <f aca="false">H37*$AC37/$AD37</f>
        <v>1049.69340261263</v>
      </c>
      <c r="AR37" s="1710" t="n">
        <f aca="false">SUM(AN37:AQ37)</f>
        <v>4984.42688354251</v>
      </c>
      <c r="AT37" s="1707" t="n">
        <f aca="false">K37*$AC37/$AD37</f>
        <v>1495.32806506275</v>
      </c>
      <c r="AU37" s="1711" t="n">
        <f aca="false">L37*$AC37/$AD37</f>
        <v>54.1467910067087</v>
      </c>
      <c r="AW37" s="1707" t="n">
        <f aca="false">N37*$AC37/$AD37</f>
        <v>0</v>
      </c>
      <c r="AX37" s="1708" t="n">
        <f aca="false">O37*$AC37/$AD37</f>
        <v>0</v>
      </c>
      <c r="AY37" s="1710" t="n">
        <f aca="false">SUM(AW37:AX37)</f>
        <v>0</v>
      </c>
      <c r="BA37" s="1707" t="n">
        <f aca="false">R37*$AC37/$AD37</f>
        <v>300</v>
      </c>
      <c r="BB37" s="1712" t="n">
        <f aca="false">S37*$AC37/$AD37</f>
        <v>50</v>
      </c>
      <c r="BC37" s="1712" t="n">
        <f aca="false">T37*$AC37/$AD37</f>
        <v>463.334</v>
      </c>
      <c r="BD37" s="1712" t="n">
        <f aca="false">U37*$AC37/$AD37</f>
        <v>163.4399</v>
      </c>
      <c r="BE37" s="1712" t="n">
        <f aca="false">V37*$AC37/$AD37</f>
        <v>1695.25463684211</v>
      </c>
      <c r="BF37" s="1712" t="n">
        <f aca="false">W37*$AC37/$AD37</f>
        <v>52.9411764705882</v>
      </c>
      <c r="BG37" s="1711" t="n">
        <f aca="false">SUM(BA37:BF37)</f>
        <v>2724.96971331269</v>
      </c>
      <c r="BI37" s="1707" t="n">
        <f aca="false">SUM(AR37,AT37,AU37,AY37,BG37)</f>
        <v>9258.87145292466</v>
      </c>
      <c r="BJ37" s="109" t="n">
        <f aca="false">BI37*BJ$6</f>
        <v>9860.69809736476</v>
      </c>
      <c r="BK37" s="1715" t="n">
        <f aca="false">BJ37*(1+BK$6)</f>
        <v>10129.1197713043</v>
      </c>
      <c r="BM37" s="1717" t="n">
        <f aca="false">SUM(BK36:BK37)</f>
        <v>31308.7261077845</v>
      </c>
      <c r="BN37" s="1714" t="n">
        <f aca="false">SUM($AC36:$AC37)</f>
        <v>12</v>
      </c>
      <c r="BO37" s="1718" t="n">
        <v>480</v>
      </c>
      <c r="BP37" s="1715" t="n">
        <f aca="false">BM37/BN37/BO37*1000</f>
        <v>5435.54272704591</v>
      </c>
      <c r="BR37" s="1716" t="n">
        <f aca="false">$B37</f>
        <v>15</v>
      </c>
      <c r="BS37" s="187" t="n">
        <f aca="false">$C37</f>
        <v>2014</v>
      </c>
      <c r="BU37" s="1707" t="n">
        <f aca="false">SUM(AN36:AN37)</f>
        <v>1757.63303571429</v>
      </c>
      <c r="BV37" s="1708" t="n">
        <f aca="false">SUM(AO36:AO37)</f>
        <v>10017.8571428571</v>
      </c>
      <c r="BW37" s="1709" t="n">
        <f aca="false">SUM(AP36:AP37)</f>
        <v>736.712520583375</v>
      </c>
      <c r="BX37" s="1708" t="n">
        <f aca="false">SUM(AQ36:AQ37)</f>
        <v>3076.37796801577</v>
      </c>
      <c r="BY37" s="1710" t="n">
        <f aca="false">SUM(BU37:BX37)</f>
        <v>15588.5806671706</v>
      </c>
      <c r="CA37" s="1707" t="n">
        <f aca="false">SUM(AT36:AT37)</f>
        <v>4676.57420015117</v>
      </c>
      <c r="CB37" s="1711" t="n">
        <f aca="false">SUM(AU36:AU37)</f>
        <v>178.757463095271</v>
      </c>
      <c r="CD37" s="1707" t="n">
        <f aca="false">SUM(AW36:AW37)</f>
        <v>0</v>
      </c>
      <c r="CE37" s="1708" t="n">
        <f aca="false">SUM(AX36:AX37)</f>
        <v>0</v>
      </c>
      <c r="CF37" s="1710" t="n">
        <f aca="false">SUM(CD37:CE37)</f>
        <v>0</v>
      </c>
      <c r="CH37" s="1707" t="n">
        <f aca="false">SUM(BA36:BA37)</f>
        <v>900</v>
      </c>
      <c r="CI37" s="1712" t="n">
        <f aca="false">SUM(BB36:BB37)</f>
        <v>150</v>
      </c>
      <c r="CJ37" s="1712" t="n">
        <f aca="false">SUM(BC36:BC37)</f>
        <v>1390.002</v>
      </c>
      <c r="CK37" s="1712" t="n">
        <f aca="false">SUM(BD36:BD37)</f>
        <v>490.3197</v>
      </c>
      <c r="CL37" s="1712" t="n">
        <f aca="false">SUM(BE36:BE37)</f>
        <v>5085.76391052632</v>
      </c>
      <c r="CM37" s="1708" t="n">
        <f aca="false">SUM(BF36:BF37)</f>
        <v>158.823529411765</v>
      </c>
      <c r="CN37" s="1710" t="n">
        <f aca="false">SUM(CH37:CM37)</f>
        <v>8174.90913993808</v>
      </c>
      <c r="CP37" s="1707" t="n">
        <f aca="false">SUM(BY37,CA37,CB37,CF37,CN37)</f>
        <v>28618.8214703551</v>
      </c>
      <c r="CQ37" s="109" t="n">
        <f aca="false">CP37*CQ$6</f>
        <v>30479.0448659282</v>
      </c>
      <c r="CR37" s="1715" t="n">
        <f aca="false">CQ37*(1+CR$6)</f>
        <v>31308.7261077845</v>
      </c>
      <c r="CT37" s="1717" t="n">
        <f aca="false">SUM(CR36:CR37)</f>
        <v>31308.7261077845</v>
      </c>
      <c r="CU37" s="1714" t="n">
        <f aca="false">SUM($AC36:$AC37)</f>
        <v>12</v>
      </c>
      <c r="CV37" s="1719" t="n">
        <f aca="false">$BO37</f>
        <v>480</v>
      </c>
      <c r="CW37" s="1715" t="n">
        <f aca="false">CT37/CU37/CV37*1000</f>
        <v>5435.54272704591</v>
      </c>
    </row>
    <row r="38" customFormat="false" ht="12.75" hidden="false" customHeight="false" outlineLevel="0" collapsed="false">
      <c r="B38" s="1531" t="n">
        <f aca="false">B36+1</f>
        <v>16</v>
      </c>
      <c r="C38" s="1533" t="n">
        <f aca="false">C36+1</f>
        <v>2014</v>
      </c>
      <c r="E38" s="1707" t="n">
        <f aca="false">VLOOKUP($C38,Sr_Debt_Table,O$78)</f>
        <v>1272.76875</v>
      </c>
      <c r="F38" s="1708" t="n">
        <f aca="false">VLOOKUP($C38,Sr_Debt_Table,P$78)</f>
        <v>10017.8571428571</v>
      </c>
      <c r="G38" s="1709" t="n">
        <f aca="false">VLOOKUP($C38,Sr_Debt_Table,R$78)</f>
        <v>513.574549932489</v>
      </c>
      <c r="H38" s="1708" t="n">
        <f aca="false">VLOOKUP($C38,Sr_Debt_Table,S$78)</f>
        <v>3149.08020783788</v>
      </c>
      <c r="I38" s="1710" t="n">
        <f aca="false">SUM(E38:H38)</f>
        <v>14953.2806506275</v>
      </c>
      <c r="K38" s="1707" t="n">
        <f aca="false">(K$6-1)*I38</f>
        <v>4485.98419518826</v>
      </c>
      <c r="L38" s="1711" t="n">
        <f aca="false">-HLOOKUP($C38,CF_Table,CF!$AB$34)</f>
        <v>162.440373020126</v>
      </c>
      <c r="N38" s="1707" t="n">
        <f aca="false">VLOOKUP($C38,Sub_Debt_Table,X$78)</f>
        <v>0</v>
      </c>
      <c r="O38" s="1708" t="n">
        <f aca="false">VLOOKUP($C38,Sub_Debt_Table,Z$78)</f>
        <v>0</v>
      </c>
      <c r="P38" s="1710" t="n">
        <f aca="false">SUM(N38:O38)</f>
        <v>0</v>
      </c>
      <c r="R38" s="1707" t="n">
        <f aca="false">VLOOKUP($C38,OM_Table_US,AD$78)</f>
        <v>900</v>
      </c>
      <c r="S38" s="1712" t="n">
        <f aca="false">VLOOKUP($C38,OM_Table_US,AE$78)</f>
        <v>150</v>
      </c>
      <c r="T38" s="1712" t="n">
        <f aca="false">VLOOKUP($C38,OM_Table_US,AF$78)</f>
        <v>1390.002</v>
      </c>
      <c r="U38" s="1712" t="n">
        <f aca="false">VLOOKUP($C38,OM_Table_US,AG$78)</f>
        <v>490.3197</v>
      </c>
      <c r="V38" s="1712" t="n">
        <f aca="false">VLOOKUP($C38,OM_Table_US,AH$78)</f>
        <v>5085.76391052632</v>
      </c>
      <c r="W38" s="1712" t="n">
        <f aca="false">VLOOKUP($C38,OM_Table_US,AI$78)</f>
        <v>158.823529411765</v>
      </c>
      <c r="X38" s="1711" t="n">
        <f aca="false">SUM(R38:W38)</f>
        <v>8174.90913993808</v>
      </c>
      <c r="Z38" s="1707" t="n">
        <f aca="false">SUM(I38,K38,L38,P38,X38)</f>
        <v>27776.614358774</v>
      </c>
      <c r="AA38" s="109" t="n">
        <f aca="false">Z38*AA$6</f>
        <v>29582.0942920943</v>
      </c>
      <c r="AB38" s="109" t="n">
        <f aca="false">AA38*(1+AB$6)</f>
        <v>30387.359313913</v>
      </c>
      <c r="AC38" s="1713" t="n">
        <f aca="false">12-AC37</f>
        <v>8</v>
      </c>
      <c r="AD38" s="1714" t="n">
        <f aca="false">HLOOKUP($C38,CF_Table,CF!$AB$12)</f>
        <v>12</v>
      </c>
      <c r="AE38" s="109" t="n">
        <f aca="false">AB38*AC38/AD38</f>
        <v>20258.2395426087</v>
      </c>
      <c r="AF38" s="170" t="n">
        <v>480</v>
      </c>
      <c r="AG38" s="1715"/>
      <c r="AK38" s="1716" t="n">
        <f aca="false">$B38</f>
        <v>16</v>
      </c>
      <c r="AL38" s="187" t="n">
        <f aca="false">$C38</f>
        <v>2014</v>
      </c>
      <c r="AN38" s="1707" t="n">
        <f aca="false">E38*$AC38/$AD38</f>
        <v>848.512500000003</v>
      </c>
      <c r="AO38" s="1708" t="n">
        <f aca="false">F38*$AC38/$AD38</f>
        <v>6678.57142857143</v>
      </c>
      <c r="AP38" s="1709" t="n">
        <f aca="false">G38*$AC38/$AD38</f>
        <v>342.383033288326</v>
      </c>
      <c r="AQ38" s="1708" t="n">
        <f aca="false">H38*$AC38/$AD38</f>
        <v>2099.38680522525</v>
      </c>
      <c r="AR38" s="1710" t="n">
        <f aca="false">SUM(AN38:AQ38)</f>
        <v>9968.85376708501</v>
      </c>
      <c r="AT38" s="1707" t="n">
        <f aca="false">K38*$AC38/$AD38</f>
        <v>2990.6561301255</v>
      </c>
      <c r="AU38" s="1711" t="n">
        <f aca="false">L38*$AC38/$AD38</f>
        <v>108.293582013417</v>
      </c>
      <c r="AW38" s="1707" t="n">
        <f aca="false">N38*$AC38/$AD38</f>
        <v>0</v>
      </c>
      <c r="AX38" s="1708" t="n">
        <f aca="false">O38*$AC38/$AD38</f>
        <v>0</v>
      </c>
      <c r="AY38" s="1710" t="n">
        <f aca="false">SUM(AW38:AX38)</f>
        <v>0</v>
      </c>
      <c r="BA38" s="1707" t="n">
        <f aca="false">R38*$AC38/$AD38</f>
        <v>600</v>
      </c>
      <c r="BB38" s="1712" t="n">
        <f aca="false">S38*$AC38/$AD38</f>
        <v>100</v>
      </c>
      <c r="BC38" s="1712" t="n">
        <f aca="false">T38*$AC38/$AD38</f>
        <v>926.668</v>
      </c>
      <c r="BD38" s="1712" t="n">
        <f aca="false">U38*$AC38/$AD38</f>
        <v>326.8798</v>
      </c>
      <c r="BE38" s="1712" t="n">
        <f aca="false">V38*$AC38/$AD38</f>
        <v>3390.50927368421</v>
      </c>
      <c r="BF38" s="1712" t="n">
        <f aca="false">W38*$AC38/$AD38</f>
        <v>105.882352941176</v>
      </c>
      <c r="BG38" s="1711" t="n">
        <f aca="false">SUM(BA38:BF38)</f>
        <v>5449.93942662539</v>
      </c>
      <c r="BI38" s="1707" t="n">
        <f aca="false">SUM(AR38,AT38,AU38,AY38,BG38)</f>
        <v>18517.7429058493</v>
      </c>
      <c r="BJ38" s="109" t="n">
        <f aca="false">BI38*BJ$6</f>
        <v>19721.3961947295</v>
      </c>
      <c r="BK38" s="1715" t="n">
        <f aca="false">BJ38*(1+BK$6)</f>
        <v>20258.2395426087</v>
      </c>
      <c r="BM38" s="1717"/>
      <c r="BN38" s="1714"/>
      <c r="BO38" s="1718"/>
      <c r="BP38" s="1715"/>
      <c r="BR38" s="1716" t="n">
        <f aca="false">$B38</f>
        <v>16</v>
      </c>
      <c r="BS38" s="187" t="n">
        <f aca="false">$C38</f>
        <v>2014</v>
      </c>
      <c r="BU38" s="1707"/>
      <c r="BV38" s="1708"/>
      <c r="BW38" s="1709"/>
      <c r="BX38" s="1708"/>
      <c r="BY38" s="1710"/>
      <c r="CA38" s="1707"/>
      <c r="CB38" s="1711"/>
      <c r="CD38" s="1707"/>
      <c r="CE38" s="1708"/>
      <c r="CF38" s="1710"/>
      <c r="CH38" s="1707"/>
      <c r="CI38" s="1712"/>
      <c r="CJ38" s="1712"/>
      <c r="CK38" s="1712"/>
      <c r="CL38" s="1712"/>
      <c r="CM38" s="1708"/>
      <c r="CN38" s="1710"/>
      <c r="CP38" s="1707"/>
      <c r="CQ38" s="109"/>
      <c r="CR38" s="1715"/>
      <c r="CT38" s="1717"/>
      <c r="CU38" s="1714"/>
      <c r="CV38" s="1719"/>
      <c r="CW38" s="1715"/>
    </row>
    <row r="39" customFormat="false" ht="12.75" hidden="false" customHeight="false" outlineLevel="0" collapsed="false">
      <c r="B39" s="1531" t="n">
        <f aca="false">B37+1</f>
        <v>16</v>
      </c>
      <c r="C39" s="1533" t="n">
        <f aca="false">C37+1</f>
        <v>2015</v>
      </c>
      <c r="E39" s="1707" t="n">
        <f aca="false">VLOOKUP($C39,Sr_Debt_Table,O$78)</f>
        <v>545.472321428576</v>
      </c>
      <c r="F39" s="1708" t="n">
        <f aca="false">VLOOKUP($C39,Sr_Debt_Table,P$78)</f>
        <v>10017.8571428572</v>
      </c>
      <c r="G39" s="1709" t="n">
        <f aca="false">VLOOKUP($C39,Sr_Debt_Table,R$78)</f>
        <v>156.354891006242</v>
      </c>
      <c r="H39" s="1708" t="n">
        <f aca="false">VLOOKUP($C39,Sr_Debt_Table,S$78)</f>
        <v>2275.54548631808</v>
      </c>
      <c r="I39" s="1710" t="n">
        <f aca="false">SUM(E39:H39)</f>
        <v>12995.2298416101</v>
      </c>
      <c r="K39" s="1707" t="n">
        <f aca="false">(K$6-1)*I39</f>
        <v>3898.56895248303</v>
      </c>
      <c r="L39" s="1711" t="n">
        <f aca="false">-HLOOKUP($C39,CF_Table,CF!$AB$34)</f>
        <v>0</v>
      </c>
      <c r="N39" s="1707" t="n">
        <f aca="false">VLOOKUP($C39,Sub_Debt_Table,X$78)</f>
        <v>0</v>
      </c>
      <c r="O39" s="1708" t="n">
        <f aca="false">VLOOKUP($C39,Sub_Debt_Table,Z$78)</f>
        <v>0</v>
      </c>
      <c r="P39" s="1710" t="n">
        <f aca="false">SUM(N39:O39)</f>
        <v>0</v>
      </c>
      <c r="R39" s="1707" t="n">
        <f aca="false">VLOOKUP($C39,OM_Table_US,AD$78)</f>
        <v>900</v>
      </c>
      <c r="S39" s="1712" t="n">
        <f aca="false">VLOOKUP($C39,OM_Table_US,AE$78)</f>
        <v>150</v>
      </c>
      <c r="T39" s="1712" t="n">
        <f aca="false">VLOOKUP($C39,OM_Table_US,AF$78)</f>
        <v>1390.002</v>
      </c>
      <c r="U39" s="1712" t="n">
        <f aca="false">VLOOKUP($C39,OM_Table_US,AG$78)</f>
        <v>490.3197</v>
      </c>
      <c r="V39" s="1712" t="n">
        <f aca="false">VLOOKUP($C39,OM_Table_US,AH$78)</f>
        <v>5085.76391052632</v>
      </c>
      <c r="W39" s="1712" t="n">
        <f aca="false">VLOOKUP($C39,OM_Table_US,AI$78)</f>
        <v>158.823529411765</v>
      </c>
      <c r="X39" s="1711" t="n">
        <f aca="false">SUM(R39:W39)</f>
        <v>8174.90913993808</v>
      </c>
      <c r="Z39" s="1707" t="n">
        <f aca="false">SUM(I39,K39,L39,P39,X39)</f>
        <v>25068.7079340312</v>
      </c>
      <c r="AA39" s="109" t="n">
        <f aca="false">Z39*AA$6</f>
        <v>26698.1739497432</v>
      </c>
      <c r="AB39" s="109" t="n">
        <f aca="false">AA39*(1+AB$6)</f>
        <v>27424.9347198184</v>
      </c>
      <c r="AC39" s="1713" t="n">
        <f aca="false">12-AC38</f>
        <v>4</v>
      </c>
      <c r="AD39" s="1714" t="n">
        <f aca="false">HLOOKUP($C39,CF_Table,CF!$AB$12)</f>
        <v>12</v>
      </c>
      <c r="AE39" s="109" t="n">
        <f aca="false">AB39*AC39/AD39</f>
        <v>9141.64490660614</v>
      </c>
      <c r="AF39" s="170" t="n">
        <v>480</v>
      </c>
      <c r="AG39" s="1715" t="n">
        <f aca="false">SUM(AE38:AE39)/AF39/SUM(AC38:AC39)*1000</f>
        <v>5104.14660576646</v>
      </c>
      <c r="AK39" s="1716" t="n">
        <f aca="false">$B39</f>
        <v>16</v>
      </c>
      <c r="AL39" s="187" t="n">
        <f aca="false">$C39</f>
        <v>2015</v>
      </c>
      <c r="AN39" s="1707" t="n">
        <f aca="false">E39*$AC39/$AD39</f>
        <v>181.824107142859</v>
      </c>
      <c r="AO39" s="1708" t="n">
        <f aca="false">F39*$AC39/$AD39</f>
        <v>3339.28571428573</v>
      </c>
      <c r="AP39" s="1709" t="n">
        <f aca="false">G39*$AC39/$AD39</f>
        <v>52.1182970020808</v>
      </c>
      <c r="AQ39" s="1708" t="n">
        <f aca="false">H39*$AC39/$AD39</f>
        <v>758.515162106026</v>
      </c>
      <c r="AR39" s="1710" t="n">
        <f aca="false">SUM(AN39:AQ39)</f>
        <v>4331.7432805367</v>
      </c>
      <c r="AT39" s="1707" t="n">
        <f aca="false">K39*$AC39/$AD39</f>
        <v>1299.52298416101</v>
      </c>
      <c r="AU39" s="1711" t="n">
        <f aca="false">L39*$AC39/$AD39</f>
        <v>0</v>
      </c>
      <c r="AW39" s="1707" t="n">
        <f aca="false">N39*$AC39/$AD39</f>
        <v>0</v>
      </c>
      <c r="AX39" s="1708" t="n">
        <f aca="false">O39*$AC39/$AD39</f>
        <v>0</v>
      </c>
      <c r="AY39" s="1710" t="n">
        <f aca="false">SUM(AW39:AX39)</f>
        <v>0</v>
      </c>
      <c r="BA39" s="1707" t="n">
        <f aca="false">R39*$AC39/$AD39</f>
        <v>300</v>
      </c>
      <c r="BB39" s="1712" t="n">
        <f aca="false">S39*$AC39/$AD39</f>
        <v>50</v>
      </c>
      <c r="BC39" s="1712" t="n">
        <f aca="false">T39*$AC39/$AD39</f>
        <v>463.334</v>
      </c>
      <c r="BD39" s="1712" t="n">
        <f aca="false">U39*$AC39/$AD39</f>
        <v>163.4399</v>
      </c>
      <c r="BE39" s="1712" t="n">
        <f aca="false">V39*$AC39/$AD39</f>
        <v>1695.25463684211</v>
      </c>
      <c r="BF39" s="1712" t="n">
        <f aca="false">W39*$AC39/$AD39</f>
        <v>52.9411764705882</v>
      </c>
      <c r="BG39" s="1711" t="n">
        <f aca="false">SUM(BA39:BF39)</f>
        <v>2724.96971331269</v>
      </c>
      <c r="BI39" s="1707" t="n">
        <f aca="false">SUM(AR39,AT39,AU39,AY39,BG39)</f>
        <v>8356.2359780104</v>
      </c>
      <c r="BJ39" s="109" t="n">
        <f aca="false">BI39*BJ$6</f>
        <v>8899.39131658108</v>
      </c>
      <c r="BK39" s="1715" t="n">
        <f aca="false">BJ39*(1+BK$6)</f>
        <v>9141.64490660614</v>
      </c>
      <c r="BM39" s="1717" t="n">
        <f aca="false">SUM(BK38:BK39)</f>
        <v>29399.8844492148</v>
      </c>
      <c r="BN39" s="1714" t="n">
        <f aca="false">SUM($AC38:$AC39)</f>
        <v>12</v>
      </c>
      <c r="BO39" s="1718" t="n">
        <v>480</v>
      </c>
      <c r="BP39" s="1715" t="n">
        <f aca="false">BM39/BN39/BO39*1000</f>
        <v>5104.14660576646</v>
      </c>
      <c r="BR39" s="1716" t="n">
        <f aca="false">$B39</f>
        <v>16</v>
      </c>
      <c r="BS39" s="187" t="n">
        <f aca="false">$C39</f>
        <v>2015</v>
      </c>
      <c r="BU39" s="1707" t="n">
        <f aca="false">SUM(AN38:AN39)</f>
        <v>1030.33660714286</v>
      </c>
      <c r="BV39" s="1708" t="n">
        <f aca="false">SUM(AO38:AO39)</f>
        <v>10017.8571428572</v>
      </c>
      <c r="BW39" s="1709" t="n">
        <f aca="false">SUM(AP38:AP39)</f>
        <v>394.501330290407</v>
      </c>
      <c r="BX39" s="1708" t="n">
        <f aca="false">SUM(AQ38:AQ39)</f>
        <v>2857.90196733128</v>
      </c>
      <c r="BY39" s="1710" t="n">
        <f aca="false">SUM(BU39:BX39)</f>
        <v>14300.5970476217</v>
      </c>
      <c r="CA39" s="1707" t="n">
        <f aca="false">SUM(AT38:AT39)</f>
        <v>4290.17911428651</v>
      </c>
      <c r="CB39" s="1711" t="n">
        <f aca="false">SUM(AU38:AU39)</f>
        <v>108.293582013417</v>
      </c>
      <c r="CD39" s="1707" t="n">
        <f aca="false">SUM(AW38:AW39)</f>
        <v>0</v>
      </c>
      <c r="CE39" s="1708" t="n">
        <f aca="false">SUM(AX38:AX39)</f>
        <v>0</v>
      </c>
      <c r="CF39" s="1710" t="n">
        <f aca="false">SUM(CD39:CE39)</f>
        <v>0</v>
      </c>
      <c r="CH39" s="1707" t="n">
        <f aca="false">SUM(BA38:BA39)</f>
        <v>900</v>
      </c>
      <c r="CI39" s="1712" t="n">
        <f aca="false">SUM(BB38:BB39)</f>
        <v>150</v>
      </c>
      <c r="CJ39" s="1712" t="n">
        <f aca="false">SUM(BC38:BC39)</f>
        <v>1390.002</v>
      </c>
      <c r="CK39" s="1712" t="n">
        <f aca="false">SUM(BD38:BD39)</f>
        <v>490.3197</v>
      </c>
      <c r="CL39" s="1712" t="n">
        <f aca="false">SUM(BE38:BE39)</f>
        <v>5085.76391052632</v>
      </c>
      <c r="CM39" s="1708" t="n">
        <f aca="false">SUM(BF38:BF39)</f>
        <v>158.823529411765</v>
      </c>
      <c r="CN39" s="1710" t="n">
        <f aca="false">SUM(CH39:CM39)</f>
        <v>8174.90913993808</v>
      </c>
      <c r="CP39" s="1707" t="n">
        <f aca="false">SUM(BY39,CA39,CB39,CF39,CN39)</f>
        <v>26873.9788838597</v>
      </c>
      <c r="CQ39" s="109" t="n">
        <f aca="false">CP39*CQ$6</f>
        <v>28620.7875113106</v>
      </c>
      <c r="CR39" s="1715" t="n">
        <f aca="false">CQ39*(1+CR$6)</f>
        <v>29399.8844492148</v>
      </c>
      <c r="CT39" s="1717" t="n">
        <f aca="false">SUM(CR38:CR39)</f>
        <v>29399.8844492148</v>
      </c>
      <c r="CU39" s="1714" t="n">
        <f aca="false">SUM($AC38:$AC39)</f>
        <v>12</v>
      </c>
      <c r="CV39" s="1719" t="n">
        <f aca="false">$BO39</f>
        <v>480</v>
      </c>
      <c r="CW39" s="1715" t="n">
        <f aca="false">CT39/CU39/CV39*1000</f>
        <v>5104.14660576646</v>
      </c>
    </row>
    <row r="40" customFormat="false" ht="12.75" hidden="false" customHeight="false" outlineLevel="0" collapsed="false">
      <c r="B40" s="1531" t="n">
        <f aca="false">B38+1</f>
        <v>17</v>
      </c>
      <c r="C40" s="1533" t="n">
        <f aca="false">C38+1</f>
        <v>2015</v>
      </c>
      <c r="E40" s="1707" t="n">
        <f aca="false">VLOOKUP($C40,Sr_Debt_Table,O$78)</f>
        <v>545.472321428576</v>
      </c>
      <c r="F40" s="1708" t="n">
        <f aca="false">VLOOKUP($C40,Sr_Debt_Table,P$78)</f>
        <v>10017.8571428572</v>
      </c>
      <c r="G40" s="1709" t="n">
        <f aca="false">VLOOKUP($C40,Sr_Debt_Table,R$78)</f>
        <v>156.354891006242</v>
      </c>
      <c r="H40" s="1708" t="n">
        <f aca="false">VLOOKUP($C40,Sr_Debt_Table,S$78)</f>
        <v>2275.54548631808</v>
      </c>
      <c r="I40" s="1710" t="n">
        <f aca="false">SUM(E40:H40)</f>
        <v>12995.2298416101</v>
      </c>
      <c r="K40" s="1707" t="n">
        <f aca="false">(K$6-1)*I40</f>
        <v>3898.56895248303</v>
      </c>
      <c r="L40" s="1711" t="n">
        <f aca="false">-HLOOKUP($C40,CF_Table,CF!$AB$34)</f>
        <v>0</v>
      </c>
      <c r="N40" s="1707" t="n">
        <f aca="false">VLOOKUP($C40,Sub_Debt_Table,X$78)</f>
        <v>0</v>
      </c>
      <c r="O40" s="1708" t="n">
        <f aca="false">VLOOKUP($C40,Sub_Debt_Table,Z$78)</f>
        <v>0</v>
      </c>
      <c r="P40" s="1710" t="n">
        <f aca="false">SUM(N40:O40)</f>
        <v>0</v>
      </c>
      <c r="R40" s="1707" t="n">
        <f aca="false">VLOOKUP($C40,OM_Table_US,AD$78)</f>
        <v>900</v>
      </c>
      <c r="S40" s="1712" t="n">
        <f aca="false">VLOOKUP($C40,OM_Table_US,AE$78)</f>
        <v>150</v>
      </c>
      <c r="T40" s="1712" t="n">
        <f aca="false">VLOOKUP($C40,OM_Table_US,AF$78)</f>
        <v>1390.002</v>
      </c>
      <c r="U40" s="1712" t="n">
        <f aca="false">VLOOKUP($C40,OM_Table_US,AG$78)</f>
        <v>490.3197</v>
      </c>
      <c r="V40" s="1712" t="n">
        <f aca="false">VLOOKUP($C40,OM_Table_US,AH$78)</f>
        <v>5085.76391052632</v>
      </c>
      <c r="W40" s="1712" t="n">
        <f aca="false">VLOOKUP($C40,OM_Table_US,AI$78)</f>
        <v>158.823529411765</v>
      </c>
      <c r="X40" s="1711" t="n">
        <f aca="false">SUM(R40:W40)</f>
        <v>8174.90913993808</v>
      </c>
      <c r="Z40" s="1707" t="n">
        <f aca="false">SUM(I40,K40,L40,P40,X40)</f>
        <v>25068.7079340312</v>
      </c>
      <c r="AA40" s="109" t="n">
        <f aca="false">Z40*AA$6</f>
        <v>26698.1739497432</v>
      </c>
      <c r="AB40" s="109" t="n">
        <f aca="false">AA40*(1+AB$6)</f>
        <v>27424.9347198184</v>
      </c>
      <c r="AC40" s="1713" t="n">
        <f aca="false">12-AC39</f>
        <v>8</v>
      </c>
      <c r="AD40" s="1714" t="n">
        <f aca="false">HLOOKUP($C40,CF_Table,CF!$AB$12)</f>
        <v>12</v>
      </c>
      <c r="AE40" s="109" t="n">
        <f aca="false">AB40*AC40/AD40</f>
        <v>18283.2898132123</v>
      </c>
      <c r="AF40" s="170" t="n">
        <v>480</v>
      </c>
      <c r="AG40" s="1715"/>
      <c r="AK40" s="1716" t="n">
        <f aca="false">$B40</f>
        <v>17</v>
      </c>
      <c r="AL40" s="187" t="n">
        <f aca="false">$C40</f>
        <v>2015</v>
      </c>
      <c r="AN40" s="1707" t="n">
        <f aca="false">E40*$AC40/$AD40</f>
        <v>363.648214285717</v>
      </c>
      <c r="AO40" s="1708" t="n">
        <f aca="false">F40*$AC40/$AD40</f>
        <v>6678.57142857147</v>
      </c>
      <c r="AP40" s="1709" t="n">
        <f aca="false">G40*$AC40/$AD40</f>
        <v>104.236594004162</v>
      </c>
      <c r="AQ40" s="1708" t="n">
        <f aca="false">H40*$AC40/$AD40</f>
        <v>1517.03032421205</v>
      </c>
      <c r="AR40" s="1710" t="n">
        <f aca="false">SUM(AN40:AQ40)</f>
        <v>8663.4865610734</v>
      </c>
      <c r="AT40" s="1707" t="n">
        <f aca="false">K40*$AC40/$AD40</f>
        <v>2599.04596832202</v>
      </c>
      <c r="AU40" s="1711" t="n">
        <f aca="false">L40*$AC40/$AD40</f>
        <v>0</v>
      </c>
      <c r="AW40" s="1707" t="n">
        <f aca="false">N40*$AC40/$AD40</f>
        <v>0</v>
      </c>
      <c r="AX40" s="1708" t="n">
        <f aca="false">O40*$AC40/$AD40</f>
        <v>0</v>
      </c>
      <c r="AY40" s="1710" t="n">
        <f aca="false">SUM(AW40:AX40)</f>
        <v>0</v>
      </c>
      <c r="BA40" s="1707" t="n">
        <f aca="false">R40*$AC40/$AD40</f>
        <v>600</v>
      </c>
      <c r="BB40" s="1712" t="n">
        <f aca="false">S40*$AC40/$AD40</f>
        <v>100</v>
      </c>
      <c r="BC40" s="1712" t="n">
        <f aca="false">T40*$AC40/$AD40</f>
        <v>926.668</v>
      </c>
      <c r="BD40" s="1712" t="n">
        <f aca="false">U40*$AC40/$AD40</f>
        <v>326.8798</v>
      </c>
      <c r="BE40" s="1712" t="n">
        <f aca="false">V40*$AC40/$AD40</f>
        <v>3390.50927368421</v>
      </c>
      <c r="BF40" s="1712" t="n">
        <f aca="false">W40*$AC40/$AD40</f>
        <v>105.882352941176</v>
      </c>
      <c r="BG40" s="1711" t="n">
        <f aca="false">SUM(BA40:BF40)</f>
        <v>5449.93942662539</v>
      </c>
      <c r="BI40" s="1707" t="n">
        <f aca="false">SUM(AR40,AT40,AU40,AY40,BG40)</f>
        <v>16712.4719560208</v>
      </c>
      <c r="BJ40" s="109" t="n">
        <f aca="false">BI40*BJ$6</f>
        <v>17798.7826331622</v>
      </c>
      <c r="BK40" s="1715" t="n">
        <f aca="false">BJ40*(1+BK$6)</f>
        <v>18283.2898132123</v>
      </c>
      <c r="BM40" s="1717"/>
      <c r="BN40" s="1714"/>
      <c r="BO40" s="1718"/>
      <c r="BP40" s="1715"/>
      <c r="BR40" s="1716" t="n">
        <f aca="false">$B40</f>
        <v>17</v>
      </c>
      <c r="BS40" s="187" t="n">
        <f aca="false">$C40</f>
        <v>2015</v>
      </c>
      <c r="BU40" s="1707"/>
      <c r="BV40" s="1708"/>
      <c r="BW40" s="1709"/>
      <c r="BX40" s="1708"/>
      <c r="BY40" s="1710"/>
      <c r="CA40" s="1707"/>
      <c r="CB40" s="1711"/>
      <c r="CD40" s="1707"/>
      <c r="CE40" s="1708"/>
      <c r="CF40" s="1710"/>
      <c r="CH40" s="1707"/>
      <c r="CI40" s="1712"/>
      <c r="CJ40" s="1712"/>
      <c r="CK40" s="1712"/>
      <c r="CL40" s="1712"/>
      <c r="CM40" s="1708"/>
      <c r="CN40" s="1710"/>
      <c r="CP40" s="1707"/>
      <c r="CQ40" s="109"/>
      <c r="CR40" s="1715"/>
      <c r="CT40" s="1717"/>
      <c r="CU40" s="1714"/>
      <c r="CV40" s="1719"/>
      <c r="CW40" s="1715"/>
    </row>
    <row r="41" customFormat="false" ht="12.75" hidden="false" customHeight="false" outlineLevel="0" collapsed="false">
      <c r="B41" s="1531" t="n">
        <f aca="false">B39+1</f>
        <v>17</v>
      </c>
      <c r="C41" s="1533" t="n">
        <f aca="false">C39+1</f>
        <v>2016</v>
      </c>
      <c r="E41" s="1707" t="n">
        <f aca="false">VLOOKUP($C41,Sr_Debt_Table,O$78)</f>
        <v>0</v>
      </c>
      <c r="F41" s="1708" t="n">
        <f aca="false">VLOOKUP($C41,Sr_Debt_Table,P$78)</f>
        <v>0</v>
      </c>
      <c r="G41" s="1709" t="n">
        <f aca="false">VLOOKUP($C41,Sr_Debt_Table,R$78)</f>
        <v>0</v>
      </c>
      <c r="H41" s="1708" t="n">
        <f aca="false">VLOOKUP($C41,Sr_Debt_Table,S$78)</f>
        <v>0</v>
      </c>
      <c r="I41" s="1710" t="n">
        <f aca="false">SUM(E41:H41)</f>
        <v>0</v>
      </c>
      <c r="K41" s="1707" t="n">
        <f aca="false">(K$6-1)*I41</f>
        <v>0</v>
      </c>
      <c r="L41" s="1711" t="n">
        <f aca="false">-HLOOKUP($C41,CF_Table,CF!$AB$34)</f>
        <v>0</v>
      </c>
      <c r="N41" s="1707" t="n">
        <f aca="false">VLOOKUP($C41,Sub_Debt_Table,X$78)</f>
        <v>0</v>
      </c>
      <c r="O41" s="1708" t="n">
        <f aca="false">VLOOKUP($C41,Sub_Debt_Table,Z$78)</f>
        <v>0</v>
      </c>
      <c r="P41" s="1710" t="n">
        <f aca="false">SUM(N41:O41)</f>
        <v>0</v>
      </c>
      <c r="R41" s="1707" t="n">
        <f aca="false">VLOOKUP($C41,OM_Table_US,AD$78)</f>
        <v>900</v>
      </c>
      <c r="S41" s="1712" t="n">
        <f aca="false">VLOOKUP($C41,OM_Table_US,AE$78)</f>
        <v>150</v>
      </c>
      <c r="T41" s="1712" t="n">
        <f aca="false">VLOOKUP($C41,OM_Table_US,AF$78)</f>
        <v>1390.002</v>
      </c>
      <c r="U41" s="1712" t="n">
        <f aca="false">VLOOKUP($C41,OM_Table_US,AG$78)</f>
        <v>490.3197</v>
      </c>
      <c r="V41" s="1712" t="n">
        <f aca="false">VLOOKUP($C41,OM_Table_US,AH$78)</f>
        <v>5085.76391052632</v>
      </c>
      <c r="W41" s="1712" t="n">
        <f aca="false">VLOOKUP($C41,OM_Table_US,AI$78)</f>
        <v>158.823529411765</v>
      </c>
      <c r="X41" s="1711" t="n">
        <f aca="false">SUM(R41:W41)</f>
        <v>8174.90913993808</v>
      </c>
      <c r="Z41" s="1707" t="n">
        <f aca="false">SUM(I41,K41,L41,P41,X41)</f>
        <v>8174.90913993808</v>
      </c>
      <c r="AA41" s="109" t="n">
        <f aca="false">Z41*AA$6</f>
        <v>8706.27823403406</v>
      </c>
      <c r="AB41" s="109" t="n">
        <f aca="false">AA41*(1+AB$6)</f>
        <v>8943.27502212024</v>
      </c>
      <c r="AC41" s="1713" t="n">
        <f aca="false">12-AC40</f>
        <v>4</v>
      </c>
      <c r="AD41" s="1714" t="n">
        <f aca="false">HLOOKUP($C41,CF_Table,CF!$AB$12)</f>
        <v>12</v>
      </c>
      <c r="AE41" s="109" t="n">
        <f aca="false">AB41*AC41/AD41</f>
        <v>2981.09167404008</v>
      </c>
      <c r="AF41" s="170" t="n">
        <v>480</v>
      </c>
      <c r="AG41" s="1715" t="n">
        <f aca="false">SUM(AE40:AE41)/AF41/SUM(AC40:AC41)*1000</f>
        <v>3691.73289709243</v>
      </c>
      <c r="AK41" s="1716" t="n">
        <f aca="false">$B41</f>
        <v>17</v>
      </c>
      <c r="AL41" s="187" t="n">
        <f aca="false">$C41</f>
        <v>2016</v>
      </c>
      <c r="AN41" s="1707" t="n">
        <f aca="false">E41*$AC41/$AD41</f>
        <v>0</v>
      </c>
      <c r="AO41" s="1708" t="n">
        <f aca="false">F41*$AC41/$AD41</f>
        <v>0</v>
      </c>
      <c r="AP41" s="1709" t="n">
        <f aca="false">G41*$AC41/$AD41</f>
        <v>0</v>
      </c>
      <c r="AQ41" s="1708" t="n">
        <f aca="false">H41*$AC41/$AD41</f>
        <v>0</v>
      </c>
      <c r="AR41" s="1710" t="n">
        <f aca="false">SUM(AN41:AQ41)</f>
        <v>0</v>
      </c>
      <c r="AT41" s="1707" t="n">
        <f aca="false">K41*$AC41/$AD41</f>
        <v>0</v>
      </c>
      <c r="AU41" s="1711" t="n">
        <f aca="false">L41*$AC41/$AD41</f>
        <v>0</v>
      </c>
      <c r="AW41" s="1707" t="n">
        <f aca="false">N41*$AC41/$AD41</f>
        <v>0</v>
      </c>
      <c r="AX41" s="1708" t="n">
        <f aca="false">O41*$AC41/$AD41</f>
        <v>0</v>
      </c>
      <c r="AY41" s="1710" t="n">
        <f aca="false">SUM(AW41:AX41)</f>
        <v>0</v>
      </c>
      <c r="BA41" s="1707" t="n">
        <f aca="false">R41*$AC41/$AD41</f>
        <v>300</v>
      </c>
      <c r="BB41" s="1712" t="n">
        <f aca="false">S41*$AC41/$AD41</f>
        <v>50</v>
      </c>
      <c r="BC41" s="1712" t="n">
        <f aca="false">T41*$AC41/$AD41</f>
        <v>463.334</v>
      </c>
      <c r="BD41" s="1712" t="n">
        <f aca="false">U41*$AC41/$AD41</f>
        <v>163.4399</v>
      </c>
      <c r="BE41" s="1712" t="n">
        <f aca="false">V41*$AC41/$AD41</f>
        <v>1695.25463684211</v>
      </c>
      <c r="BF41" s="1712" t="n">
        <f aca="false">W41*$AC41/$AD41</f>
        <v>52.9411764705882</v>
      </c>
      <c r="BG41" s="1711" t="n">
        <f aca="false">SUM(BA41:BF41)</f>
        <v>2724.96971331269</v>
      </c>
      <c r="BI41" s="1707" t="n">
        <f aca="false">SUM(AR41,AT41,AU41,AY41,BG41)</f>
        <v>2724.96971331269</v>
      </c>
      <c r="BJ41" s="109" t="n">
        <f aca="false">BI41*BJ$6</f>
        <v>2902.09274467802</v>
      </c>
      <c r="BK41" s="1715" t="n">
        <f aca="false">BJ41*(1+BK$6)</f>
        <v>2981.09167404008</v>
      </c>
      <c r="BM41" s="1717" t="n">
        <f aca="false">SUM(BK40:BK41)</f>
        <v>21264.3814872524</v>
      </c>
      <c r="BN41" s="1714" t="n">
        <f aca="false">SUM($AC40:$AC41)</f>
        <v>12</v>
      </c>
      <c r="BO41" s="1718" t="n">
        <v>480</v>
      </c>
      <c r="BP41" s="1715" t="n">
        <f aca="false">BM41/BN41/BO41*1000</f>
        <v>3691.73289709242</v>
      </c>
      <c r="BR41" s="1716" t="n">
        <f aca="false">$B41</f>
        <v>17</v>
      </c>
      <c r="BS41" s="187" t="n">
        <f aca="false">$C41</f>
        <v>2016</v>
      </c>
      <c r="BU41" s="1707" t="n">
        <f aca="false">SUM(AN40:AN41)</f>
        <v>363.648214285717</v>
      </c>
      <c r="BV41" s="1708" t="n">
        <f aca="false">SUM(AO40:AO41)</f>
        <v>6678.57142857147</v>
      </c>
      <c r="BW41" s="1709" t="n">
        <f aca="false">SUM(AP40:AP41)</f>
        <v>104.236594004162</v>
      </c>
      <c r="BX41" s="1708" t="n">
        <f aca="false">SUM(AQ40:AQ41)</f>
        <v>1517.03032421205</v>
      </c>
      <c r="BY41" s="1710" t="n">
        <f aca="false">SUM(BU41:BX41)</f>
        <v>8663.4865610734</v>
      </c>
      <c r="CA41" s="1707" t="n">
        <f aca="false">SUM(AT40:AT41)</f>
        <v>2599.04596832202</v>
      </c>
      <c r="CB41" s="1711" t="n">
        <f aca="false">SUM(AU40:AU41)</f>
        <v>0</v>
      </c>
      <c r="CD41" s="1707" t="n">
        <f aca="false">SUM(AW40:AW41)</f>
        <v>0</v>
      </c>
      <c r="CE41" s="1708" t="n">
        <f aca="false">SUM(AX40:AX41)</f>
        <v>0</v>
      </c>
      <c r="CF41" s="1710" t="n">
        <f aca="false">SUM(CD41:CE41)</f>
        <v>0</v>
      </c>
      <c r="CH41" s="1707" t="n">
        <f aca="false">SUM(BA40:BA41)</f>
        <v>900</v>
      </c>
      <c r="CI41" s="1712" t="n">
        <f aca="false">SUM(BB40:BB41)</f>
        <v>150</v>
      </c>
      <c r="CJ41" s="1712" t="n">
        <f aca="false">SUM(BC40:BC41)</f>
        <v>1390.002</v>
      </c>
      <c r="CK41" s="1712" t="n">
        <f aca="false">SUM(BD40:BD41)</f>
        <v>490.3197</v>
      </c>
      <c r="CL41" s="1712" t="n">
        <f aca="false">SUM(BE40:BE41)</f>
        <v>5085.76391052632</v>
      </c>
      <c r="CM41" s="1708" t="n">
        <f aca="false">SUM(BF40:BF41)</f>
        <v>158.823529411765</v>
      </c>
      <c r="CN41" s="1710" t="n">
        <f aca="false">SUM(CH41:CM41)</f>
        <v>8174.90913993808</v>
      </c>
      <c r="CP41" s="1707" t="n">
        <f aca="false">SUM(BY41,CA41,CB41,CF41,CN41)</f>
        <v>19437.4416693335</v>
      </c>
      <c r="CQ41" s="109" t="n">
        <f aca="false">CP41*CQ$6</f>
        <v>20700.8753778402</v>
      </c>
      <c r="CR41" s="1715" t="n">
        <f aca="false">CQ41*(1+CR$6)</f>
        <v>21264.3814872524</v>
      </c>
      <c r="CT41" s="1717" t="n">
        <f aca="false">SUM(CR40:CR41)</f>
        <v>21264.3814872524</v>
      </c>
      <c r="CU41" s="1714" t="n">
        <f aca="false">SUM($AC40:$AC41)</f>
        <v>12</v>
      </c>
      <c r="CV41" s="1719" t="n">
        <f aca="false">$BO41</f>
        <v>480</v>
      </c>
      <c r="CW41" s="1715" t="n">
        <f aca="false">CT41/CU41/CV41*1000</f>
        <v>3691.73289709242</v>
      </c>
    </row>
    <row r="42" customFormat="false" ht="12.75" hidden="false" customHeight="false" outlineLevel="0" collapsed="false">
      <c r="B42" s="1531" t="n">
        <f aca="false">B40+1</f>
        <v>18</v>
      </c>
      <c r="C42" s="1533" t="n">
        <f aca="false">C40+1</f>
        <v>2016</v>
      </c>
      <c r="E42" s="1707" t="n">
        <f aca="false">VLOOKUP($C42,Sr_Debt_Table,O$78)</f>
        <v>0</v>
      </c>
      <c r="F42" s="1708" t="n">
        <f aca="false">VLOOKUP($C42,Sr_Debt_Table,P$78)</f>
        <v>0</v>
      </c>
      <c r="G42" s="1709" t="n">
        <f aca="false">VLOOKUP($C42,Sr_Debt_Table,R$78)</f>
        <v>0</v>
      </c>
      <c r="H42" s="1708" t="n">
        <f aca="false">VLOOKUP($C42,Sr_Debt_Table,S$78)</f>
        <v>0</v>
      </c>
      <c r="I42" s="1710" t="n">
        <f aca="false">SUM(E42:H42)</f>
        <v>0</v>
      </c>
      <c r="K42" s="1707" t="n">
        <f aca="false">(K$6-1)*I42</f>
        <v>0</v>
      </c>
      <c r="L42" s="1711" t="n">
        <f aca="false">-HLOOKUP($C42,CF_Table,CF!$AB$34)</f>
        <v>0</v>
      </c>
      <c r="N42" s="1707" t="n">
        <f aca="false">VLOOKUP($C42,Sub_Debt_Table,X$78)</f>
        <v>0</v>
      </c>
      <c r="O42" s="1708" t="n">
        <f aca="false">VLOOKUP($C42,Sub_Debt_Table,Z$78)</f>
        <v>0</v>
      </c>
      <c r="P42" s="1710" t="n">
        <f aca="false">SUM(N42:O42)</f>
        <v>0</v>
      </c>
      <c r="R42" s="1707" t="n">
        <f aca="false">VLOOKUP($C42,OM_Table_US,AD$78)</f>
        <v>900</v>
      </c>
      <c r="S42" s="1712" t="n">
        <f aca="false">VLOOKUP($C42,OM_Table_US,AE$78)</f>
        <v>150</v>
      </c>
      <c r="T42" s="1712" t="n">
        <f aca="false">VLOOKUP($C42,OM_Table_US,AF$78)</f>
        <v>1390.002</v>
      </c>
      <c r="U42" s="1712" t="n">
        <f aca="false">VLOOKUP($C42,OM_Table_US,AG$78)</f>
        <v>490.3197</v>
      </c>
      <c r="V42" s="1712" t="n">
        <f aca="false">VLOOKUP($C42,OM_Table_US,AH$78)</f>
        <v>5085.76391052632</v>
      </c>
      <c r="W42" s="1712" t="n">
        <f aca="false">VLOOKUP($C42,OM_Table_US,AI$78)</f>
        <v>158.823529411765</v>
      </c>
      <c r="X42" s="1711" t="n">
        <f aca="false">SUM(R42:W42)</f>
        <v>8174.90913993808</v>
      </c>
      <c r="Z42" s="1707" t="n">
        <f aca="false">SUM(I42,K42,L42,P42,X42)</f>
        <v>8174.90913993808</v>
      </c>
      <c r="AA42" s="109" t="n">
        <f aca="false">Z42*AA$6</f>
        <v>8706.27823403406</v>
      </c>
      <c r="AB42" s="109" t="n">
        <f aca="false">AA42*(1+AB$6)</f>
        <v>8943.27502212024</v>
      </c>
      <c r="AC42" s="1713" t="n">
        <f aca="false">12-AC41</f>
        <v>8</v>
      </c>
      <c r="AD42" s="1714" t="n">
        <f aca="false">HLOOKUP($C42,CF_Table,CF!$AB$12)</f>
        <v>12</v>
      </c>
      <c r="AE42" s="109" t="n">
        <f aca="false">AB42*AC42/AD42</f>
        <v>5962.18334808016</v>
      </c>
      <c r="AF42" s="170" t="n">
        <v>480</v>
      </c>
      <c r="AG42" s="1715"/>
      <c r="AK42" s="1716" t="n">
        <f aca="false">$B42</f>
        <v>18</v>
      </c>
      <c r="AL42" s="187" t="n">
        <f aca="false">$C42</f>
        <v>2016</v>
      </c>
      <c r="AN42" s="1707" t="n">
        <f aca="false">E42*$AC42/$AD42</f>
        <v>0</v>
      </c>
      <c r="AO42" s="1708" t="n">
        <f aca="false">F42*$AC42/$AD42</f>
        <v>0</v>
      </c>
      <c r="AP42" s="1709" t="n">
        <f aca="false">G42*$AC42/$AD42</f>
        <v>0</v>
      </c>
      <c r="AQ42" s="1708" t="n">
        <f aca="false">H42*$AC42/$AD42</f>
        <v>0</v>
      </c>
      <c r="AR42" s="1710" t="n">
        <f aca="false">SUM(AN42:AQ42)</f>
        <v>0</v>
      </c>
      <c r="AT42" s="1707" t="n">
        <f aca="false">K42*$AC42/$AD42</f>
        <v>0</v>
      </c>
      <c r="AU42" s="1711" t="n">
        <f aca="false">L42*$AC42/$AD42</f>
        <v>0</v>
      </c>
      <c r="AW42" s="1707" t="n">
        <f aca="false">N42*$AC42/$AD42</f>
        <v>0</v>
      </c>
      <c r="AX42" s="1708" t="n">
        <f aca="false">O42*$AC42/$AD42</f>
        <v>0</v>
      </c>
      <c r="AY42" s="1710" t="n">
        <f aca="false">SUM(AW42:AX42)</f>
        <v>0</v>
      </c>
      <c r="BA42" s="1707" t="n">
        <f aca="false">R42*$AC42/$AD42</f>
        <v>600</v>
      </c>
      <c r="BB42" s="1712" t="n">
        <f aca="false">S42*$AC42/$AD42</f>
        <v>100</v>
      </c>
      <c r="BC42" s="1712" t="n">
        <f aca="false">T42*$AC42/$AD42</f>
        <v>926.668</v>
      </c>
      <c r="BD42" s="1712" t="n">
        <f aca="false">U42*$AC42/$AD42</f>
        <v>326.8798</v>
      </c>
      <c r="BE42" s="1712" t="n">
        <f aca="false">V42*$AC42/$AD42</f>
        <v>3390.50927368421</v>
      </c>
      <c r="BF42" s="1712" t="n">
        <f aca="false">W42*$AC42/$AD42</f>
        <v>105.882352941176</v>
      </c>
      <c r="BG42" s="1711" t="n">
        <f aca="false">SUM(BA42:BF42)</f>
        <v>5449.93942662539</v>
      </c>
      <c r="BI42" s="1707" t="n">
        <f aca="false">SUM(AR42,AT42,AU42,AY42,BG42)</f>
        <v>5449.93942662539</v>
      </c>
      <c r="BJ42" s="109" t="n">
        <f aca="false">BI42*BJ$6</f>
        <v>5804.18548935604</v>
      </c>
      <c r="BK42" s="1715" t="n">
        <f aca="false">BJ42*(1+BK$6)</f>
        <v>5962.18334808016</v>
      </c>
      <c r="BM42" s="1717"/>
      <c r="BN42" s="1714"/>
      <c r="BO42" s="1718"/>
      <c r="BP42" s="1715"/>
      <c r="BR42" s="1716" t="n">
        <f aca="false">$B42</f>
        <v>18</v>
      </c>
      <c r="BS42" s="187" t="n">
        <f aca="false">$C42</f>
        <v>2016</v>
      </c>
      <c r="BU42" s="1707"/>
      <c r="BV42" s="1708"/>
      <c r="BW42" s="1709"/>
      <c r="BX42" s="1708"/>
      <c r="BY42" s="1710"/>
      <c r="CA42" s="1707"/>
      <c r="CB42" s="1711"/>
      <c r="CD42" s="1707"/>
      <c r="CE42" s="1708"/>
      <c r="CF42" s="1710"/>
      <c r="CH42" s="1707"/>
      <c r="CI42" s="1712"/>
      <c r="CJ42" s="1712"/>
      <c r="CK42" s="1712"/>
      <c r="CL42" s="1712"/>
      <c r="CM42" s="1708"/>
      <c r="CN42" s="1710"/>
      <c r="CP42" s="1707"/>
      <c r="CQ42" s="109"/>
      <c r="CR42" s="1715"/>
      <c r="CT42" s="1717"/>
      <c r="CU42" s="1714"/>
      <c r="CV42" s="1719"/>
      <c r="CW42" s="1715"/>
    </row>
    <row r="43" customFormat="false" ht="12.75" hidden="false" customHeight="false" outlineLevel="0" collapsed="false">
      <c r="B43" s="1531" t="n">
        <f aca="false">B41+1</f>
        <v>18</v>
      </c>
      <c r="C43" s="1533" t="n">
        <f aca="false">C41+1</f>
        <v>2017</v>
      </c>
      <c r="E43" s="1707" t="n">
        <f aca="false">VLOOKUP($C43,Sr_Debt_Table,O$78)</f>
        <v>0</v>
      </c>
      <c r="F43" s="1708" t="n">
        <f aca="false">VLOOKUP($C43,Sr_Debt_Table,P$78)</f>
        <v>0</v>
      </c>
      <c r="G43" s="1709" t="n">
        <f aca="false">VLOOKUP($C43,Sr_Debt_Table,R$78)</f>
        <v>0</v>
      </c>
      <c r="H43" s="1708" t="n">
        <f aca="false">VLOOKUP($C43,Sr_Debt_Table,S$78)</f>
        <v>0</v>
      </c>
      <c r="I43" s="1710" t="n">
        <f aca="false">SUM(E43:H43)</f>
        <v>0</v>
      </c>
      <c r="K43" s="1707" t="n">
        <f aca="false">(K$6-1)*I43</f>
        <v>0</v>
      </c>
      <c r="L43" s="1711" t="n">
        <f aca="false">-HLOOKUP($C43,CF_Table,CF!$AB$34)</f>
        <v>0</v>
      </c>
      <c r="N43" s="1707" t="n">
        <f aca="false">VLOOKUP($C43,Sub_Debt_Table,X$78)</f>
        <v>0</v>
      </c>
      <c r="O43" s="1708" t="n">
        <f aca="false">VLOOKUP($C43,Sub_Debt_Table,Z$78)</f>
        <v>0</v>
      </c>
      <c r="P43" s="1710" t="n">
        <f aca="false">SUM(N43:O43)</f>
        <v>0</v>
      </c>
      <c r="R43" s="1707" t="n">
        <f aca="false">VLOOKUP($C43,OM_Table_US,AD$78)</f>
        <v>900</v>
      </c>
      <c r="S43" s="1712" t="n">
        <f aca="false">VLOOKUP($C43,OM_Table_US,AE$78)</f>
        <v>150</v>
      </c>
      <c r="T43" s="1712" t="n">
        <f aca="false">VLOOKUP($C43,OM_Table_US,AF$78)</f>
        <v>1390.002</v>
      </c>
      <c r="U43" s="1712" t="n">
        <f aca="false">VLOOKUP($C43,OM_Table_US,AG$78)</f>
        <v>490.3197</v>
      </c>
      <c r="V43" s="1712" t="n">
        <f aca="false">VLOOKUP($C43,OM_Table_US,AH$78)</f>
        <v>5085.76391052632</v>
      </c>
      <c r="W43" s="1712" t="n">
        <f aca="false">VLOOKUP($C43,OM_Table_US,AI$78)</f>
        <v>158.823529411765</v>
      </c>
      <c r="X43" s="1711" t="n">
        <f aca="false">SUM(R43:W43)</f>
        <v>8174.90913993808</v>
      </c>
      <c r="Z43" s="1707" t="n">
        <f aca="false">SUM(I43,K43,L43,P43,X43)</f>
        <v>8174.90913993808</v>
      </c>
      <c r="AA43" s="109" t="n">
        <f aca="false">Z43*AA$6</f>
        <v>8706.27823403406</v>
      </c>
      <c r="AB43" s="109" t="n">
        <f aca="false">AA43*(1+AB$6)</f>
        <v>8943.27502212024</v>
      </c>
      <c r="AC43" s="1713" t="n">
        <f aca="false">12-AC42</f>
        <v>4</v>
      </c>
      <c r="AD43" s="1714" t="n">
        <f aca="false">HLOOKUP($C43,CF_Table,CF!$AB$12)</f>
        <v>12</v>
      </c>
      <c r="AE43" s="109" t="n">
        <f aca="false">AB43*AC43/AD43</f>
        <v>2981.09167404008</v>
      </c>
      <c r="AF43" s="170" t="n">
        <v>480</v>
      </c>
      <c r="AG43" s="1715" t="n">
        <f aca="false">SUM(AE42:AE43)/AF43/SUM(AC42:AC43)*1000</f>
        <v>1552.65191356254</v>
      </c>
      <c r="AK43" s="1716" t="n">
        <f aca="false">$B43</f>
        <v>18</v>
      </c>
      <c r="AL43" s="187" t="n">
        <f aca="false">$C43</f>
        <v>2017</v>
      </c>
      <c r="AN43" s="1707" t="n">
        <f aca="false">E43*$AC43/$AD43</f>
        <v>0</v>
      </c>
      <c r="AO43" s="1708" t="n">
        <f aca="false">F43*$AC43/$AD43</f>
        <v>0</v>
      </c>
      <c r="AP43" s="1709" t="n">
        <f aca="false">G43*$AC43/$AD43</f>
        <v>0</v>
      </c>
      <c r="AQ43" s="1708" t="n">
        <f aca="false">H43*$AC43/$AD43</f>
        <v>0</v>
      </c>
      <c r="AR43" s="1710" t="n">
        <f aca="false">SUM(AN43:AQ43)</f>
        <v>0</v>
      </c>
      <c r="AT43" s="1707" t="n">
        <f aca="false">K43*$AC43/$AD43</f>
        <v>0</v>
      </c>
      <c r="AU43" s="1711" t="n">
        <f aca="false">L43*$AC43/$AD43</f>
        <v>0</v>
      </c>
      <c r="AW43" s="1707" t="n">
        <f aca="false">N43*$AC43/$AD43</f>
        <v>0</v>
      </c>
      <c r="AX43" s="1708" t="n">
        <f aca="false">O43*$AC43/$AD43</f>
        <v>0</v>
      </c>
      <c r="AY43" s="1710" t="n">
        <f aca="false">SUM(AW43:AX43)</f>
        <v>0</v>
      </c>
      <c r="BA43" s="1707" t="n">
        <f aca="false">R43*$AC43/$AD43</f>
        <v>300</v>
      </c>
      <c r="BB43" s="1712" t="n">
        <f aca="false">S43*$AC43/$AD43</f>
        <v>50</v>
      </c>
      <c r="BC43" s="1712" t="n">
        <f aca="false">T43*$AC43/$AD43</f>
        <v>463.334</v>
      </c>
      <c r="BD43" s="1712" t="n">
        <f aca="false">U43*$AC43/$AD43</f>
        <v>163.4399</v>
      </c>
      <c r="BE43" s="1712" t="n">
        <f aca="false">V43*$AC43/$AD43</f>
        <v>1695.25463684211</v>
      </c>
      <c r="BF43" s="1712" t="n">
        <f aca="false">W43*$AC43/$AD43</f>
        <v>52.9411764705882</v>
      </c>
      <c r="BG43" s="1711" t="n">
        <f aca="false">SUM(BA43:BF43)</f>
        <v>2724.96971331269</v>
      </c>
      <c r="BI43" s="1707" t="n">
        <f aca="false">SUM(AR43,AT43,AU43,AY43,BG43)</f>
        <v>2724.96971331269</v>
      </c>
      <c r="BJ43" s="109" t="n">
        <f aca="false">BI43*BJ$6</f>
        <v>2902.09274467802</v>
      </c>
      <c r="BK43" s="1715" t="n">
        <f aca="false">BJ43*(1+BK$6)</f>
        <v>2981.09167404008</v>
      </c>
      <c r="BM43" s="1717" t="n">
        <f aca="false">SUM(BK42:BK43)</f>
        <v>8943.27502212024</v>
      </c>
      <c r="BN43" s="1714" t="n">
        <f aca="false">SUM($AC42:$AC43)</f>
        <v>12</v>
      </c>
      <c r="BO43" s="1718" t="n">
        <v>480</v>
      </c>
      <c r="BP43" s="1715" t="n">
        <f aca="false">BM43/BN43/BO43*1000</f>
        <v>1552.65191356254</v>
      </c>
      <c r="BR43" s="1716" t="n">
        <f aca="false">$B43</f>
        <v>18</v>
      </c>
      <c r="BS43" s="187" t="n">
        <f aca="false">$C43</f>
        <v>2017</v>
      </c>
      <c r="BU43" s="1707" t="n">
        <f aca="false">SUM(AN42:AN43)</f>
        <v>0</v>
      </c>
      <c r="BV43" s="1708" t="n">
        <f aca="false">SUM(AO42:AO43)</f>
        <v>0</v>
      </c>
      <c r="BW43" s="1709" t="n">
        <f aca="false">SUM(AP42:AP43)</f>
        <v>0</v>
      </c>
      <c r="BX43" s="1708" t="n">
        <f aca="false">SUM(AQ42:AQ43)</f>
        <v>0</v>
      </c>
      <c r="BY43" s="1710" t="n">
        <f aca="false">SUM(BU43:BX43)</f>
        <v>0</v>
      </c>
      <c r="CA43" s="1707" t="n">
        <f aca="false">SUM(AT42:AT43)</f>
        <v>0</v>
      </c>
      <c r="CB43" s="1711" t="n">
        <f aca="false">SUM(AU42:AU43)</f>
        <v>0</v>
      </c>
      <c r="CD43" s="1707" t="n">
        <f aca="false">SUM(AW42:AW43)</f>
        <v>0</v>
      </c>
      <c r="CE43" s="1708" t="n">
        <f aca="false">SUM(AX42:AX43)</f>
        <v>0</v>
      </c>
      <c r="CF43" s="1710" t="n">
        <f aca="false">SUM(CD43:CE43)</f>
        <v>0</v>
      </c>
      <c r="CH43" s="1707" t="n">
        <f aca="false">SUM(BA42:BA43)</f>
        <v>900</v>
      </c>
      <c r="CI43" s="1712" t="n">
        <f aca="false">SUM(BB42:BB43)</f>
        <v>150</v>
      </c>
      <c r="CJ43" s="1712" t="n">
        <f aca="false">SUM(BC42:BC43)</f>
        <v>1390.002</v>
      </c>
      <c r="CK43" s="1712" t="n">
        <f aca="false">SUM(BD42:BD43)</f>
        <v>490.3197</v>
      </c>
      <c r="CL43" s="1712" t="n">
        <f aca="false">SUM(BE42:BE43)</f>
        <v>5085.76391052632</v>
      </c>
      <c r="CM43" s="1708" t="n">
        <f aca="false">SUM(BF42:BF43)</f>
        <v>158.823529411765</v>
      </c>
      <c r="CN43" s="1710" t="n">
        <f aca="false">SUM(CH43:CM43)</f>
        <v>8174.90913993808</v>
      </c>
      <c r="CP43" s="1707" t="n">
        <f aca="false">SUM(BY43,CA43,CB43,CF43,CN43)</f>
        <v>8174.90913993808</v>
      </c>
      <c r="CQ43" s="109" t="n">
        <f aca="false">CP43*CQ$6</f>
        <v>8706.27823403406</v>
      </c>
      <c r="CR43" s="1715" t="n">
        <f aca="false">CQ43*(1+CR$6)</f>
        <v>8943.27502212024</v>
      </c>
      <c r="CT43" s="1717" t="n">
        <f aca="false">SUM(CR42:CR43)</f>
        <v>8943.27502212024</v>
      </c>
      <c r="CU43" s="1714" t="n">
        <f aca="false">SUM($AC42:$AC43)</f>
        <v>12</v>
      </c>
      <c r="CV43" s="1719" t="n">
        <f aca="false">$BO43</f>
        <v>480</v>
      </c>
      <c r="CW43" s="1715" t="n">
        <f aca="false">CT43/CU43/CV43*1000</f>
        <v>1552.65191356254</v>
      </c>
    </row>
    <row r="44" customFormat="false" ht="12.75" hidden="false" customHeight="false" outlineLevel="0" collapsed="false">
      <c r="B44" s="1531" t="n">
        <f aca="false">B42+1</f>
        <v>19</v>
      </c>
      <c r="C44" s="1533" t="n">
        <f aca="false">C42+1</f>
        <v>2017</v>
      </c>
      <c r="E44" s="1707" t="n">
        <f aca="false">VLOOKUP($C44,Sr_Debt_Table,O$78)</f>
        <v>0</v>
      </c>
      <c r="F44" s="1708" t="n">
        <f aca="false">VLOOKUP($C44,Sr_Debt_Table,P$78)</f>
        <v>0</v>
      </c>
      <c r="G44" s="1709" t="n">
        <f aca="false">VLOOKUP($C44,Sr_Debt_Table,R$78)</f>
        <v>0</v>
      </c>
      <c r="H44" s="1708" t="n">
        <f aca="false">VLOOKUP($C44,Sr_Debt_Table,S$78)</f>
        <v>0</v>
      </c>
      <c r="I44" s="1710" t="n">
        <f aca="false">SUM(E44:H44)</f>
        <v>0</v>
      </c>
      <c r="K44" s="1707" t="n">
        <f aca="false">(K$6-1)*I44</f>
        <v>0</v>
      </c>
      <c r="L44" s="1711" t="n">
        <f aca="false">-HLOOKUP($C44,CF_Table,CF!$AB$34)</f>
        <v>0</v>
      </c>
      <c r="N44" s="1707" t="n">
        <f aca="false">VLOOKUP($C44,Sub_Debt_Table,X$78)</f>
        <v>0</v>
      </c>
      <c r="O44" s="1708" t="n">
        <f aca="false">VLOOKUP($C44,Sub_Debt_Table,Z$78)</f>
        <v>0</v>
      </c>
      <c r="P44" s="1710" t="n">
        <f aca="false">SUM(N44:O44)</f>
        <v>0</v>
      </c>
      <c r="R44" s="1707" t="n">
        <f aca="false">VLOOKUP($C44,OM_Table_US,AD$78)</f>
        <v>900</v>
      </c>
      <c r="S44" s="1712" t="n">
        <f aca="false">VLOOKUP($C44,OM_Table_US,AE$78)</f>
        <v>150</v>
      </c>
      <c r="T44" s="1712" t="n">
        <f aca="false">VLOOKUP($C44,OM_Table_US,AF$78)</f>
        <v>1390.002</v>
      </c>
      <c r="U44" s="1712" t="n">
        <f aca="false">VLOOKUP($C44,OM_Table_US,AG$78)</f>
        <v>490.3197</v>
      </c>
      <c r="V44" s="1712" t="n">
        <f aca="false">VLOOKUP($C44,OM_Table_US,AH$78)</f>
        <v>5085.76391052632</v>
      </c>
      <c r="W44" s="1712" t="n">
        <f aca="false">VLOOKUP($C44,OM_Table_US,AI$78)</f>
        <v>158.823529411765</v>
      </c>
      <c r="X44" s="1711" t="n">
        <f aca="false">SUM(R44:W44)</f>
        <v>8174.90913993808</v>
      </c>
      <c r="Z44" s="1707" t="n">
        <f aca="false">SUM(I44,K44,L44,P44,X44)</f>
        <v>8174.90913993808</v>
      </c>
      <c r="AA44" s="109" t="n">
        <f aca="false">Z44*AA$6</f>
        <v>8706.27823403406</v>
      </c>
      <c r="AB44" s="109" t="n">
        <f aca="false">AA44*(1+AB$6)</f>
        <v>8943.27502212024</v>
      </c>
      <c r="AC44" s="1713" t="n">
        <f aca="false">12-AC43</f>
        <v>8</v>
      </c>
      <c r="AD44" s="1714" t="n">
        <f aca="false">HLOOKUP($C44,CF_Table,CF!$AB$12)</f>
        <v>12</v>
      </c>
      <c r="AE44" s="109" t="n">
        <f aca="false">AB44*AC44/AD44</f>
        <v>5962.18334808016</v>
      </c>
      <c r="AF44" s="170" t="n">
        <v>480</v>
      </c>
      <c r="AG44" s="1715"/>
      <c r="AK44" s="1716" t="n">
        <f aca="false">$B44</f>
        <v>19</v>
      </c>
      <c r="AL44" s="187" t="n">
        <f aca="false">$C44</f>
        <v>2017</v>
      </c>
      <c r="AN44" s="1707" t="n">
        <f aca="false">E44*$AC44/$AD44</f>
        <v>0</v>
      </c>
      <c r="AO44" s="1708" t="n">
        <f aca="false">F44*$AC44/$AD44</f>
        <v>0</v>
      </c>
      <c r="AP44" s="1709" t="n">
        <f aca="false">G44*$AC44/$AD44</f>
        <v>0</v>
      </c>
      <c r="AQ44" s="1708" t="n">
        <f aca="false">H44*$AC44/$AD44</f>
        <v>0</v>
      </c>
      <c r="AR44" s="1710" t="n">
        <f aca="false">SUM(AN44:AQ44)</f>
        <v>0</v>
      </c>
      <c r="AT44" s="1707" t="n">
        <f aca="false">K44*$AC44/$AD44</f>
        <v>0</v>
      </c>
      <c r="AU44" s="1711" t="n">
        <f aca="false">L44*$AC44/$AD44</f>
        <v>0</v>
      </c>
      <c r="AW44" s="1707" t="n">
        <f aca="false">N44*$AC44/$AD44</f>
        <v>0</v>
      </c>
      <c r="AX44" s="1708" t="n">
        <f aca="false">O44*$AC44/$AD44</f>
        <v>0</v>
      </c>
      <c r="AY44" s="1710" t="n">
        <f aca="false">SUM(AW44:AX44)</f>
        <v>0</v>
      </c>
      <c r="BA44" s="1707" t="n">
        <f aca="false">R44*$AC44/$AD44</f>
        <v>600</v>
      </c>
      <c r="BB44" s="1712" t="n">
        <f aca="false">S44*$AC44/$AD44</f>
        <v>100</v>
      </c>
      <c r="BC44" s="1712" t="n">
        <f aca="false">T44*$AC44/$AD44</f>
        <v>926.668</v>
      </c>
      <c r="BD44" s="1712" t="n">
        <f aca="false">U44*$AC44/$AD44</f>
        <v>326.8798</v>
      </c>
      <c r="BE44" s="1712" t="n">
        <f aca="false">V44*$AC44/$AD44</f>
        <v>3390.50927368421</v>
      </c>
      <c r="BF44" s="1712" t="n">
        <f aca="false">W44*$AC44/$AD44</f>
        <v>105.882352941176</v>
      </c>
      <c r="BG44" s="1711" t="n">
        <f aca="false">SUM(BA44:BF44)</f>
        <v>5449.93942662539</v>
      </c>
      <c r="BI44" s="1707" t="n">
        <f aca="false">SUM(AR44,AT44,AU44,AY44,BG44)</f>
        <v>5449.93942662539</v>
      </c>
      <c r="BJ44" s="109" t="n">
        <f aca="false">BI44*BJ$6</f>
        <v>5804.18548935604</v>
      </c>
      <c r="BK44" s="1715" t="n">
        <f aca="false">BJ44*(1+BK$6)</f>
        <v>5962.18334808016</v>
      </c>
      <c r="BM44" s="1717"/>
      <c r="BN44" s="1714"/>
      <c r="BO44" s="1718"/>
      <c r="BP44" s="1715"/>
      <c r="BR44" s="1716" t="n">
        <f aca="false">$B44</f>
        <v>19</v>
      </c>
      <c r="BS44" s="187" t="n">
        <f aca="false">$C44</f>
        <v>2017</v>
      </c>
      <c r="BU44" s="1707"/>
      <c r="BV44" s="1708"/>
      <c r="BW44" s="1709"/>
      <c r="BX44" s="1708"/>
      <c r="BY44" s="1710"/>
      <c r="CA44" s="1707"/>
      <c r="CB44" s="1711"/>
      <c r="CD44" s="1707"/>
      <c r="CE44" s="1708"/>
      <c r="CF44" s="1710"/>
      <c r="CH44" s="1707"/>
      <c r="CI44" s="1712"/>
      <c r="CJ44" s="1712"/>
      <c r="CK44" s="1712"/>
      <c r="CL44" s="1712"/>
      <c r="CM44" s="1708"/>
      <c r="CN44" s="1710"/>
      <c r="CP44" s="1707"/>
      <c r="CQ44" s="109"/>
      <c r="CR44" s="1715"/>
      <c r="CT44" s="1717"/>
      <c r="CU44" s="1714"/>
      <c r="CV44" s="1719"/>
      <c r="CW44" s="1715"/>
    </row>
    <row r="45" customFormat="false" ht="12.75" hidden="false" customHeight="false" outlineLevel="0" collapsed="false">
      <c r="B45" s="1531" t="n">
        <f aca="false">B43+1</f>
        <v>19</v>
      </c>
      <c r="C45" s="1533" t="n">
        <f aca="false">C43+1</f>
        <v>2018</v>
      </c>
      <c r="E45" s="1707" t="n">
        <f aca="false">VLOOKUP($C45,Sr_Debt_Table,O$78)</f>
        <v>0</v>
      </c>
      <c r="F45" s="1708" t="n">
        <f aca="false">VLOOKUP($C45,Sr_Debt_Table,P$78)</f>
        <v>0</v>
      </c>
      <c r="G45" s="1709" t="n">
        <f aca="false">VLOOKUP($C45,Sr_Debt_Table,R$78)</f>
        <v>0</v>
      </c>
      <c r="H45" s="1708" t="n">
        <f aca="false">VLOOKUP($C45,Sr_Debt_Table,S$78)</f>
        <v>0</v>
      </c>
      <c r="I45" s="1710" t="n">
        <f aca="false">SUM(E45:H45)</f>
        <v>0</v>
      </c>
      <c r="K45" s="1707" t="n">
        <f aca="false">(K$6-1)*I45</f>
        <v>0</v>
      </c>
      <c r="L45" s="1711" t="n">
        <f aca="false">-HLOOKUP($C45,CF_Table,CF!$AB$34)</f>
        <v>0</v>
      </c>
      <c r="N45" s="1707" t="n">
        <f aca="false">VLOOKUP($C45,Sub_Debt_Table,X$78)</f>
        <v>0</v>
      </c>
      <c r="O45" s="1708" t="n">
        <f aca="false">VLOOKUP($C45,Sub_Debt_Table,Z$78)</f>
        <v>0</v>
      </c>
      <c r="P45" s="1710" t="n">
        <f aca="false">SUM(N45:O45)</f>
        <v>0</v>
      </c>
      <c r="R45" s="1707" t="n">
        <f aca="false">VLOOKUP($C45,OM_Table_US,AD$78)</f>
        <v>900</v>
      </c>
      <c r="S45" s="1712" t="n">
        <f aca="false">VLOOKUP($C45,OM_Table_US,AE$78)</f>
        <v>150</v>
      </c>
      <c r="T45" s="1712" t="n">
        <f aca="false">VLOOKUP($C45,OM_Table_US,AF$78)</f>
        <v>1390.002</v>
      </c>
      <c r="U45" s="1712" t="n">
        <f aca="false">VLOOKUP($C45,OM_Table_US,AG$78)</f>
        <v>490.3197</v>
      </c>
      <c r="V45" s="1712" t="n">
        <f aca="false">VLOOKUP($C45,OM_Table_US,AH$78)</f>
        <v>191.99587</v>
      </c>
      <c r="W45" s="1712" t="n">
        <f aca="false">VLOOKUP($C45,OM_Table_US,AI$78)</f>
        <v>158.823529411765</v>
      </c>
      <c r="X45" s="1711" t="n">
        <f aca="false">SUM(R45:W45)</f>
        <v>3281.14109941176</v>
      </c>
      <c r="Z45" s="1707" t="n">
        <f aca="false">SUM(I45,K45,L45,P45,X45)</f>
        <v>3281.14109941176</v>
      </c>
      <c r="AA45" s="109" t="n">
        <f aca="false">Z45*AA$6</f>
        <v>3494.41527087353</v>
      </c>
      <c r="AB45" s="109" t="n">
        <f aca="false">AA45*(1+AB$6)</f>
        <v>3589.53802863228</v>
      </c>
      <c r="AC45" s="1713" t="n">
        <f aca="false">12-AC44</f>
        <v>4</v>
      </c>
      <c r="AD45" s="1714" t="n">
        <f aca="false">HLOOKUP($C45,CF_Table,CF!$AB$12)</f>
        <v>12</v>
      </c>
      <c r="AE45" s="109" t="n">
        <f aca="false">AB45*AC45/AD45</f>
        <v>1196.51267621076</v>
      </c>
      <c r="AF45" s="170" t="n">
        <v>480</v>
      </c>
      <c r="AG45" s="1715" t="n">
        <f aca="false">SUM(AE44:AE45)/AF45/SUM(AC44:AC45)*1000</f>
        <v>1242.82917088384</v>
      </c>
      <c r="AK45" s="1716" t="n">
        <f aca="false">$B45</f>
        <v>19</v>
      </c>
      <c r="AL45" s="187" t="n">
        <f aca="false">$C45</f>
        <v>2018</v>
      </c>
      <c r="AN45" s="1707" t="n">
        <f aca="false">E45*$AC45/$AD45</f>
        <v>0</v>
      </c>
      <c r="AO45" s="1708" t="n">
        <f aca="false">F45*$AC45/$AD45</f>
        <v>0</v>
      </c>
      <c r="AP45" s="1709" t="n">
        <f aca="false">G45*$AC45/$AD45</f>
        <v>0</v>
      </c>
      <c r="AQ45" s="1708" t="n">
        <f aca="false">H45*$AC45/$AD45</f>
        <v>0</v>
      </c>
      <c r="AR45" s="1710" t="n">
        <f aca="false">SUM(AN45:AQ45)</f>
        <v>0</v>
      </c>
      <c r="AT45" s="1707" t="n">
        <f aca="false">K45*$AC45/$AD45</f>
        <v>0</v>
      </c>
      <c r="AU45" s="1711" t="n">
        <f aca="false">L45*$AC45/$AD45</f>
        <v>0</v>
      </c>
      <c r="AW45" s="1707" t="n">
        <f aca="false">N45*$AC45/$AD45</f>
        <v>0</v>
      </c>
      <c r="AX45" s="1708" t="n">
        <f aca="false">O45*$AC45/$AD45</f>
        <v>0</v>
      </c>
      <c r="AY45" s="1710" t="n">
        <f aca="false">SUM(AW45:AX45)</f>
        <v>0</v>
      </c>
      <c r="BA45" s="1707" t="n">
        <f aca="false">R45*$AC45/$AD45</f>
        <v>300</v>
      </c>
      <c r="BB45" s="1712" t="n">
        <f aca="false">S45*$AC45/$AD45</f>
        <v>50</v>
      </c>
      <c r="BC45" s="1712" t="n">
        <f aca="false">T45*$AC45/$AD45</f>
        <v>463.334</v>
      </c>
      <c r="BD45" s="1712" t="n">
        <f aca="false">U45*$AC45/$AD45</f>
        <v>163.4399</v>
      </c>
      <c r="BE45" s="1712" t="n">
        <f aca="false">V45*$AC45/$AD45</f>
        <v>63.9986233333333</v>
      </c>
      <c r="BF45" s="1712" t="n">
        <f aca="false">W45*$AC45/$AD45</f>
        <v>52.9411764705882</v>
      </c>
      <c r="BG45" s="1711" t="n">
        <f aca="false">SUM(BA45:BF45)</f>
        <v>1093.71369980392</v>
      </c>
      <c r="BI45" s="1707" t="n">
        <f aca="false">SUM(AR45,AT45,AU45,AY45,BG45)</f>
        <v>1093.71369980392</v>
      </c>
      <c r="BJ45" s="109" t="n">
        <f aca="false">BI45*BJ$6</f>
        <v>1164.80509029118</v>
      </c>
      <c r="BK45" s="1715" t="n">
        <f aca="false">BJ45*(1+BK$6)</f>
        <v>1196.51267621076</v>
      </c>
      <c r="BM45" s="1717" t="n">
        <f aca="false">SUM(BK44:BK45)</f>
        <v>7158.69602429092</v>
      </c>
      <c r="BN45" s="1714" t="n">
        <f aca="false">SUM($AC44:$AC45)</f>
        <v>12</v>
      </c>
      <c r="BO45" s="1718" t="n">
        <v>480</v>
      </c>
      <c r="BP45" s="1715" t="n">
        <f aca="false">BM45/BN45/BO45*1000</f>
        <v>1242.82917088384</v>
      </c>
      <c r="BR45" s="1716" t="n">
        <f aca="false">$B45</f>
        <v>19</v>
      </c>
      <c r="BS45" s="187" t="n">
        <f aca="false">$C45</f>
        <v>2018</v>
      </c>
      <c r="BU45" s="1707" t="n">
        <f aca="false">SUM(AN44:AN45)</f>
        <v>0</v>
      </c>
      <c r="BV45" s="1708" t="n">
        <f aca="false">SUM(AO44:AO45)</f>
        <v>0</v>
      </c>
      <c r="BW45" s="1709" t="n">
        <f aca="false">SUM(AP44:AP45)</f>
        <v>0</v>
      </c>
      <c r="BX45" s="1708" t="n">
        <f aca="false">SUM(AQ44:AQ45)</f>
        <v>0</v>
      </c>
      <c r="BY45" s="1710" t="n">
        <f aca="false">SUM(BU45:BX45)</f>
        <v>0</v>
      </c>
      <c r="CA45" s="1707" t="n">
        <f aca="false">SUM(AT44:AT45)</f>
        <v>0</v>
      </c>
      <c r="CB45" s="1711" t="n">
        <f aca="false">SUM(AU44:AU45)</f>
        <v>0</v>
      </c>
      <c r="CD45" s="1707" t="n">
        <f aca="false">SUM(AW44:AW45)</f>
        <v>0</v>
      </c>
      <c r="CE45" s="1708" t="n">
        <f aca="false">SUM(AX44:AX45)</f>
        <v>0</v>
      </c>
      <c r="CF45" s="1710" t="n">
        <f aca="false">SUM(CD45:CE45)</f>
        <v>0</v>
      </c>
      <c r="CH45" s="1707" t="n">
        <f aca="false">SUM(BA44:BA45)</f>
        <v>900</v>
      </c>
      <c r="CI45" s="1712" t="n">
        <f aca="false">SUM(BB44:BB45)</f>
        <v>150</v>
      </c>
      <c r="CJ45" s="1712" t="n">
        <f aca="false">SUM(BC44:BC45)</f>
        <v>1390.002</v>
      </c>
      <c r="CK45" s="1712" t="n">
        <f aca="false">SUM(BD44:BD45)</f>
        <v>490.3197</v>
      </c>
      <c r="CL45" s="1712" t="n">
        <f aca="false">SUM(BE44:BE45)</f>
        <v>3454.50789701754</v>
      </c>
      <c r="CM45" s="1708" t="n">
        <f aca="false">SUM(BF44:BF45)</f>
        <v>158.823529411765</v>
      </c>
      <c r="CN45" s="1710" t="n">
        <f aca="false">SUM(CH45:CM45)</f>
        <v>6543.65312642931</v>
      </c>
      <c r="CP45" s="1707" t="n">
        <f aca="false">SUM(BY45,CA45,CB45,CF45,CN45)</f>
        <v>6543.65312642931</v>
      </c>
      <c r="CQ45" s="109" t="n">
        <f aca="false">CP45*CQ$6</f>
        <v>6968.99057964721</v>
      </c>
      <c r="CR45" s="1715" t="n">
        <f aca="false">CQ45*(1+CR$6)</f>
        <v>7158.69602429092</v>
      </c>
      <c r="CT45" s="1717" t="n">
        <f aca="false">SUM(CR44:CR45)</f>
        <v>7158.69602429092</v>
      </c>
      <c r="CU45" s="1714" t="n">
        <f aca="false">SUM($AC44:$AC45)</f>
        <v>12</v>
      </c>
      <c r="CV45" s="1719" t="n">
        <f aca="false">$BO45</f>
        <v>480</v>
      </c>
      <c r="CW45" s="1715" t="n">
        <f aca="false">CT45/CU45/CV45*1000</f>
        <v>1242.82917088384</v>
      </c>
    </row>
    <row r="46" customFormat="false" ht="12.75" hidden="false" customHeight="false" outlineLevel="0" collapsed="false">
      <c r="B46" s="1531" t="n">
        <f aca="false">B44+1</f>
        <v>20</v>
      </c>
      <c r="C46" s="1533" t="n">
        <f aca="false">C44+1</f>
        <v>2018</v>
      </c>
      <c r="E46" s="1707" t="n">
        <f aca="false">VLOOKUP($C46,Sr_Debt_Table,O$78)</f>
        <v>0</v>
      </c>
      <c r="F46" s="1708" t="n">
        <f aca="false">VLOOKUP($C46,Sr_Debt_Table,P$78)</f>
        <v>0</v>
      </c>
      <c r="G46" s="1709" t="n">
        <f aca="false">VLOOKUP($C46,Sr_Debt_Table,R$78)</f>
        <v>0</v>
      </c>
      <c r="H46" s="1708" t="n">
        <f aca="false">VLOOKUP($C46,Sr_Debt_Table,S$78)</f>
        <v>0</v>
      </c>
      <c r="I46" s="1710" t="n">
        <f aca="false">SUM(E46:H46)</f>
        <v>0</v>
      </c>
      <c r="K46" s="1707" t="n">
        <f aca="false">(K$6-1)*I46</f>
        <v>0</v>
      </c>
      <c r="L46" s="1711" t="n">
        <f aca="false">-HLOOKUP($C46,CF_Table,CF!$AB$34)</f>
        <v>0</v>
      </c>
      <c r="N46" s="1707" t="n">
        <f aca="false">VLOOKUP($C46,Sub_Debt_Table,X$78)</f>
        <v>0</v>
      </c>
      <c r="O46" s="1708" t="n">
        <f aca="false">VLOOKUP($C46,Sub_Debt_Table,Z$78)</f>
        <v>0</v>
      </c>
      <c r="P46" s="1710" t="n">
        <f aca="false">SUM(N46:O46)</f>
        <v>0</v>
      </c>
      <c r="R46" s="1707" t="n">
        <f aca="false">VLOOKUP($C46,OM_Table_US,AD$78)</f>
        <v>900</v>
      </c>
      <c r="S46" s="1712" t="n">
        <f aca="false">VLOOKUP($C46,OM_Table_US,AE$78)</f>
        <v>150</v>
      </c>
      <c r="T46" s="1712" t="n">
        <f aca="false">VLOOKUP($C46,OM_Table_US,AF$78)</f>
        <v>1390.002</v>
      </c>
      <c r="U46" s="1712" t="n">
        <f aca="false">VLOOKUP($C46,OM_Table_US,AG$78)</f>
        <v>490.3197</v>
      </c>
      <c r="V46" s="1712" t="n">
        <f aca="false">VLOOKUP($C46,OM_Table_US,AH$78)</f>
        <v>191.99587</v>
      </c>
      <c r="W46" s="1712" t="n">
        <f aca="false">VLOOKUP($C46,OM_Table_US,AI$78)</f>
        <v>158.823529411765</v>
      </c>
      <c r="X46" s="1711" t="n">
        <f aca="false">SUM(R46:W46)</f>
        <v>3281.14109941176</v>
      </c>
      <c r="Z46" s="1707" t="n">
        <f aca="false">SUM(I46,K46,L46,P46,X46)</f>
        <v>3281.14109941176</v>
      </c>
      <c r="AA46" s="109" t="n">
        <f aca="false">Z46*AA$6</f>
        <v>3494.41527087353</v>
      </c>
      <c r="AB46" s="109" t="n">
        <f aca="false">AA46*(1+AB$6)</f>
        <v>3589.53802863228</v>
      </c>
      <c r="AC46" s="1713" t="n">
        <f aca="false">12-AC45</f>
        <v>8</v>
      </c>
      <c r="AD46" s="1714" t="n">
        <f aca="false">HLOOKUP($C46,CF_Table,CF!$AB$12)</f>
        <v>12</v>
      </c>
      <c r="AE46" s="109" t="n">
        <f aca="false">AB46*AC46/AD46</f>
        <v>2393.02535242152</v>
      </c>
      <c r="AF46" s="170" t="n">
        <v>480</v>
      </c>
      <c r="AG46" s="1715"/>
      <c r="AK46" s="1716" t="n">
        <f aca="false">$B46</f>
        <v>20</v>
      </c>
      <c r="AL46" s="187" t="n">
        <f aca="false">$C46</f>
        <v>2018</v>
      </c>
      <c r="AN46" s="1707" t="n">
        <f aca="false">E46*$AC46/$AD46</f>
        <v>0</v>
      </c>
      <c r="AO46" s="1708" t="n">
        <f aca="false">F46*$AC46/$AD46</f>
        <v>0</v>
      </c>
      <c r="AP46" s="1709" t="n">
        <f aca="false">G46*$AC46/$AD46</f>
        <v>0</v>
      </c>
      <c r="AQ46" s="1708" t="n">
        <f aca="false">H46*$AC46/$AD46</f>
        <v>0</v>
      </c>
      <c r="AR46" s="1710" t="n">
        <f aca="false">SUM(AN46:AQ46)</f>
        <v>0</v>
      </c>
      <c r="AT46" s="1707" t="n">
        <f aca="false">K46*$AC46/$AD46</f>
        <v>0</v>
      </c>
      <c r="AU46" s="1711" t="n">
        <f aca="false">L46*$AC46/$AD46</f>
        <v>0</v>
      </c>
      <c r="AW46" s="1707" t="n">
        <f aca="false">N46*$AC46/$AD46</f>
        <v>0</v>
      </c>
      <c r="AX46" s="1708" t="n">
        <f aca="false">O46*$AC46/$AD46</f>
        <v>0</v>
      </c>
      <c r="AY46" s="1710" t="n">
        <f aca="false">SUM(AW46:AX46)</f>
        <v>0</v>
      </c>
      <c r="BA46" s="1707" t="n">
        <f aca="false">R46*$AC46/$AD46</f>
        <v>600</v>
      </c>
      <c r="BB46" s="1712" t="n">
        <f aca="false">S46*$AC46/$AD46</f>
        <v>100</v>
      </c>
      <c r="BC46" s="1712" t="n">
        <f aca="false">T46*$AC46/$AD46</f>
        <v>926.668</v>
      </c>
      <c r="BD46" s="1712" t="n">
        <f aca="false">U46*$AC46/$AD46</f>
        <v>326.8798</v>
      </c>
      <c r="BE46" s="1712" t="n">
        <f aca="false">V46*$AC46/$AD46</f>
        <v>127.997246666667</v>
      </c>
      <c r="BF46" s="1712" t="n">
        <f aca="false">W46*$AC46/$AD46</f>
        <v>105.882352941176</v>
      </c>
      <c r="BG46" s="1711" t="n">
        <f aca="false">SUM(BA46:BF46)</f>
        <v>2187.42739960784</v>
      </c>
      <c r="BI46" s="1707" t="n">
        <f aca="false">SUM(AR46,AT46,AU46,AY46,BG46)</f>
        <v>2187.42739960784</v>
      </c>
      <c r="BJ46" s="109" t="n">
        <f aca="false">BI46*BJ$6</f>
        <v>2329.61018058235</v>
      </c>
      <c r="BK46" s="1715" t="n">
        <f aca="false">BJ46*(1+BK$6)</f>
        <v>2393.02535242152</v>
      </c>
      <c r="BM46" s="1717"/>
      <c r="BN46" s="1714"/>
      <c r="BO46" s="1718"/>
      <c r="BP46" s="1715"/>
      <c r="BR46" s="1716" t="n">
        <f aca="false">$B46</f>
        <v>20</v>
      </c>
      <c r="BS46" s="187" t="n">
        <f aca="false">$C46</f>
        <v>2018</v>
      </c>
      <c r="BU46" s="1707"/>
      <c r="BV46" s="1708"/>
      <c r="BW46" s="1709"/>
      <c r="BX46" s="1708"/>
      <c r="BY46" s="1710"/>
      <c r="CA46" s="1707"/>
      <c r="CB46" s="1711"/>
      <c r="CD46" s="1707"/>
      <c r="CE46" s="1708"/>
      <c r="CF46" s="1710"/>
      <c r="CH46" s="1707"/>
      <c r="CI46" s="1712"/>
      <c r="CJ46" s="1712"/>
      <c r="CK46" s="1712"/>
      <c r="CL46" s="1712"/>
      <c r="CM46" s="1708"/>
      <c r="CN46" s="1710"/>
      <c r="CP46" s="1707"/>
      <c r="CQ46" s="109"/>
      <c r="CR46" s="1715"/>
      <c r="CT46" s="1717"/>
      <c r="CU46" s="1714"/>
      <c r="CV46" s="1719"/>
      <c r="CW46" s="1715"/>
    </row>
    <row r="47" customFormat="false" ht="12.75" hidden="false" customHeight="false" outlineLevel="0" collapsed="false">
      <c r="B47" s="1531" t="n">
        <f aca="false">B45+1</f>
        <v>20</v>
      </c>
      <c r="C47" s="1533" t="n">
        <f aca="false">C45+1</f>
        <v>2019</v>
      </c>
      <c r="E47" s="1707" t="n">
        <f aca="false">VLOOKUP($C47,Sr_Debt_Table,O$78)</f>
        <v>0</v>
      </c>
      <c r="F47" s="1708" t="n">
        <f aca="false">VLOOKUP($C47,Sr_Debt_Table,P$78)</f>
        <v>0</v>
      </c>
      <c r="G47" s="1709" t="n">
        <f aca="false">VLOOKUP($C47,Sr_Debt_Table,R$78)</f>
        <v>0</v>
      </c>
      <c r="H47" s="1708" t="n">
        <f aca="false">VLOOKUP($C47,Sr_Debt_Table,S$78)</f>
        <v>0</v>
      </c>
      <c r="I47" s="1710" t="n">
        <f aca="false">SUM(E47:H47)</f>
        <v>0</v>
      </c>
      <c r="K47" s="1707" t="n">
        <f aca="false">(K$6-1)*I47</f>
        <v>0</v>
      </c>
      <c r="L47" s="1711" t="n">
        <f aca="false">-HLOOKUP($C47,CF_Table,CF!$AB$34)</f>
        <v>0</v>
      </c>
      <c r="N47" s="1707" t="n">
        <f aca="false">VLOOKUP($C47,Sub_Debt_Table,X$78)</f>
        <v>0</v>
      </c>
      <c r="O47" s="1708" t="n">
        <f aca="false">VLOOKUP($C47,Sub_Debt_Table,Z$78)</f>
        <v>0</v>
      </c>
      <c r="P47" s="1710" t="n">
        <f aca="false">SUM(N47:O47)</f>
        <v>0</v>
      </c>
      <c r="R47" s="1707" t="n">
        <f aca="false">VLOOKUP($C47,OM_Table_US,AD$78)</f>
        <v>300</v>
      </c>
      <c r="S47" s="1712" t="n">
        <f aca="false">VLOOKUP($C47,OM_Table_US,AE$78)</f>
        <v>50</v>
      </c>
      <c r="T47" s="1712" t="n">
        <f aca="false">VLOOKUP($C47,OM_Table_US,AF$78)</f>
        <v>463.334</v>
      </c>
      <c r="U47" s="1712" t="n">
        <f aca="false">VLOOKUP($C47,OM_Table_US,AG$78)</f>
        <v>163.4399</v>
      </c>
      <c r="V47" s="1712" t="n">
        <f aca="false">VLOOKUP($C47,OM_Table_US,AH$78)</f>
        <v>191.99587</v>
      </c>
      <c r="W47" s="1712" t="n">
        <f aca="false">VLOOKUP($C47,OM_Table_US,AI$78)</f>
        <v>52.9411764705882</v>
      </c>
      <c r="X47" s="1711" t="n">
        <f aca="false">SUM(R47:W47)</f>
        <v>1221.71094647059</v>
      </c>
      <c r="Z47" s="1707" t="n">
        <f aca="false">SUM(I47,K47,L47,P47,X47)</f>
        <v>1221.71094647059</v>
      </c>
      <c r="AA47" s="109" t="n">
        <f aca="false">Z47*AA$6</f>
        <v>1301.12215799118</v>
      </c>
      <c r="AB47" s="109" t="n">
        <f aca="false">AA47*(1+AB$6)</f>
        <v>1336.54048073054</v>
      </c>
      <c r="AC47" s="1713" t="n">
        <f aca="false">12-AC46</f>
        <v>4</v>
      </c>
      <c r="AD47" s="1714" t="n">
        <f aca="false">HLOOKUP($C47,CF_Table,CF!$AB$12)</f>
        <v>4</v>
      </c>
      <c r="AE47" s="109" t="n">
        <f aca="false">AB47*AC47/AD47</f>
        <v>1336.54048073054</v>
      </c>
      <c r="AF47" s="170" t="n">
        <v>480</v>
      </c>
      <c r="AG47" s="1715" t="n">
        <f aca="false">SUM(AE46:AE47)/AF47/SUM(AC46:AC47)*1000</f>
        <v>647.494068255566</v>
      </c>
      <c r="AK47" s="1716" t="n">
        <f aca="false">$B47</f>
        <v>20</v>
      </c>
      <c r="AL47" s="187" t="n">
        <f aca="false">$C47</f>
        <v>2019</v>
      </c>
      <c r="AN47" s="1707" t="n">
        <f aca="false">E47*$AC47/$AD47</f>
        <v>0</v>
      </c>
      <c r="AO47" s="1708" t="n">
        <f aca="false">F47*$AC47/$AD47</f>
        <v>0</v>
      </c>
      <c r="AP47" s="1709" t="n">
        <f aca="false">G47*$AC47/$AD47</f>
        <v>0</v>
      </c>
      <c r="AQ47" s="1708" t="n">
        <f aca="false">H47*$AC47/$AD47</f>
        <v>0</v>
      </c>
      <c r="AR47" s="1710" t="n">
        <f aca="false">SUM(AN47:AQ47)</f>
        <v>0</v>
      </c>
      <c r="AT47" s="1707" t="n">
        <f aca="false">K47*$AC47/$AD47</f>
        <v>0</v>
      </c>
      <c r="AU47" s="1711" t="n">
        <f aca="false">L47*$AC47/$AD47</f>
        <v>0</v>
      </c>
      <c r="AW47" s="1707" t="n">
        <f aca="false">N47*$AC47/$AD47</f>
        <v>0</v>
      </c>
      <c r="AX47" s="1708" t="n">
        <f aca="false">O47*$AC47/$AD47</f>
        <v>0</v>
      </c>
      <c r="AY47" s="1710" t="n">
        <f aca="false">SUM(AW47:AX47)</f>
        <v>0</v>
      </c>
      <c r="BA47" s="1707" t="n">
        <f aca="false">R47*$AC47/$AD47</f>
        <v>300</v>
      </c>
      <c r="BB47" s="1712" t="n">
        <f aca="false">S47*$AC47/$AD47</f>
        <v>50</v>
      </c>
      <c r="BC47" s="1712" t="n">
        <f aca="false">T47*$AC47/$AD47</f>
        <v>463.334</v>
      </c>
      <c r="BD47" s="1712" t="n">
        <f aca="false">U47*$AC47/$AD47</f>
        <v>163.4399</v>
      </c>
      <c r="BE47" s="1712" t="n">
        <f aca="false">V47*$AC47/$AD47</f>
        <v>191.99587</v>
      </c>
      <c r="BF47" s="1712" t="n">
        <f aca="false">W47*$AC47/$AD47</f>
        <v>52.9411764705882</v>
      </c>
      <c r="BG47" s="1711" t="n">
        <f aca="false">SUM(BA47:BF47)</f>
        <v>1221.71094647059</v>
      </c>
      <c r="BI47" s="1707" t="n">
        <f aca="false">SUM(AR47,AT47,AU47,AY47,BG47)</f>
        <v>1221.71094647059</v>
      </c>
      <c r="BJ47" s="109" t="n">
        <f aca="false">BI47*BJ$6</f>
        <v>1301.12215799118</v>
      </c>
      <c r="BK47" s="1715" t="n">
        <f aca="false">BJ47*(1+BK$6)</f>
        <v>1336.54048073054</v>
      </c>
      <c r="BM47" s="1717" t="n">
        <f aca="false">SUM(BK46:BK47)</f>
        <v>3729.56583315206</v>
      </c>
      <c r="BN47" s="1714" t="n">
        <f aca="false">SUM($AC46:$AC47)</f>
        <v>12</v>
      </c>
      <c r="BO47" s="1718" t="n">
        <v>480</v>
      </c>
      <c r="BP47" s="1715" t="n">
        <f aca="false">BM47/BN47/BO47*1000</f>
        <v>647.494068255566</v>
      </c>
      <c r="BR47" s="1716" t="n">
        <f aca="false">$B47</f>
        <v>20</v>
      </c>
      <c r="BS47" s="187" t="n">
        <f aca="false">$C47</f>
        <v>2019</v>
      </c>
      <c r="BU47" s="1707" t="n">
        <f aca="false">SUM(AN46:AN47)</f>
        <v>0</v>
      </c>
      <c r="BV47" s="1708" t="n">
        <f aca="false">SUM(AO46:AO47)</f>
        <v>0</v>
      </c>
      <c r="BW47" s="1709" t="n">
        <f aca="false">SUM(AP46:AP47)</f>
        <v>0</v>
      </c>
      <c r="BX47" s="1708" t="n">
        <f aca="false">SUM(AQ46:AQ47)</f>
        <v>0</v>
      </c>
      <c r="BY47" s="1710" t="n">
        <f aca="false">SUM(BU47:BX47)</f>
        <v>0</v>
      </c>
      <c r="CA47" s="1707" t="n">
        <f aca="false">SUM(AT46:AT47)</f>
        <v>0</v>
      </c>
      <c r="CB47" s="1711" t="n">
        <f aca="false">SUM(AU46:AU47)</f>
        <v>0</v>
      </c>
      <c r="CD47" s="1707" t="n">
        <f aca="false">SUM(AW46:AW47)</f>
        <v>0</v>
      </c>
      <c r="CE47" s="1708" t="n">
        <f aca="false">SUM(AX46:AX47)</f>
        <v>0</v>
      </c>
      <c r="CF47" s="1710" t="n">
        <f aca="false">SUM(CD47:CE47)</f>
        <v>0</v>
      </c>
      <c r="CH47" s="1707" t="n">
        <f aca="false">SUM(BA46:BA47)</f>
        <v>900</v>
      </c>
      <c r="CI47" s="1712" t="n">
        <f aca="false">SUM(BB46:BB47)</f>
        <v>150</v>
      </c>
      <c r="CJ47" s="1712" t="n">
        <f aca="false">SUM(BC46:BC47)</f>
        <v>1390.002</v>
      </c>
      <c r="CK47" s="1712" t="n">
        <f aca="false">SUM(BD46:BD47)</f>
        <v>490.3197</v>
      </c>
      <c r="CL47" s="1712" t="n">
        <f aca="false">SUM(BE46:BE47)</f>
        <v>319.993116666667</v>
      </c>
      <c r="CM47" s="1708" t="n">
        <f aca="false">SUM(BF46:BF47)</f>
        <v>158.823529411765</v>
      </c>
      <c r="CN47" s="1710" t="n">
        <f aca="false">SUM(CH47:CM47)</f>
        <v>3409.13834607843</v>
      </c>
      <c r="CP47" s="1707" t="n">
        <f aca="false">SUM(BY47,CA47,CB47,CF47,CN47)</f>
        <v>3409.13834607843</v>
      </c>
      <c r="CQ47" s="109" t="n">
        <f aca="false">CP47*CQ$6</f>
        <v>3630.73233857353</v>
      </c>
      <c r="CR47" s="1715" t="n">
        <f aca="false">CQ47*(1+CR$6)</f>
        <v>3729.56583315206</v>
      </c>
      <c r="CT47" s="1717" t="n">
        <f aca="false">SUM(CR46:CR47)</f>
        <v>3729.56583315206</v>
      </c>
      <c r="CU47" s="1714" t="n">
        <f aca="false">SUM($AC46:$AC47)</f>
        <v>12</v>
      </c>
      <c r="CV47" s="1719" t="n">
        <f aca="false">$BO47</f>
        <v>480</v>
      </c>
      <c r="CW47" s="1715" t="n">
        <f aca="false">CT47/CU47/CV47*1000</f>
        <v>647.494068255566</v>
      </c>
    </row>
    <row r="48" customFormat="false" ht="13.5" hidden="false" customHeight="false" outlineLevel="0" collapsed="false">
      <c r="B48" s="1531"/>
      <c r="C48" s="1533"/>
      <c r="E48" s="1707"/>
      <c r="F48" s="1708"/>
      <c r="G48" s="1709"/>
      <c r="H48" s="1708"/>
      <c r="I48" s="1710"/>
      <c r="K48" s="1707"/>
      <c r="L48" s="1711"/>
      <c r="N48" s="1707"/>
      <c r="O48" s="1708"/>
      <c r="P48" s="1710"/>
      <c r="R48" s="1707"/>
      <c r="S48" s="1712"/>
      <c r="T48" s="1712"/>
      <c r="U48" s="1712"/>
      <c r="V48" s="1712"/>
      <c r="W48" s="1712"/>
      <c r="X48" s="1711"/>
      <c r="Z48" s="1707"/>
      <c r="AA48" s="109"/>
      <c r="AB48" s="109"/>
      <c r="AC48" s="1713"/>
      <c r="AD48" s="1714"/>
      <c r="AE48" s="109"/>
      <c r="AF48" s="170"/>
      <c r="AG48" s="1715"/>
      <c r="AK48" s="1531"/>
      <c r="AL48" s="1533"/>
      <c r="AN48" s="1707"/>
      <c r="AO48" s="1708"/>
      <c r="AP48" s="1709"/>
      <c r="AQ48" s="1708"/>
      <c r="AR48" s="1710"/>
      <c r="AT48" s="1707"/>
      <c r="AU48" s="1711"/>
      <c r="AW48" s="1707"/>
      <c r="AX48" s="1708"/>
      <c r="AY48" s="1710"/>
      <c r="BA48" s="1707"/>
      <c r="BB48" s="1712"/>
      <c r="BC48" s="1712"/>
      <c r="BD48" s="1712"/>
      <c r="BE48" s="1712"/>
      <c r="BF48" s="1712"/>
      <c r="BG48" s="1711"/>
      <c r="BI48" s="1707"/>
      <c r="BJ48" s="109"/>
      <c r="BK48" s="1715"/>
      <c r="BM48" s="1717"/>
      <c r="BN48" s="1714"/>
      <c r="BO48" s="1718"/>
      <c r="BP48" s="1715"/>
      <c r="BR48" s="1531"/>
      <c r="BS48" s="1533"/>
      <c r="BU48" s="1707"/>
      <c r="BV48" s="1708"/>
      <c r="BW48" s="1709"/>
      <c r="BX48" s="1708"/>
      <c r="BY48" s="1710"/>
      <c r="CA48" s="1707"/>
      <c r="CB48" s="1711"/>
      <c r="CD48" s="1707"/>
      <c r="CE48" s="1708"/>
      <c r="CF48" s="1710"/>
      <c r="CH48" s="1707"/>
      <c r="CI48" s="1712"/>
      <c r="CJ48" s="1712"/>
      <c r="CK48" s="1712"/>
      <c r="CL48" s="1712"/>
      <c r="CM48" s="1708"/>
      <c r="CN48" s="1710"/>
      <c r="CP48" s="1707"/>
      <c r="CQ48" s="109"/>
      <c r="CR48" s="1715"/>
      <c r="CT48" s="1717"/>
      <c r="CU48" s="1714"/>
      <c r="CV48" s="1719"/>
      <c r="CW48" s="1715"/>
    </row>
    <row r="49" customFormat="false" ht="13.5" hidden="false" customHeight="false" outlineLevel="0" collapsed="false">
      <c r="B49" s="1721" t="s">
        <v>66</v>
      </c>
      <c r="C49" s="1722"/>
      <c r="E49" s="1723" t="n">
        <f aca="false">E9+SUM(E10:E11,E13:E46)/2+E12+E47</f>
        <v>88063.4758928572</v>
      </c>
      <c r="F49" s="1724" t="n">
        <f aca="false">F9+SUM(F10:F11,F13:F46)/2+F12+F47</f>
        <v>150267.857142857</v>
      </c>
      <c r="G49" s="1725" t="n">
        <f aca="false">G9+SUM(G10:G11,G13:G46)/2+G12+G47</f>
        <v>36651.1187450414</v>
      </c>
      <c r="H49" s="1724" t="n">
        <f aca="false">H9+SUM(H10:H11,H13:H46)/2+H12+H47</f>
        <v>36896.3347795529</v>
      </c>
      <c r="I49" s="1726" t="n">
        <f aca="false">I9+SUM(I10:I11,I13:I46)/2+I12+I47</f>
        <v>311878.786560309</v>
      </c>
      <c r="K49" s="1723" t="n">
        <f aca="false">K9+SUM(K10:K11,K13:K46)/2+K12+K47</f>
        <v>93563.6359680926</v>
      </c>
      <c r="L49" s="1590" t="n">
        <f aca="false">L9+SUM(L10:L11,L13:L46)/2+L12+L47</f>
        <v>4348.75186452156</v>
      </c>
      <c r="N49" s="1723" t="n">
        <f aca="false">N9+SUM(N10:N11,N13:N46)/2+N12+N47</f>
        <v>54225.467118839</v>
      </c>
      <c r="O49" s="1724" t="n">
        <f aca="false">O9+SUM(O10:O11,O13:O46)/2+O12+O47</f>
        <v>51978.2234616344</v>
      </c>
      <c r="P49" s="1726" t="n">
        <f aca="false">P9+SUM(P10:P11,P13:P46)/2+P12+P47</f>
        <v>106203.690580473</v>
      </c>
      <c r="R49" s="1723" t="n">
        <f aca="false">R9+SUM(R10:R11,R13:R46)/2+R12+R47</f>
        <v>17737.5</v>
      </c>
      <c r="S49" s="1727" t="n">
        <f aca="false">S9+SUM(S10:S11,S13:S46)/2+S12+S47</f>
        <v>2956.25</v>
      </c>
      <c r="T49" s="1727" t="n">
        <f aca="false">T9+SUM(T10:T11,T13:T46)/2+T12+T47</f>
        <v>26873.372</v>
      </c>
      <c r="U49" s="1727" t="n">
        <f aca="false">U9+SUM(U10:U11,U13:U46)/2+U12+U47</f>
        <v>9479.138075</v>
      </c>
      <c r="V49" s="1727" t="n">
        <f aca="false">V9+SUM(V10:V11,V13:V46)/2+V12+V47</f>
        <v>97013.50604</v>
      </c>
      <c r="W49" s="1727" t="n">
        <f aca="false">W9+SUM(W10:W11,W13:W46)/2+W12+W47</f>
        <v>3130.14705882353</v>
      </c>
      <c r="X49" s="1590" t="n">
        <f aca="false">X9+SUM(X10:X11,X13:X46)/2+X12+X47</f>
        <v>157189.913173824</v>
      </c>
      <c r="Z49" s="1723" t="n">
        <f aca="false">Z9+SUM(Z10:Z11,Z13:Z46)/2+Z12+Z47</f>
        <v>673184.77814722</v>
      </c>
      <c r="AA49" s="1728" t="n">
        <f aca="false">AA9+SUM(AA10:AA11,AA13:AA46)/2+AA12+AA47</f>
        <v>716941.788726789</v>
      </c>
      <c r="AB49" s="1728" t="n">
        <f aca="false">AB9+SUM(AB10:AB11,AB13:AB46)/2+AB12+AB47</f>
        <v>736457.923704971</v>
      </c>
      <c r="AC49" s="1729"/>
      <c r="AD49" s="1730"/>
      <c r="AE49" s="1551" t="n">
        <f aca="false">SUM(AE9:AE48)</f>
        <v>736457.923704971</v>
      </c>
      <c r="AF49" s="1731"/>
      <c r="AG49" s="1722"/>
      <c r="AK49" s="1721" t="s">
        <v>66</v>
      </c>
      <c r="AL49" s="1722"/>
      <c r="AN49" s="1723" t="n">
        <f aca="false">SUM(AN9:AN47)</f>
        <v>88063.4758928572</v>
      </c>
      <c r="AO49" s="1724" t="n">
        <f aca="false">SUM(AO9:AO47)</f>
        <v>150267.857142857</v>
      </c>
      <c r="AP49" s="1725" t="n">
        <f aca="false">SUM(AP9:AP47)</f>
        <v>36651.1187450414</v>
      </c>
      <c r="AQ49" s="1724" t="n">
        <f aca="false">SUM(AQ9:AQ47)</f>
        <v>36896.3347795529</v>
      </c>
      <c r="AR49" s="1726" t="n">
        <f aca="false">SUM(AR9:AR47)</f>
        <v>311878.786560309</v>
      </c>
      <c r="AT49" s="1723" t="n">
        <f aca="false">SUM(AT9:AT47)</f>
        <v>93563.6359680926</v>
      </c>
      <c r="AU49" s="1590" t="n">
        <f aca="false">SUM(AU9:AU47)</f>
        <v>4348.75186452156</v>
      </c>
      <c r="AW49" s="1723" t="n">
        <f aca="false">SUM(AW9:AW47)</f>
        <v>54225.467118839</v>
      </c>
      <c r="AX49" s="1724" t="n">
        <f aca="false">SUM(AX9:AX47)</f>
        <v>51978.2234616344</v>
      </c>
      <c r="AY49" s="1726" t="n">
        <f aca="false">SUM(AY9:AY47)</f>
        <v>106203.690580473</v>
      </c>
      <c r="BA49" s="1723" t="n">
        <f aca="false">SUM(BA9:BA47)</f>
        <v>17737.5</v>
      </c>
      <c r="BB49" s="1727" t="n">
        <f aca="false">SUM(BB9:BB47)</f>
        <v>2956.25</v>
      </c>
      <c r="BC49" s="1727" t="n">
        <f aca="false">SUM(BC9:BC47)</f>
        <v>26873.372</v>
      </c>
      <c r="BD49" s="1727" t="n">
        <f aca="false">SUM(BD9:BD47)</f>
        <v>9479.138075</v>
      </c>
      <c r="BE49" s="1727" t="n">
        <f aca="false">SUM(BE9:BE47)</f>
        <v>97013.50604</v>
      </c>
      <c r="BF49" s="1727" t="n">
        <f aca="false">SUM(BF9:BF47)</f>
        <v>3130.14705882353</v>
      </c>
      <c r="BG49" s="1590" t="n">
        <f aca="false">SUM(BG9:BG47)</f>
        <v>157189.913173824</v>
      </c>
      <c r="BI49" s="1723" t="n">
        <f aca="false">SUM(BI9:BI47)</f>
        <v>673184.77814722</v>
      </c>
      <c r="BJ49" s="1728" t="n">
        <f aca="false">SUM(BJ9:BJ47)</f>
        <v>716941.788726789</v>
      </c>
      <c r="BK49" s="1732" t="n">
        <f aca="false">SUM(BK9:BK47)</f>
        <v>736457.923704971</v>
      </c>
      <c r="BM49" s="1733" t="n">
        <f aca="false">SUM(BM9:BM47)</f>
        <v>736457.923704971</v>
      </c>
      <c r="BN49" s="1730"/>
      <c r="BO49" s="1734"/>
      <c r="BP49" s="1722"/>
      <c r="BR49" s="1721" t="s">
        <v>66</v>
      </c>
      <c r="BS49" s="1722"/>
      <c r="BU49" s="1723" t="n">
        <f aca="false">SUM(BU9:BU47)</f>
        <v>88063.4758928572</v>
      </c>
      <c r="BV49" s="1724" t="n">
        <f aca="false">SUM(BV9:BV47)</f>
        <v>150267.857142857</v>
      </c>
      <c r="BW49" s="1725" t="n">
        <f aca="false">SUM(BW9:BW47)</f>
        <v>36651.1187450414</v>
      </c>
      <c r="BX49" s="1724" t="n">
        <f aca="false">SUM(BX9:BX47)</f>
        <v>36896.3347795529</v>
      </c>
      <c r="BY49" s="1726" t="n">
        <f aca="false">SUM(BY9:BY47)</f>
        <v>311878.786560309</v>
      </c>
      <c r="CA49" s="1723" t="n">
        <f aca="false">SUM(CA9:CA47)</f>
        <v>93563.6359680926</v>
      </c>
      <c r="CB49" s="1590" t="n">
        <f aca="false">SUM(CB9:CB47)</f>
        <v>4348.75186452156</v>
      </c>
      <c r="CD49" s="1723" t="n">
        <f aca="false">SUM(CD9:CD47)</f>
        <v>54225.467118839</v>
      </c>
      <c r="CE49" s="1724" t="n">
        <f aca="false">SUM(CE9:CE47)</f>
        <v>51978.2234616344</v>
      </c>
      <c r="CF49" s="1726" t="n">
        <f aca="false">SUM(CF9:CF47)</f>
        <v>106203.690580473</v>
      </c>
      <c r="CH49" s="1723" t="n">
        <f aca="false">SUM(CH9:CH47)</f>
        <v>17737.5</v>
      </c>
      <c r="CI49" s="1727" t="n">
        <f aca="false">SUM(CI9:CI47)</f>
        <v>2956.25</v>
      </c>
      <c r="CJ49" s="1727" t="n">
        <f aca="false">SUM(CJ9:CJ47)</f>
        <v>26873.372</v>
      </c>
      <c r="CK49" s="1727" t="n">
        <f aca="false">SUM(CK9:CK47)</f>
        <v>9479.138075</v>
      </c>
      <c r="CL49" s="1727" t="n">
        <f aca="false">SUM(CL9:CL47)</f>
        <v>97013.50604</v>
      </c>
      <c r="CM49" s="1724" t="n">
        <f aca="false">SUM(CM9:CM47)</f>
        <v>3130.14705882353</v>
      </c>
      <c r="CN49" s="1726" t="n">
        <f aca="false">SUM(CN9:CN47)</f>
        <v>157189.913173824</v>
      </c>
      <c r="CP49" s="1723" t="n">
        <f aca="false">SUM(CP9:CP47)</f>
        <v>673184.77814722</v>
      </c>
      <c r="CQ49" s="1728" t="n">
        <f aca="false">SUM(CQ9:CQ47)</f>
        <v>716941.788726789</v>
      </c>
      <c r="CR49" s="1732" t="n">
        <f aca="false">SUM(CR9:CR47)</f>
        <v>736457.923704971</v>
      </c>
      <c r="CT49" s="1733" t="n">
        <f aca="false">SUM(CT9:CT47)</f>
        <v>736457.923704971</v>
      </c>
      <c r="CU49" s="1730"/>
      <c r="CV49" s="1734"/>
      <c r="CW49" s="1722"/>
    </row>
    <row r="50" customFormat="false" ht="12.75" hidden="false" customHeight="false" outlineLevel="0" collapsed="false">
      <c r="B50" s="1556" t="n">
        <v>1</v>
      </c>
      <c r="C50" s="1556" t="n">
        <f aca="false">B50+1</f>
        <v>2</v>
      </c>
      <c r="D50" s="1556" t="n">
        <f aca="false">C50+1</f>
        <v>3</v>
      </c>
      <c r="E50" s="1556" t="n">
        <f aca="false">D50+1</f>
        <v>4</v>
      </c>
      <c r="F50" s="1556" t="n">
        <f aca="false">E50+1</f>
        <v>5</v>
      </c>
      <c r="G50" s="1556" t="n">
        <f aca="false">F50+1</f>
        <v>6</v>
      </c>
      <c r="H50" s="1556" t="n">
        <f aca="false">G50+1</f>
        <v>7</v>
      </c>
      <c r="I50" s="1556" t="n">
        <f aca="false">H50+1</f>
        <v>8</v>
      </c>
      <c r="J50" s="1556" t="n">
        <f aca="false">I50+1</f>
        <v>9</v>
      </c>
      <c r="K50" s="1556" t="n">
        <f aca="false">J50+1</f>
        <v>10</v>
      </c>
      <c r="L50" s="1556" t="n">
        <f aca="false">K50+1</f>
        <v>11</v>
      </c>
      <c r="M50" s="1556" t="n">
        <f aca="false">L50+1</f>
        <v>12</v>
      </c>
      <c r="N50" s="1556" t="n">
        <f aca="false">M50+1</f>
        <v>13</v>
      </c>
      <c r="O50" s="1556" t="n">
        <f aca="false">N50+1</f>
        <v>14</v>
      </c>
      <c r="P50" s="1556" t="n">
        <f aca="false">O50+1</f>
        <v>15</v>
      </c>
      <c r="Q50" s="1556" t="n">
        <f aca="false">P50+1</f>
        <v>16</v>
      </c>
      <c r="R50" s="1556" t="n">
        <f aca="false">Q50+1</f>
        <v>17</v>
      </c>
      <c r="S50" s="1556" t="n">
        <f aca="false">R50+1</f>
        <v>18</v>
      </c>
      <c r="T50" s="1556" t="n">
        <f aca="false">S50+1</f>
        <v>19</v>
      </c>
      <c r="U50" s="1556" t="n">
        <f aca="false">T50+1</f>
        <v>20</v>
      </c>
      <c r="V50" s="1556" t="n">
        <f aca="false">U50+1</f>
        <v>21</v>
      </c>
      <c r="W50" s="1556" t="n">
        <f aca="false">V50+1</f>
        <v>22</v>
      </c>
      <c r="X50" s="1556" t="n">
        <f aca="false">W50+1</f>
        <v>23</v>
      </c>
      <c r="Y50" s="1556" t="n">
        <f aca="false">X50+1</f>
        <v>24</v>
      </c>
      <c r="Z50" s="1556" t="n">
        <f aca="false">Y50+1</f>
        <v>25</v>
      </c>
      <c r="AA50" s="1556" t="n">
        <f aca="false">Z50+1</f>
        <v>26</v>
      </c>
      <c r="AB50" s="1556" t="n">
        <f aca="false">AA50+1</f>
        <v>27</v>
      </c>
      <c r="AC50" s="1556" t="n">
        <f aca="false">AB50+1</f>
        <v>28</v>
      </c>
      <c r="AD50" s="1556" t="n">
        <f aca="false">AC50+1</f>
        <v>29</v>
      </c>
      <c r="AE50" s="1556" t="n">
        <f aca="false">AD50+1</f>
        <v>30</v>
      </c>
      <c r="AF50" s="1556" t="n">
        <f aca="false">AE50+1</f>
        <v>31</v>
      </c>
      <c r="AG50" s="1556" t="n">
        <f aca="false">AF50+1</f>
        <v>32</v>
      </c>
      <c r="AK50" s="1556" t="n">
        <v>1</v>
      </c>
      <c r="AL50" s="1556" t="n">
        <f aca="false">AK50+1</f>
        <v>2</v>
      </c>
      <c r="AM50" s="1556" t="n">
        <f aca="false">AL50+1</f>
        <v>3</v>
      </c>
      <c r="AN50" s="1556" t="n">
        <f aca="false">AM50+1</f>
        <v>4</v>
      </c>
      <c r="AO50" s="1556" t="n">
        <f aca="false">AN50+1</f>
        <v>5</v>
      </c>
      <c r="AP50" s="1556" t="n">
        <f aca="false">AO50+1</f>
        <v>6</v>
      </c>
      <c r="AQ50" s="1556" t="n">
        <f aca="false">AP50+1</f>
        <v>7</v>
      </c>
      <c r="AR50" s="1556" t="n">
        <f aca="false">AQ50+1</f>
        <v>8</v>
      </c>
      <c r="AS50" s="1556" t="n">
        <f aca="false">AR50+1</f>
        <v>9</v>
      </c>
      <c r="AT50" s="1556" t="n">
        <f aca="false">AS50+1</f>
        <v>10</v>
      </c>
      <c r="AU50" s="1556" t="n">
        <f aca="false">AT50+1</f>
        <v>11</v>
      </c>
      <c r="AV50" s="1556" t="n">
        <f aca="false">AU50+1</f>
        <v>12</v>
      </c>
      <c r="AW50" s="1556" t="n">
        <f aca="false">AV50+1</f>
        <v>13</v>
      </c>
      <c r="AX50" s="1556" t="n">
        <f aca="false">AW50+1</f>
        <v>14</v>
      </c>
      <c r="AY50" s="1556" t="n">
        <f aca="false">AX50+1</f>
        <v>15</v>
      </c>
      <c r="AZ50" s="1556" t="n">
        <f aca="false">AY50+1</f>
        <v>16</v>
      </c>
      <c r="BA50" s="1556" t="n">
        <f aca="false">AZ50+1</f>
        <v>17</v>
      </c>
      <c r="BB50" s="1556" t="n">
        <f aca="false">BA50+1</f>
        <v>18</v>
      </c>
      <c r="BC50" s="1556" t="n">
        <f aca="false">BB50+1</f>
        <v>19</v>
      </c>
      <c r="BD50" s="1556" t="n">
        <f aca="false">BC50+1</f>
        <v>20</v>
      </c>
      <c r="BE50" s="1556" t="n">
        <f aca="false">BC50+1</f>
        <v>20</v>
      </c>
      <c r="BF50" s="1556" t="n">
        <f aca="false">BE50+1</f>
        <v>21</v>
      </c>
      <c r="BG50" s="1556" t="n">
        <f aca="false">BF50+1</f>
        <v>22</v>
      </c>
      <c r="BH50" s="1556" t="n">
        <f aca="false">BG50+1</f>
        <v>23</v>
      </c>
      <c r="BI50" s="1556" t="n">
        <f aca="false">BH50+1</f>
        <v>24</v>
      </c>
      <c r="BJ50" s="1556" t="n">
        <f aca="false">BI50+1</f>
        <v>25</v>
      </c>
      <c r="BK50" s="1556" t="n">
        <f aca="false">BJ50+1</f>
        <v>26</v>
      </c>
      <c r="BL50" s="1556" t="n">
        <f aca="false">BK50+1</f>
        <v>27</v>
      </c>
      <c r="BM50" s="1556" t="n">
        <f aca="false">BL50+1</f>
        <v>28</v>
      </c>
      <c r="BN50" s="1556" t="n">
        <f aca="false">BM50+1</f>
        <v>29</v>
      </c>
      <c r="BO50" s="1556" t="n">
        <f aca="false">BN50+1</f>
        <v>30</v>
      </c>
      <c r="BP50" s="1556" t="n">
        <f aca="false">BO50+1</f>
        <v>31</v>
      </c>
      <c r="BR50" s="1556" t="n">
        <v>1</v>
      </c>
      <c r="BS50" s="1556" t="n">
        <f aca="false">BR50+1</f>
        <v>2</v>
      </c>
      <c r="BT50" s="1556" t="n">
        <f aca="false">BS50+1</f>
        <v>3</v>
      </c>
      <c r="BU50" s="1556" t="n">
        <f aca="false">BT50+1</f>
        <v>4</v>
      </c>
      <c r="BV50" s="1556" t="n">
        <f aca="false">BU50+1</f>
        <v>5</v>
      </c>
      <c r="BW50" s="1556" t="n">
        <f aca="false">BV50+1</f>
        <v>6</v>
      </c>
      <c r="BX50" s="1556" t="n">
        <f aca="false">BW50+1</f>
        <v>7</v>
      </c>
      <c r="BY50" s="1556" t="n">
        <f aca="false">BX50+1</f>
        <v>8</v>
      </c>
      <c r="BZ50" s="1556" t="n">
        <f aca="false">BY50+1</f>
        <v>9</v>
      </c>
      <c r="CA50" s="1556" t="n">
        <f aca="false">BZ50+1</f>
        <v>10</v>
      </c>
      <c r="CB50" s="1556" t="n">
        <f aca="false">CA50+1</f>
        <v>11</v>
      </c>
      <c r="CC50" s="1556" t="n">
        <f aca="false">CB50+1</f>
        <v>12</v>
      </c>
      <c r="CD50" s="1556" t="n">
        <f aca="false">CC50+1</f>
        <v>13</v>
      </c>
      <c r="CE50" s="1556" t="n">
        <f aca="false">CD50+1</f>
        <v>14</v>
      </c>
      <c r="CF50" s="1556" t="n">
        <f aca="false">CE50+1</f>
        <v>15</v>
      </c>
      <c r="CG50" s="1556" t="n">
        <f aca="false">CF50+1</f>
        <v>16</v>
      </c>
      <c r="CH50" s="1556" t="n">
        <f aca="false">CG50+1</f>
        <v>17</v>
      </c>
      <c r="CI50" s="1556" t="n">
        <f aca="false">CH50+1</f>
        <v>18</v>
      </c>
      <c r="CJ50" s="1556" t="n">
        <f aca="false">CI50+1</f>
        <v>19</v>
      </c>
      <c r="CK50" s="1556" t="n">
        <f aca="false">CJ50+1</f>
        <v>20</v>
      </c>
      <c r="CL50" s="1556" t="n">
        <f aca="false">CK50+1</f>
        <v>21</v>
      </c>
      <c r="CM50" s="1556" t="n">
        <f aca="false">CL50+1</f>
        <v>22</v>
      </c>
      <c r="CN50" s="1556" t="n">
        <f aca="false">CM50+1</f>
        <v>23</v>
      </c>
      <c r="CO50" s="1556" t="n">
        <f aca="false">CN50+1</f>
        <v>24</v>
      </c>
      <c r="CP50" s="1556" t="n">
        <f aca="false">CO50+1</f>
        <v>25</v>
      </c>
      <c r="CQ50" s="1556" t="n">
        <f aca="false">CP50+1</f>
        <v>26</v>
      </c>
      <c r="CR50" s="1556" t="n">
        <f aca="false">CQ50+1</f>
        <v>27</v>
      </c>
      <c r="CS50" s="1556" t="n">
        <f aca="false">CR50+1</f>
        <v>28</v>
      </c>
      <c r="CT50" s="1556" t="n">
        <f aca="false">CS50+1</f>
        <v>29</v>
      </c>
      <c r="CU50" s="1556" t="n">
        <f aca="false">CT50+1</f>
        <v>30</v>
      </c>
      <c r="CV50" s="1556" t="n">
        <f aca="false">CU50+1</f>
        <v>31</v>
      </c>
      <c r="CW50" s="1556" t="n">
        <f aca="false">CV50+1</f>
        <v>32</v>
      </c>
    </row>
    <row r="51" customFormat="false" ht="12.75" hidden="false" customHeight="false" outlineLevel="0" collapsed="false">
      <c r="CQ51" s="1683" t="s">
        <v>1835</v>
      </c>
      <c r="CR51" s="1683" t="s">
        <v>1218</v>
      </c>
    </row>
    <row r="52" customFormat="false" ht="13.5" hidden="false" customHeight="false" outlineLevel="0" collapsed="false">
      <c r="C52" s="330" t="s">
        <v>1935</v>
      </c>
      <c r="J52" s="1682"/>
      <c r="N52" s="330" t="s">
        <v>1936</v>
      </c>
      <c r="W52" s="330" t="s">
        <v>1937</v>
      </c>
      <c r="Z52" s="0"/>
      <c r="AC52" s="330" t="s">
        <v>1938</v>
      </c>
      <c r="BI52" s="0"/>
      <c r="BU52" s="330" t="s">
        <v>1935</v>
      </c>
      <c r="CA52" s="1687" t="n">
        <v>1.3</v>
      </c>
      <c r="CQ52" s="1685" t="n">
        <f aca="false">Exch</f>
        <v>1.065</v>
      </c>
      <c r="CR52" s="1686" t="n">
        <f aca="false">(Pis+Cofins)/(1-(Pis+Cofins))</f>
        <v>0.0272213662044171</v>
      </c>
    </row>
    <row r="53" customFormat="false" ht="12.75" hidden="false" customHeight="false" outlineLevel="0" collapsed="false">
      <c r="B53" s="1099" t="s">
        <v>713</v>
      </c>
      <c r="C53" s="1692" t="s">
        <v>1939</v>
      </c>
      <c r="D53" s="1735"/>
      <c r="E53" s="1736" t="s">
        <v>1098</v>
      </c>
      <c r="F53" s="29" t="s">
        <v>1940</v>
      </c>
      <c r="G53" s="1693" t="s">
        <v>1941</v>
      </c>
      <c r="H53" s="1688" t="s">
        <v>1098</v>
      </c>
      <c r="I53" s="854" t="s">
        <v>1940</v>
      </c>
      <c r="J53" s="1181"/>
      <c r="K53" s="1737" t="s">
        <v>1942</v>
      </c>
      <c r="N53" s="1688" t="s">
        <v>1911</v>
      </c>
      <c r="O53" s="1690" t="s">
        <v>1912</v>
      </c>
      <c r="P53" s="1690"/>
      <c r="Q53" s="1738"/>
      <c r="R53" s="1695" t="s">
        <v>1913</v>
      </c>
      <c r="S53" s="1695"/>
      <c r="T53" s="1693" t="s">
        <v>1914</v>
      </c>
      <c r="W53" s="1688" t="s">
        <v>1911</v>
      </c>
      <c r="X53" s="1690" t="s">
        <v>1917</v>
      </c>
      <c r="Y53" s="1690"/>
      <c r="Z53" s="1690"/>
      <c r="AA53" s="1693" t="s">
        <v>1914</v>
      </c>
      <c r="AC53" s="1688" t="s">
        <v>1911</v>
      </c>
      <c r="AD53" s="29" t="s">
        <v>1918</v>
      </c>
      <c r="AE53" s="29" t="s">
        <v>1918</v>
      </c>
      <c r="AF53" s="29" t="s">
        <v>1919</v>
      </c>
      <c r="AG53" s="29" t="s">
        <v>1920</v>
      </c>
      <c r="AH53" s="29" t="s">
        <v>1921</v>
      </c>
      <c r="AI53" s="1697" t="s">
        <v>1922</v>
      </c>
      <c r="AJ53" s="1691" t="s">
        <v>1914</v>
      </c>
      <c r="BI53" s="0"/>
      <c r="BR53" s="1099" t="s">
        <v>713</v>
      </c>
      <c r="BU53" s="1689" t="s">
        <v>1912</v>
      </c>
      <c r="BV53" s="1689"/>
      <c r="BW53" s="1690" t="s">
        <v>1913</v>
      </c>
      <c r="BX53" s="1690"/>
      <c r="BY53" s="1693" t="s">
        <v>1914</v>
      </c>
      <c r="CA53" s="1692" t="s">
        <v>1915</v>
      </c>
      <c r="CB53" s="1693" t="s">
        <v>1916</v>
      </c>
      <c r="CD53" s="1689" t="s">
        <v>1917</v>
      </c>
      <c r="CE53" s="1689"/>
      <c r="CF53" s="1691" t="s">
        <v>1914</v>
      </c>
      <c r="CH53" s="1692" t="s">
        <v>1918</v>
      </c>
      <c r="CI53" s="29" t="s">
        <v>1918</v>
      </c>
      <c r="CJ53" s="29" t="s">
        <v>1919</v>
      </c>
      <c r="CK53" s="29" t="s">
        <v>1920</v>
      </c>
      <c r="CL53" s="29" t="s">
        <v>1921</v>
      </c>
      <c r="CM53" s="1697" t="s">
        <v>1922</v>
      </c>
      <c r="CN53" s="1691" t="s">
        <v>1914</v>
      </c>
      <c r="CP53" s="1692" t="s">
        <v>1914</v>
      </c>
      <c r="CQ53" s="29" t="s">
        <v>1923</v>
      </c>
      <c r="CR53" s="1693" t="s">
        <v>1924</v>
      </c>
      <c r="CT53" s="1696" t="s">
        <v>1914</v>
      </c>
      <c r="CU53" s="1690" t="s">
        <v>713</v>
      </c>
      <c r="CV53" s="1690" t="s">
        <v>64</v>
      </c>
      <c r="CW53" s="1693" t="s">
        <v>1926</v>
      </c>
    </row>
    <row r="54" customFormat="false" ht="12.75" hidden="false" customHeight="false" outlineLevel="0" collapsed="false">
      <c r="B54" s="795" t="s">
        <v>727</v>
      </c>
      <c r="C54" s="1121" t="s">
        <v>1840</v>
      </c>
      <c r="D54" s="1739"/>
      <c r="E54" s="1699" t="s">
        <v>1840</v>
      </c>
      <c r="F54" s="45" t="s">
        <v>1840</v>
      </c>
      <c r="G54" s="133" t="s">
        <v>1840</v>
      </c>
      <c r="H54" s="470" t="s">
        <v>1409</v>
      </c>
      <c r="I54" s="44" t="s">
        <v>1409</v>
      </c>
      <c r="J54" s="388"/>
      <c r="K54" s="1740" t="s">
        <v>1409</v>
      </c>
      <c r="N54" s="470" t="s">
        <v>727</v>
      </c>
      <c r="O54" s="1699" t="s">
        <v>348</v>
      </c>
      <c r="P54" s="1698" t="s">
        <v>1386</v>
      </c>
      <c r="Q54" s="1741"/>
      <c r="R54" s="45" t="s">
        <v>348</v>
      </c>
      <c r="S54" s="1698" t="s">
        <v>1386</v>
      </c>
      <c r="T54" s="133" t="s">
        <v>1927</v>
      </c>
      <c r="W54" s="470" t="s">
        <v>727</v>
      </c>
      <c r="X54" s="1699" t="s">
        <v>348</v>
      </c>
      <c r="Z54" s="1698" t="s">
        <v>1386</v>
      </c>
      <c r="AA54" s="133" t="s">
        <v>1917</v>
      </c>
      <c r="AC54" s="470" t="s">
        <v>727</v>
      </c>
      <c r="AD54" s="45" t="s">
        <v>1928</v>
      </c>
      <c r="AE54" s="45" t="s">
        <v>1929</v>
      </c>
      <c r="AF54" s="45" t="s">
        <v>1322</v>
      </c>
      <c r="AG54" s="45" t="s">
        <v>1930</v>
      </c>
      <c r="AH54" s="45" t="s">
        <v>1930</v>
      </c>
      <c r="AI54" s="1705" t="n">
        <f aca="false">Rev_Exp!$B$86</f>
        <v>0.176470588235294</v>
      </c>
      <c r="AJ54" s="46" t="s">
        <v>733</v>
      </c>
      <c r="BI54" s="0"/>
      <c r="BR54" s="795" t="s">
        <v>727</v>
      </c>
      <c r="BU54" s="1121" t="s">
        <v>348</v>
      </c>
      <c r="BV54" s="1698" t="s">
        <v>1386</v>
      </c>
      <c r="BW54" s="1699" t="s">
        <v>348</v>
      </c>
      <c r="BX54" s="1698" t="s">
        <v>1386</v>
      </c>
      <c r="BY54" s="133" t="s">
        <v>1927</v>
      </c>
      <c r="CA54" s="1121" t="s">
        <v>1927</v>
      </c>
      <c r="CB54" s="133" t="s">
        <v>1927</v>
      </c>
      <c r="CD54" s="1121" t="s">
        <v>348</v>
      </c>
      <c r="CE54" s="1698" t="s">
        <v>1386</v>
      </c>
      <c r="CF54" s="46" t="s">
        <v>1917</v>
      </c>
      <c r="CH54" s="1121" t="s">
        <v>1928</v>
      </c>
      <c r="CI54" s="45" t="s">
        <v>1929</v>
      </c>
      <c r="CJ54" s="45" t="s">
        <v>1322</v>
      </c>
      <c r="CK54" s="45" t="s">
        <v>1930</v>
      </c>
      <c r="CL54" s="45" t="s">
        <v>1930</v>
      </c>
      <c r="CM54" s="1705" t="n">
        <f aca="false">Rev_Exp!$B$86</f>
        <v>0.176470588235294</v>
      </c>
      <c r="CN54" s="46" t="s">
        <v>733</v>
      </c>
      <c r="CP54" s="1121" t="s">
        <v>1797</v>
      </c>
      <c r="CQ54" s="45" t="s">
        <v>1931</v>
      </c>
      <c r="CR54" s="133" t="s">
        <v>1932</v>
      </c>
      <c r="CT54" s="1703" t="s">
        <v>1934</v>
      </c>
      <c r="CU54" s="1704" t="s">
        <v>1644</v>
      </c>
      <c r="CV54" s="1704" t="s">
        <v>63</v>
      </c>
      <c r="CW54" s="133" t="s">
        <v>1840</v>
      </c>
    </row>
    <row r="55" customFormat="false" ht="12.75" hidden="false" customHeight="false" outlineLevel="0" collapsed="false">
      <c r="B55" s="1742" t="n">
        <v>1</v>
      </c>
      <c r="C55" s="320" t="n">
        <f aca="false">Tariff!D41</f>
        <v>10721.11</v>
      </c>
      <c r="D55" s="1739"/>
      <c r="E55" s="1743" t="n">
        <f aca="false">VLOOKUP($B55,Tariff_Table_US,$AG$50)</f>
        <v>4540.87775772364</v>
      </c>
      <c r="F55" s="109" t="n">
        <f aca="false">VLOOKUP($B55,Tariff_Table_R,'R$ Table'!$AB$50)</f>
        <v>5775.76277553676</v>
      </c>
      <c r="G55" s="1715" t="n">
        <f aca="false">SUM(E55:F55)</f>
        <v>10316.6405332604</v>
      </c>
      <c r="H55" s="1561" t="n">
        <f aca="false">E55/$G55</f>
        <v>0.440150816836552</v>
      </c>
      <c r="I55" s="306" t="n">
        <f aca="false">F55/$G55</f>
        <v>0.559849183163448</v>
      </c>
      <c r="J55" s="388"/>
      <c r="K55" s="1744" t="n">
        <f aca="false">SUM(H55:I55)</f>
        <v>1</v>
      </c>
      <c r="N55" s="1124" t="n">
        <f aca="false">YEAR(Startops1)</f>
        <v>1999</v>
      </c>
      <c r="O55" s="1709" t="n">
        <f aca="false">IF($N55&lt;YEAR(Startops3),0,VLOOKUP(($N55-YEAR(Startops3)+1)*2-'Debt Amort'!$B$36,Fin_Table,'Debt Amort'!AE$77))</f>
        <v>0</v>
      </c>
      <c r="P55" s="1708" t="n">
        <f aca="false">IF($N55&lt;YEAR(Startops3),0,VLOOKUP(($N55-YEAR(Startops3)+1)*2-'Debt Amort'!$B$36,Fin_Table,'Debt Amort'!AF$77))</f>
        <v>0</v>
      </c>
      <c r="Q55" s="1741"/>
      <c r="R55" s="1712" t="n">
        <f aca="false">IF($N55&lt;YEAR(Startops3),0,VLOOKUP(($N55-YEAR(Startops3)+1)*2-'Debt Amort'!$B$36,Fin_Table,'Debt Amort'!AG$77))</f>
        <v>0</v>
      </c>
      <c r="S55" s="1745" t="n">
        <f aca="false">IF($N55&lt;YEAR(Startops3),0,VLOOKUP(($N55-YEAR(Startops3)+1)*2-'Debt Amort'!$B$36,Fin_Table,'Debt Amort'!AH$77))</f>
        <v>0</v>
      </c>
      <c r="T55" s="1711" t="n">
        <f aca="false">SUM(O55:S55)</f>
        <v>0</v>
      </c>
      <c r="W55" s="1531" t="n">
        <f aca="false">$N55</f>
        <v>1999</v>
      </c>
      <c r="X55" s="1709" t="n">
        <f aca="false">IF($N55&lt;YEAR(Startops3),0,VLOOKUP(($N55-YEAR(Startops3)+1)*2-'Debt Amort'!$B$36,Fin_Table,'Debt Amort'!AC$77))</f>
        <v>0</v>
      </c>
      <c r="Z55" s="1708" t="n">
        <f aca="false">IF($N55&lt;YEAR(Startops3),0,VLOOKUP(($N55-YEAR(Startops3)+1)*2-'Debt Amort'!$B$36,Fin_Table,'Debt Amort'!AD$77))</f>
        <v>0</v>
      </c>
      <c r="AA55" s="1711" t="n">
        <f aca="false">SUM(X55:Z55)</f>
        <v>0</v>
      </c>
      <c r="AC55" s="1531" t="n">
        <f aca="false">$N55</f>
        <v>1999</v>
      </c>
      <c r="AD55" s="1712" t="n">
        <f aca="false">HLOOKUP($AC55,Rev_Exp_Table,Rev_Exp!$AA$81)/HLOOKUP($AC55,Rev_Exp_Table,Rev_Exp!$AA$25)</f>
        <v>337.5</v>
      </c>
      <c r="AE55" s="1712" t="n">
        <f aca="false">HLOOKUP($AC55,Rev_Exp_Table,Rev_Exp!$AA$82)/HLOOKUP($AC55,Rev_Exp_Table,Rev_Exp!$AA$25)</f>
        <v>56.25</v>
      </c>
      <c r="AF55" s="1712" t="n">
        <f aca="false">HLOOKUP($AC55,Rev_Exp_Table,Rev_Exp!$AA$83)/HLOOKUP($AC55,Rev_Exp_Table,Rev_Exp!$AA$25)</f>
        <v>0</v>
      </c>
      <c r="AG55" s="1712" t="n">
        <f aca="false">HLOOKUP($AC55,Rev_Exp_Table,Rev_Exp!$AA$84)/HLOOKUP($AC55,Rev_Exp_Table,Rev_Exp!$AA$25)</f>
        <v>64.434375</v>
      </c>
      <c r="AH55" s="1712" t="n">
        <f aca="false">AVERAGE(Trapped!$G$64:$Y$64)*(1+Trapped!$D$67)</f>
        <v>5085.76391052632</v>
      </c>
      <c r="AI55" s="1708" t="n">
        <f aca="false">AD55*AI$54</f>
        <v>59.5588235294118</v>
      </c>
      <c r="AJ55" s="1710" t="n">
        <f aca="false">SUM(AD55:AI55)</f>
        <v>5603.50710905573</v>
      </c>
      <c r="BI55" s="0"/>
      <c r="BR55" s="1746" t="n">
        <f aca="false">$B55</f>
        <v>1</v>
      </c>
      <c r="BU55" s="1747" t="n">
        <f aca="false">VLOOKUP($BR55,Tariff_Table_US2,BU$50)</f>
        <v>0</v>
      </c>
      <c r="BV55" s="1748" t="n">
        <f aca="false">VLOOKUP($BR55,Tariff_Table_US2,BV$50)</f>
        <v>0</v>
      </c>
      <c r="BW55" s="1749" t="n">
        <f aca="false">VLOOKUP($BR55,Tariff_Table_US2,BW$50)</f>
        <v>0</v>
      </c>
      <c r="BX55" s="1750" t="n">
        <f aca="false">VLOOKUP($BR55,Tariff_Table_US2,BX$50)</f>
        <v>0</v>
      </c>
      <c r="BY55" s="1751" t="n">
        <f aca="false">VLOOKUP($BR55,Tariff_Table_US2,BY$50)</f>
        <v>0</v>
      </c>
      <c r="CA55" s="1747" t="n">
        <f aca="false">VLOOKUP($BR55,Tariff_Table_US2,CA$50)</f>
        <v>0</v>
      </c>
      <c r="CB55" s="1579" t="n">
        <f aca="false">VLOOKUP($BR55,Tariff_Table_US2,CB$50)</f>
        <v>0</v>
      </c>
      <c r="CD55" s="1747" t="n">
        <f aca="false">VLOOKUP($BR55,Tariff_Table_US2,CD$50)</f>
        <v>0</v>
      </c>
      <c r="CE55" s="1750" t="n">
        <f aca="false">VLOOKUP($BR55,Tariff_Table_US2,CE$50)</f>
        <v>0</v>
      </c>
      <c r="CF55" s="1751" t="n">
        <f aca="false">VLOOKUP($BR55,Tariff_Table_US2,CF$50)</f>
        <v>0</v>
      </c>
      <c r="CH55" s="1747" t="n">
        <f aca="false">VLOOKUP($BR55,Tariff_Table_US2,CH$50)</f>
        <v>337.5</v>
      </c>
      <c r="CI55" s="98" t="n">
        <f aca="false">VLOOKUP($BR55,Tariff_Table_US2,CI$50)</f>
        <v>56.25</v>
      </c>
      <c r="CJ55" s="98" t="n">
        <f aca="false">VLOOKUP($BR55,Tariff_Table_US2,CJ$50)</f>
        <v>0</v>
      </c>
      <c r="CK55" s="98" t="n">
        <f aca="false">VLOOKUP($BR55,Tariff_Table_US2,CK$50)</f>
        <v>64.434375</v>
      </c>
      <c r="CL55" s="98" t="n">
        <f aca="false">VLOOKUP($BR55,Tariff_Table_US2,CL$50)</f>
        <v>5085.76391052632</v>
      </c>
      <c r="CM55" s="1750" t="n">
        <f aca="false">VLOOKUP($BR55,Tariff_Table_US2,CM$50)</f>
        <v>59.5588235294118</v>
      </c>
      <c r="CN55" s="68" t="n">
        <f aca="false">VLOOKUP($BR55,Tariff_Table_US2,CN$50)</f>
        <v>5603.50710905573</v>
      </c>
      <c r="CP55" s="1747" t="n">
        <f aca="false">VLOOKUP($BR55,Tariff_Table_US2,CP$50)</f>
        <v>5603.50710905573</v>
      </c>
      <c r="CQ55" s="109" t="n">
        <f aca="false">VLOOKUP($BR55,Tariff_Table_US2,CQ$50)</f>
        <v>5967.73507114435</v>
      </c>
      <c r="CR55" s="1715" t="n">
        <f aca="false">VLOOKUP($BR55,Tariff_Table_US2,CR$50)</f>
        <v>6130.18497292691</v>
      </c>
      <c r="CT55" s="1717" t="n">
        <f aca="false">VLOOKUP($BR55,Tariff_Table_US2,CT$50)</f>
        <v>6130.18497292691</v>
      </c>
      <c r="CU55" s="1752" t="n">
        <f aca="false">VLOOKUP($BR55,Tariff_Table_US2,CU$50)</f>
        <v>9</v>
      </c>
      <c r="CV55" s="1719" t="n">
        <f aca="false">VLOOKUP($BR55,Tariff_Table_US2,CV$50)</f>
        <v>150</v>
      </c>
      <c r="CW55" s="1715" t="n">
        <f aca="false">VLOOKUP($BR55,Tariff_Table_US2,CW$50)</f>
        <v>4540.87775772364</v>
      </c>
    </row>
    <row r="56" customFormat="false" ht="12.75" hidden="false" customHeight="false" outlineLevel="0" collapsed="false">
      <c r="B56" s="1746" t="n">
        <f aca="false">B55+1</f>
        <v>2</v>
      </c>
      <c r="C56" s="320" t="n">
        <f aca="false">Tariff!D42</f>
        <v>10502.5</v>
      </c>
      <c r="D56" s="1739"/>
      <c r="E56" s="1743" t="n">
        <f aca="false">VLOOKUP($B56,Tariff_Table_US,$AG$50)</f>
        <v>5726.16325894883</v>
      </c>
      <c r="F56" s="109" t="n">
        <f aca="false">VLOOKUP($B56,Tariff_Table_R,'R$ Table'!$AB$50)</f>
        <v>3570.355351903</v>
      </c>
      <c r="G56" s="1715" t="n">
        <f aca="false">SUM(E56:F56)</f>
        <v>9296.51861085183</v>
      </c>
      <c r="H56" s="1561" t="n">
        <f aca="false">E56/$G56</f>
        <v>0.615947054875433</v>
      </c>
      <c r="I56" s="306" t="n">
        <f aca="false">F56/$G56</f>
        <v>0.384052945124568</v>
      </c>
      <c r="J56" s="388"/>
      <c r="K56" s="1744" t="n">
        <f aca="false">SUM(H56:I56)</f>
        <v>1</v>
      </c>
      <c r="N56" s="1531" t="n">
        <f aca="false">N55+1</f>
        <v>2000</v>
      </c>
      <c r="O56" s="1709" t="n">
        <f aca="false">IF($N56&lt;YEAR(Startops3),0,VLOOKUP(($N56-YEAR(Startops3)+1)*2-'Debt Amort'!$B$36,Fin_Table,'Debt Amort'!AE$77))</f>
        <v>0</v>
      </c>
      <c r="P56" s="1708" t="n">
        <f aca="false">IF($N56&lt;YEAR(Startops3),0,VLOOKUP(($N56-YEAR(Startops3)+1)*2-'Debt Amort'!$B$36,Fin_Table,'Debt Amort'!AF$77))</f>
        <v>0</v>
      </c>
      <c r="Q56" s="1741"/>
      <c r="R56" s="1712" t="n">
        <f aca="false">IF($N56&lt;YEAR(Startops3),0,VLOOKUP(($N56-YEAR(Startops3)+1)*2-'Debt Amort'!$B$36,Fin_Table,'Debt Amort'!AG$77))</f>
        <v>0</v>
      </c>
      <c r="S56" s="1745" t="n">
        <f aca="false">IF($N56&lt;YEAR(Startops3),0,VLOOKUP(($N56-YEAR(Startops3)+1)*2-'Debt Amort'!$B$36,Fin_Table,'Debt Amort'!AH$77))</f>
        <v>0</v>
      </c>
      <c r="T56" s="1711" t="n">
        <f aca="false">SUM(O56:S56)</f>
        <v>0</v>
      </c>
      <c r="W56" s="1531" t="n">
        <f aca="false">$N56</f>
        <v>2000</v>
      </c>
      <c r="X56" s="1709" t="n">
        <f aca="false">IF($N56&lt;YEAR(Startops3),0,VLOOKUP(($N56-YEAR(Startops3)+1)*2-'Debt Amort'!$B$36,Fin_Table,'Debt Amort'!AC$77))</f>
        <v>0</v>
      </c>
      <c r="Z56" s="1708" t="n">
        <f aca="false">IF($N56&lt;YEAR(Startops3),0,VLOOKUP(($N56-YEAR(Startops3)+1)*2-'Debt Amort'!$B$36,Fin_Table,'Debt Amort'!AD$77))</f>
        <v>0</v>
      </c>
      <c r="AA56" s="1711" t="n">
        <f aca="false">SUM(X56:Z56)</f>
        <v>0</v>
      </c>
      <c r="AC56" s="1531" t="n">
        <f aca="false">$N56</f>
        <v>2000</v>
      </c>
      <c r="AD56" s="1712" t="n">
        <f aca="false">HLOOKUP($AC56,Rev_Exp_Table,Rev_Exp!$AA$81)/HLOOKUP($AC56,Rev_Exp_Table,Rev_Exp!$AA$25)</f>
        <v>450</v>
      </c>
      <c r="AE56" s="1712" t="n">
        <f aca="false">HLOOKUP($AC56,Rev_Exp_Table,Rev_Exp!$AA$82)/HLOOKUP($AC56,Rev_Exp_Table,Rev_Exp!$AA$25)</f>
        <v>75</v>
      </c>
      <c r="AF56" s="1712" t="n">
        <f aca="false">HLOOKUP($AC56,Rev_Exp_Table,Rev_Exp!$AA$83)/HLOOKUP($AC56,Rev_Exp_Table,Rev_Exp!$AA$25)</f>
        <v>0</v>
      </c>
      <c r="AG56" s="1712" t="n">
        <f aca="false">HLOOKUP($AC56,Rev_Exp_Table,Rev_Exp!$AA$84)/HLOOKUP($AC56,Rev_Exp_Table,Rev_Exp!$AA$25)</f>
        <v>85.9125</v>
      </c>
      <c r="AH56" s="1712" t="n">
        <f aca="false">AVERAGE(Trapped!$G$64:$Y$64)*(1+Trapped!$D$67)</f>
        <v>5085.76391052632</v>
      </c>
      <c r="AI56" s="1708" t="n">
        <f aca="false">AD56*AI$54</f>
        <v>79.4117647058824</v>
      </c>
      <c r="AJ56" s="1710" t="n">
        <f aca="false">SUM(AD56:AI56)</f>
        <v>5776.0881752322</v>
      </c>
      <c r="BI56" s="0"/>
      <c r="BR56" s="1746" t="n">
        <f aca="false">$B56</f>
        <v>2</v>
      </c>
      <c r="BU56" s="1747" t="n">
        <f aca="false">VLOOKUP($BR56,Tariff_Table_US2,BU$50)</f>
        <v>2474.828125</v>
      </c>
      <c r="BV56" s="1748" t="n">
        <f aca="false">VLOOKUP($BR56,Tariff_Table_US2,BV$50)</f>
        <v>0</v>
      </c>
      <c r="BW56" s="1749" t="n">
        <f aca="false">VLOOKUP($BR56,Tariff_Table_US2,BW$50)</f>
        <v>972.771115119884</v>
      </c>
      <c r="BX56" s="1750" t="n">
        <f aca="false">VLOOKUP($BR56,Tariff_Table_US2,BX$50)</f>
        <v>0</v>
      </c>
      <c r="BY56" s="1751" t="n">
        <f aca="false">VLOOKUP($BR56,Tariff_Table_US2,BY$50)</f>
        <v>3447.59924011988</v>
      </c>
      <c r="CA56" s="1747" t="n">
        <f aca="false">VLOOKUP($BR56,Tariff_Table_US2,CA$50)</f>
        <v>1034.27977203597</v>
      </c>
      <c r="CB56" s="1579" t="n">
        <f aca="false">VLOOKUP($BR56,Tariff_Table_US2,CB$50)</f>
        <v>207.088166952354</v>
      </c>
      <c r="CD56" s="1747" t="n">
        <f aca="false">VLOOKUP($BR56,Tariff_Table_US2,CD$50)</f>
        <v>1571.95589917397</v>
      </c>
      <c r="CE56" s="1750" t="n">
        <f aca="false">VLOOKUP($BR56,Tariff_Table_US2,CE$50)</f>
        <v>0</v>
      </c>
      <c r="CF56" s="1751" t="n">
        <f aca="false">VLOOKUP($BR56,Tariff_Table_US2,CF$50)</f>
        <v>1571.95589917397</v>
      </c>
      <c r="CH56" s="1747" t="n">
        <f aca="false">VLOOKUP($BR56,Tariff_Table_US2,CH$50)</f>
        <v>525</v>
      </c>
      <c r="CI56" s="98" t="n">
        <f aca="false">VLOOKUP($BR56,Tariff_Table_US2,CI$50)</f>
        <v>87.5</v>
      </c>
      <c r="CJ56" s="98" t="n">
        <f aca="false">VLOOKUP($BR56,Tariff_Table_US2,CJ$50)</f>
        <v>810.8345</v>
      </c>
      <c r="CK56" s="98" t="n">
        <f aca="false">VLOOKUP($BR56,Tariff_Table_US2,CK$50)</f>
        <v>248.2137</v>
      </c>
      <c r="CL56" s="98" t="n">
        <f aca="false">VLOOKUP($BR56,Tariff_Table_US2,CL$50)</f>
        <v>2966.69561447369</v>
      </c>
      <c r="CM56" s="1750" t="n">
        <f aca="false">VLOOKUP($BR56,Tariff_Table_US2,CM$50)</f>
        <v>92.6470588235294</v>
      </c>
      <c r="CN56" s="68" t="n">
        <f aca="false">VLOOKUP($BR56,Tariff_Table_US2,CN$50)</f>
        <v>4730.89087329722</v>
      </c>
      <c r="CP56" s="1747" t="n">
        <f aca="false">VLOOKUP($BR56,Tariff_Table_US2,CP$50)</f>
        <v>10991.8139515794</v>
      </c>
      <c r="CQ56" s="109" t="n">
        <f aca="false">VLOOKUP($BR56,Tariff_Table_US2,CQ$50)</f>
        <v>11706.2818584321</v>
      </c>
      <c r="CR56" s="1715" t="n">
        <f aca="false">VLOOKUP($BR56,Tariff_Table_US2,CR$50)</f>
        <v>12024.9428437926</v>
      </c>
      <c r="CT56" s="1717" t="n">
        <f aca="false">VLOOKUP($BR56,Tariff_Table_US2,CT$50)</f>
        <v>12024.9428437926</v>
      </c>
      <c r="CU56" s="1752" t="n">
        <f aca="false">VLOOKUP($BR56,Tariff_Table_US2,CU$50)</f>
        <v>7</v>
      </c>
      <c r="CV56" s="1719" t="n">
        <f aca="false">VLOOKUP($BR56,Tariff_Table_US2,CV$50)</f>
        <v>300</v>
      </c>
      <c r="CW56" s="1715" t="n">
        <f aca="false">VLOOKUP($BR56,Tariff_Table_US2,CW$50)</f>
        <v>5726.16325894883</v>
      </c>
    </row>
    <row r="57" customFormat="false" ht="12.75" hidden="false" customHeight="false" outlineLevel="0" collapsed="false">
      <c r="B57" s="1746" t="n">
        <f aca="false">B56+1</f>
        <v>3</v>
      </c>
      <c r="C57" s="320" t="n">
        <f aca="false">Tariff!D44</f>
        <v>6782.87</v>
      </c>
      <c r="D57" s="1739"/>
      <c r="E57" s="1743" t="n">
        <f aca="false">VLOOKUP($B57,Tariff_Table_US,$AG$50)</f>
        <v>7952.37838108262</v>
      </c>
      <c r="F57" s="109" t="n">
        <f aca="false">VLOOKUP($B57,Tariff_Table_R,'R$ Table'!$AB$50)</f>
        <v>1378.20967417692</v>
      </c>
      <c r="G57" s="1715" t="n">
        <f aca="false">SUM(E57:F57)</f>
        <v>9330.58805525954</v>
      </c>
      <c r="H57" s="1561" t="n">
        <f aca="false">E57/$G57</f>
        <v>0.852291231162002</v>
      </c>
      <c r="I57" s="306" t="n">
        <f aca="false">F57/$G57</f>
        <v>0.147708768837998</v>
      </c>
      <c r="J57" s="388"/>
      <c r="K57" s="1744" t="n">
        <f aca="false">SUM(H57:I57)</f>
        <v>1</v>
      </c>
      <c r="N57" s="1531" t="n">
        <f aca="false">N56+1</f>
        <v>2001</v>
      </c>
      <c r="O57" s="1709" t="n">
        <f aca="false">IF($N57&lt;YEAR(Startops3),0,VLOOKUP(($N57-YEAR(Startops3)+1)*2-'Debt Amort'!$B$36,Fin_Table,'Debt Amort'!AE$77))</f>
        <v>4242.5625</v>
      </c>
      <c r="P57" s="1708" t="n">
        <f aca="false">IF($N57&lt;YEAR(Startops3),0,VLOOKUP(($N57-YEAR(Startops3)+1)*2-'Debt Amort'!$B$36,Fin_Table,'Debt Amort'!AF$77))</f>
        <v>0</v>
      </c>
      <c r="Q57" s="1741"/>
      <c r="R57" s="1712" t="n">
        <f aca="false">IF($N57&lt;YEAR(Startops3),0,VLOOKUP(($N57-YEAR(Startops3)+1)*2-'Debt Amort'!$B$36,Fin_Table,'Debt Amort'!AG$77))</f>
        <v>1667.6076259198</v>
      </c>
      <c r="S57" s="1745" t="n">
        <f aca="false">IF($N57&lt;YEAR(Startops3),0,VLOOKUP(($N57-YEAR(Startops3)+1)*2-'Debt Amort'!$B$36,Fin_Table,'Debt Amort'!AH$77))</f>
        <v>0</v>
      </c>
      <c r="T57" s="1711" t="n">
        <f aca="false">SUM(O57:S57)</f>
        <v>5910.1701259198</v>
      </c>
      <c r="W57" s="1531" t="n">
        <f aca="false">$N57</f>
        <v>2001</v>
      </c>
      <c r="X57" s="1709" t="n">
        <f aca="false">IF($N57&lt;YEAR(Startops3),0,VLOOKUP(($N57-YEAR(Startops3)+1)*2-'Debt Amort'!$B$36,Fin_Table,'Debt Amort'!AC$77))</f>
        <v>2694.78154144109</v>
      </c>
      <c r="Z57" s="1708" t="n">
        <f aca="false">IF($N57&lt;YEAR(Startops3),0,VLOOKUP(($N57-YEAR(Startops3)+1)*2-'Debt Amort'!$B$36,Fin_Table,'Debt Amort'!AD$77))</f>
        <v>0</v>
      </c>
      <c r="AA57" s="1711" t="n">
        <f aca="false">SUM(X57:Z57)</f>
        <v>2694.78154144109</v>
      </c>
      <c r="AC57" s="1531" t="n">
        <f aca="false">$N57</f>
        <v>2001</v>
      </c>
      <c r="AD57" s="1712" t="n">
        <f aca="false">HLOOKUP($AC57,Rev_Exp_Table,Rev_Exp!$AA$81)/HLOOKUP($AC57,Rev_Exp_Table,Rev_Exp!$AA$25)</f>
        <v>900</v>
      </c>
      <c r="AE57" s="1712" t="n">
        <f aca="false">HLOOKUP($AC57,Rev_Exp_Table,Rev_Exp!$AA$82)/HLOOKUP($AC57,Rev_Exp_Table,Rev_Exp!$AA$25)</f>
        <v>150</v>
      </c>
      <c r="AF57" s="1712" t="n">
        <f aca="false">HLOOKUP($AC57,Rev_Exp_Table,Rev_Exp!$AA$83)/HLOOKUP($AC57,Rev_Exp_Table,Rev_Exp!$AA$25)</f>
        <v>1390.002</v>
      </c>
      <c r="AG57" s="1712" t="n">
        <f aca="false">HLOOKUP($AC57,Rev_Exp_Table,Rev_Exp!$AA$84)/HLOOKUP($AC57,Rev_Exp_Table,Rev_Exp!$AA$25)</f>
        <v>425.5092</v>
      </c>
      <c r="AH57" s="1712" t="n">
        <f aca="false">AVERAGE(Trapped!$G$64:$Y$64)*(1+Trapped!$D$67)</f>
        <v>5085.76391052632</v>
      </c>
      <c r="AI57" s="1708" t="n">
        <f aca="false">AD57*AI$54</f>
        <v>158.823529411765</v>
      </c>
      <c r="AJ57" s="1710" t="n">
        <f aca="false">SUM(AD57:AI57)</f>
        <v>8110.09863993808</v>
      </c>
      <c r="BI57" s="0"/>
      <c r="BR57" s="1746" t="n">
        <f aca="false">$B57</f>
        <v>3</v>
      </c>
      <c r="BU57" s="1747" t="n">
        <f aca="false">VLOOKUP($BR57,Tariff_Table_US2,BU$50)</f>
        <v>15101.5022321429</v>
      </c>
      <c r="BV57" s="1748" t="n">
        <f aca="false">VLOOKUP($BR57,Tariff_Table_US2,BV$50)</f>
        <v>13357.1428571429</v>
      </c>
      <c r="BW57" s="1749" t="n">
        <f aca="false">VLOOKUP($BR57,Tariff_Table_US2,BW$50)</f>
        <v>6011.17152806953</v>
      </c>
      <c r="BX57" s="1750" t="n">
        <f aca="false">VLOOKUP($BR57,Tariff_Table_US2,BX$50)</f>
        <v>726.953157992765</v>
      </c>
      <c r="BY57" s="1751" t="n">
        <f aca="false">VLOOKUP($BR57,Tariff_Table_US2,BY$50)</f>
        <v>35196.769775348</v>
      </c>
      <c r="CA57" s="1747" t="n">
        <f aca="false">VLOOKUP($BR57,Tariff_Table_US2,CA$50)</f>
        <v>10559.0309326044</v>
      </c>
      <c r="CB57" s="1579" t="n">
        <f aca="false">VLOOKUP($BR57,Tariff_Table_US2,CB$50)</f>
        <v>614.287529299672</v>
      </c>
      <c r="CD57" s="1747" t="n">
        <f aca="false">VLOOKUP($BR57,Tariff_Table_US2,CD$50)</f>
        <v>9652.60168365866</v>
      </c>
      <c r="CE57" s="1750" t="n">
        <f aca="false">VLOOKUP($BR57,Tariff_Table_US2,CE$50)</f>
        <v>2971.21385183427</v>
      </c>
      <c r="CF57" s="1751" t="n">
        <f aca="false">VLOOKUP($BR57,Tariff_Table_US2,CF$50)</f>
        <v>12623.8155354929</v>
      </c>
      <c r="CH57" s="1747" t="n">
        <f aca="false">VLOOKUP($BR57,Tariff_Table_US2,CH$50)</f>
        <v>1575</v>
      </c>
      <c r="CI57" s="98" t="n">
        <f aca="false">VLOOKUP($BR57,Tariff_Table_US2,CI$50)</f>
        <v>262.5</v>
      </c>
      <c r="CJ57" s="98" t="n">
        <f aca="false">VLOOKUP($BR57,Tariff_Table_US2,CJ$50)</f>
        <v>2432.5035</v>
      </c>
      <c r="CK57" s="98" t="n">
        <f aca="false">VLOOKUP($BR57,Tariff_Table_US2,CK$50)</f>
        <v>831.0551</v>
      </c>
      <c r="CL57" s="98" t="n">
        <f aca="false">VLOOKUP($BR57,Tariff_Table_US2,CL$50)</f>
        <v>8900.08684342106</v>
      </c>
      <c r="CM57" s="1750" t="n">
        <f aca="false">VLOOKUP($BR57,Tariff_Table_US2,CM$50)</f>
        <v>277.941176470588</v>
      </c>
      <c r="CN57" s="68" t="n">
        <f aca="false">VLOOKUP($BR57,Tariff_Table_US2,CN$50)</f>
        <v>14279.0866198916</v>
      </c>
      <c r="CP57" s="1747" t="n">
        <f aca="false">VLOOKUP($BR57,Tariff_Table_US2,CP$50)</f>
        <v>73272.9903926367</v>
      </c>
      <c r="CQ57" s="109" t="n">
        <f aca="false">VLOOKUP($BR57,Tariff_Table_US2,CQ$50)</f>
        <v>78035.734768158</v>
      </c>
      <c r="CR57" s="1715" t="n">
        <f aca="false">VLOOKUP($BR57,Tariff_Table_US2,CR$50)</f>
        <v>80159.9740813128</v>
      </c>
      <c r="CT57" s="1717" t="n">
        <f aca="false">VLOOKUP($BR57,Tariff_Table_US2,CT$50)</f>
        <v>80159.9740813128</v>
      </c>
      <c r="CU57" s="1752" t="n">
        <f aca="false">VLOOKUP($BR57,Tariff_Table_US2,CU$50)</f>
        <v>21</v>
      </c>
      <c r="CV57" s="1719" t="n">
        <f aca="false">VLOOKUP($BR57,Tariff_Table_US2,CV$50)</f>
        <v>480</v>
      </c>
      <c r="CW57" s="1715" t="n">
        <f aca="false">VLOOKUP($BR57,Tariff_Table_US2,CW$50)</f>
        <v>7952.37838108262</v>
      </c>
    </row>
    <row r="58" customFormat="false" ht="12.75" hidden="false" customHeight="false" outlineLevel="0" collapsed="false">
      <c r="B58" s="1746" t="n">
        <f aca="false">B57+1</f>
        <v>4</v>
      </c>
      <c r="C58" s="320" t="n">
        <f aca="false">Tariff!D45</f>
        <v>7854.93</v>
      </c>
      <c r="D58" s="1739"/>
      <c r="E58" s="1743" t="n">
        <f aca="false">VLOOKUP($B58,Tariff_Table_US,$AG$50)</f>
        <v>9285.28278044791</v>
      </c>
      <c r="F58" s="109" t="n">
        <f aca="false">VLOOKUP($B58,Tariff_Table_R,'R$ Table'!$AB$50)</f>
        <v>1091.10424311989</v>
      </c>
      <c r="G58" s="1715" t="n">
        <f aca="false">SUM(E58:F58)</f>
        <v>10376.3870235678</v>
      </c>
      <c r="H58" s="1561" t="n">
        <f aca="false">E58/$G58</f>
        <v>0.89484738371442</v>
      </c>
      <c r="I58" s="306" t="n">
        <f aca="false">F58/$G58</f>
        <v>0.10515261628558</v>
      </c>
      <c r="J58" s="388"/>
      <c r="K58" s="1744" t="n">
        <f aca="false">SUM(H58:I58)</f>
        <v>1</v>
      </c>
      <c r="N58" s="1531" t="n">
        <f aca="false">N57+1</f>
        <v>2002</v>
      </c>
      <c r="O58" s="1709" t="n">
        <f aca="false">IF($N58&lt;YEAR(Startops3),0,VLOOKUP(($N58-YEAR(Startops3)+1)*2-'Debt Amort'!$B$36,Fin_Table,'Debt Amort'!AE$77))</f>
        <v>10000.3258928571</v>
      </c>
      <c r="P58" s="1708" t="n">
        <f aca="false">IF($N58&lt;YEAR(Startops3),0,VLOOKUP(($N58-YEAR(Startops3)+1)*2-'Debt Amort'!$B$36,Fin_Table,'Debt Amort'!AF$77))</f>
        <v>10017.8571428571</v>
      </c>
      <c r="Q58" s="1741"/>
      <c r="R58" s="1712" t="n">
        <f aca="false">IF($N58&lt;YEAR(Startops3),0,VLOOKUP(($N58-YEAR(Startops3)+1)*2-'Debt Amort'!$B$36,Fin_Table,'Debt Amort'!AG$77))</f>
        <v>3987.25126295221</v>
      </c>
      <c r="S58" s="1745" t="n">
        <f aca="false">IF($N58&lt;YEAR(Startops3),0,VLOOKUP(($N58-YEAR(Startops3)+1)*2-'Debt Amort'!$B$36,Fin_Table,'Debt Amort'!AH$77))</f>
        <v>545.214868494574</v>
      </c>
      <c r="T58" s="1711" t="n">
        <f aca="false">SUM(O58:S58)</f>
        <v>24550.6491671611</v>
      </c>
      <c r="W58" s="1531" t="n">
        <f aca="false">$N58</f>
        <v>2002</v>
      </c>
      <c r="X58" s="1709" t="n">
        <f aca="false">IF($N58&lt;YEAR(Startops3),0,VLOOKUP(($N58-YEAR(Startops3)+1)*2-'Debt Amort'!$B$36,Fin_Table,'Debt Amort'!AC$77))</f>
        <v>6397.33203104365</v>
      </c>
      <c r="Z58" s="1708" t="n">
        <f aca="false">IF($N58&lt;YEAR(Startops3),0,VLOOKUP(($N58-YEAR(Startops3)+1)*2-'Debt Amort'!$B$36,Fin_Table,'Debt Amort'!AD$77))</f>
        <v>2228.4103888757</v>
      </c>
      <c r="AA58" s="1711" t="n">
        <f aca="false">SUM(X58:Z58)</f>
        <v>8625.74241991935</v>
      </c>
      <c r="AC58" s="1531" t="n">
        <f aca="false">$N58</f>
        <v>2002</v>
      </c>
      <c r="AD58" s="1712" t="n">
        <f aca="false">HLOOKUP($AC58,Rev_Exp_Table,Rev_Exp!$AA$81)/HLOOKUP($AC58,Rev_Exp_Table,Rev_Exp!$AA$25)</f>
        <v>900</v>
      </c>
      <c r="AE58" s="1712" t="n">
        <f aca="false">HLOOKUP($AC58,Rev_Exp_Table,Rev_Exp!$AA$82)/HLOOKUP($AC58,Rev_Exp_Table,Rev_Exp!$AA$25)</f>
        <v>150</v>
      </c>
      <c r="AF58" s="1712" t="n">
        <f aca="false">HLOOKUP($AC58,Rev_Exp_Table,Rev_Exp!$AA$83)/HLOOKUP($AC58,Rev_Exp_Table,Rev_Exp!$AA$25)</f>
        <v>1390.002</v>
      </c>
      <c r="AG58" s="1712" t="n">
        <f aca="false">HLOOKUP($AC58,Rev_Exp_Table,Rev_Exp!$AA$84)/HLOOKUP($AC58,Rev_Exp_Table,Rev_Exp!$AA$25)</f>
        <v>490.3197</v>
      </c>
      <c r="AH58" s="1712" t="n">
        <f aca="false">AVERAGE(Trapped!$G$64:$Y$64)*(1+Trapped!$D$67)</f>
        <v>5085.76391052632</v>
      </c>
      <c r="AI58" s="1708" t="n">
        <f aca="false">AD58*AI$54</f>
        <v>158.823529411765</v>
      </c>
      <c r="AJ58" s="1710" t="n">
        <f aca="false">SUM(AD58:AI58)</f>
        <v>8174.90913993808</v>
      </c>
      <c r="BI58" s="0"/>
      <c r="BR58" s="1746" t="n">
        <f aca="false">$B58</f>
        <v>4</v>
      </c>
      <c r="BU58" s="1747" t="n">
        <f aca="false">VLOOKUP($BR58,Tariff_Table_US2,BU$50)</f>
        <v>9757.89375</v>
      </c>
      <c r="BV58" s="1748" t="n">
        <f aca="false">VLOOKUP($BR58,Tariff_Table_US2,BV$50)</f>
        <v>10017.8571428571</v>
      </c>
      <c r="BW58" s="1749" t="n">
        <f aca="false">VLOOKUP($BR58,Tariff_Table_US2,BW$50)</f>
        <v>3963.76324777079</v>
      </c>
      <c r="BX58" s="1750" t="n">
        <f aca="false">VLOOKUP($BR58,Tariff_Table_US2,BX$50)</f>
        <v>671.595595385353</v>
      </c>
      <c r="BY58" s="1751" t="n">
        <f aca="false">VLOOKUP($BR58,Tariff_Table_US2,BY$50)</f>
        <v>24411.1097360133</v>
      </c>
      <c r="CA58" s="1747" t="n">
        <f aca="false">VLOOKUP($BR58,Tariff_Table_US2,CA$50)</f>
        <v>7323.33292080399</v>
      </c>
      <c r="CB58" s="1579" t="n">
        <f aca="false">VLOOKUP($BR58,Tariff_Table_US2,CB$50)</f>
        <v>353.096630059945</v>
      </c>
      <c r="CD58" s="1747" t="n">
        <f aca="false">VLOOKUP($BR58,Tariff_Table_US2,CD$50)</f>
        <v>6297.62923622804</v>
      </c>
      <c r="CE58" s="1750" t="n">
        <f aca="false">VLOOKUP($BR58,Tariff_Table_US2,CE$50)</f>
        <v>2328.11318369131</v>
      </c>
      <c r="CF58" s="1751" t="n">
        <f aca="false">VLOOKUP($BR58,Tariff_Table_US2,CF$50)</f>
        <v>8625.74241991935</v>
      </c>
      <c r="CH58" s="1747" t="n">
        <f aca="false">VLOOKUP($BR58,Tariff_Table_US2,CH$50)</f>
        <v>900</v>
      </c>
      <c r="CI58" s="98" t="n">
        <f aca="false">VLOOKUP($BR58,Tariff_Table_US2,CI$50)</f>
        <v>150</v>
      </c>
      <c r="CJ58" s="98" t="n">
        <f aca="false">VLOOKUP($BR58,Tariff_Table_US2,CJ$50)</f>
        <v>1390.002</v>
      </c>
      <c r="CK58" s="98" t="n">
        <f aca="false">VLOOKUP($BR58,Tariff_Table_US2,CK$50)</f>
        <v>490.3197</v>
      </c>
      <c r="CL58" s="98" t="n">
        <f aca="false">VLOOKUP($BR58,Tariff_Table_US2,CL$50)</f>
        <v>5085.76391052632</v>
      </c>
      <c r="CM58" s="1750" t="n">
        <f aca="false">VLOOKUP($BR58,Tariff_Table_US2,CM$50)</f>
        <v>158.823529411765</v>
      </c>
      <c r="CN58" s="68" t="n">
        <f aca="false">VLOOKUP($BR58,Tariff_Table_US2,CN$50)</f>
        <v>8174.90913993808</v>
      </c>
      <c r="CP58" s="1747" t="n">
        <f aca="false">VLOOKUP($BR58,Tariff_Table_US2,CP$50)</f>
        <v>48888.1908467347</v>
      </c>
      <c r="CQ58" s="109" t="n">
        <f aca="false">VLOOKUP($BR58,Tariff_Table_US2,CQ$50)</f>
        <v>52065.9232517724</v>
      </c>
      <c r="CR58" s="1715" t="n">
        <f aca="false">VLOOKUP($BR58,Tariff_Table_US2,CR$50)</f>
        <v>53483.22881538</v>
      </c>
      <c r="CT58" s="1717" t="n">
        <f aca="false">VLOOKUP($BR58,Tariff_Table_US2,CT$50)</f>
        <v>53483.22881538</v>
      </c>
      <c r="CU58" s="1752" t="n">
        <f aca="false">VLOOKUP($BR58,Tariff_Table_US2,CU$50)</f>
        <v>12</v>
      </c>
      <c r="CV58" s="1719" t="n">
        <f aca="false">VLOOKUP($BR58,Tariff_Table_US2,CV$50)</f>
        <v>480</v>
      </c>
      <c r="CW58" s="1715" t="n">
        <f aca="false">VLOOKUP($BR58,Tariff_Table_US2,CW$50)</f>
        <v>9285.28278044791</v>
      </c>
    </row>
    <row r="59" customFormat="false" ht="12.75" hidden="false" customHeight="false" outlineLevel="0" collapsed="false">
      <c r="B59" s="1746" t="n">
        <f aca="false">B58+1</f>
        <v>5</v>
      </c>
      <c r="C59" s="320" t="n">
        <f aca="false">Tariff!D46</f>
        <v>9495.86</v>
      </c>
      <c r="D59" s="1739"/>
      <c r="E59" s="1743" t="n">
        <f aca="false">VLOOKUP($B59,Tariff_Table_US,$AG$50)</f>
        <v>9282.97782832719</v>
      </c>
      <c r="F59" s="109" t="n">
        <f aca="false">VLOOKUP($B59,Tariff_Table_R,'R$ Table'!$AB$50)</f>
        <v>777.831096599311</v>
      </c>
      <c r="G59" s="1715" t="n">
        <f aca="false">SUM(E59:F59)</f>
        <v>10060.8089249265</v>
      </c>
      <c r="H59" s="1561" t="n">
        <f aca="false">E59/$G59</f>
        <v>0.922687022246077</v>
      </c>
      <c r="I59" s="306" t="n">
        <f aca="false">F59/$G59</f>
        <v>0.0773129777539228</v>
      </c>
      <c r="J59" s="388"/>
      <c r="K59" s="1744" t="n">
        <f aca="false">SUM(H59:I59)</f>
        <v>1</v>
      </c>
      <c r="N59" s="1531" t="n">
        <f aca="false">N58+1</f>
        <v>2003</v>
      </c>
      <c r="O59" s="1709" t="n">
        <f aca="false">IF($N59&lt;YEAR(Startops3),0,VLOOKUP(($N59-YEAR(Startops3)+1)*2-'Debt Amort'!$B$36,Fin_Table,'Debt Amort'!AE$77))</f>
        <v>9273.02946428572</v>
      </c>
      <c r="P59" s="1708" t="n">
        <f aca="false">IF($N59&lt;YEAR(Startops3),0,VLOOKUP(($N59-YEAR(Startops3)+1)*2-'Debt Amort'!$B$36,Fin_Table,'Debt Amort'!AF$77))</f>
        <v>10017.8571428571</v>
      </c>
      <c r="Q59" s="1741"/>
      <c r="R59" s="1712" t="n">
        <f aca="false">IF($N59&lt;YEAR(Startops3),0,VLOOKUP(($N59-YEAR(Startops3)+1)*2-'Debt Amort'!$B$36,Fin_Table,'Debt Amort'!AG$77))</f>
        <v>3916.78721740795</v>
      </c>
      <c r="S59" s="1745" t="n">
        <f aca="false">IF($N59&lt;YEAR(Startops3),0,VLOOKUP(($N59-YEAR(Startops3)+1)*2-'Debt Amort'!$B$36,Fin_Table,'Debt Amort'!AH$77))</f>
        <v>924.357049166911</v>
      </c>
      <c r="T59" s="1711" t="n">
        <f aca="false">SUM(O59:S59)</f>
        <v>24132.0308737177</v>
      </c>
      <c r="W59" s="1531" t="n">
        <f aca="false">$N59</f>
        <v>2003</v>
      </c>
      <c r="X59" s="1709" t="n">
        <f aca="false">IF($N59&lt;YEAR(Startops3),0,VLOOKUP(($N59-YEAR(Startops3)+1)*2-'Debt Amort'!$B$36,Fin_Table,'Debt Amort'!AC$77))</f>
        <v>6098.22364659681</v>
      </c>
      <c r="Z59" s="1708" t="n">
        <f aca="false">IF($N59&lt;YEAR(Startops3),0,VLOOKUP(($N59-YEAR(Startops3)+1)*2-'Debt Amort'!$B$36,Fin_Table,'Debt Amort'!AD$77))</f>
        <v>2527.51877332254</v>
      </c>
      <c r="AA59" s="1711" t="n">
        <f aca="false">SUM(X59:Z59)</f>
        <v>8625.74241991935</v>
      </c>
      <c r="AC59" s="1531" t="n">
        <f aca="false">$N59</f>
        <v>2003</v>
      </c>
      <c r="AD59" s="1712" t="n">
        <f aca="false">HLOOKUP($AC59,Rev_Exp_Table,Rev_Exp!$AA$81)/HLOOKUP($AC59,Rev_Exp_Table,Rev_Exp!$AA$25)</f>
        <v>900</v>
      </c>
      <c r="AE59" s="1712" t="n">
        <f aca="false">HLOOKUP($AC59,Rev_Exp_Table,Rev_Exp!$AA$82)/HLOOKUP($AC59,Rev_Exp_Table,Rev_Exp!$AA$25)</f>
        <v>150</v>
      </c>
      <c r="AF59" s="1712" t="n">
        <f aca="false">HLOOKUP($AC59,Rev_Exp_Table,Rev_Exp!$AA$83)/HLOOKUP($AC59,Rev_Exp_Table,Rev_Exp!$AA$25)</f>
        <v>1390.002</v>
      </c>
      <c r="AG59" s="1712" t="n">
        <f aca="false">HLOOKUP($AC59,Rev_Exp_Table,Rev_Exp!$AA$84)/HLOOKUP($AC59,Rev_Exp_Table,Rev_Exp!$AA$25)</f>
        <v>490.3197</v>
      </c>
      <c r="AH59" s="1712" t="n">
        <f aca="false">AVERAGE(Trapped!$G$64:$Y$64)*(1+Trapped!$D$67)</f>
        <v>5085.76391052632</v>
      </c>
      <c r="AI59" s="1708" t="n">
        <f aca="false">AD59*AI$54</f>
        <v>158.823529411765</v>
      </c>
      <c r="AJ59" s="1710" t="n">
        <f aca="false">SUM(AD59:AI59)</f>
        <v>8174.90913993808</v>
      </c>
      <c r="BI59" s="0"/>
      <c r="BR59" s="1746" t="n">
        <f aca="false">$B59</f>
        <v>5</v>
      </c>
      <c r="BU59" s="1747" t="n">
        <f aca="false">VLOOKUP($BR59,Tariff_Table_US2,BU$50)</f>
        <v>9030.59732142857</v>
      </c>
      <c r="BV59" s="1748" t="n">
        <f aca="false">VLOOKUP($BR59,Tariff_Table_US2,BV$50)</f>
        <v>10017.8571428571</v>
      </c>
      <c r="BW59" s="1749" t="n">
        <f aca="false">VLOOKUP($BR59,Tariff_Table_US2,BW$50)</f>
        <v>3867.52132354506</v>
      </c>
      <c r="BX59" s="1750" t="n">
        <f aca="false">VLOOKUP($BR59,Tariff_Table_US2,BX$50)</f>
        <v>1481.74088780314</v>
      </c>
      <c r="BY59" s="1751" t="n">
        <f aca="false">VLOOKUP($BR59,Tariff_Table_US2,BY$50)</f>
        <v>24397.7166756339</v>
      </c>
      <c r="CA59" s="1747" t="n">
        <f aca="false">VLOOKUP($BR59,Tariff_Table_US2,CA$50)</f>
        <v>7319.31500269018</v>
      </c>
      <c r="CB59" s="1579" t="n">
        <f aca="false">VLOOKUP($BR59,Tariff_Table_US2,CB$50)</f>
        <v>358.371743460503</v>
      </c>
      <c r="CD59" s="1747" t="n">
        <f aca="false">VLOOKUP($BR59,Tariff_Table_US2,CD$50)</f>
        <v>5985.13824414707</v>
      </c>
      <c r="CE59" s="1750" t="n">
        <f aca="false">VLOOKUP($BR59,Tariff_Table_US2,CE$50)</f>
        <v>2640.60417577228</v>
      </c>
      <c r="CF59" s="1751" t="n">
        <f aca="false">VLOOKUP($BR59,Tariff_Table_US2,CF$50)</f>
        <v>8625.74241991935</v>
      </c>
      <c r="CH59" s="1747" t="n">
        <f aca="false">VLOOKUP($BR59,Tariff_Table_US2,CH$50)</f>
        <v>900</v>
      </c>
      <c r="CI59" s="98" t="n">
        <f aca="false">VLOOKUP($BR59,Tariff_Table_US2,CI$50)</f>
        <v>150</v>
      </c>
      <c r="CJ59" s="98" t="n">
        <f aca="false">VLOOKUP($BR59,Tariff_Table_US2,CJ$50)</f>
        <v>1390.002</v>
      </c>
      <c r="CK59" s="98" t="n">
        <f aca="false">VLOOKUP($BR59,Tariff_Table_US2,CK$50)</f>
        <v>490.3197</v>
      </c>
      <c r="CL59" s="98" t="n">
        <f aca="false">VLOOKUP($BR59,Tariff_Table_US2,CL$50)</f>
        <v>5085.76391052632</v>
      </c>
      <c r="CM59" s="1750" t="n">
        <f aca="false">VLOOKUP($BR59,Tariff_Table_US2,CM$50)</f>
        <v>158.823529411765</v>
      </c>
      <c r="CN59" s="68" t="n">
        <f aca="false">VLOOKUP($BR59,Tariff_Table_US2,CN$50)</f>
        <v>8174.90913993808</v>
      </c>
      <c r="CP59" s="1747" t="n">
        <f aca="false">VLOOKUP($BR59,Tariff_Table_US2,CP$50)</f>
        <v>48876.054981642</v>
      </c>
      <c r="CQ59" s="109" t="n">
        <f aca="false">VLOOKUP($BR59,Tariff_Table_US2,CQ$50)</f>
        <v>52052.9985554488</v>
      </c>
      <c r="CR59" s="1715" t="n">
        <f aca="false">VLOOKUP($BR59,Tariff_Table_US2,CR$50)</f>
        <v>53469.9522911646</v>
      </c>
      <c r="CT59" s="1717" t="n">
        <f aca="false">VLOOKUP($BR59,Tariff_Table_US2,CT$50)</f>
        <v>53469.9522911646</v>
      </c>
      <c r="CU59" s="1752" t="n">
        <f aca="false">VLOOKUP($BR59,Tariff_Table_US2,CU$50)</f>
        <v>12</v>
      </c>
      <c r="CV59" s="1719" t="n">
        <f aca="false">VLOOKUP($BR59,Tariff_Table_US2,CV$50)</f>
        <v>480</v>
      </c>
      <c r="CW59" s="1715" t="n">
        <f aca="false">VLOOKUP($BR59,Tariff_Table_US2,CW$50)</f>
        <v>9282.97782832719</v>
      </c>
    </row>
    <row r="60" customFormat="false" ht="12.75" hidden="false" customHeight="false" outlineLevel="0" collapsed="false">
      <c r="B60" s="1746" t="n">
        <f aca="false">B59+1</f>
        <v>6</v>
      </c>
      <c r="C60" s="320" t="n">
        <f aca="false">Tariff!D47</f>
        <v>9425.51</v>
      </c>
      <c r="D60" s="1739"/>
      <c r="E60" s="1743" t="n">
        <f aca="false">VLOOKUP($B60,Tariff_Table_US,$AG$50)</f>
        <v>9386.13248455759</v>
      </c>
      <c r="F60" s="109" t="n">
        <f aca="false">VLOOKUP($B60,Tariff_Table_R,'R$ Table'!$AB$50)</f>
        <v>234.535591395612</v>
      </c>
      <c r="G60" s="1715" t="n">
        <f aca="false">SUM(E60:F60)</f>
        <v>9620.6680759532</v>
      </c>
      <c r="H60" s="1561" t="n">
        <f aca="false">E60/$G60</f>
        <v>0.975621693884042</v>
      </c>
      <c r="I60" s="306" t="n">
        <f aca="false">F60/$G60</f>
        <v>0.024378306115958</v>
      </c>
      <c r="J60" s="388"/>
      <c r="K60" s="1744" t="n">
        <f aca="false">SUM(H60:I60)</f>
        <v>1</v>
      </c>
      <c r="N60" s="1531" t="n">
        <f aca="false">N59+1</f>
        <v>2004</v>
      </c>
      <c r="O60" s="1709" t="n">
        <f aca="false">IF($N60&lt;YEAR(Startops3),0,VLOOKUP(($N60-YEAR(Startops3)+1)*2-'Debt Amort'!$B$36,Fin_Table,'Debt Amort'!AE$77))</f>
        <v>8545.73303571429</v>
      </c>
      <c r="P60" s="1708" t="n">
        <f aca="false">IF($N60&lt;YEAR(Startops3),0,VLOOKUP(($N60-YEAR(Startops3)+1)*2-'Debt Amort'!$B$36,Fin_Table,'Debt Amort'!AF$77))</f>
        <v>10017.8571428571</v>
      </c>
      <c r="Q60" s="1741"/>
      <c r="R60" s="1712" t="n">
        <f aca="false">IF($N60&lt;YEAR(Startops3),0,VLOOKUP(($N60-YEAR(Startops3)+1)*2-'Debt Amort'!$B$36,Fin_Table,'Debt Amort'!AG$77))</f>
        <v>3768.98953581929</v>
      </c>
      <c r="S60" s="1745" t="n">
        <f aca="false">IF($N60&lt;YEAR(Startops3),0,VLOOKUP(($N60-YEAR(Startops3)+1)*2-'Debt Amort'!$B$36,Fin_Table,'Debt Amort'!AH$77))</f>
        <v>2596.50856507559</v>
      </c>
      <c r="T60" s="1711" t="n">
        <f aca="false">SUM(O60:S60)</f>
        <v>24929.0882794663</v>
      </c>
      <c r="W60" s="1531" t="n">
        <f aca="false">$N60</f>
        <v>2004</v>
      </c>
      <c r="X60" s="1709" t="n">
        <f aca="false">IF($N60&lt;YEAR(Startops3),0,VLOOKUP(($N60-YEAR(Startops3)+1)*2-'Debt Amort'!$B$36,Fin_Table,'Debt Amort'!AC$77))</f>
        <v>5758.9674392476</v>
      </c>
      <c r="Z60" s="1708" t="n">
        <f aca="false">IF($N60&lt;YEAR(Startops3),0,VLOOKUP(($N60-YEAR(Startops3)+1)*2-'Debt Amort'!$B$36,Fin_Table,'Debt Amort'!AD$77))</f>
        <v>2866.77498067176</v>
      </c>
      <c r="AA60" s="1711" t="n">
        <f aca="false">SUM(X60:Z60)</f>
        <v>8625.74241991935</v>
      </c>
      <c r="AC60" s="1531" t="n">
        <f aca="false">$N60</f>
        <v>2004</v>
      </c>
      <c r="AD60" s="1712" t="n">
        <f aca="false">HLOOKUP($AC60,Rev_Exp_Table,Rev_Exp!$AA$81)/HLOOKUP($AC60,Rev_Exp_Table,Rev_Exp!$AA$25)</f>
        <v>900</v>
      </c>
      <c r="AE60" s="1712" t="n">
        <f aca="false">HLOOKUP($AC60,Rev_Exp_Table,Rev_Exp!$AA$82)/HLOOKUP($AC60,Rev_Exp_Table,Rev_Exp!$AA$25)</f>
        <v>150</v>
      </c>
      <c r="AF60" s="1712" t="n">
        <f aca="false">HLOOKUP($AC60,Rev_Exp_Table,Rev_Exp!$AA$83)/HLOOKUP($AC60,Rev_Exp_Table,Rev_Exp!$AA$25)</f>
        <v>1390.002</v>
      </c>
      <c r="AG60" s="1712" t="n">
        <f aca="false">HLOOKUP($AC60,Rev_Exp_Table,Rev_Exp!$AA$84)/HLOOKUP($AC60,Rev_Exp_Table,Rev_Exp!$AA$25)</f>
        <v>490.3197</v>
      </c>
      <c r="AH60" s="1712" t="n">
        <f aca="false">AVERAGE(Trapped!$G$64:$Y$64)*(1+Trapped!$D$67)</f>
        <v>5085.76391052632</v>
      </c>
      <c r="AI60" s="1708" t="n">
        <f aca="false">AD60*AI$54</f>
        <v>158.823529411765</v>
      </c>
      <c r="AJ60" s="1710" t="n">
        <f aca="false">SUM(AD60:AI60)</f>
        <v>8174.90913993808</v>
      </c>
      <c r="BI60" s="0"/>
      <c r="BR60" s="1746" t="n">
        <f aca="false">$B60</f>
        <v>6</v>
      </c>
      <c r="BU60" s="1747" t="n">
        <f aca="false">VLOOKUP($BR60,Tariff_Table_US2,BU$50)</f>
        <v>8303.30089285715</v>
      </c>
      <c r="BV60" s="1748" t="n">
        <f aca="false">VLOOKUP($BR60,Tariff_Table_US2,BV$50)</f>
        <v>10017.8571428571</v>
      </c>
      <c r="BW60" s="1749" t="n">
        <f aca="false">VLOOKUP($BR60,Tariff_Table_US2,BW$50)</f>
        <v>3668.79458742126</v>
      </c>
      <c r="BX60" s="1750" t="n">
        <f aca="false">VLOOKUP($BR60,Tariff_Table_US2,BX$50)</f>
        <v>2829.77312454295</v>
      </c>
      <c r="BY60" s="1751" t="n">
        <f aca="false">VLOOKUP($BR60,Tariff_Table_US2,BY$50)</f>
        <v>24819.7257476785</v>
      </c>
      <c r="CA60" s="1747" t="n">
        <f aca="false">VLOOKUP($BR60,Tariff_Table_US2,CA$50)</f>
        <v>7445.91772430355</v>
      </c>
      <c r="CB60" s="1579" t="n">
        <f aca="false">VLOOKUP($BR60,Tariff_Table_US2,CB$50)</f>
        <v>352.882290797943</v>
      </c>
      <c r="CD60" s="1747" t="n">
        <f aca="false">VLOOKUP($BR60,Tariff_Table_US2,CD$50)</f>
        <v>5630.70314865404</v>
      </c>
      <c r="CE60" s="1750" t="n">
        <f aca="false">VLOOKUP($BR60,Tariff_Table_US2,CE$50)</f>
        <v>2995.03927126531</v>
      </c>
      <c r="CF60" s="1751" t="n">
        <f aca="false">VLOOKUP($BR60,Tariff_Table_US2,CF$50)</f>
        <v>8625.74241991935</v>
      </c>
      <c r="CH60" s="1747" t="n">
        <f aca="false">VLOOKUP($BR60,Tariff_Table_US2,CH$50)</f>
        <v>900</v>
      </c>
      <c r="CI60" s="98" t="n">
        <f aca="false">VLOOKUP($BR60,Tariff_Table_US2,CI$50)</f>
        <v>150</v>
      </c>
      <c r="CJ60" s="98" t="n">
        <f aca="false">VLOOKUP($BR60,Tariff_Table_US2,CJ$50)</f>
        <v>1390.002</v>
      </c>
      <c r="CK60" s="98" t="n">
        <f aca="false">VLOOKUP($BR60,Tariff_Table_US2,CK$50)</f>
        <v>490.3197</v>
      </c>
      <c r="CL60" s="98" t="n">
        <f aca="false">VLOOKUP($BR60,Tariff_Table_US2,CL$50)</f>
        <v>5085.76391052632</v>
      </c>
      <c r="CM60" s="1750" t="n">
        <f aca="false">VLOOKUP($BR60,Tariff_Table_US2,CM$50)</f>
        <v>158.823529411765</v>
      </c>
      <c r="CN60" s="68" t="n">
        <f aca="false">VLOOKUP($BR60,Tariff_Table_US2,CN$50)</f>
        <v>8174.90913993808</v>
      </c>
      <c r="CP60" s="1747" t="n">
        <f aca="false">VLOOKUP($BR60,Tariff_Table_US2,CP$50)</f>
        <v>49419.1773226374</v>
      </c>
      <c r="CQ60" s="109" t="n">
        <f aca="false">VLOOKUP($BR60,Tariff_Table_US2,CQ$50)</f>
        <v>52631.4238486089</v>
      </c>
      <c r="CR60" s="1715" t="n">
        <f aca="false">VLOOKUP($BR60,Tariff_Table_US2,CR$50)</f>
        <v>54064.1231110517</v>
      </c>
      <c r="CT60" s="1717" t="n">
        <f aca="false">VLOOKUP($BR60,Tariff_Table_US2,CT$50)</f>
        <v>54064.1231110517</v>
      </c>
      <c r="CU60" s="1752" t="n">
        <f aca="false">VLOOKUP($BR60,Tariff_Table_US2,CU$50)</f>
        <v>12</v>
      </c>
      <c r="CV60" s="1719" t="n">
        <f aca="false">VLOOKUP($BR60,Tariff_Table_US2,CV$50)</f>
        <v>480</v>
      </c>
      <c r="CW60" s="1715" t="n">
        <f aca="false">VLOOKUP($BR60,Tariff_Table_US2,CW$50)</f>
        <v>9386.1324845576</v>
      </c>
    </row>
    <row r="61" customFormat="false" ht="12.75" hidden="false" customHeight="false" outlineLevel="0" collapsed="false">
      <c r="B61" s="1746" t="n">
        <f aca="false">B60+1</f>
        <v>7</v>
      </c>
      <c r="C61" s="320" t="n">
        <f aca="false">Tariff!D48</f>
        <v>9803.42</v>
      </c>
      <c r="D61" s="1739"/>
      <c r="E61" s="1743" t="n">
        <f aca="false">VLOOKUP($B61,Tariff_Table_US,$AG$50)</f>
        <v>9275.957749557</v>
      </c>
      <c r="F61" s="109" t="n">
        <f aca="false">VLOOKUP($B61,Tariff_Table_R,'R$ Table'!$AB$50)</f>
        <v>245.675842562944</v>
      </c>
      <c r="G61" s="1715" t="n">
        <f aca="false">SUM(E61:F61)</f>
        <v>9521.63359211995</v>
      </c>
      <c r="H61" s="1561" t="n">
        <f aca="false">E61/$G61</f>
        <v>0.974198141507329</v>
      </c>
      <c r="I61" s="306" t="n">
        <f aca="false">F61/$G61</f>
        <v>0.0258018584926713</v>
      </c>
      <c r="J61" s="388"/>
      <c r="K61" s="1744" t="n">
        <f aca="false">SUM(H61:I61)</f>
        <v>1</v>
      </c>
      <c r="N61" s="1531" t="n">
        <f aca="false">N60+1</f>
        <v>2005</v>
      </c>
      <c r="O61" s="1709" t="n">
        <f aca="false">IF($N61&lt;YEAR(Startops3),0,VLOOKUP(($N61-YEAR(Startops3)+1)*2-'Debt Amort'!$B$36,Fin_Table,'Debt Amort'!AE$77))</f>
        <v>7818.43660714286</v>
      </c>
      <c r="P61" s="1708" t="n">
        <f aca="false">IF($N61&lt;YEAR(Startops3),0,VLOOKUP(($N61-YEAR(Startops3)+1)*2-'Debt Amort'!$B$36,Fin_Table,'Debt Amort'!AF$77))</f>
        <v>10017.8571428571</v>
      </c>
      <c r="Q61" s="1741"/>
      <c r="R61" s="1712" t="n">
        <f aca="false">IF($N61&lt;YEAR(Startops3),0,VLOOKUP(($N61-YEAR(Startops3)+1)*2-'Debt Amort'!$B$36,Fin_Table,'Debt Amort'!AG$77))</f>
        <v>3468.40469062521</v>
      </c>
      <c r="S61" s="1745" t="n">
        <f aca="false">IF($N61&lt;YEAR(Startops3),0,VLOOKUP(($N61-YEAR(Startops3)+1)*2-'Debt Amort'!$B$36,Fin_Table,'Debt Amort'!AH$77))</f>
        <v>3296.30224347767</v>
      </c>
      <c r="T61" s="1711" t="n">
        <f aca="false">SUM(O61:S61)</f>
        <v>24601.0006841029</v>
      </c>
      <c r="W61" s="1531" t="n">
        <f aca="false">$N61</f>
        <v>2005</v>
      </c>
      <c r="X61" s="1709" t="n">
        <f aca="false">IF($N61&lt;YEAR(Startops3),0,VLOOKUP(($N61-YEAR(Startops3)+1)*2-'Debt Amort'!$B$36,Fin_Table,'Debt Amort'!AC$77))</f>
        <v>5374.17456746693</v>
      </c>
      <c r="Z61" s="1708" t="n">
        <f aca="false">IF($N61&lt;YEAR(Startops3),0,VLOOKUP(($N61-YEAR(Startops3)+1)*2-'Debt Amort'!$B$36,Fin_Table,'Debt Amort'!AD$77))</f>
        <v>3251.56785245242</v>
      </c>
      <c r="AA61" s="1711" t="n">
        <f aca="false">SUM(X61:Z61)</f>
        <v>8625.74241991935</v>
      </c>
      <c r="AC61" s="1531" t="n">
        <f aca="false">$N61</f>
        <v>2005</v>
      </c>
      <c r="AD61" s="1712" t="n">
        <f aca="false">HLOOKUP($AC61,Rev_Exp_Table,Rev_Exp!$AA$81)/HLOOKUP($AC61,Rev_Exp_Table,Rev_Exp!$AA$25)</f>
        <v>900</v>
      </c>
      <c r="AE61" s="1712" t="n">
        <f aca="false">HLOOKUP($AC61,Rev_Exp_Table,Rev_Exp!$AA$82)/HLOOKUP($AC61,Rev_Exp_Table,Rev_Exp!$AA$25)</f>
        <v>150</v>
      </c>
      <c r="AF61" s="1712" t="n">
        <f aca="false">HLOOKUP($AC61,Rev_Exp_Table,Rev_Exp!$AA$83)/HLOOKUP($AC61,Rev_Exp_Table,Rev_Exp!$AA$25)</f>
        <v>1390.002</v>
      </c>
      <c r="AG61" s="1712" t="n">
        <f aca="false">HLOOKUP($AC61,Rev_Exp_Table,Rev_Exp!$AA$84)/HLOOKUP($AC61,Rev_Exp_Table,Rev_Exp!$AA$25)</f>
        <v>490.3197</v>
      </c>
      <c r="AH61" s="1712" t="n">
        <f aca="false">AVERAGE(Trapped!$G$64:$Y$64)*(1+Trapped!$D$67)</f>
        <v>5085.76391052632</v>
      </c>
      <c r="AI61" s="1708" t="n">
        <f aca="false">AD61*AI$54</f>
        <v>158.823529411765</v>
      </c>
      <c r="AJ61" s="1710" t="n">
        <f aca="false">SUM(AD61:AI61)</f>
        <v>8174.90913993808</v>
      </c>
      <c r="BI61" s="0"/>
      <c r="BR61" s="1746" t="n">
        <f aca="false">$B61</f>
        <v>7</v>
      </c>
      <c r="BU61" s="1747" t="n">
        <f aca="false">VLOOKUP($BR61,Tariff_Table_US2,BU$50)</f>
        <v>7576.00446428572</v>
      </c>
      <c r="BV61" s="1748" t="n">
        <f aca="false">VLOOKUP($BR61,Tariff_Table_US2,BV$50)</f>
        <v>10017.8571428571</v>
      </c>
      <c r="BW61" s="1749" t="n">
        <f aca="false">VLOOKUP($BR61,Tariff_Table_US2,BW$50)</f>
        <v>3344.39535241041</v>
      </c>
      <c r="BX61" s="1750" t="n">
        <f aca="false">VLOOKUP($BR61,Tariff_Table_US2,BX$50)</f>
        <v>3442.31257512042</v>
      </c>
      <c r="BY61" s="1751" t="n">
        <f aca="false">VLOOKUP($BR61,Tariff_Table_US2,BY$50)</f>
        <v>24380.5695346737</v>
      </c>
      <c r="CA61" s="1747" t="n">
        <f aca="false">VLOOKUP($BR61,Tariff_Table_US2,CA$50)</f>
        <v>7314.17086040211</v>
      </c>
      <c r="CB61" s="1579" t="n">
        <f aca="false">VLOOKUP($BR61,Tariff_Table_US2,CB$50)</f>
        <v>343.701422114628</v>
      </c>
      <c r="CD61" s="1747" t="n">
        <f aca="false">VLOOKUP($BR61,Tariff_Table_US2,CD$50)</f>
        <v>5228.69400246845</v>
      </c>
      <c r="CE61" s="1750" t="n">
        <f aca="false">VLOOKUP($BR61,Tariff_Table_US2,CE$50)</f>
        <v>3397.0484174509</v>
      </c>
      <c r="CF61" s="1751" t="n">
        <f aca="false">VLOOKUP($BR61,Tariff_Table_US2,CF$50)</f>
        <v>8625.74241991935</v>
      </c>
      <c r="CH61" s="1747" t="n">
        <f aca="false">VLOOKUP($BR61,Tariff_Table_US2,CH$50)</f>
        <v>900</v>
      </c>
      <c r="CI61" s="98" t="n">
        <f aca="false">VLOOKUP($BR61,Tariff_Table_US2,CI$50)</f>
        <v>150</v>
      </c>
      <c r="CJ61" s="98" t="n">
        <f aca="false">VLOOKUP($BR61,Tariff_Table_US2,CJ$50)</f>
        <v>1390.002</v>
      </c>
      <c r="CK61" s="98" t="n">
        <f aca="false">VLOOKUP($BR61,Tariff_Table_US2,CK$50)</f>
        <v>490.3197</v>
      </c>
      <c r="CL61" s="98" t="n">
        <f aca="false">VLOOKUP($BR61,Tariff_Table_US2,CL$50)</f>
        <v>5085.76391052632</v>
      </c>
      <c r="CM61" s="1750" t="n">
        <f aca="false">VLOOKUP($BR61,Tariff_Table_US2,CM$50)</f>
        <v>158.823529411765</v>
      </c>
      <c r="CN61" s="68" t="n">
        <f aca="false">VLOOKUP($BR61,Tariff_Table_US2,CN$50)</f>
        <v>8174.90913993808</v>
      </c>
      <c r="CP61" s="1747" t="n">
        <f aca="false">VLOOKUP($BR61,Tariff_Table_US2,CP$50)</f>
        <v>48839.0933770479</v>
      </c>
      <c r="CQ61" s="109" t="n">
        <f aca="false">VLOOKUP($BR61,Tariff_Table_US2,CQ$50)</f>
        <v>52013.634446556</v>
      </c>
      <c r="CR61" s="1715" t="n">
        <f aca="false">VLOOKUP($BR61,Tariff_Table_US2,CR$50)</f>
        <v>53429.5166374483</v>
      </c>
      <c r="CT61" s="1717" t="n">
        <f aca="false">VLOOKUP($BR61,Tariff_Table_US2,CT$50)</f>
        <v>53429.5166374483</v>
      </c>
      <c r="CU61" s="1752" t="n">
        <f aca="false">VLOOKUP($BR61,Tariff_Table_US2,CU$50)</f>
        <v>12</v>
      </c>
      <c r="CV61" s="1719" t="n">
        <f aca="false">VLOOKUP($BR61,Tariff_Table_US2,CV$50)</f>
        <v>480</v>
      </c>
      <c r="CW61" s="1715" t="n">
        <f aca="false">VLOOKUP($BR61,Tariff_Table_US2,CW$50)</f>
        <v>9275.957749557</v>
      </c>
    </row>
    <row r="62" customFormat="false" ht="12.75" hidden="false" customHeight="false" outlineLevel="0" collapsed="false">
      <c r="B62" s="1746" t="n">
        <f aca="false">B61+1</f>
        <v>8</v>
      </c>
      <c r="C62" s="320" t="n">
        <f aca="false">Tariff!D49</f>
        <v>9776.1</v>
      </c>
      <c r="D62" s="1739"/>
      <c r="E62" s="1743" t="n">
        <f aca="false">VLOOKUP($B62,Tariff_Table_US,$AG$50)</f>
        <v>9091.52761508159</v>
      </c>
      <c r="F62" s="109" t="n">
        <f aca="false">VLOOKUP($B62,Tariff_Table_R,'R$ Table'!$AB$50)</f>
        <v>275.162544771858</v>
      </c>
      <c r="G62" s="1715" t="n">
        <f aca="false">SUM(E62:F62)</f>
        <v>9366.69015985345</v>
      </c>
      <c r="H62" s="1561" t="n">
        <f aca="false">E62/$G62</f>
        <v>0.970623289542422</v>
      </c>
      <c r="I62" s="306" t="n">
        <f aca="false">F62/$G62</f>
        <v>0.0293767104575778</v>
      </c>
      <c r="J62" s="388"/>
      <c r="K62" s="1744" t="n">
        <f aca="false">SUM(H62:I62)</f>
        <v>1</v>
      </c>
      <c r="N62" s="1531" t="n">
        <f aca="false">N61+1</f>
        <v>2006</v>
      </c>
      <c r="O62" s="1709" t="n">
        <f aca="false">IF($N62&lt;YEAR(Startops3),0,VLOOKUP(($N62-YEAR(Startops3)+1)*2-'Debt Amort'!$B$36,Fin_Table,'Debt Amort'!AE$77))</f>
        <v>7091.14017857143</v>
      </c>
      <c r="P62" s="1708" t="n">
        <f aca="false">IF($N62&lt;YEAR(Startops3),0,VLOOKUP(($N62-YEAR(Startops3)+1)*2-'Debt Amort'!$B$36,Fin_Table,'Debt Amort'!AF$77))</f>
        <v>10017.8571428571</v>
      </c>
      <c r="Q62" s="1741"/>
      <c r="R62" s="1712" t="n">
        <f aca="false">IF($N62&lt;YEAR(Startops3),0,VLOOKUP(($N62-YEAR(Startops3)+1)*2-'Debt Amort'!$B$36,Fin_Table,'Debt Amort'!AG$77))</f>
        <v>3096.3766759808</v>
      </c>
      <c r="S62" s="1745" t="n">
        <f aca="false">IF($N62&lt;YEAR(Startops3),0,VLOOKUP(($N62-YEAR(Startops3)+1)*2-'Debt Amort'!$B$36,Fin_Table,'Debt Amort'!AH$77))</f>
        <v>3734.33323840592</v>
      </c>
      <c r="T62" s="1711" t="n">
        <f aca="false">SUM(O62:S62)</f>
        <v>23939.7072358153</v>
      </c>
      <c r="W62" s="1531" t="n">
        <f aca="false">$N62</f>
        <v>2006</v>
      </c>
      <c r="X62" s="1709" t="n">
        <f aca="false">IF($N62&lt;YEAR(Startops3),0,VLOOKUP(($N62-YEAR(Startops3)+1)*2-'Debt Amort'!$B$36,Fin_Table,'Debt Amort'!AC$77))</f>
        <v>4937.7328724715</v>
      </c>
      <c r="Z62" s="1708" t="n">
        <f aca="false">IF($N62&lt;YEAR(Startops3),0,VLOOKUP(($N62-YEAR(Startops3)+1)*2-'Debt Amort'!$B$36,Fin_Table,'Debt Amort'!AD$77))</f>
        <v>3688.00954744785</v>
      </c>
      <c r="AA62" s="1711" t="n">
        <f aca="false">SUM(X62:Z62)</f>
        <v>8625.74241991935</v>
      </c>
      <c r="AC62" s="1531" t="n">
        <f aca="false">$N62</f>
        <v>2006</v>
      </c>
      <c r="AD62" s="1712" t="n">
        <f aca="false">HLOOKUP($AC62,Rev_Exp_Table,Rev_Exp!$AA$81)/HLOOKUP($AC62,Rev_Exp_Table,Rev_Exp!$AA$25)</f>
        <v>900</v>
      </c>
      <c r="AE62" s="1712" t="n">
        <f aca="false">HLOOKUP($AC62,Rev_Exp_Table,Rev_Exp!$AA$82)/HLOOKUP($AC62,Rev_Exp_Table,Rev_Exp!$AA$25)</f>
        <v>150</v>
      </c>
      <c r="AF62" s="1712" t="n">
        <f aca="false">HLOOKUP($AC62,Rev_Exp_Table,Rev_Exp!$AA$83)/HLOOKUP($AC62,Rev_Exp_Table,Rev_Exp!$AA$25)</f>
        <v>1390.002</v>
      </c>
      <c r="AG62" s="1712" t="n">
        <f aca="false">HLOOKUP($AC62,Rev_Exp_Table,Rev_Exp!$AA$84)/HLOOKUP($AC62,Rev_Exp_Table,Rev_Exp!$AA$25)</f>
        <v>490.3197</v>
      </c>
      <c r="AH62" s="1712" t="n">
        <f aca="false">AVERAGE(Trapped!$G$64:$Y$64)*(1+Trapped!$D$67)</f>
        <v>5085.76391052632</v>
      </c>
      <c r="AI62" s="1708" t="n">
        <f aca="false">AD62*AI$54</f>
        <v>158.823529411765</v>
      </c>
      <c r="AJ62" s="1710" t="n">
        <f aca="false">SUM(AD62:AI62)</f>
        <v>8174.90913993808</v>
      </c>
      <c r="BI62" s="0"/>
      <c r="BR62" s="1746" t="n">
        <f aca="false">$B62</f>
        <v>8</v>
      </c>
      <c r="BU62" s="1747" t="n">
        <f aca="false">VLOOKUP($BR62,Tariff_Table_US2,BU$50)</f>
        <v>6848.70803571429</v>
      </c>
      <c r="BV62" s="1748" t="n">
        <f aca="false">VLOOKUP($BR62,Tariff_Table_US2,BV$50)</f>
        <v>10017.8571428571</v>
      </c>
      <c r="BW62" s="1749" t="n">
        <f aca="false">VLOOKUP($BR62,Tariff_Table_US2,BW$50)</f>
        <v>2954.32382325354</v>
      </c>
      <c r="BX62" s="1750" t="n">
        <f aca="false">VLOOKUP($BR62,Tariff_Table_US2,BX$50)</f>
        <v>3825.21103818357</v>
      </c>
      <c r="BY62" s="1751" t="n">
        <f aca="false">VLOOKUP($BR62,Tariff_Table_US2,BY$50)</f>
        <v>23646.1000400085</v>
      </c>
      <c r="CA62" s="1747" t="n">
        <f aca="false">VLOOKUP($BR62,Tariff_Table_US2,CA$50)</f>
        <v>7093.83001200256</v>
      </c>
      <c r="CB62" s="1579" t="n">
        <f aca="false">VLOOKUP($BR62,Tariff_Table_US2,CB$50)</f>
        <v>327.46372869854</v>
      </c>
      <c r="CD62" s="1747" t="n">
        <f aca="false">VLOOKUP($BR62,Tariff_Table_US2,CD$50)</f>
        <v>4772.72517863611</v>
      </c>
      <c r="CE62" s="1750" t="n">
        <f aca="false">VLOOKUP($BR62,Tariff_Table_US2,CE$50)</f>
        <v>3853.01724128325</v>
      </c>
      <c r="CF62" s="1751" t="n">
        <f aca="false">VLOOKUP($BR62,Tariff_Table_US2,CF$50)</f>
        <v>8625.74241991935</v>
      </c>
      <c r="CH62" s="1747" t="n">
        <f aca="false">VLOOKUP($BR62,Tariff_Table_US2,CH$50)</f>
        <v>900</v>
      </c>
      <c r="CI62" s="98" t="n">
        <f aca="false">VLOOKUP($BR62,Tariff_Table_US2,CI$50)</f>
        <v>150</v>
      </c>
      <c r="CJ62" s="98" t="n">
        <f aca="false">VLOOKUP($BR62,Tariff_Table_US2,CJ$50)</f>
        <v>1390.002</v>
      </c>
      <c r="CK62" s="98" t="n">
        <f aca="false">VLOOKUP($BR62,Tariff_Table_US2,CK$50)</f>
        <v>490.3197</v>
      </c>
      <c r="CL62" s="98" t="n">
        <f aca="false">VLOOKUP($BR62,Tariff_Table_US2,CL$50)</f>
        <v>5085.76391052632</v>
      </c>
      <c r="CM62" s="1750" t="n">
        <f aca="false">VLOOKUP($BR62,Tariff_Table_US2,CM$50)</f>
        <v>158.823529411765</v>
      </c>
      <c r="CN62" s="68" t="n">
        <f aca="false">VLOOKUP($BR62,Tariff_Table_US2,CN$50)</f>
        <v>8174.90913993808</v>
      </c>
      <c r="CP62" s="1747" t="n">
        <f aca="false">VLOOKUP($BR62,Tariff_Table_US2,CP$50)</f>
        <v>47868.0453405671</v>
      </c>
      <c r="CQ62" s="109" t="n">
        <f aca="false">VLOOKUP($BR62,Tariff_Table_US2,CQ$50)</f>
        <v>50979.4682877039</v>
      </c>
      <c r="CR62" s="1715" t="n">
        <f aca="false">VLOOKUP($BR62,Tariff_Table_US2,CR$50)</f>
        <v>52367.19906287</v>
      </c>
      <c r="CT62" s="1717" t="n">
        <f aca="false">VLOOKUP($BR62,Tariff_Table_US2,CT$50)</f>
        <v>52367.19906287</v>
      </c>
      <c r="CU62" s="1752" t="n">
        <f aca="false">VLOOKUP($BR62,Tariff_Table_US2,CU$50)</f>
        <v>12</v>
      </c>
      <c r="CV62" s="1719" t="n">
        <f aca="false">VLOOKUP($BR62,Tariff_Table_US2,CV$50)</f>
        <v>480</v>
      </c>
      <c r="CW62" s="1715" t="n">
        <f aca="false">VLOOKUP($BR62,Tariff_Table_US2,CW$50)</f>
        <v>9091.52761508159</v>
      </c>
    </row>
    <row r="63" customFormat="false" ht="12.75" hidden="false" customHeight="false" outlineLevel="0" collapsed="false">
      <c r="B63" s="1746" t="n">
        <f aca="false">B62+1</f>
        <v>9</v>
      </c>
      <c r="C63" s="320" t="n">
        <f aca="false">Tariff!D50</f>
        <v>10096.24</v>
      </c>
      <c r="D63" s="1739"/>
      <c r="E63" s="1743" t="n">
        <f aca="false">VLOOKUP($B63,Tariff_Table_US,$AG$50)</f>
        <v>8765.84746370577</v>
      </c>
      <c r="F63" s="109" t="n">
        <f aca="false">VLOOKUP($B63,Tariff_Table_R,'R$ Table'!$AB$50)</f>
        <v>337.686793103979</v>
      </c>
      <c r="G63" s="1715" t="n">
        <f aca="false">SUM(E63:F63)</f>
        <v>9103.53425680975</v>
      </c>
      <c r="H63" s="1561" t="n">
        <f aca="false">E63/$G63</f>
        <v>0.96290596777275</v>
      </c>
      <c r="I63" s="306" t="n">
        <f aca="false">F63/$G63</f>
        <v>0.0370940322272505</v>
      </c>
      <c r="J63" s="388"/>
      <c r="K63" s="1744" t="n">
        <f aca="false">SUM(H63:I63)</f>
        <v>1</v>
      </c>
      <c r="N63" s="1531" t="n">
        <f aca="false">N62+1</f>
        <v>2007</v>
      </c>
      <c r="O63" s="1709" t="n">
        <f aca="false">IF($N63&lt;YEAR(Startops3),0,VLOOKUP(($N63-YEAR(Startops3)+1)*2-'Debt Amort'!$B$36,Fin_Table,'Debt Amort'!AE$77))</f>
        <v>6363.84375000001</v>
      </c>
      <c r="P63" s="1708" t="n">
        <f aca="false">IF($N63&lt;YEAR(Startops3),0,VLOOKUP(($N63-YEAR(Startops3)+1)*2-'Debt Amort'!$B$36,Fin_Table,'Debt Amort'!AF$77))</f>
        <v>10017.8571428571</v>
      </c>
      <c r="Q63" s="1741"/>
      <c r="R63" s="1712" t="n">
        <f aca="false">IF($N63&lt;YEAR(Startops3),0,VLOOKUP(($N63-YEAR(Startops3)+1)*2-'Debt Amort'!$B$36,Fin_Table,'Debt Amort'!AG$77))</f>
        <v>2670.21811779903</v>
      </c>
      <c r="S63" s="1745" t="n">
        <f aca="false">IF($N63&lt;YEAR(Startops3),0,VLOOKUP(($N63-YEAR(Startops3)+1)*2-'Debt Amort'!$B$36,Fin_Table,'Debt Amort'!AH$77))</f>
        <v>4006.96663773886</v>
      </c>
      <c r="T63" s="1711" t="n">
        <f aca="false">SUM(O63:S63)</f>
        <v>23058.885648395</v>
      </c>
      <c r="W63" s="1531" t="n">
        <f aca="false">$N63</f>
        <v>2007</v>
      </c>
      <c r="X63" s="1709" t="n">
        <f aca="false">IF($N63&lt;YEAR(Startops3),0,VLOOKUP(($N63-YEAR(Startops3)+1)*2-'Debt Amort'!$B$36,Fin_Table,'Debt Amort'!AC$77))</f>
        <v>4442.70979096531</v>
      </c>
      <c r="Z63" s="1708" t="n">
        <f aca="false">IF($N63&lt;YEAR(Startops3),0,VLOOKUP(($N63-YEAR(Startops3)+1)*2-'Debt Amort'!$B$36,Fin_Table,'Debt Amort'!AD$77))</f>
        <v>4183.03262895404</v>
      </c>
      <c r="AA63" s="1711" t="n">
        <f aca="false">SUM(X63:Z63)</f>
        <v>8625.74241991935</v>
      </c>
      <c r="AC63" s="1531" t="n">
        <f aca="false">$N63</f>
        <v>2007</v>
      </c>
      <c r="AD63" s="1712" t="n">
        <f aca="false">HLOOKUP($AC63,Rev_Exp_Table,Rev_Exp!$AA$81)/HLOOKUP($AC63,Rev_Exp_Table,Rev_Exp!$AA$25)</f>
        <v>900</v>
      </c>
      <c r="AE63" s="1712" t="n">
        <f aca="false">HLOOKUP($AC63,Rev_Exp_Table,Rev_Exp!$AA$82)/HLOOKUP($AC63,Rev_Exp_Table,Rev_Exp!$AA$25)</f>
        <v>150</v>
      </c>
      <c r="AF63" s="1712" t="n">
        <f aca="false">HLOOKUP($AC63,Rev_Exp_Table,Rev_Exp!$AA$83)/HLOOKUP($AC63,Rev_Exp_Table,Rev_Exp!$AA$25)</f>
        <v>1390.002</v>
      </c>
      <c r="AG63" s="1712" t="n">
        <f aca="false">HLOOKUP($AC63,Rev_Exp_Table,Rev_Exp!$AA$84)/HLOOKUP($AC63,Rev_Exp_Table,Rev_Exp!$AA$25)</f>
        <v>490.3197</v>
      </c>
      <c r="AH63" s="1712" t="n">
        <f aca="false">AVERAGE(Trapped!$G$64:$Y$64)*(1+Trapped!$D$67)</f>
        <v>5085.76391052632</v>
      </c>
      <c r="AI63" s="1708" t="n">
        <f aca="false">AD63*AI$54</f>
        <v>158.823529411765</v>
      </c>
      <c r="AJ63" s="1710" t="n">
        <f aca="false">SUM(AD63:AI63)</f>
        <v>8174.90913993808</v>
      </c>
      <c r="BI63" s="0"/>
      <c r="BR63" s="1746" t="n">
        <f aca="false">$B63</f>
        <v>9</v>
      </c>
      <c r="BU63" s="1747" t="n">
        <f aca="false">VLOOKUP($BR63,Tariff_Table_US2,BU$50)</f>
        <v>6121.41160714286</v>
      </c>
      <c r="BV63" s="1748" t="n">
        <f aca="false">VLOOKUP($BR63,Tariff_Table_US2,BV$50)</f>
        <v>10017.8571428571</v>
      </c>
      <c r="BW63" s="1749" t="n">
        <f aca="false">VLOOKUP($BR63,Tariff_Table_US2,BW$50)</f>
        <v>2523.16244219401</v>
      </c>
      <c r="BX63" s="1750" t="n">
        <f aca="false">VLOOKUP($BR63,Tariff_Table_US2,BX$50)</f>
        <v>3684.65337452747</v>
      </c>
      <c r="BY63" s="1751" t="n">
        <f aca="false">VLOOKUP($BR63,Tariff_Table_US2,BY$50)</f>
        <v>22347.0845667215</v>
      </c>
      <c r="CA63" s="1747" t="n">
        <f aca="false">VLOOKUP($BR63,Tariff_Table_US2,CA$50)</f>
        <v>6704.12537001645</v>
      </c>
      <c r="CB63" s="1579" t="n">
        <f aca="false">VLOOKUP($BR63,Tariff_Table_US2,CB$50)</f>
        <v>301.436563578524</v>
      </c>
      <c r="CD63" s="1747" t="n">
        <f aca="false">VLOOKUP($BR63,Tariff_Table_US2,CD$50)</f>
        <v>4255.55393942486</v>
      </c>
      <c r="CE63" s="1750" t="n">
        <f aca="false">VLOOKUP($BR63,Tariff_Table_US2,CE$50)</f>
        <v>4370.18848049449</v>
      </c>
      <c r="CF63" s="1751" t="n">
        <f aca="false">VLOOKUP($BR63,Tariff_Table_US2,CF$50)</f>
        <v>8625.74241991935</v>
      </c>
      <c r="CH63" s="1747" t="n">
        <f aca="false">VLOOKUP($BR63,Tariff_Table_US2,CH$50)</f>
        <v>900</v>
      </c>
      <c r="CI63" s="98" t="n">
        <f aca="false">VLOOKUP($BR63,Tariff_Table_US2,CI$50)</f>
        <v>150</v>
      </c>
      <c r="CJ63" s="98" t="n">
        <f aca="false">VLOOKUP($BR63,Tariff_Table_US2,CJ$50)</f>
        <v>1390.002</v>
      </c>
      <c r="CK63" s="98" t="n">
        <f aca="false">VLOOKUP($BR63,Tariff_Table_US2,CK$50)</f>
        <v>490.3197</v>
      </c>
      <c r="CL63" s="98" t="n">
        <f aca="false">VLOOKUP($BR63,Tariff_Table_US2,CL$50)</f>
        <v>5085.76391052632</v>
      </c>
      <c r="CM63" s="1750" t="n">
        <f aca="false">VLOOKUP($BR63,Tariff_Table_US2,CM$50)</f>
        <v>158.823529411765</v>
      </c>
      <c r="CN63" s="68" t="n">
        <f aca="false">VLOOKUP($BR63,Tariff_Table_US2,CN$50)</f>
        <v>8174.90913993808</v>
      </c>
      <c r="CP63" s="1747" t="n">
        <f aca="false">VLOOKUP($BR63,Tariff_Table_US2,CP$50)</f>
        <v>46153.2980601739</v>
      </c>
      <c r="CQ63" s="109" t="n">
        <f aca="false">VLOOKUP($BR63,Tariff_Table_US2,CQ$50)</f>
        <v>49153.2624340852</v>
      </c>
      <c r="CR63" s="1715" t="n">
        <f aca="false">VLOOKUP($BR63,Tariff_Table_US2,CR$50)</f>
        <v>50491.2813909452</v>
      </c>
      <c r="CT63" s="1717" t="n">
        <f aca="false">VLOOKUP($BR63,Tariff_Table_US2,CT$50)</f>
        <v>50491.2813909452</v>
      </c>
      <c r="CU63" s="1752" t="n">
        <f aca="false">VLOOKUP($BR63,Tariff_Table_US2,CU$50)</f>
        <v>12</v>
      </c>
      <c r="CV63" s="1719" t="n">
        <f aca="false">VLOOKUP($BR63,Tariff_Table_US2,CV$50)</f>
        <v>480</v>
      </c>
      <c r="CW63" s="1715" t="n">
        <f aca="false">VLOOKUP($BR63,Tariff_Table_US2,CW$50)</f>
        <v>8765.84746370577</v>
      </c>
    </row>
    <row r="64" customFormat="false" ht="12.75" hidden="false" customHeight="false" outlineLevel="0" collapsed="false">
      <c r="B64" s="1746" t="n">
        <f aca="false">B63+1</f>
        <v>10</v>
      </c>
      <c r="C64" s="320" t="n">
        <f aca="false">Tariff!D51</f>
        <v>10416.24</v>
      </c>
      <c r="D64" s="1739"/>
      <c r="E64" s="1743" t="n">
        <f aca="false">VLOOKUP($B64,Tariff_Table_US,$AG$50)</f>
        <v>8247.85976784639</v>
      </c>
      <c r="F64" s="109" t="n">
        <f aca="false">VLOOKUP($B64,Tariff_Table_R,'R$ Table'!$AB$50)</f>
        <v>445.470391589927</v>
      </c>
      <c r="G64" s="1715" t="n">
        <f aca="false">SUM(E64:F64)</f>
        <v>8693.33015943632</v>
      </c>
      <c r="H64" s="1561" t="n">
        <f aca="false">E64/$G64</f>
        <v>0.948757221522712</v>
      </c>
      <c r="I64" s="306" t="n">
        <f aca="false">F64/$G64</f>
        <v>0.0512427784772886</v>
      </c>
      <c r="J64" s="388"/>
      <c r="K64" s="1744" t="n">
        <f aca="false">SUM(H64:I64)</f>
        <v>1</v>
      </c>
      <c r="N64" s="1531" t="n">
        <f aca="false">N63+1</f>
        <v>2008</v>
      </c>
      <c r="O64" s="1709" t="n">
        <f aca="false">IF($N64&lt;YEAR(Startops3),0,VLOOKUP(($N64-YEAR(Startops3)+1)*2-'Debt Amort'!$B$36,Fin_Table,'Debt Amort'!AE$77))</f>
        <v>5636.54732142858</v>
      </c>
      <c r="P64" s="1708" t="n">
        <f aca="false">IF($N64&lt;YEAR(Startops3),0,VLOOKUP(($N64-YEAR(Startops3)+1)*2-'Debt Amort'!$B$36,Fin_Table,'Debt Amort'!AF$77))</f>
        <v>10017.8571428571</v>
      </c>
      <c r="Q64" s="1741"/>
      <c r="R64" s="1712" t="n">
        <f aca="false">IF($N64&lt;YEAR(Startops3),0,VLOOKUP(($N64-YEAR(Startops3)+1)*2-'Debt Amort'!$B$36,Fin_Table,'Debt Amort'!AG$77))</f>
        <v>2229.05109098398</v>
      </c>
      <c r="S64" s="1745" t="n">
        <f aca="false">IF($N64&lt;YEAR(Startops3),0,VLOOKUP(($N64-YEAR(Startops3)+1)*2-'Debt Amort'!$B$36,Fin_Table,'Debt Amort'!AH$77))</f>
        <v>3040.02684810471</v>
      </c>
      <c r="T64" s="1711" t="n">
        <f aca="false">SUM(O64:S64)</f>
        <v>20923.4824033744</v>
      </c>
      <c r="W64" s="1531" t="n">
        <f aca="false">$N64</f>
        <v>2008</v>
      </c>
      <c r="X64" s="1709" t="n">
        <f aca="false">IF($N64&lt;YEAR(Startops3),0,VLOOKUP(($N64-YEAR(Startops3)+1)*2-'Debt Amort'!$B$36,Fin_Table,'Debt Amort'!AC$77))</f>
        <v>3881.24223634396</v>
      </c>
      <c r="Z64" s="1708" t="n">
        <f aca="false">IF($N64&lt;YEAR(Startops3),0,VLOOKUP(($N64-YEAR(Startops3)+1)*2-'Debt Amort'!$B$36,Fin_Table,'Debt Amort'!AD$77))</f>
        <v>4744.5001835754</v>
      </c>
      <c r="AA64" s="1711" t="n">
        <f aca="false">SUM(X64:Z64)</f>
        <v>8625.74241991935</v>
      </c>
      <c r="AC64" s="1531" t="n">
        <f aca="false">$N64</f>
        <v>2008</v>
      </c>
      <c r="AD64" s="1712" t="n">
        <f aca="false">HLOOKUP($AC64,Rev_Exp_Table,Rev_Exp!$AA$81)/HLOOKUP($AC64,Rev_Exp_Table,Rev_Exp!$AA$25)</f>
        <v>900</v>
      </c>
      <c r="AE64" s="1712" t="n">
        <f aca="false">HLOOKUP($AC64,Rev_Exp_Table,Rev_Exp!$AA$82)/HLOOKUP($AC64,Rev_Exp_Table,Rev_Exp!$AA$25)</f>
        <v>150</v>
      </c>
      <c r="AF64" s="1712" t="n">
        <f aca="false">HLOOKUP($AC64,Rev_Exp_Table,Rev_Exp!$AA$83)/HLOOKUP($AC64,Rev_Exp_Table,Rev_Exp!$AA$25)</f>
        <v>1390.002</v>
      </c>
      <c r="AG64" s="1712" t="n">
        <f aca="false">HLOOKUP($AC64,Rev_Exp_Table,Rev_Exp!$AA$84)/HLOOKUP($AC64,Rev_Exp_Table,Rev_Exp!$AA$25)</f>
        <v>490.3197</v>
      </c>
      <c r="AH64" s="1712" t="n">
        <f aca="false">AVERAGE(Trapped!$G$64:$Y$64)*(1+Trapped!$D$67)</f>
        <v>5085.76391052632</v>
      </c>
      <c r="AI64" s="1708" t="n">
        <f aca="false">AD64*AI$54</f>
        <v>158.823529411765</v>
      </c>
      <c r="AJ64" s="1710" t="n">
        <f aca="false">SUM(AD64:AI64)</f>
        <v>8174.90913993808</v>
      </c>
      <c r="BI64" s="0"/>
      <c r="BR64" s="1746" t="n">
        <f aca="false">$B64</f>
        <v>10</v>
      </c>
      <c r="BU64" s="1747" t="n">
        <f aca="false">VLOOKUP($BR64,Tariff_Table_US2,BU$50)</f>
        <v>5394.11517857143</v>
      </c>
      <c r="BV64" s="1748" t="n">
        <f aca="false">VLOOKUP($BR64,Tariff_Table_US2,BV$50)</f>
        <v>10017.8571428571</v>
      </c>
      <c r="BW64" s="1749" t="n">
        <f aca="false">VLOOKUP($BR64,Tariff_Table_US2,BW$50)</f>
        <v>2135.22545079832</v>
      </c>
      <c r="BX64" s="1750" t="n">
        <f aca="false">VLOOKUP($BR64,Tariff_Table_US2,BX$50)</f>
        <v>2717.71358489332</v>
      </c>
      <c r="BY64" s="1751" t="n">
        <f aca="false">VLOOKUP($BR64,Tariff_Table_US2,BY$50)</f>
        <v>20264.9113571202</v>
      </c>
      <c r="CA64" s="1747" t="n">
        <f aca="false">VLOOKUP($BR64,Tariff_Table_US2,CA$50)</f>
        <v>6079.47340713607</v>
      </c>
      <c r="CB64" s="1579" t="n">
        <f aca="false">VLOOKUP($BR64,Tariff_Table_US2,CB$50)</f>
        <v>280.990856948382</v>
      </c>
      <c r="CD64" s="1747" t="n">
        <f aca="false">VLOOKUP($BR64,Tariff_Table_US2,CD$50)</f>
        <v>3668.96539063049</v>
      </c>
      <c r="CE64" s="1750" t="n">
        <f aca="false">VLOOKUP($BR64,Tariff_Table_US2,CE$50)</f>
        <v>4956.77702928886</v>
      </c>
      <c r="CF64" s="1751" t="n">
        <f aca="false">VLOOKUP($BR64,Tariff_Table_US2,CF$50)</f>
        <v>8625.74241991935</v>
      </c>
      <c r="CH64" s="1747" t="n">
        <f aca="false">VLOOKUP($BR64,Tariff_Table_US2,CH$50)</f>
        <v>900</v>
      </c>
      <c r="CI64" s="98" t="n">
        <f aca="false">VLOOKUP($BR64,Tariff_Table_US2,CI$50)</f>
        <v>150</v>
      </c>
      <c r="CJ64" s="98" t="n">
        <f aca="false">VLOOKUP($BR64,Tariff_Table_US2,CJ$50)</f>
        <v>1390.002</v>
      </c>
      <c r="CK64" s="98" t="n">
        <f aca="false">VLOOKUP($BR64,Tariff_Table_US2,CK$50)</f>
        <v>490.3197</v>
      </c>
      <c r="CL64" s="98" t="n">
        <f aca="false">VLOOKUP($BR64,Tariff_Table_US2,CL$50)</f>
        <v>5085.76391052632</v>
      </c>
      <c r="CM64" s="1750" t="n">
        <f aca="false">VLOOKUP($BR64,Tariff_Table_US2,CM$50)</f>
        <v>158.823529411765</v>
      </c>
      <c r="CN64" s="68" t="n">
        <f aca="false">VLOOKUP($BR64,Tariff_Table_US2,CN$50)</f>
        <v>8174.90913993808</v>
      </c>
      <c r="CP64" s="1747" t="n">
        <f aca="false">VLOOKUP($BR64,Tariff_Table_US2,CP$50)</f>
        <v>43426.0271810621</v>
      </c>
      <c r="CQ64" s="109" t="n">
        <f aca="false">VLOOKUP($BR64,Tariff_Table_US2,CQ$50)</f>
        <v>46248.7189478311</v>
      </c>
      <c r="CR64" s="1715" t="n">
        <f aca="false">VLOOKUP($BR64,Tariff_Table_US2,CR$50)</f>
        <v>47507.6722627952</v>
      </c>
      <c r="CT64" s="1717" t="n">
        <f aca="false">VLOOKUP($BR64,Tariff_Table_US2,CT$50)</f>
        <v>47507.6722627952</v>
      </c>
      <c r="CU64" s="1752" t="n">
        <f aca="false">VLOOKUP($BR64,Tariff_Table_US2,CU$50)</f>
        <v>12</v>
      </c>
      <c r="CV64" s="1719" t="n">
        <f aca="false">VLOOKUP($BR64,Tariff_Table_US2,CV$50)</f>
        <v>480</v>
      </c>
      <c r="CW64" s="1715" t="n">
        <f aca="false">VLOOKUP($BR64,Tariff_Table_US2,CW$50)</f>
        <v>8247.85976784639</v>
      </c>
    </row>
    <row r="65" customFormat="false" ht="12.75" hidden="false" customHeight="false" outlineLevel="0" collapsed="false">
      <c r="B65" s="1746" t="n">
        <f aca="false">B64+1</f>
        <v>11</v>
      </c>
      <c r="C65" s="320" t="n">
        <f aca="false">Tariff!D52</f>
        <v>10554.88</v>
      </c>
      <c r="D65" s="1739"/>
      <c r="E65" s="1743" t="n">
        <f aca="false">VLOOKUP($B65,Tariff_Table_US,$AG$50)</f>
        <v>7842.11771827938</v>
      </c>
      <c r="F65" s="109" t="n">
        <f aca="false">VLOOKUP($B65,Tariff_Table_R,'R$ Table'!$AB$50)</f>
        <v>528.533685161207</v>
      </c>
      <c r="G65" s="1715" t="n">
        <f aca="false">SUM(E65:F65)</f>
        <v>8370.65140344059</v>
      </c>
      <c r="H65" s="1561" t="n">
        <f aca="false">E65/$G65</f>
        <v>0.936858715088295</v>
      </c>
      <c r="I65" s="306" t="n">
        <f aca="false">F65/$G65</f>
        <v>0.0631412849117052</v>
      </c>
      <c r="J65" s="388"/>
      <c r="K65" s="1744" t="n">
        <f aca="false">SUM(H65:I65)</f>
        <v>1</v>
      </c>
      <c r="N65" s="1531" t="n">
        <f aca="false">N64+1</f>
        <v>2009</v>
      </c>
      <c r="O65" s="1709" t="n">
        <f aca="false">IF($N65&lt;YEAR(Startops3),0,VLOOKUP(($N65-YEAR(Startops3)+1)*2-'Debt Amort'!$B$36,Fin_Table,'Debt Amort'!AE$77))</f>
        <v>4909.25089285715</v>
      </c>
      <c r="P65" s="1708" t="n">
        <f aca="false">IF($N65&lt;YEAR(Startops3),0,VLOOKUP(($N65-YEAR(Startops3)+1)*2-'Debt Amort'!$B$36,Fin_Table,'Debt Amort'!AF$77))</f>
        <v>10017.8571428571</v>
      </c>
      <c r="Q65" s="1741"/>
      <c r="R65" s="1712" t="n">
        <f aca="false">IF($N65&lt;YEAR(Startops3),0,VLOOKUP(($N65-YEAR(Startops3)+1)*2-'Debt Amort'!$B$36,Fin_Table,'Debt Amort'!AG$77))</f>
        <v>1947.57417042701</v>
      </c>
      <c r="S65" s="1745" t="n">
        <f aca="false">IF($N65&lt;YEAR(Startops3),0,VLOOKUP(($N65-YEAR(Startops3)+1)*2-'Debt Amort'!$B$36,Fin_Table,'Debt Amort'!AH$77))</f>
        <v>2073.08705847056</v>
      </c>
      <c r="T65" s="1711" t="n">
        <f aca="false">SUM(O65:S65)</f>
        <v>18947.7692646119</v>
      </c>
      <c r="W65" s="1531" t="n">
        <f aca="false">$N65</f>
        <v>2009</v>
      </c>
      <c r="X65" s="1709" t="n">
        <f aca="false">IF($N65&lt;YEAR(Startops3),0,VLOOKUP(($N65-YEAR(Startops3)+1)*2-'Debt Amort'!$B$36,Fin_Table,'Debt Amort'!AC$77))</f>
        <v>3244.41169920355</v>
      </c>
      <c r="Z65" s="1708" t="n">
        <f aca="false">IF($N65&lt;YEAR(Startops3),0,VLOOKUP(($N65-YEAR(Startops3)+1)*2-'Debt Amort'!$B$36,Fin_Table,'Debt Amort'!AD$77))</f>
        <v>5381.3307207158</v>
      </c>
      <c r="AA65" s="1711" t="n">
        <f aca="false">SUM(X65:Z65)</f>
        <v>8625.74241991935</v>
      </c>
      <c r="AC65" s="1531" t="n">
        <f aca="false">$N65</f>
        <v>2009</v>
      </c>
      <c r="AD65" s="1712" t="n">
        <f aca="false">HLOOKUP($AC65,Rev_Exp_Table,Rev_Exp!$AA$81)/HLOOKUP($AC65,Rev_Exp_Table,Rev_Exp!$AA$25)</f>
        <v>900</v>
      </c>
      <c r="AE65" s="1712" t="n">
        <f aca="false">HLOOKUP($AC65,Rev_Exp_Table,Rev_Exp!$AA$82)/HLOOKUP($AC65,Rev_Exp_Table,Rev_Exp!$AA$25)</f>
        <v>150</v>
      </c>
      <c r="AF65" s="1712" t="n">
        <f aca="false">HLOOKUP($AC65,Rev_Exp_Table,Rev_Exp!$AA$83)/HLOOKUP($AC65,Rev_Exp_Table,Rev_Exp!$AA$25)</f>
        <v>1390.002</v>
      </c>
      <c r="AG65" s="1712" t="n">
        <f aca="false">HLOOKUP($AC65,Rev_Exp_Table,Rev_Exp!$AA$84)/HLOOKUP($AC65,Rev_Exp_Table,Rev_Exp!$AA$25)</f>
        <v>490.3197</v>
      </c>
      <c r="AH65" s="1712" t="n">
        <f aca="false">AVERAGE(Trapped!$G$64:$Y$64)*(1+Trapped!$D$67)</f>
        <v>5085.76391052632</v>
      </c>
      <c r="AI65" s="1708" t="n">
        <f aca="false">AD65*AI$54</f>
        <v>158.823529411765</v>
      </c>
      <c r="AJ65" s="1710" t="n">
        <f aca="false">SUM(AD65:AI65)</f>
        <v>8174.90913993808</v>
      </c>
      <c r="BI65" s="0"/>
      <c r="BR65" s="1746" t="n">
        <f aca="false">$B65</f>
        <v>11</v>
      </c>
      <c r="BU65" s="1747" t="n">
        <f aca="false">VLOOKUP($BR65,Tariff_Table_US2,BU$50)</f>
        <v>4666.81875000001</v>
      </c>
      <c r="BV65" s="1748" t="n">
        <f aca="false">VLOOKUP($BR65,Tariff_Table_US2,BV$50)</f>
        <v>10017.8571428571</v>
      </c>
      <c r="BW65" s="1749" t="n">
        <f aca="false">VLOOKUP($BR65,Tariff_Table_US2,BW$50)</f>
        <v>1871.49187538114</v>
      </c>
      <c r="BX65" s="1750" t="n">
        <f aca="false">VLOOKUP($BR65,Tariff_Table_US2,BX$50)</f>
        <v>2073.08705847056</v>
      </c>
      <c r="BY65" s="1751" t="n">
        <f aca="false">VLOOKUP($BR65,Tariff_Table_US2,BY$50)</f>
        <v>18629.2548267088</v>
      </c>
      <c r="CA65" s="1747" t="n">
        <f aca="false">VLOOKUP($BR65,Tariff_Table_US2,CA$50)</f>
        <v>5588.77644801265</v>
      </c>
      <c r="CB65" s="1579" t="n">
        <f aca="false">VLOOKUP($BR65,Tariff_Table_US2,CB$50)</f>
        <v>271.06102342209</v>
      </c>
      <c r="CD65" s="1747" t="n">
        <f aca="false">VLOOKUP($BR65,Tariff_Table_US2,CD$50)</f>
        <v>3003.64199387419</v>
      </c>
      <c r="CE65" s="1750" t="n">
        <f aca="false">VLOOKUP($BR65,Tariff_Table_US2,CE$50)</f>
        <v>5622.10042604516</v>
      </c>
      <c r="CF65" s="1751" t="n">
        <f aca="false">VLOOKUP($BR65,Tariff_Table_US2,CF$50)</f>
        <v>8625.74241991935</v>
      </c>
      <c r="CH65" s="1747" t="n">
        <f aca="false">VLOOKUP($BR65,Tariff_Table_US2,CH$50)</f>
        <v>900</v>
      </c>
      <c r="CI65" s="98" t="n">
        <f aca="false">VLOOKUP($BR65,Tariff_Table_US2,CI$50)</f>
        <v>150</v>
      </c>
      <c r="CJ65" s="98" t="n">
        <f aca="false">VLOOKUP($BR65,Tariff_Table_US2,CJ$50)</f>
        <v>1390.002</v>
      </c>
      <c r="CK65" s="98" t="n">
        <f aca="false">VLOOKUP($BR65,Tariff_Table_US2,CK$50)</f>
        <v>490.3197</v>
      </c>
      <c r="CL65" s="98" t="n">
        <f aca="false">VLOOKUP($BR65,Tariff_Table_US2,CL$50)</f>
        <v>5085.76391052632</v>
      </c>
      <c r="CM65" s="1750" t="n">
        <f aca="false">VLOOKUP($BR65,Tariff_Table_US2,CM$50)</f>
        <v>158.823529411765</v>
      </c>
      <c r="CN65" s="68" t="n">
        <f aca="false">VLOOKUP($BR65,Tariff_Table_US2,CN$50)</f>
        <v>8174.90913993808</v>
      </c>
      <c r="CP65" s="1747" t="n">
        <f aca="false">VLOOKUP($BR65,Tariff_Table_US2,CP$50)</f>
        <v>41289.743858001</v>
      </c>
      <c r="CQ65" s="109" t="n">
        <f aca="false">VLOOKUP($BR65,Tariff_Table_US2,CQ$50)</f>
        <v>43973.5772087711</v>
      </c>
      <c r="CR65" s="1715" t="n">
        <f aca="false">VLOOKUP($BR65,Tariff_Table_US2,CR$50)</f>
        <v>45170.5980572892</v>
      </c>
      <c r="CT65" s="1717" t="n">
        <f aca="false">VLOOKUP($BR65,Tariff_Table_US2,CT$50)</f>
        <v>45170.5980572892</v>
      </c>
      <c r="CU65" s="1752" t="n">
        <f aca="false">VLOOKUP($BR65,Tariff_Table_US2,CU$50)</f>
        <v>12</v>
      </c>
      <c r="CV65" s="1719" t="n">
        <f aca="false">VLOOKUP($BR65,Tariff_Table_US2,CV$50)</f>
        <v>480</v>
      </c>
      <c r="CW65" s="1715" t="n">
        <f aca="false">VLOOKUP($BR65,Tariff_Table_US2,CW$50)</f>
        <v>7842.11771827938</v>
      </c>
    </row>
    <row r="66" customFormat="false" ht="12.75" hidden="false" customHeight="false" outlineLevel="0" collapsed="false">
      <c r="B66" s="1746" t="n">
        <f aca="false">B65+1</f>
        <v>12</v>
      </c>
      <c r="C66" s="320" t="n">
        <f aca="false">Tariff!D53</f>
        <v>10709.97</v>
      </c>
      <c r="D66" s="1739"/>
      <c r="E66" s="1743" t="n">
        <f aca="false">VLOOKUP($B66,Tariff_Table_US,$AG$50)</f>
        <v>7641.7468508645</v>
      </c>
      <c r="F66" s="109" t="n">
        <f aca="false">VLOOKUP($B66,Tariff_Table_R,'R$ Table'!$AB$50)</f>
        <v>564.309297658669</v>
      </c>
      <c r="G66" s="1715" t="n">
        <f aca="false">SUM(E66:F66)</f>
        <v>8206.05614852317</v>
      </c>
      <c r="H66" s="1561" t="n">
        <f aca="false">E66/$G66</f>
        <v>0.931232581468477</v>
      </c>
      <c r="I66" s="306" t="n">
        <f aca="false">F66/$G66</f>
        <v>0.0687674185315228</v>
      </c>
      <c r="J66" s="388"/>
      <c r="K66" s="1744" t="n">
        <f aca="false">SUM(H66:I66)</f>
        <v>1</v>
      </c>
      <c r="N66" s="1531" t="n">
        <f aca="false">N65+1</f>
        <v>2010</v>
      </c>
      <c r="O66" s="1709" t="n">
        <f aca="false">IF($N66&lt;YEAR(Startops3),0,VLOOKUP(($N66-YEAR(Startops3)+1)*2-'Debt Amort'!$B$36,Fin_Table,'Debt Amort'!AE$77))</f>
        <v>4181.95446428572</v>
      </c>
      <c r="P66" s="1708" t="n">
        <f aca="false">IF($N66&lt;YEAR(Startops3),0,VLOOKUP(($N66-YEAR(Startops3)+1)*2-'Debt Amort'!$B$36,Fin_Table,'Debt Amort'!AF$77))</f>
        <v>10017.8571428571</v>
      </c>
      <c r="Q66" s="1741"/>
      <c r="R66" s="1712" t="n">
        <f aca="false">IF($N66&lt;YEAR(Startops3),0,VLOOKUP(($N66-YEAR(Startops3)+1)*2-'Debt Amort'!$B$36,Fin_Table,'Debt Amort'!AG$77))</f>
        <v>1719.3272852894</v>
      </c>
      <c r="S66" s="1745" t="n">
        <f aca="false">IF($N66&lt;YEAR(Startops3),0,VLOOKUP(($N66-YEAR(Startops3)+1)*2-'Debt Amort'!$B$36,Fin_Table,'Debt Amort'!AH$77))</f>
        <v>2073.08705847056</v>
      </c>
      <c r="T66" s="1711" t="n">
        <f aca="false">SUM(O66:S66)</f>
        <v>17992.2259509028</v>
      </c>
      <c r="W66" s="1531" t="n">
        <f aca="false">$N66</f>
        <v>2010</v>
      </c>
      <c r="X66" s="1709" t="n">
        <f aca="false">IF($N66&lt;YEAR(Startops3),0,VLOOKUP(($N66-YEAR(Startops3)+1)*2-'Debt Amort'!$B$36,Fin_Table,'Debt Amort'!AC$77))</f>
        <v>2522.10258321547</v>
      </c>
      <c r="Z66" s="1708" t="n">
        <f aca="false">IF($N66&lt;YEAR(Startops3),0,VLOOKUP(($N66-YEAR(Startops3)+1)*2-'Debt Amort'!$B$36,Fin_Table,'Debt Amort'!AD$77))</f>
        <v>6103.63983670388</v>
      </c>
      <c r="AA66" s="1711" t="n">
        <f aca="false">SUM(X66:Z66)</f>
        <v>8625.74241991935</v>
      </c>
      <c r="AC66" s="1531" t="n">
        <f aca="false">$N66</f>
        <v>2010</v>
      </c>
      <c r="AD66" s="1712" t="n">
        <f aca="false">HLOOKUP($AC66,Rev_Exp_Table,Rev_Exp!$AA$81)/HLOOKUP($AC66,Rev_Exp_Table,Rev_Exp!$AA$25)</f>
        <v>900</v>
      </c>
      <c r="AE66" s="1712" t="n">
        <f aca="false">HLOOKUP($AC66,Rev_Exp_Table,Rev_Exp!$AA$82)/HLOOKUP($AC66,Rev_Exp_Table,Rev_Exp!$AA$25)</f>
        <v>150</v>
      </c>
      <c r="AF66" s="1712" t="n">
        <f aca="false">HLOOKUP($AC66,Rev_Exp_Table,Rev_Exp!$AA$83)/HLOOKUP($AC66,Rev_Exp_Table,Rev_Exp!$AA$25)</f>
        <v>1390.002</v>
      </c>
      <c r="AG66" s="1712" t="n">
        <f aca="false">HLOOKUP($AC66,Rev_Exp_Table,Rev_Exp!$AA$84)/HLOOKUP($AC66,Rev_Exp_Table,Rev_Exp!$AA$25)</f>
        <v>490.3197</v>
      </c>
      <c r="AH66" s="1712" t="n">
        <f aca="false">AVERAGE(Trapped!$G$64:$Y$64)*(1+Trapped!$D$67)</f>
        <v>5085.76391052632</v>
      </c>
      <c r="AI66" s="1708" t="n">
        <f aca="false">AD66*AI$54</f>
        <v>158.823529411765</v>
      </c>
      <c r="AJ66" s="1710" t="n">
        <f aca="false">SUM(AD66:AI66)</f>
        <v>8174.90913993808</v>
      </c>
      <c r="BI66" s="0"/>
      <c r="BR66" s="1746" t="n">
        <f aca="false">$B66</f>
        <v>12</v>
      </c>
      <c r="BU66" s="1747" t="n">
        <f aca="false">VLOOKUP($BR66,Tariff_Table_US2,BU$50)</f>
        <v>3939.52232142858</v>
      </c>
      <c r="BV66" s="1748" t="n">
        <f aca="false">VLOOKUP($BR66,Tariff_Table_US2,BV$50)</f>
        <v>10017.8571428571</v>
      </c>
      <c r="BW66" s="1749" t="n">
        <f aca="false">VLOOKUP($BR66,Tariff_Table_US2,BW$50)</f>
        <v>1643.24499024353</v>
      </c>
      <c r="BX66" s="1750" t="n">
        <f aca="false">VLOOKUP($BR66,Tariff_Table_US2,BX$50)</f>
        <v>2234.24369007625</v>
      </c>
      <c r="BY66" s="1751" t="n">
        <f aca="false">VLOOKUP($BR66,Tariff_Table_US2,BY$50)</f>
        <v>17834.8681446055</v>
      </c>
      <c r="CA66" s="1747" t="n">
        <f aca="false">VLOOKUP($BR66,Tariff_Table_US2,CA$50)</f>
        <v>5350.46044338165</v>
      </c>
      <c r="CB66" s="1579" t="n">
        <f aca="false">VLOOKUP($BR66,Tariff_Table_US2,CB$50)</f>
        <v>248.785694093063</v>
      </c>
      <c r="CD66" s="1747" t="n">
        <f aca="false">VLOOKUP($BR66,Tariff_Table_US2,CD$50)</f>
        <v>2249.01556418828</v>
      </c>
      <c r="CE66" s="1750" t="n">
        <f aca="false">VLOOKUP($BR66,Tariff_Table_US2,CE$50)</f>
        <v>6376.72685573107</v>
      </c>
      <c r="CF66" s="1751" t="n">
        <f aca="false">VLOOKUP($BR66,Tariff_Table_US2,CF$50)</f>
        <v>8625.74241991935</v>
      </c>
      <c r="CH66" s="1747" t="n">
        <f aca="false">VLOOKUP($BR66,Tariff_Table_US2,CH$50)</f>
        <v>900</v>
      </c>
      <c r="CI66" s="98" t="n">
        <f aca="false">VLOOKUP($BR66,Tariff_Table_US2,CI$50)</f>
        <v>150</v>
      </c>
      <c r="CJ66" s="98" t="n">
        <f aca="false">VLOOKUP($BR66,Tariff_Table_US2,CJ$50)</f>
        <v>1390.002</v>
      </c>
      <c r="CK66" s="98" t="n">
        <f aca="false">VLOOKUP($BR66,Tariff_Table_US2,CK$50)</f>
        <v>490.3197</v>
      </c>
      <c r="CL66" s="98" t="n">
        <f aca="false">VLOOKUP($BR66,Tariff_Table_US2,CL$50)</f>
        <v>5085.76391052632</v>
      </c>
      <c r="CM66" s="1750" t="n">
        <f aca="false">VLOOKUP($BR66,Tariff_Table_US2,CM$50)</f>
        <v>158.823529411765</v>
      </c>
      <c r="CN66" s="68" t="n">
        <f aca="false">VLOOKUP($BR66,Tariff_Table_US2,CN$50)</f>
        <v>8174.90913993808</v>
      </c>
      <c r="CP66" s="1747" t="n">
        <f aca="false">VLOOKUP($BR66,Tariff_Table_US2,CP$50)</f>
        <v>40234.7658419376</v>
      </c>
      <c r="CQ66" s="109" t="n">
        <f aca="false">VLOOKUP($BR66,Tariff_Table_US2,CQ$50)</f>
        <v>42850.0256216636</v>
      </c>
      <c r="CR66" s="1715" t="n">
        <f aca="false">VLOOKUP($BR66,Tariff_Table_US2,CR$50)</f>
        <v>44016.4618609795</v>
      </c>
      <c r="CT66" s="1717" t="n">
        <f aca="false">VLOOKUP($BR66,Tariff_Table_US2,CT$50)</f>
        <v>44016.4618609795</v>
      </c>
      <c r="CU66" s="1752" t="n">
        <f aca="false">VLOOKUP($BR66,Tariff_Table_US2,CU$50)</f>
        <v>12</v>
      </c>
      <c r="CV66" s="1719" t="n">
        <f aca="false">VLOOKUP($BR66,Tariff_Table_US2,CV$50)</f>
        <v>480</v>
      </c>
      <c r="CW66" s="1715" t="n">
        <f aca="false">VLOOKUP($BR66,Tariff_Table_US2,CW$50)</f>
        <v>7641.7468508645</v>
      </c>
    </row>
    <row r="67" customFormat="false" ht="12.75" hidden="false" customHeight="false" outlineLevel="0" collapsed="false">
      <c r="B67" s="1746" t="n">
        <f aca="false">B66+1</f>
        <v>13</v>
      </c>
      <c r="C67" s="320" t="n">
        <f aca="false">Tariff!D54</f>
        <v>5172.37</v>
      </c>
      <c r="D67" s="1739"/>
      <c r="E67" s="1743" t="n">
        <f aca="false">VLOOKUP($B67,Tariff_Table_US,$AG$50)</f>
        <v>7510.80931006466</v>
      </c>
      <c r="F67" s="109" t="n">
        <f aca="false">VLOOKUP($B67,Tariff_Table_R,'R$ Table'!$AB$50)</f>
        <v>583.967910478352</v>
      </c>
      <c r="G67" s="1715" t="n">
        <f aca="false">SUM(E67:F67)</f>
        <v>8094.77722054302</v>
      </c>
      <c r="H67" s="1561" t="n">
        <f aca="false">E67/$G67</f>
        <v>0.927858680409839</v>
      </c>
      <c r="I67" s="306" t="n">
        <f aca="false">F67/$G67</f>
        <v>0.0721413195901614</v>
      </c>
      <c r="J67" s="388"/>
      <c r="K67" s="1744" t="n">
        <f aca="false">SUM(H67:I67)</f>
        <v>1</v>
      </c>
      <c r="N67" s="1531" t="n">
        <f aca="false">N66+1</f>
        <v>2011</v>
      </c>
      <c r="O67" s="1709" t="n">
        <f aca="false">IF($N67&lt;YEAR(Startops3),0,VLOOKUP(($N67-YEAR(Startops3)+1)*2-'Debt Amort'!$B$36,Fin_Table,'Debt Amort'!AE$77))</f>
        <v>3454.65803571429</v>
      </c>
      <c r="P67" s="1708" t="n">
        <f aca="false">IF($N67&lt;YEAR(Startops3),0,VLOOKUP(($N67-YEAR(Startops3)+1)*2-'Debt Amort'!$B$36,Fin_Table,'Debt Amort'!AF$77))</f>
        <v>10017.8571428571</v>
      </c>
      <c r="Q67" s="1741"/>
      <c r="R67" s="1712" t="n">
        <f aca="false">IF($N67&lt;YEAR(Startops3),0,VLOOKUP(($N67-YEAR(Startops3)+1)*2-'Debt Amort'!$B$36,Fin_Table,'Debt Amort'!AG$77))</f>
        <v>1491.08040015179</v>
      </c>
      <c r="S67" s="1745" t="n">
        <f aca="false">IF($N67&lt;YEAR(Startops3),0,VLOOKUP(($N67-YEAR(Startops3)+1)*2-'Debt Amort'!$B$36,Fin_Table,'Debt Amort'!AH$77))</f>
        <v>2556.55695328763</v>
      </c>
      <c r="T67" s="1711" t="n">
        <f aca="false">SUM(O67:S67)</f>
        <v>17520.1525320109</v>
      </c>
      <c r="W67" s="1531" t="n">
        <f aca="false">$N67</f>
        <v>2011</v>
      </c>
      <c r="X67" s="1709" t="n">
        <f aca="false">IF($N67&lt;YEAR(Startops3),0,VLOOKUP(($N67-YEAR(Startops3)+1)*2-'Debt Amort'!$B$36,Fin_Table,'Debt Amort'!AC$77))</f>
        <v>1702.84152613389</v>
      </c>
      <c r="Z67" s="1708" t="n">
        <f aca="false">IF($N67&lt;YEAR(Startops3),0,VLOOKUP(($N67-YEAR(Startops3)+1)*2-'Debt Amort'!$B$36,Fin_Table,'Debt Amort'!AD$77))</f>
        <v>6922.90089378546</v>
      </c>
      <c r="AA67" s="1711" t="n">
        <f aca="false">SUM(X67:Z67)</f>
        <v>8625.74241991935</v>
      </c>
      <c r="AC67" s="1531" t="n">
        <f aca="false">$N67</f>
        <v>2011</v>
      </c>
      <c r="AD67" s="1712" t="n">
        <f aca="false">HLOOKUP($AC67,Rev_Exp_Table,Rev_Exp!$AA$81)/HLOOKUP($AC67,Rev_Exp_Table,Rev_Exp!$AA$25)</f>
        <v>900</v>
      </c>
      <c r="AE67" s="1712" t="n">
        <f aca="false">HLOOKUP($AC67,Rev_Exp_Table,Rev_Exp!$AA$82)/HLOOKUP($AC67,Rev_Exp_Table,Rev_Exp!$AA$25)</f>
        <v>150</v>
      </c>
      <c r="AF67" s="1712" t="n">
        <f aca="false">HLOOKUP($AC67,Rev_Exp_Table,Rev_Exp!$AA$83)/HLOOKUP($AC67,Rev_Exp_Table,Rev_Exp!$AA$25)</f>
        <v>1390.002</v>
      </c>
      <c r="AG67" s="1712" t="n">
        <f aca="false">HLOOKUP($AC67,Rev_Exp_Table,Rev_Exp!$AA$84)/HLOOKUP($AC67,Rev_Exp_Table,Rev_Exp!$AA$25)</f>
        <v>490.3197</v>
      </c>
      <c r="AH67" s="1712" t="n">
        <f aca="false">AVERAGE(Trapped!$G$64:$Y$64)*(1+Trapped!$D$67)</f>
        <v>5085.76391052632</v>
      </c>
      <c r="AI67" s="1708" t="n">
        <f aca="false">AD67*AI$54</f>
        <v>158.823529411765</v>
      </c>
      <c r="AJ67" s="1710" t="n">
        <f aca="false">SUM(AD67:AI67)</f>
        <v>8174.90913993808</v>
      </c>
      <c r="BI67" s="0"/>
      <c r="BR67" s="1746" t="n">
        <f aca="false">$B67</f>
        <v>13</v>
      </c>
      <c r="BU67" s="1747" t="n">
        <f aca="false">VLOOKUP($BR67,Tariff_Table_US2,BU$50)</f>
        <v>3212.22589285715</v>
      </c>
      <c r="BV67" s="1748" t="n">
        <f aca="false">VLOOKUP($BR67,Tariff_Table_US2,BV$50)</f>
        <v>10017.8571428571</v>
      </c>
      <c r="BW67" s="1749" t="n">
        <f aca="false">VLOOKUP($BR67,Tariff_Table_US2,BW$50)</f>
        <v>1388.38308739624</v>
      </c>
      <c r="BX67" s="1750" t="n">
        <f aca="false">VLOOKUP($BR67,Tariff_Table_US2,BX$50)</f>
        <v>2717.71358489332</v>
      </c>
      <c r="BY67" s="1751" t="n">
        <f aca="false">VLOOKUP($BR67,Tariff_Table_US2,BY$50)</f>
        <v>17336.1797080039</v>
      </c>
      <c r="CA67" s="1747" t="n">
        <f aca="false">VLOOKUP($BR67,Tariff_Table_US2,CA$50)</f>
        <v>5200.85391240116</v>
      </c>
      <c r="CB67" s="1579" t="n">
        <f aca="false">VLOOKUP($BR67,Tariff_Table_US2,CB$50)</f>
        <v>207.677911647591</v>
      </c>
      <c r="CD67" s="1747" t="n">
        <f aca="false">VLOOKUP($BR67,Tariff_Table_US2,CD$50)</f>
        <v>1393.09940197778</v>
      </c>
      <c r="CE67" s="1750" t="n">
        <f aca="false">VLOOKUP($BR67,Tariff_Table_US2,CE$50)</f>
        <v>7232.64301794158</v>
      </c>
      <c r="CF67" s="1751" t="n">
        <f aca="false">VLOOKUP($BR67,Tariff_Table_US2,CF$50)</f>
        <v>8625.74241991935</v>
      </c>
      <c r="CH67" s="1747" t="n">
        <f aca="false">VLOOKUP($BR67,Tariff_Table_US2,CH$50)</f>
        <v>900</v>
      </c>
      <c r="CI67" s="98" t="n">
        <f aca="false">VLOOKUP($BR67,Tariff_Table_US2,CI$50)</f>
        <v>150</v>
      </c>
      <c r="CJ67" s="98" t="n">
        <f aca="false">VLOOKUP($BR67,Tariff_Table_US2,CJ$50)</f>
        <v>1390.002</v>
      </c>
      <c r="CK67" s="98" t="n">
        <f aca="false">VLOOKUP($BR67,Tariff_Table_US2,CK$50)</f>
        <v>490.3197</v>
      </c>
      <c r="CL67" s="98" t="n">
        <f aca="false">VLOOKUP($BR67,Tariff_Table_US2,CL$50)</f>
        <v>5085.76391052632</v>
      </c>
      <c r="CM67" s="1750" t="n">
        <f aca="false">VLOOKUP($BR67,Tariff_Table_US2,CM$50)</f>
        <v>158.823529411765</v>
      </c>
      <c r="CN67" s="68" t="n">
        <f aca="false">VLOOKUP($BR67,Tariff_Table_US2,CN$50)</f>
        <v>8174.90913993808</v>
      </c>
      <c r="CP67" s="1747" t="n">
        <f aca="false">VLOOKUP($BR67,Tariff_Table_US2,CP$50)</f>
        <v>39545.36309191</v>
      </c>
      <c r="CQ67" s="109" t="n">
        <f aca="false">VLOOKUP($BR67,Tariff_Table_US2,CQ$50)</f>
        <v>42115.8116928842</v>
      </c>
      <c r="CR67" s="1715" t="n">
        <f aca="false">VLOOKUP($BR67,Tariff_Table_US2,CR$50)</f>
        <v>43262.2616259725</v>
      </c>
      <c r="CT67" s="1717" t="n">
        <f aca="false">VLOOKUP($BR67,Tariff_Table_US2,CT$50)</f>
        <v>43262.2616259725</v>
      </c>
      <c r="CU67" s="1752" t="n">
        <f aca="false">VLOOKUP($BR67,Tariff_Table_US2,CU$50)</f>
        <v>12</v>
      </c>
      <c r="CV67" s="1719" t="n">
        <f aca="false">VLOOKUP($BR67,Tariff_Table_US2,CV$50)</f>
        <v>480</v>
      </c>
      <c r="CW67" s="1715" t="n">
        <f aca="false">VLOOKUP($BR67,Tariff_Table_US2,CW$50)</f>
        <v>7510.80931006466</v>
      </c>
    </row>
    <row r="68" customFormat="false" ht="12.75" hidden="false" customHeight="false" outlineLevel="0" collapsed="false">
      <c r="B68" s="1746" t="n">
        <f aca="false">B67+1</f>
        <v>14</v>
      </c>
      <c r="C68" s="320" t="n">
        <f aca="false">Tariff!D55</f>
        <v>3801.75</v>
      </c>
      <c r="D68" s="1739"/>
      <c r="E68" s="1743" t="n">
        <f aca="false">VLOOKUP($B68,Tariff_Table_US,$AG$50)</f>
        <v>6784.02739014361</v>
      </c>
      <c r="F68" s="109" t="n">
        <f aca="false">VLOOKUP($B68,Tariff_Table_R,'R$ Table'!$AB$50)</f>
        <v>617.240812289494</v>
      </c>
      <c r="G68" s="1715" t="n">
        <f aca="false">SUM(E68:F68)</f>
        <v>7401.2682024331</v>
      </c>
      <c r="H68" s="1561" t="n">
        <f aca="false">E68/$G68</f>
        <v>0.916603371826658</v>
      </c>
      <c r="I68" s="306" t="n">
        <f aca="false">F68/$G68</f>
        <v>0.0833966281733421</v>
      </c>
      <c r="J68" s="388"/>
      <c r="K68" s="1744" t="n">
        <f aca="false">SUM(H68:I68)</f>
        <v>1</v>
      </c>
      <c r="N68" s="1531" t="n">
        <f aca="false">N67+1</f>
        <v>2012</v>
      </c>
      <c r="O68" s="1709" t="n">
        <f aca="false">IF($N68&lt;YEAR(Startops3),0,VLOOKUP(($N68-YEAR(Startops3)+1)*2-'Debt Amort'!$B$36,Fin_Table,'Debt Amort'!AE$77))</f>
        <v>2727.36160714286</v>
      </c>
      <c r="P68" s="1708" t="n">
        <f aca="false">IF($N68&lt;YEAR(Startops3),0,VLOOKUP(($N68-YEAR(Startops3)+1)*2-'Debt Amort'!$B$36,Fin_Table,'Debt Amort'!AF$77))</f>
        <v>10017.8571428571</v>
      </c>
      <c r="Q68" s="1741"/>
      <c r="R68" s="1712" t="n">
        <f aca="false">IF($N68&lt;YEAR(Startops3),0,VLOOKUP(($N68-YEAR(Startops3)+1)*2-'Debt Amort'!$B$36,Fin_Table,'Debt Amort'!AG$77))</f>
        <v>1182.98846188515</v>
      </c>
      <c r="S68" s="1745" t="n">
        <f aca="false">IF($N68&lt;YEAR(Startops3),0,VLOOKUP(($N68-YEAR(Startops3)+1)*2-'Debt Amort'!$B$36,Fin_Table,'Debt Amort'!AH$77))</f>
        <v>3040.02684810471</v>
      </c>
      <c r="T68" s="1711" t="n">
        <f aca="false">SUM(O68:S68)</f>
        <v>16968.2340599899</v>
      </c>
      <c r="W68" s="1531" t="n">
        <f aca="false">$N68</f>
        <v>2012</v>
      </c>
      <c r="X68" s="1709" t="n">
        <f aca="false">IF($N68&lt;YEAR(Startops3),0,VLOOKUP(($N68-YEAR(Startops3)+1)*2-'Debt Amort'!$B$36,Fin_Table,'Debt Amort'!AC$77))</f>
        <v>773.615153665539</v>
      </c>
      <c r="Z68" s="1708" t="n">
        <f aca="false">IF($N68&lt;YEAR(Startops3),0,VLOOKUP(($N68-YEAR(Startops3)+1)*2-'Debt Amort'!$B$36,Fin_Table,'Debt Amort'!AD$77))</f>
        <v>7852.12726625381</v>
      </c>
      <c r="AA68" s="1711" t="n">
        <f aca="false">SUM(X68:Z68)</f>
        <v>8625.74241991935</v>
      </c>
      <c r="AC68" s="1531" t="n">
        <f aca="false">$N68</f>
        <v>2012</v>
      </c>
      <c r="AD68" s="1712" t="n">
        <f aca="false">HLOOKUP($AC68,Rev_Exp_Table,Rev_Exp!$AA$81)/HLOOKUP($AC68,Rev_Exp_Table,Rev_Exp!$AA$25)</f>
        <v>900</v>
      </c>
      <c r="AE68" s="1712" t="n">
        <f aca="false">HLOOKUP($AC68,Rev_Exp_Table,Rev_Exp!$AA$82)/HLOOKUP($AC68,Rev_Exp_Table,Rev_Exp!$AA$25)</f>
        <v>150</v>
      </c>
      <c r="AF68" s="1712" t="n">
        <f aca="false">HLOOKUP($AC68,Rev_Exp_Table,Rev_Exp!$AA$83)/HLOOKUP($AC68,Rev_Exp_Table,Rev_Exp!$AA$25)</f>
        <v>1390.002</v>
      </c>
      <c r="AG68" s="1712" t="n">
        <f aca="false">HLOOKUP($AC68,Rev_Exp_Table,Rev_Exp!$AA$84)/HLOOKUP($AC68,Rev_Exp_Table,Rev_Exp!$AA$25)</f>
        <v>490.3197</v>
      </c>
      <c r="AH68" s="1712" t="n">
        <f aca="false">AVERAGE(Trapped!$G$64:$Y$64)*(1+Trapped!$D$67)</f>
        <v>5085.76391052632</v>
      </c>
      <c r="AI68" s="1708" t="n">
        <f aca="false">AD68*AI$54</f>
        <v>158.823529411765</v>
      </c>
      <c r="AJ68" s="1710" t="n">
        <f aca="false">SUM(AD68:AI68)</f>
        <v>8174.90913993808</v>
      </c>
      <c r="BI68" s="0"/>
      <c r="BR68" s="1746" t="n">
        <f aca="false">$B68</f>
        <v>14</v>
      </c>
      <c r="BU68" s="1747" t="n">
        <f aca="false">VLOOKUP($BR68,Tariff_Table_US2,BU$50)</f>
        <v>2484.92946428572</v>
      </c>
      <c r="BV68" s="1748" t="n">
        <f aca="false">VLOOKUP($BR68,Tariff_Table_US2,BV$50)</f>
        <v>10017.8571428571</v>
      </c>
      <c r="BW68" s="1749" t="n">
        <f aca="false">VLOOKUP($BR68,Tariff_Table_US2,BW$50)</f>
        <v>1071.4194765597</v>
      </c>
      <c r="BX68" s="1750" t="n">
        <f aca="false">VLOOKUP($BR68,Tariff_Table_US2,BX$50)</f>
        <v>3040.02684810471</v>
      </c>
      <c r="BY68" s="1751" t="n">
        <f aca="false">VLOOKUP($BR68,Tariff_Table_US2,BY$50)</f>
        <v>16614.2329318073</v>
      </c>
      <c r="CA68" s="1747" t="n">
        <f aca="false">VLOOKUP($BR68,Tariff_Table_US2,CA$50)</f>
        <v>4984.26987954218</v>
      </c>
      <c r="CB68" s="1579" t="n">
        <f aca="false">VLOOKUP($BR68,Tariff_Table_US2,CB$50)</f>
        <v>194.857258339632</v>
      </c>
      <c r="CD68" s="1747" t="n">
        <f aca="false">VLOOKUP($BR68,Tariff_Table_US2,CD$50)</f>
        <v>515.743435777026</v>
      </c>
      <c r="CE68" s="1750" t="n">
        <f aca="false">VLOOKUP($BR68,Tariff_Table_US2,CE$50)</f>
        <v>5234.75151083588</v>
      </c>
      <c r="CF68" s="1751" t="n">
        <f aca="false">VLOOKUP($BR68,Tariff_Table_US2,CF$50)</f>
        <v>5750.4949466129</v>
      </c>
      <c r="CH68" s="1747" t="n">
        <f aca="false">VLOOKUP($BR68,Tariff_Table_US2,CH$50)</f>
        <v>900</v>
      </c>
      <c r="CI68" s="98" t="n">
        <f aca="false">VLOOKUP($BR68,Tariff_Table_US2,CI$50)</f>
        <v>150</v>
      </c>
      <c r="CJ68" s="98" t="n">
        <f aca="false">VLOOKUP($BR68,Tariff_Table_US2,CJ$50)</f>
        <v>1390.002</v>
      </c>
      <c r="CK68" s="98" t="n">
        <f aca="false">VLOOKUP($BR68,Tariff_Table_US2,CK$50)</f>
        <v>490.3197</v>
      </c>
      <c r="CL68" s="98" t="n">
        <f aca="false">VLOOKUP($BR68,Tariff_Table_US2,CL$50)</f>
        <v>5085.76391052632</v>
      </c>
      <c r="CM68" s="1750" t="n">
        <f aca="false">VLOOKUP($BR68,Tariff_Table_US2,CM$50)</f>
        <v>158.823529411765</v>
      </c>
      <c r="CN68" s="68" t="n">
        <f aca="false">VLOOKUP($BR68,Tariff_Table_US2,CN$50)</f>
        <v>8174.90913993808</v>
      </c>
      <c r="CP68" s="1747" t="n">
        <f aca="false">VLOOKUP($BR68,Tariff_Table_US2,CP$50)</f>
        <v>35718.7641562401</v>
      </c>
      <c r="CQ68" s="109" t="n">
        <f aca="false">VLOOKUP($BR68,Tariff_Table_US2,CQ$50)</f>
        <v>38040.4838263957</v>
      </c>
      <c r="CR68" s="1715" t="n">
        <f aca="false">VLOOKUP($BR68,Tariff_Table_US2,CR$50)</f>
        <v>39075.9977672272</v>
      </c>
      <c r="CT68" s="1717" t="n">
        <f aca="false">VLOOKUP($BR68,Tariff_Table_US2,CT$50)</f>
        <v>39075.9977672272</v>
      </c>
      <c r="CU68" s="1752" t="n">
        <f aca="false">VLOOKUP($BR68,Tariff_Table_US2,CU$50)</f>
        <v>12</v>
      </c>
      <c r="CV68" s="1719" t="n">
        <f aca="false">VLOOKUP($BR68,Tariff_Table_US2,CV$50)</f>
        <v>480</v>
      </c>
      <c r="CW68" s="1715" t="n">
        <f aca="false">VLOOKUP($BR68,Tariff_Table_US2,CW$50)</f>
        <v>6784.02739014361</v>
      </c>
    </row>
    <row r="69" customFormat="false" ht="12.75" hidden="false" customHeight="false" outlineLevel="0" collapsed="false">
      <c r="B69" s="1746" t="n">
        <f aca="false">B68+1</f>
        <v>15</v>
      </c>
      <c r="C69" s="320" t="n">
        <f aca="false">Tariff!D56</f>
        <v>3801.76</v>
      </c>
      <c r="D69" s="1739"/>
      <c r="E69" s="1743" t="n">
        <f aca="false">VLOOKUP($B69,Tariff_Table_US,$AG$50)</f>
        <v>5435.54272704591</v>
      </c>
      <c r="F69" s="109" t="n">
        <f aca="false">VLOOKUP($B69,Tariff_Table_R,'R$ Table'!$AB$50)</f>
        <v>668.439293922659</v>
      </c>
      <c r="G69" s="1715" t="n">
        <f aca="false">SUM(E69:F69)</f>
        <v>6103.98202096857</v>
      </c>
      <c r="H69" s="1561" t="n">
        <f aca="false">E69/$G69</f>
        <v>0.89049127411804</v>
      </c>
      <c r="I69" s="306" t="n">
        <f aca="false">F69/$G69</f>
        <v>0.10950872588196</v>
      </c>
      <c r="J69" s="388"/>
      <c r="K69" s="1744" t="n">
        <f aca="false">SUM(H69:I69)</f>
        <v>1</v>
      </c>
      <c r="N69" s="1531" t="n">
        <f aca="false">N68+1</f>
        <v>2013</v>
      </c>
      <c r="O69" s="1709" t="n">
        <f aca="false">IF($N69&lt;YEAR(Startops3),0,VLOOKUP(($N69-YEAR(Startops3)+1)*2-'Debt Amort'!$B$36,Fin_Table,'Debt Amort'!AE$77))</f>
        <v>2000.06517857143</v>
      </c>
      <c r="P69" s="1708" t="n">
        <f aca="false">IF($N69&lt;YEAR(Startops3),0,VLOOKUP(($N69-YEAR(Startops3)+1)*2-'Debt Amort'!$B$36,Fin_Table,'Debt Amort'!AF$77))</f>
        <v>10017.8571428571</v>
      </c>
      <c r="Q69" s="1741"/>
      <c r="R69" s="1712" t="n">
        <f aca="false">IF($N69&lt;YEAR(Startops3),0,VLOOKUP(($N69-YEAR(Startops3)+1)*2-'Debt Amort'!$B$36,Fin_Table,'Debt Amort'!AG$77))</f>
        <v>848.281505908817</v>
      </c>
      <c r="S69" s="1745" t="n">
        <f aca="false">IF($N69&lt;YEAR(Startops3),0,VLOOKUP(($N69-YEAR(Startops3)+1)*2-'Debt Amort'!$B$36,Fin_Table,'Debt Amort'!AH$77))</f>
        <v>3040.02684810471</v>
      </c>
      <c r="T69" s="1711" t="n">
        <f aca="false">SUM(O69:S69)</f>
        <v>15906.2306754421</v>
      </c>
      <c r="W69" s="1531" t="n">
        <f aca="false">$N69</f>
        <v>2013</v>
      </c>
      <c r="X69" s="1709" t="n">
        <f aca="false">IF($N69&lt;YEAR(Startops3),0,VLOOKUP(($N69-YEAR(Startops3)+1)*2-'Debt Amort'!$B$36,Fin_Table,'Debt Amort'!AC$77))</f>
        <v>0</v>
      </c>
      <c r="Z69" s="1708" t="n">
        <f aca="false">IF($N69&lt;YEAR(Startops3),0,VLOOKUP(($N69-YEAR(Startops3)+1)*2-'Debt Amort'!$B$36,Fin_Table,'Debt Amort'!AD$77))</f>
        <v>0</v>
      </c>
      <c r="AA69" s="1711" t="n">
        <f aca="false">SUM(X69:Z69)</f>
        <v>0</v>
      </c>
      <c r="AC69" s="1531" t="n">
        <f aca="false">$N69</f>
        <v>2013</v>
      </c>
      <c r="AD69" s="1712" t="n">
        <f aca="false">HLOOKUP($AC69,Rev_Exp_Table,Rev_Exp!$AA$81)/HLOOKUP($AC69,Rev_Exp_Table,Rev_Exp!$AA$25)</f>
        <v>900</v>
      </c>
      <c r="AE69" s="1712" t="n">
        <f aca="false">HLOOKUP($AC69,Rev_Exp_Table,Rev_Exp!$AA$82)/HLOOKUP($AC69,Rev_Exp_Table,Rev_Exp!$AA$25)</f>
        <v>150</v>
      </c>
      <c r="AF69" s="1712" t="n">
        <f aca="false">HLOOKUP($AC69,Rev_Exp_Table,Rev_Exp!$AA$83)/HLOOKUP($AC69,Rev_Exp_Table,Rev_Exp!$AA$25)</f>
        <v>1390.002</v>
      </c>
      <c r="AG69" s="1712" t="n">
        <f aca="false">HLOOKUP($AC69,Rev_Exp_Table,Rev_Exp!$AA$84)/HLOOKUP($AC69,Rev_Exp_Table,Rev_Exp!$AA$25)</f>
        <v>490.3197</v>
      </c>
      <c r="AH69" s="1712" t="n">
        <f aca="false">AVERAGE(Trapped!$G$64:$Y$64)*(1+Trapped!$D$67)</f>
        <v>5085.76391052632</v>
      </c>
      <c r="AI69" s="1708" t="n">
        <f aca="false">AD69*AI$54</f>
        <v>158.823529411765</v>
      </c>
      <c r="AJ69" s="1710" t="n">
        <f aca="false">SUM(AD69:AI69)</f>
        <v>8174.90913993808</v>
      </c>
      <c r="BI69" s="0"/>
      <c r="BR69" s="1746" t="n">
        <f aca="false">$B69</f>
        <v>15</v>
      </c>
      <c r="BU69" s="1747" t="n">
        <f aca="false">VLOOKUP($BR69,Tariff_Table_US2,BU$50)</f>
        <v>1757.63303571429</v>
      </c>
      <c r="BV69" s="1748" t="n">
        <f aca="false">VLOOKUP($BR69,Tariff_Table_US2,BV$50)</f>
        <v>10017.8571428571</v>
      </c>
      <c r="BW69" s="1749" t="n">
        <f aca="false">VLOOKUP($BR69,Tariff_Table_US2,BW$50)</f>
        <v>736.712520583375</v>
      </c>
      <c r="BX69" s="1750" t="n">
        <f aca="false">VLOOKUP($BR69,Tariff_Table_US2,BX$50)</f>
        <v>3076.37796801577</v>
      </c>
      <c r="BY69" s="1751" t="n">
        <f aca="false">VLOOKUP($BR69,Tariff_Table_US2,BY$50)</f>
        <v>15588.5806671706</v>
      </c>
      <c r="CA69" s="1747" t="n">
        <f aca="false">VLOOKUP($BR69,Tariff_Table_US2,CA$50)</f>
        <v>4676.57420015117</v>
      </c>
      <c r="CB69" s="1579" t="n">
        <f aca="false">VLOOKUP($BR69,Tariff_Table_US2,CB$50)</f>
        <v>178.757463095271</v>
      </c>
      <c r="CD69" s="1747" t="n">
        <f aca="false">VLOOKUP($BR69,Tariff_Table_US2,CD$50)</f>
        <v>0</v>
      </c>
      <c r="CE69" s="1750" t="n">
        <f aca="false">VLOOKUP($BR69,Tariff_Table_US2,CE$50)</f>
        <v>0</v>
      </c>
      <c r="CF69" s="1751" t="n">
        <f aca="false">VLOOKUP($BR69,Tariff_Table_US2,CF$50)</f>
        <v>0</v>
      </c>
      <c r="CH69" s="1747" t="n">
        <f aca="false">VLOOKUP($BR69,Tariff_Table_US2,CH$50)</f>
        <v>900</v>
      </c>
      <c r="CI69" s="98" t="n">
        <f aca="false">VLOOKUP($BR69,Tariff_Table_US2,CI$50)</f>
        <v>150</v>
      </c>
      <c r="CJ69" s="98" t="n">
        <f aca="false">VLOOKUP($BR69,Tariff_Table_US2,CJ$50)</f>
        <v>1390.002</v>
      </c>
      <c r="CK69" s="98" t="n">
        <f aca="false">VLOOKUP($BR69,Tariff_Table_US2,CK$50)</f>
        <v>490.3197</v>
      </c>
      <c r="CL69" s="98" t="n">
        <f aca="false">VLOOKUP($BR69,Tariff_Table_US2,CL$50)</f>
        <v>5085.76391052632</v>
      </c>
      <c r="CM69" s="1750" t="n">
        <f aca="false">VLOOKUP($BR69,Tariff_Table_US2,CM$50)</f>
        <v>158.823529411765</v>
      </c>
      <c r="CN69" s="68" t="n">
        <f aca="false">VLOOKUP($BR69,Tariff_Table_US2,CN$50)</f>
        <v>8174.90913993808</v>
      </c>
      <c r="CP69" s="1747" t="n">
        <f aca="false">VLOOKUP($BR69,Tariff_Table_US2,CP$50)</f>
        <v>28618.8214703551</v>
      </c>
      <c r="CQ69" s="109" t="n">
        <f aca="false">VLOOKUP($BR69,Tariff_Table_US2,CQ$50)</f>
        <v>30479.0448659282</v>
      </c>
      <c r="CR69" s="1715" t="n">
        <f aca="false">VLOOKUP($BR69,Tariff_Table_US2,CR$50)</f>
        <v>31308.7261077845</v>
      </c>
      <c r="CT69" s="1717" t="n">
        <f aca="false">VLOOKUP($BR69,Tariff_Table_US2,CT$50)</f>
        <v>31308.7261077845</v>
      </c>
      <c r="CU69" s="1752" t="n">
        <f aca="false">VLOOKUP($BR69,Tariff_Table_US2,CU$50)</f>
        <v>12</v>
      </c>
      <c r="CV69" s="1719" t="n">
        <f aca="false">VLOOKUP($BR69,Tariff_Table_US2,CV$50)</f>
        <v>480</v>
      </c>
      <c r="CW69" s="1715" t="n">
        <f aca="false">VLOOKUP($BR69,Tariff_Table_US2,CW$50)</f>
        <v>5435.54272704591</v>
      </c>
    </row>
    <row r="70" customFormat="false" ht="12.75" hidden="false" customHeight="false" outlineLevel="0" collapsed="false">
      <c r="B70" s="1746" t="n">
        <f aca="false">B69+1</f>
        <v>16</v>
      </c>
      <c r="C70" s="320" t="n">
        <f aca="false">Tariff!D57</f>
        <v>3801.75</v>
      </c>
      <c r="D70" s="1739"/>
      <c r="E70" s="1743" t="n">
        <f aca="false">VLOOKUP($B70,Tariff_Table_US,$AG$50)</f>
        <v>5104.14660576646</v>
      </c>
      <c r="F70" s="109" t="n">
        <f aca="false">VLOOKUP($B70,Tariff_Table_R,'R$ Table'!$AB$50)</f>
        <v>734.820948013773</v>
      </c>
      <c r="G70" s="1715" t="n">
        <f aca="false">SUM(E70:F70)</f>
        <v>5838.96755378023</v>
      </c>
      <c r="H70" s="1561" t="n">
        <f aca="false">E70/$G70</f>
        <v>0.874152246737861</v>
      </c>
      <c r="I70" s="306" t="n">
        <f aca="false">F70/$G70</f>
        <v>0.12584775326214</v>
      </c>
      <c r="J70" s="388"/>
      <c r="K70" s="1744" t="n">
        <f aca="false">SUM(H70:I70)</f>
        <v>1</v>
      </c>
      <c r="N70" s="1531" t="n">
        <f aca="false">N69+1</f>
        <v>2014</v>
      </c>
      <c r="O70" s="1709" t="n">
        <f aca="false">IF($N70&lt;YEAR(Startops3),0,VLOOKUP(($N70-YEAR(Startops3)+1)*2-'Debt Amort'!$B$36,Fin_Table,'Debt Amort'!AE$77))</f>
        <v>1272.76875</v>
      </c>
      <c r="P70" s="1708" t="n">
        <f aca="false">IF($N70&lt;YEAR(Startops3),0,VLOOKUP(($N70-YEAR(Startops3)+1)*2-'Debt Amort'!$B$36,Fin_Table,'Debt Amort'!AF$77))</f>
        <v>10017.8571428571</v>
      </c>
      <c r="Q70" s="1741"/>
      <c r="R70" s="1712" t="n">
        <f aca="false">IF($N70&lt;YEAR(Startops3),0,VLOOKUP(($N70-YEAR(Startops3)+1)*2-'Debt Amort'!$B$36,Fin_Table,'Debt Amort'!AG$77))</f>
        <v>513.574549932489</v>
      </c>
      <c r="S70" s="1745" t="n">
        <f aca="false">IF($N70&lt;YEAR(Startops3),0,VLOOKUP(($N70-YEAR(Startops3)+1)*2-'Debt Amort'!$B$36,Fin_Table,'Debt Amort'!AH$77))</f>
        <v>3149.08020783788</v>
      </c>
      <c r="T70" s="1711" t="n">
        <f aca="false">SUM(O70:S70)</f>
        <v>14953.2806506275</v>
      </c>
      <c r="W70" s="1531" t="n">
        <f aca="false">$N70</f>
        <v>2014</v>
      </c>
      <c r="X70" s="1709" t="n">
        <f aca="false">IF($N70&lt;YEAR(Startops3),0,VLOOKUP(($N70-YEAR(Startops3)+1)*2-'Debt Amort'!$B$36,Fin_Table,'Debt Amort'!AC$77))</f>
        <v>0</v>
      </c>
      <c r="Z70" s="1708" t="n">
        <f aca="false">IF($N70&lt;YEAR(Startops3),0,VLOOKUP(($N70-YEAR(Startops3)+1)*2-'Debt Amort'!$B$36,Fin_Table,'Debt Amort'!AD$77))</f>
        <v>0</v>
      </c>
      <c r="AA70" s="1711" t="n">
        <f aca="false">SUM(X70:Z70)</f>
        <v>0</v>
      </c>
      <c r="AC70" s="1531" t="n">
        <f aca="false">$N70</f>
        <v>2014</v>
      </c>
      <c r="AD70" s="1712" t="n">
        <f aca="false">HLOOKUP($AC70,Rev_Exp_Table,Rev_Exp!$AA$81)/HLOOKUP($AC70,Rev_Exp_Table,Rev_Exp!$AA$25)</f>
        <v>900</v>
      </c>
      <c r="AE70" s="1712" t="n">
        <f aca="false">HLOOKUP($AC70,Rev_Exp_Table,Rev_Exp!$AA$82)/HLOOKUP($AC70,Rev_Exp_Table,Rev_Exp!$AA$25)</f>
        <v>150</v>
      </c>
      <c r="AF70" s="1712" t="n">
        <f aca="false">HLOOKUP($AC70,Rev_Exp_Table,Rev_Exp!$AA$83)/HLOOKUP($AC70,Rev_Exp_Table,Rev_Exp!$AA$25)</f>
        <v>1390.002</v>
      </c>
      <c r="AG70" s="1712" t="n">
        <f aca="false">HLOOKUP($AC70,Rev_Exp_Table,Rev_Exp!$AA$84)/HLOOKUP($AC70,Rev_Exp_Table,Rev_Exp!$AA$25)</f>
        <v>490.3197</v>
      </c>
      <c r="AH70" s="1712" t="n">
        <f aca="false">AVERAGE(Trapped!$G$64:$Y$64)*(1+Trapped!$D$67)</f>
        <v>5085.76391052632</v>
      </c>
      <c r="AI70" s="1708" t="n">
        <f aca="false">AD70*AI$54</f>
        <v>158.823529411765</v>
      </c>
      <c r="AJ70" s="1710" t="n">
        <f aca="false">SUM(AD70:AI70)</f>
        <v>8174.90913993808</v>
      </c>
      <c r="BI70" s="0"/>
      <c r="BR70" s="1746" t="n">
        <f aca="false">$B70</f>
        <v>16</v>
      </c>
      <c r="BU70" s="1747" t="n">
        <f aca="false">VLOOKUP($BR70,Tariff_Table_US2,BU$50)</f>
        <v>1030.33660714286</v>
      </c>
      <c r="BV70" s="1748" t="n">
        <f aca="false">VLOOKUP($BR70,Tariff_Table_US2,BV$50)</f>
        <v>10017.8571428572</v>
      </c>
      <c r="BW70" s="1749" t="n">
        <f aca="false">VLOOKUP($BR70,Tariff_Table_US2,BW$50)</f>
        <v>394.501330290407</v>
      </c>
      <c r="BX70" s="1750" t="n">
        <f aca="false">VLOOKUP($BR70,Tariff_Table_US2,BX$50)</f>
        <v>2857.90196733128</v>
      </c>
      <c r="BY70" s="1751" t="n">
        <f aca="false">VLOOKUP($BR70,Tariff_Table_US2,BY$50)</f>
        <v>14300.5970476217</v>
      </c>
      <c r="CA70" s="1747" t="n">
        <f aca="false">VLOOKUP($BR70,Tariff_Table_US2,CA$50)</f>
        <v>4290.17911428651</v>
      </c>
      <c r="CB70" s="1579" t="n">
        <f aca="false">VLOOKUP($BR70,Tariff_Table_US2,CB$50)</f>
        <v>108.293582013417</v>
      </c>
      <c r="CD70" s="1747" t="n">
        <f aca="false">VLOOKUP($BR70,Tariff_Table_US2,CD$50)</f>
        <v>0</v>
      </c>
      <c r="CE70" s="1750" t="n">
        <f aca="false">VLOOKUP($BR70,Tariff_Table_US2,CE$50)</f>
        <v>0</v>
      </c>
      <c r="CF70" s="1751" t="n">
        <f aca="false">VLOOKUP($BR70,Tariff_Table_US2,CF$50)</f>
        <v>0</v>
      </c>
      <c r="CH70" s="1747" t="n">
        <f aca="false">VLOOKUP($BR70,Tariff_Table_US2,CH$50)</f>
        <v>900</v>
      </c>
      <c r="CI70" s="98" t="n">
        <f aca="false">VLOOKUP($BR70,Tariff_Table_US2,CI$50)</f>
        <v>150</v>
      </c>
      <c r="CJ70" s="98" t="n">
        <f aca="false">VLOOKUP($BR70,Tariff_Table_US2,CJ$50)</f>
        <v>1390.002</v>
      </c>
      <c r="CK70" s="98" t="n">
        <f aca="false">VLOOKUP($BR70,Tariff_Table_US2,CK$50)</f>
        <v>490.3197</v>
      </c>
      <c r="CL70" s="98" t="n">
        <f aca="false">VLOOKUP($BR70,Tariff_Table_US2,CL$50)</f>
        <v>5085.76391052632</v>
      </c>
      <c r="CM70" s="1750" t="n">
        <f aca="false">VLOOKUP($BR70,Tariff_Table_US2,CM$50)</f>
        <v>158.823529411765</v>
      </c>
      <c r="CN70" s="68" t="n">
        <f aca="false">VLOOKUP($BR70,Tariff_Table_US2,CN$50)</f>
        <v>8174.90913993808</v>
      </c>
      <c r="CP70" s="1747" t="n">
        <f aca="false">VLOOKUP($BR70,Tariff_Table_US2,CP$50)</f>
        <v>26873.9788838597</v>
      </c>
      <c r="CQ70" s="109" t="n">
        <f aca="false">VLOOKUP($BR70,Tariff_Table_US2,CQ$50)</f>
        <v>28620.7875113106</v>
      </c>
      <c r="CR70" s="1715" t="n">
        <f aca="false">VLOOKUP($BR70,Tariff_Table_US2,CR$50)</f>
        <v>29399.8844492148</v>
      </c>
      <c r="CT70" s="1717" t="n">
        <f aca="false">VLOOKUP($BR70,Tariff_Table_US2,CT$50)</f>
        <v>29399.8844492148</v>
      </c>
      <c r="CU70" s="1752" t="n">
        <f aca="false">VLOOKUP($BR70,Tariff_Table_US2,CU$50)</f>
        <v>12</v>
      </c>
      <c r="CV70" s="1719" t="n">
        <f aca="false">VLOOKUP($BR70,Tariff_Table_US2,CV$50)</f>
        <v>480</v>
      </c>
      <c r="CW70" s="1715" t="n">
        <f aca="false">VLOOKUP($BR70,Tariff_Table_US2,CW$50)</f>
        <v>5104.14660576646</v>
      </c>
    </row>
    <row r="71" customFormat="false" ht="12.75" hidden="false" customHeight="false" outlineLevel="0" collapsed="false">
      <c r="B71" s="1746" t="n">
        <f aca="false">B70+1</f>
        <v>17</v>
      </c>
      <c r="C71" s="320" t="n">
        <f aca="false">Tariff!D58</f>
        <v>3801.74</v>
      </c>
      <c r="D71" s="1739"/>
      <c r="E71" s="1743" t="n">
        <f aca="false">VLOOKUP($B71,Tariff_Table_US,$AG$50)</f>
        <v>3691.73289709243</v>
      </c>
      <c r="F71" s="109" t="n">
        <f aca="false">VLOOKUP($B71,Tariff_Table_R,'R$ Table'!$AB$50)</f>
        <v>1049.15793429407</v>
      </c>
      <c r="G71" s="1715" t="n">
        <f aca="false">SUM(E71:F71)</f>
        <v>4740.89083138649</v>
      </c>
      <c r="H71" s="1561" t="n">
        <f aca="false">E71/$G71</f>
        <v>0.778700254528486</v>
      </c>
      <c r="I71" s="306" t="n">
        <f aca="false">F71/$G71</f>
        <v>0.221299745471515</v>
      </c>
      <c r="J71" s="388"/>
      <c r="K71" s="1744" t="n">
        <f aca="false">SUM(H71:I71)</f>
        <v>1</v>
      </c>
      <c r="N71" s="1531" t="n">
        <f aca="false">N70+1</f>
        <v>2015</v>
      </c>
      <c r="O71" s="1709" t="n">
        <f aca="false">IF($N71&lt;YEAR(Startops3),0,VLOOKUP(($N71-YEAR(Startops3)+1)*2-'Debt Amort'!$B$36,Fin_Table,'Debt Amort'!AE$77))</f>
        <v>545.472321428576</v>
      </c>
      <c r="P71" s="1708" t="n">
        <f aca="false">IF($N71&lt;YEAR(Startops3),0,VLOOKUP(($N71-YEAR(Startops3)+1)*2-'Debt Amort'!$B$36,Fin_Table,'Debt Amort'!AF$77))</f>
        <v>10017.8571428572</v>
      </c>
      <c r="Q71" s="1741"/>
      <c r="R71" s="1712" t="n">
        <f aca="false">IF($N71&lt;YEAR(Startops3),0,VLOOKUP(($N71-YEAR(Startops3)+1)*2-'Debt Amort'!$B$36,Fin_Table,'Debt Amort'!AG$77))</f>
        <v>156.354891006242</v>
      </c>
      <c r="S71" s="1745" t="n">
        <f aca="false">IF($N71&lt;YEAR(Startops3),0,VLOOKUP(($N71-YEAR(Startops3)+1)*2-'Debt Amort'!$B$36,Fin_Table,'Debt Amort'!AH$77))</f>
        <v>2275.54548631808</v>
      </c>
      <c r="T71" s="1711" t="n">
        <f aca="false">SUM(O71:S71)</f>
        <v>12995.2298416101</v>
      </c>
      <c r="W71" s="1531" t="n">
        <f aca="false">$N71</f>
        <v>2015</v>
      </c>
      <c r="X71" s="1709" t="n">
        <f aca="false">IF($N71&lt;YEAR(Startops3),0,VLOOKUP(($N71-YEAR(Startops3)+1)*2-'Debt Amort'!$B$36,Fin_Table,'Debt Amort'!AC$77))</f>
        <v>0</v>
      </c>
      <c r="Z71" s="1708" t="n">
        <f aca="false">IF($N71&lt;YEAR(Startops3),0,VLOOKUP(($N71-YEAR(Startops3)+1)*2-'Debt Amort'!$B$36,Fin_Table,'Debt Amort'!AD$77))</f>
        <v>0</v>
      </c>
      <c r="AA71" s="1711" t="n">
        <f aca="false">SUM(X71:Z71)</f>
        <v>0</v>
      </c>
      <c r="AC71" s="1531" t="n">
        <f aca="false">$N71</f>
        <v>2015</v>
      </c>
      <c r="AD71" s="1712" t="n">
        <f aca="false">HLOOKUP($AC71,Rev_Exp_Table,Rev_Exp!$AA$81)/HLOOKUP($AC71,Rev_Exp_Table,Rev_Exp!$AA$25)</f>
        <v>900</v>
      </c>
      <c r="AE71" s="1712" t="n">
        <f aca="false">HLOOKUP($AC71,Rev_Exp_Table,Rev_Exp!$AA$82)/HLOOKUP($AC71,Rev_Exp_Table,Rev_Exp!$AA$25)</f>
        <v>150</v>
      </c>
      <c r="AF71" s="1712" t="n">
        <f aca="false">HLOOKUP($AC71,Rev_Exp_Table,Rev_Exp!$AA$83)/HLOOKUP($AC71,Rev_Exp_Table,Rev_Exp!$AA$25)</f>
        <v>1390.002</v>
      </c>
      <c r="AG71" s="1712" t="n">
        <f aca="false">HLOOKUP($AC71,Rev_Exp_Table,Rev_Exp!$AA$84)/HLOOKUP($AC71,Rev_Exp_Table,Rev_Exp!$AA$25)</f>
        <v>490.3197</v>
      </c>
      <c r="AH71" s="1712" t="n">
        <f aca="false">AVERAGE(Trapped!$G$64:$Y$64)*(1+Trapped!$D$67)</f>
        <v>5085.76391052632</v>
      </c>
      <c r="AI71" s="1708" t="n">
        <f aca="false">AD71*AI$54</f>
        <v>158.823529411765</v>
      </c>
      <c r="AJ71" s="1710" t="n">
        <f aca="false">SUM(AD71:AI71)</f>
        <v>8174.90913993808</v>
      </c>
      <c r="BI71" s="0"/>
      <c r="BR71" s="1746" t="n">
        <f aca="false">$B71</f>
        <v>17</v>
      </c>
      <c r="BU71" s="1747" t="n">
        <f aca="false">VLOOKUP($BR71,Tariff_Table_US2,BU$50)</f>
        <v>363.648214285717</v>
      </c>
      <c r="BV71" s="1748" t="n">
        <f aca="false">VLOOKUP($BR71,Tariff_Table_US2,BV$50)</f>
        <v>6678.57142857147</v>
      </c>
      <c r="BW71" s="1749" t="n">
        <f aca="false">VLOOKUP($BR71,Tariff_Table_US2,BW$50)</f>
        <v>104.236594004162</v>
      </c>
      <c r="BX71" s="1750" t="n">
        <f aca="false">VLOOKUP($BR71,Tariff_Table_US2,BX$50)</f>
        <v>1517.03032421205</v>
      </c>
      <c r="BY71" s="1751" t="n">
        <f aca="false">VLOOKUP($BR71,Tariff_Table_US2,BY$50)</f>
        <v>8663.4865610734</v>
      </c>
      <c r="CA71" s="1747" t="n">
        <f aca="false">VLOOKUP($BR71,Tariff_Table_US2,CA$50)</f>
        <v>2599.04596832202</v>
      </c>
      <c r="CB71" s="1579" t="n">
        <f aca="false">VLOOKUP($BR71,Tariff_Table_US2,CB$50)</f>
        <v>0</v>
      </c>
      <c r="CD71" s="1747" t="n">
        <f aca="false">VLOOKUP($BR71,Tariff_Table_US2,CD$50)</f>
        <v>0</v>
      </c>
      <c r="CE71" s="1750" t="n">
        <f aca="false">VLOOKUP($BR71,Tariff_Table_US2,CE$50)</f>
        <v>0</v>
      </c>
      <c r="CF71" s="1751" t="n">
        <f aca="false">VLOOKUP($BR71,Tariff_Table_US2,CF$50)</f>
        <v>0</v>
      </c>
      <c r="CH71" s="1747" t="n">
        <f aca="false">VLOOKUP($BR71,Tariff_Table_US2,CH$50)</f>
        <v>900</v>
      </c>
      <c r="CI71" s="98" t="n">
        <f aca="false">VLOOKUP($BR71,Tariff_Table_US2,CI$50)</f>
        <v>150</v>
      </c>
      <c r="CJ71" s="98" t="n">
        <f aca="false">VLOOKUP($BR71,Tariff_Table_US2,CJ$50)</f>
        <v>1390.002</v>
      </c>
      <c r="CK71" s="98" t="n">
        <f aca="false">VLOOKUP($BR71,Tariff_Table_US2,CK$50)</f>
        <v>490.3197</v>
      </c>
      <c r="CL71" s="98" t="n">
        <f aca="false">VLOOKUP($BR71,Tariff_Table_US2,CL$50)</f>
        <v>5085.76391052632</v>
      </c>
      <c r="CM71" s="1750" t="n">
        <f aca="false">VLOOKUP($BR71,Tariff_Table_US2,CM$50)</f>
        <v>158.823529411765</v>
      </c>
      <c r="CN71" s="68" t="n">
        <f aca="false">VLOOKUP($BR71,Tariff_Table_US2,CN$50)</f>
        <v>8174.90913993808</v>
      </c>
      <c r="CP71" s="1747" t="n">
        <f aca="false">VLOOKUP($BR71,Tariff_Table_US2,CP$50)</f>
        <v>19437.4416693335</v>
      </c>
      <c r="CQ71" s="109" t="n">
        <f aca="false">VLOOKUP($BR71,Tariff_Table_US2,CQ$50)</f>
        <v>20700.8753778402</v>
      </c>
      <c r="CR71" s="1715" t="n">
        <f aca="false">VLOOKUP($BR71,Tariff_Table_US2,CR$50)</f>
        <v>21264.3814872524</v>
      </c>
      <c r="CT71" s="1717" t="n">
        <f aca="false">VLOOKUP($BR71,Tariff_Table_US2,CT$50)</f>
        <v>21264.3814872524</v>
      </c>
      <c r="CU71" s="1752" t="n">
        <f aca="false">VLOOKUP($BR71,Tariff_Table_US2,CU$50)</f>
        <v>12</v>
      </c>
      <c r="CV71" s="1719" t="n">
        <f aca="false">VLOOKUP($BR71,Tariff_Table_US2,CV$50)</f>
        <v>480</v>
      </c>
      <c r="CW71" s="1715" t="n">
        <f aca="false">VLOOKUP($BR71,Tariff_Table_US2,CW$50)</f>
        <v>3691.73289709242</v>
      </c>
    </row>
    <row r="72" customFormat="false" ht="12.75" hidden="false" customHeight="false" outlineLevel="0" collapsed="false">
      <c r="B72" s="1746" t="n">
        <f aca="false">B71+1</f>
        <v>18</v>
      </c>
      <c r="C72" s="320" t="n">
        <f aca="false">Tariff!D59</f>
        <v>3801.75</v>
      </c>
      <c r="D72" s="1739"/>
      <c r="E72" s="1743" t="n">
        <f aca="false">VLOOKUP($B72,Tariff_Table_US,$AG$50)</f>
        <v>1552.65191356254</v>
      </c>
      <c r="F72" s="109" t="n">
        <f aca="false">VLOOKUP($B72,Tariff_Table_R,'R$ Table'!$AB$50)</f>
        <v>1536.0837570081</v>
      </c>
      <c r="G72" s="1715" t="n">
        <f aca="false">SUM(E72:F72)</f>
        <v>3088.73567057064</v>
      </c>
      <c r="H72" s="1561" t="n">
        <f aca="false">E72/$G72</f>
        <v>0.502682028881964</v>
      </c>
      <c r="I72" s="306" t="n">
        <f aca="false">F72/$G72</f>
        <v>0.497317971118036</v>
      </c>
      <c r="J72" s="388"/>
      <c r="K72" s="1744" t="n">
        <f aca="false">SUM(H72:I72)</f>
        <v>1</v>
      </c>
      <c r="N72" s="1531" t="n">
        <f aca="false">N71+1</f>
        <v>2016</v>
      </c>
      <c r="O72" s="1709" t="n">
        <f aca="false">IF($N72&lt;YEAR(Startops3),0,VLOOKUP(($N72-YEAR(Startops3)+1)*2-'Debt Amort'!$B$36,Fin_Table,'Debt Amort'!AE$77))</f>
        <v>0</v>
      </c>
      <c r="P72" s="1708" t="n">
        <f aca="false">IF($N72&lt;YEAR(Startops3),0,VLOOKUP(($N72-YEAR(Startops3)+1)*2-'Debt Amort'!$B$36,Fin_Table,'Debt Amort'!AF$77))</f>
        <v>0</v>
      </c>
      <c r="Q72" s="1741"/>
      <c r="R72" s="1712" t="n">
        <f aca="false">IF($N72&lt;YEAR(Startops3),0,VLOOKUP(($N72-YEAR(Startops3)+1)*2-'Debt Amort'!$B$36,Fin_Table,'Debt Amort'!AG$77))</f>
        <v>0</v>
      </c>
      <c r="S72" s="1745" t="n">
        <f aca="false">IF($N72&lt;YEAR(Startops3),0,VLOOKUP(($N72-YEAR(Startops3)+1)*2-'Debt Amort'!$B$36,Fin_Table,'Debt Amort'!AH$77))</f>
        <v>0</v>
      </c>
      <c r="T72" s="1711" t="n">
        <f aca="false">SUM(O72:S72)</f>
        <v>0</v>
      </c>
      <c r="W72" s="1531" t="n">
        <f aca="false">$N72</f>
        <v>2016</v>
      </c>
      <c r="X72" s="1709" t="n">
        <f aca="false">IF($N72&lt;YEAR(Startops3),0,VLOOKUP(($N72-YEAR(Startops3)+1)*2-'Debt Amort'!$B$36,Fin_Table,'Debt Amort'!AC$77))</f>
        <v>0</v>
      </c>
      <c r="Z72" s="1708" t="n">
        <f aca="false">IF($N72&lt;YEAR(Startops3),0,VLOOKUP(($N72-YEAR(Startops3)+1)*2-'Debt Amort'!$B$36,Fin_Table,'Debt Amort'!AD$77))</f>
        <v>0</v>
      </c>
      <c r="AA72" s="1711" t="n">
        <f aca="false">SUM(X72:Z72)</f>
        <v>0</v>
      </c>
      <c r="AC72" s="1531" t="n">
        <f aca="false">$N72</f>
        <v>2016</v>
      </c>
      <c r="AD72" s="1712" t="n">
        <f aca="false">HLOOKUP($AC72,Rev_Exp_Table,Rev_Exp!$AA$81)/HLOOKUP($AC72,Rev_Exp_Table,Rev_Exp!$AA$25)</f>
        <v>900</v>
      </c>
      <c r="AE72" s="1712" t="n">
        <f aca="false">HLOOKUP($AC72,Rev_Exp_Table,Rev_Exp!$AA$82)/HLOOKUP($AC72,Rev_Exp_Table,Rev_Exp!$AA$25)</f>
        <v>150</v>
      </c>
      <c r="AF72" s="1712" t="n">
        <f aca="false">HLOOKUP($AC72,Rev_Exp_Table,Rev_Exp!$AA$83)/HLOOKUP($AC72,Rev_Exp_Table,Rev_Exp!$AA$25)</f>
        <v>1390.002</v>
      </c>
      <c r="AG72" s="1712" t="n">
        <f aca="false">HLOOKUP($AC72,Rev_Exp_Table,Rev_Exp!$AA$84)/HLOOKUP($AC72,Rev_Exp_Table,Rev_Exp!$AA$25)</f>
        <v>490.3197</v>
      </c>
      <c r="AH72" s="1712" t="n">
        <f aca="false">AVERAGE(Trapped!$G$64:$Y$64)*(1+Trapped!$D$67)</f>
        <v>5085.76391052632</v>
      </c>
      <c r="AI72" s="1708" t="n">
        <f aca="false">AD72*AI$54</f>
        <v>158.823529411765</v>
      </c>
      <c r="AJ72" s="1710" t="n">
        <f aca="false">SUM(AD72:AI72)</f>
        <v>8174.90913993808</v>
      </c>
      <c r="BI72" s="0"/>
      <c r="BR72" s="1746" t="n">
        <f aca="false">$B72</f>
        <v>18</v>
      </c>
      <c r="BU72" s="1747" t="n">
        <f aca="false">VLOOKUP($BR72,Tariff_Table_US2,BU$50)</f>
        <v>0</v>
      </c>
      <c r="BV72" s="1748" t="n">
        <f aca="false">VLOOKUP($BR72,Tariff_Table_US2,BV$50)</f>
        <v>0</v>
      </c>
      <c r="BW72" s="1749" t="n">
        <f aca="false">VLOOKUP($BR72,Tariff_Table_US2,BW$50)</f>
        <v>0</v>
      </c>
      <c r="BX72" s="1750" t="n">
        <f aca="false">VLOOKUP($BR72,Tariff_Table_US2,BX$50)</f>
        <v>0</v>
      </c>
      <c r="BY72" s="1751" t="n">
        <f aca="false">VLOOKUP($BR72,Tariff_Table_US2,BY$50)</f>
        <v>0</v>
      </c>
      <c r="CA72" s="1747" t="n">
        <f aca="false">VLOOKUP($BR72,Tariff_Table_US2,CA$50)</f>
        <v>0</v>
      </c>
      <c r="CB72" s="1579" t="n">
        <f aca="false">VLOOKUP($BR72,Tariff_Table_US2,CB$50)</f>
        <v>0</v>
      </c>
      <c r="CD72" s="1747" t="n">
        <f aca="false">VLOOKUP($BR72,Tariff_Table_US2,CD$50)</f>
        <v>0</v>
      </c>
      <c r="CE72" s="1750" t="n">
        <f aca="false">VLOOKUP($BR72,Tariff_Table_US2,CE$50)</f>
        <v>0</v>
      </c>
      <c r="CF72" s="1751" t="n">
        <f aca="false">VLOOKUP($BR72,Tariff_Table_US2,CF$50)</f>
        <v>0</v>
      </c>
      <c r="CH72" s="1747" t="n">
        <f aca="false">VLOOKUP($BR72,Tariff_Table_US2,CH$50)</f>
        <v>900</v>
      </c>
      <c r="CI72" s="98" t="n">
        <f aca="false">VLOOKUP($BR72,Tariff_Table_US2,CI$50)</f>
        <v>150</v>
      </c>
      <c r="CJ72" s="98" t="n">
        <f aca="false">VLOOKUP($BR72,Tariff_Table_US2,CJ$50)</f>
        <v>1390.002</v>
      </c>
      <c r="CK72" s="98" t="n">
        <f aca="false">VLOOKUP($BR72,Tariff_Table_US2,CK$50)</f>
        <v>490.3197</v>
      </c>
      <c r="CL72" s="98" t="n">
        <f aca="false">VLOOKUP($BR72,Tariff_Table_US2,CL$50)</f>
        <v>5085.76391052632</v>
      </c>
      <c r="CM72" s="1750" t="n">
        <f aca="false">VLOOKUP($BR72,Tariff_Table_US2,CM$50)</f>
        <v>158.823529411765</v>
      </c>
      <c r="CN72" s="68" t="n">
        <f aca="false">VLOOKUP($BR72,Tariff_Table_US2,CN$50)</f>
        <v>8174.90913993808</v>
      </c>
      <c r="CP72" s="1747" t="n">
        <f aca="false">VLOOKUP($BR72,Tariff_Table_US2,CP$50)</f>
        <v>8174.90913993808</v>
      </c>
      <c r="CQ72" s="109" t="n">
        <f aca="false">VLOOKUP($BR72,Tariff_Table_US2,CQ$50)</f>
        <v>8706.27823403406</v>
      </c>
      <c r="CR72" s="1715" t="n">
        <f aca="false">VLOOKUP($BR72,Tariff_Table_US2,CR$50)</f>
        <v>8943.27502212024</v>
      </c>
      <c r="CT72" s="1717" t="n">
        <f aca="false">VLOOKUP($BR72,Tariff_Table_US2,CT$50)</f>
        <v>8943.27502212024</v>
      </c>
      <c r="CU72" s="1752" t="n">
        <f aca="false">VLOOKUP($BR72,Tariff_Table_US2,CU$50)</f>
        <v>12</v>
      </c>
      <c r="CV72" s="1719" t="n">
        <f aca="false">VLOOKUP($BR72,Tariff_Table_US2,CV$50)</f>
        <v>480</v>
      </c>
      <c r="CW72" s="1715" t="n">
        <f aca="false">VLOOKUP($BR72,Tariff_Table_US2,CW$50)</f>
        <v>1552.65191356254</v>
      </c>
    </row>
    <row r="73" customFormat="false" ht="12.75" hidden="false" customHeight="false" outlineLevel="0" collapsed="false">
      <c r="B73" s="1746" t="n">
        <f aca="false">B72+1</f>
        <v>19</v>
      </c>
      <c r="C73" s="320" t="n">
        <f aca="false">Tariff!D60</f>
        <v>3801.74</v>
      </c>
      <c r="D73" s="1739"/>
      <c r="E73" s="1743" t="n">
        <f aca="false">VLOOKUP($B73,Tariff_Table_US,$AG$50)</f>
        <v>1242.82917088384</v>
      </c>
      <c r="F73" s="109" t="n">
        <f aca="false">VLOOKUP($B73,Tariff_Table_R,'R$ Table'!$AB$50)</f>
        <v>1518.19942288937</v>
      </c>
      <c r="G73" s="1715" t="n">
        <f aca="false">SUM(E73:F73)</f>
        <v>2761.02859377321</v>
      </c>
      <c r="H73" s="1561" t="n">
        <f aca="false">E73/$G73</f>
        <v>0.450132669283731</v>
      </c>
      <c r="I73" s="306" t="n">
        <f aca="false">F73/$G73</f>
        <v>0.549867330716269</v>
      </c>
      <c r="J73" s="388"/>
      <c r="K73" s="1744" t="n">
        <f aca="false">SUM(H73:I73)</f>
        <v>1</v>
      </c>
      <c r="N73" s="1531" t="n">
        <f aca="false">N72+1</f>
        <v>2017</v>
      </c>
      <c r="O73" s="1709" t="n">
        <f aca="false">IF($N73&lt;YEAR(Startops3),0,VLOOKUP(($N73-YEAR(Startops3)+1)*2-'Debt Amort'!$B$36,Fin_Table,'Debt Amort'!AE$77))</f>
        <v>0</v>
      </c>
      <c r="P73" s="1708" t="n">
        <f aca="false">IF($N73&lt;YEAR(Startops3),0,VLOOKUP(($N73-YEAR(Startops3)+1)*2-'Debt Amort'!$B$36,Fin_Table,'Debt Amort'!AF$77))</f>
        <v>0</v>
      </c>
      <c r="Q73" s="1741"/>
      <c r="R73" s="1712" t="n">
        <f aca="false">IF($N73&lt;YEAR(Startops3),0,VLOOKUP(($N73-YEAR(Startops3)+1)*2-'Debt Amort'!$B$36,Fin_Table,'Debt Amort'!AG$77))</f>
        <v>0</v>
      </c>
      <c r="S73" s="1745" t="n">
        <f aca="false">IF($N73&lt;YEAR(Startops3),0,VLOOKUP(($N73-YEAR(Startops3)+1)*2-'Debt Amort'!$B$36,Fin_Table,'Debt Amort'!AH$77))</f>
        <v>0</v>
      </c>
      <c r="T73" s="1711" t="n">
        <f aca="false">SUM(O73:S73)</f>
        <v>0</v>
      </c>
      <c r="W73" s="1531" t="n">
        <f aca="false">$N73</f>
        <v>2017</v>
      </c>
      <c r="X73" s="1709" t="n">
        <f aca="false">IF($N73&lt;YEAR(Startops3),0,VLOOKUP(($N73-YEAR(Startops3)+1)*2-'Debt Amort'!$B$36,Fin_Table,'Debt Amort'!AC$77))</f>
        <v>0</v>
      </c>
      <c r="Z73" s="1708" t="n">
        <f aca="false">IF($N73&lt;YEAR(Startops3),0,VLOOKUP(($N73-YEAR(Startops3)+1)*2-'Debt Amort'!$B$36,Fin_Table,'Debt Amort'!AD$77))</f>
        <v>0</v>
      </c>
      <c r="AA73" s="1711" t="n">
        <f aca="false">SUM(X73:Z73)</f>
        <v>0</v>
      </c>
      <c r="AC73" s="1531" t="n">
        <f aca="false">$N73</f>
        <v>2017</v>
      </c>
      <c r="AD73" s="1712" t="n">
        <f aca="false">HLOOKUP($AC73,Rev_Exp_Table,Rev_Exp!$AA$81)/HLOOKUP($AC73,Rev_Exp_Table,Rev_Exp!$AA$25)</f>
        <v>900</v>
      </c>
      <c r="AE73" s="1712" t="n">
        <f aca="false">HLOOKUP($AC73,Rev_Exp_Table,Rev_Exp!$AA$82)/HLOOKUP($AC73,Rev_Exp_Table,Rev_Exp!$AA$25)</f>
        <v>150</v>
      </c>
      <c r="AF73" s="1712" t="n">
        <f aca="false">HLOOKUP($AC73,Rev_Exp_Table,Rev_Exp!$AA$83)/HLOOKUP($AC73,Rev_Exp_Table,Rev_Exp!$AA$25)</f>
        <v>1390.002</v>
      </c>
      <c r="AG73" s="1712" t="n">
        <f aca="false">HLOOKUP($AC73,Rev_Exp_Table,Rev_Exp!$AA$84)/HLOOKUP($AC73,Rev_Exp_Table,Rev_Exp!$AA$25)</f>
        <v>490.3197</v>
      </c>
      <c r="AH73" s="1712" t="n">
        <f aca="false">AVERAGE(Trapped!$G$64:$Y$64)*(1+Trapped!$D$67)</f>
        <v>5085.76391052632</v>
      </c>
      <c r="AI73" s="1708" t="n">
        <f aca="false">AD73*AI$54</f>
        <v>158.823529411765</v>
      </c>
      <c r="AJ73" s="1710" t="n">
        <f aca="false">SUM(AD73:AI73)</f>
        <v>8174.90913993808</v>
      </c>
      <c r="BI73" s="0"/>
      <c r="BR73" s="1746" t="n">
        <f aca="false">$B73</f>
        <v>19</v>
      </c>
      <c r="BU73" s="1747" t="n">
        <f aca="false">VLOOKUP($BR73,Tariff_Table_US2,BU$50)</f>
        <v>0</v>
      </c>
      <c r="BV73" s="1748" t="n">
        <f aca="false">VLOOKUP($BR73,Tariff_Table_US2,BV$50)</f>
        <v>0</v>
      </c>
      <c r="BW73" s="1749" t="n">
        <f aca="false">VLOOKUP($BR73,Tariff_Table_US2,BW$50)</f>
        <v>0</v>
      </c>
      <c r="BX73" s="1750" t="n">
        <f aca="false">VLOOKUP($BR73,Tariff_Table_US2,BX$50)</f>
        <v>0</v>
      </c>
      <c r="BY73" s="1751" t="n">
        <f aca="false">VLOOKUP($BR73,Tariff_Table_US2,BY$50)</f>
        <v>0</v>
      </c>
      <c r="CA73" s="1747" t="n">
        <f aca="false">VLOOKUP($BR73,Tariff_Table_US2,CA$50)</f>
        <v>0</v>
      </c>
      <c r="CB73" s="1579" t="n">
        <f aca="false">VLOOKUP($BR73,Tariff_Table_US2,CB$50)</f>
        <v>0</v>
      </c>
      <c r="CD73" s="1747" t="n">
        <f aca="false">VLOOKUP($BR73,Tariff_Table_US2,CD$50)</f>
        <v>0</v>
      </c>
      <c r="CE73" s="1750" t="n">
        <f aca="false">VLOOKUP($BR73,Tariff_Table_US2,CE$50)</f>
        <v>0</v>
      </c>
      <c r="CF73" s="1751" t="n">
        <f aca="false">VLOOKUP($BR73,Tariff_Table_US2,CF$50)</f>
        <v>0</v>
      </c>
      <c r="CH73" s="1747" t="n">
        <f aca="false">VLOOKUP($BR73,Tariff_Table_US2,CH$50)</f>
        <v>900</v>
      </c>
      <c r="CI73" s="98" t="n">
        <f aca="false">VLOOKUP($BR73,Tariff_Table_US2,CI$50)</f>
        <v>150</v>
      </c>
      <c r="CJ73" s="98" t="n">
        <f aca="false">VLOOKUP($BR73,Tariff_Table_US2,CJ$50)</f>
        <v>1390.002</v>
      </c>
      <c r="CK73" s="98" t="n">
        <f aca="false">VLOOKUP($BR73,Tariff_Table_US2,CK$50)</f>
        <v>490.3197</v>
      </c>
      <c r="CL73" s="98" t="n">
        <f aca="false">VLOOKUP($BR73,Tariff_Table_US2,CL$50)</f>
        <v>3454.50789701754</v>
      </c>
      <c r="CM73" s="1750" t="n">
        <f aca="false">VLOOKUP($BR73,Tariff_Table_US2,CM$50)</f>
        <v>158.823529411765</v>
      </c>
      <c r="CN73" s="68" t="n">
        <f aca="false">VLOOKUP($BR73,Tariff_Table_US2,CN$50)</f>
        <v>6543.65312642931</v>
      </c>
      <c r="CP73" s="1747" t="n">
        <f aca="false">VLOOKUP($BR73,Tariff_Table_US2,CP$50)</f>
        <v>6543.65312642931</v>
      </c>
      <c r="CQ73" s="109" t="n">
        <f aca="false">VLOOKUP($BR73,Tariff_Table_US2,CQ$50)</f>
        <v>6968.99057964721</v>
      </c>
      <c r="CR73" s="1715" t="n">
        <f aca="false">VLOOKUP($BR73,Tariff_Table_US2,CR$50)</f>
        <v>7158.69602429092</v>
      </c>
      <c r="CT73" s="1717" t="n">
        <f aca="false">VLOOKUP($BR73,Tariff_Table_US2,CT$50)</f>
        <v>7158.69602429092</v>
      </c>
      <c r="CU73" s="1752" t="n">
        <f aca="false">VLOOKUP($BR73,Tariff_Table_US2,CU$50)</f>
        <v>12</v>
      </c>
      <c r="CV73" s="1719" t="n">
        <f aca="false">VLOOKUP($BR73,Tariff_Table_US2,CV$50)</f>
        <v>480</v>
      </c>
      <c r="CW73" s="1715" t="n">
        <f aca="false">VLOOKUP($BR73,Tariff_Table_US2,CW$50)</f>
        <v>1242.82917088384</v>
      </c>
    </row>
    <row r="74" customFormat="false" ht="12.75" hidden="false" customHeight="false" outlineLevel="0" collapsed="false">
      <c r="B74" s="1746" t="n">
        <f aca="false">B73+1</f>
        <v>20</v>
      </c>
      <c r="C74" s="320" t="n">
        <f aca="false">Tariff!D61</f>
        <v>3801.75</v>
      </c>
      <c r="D74" s="1739"/>
      <c r="E74" s="1743" t="n">
        <f aca="false">VLOOKUP($B74,Tariff_Table_US,$AG$50)</f>
        <v>647.494068255566</v>
      </c>
      <c r="F74" s="109" t="n">
        <f aca="false">VLOOKUP($B74,Tariff_Table_R,'R$ Table'!$AB$50)</f>
        <v>1497.30185814237</v>
      </c>
      <c r="G74" s="1715" t="n">
        <f aca="false">SUM(E74:F74)</f>
        <v>2144.79592639794</v>
      </c>
      <c r="H74" s="1561" t="n">
        <f aca="false">E74/$G74</f>
        <v>0.30189075813054</v>
      </c>
      <c r="I74" s="306" t="n">
        <f aca="false">F74/$G74</f>
        <v>0.69810924186946</v>
      </c>
      <c r="J74" s="388"/>
      <c r="K74" s="1744" t="n">
        <f aca="false">SUM(H74:I74)</f>
        <v>1</v>
      </c>
      <c r="N74" s="1531" t="n">
        <f aca="false">N73+1</f>
        <v>2018</v>
      </c>
      <c r="O74" s="1709" t="n">
        <f aca="false">IF($N74&lt;YEAR(Startops3),0,VLOOKUP(($N74-YEAR(Startops3)+1)*2-'Debt Amort'!$B$36,Fin_Table,'Debt Amort'!AE$77))</f>
        <v>0</v>
      </c>
      <c r="P74" s="1708" t="n">
        <f aca="false">IF($N74&lt;YEAR(Startops3),0,VLOOKUP(($N74-YEAR(Startops3)+1)*2-'Debt Amort'!$B$36,Fin_Table,'Debt Amort'!AF$77))</f>
        <v>0</v>
      </c>
      <c r="Q74" s="1741"/>
      <c r="R74" s="1712" t="n">
        <f aca="false">IF($N74&lt;YEAR(Startops3),0,VLOOKUP(($N74-YEAR(Startops3)+1)*2-'Debt Amort'!$B$36,Fin_Table,'Debt Amort'!AG$77))</f>
        <v>0</v>
      </c>
      <c r="S74" s="1745" t="n">
        <f aca="false">IF($N74&lt;YEAR(Startops3),0,VLOOKUP(($N74-YEAR(Startops3)+1)*2-'Debt Amort'!$B$36,Fin_Table,'Debt Amort'!AH$77))</f>
        <v>0</v>
      </c>
      <c r="T74" s="1711" t="n">
        <f aca="false">SUM(O74:S74)</f>
        <v>0</v>
      </c>
      <c r="W74" s="1531" t="n">
        <f aca="false">$N74</f>
        <v>2018</v>
      </c>
      <c r="X74" s="1709" t="n">
        <f aca="false">IF($N74&lt;YEAR(Startops3),0,VLOOKUP(($N74-YEAR(Startops3)+1)*2-'Debt Amort'!$B$36,Fin_Table,'Debt Amort'!AC$77))</f>
        <v>0</v>
      </c>
      <c r="Z74" s="1708" t="n">
        <f aca="false">IF($N74&lt;YEAR(Startops3),0,VLOOKUP(($N74-YEAR(Startops3)+1)*2-'Debt Amort'!$B$36,Fin_Table,'Debt Amort'!AD$77))</f>
        <v>0</v>
      </c>
      <c r="AA74" s="1711" t="n">
        <f aca="false">SUM(X74:Z74)</f>
        <v>0</v>
      </c>
      <c r="AC74" s="1531" t="n">
        <f aca="false">$N74</f>
        <v>2018</v>
      </c>
      <c r="AD74" s="1712" t="n">
        <f aca="false">HLOOKUP($AC74,Rev_Exp_Table,Rev_Exp!$AA$81)/HLOOKUP($AC74,Rev_Exp_Table,Rev_Exp!$AA$25)</f>
        <v>900</v>
      </c>
      <c r="AE74" s="1712" t="n">
        <f aca="false">HLOOKUP($AC74,Rev_Exp_Table,Rev_Exp!$AA$82)/HLOOKUP($AC74,Rev_Exp_Table,Rev_Exp!$AA$25)</f>
        <v>150</v>
      </c>
      <c r="AF74" s="1712" t="n">
        <f aca="false">HLOOKUP($AC74,Rev_Exp_Table,Rev_Exp!$AA$83)/HLOOKUP($AC74,Rev_Exp_Table,Rev_Exp!$AA$25)</f>
        <v>1390.002</v>
      </c>
      <c r="AG74" s="1712" t="n">
        <f aca="false">HLOOKUP($AC74,Rev_Exp_Table,Rev_Exp!$AA$84)/HLOOKUP($AC74,Rev_Exp_Table,Rev_Exp!$AA$25)</f>
        <v>490.3197</v>
      </c>
      <c r="AH74" s="1753" t="n">
        <f aca="false">Trapped!$Z$64*(1+Trapped!$D$67)</f>
        <v>191.99587</v>
      </c>
      <c r="AI74" s="1708" t="n">
        <f aca="false">AD74*AI$54</f>
        <v>158.823529411765</v>
      </c>
      <c r="AJ74" s="1710" t="n">
        <f aca="false">SUM(AD74:AI74)</f>
        <v>3281.14109941176</v>
      </c>
      <c r="BI74" s="0"/>
      <c r="BR74" s="1746" t="n">
        <f aca="false">$B74</f>
        <v>20</v>
      </c>
      <c r="BU74" s="1747" t="n">
        <f aca="false">VLOOKUP($BR74,Tariff_Table_US2,BU$50)</f>
        <v>0</v>
      </c>
      <c r="BV74" s="1748" t="n">
        <f aca="false">VLOOKUP($BR74,Tariff_Table_US2,BV$50)</f>
        <v>0</v>
      </c>
      <c r="BW74" s="1749" t="n">
        <f aca="false">VLOOKUP($BR74,Tariff_Table_US2,BW$50)</f>
        <v>0</v>
      </c>
      <c r="BX74" s="1750" t="n">
        <f aca="false">VLOOKUP($BR74,Tariff_Table_US2,BX$50)</f>
        <v>0</v>
      </c>
      <c r="BY74" s="1751" t="n">
        <f aca="false">VLOOKUP($BR74,Tariff_Table_US2,BY$50)</f>
        <v>0</v>
      </c>
      <c r="CA74" s="1747" t="n">
        <f aca="false">VLOOKUP($BR74,Tariff_Table_US2,CA$50)</f>
        <v>0</v>
      </c>
      <c r="CB74" s="1579" t="n">
        <f aca="false">VLOOKUP($BR74,Tariff_Table_US2,CB$50)</f>
        <v>0</v>
      </c>
      <c r="CD74" s="1747" t="n">
        <f aca="false">VLOOKUP($BR74,Tariff_Table_US2,CD$50)</f>
        <v>0</v>
      </c>
      <c r="CE74" s="1750" t="n">
        <f aca="false">VLOOKUP($BR74,Tariff_Table_US2,CE$50)</f>
        <v>0</v>
      </c>
      <c r="CF74" s="1751" t="n">
        <f aca="false">VLOOKUP($BR74,Tariff_Table_US2,CF$50)</f>
        <v>0</v>
      </c>
      <c r="CH74" s="1747" t="n">
        <f aca="false">VLOOKUP($BR74,Tariff_Table_US2,CH$50)</f>
        <v>900</v>
      </c>
      <c r="CI74" s="98" t="n">
        <f aca="false">VLOOKUP($BR74,Tariff_Table_US2,CI$50)</f>
        <v>150</v>
      </c>
      <c r="CJ74" s="98" t="n">
        <f aca="false">VLOOKUP($BR74,Tariff_Table_US2,CJ$50)</f>
        <v>1390.002</v>
      </c>
      <c r="CK74" s="98" t="n">
        <f aca="false">VLOOKUP($BR74,Tariff_Table_US2,CK$50)</f>
        <v>490.3197</v>
      </c>
      <c r="CL74" s="98" t="n">
        <f aca="false">VLOOKUP($BR74,Tariff_Table_US2,CL$50)</f>
        <v>319.993116666667</v>
      </c>
      <c r="CM74" s="1750" t="n">
        <f aca="false">VLOOKUP($BR74,Tariff_Table_US2,CM$50)</f>
        <v>158.823529411765</v>
      </c>
      <c r="CN74" s="68" t="n">
        <f aca="false">VLOOKUP($BR74,Tariff_Table_US2,CN$50)</f>
        <v>3409.13834607843</v>
      </c>
      <c r="CP74" s="1747" t="n">
        <f aca="false">VLOOKUP($BR74,Tariff_Table_US2,CP$50)</f>
        <v>3409.13834607843</v>
      </c>
      <c r="CQ74" s="109" t="n">
        <f aca="false">VLOOKUP($BR74,Tariff_Table_US2,CQ$50)</f>
        <v>3630.73233857353</v>
      </c>
      <c r="CR74" s="1715" t="n">
        <f aca="false">VLOOKUP($BR74,Tariff_Table_US2,CR$50)</f>
        <v>3729.56583315206</v>
      </c>
      <c r="CT74" s="1717" t="n">
        <f aca="false">VLOOKUP($BR74,Tariff_Table_US2,CT$50)</f>
        <v>3729.56583315206</v>
      </c>
      <c r="CU74" s="1752" t="n">
        <f aca="false">VLOOKUP($BR74,Tariff_Table_US2,CU$50)</f>
        <v>12</v>
      </c>
      <c r="CV74" s="1719" t="n">
        <f aca="false">VLOOKUP($BR74,Tariff_Table_US2,CV$50)</f>
        <v>480</v>
      </c>
      <c r="CW74" s="1715" t="n">
        <f aca="false">VLOOKUP($BR74,Tariff_Table_US2,CW$50)</f>
        <v>647.494068255566</v>
      </c>
    </row>
    <row r="75" customFormat="false" ht="12.75" hidden="false" customHeight="false" outlineLevel="0" collapsed="false">
      <c r="B75" s="1746"/>
      <c r="C75" s="320"/>
      <c r="D75" s="1739"/>
      <c r="E75" s="1743"/>
      <c r="F75" s="109"/>
      <c r="G75" s="1715"/>
      <c r="H75" s="1561"/>
      <c r="I75" s="306"/>
      <c r="J75" s="388"/>
      <c r="K75" s="1744"/>
      <c r="N75" s="1531" t="n">
        <f aca="false">N74+1</f>
        <v>2019</v>
      </c>
      <c r="O75" s="1709" t="n">
        <f aca="false">IF($N75&lt;YEAR(Startops3),0,VLOOKUP(($N75-YEAR(Startops3)+1)*2-'Debt Amort'!$B$36,Fin_Table,'Debt Amort'!AE$77))</f>
        <v>0</v>
      </c>
      <c r="P75" s="1708" t="n">
        <f aca="false">IF($N75&lt;YEAR(Startops3),0,VLOOKUP(($N75-YEAR(Startops3)+1)*2-'Debt Amort'!$B$36,Fin_Table,'Debt Amort'!AF$77))</f>
        <v>0</v>
      </c>
      <c r="Q75" s="1741"/>
      <c r="R75" s="1712" t="n">
        <f aca="false">IF($N75&lt;YEAR(Startops3),0,VLOOKUP(($N75-YEAR(Startops3)+1)*2-'Debt Amort'!$B$36,Fin_Table,'Debt Amort'!AG$77))</f>
        <v>0</v>
      </c>
      <c r="S75" s="1745" t="n">
        <f aca="false">IF($N75&lt;YEAR(Startops3),0,VLOOKUP(($N75-YEAR(Startops3)+1)*2-'Debt Amort'!$B$36,Fin_Table,'Debt Amort'!AH$77))</f>
        <v>0</v>
      </c>
      <c r="T75" s="1711" t="n">
        <f aca="false">SUM(O75:S75)</f>
        <v>0</v>
      </c>
      <c r="W75" s="1531" t="n">
        <f aca="false">$N75</f>
        <v>2019</v>
      </c>
      <c r="X75" s="1709" t="n">
        <f aca="false">IF($N75&lt;YEAR(Startops3),0,VLOOKUP(($N75-YEAR(Startops3)+1)*2-'Debt Amort'!$B$36,Fin_Table,'Debt Amort'!AC$77))</f>
        <v>0</v>
      </c>
      <c r="Z75" s="1708" t="n">
        <f aca="false">IF($N75&lt;YEAR(Startops3),0,VLOOKUP(($N75-YEAR(Startops3)+1)*2-'Debt Amort'!$B$36,Fin_Table,'Debt Amort'!AD$77))</f>
        <v>0</v>
      </c>
      <c r="AA75" s="1711" t="n">
        <f aca="false">SUM(X75:Z75)</f>
        <v>0</v>
      </c>
      <c r="AC75" s="1531" t="n">
        <f aca="false">$N75</f>
        <v>2019</v>
      </c>
      <c r="AD75" s="1712" t="n">
        <f aca="false">HLOOKUP($AC75,Rev_Exp_Table,Rev_Exp!$AA$81)/HLOOKUP($AC75,Rev_Exp_Table,Rev_Exp!$AA$25)</f>
        <v>300</v>
      </c>
      <c r="AE75" s="1712" t="n">
        <f aca="false">HLOOKUP($AC75,Rev_Exp_Table,Rev_Exp!$AA$82)/HLOOKUP($AC75,Rev_Exp_Table,Rev_Exp!$AA$25)</f>
        <v>50</v>
      </c>
      <c r="AF75" s="1712" t="n">
        <f aca="false">HLOOKUP($AC75,Rev_Exp_Table,Rev_Exp!$AA$83)/HLOOKUP($AC75,Rev_Exp_Table,Rev_Exp!$AA$25)</f>
        <v>463.334</v>
      </c>
      <c r="AG75" s="1712" t="n">
        <f aca="false">HLOOKUP($AC75,Rev_Exp_Table,Rev_Exp!$AA$84)/HLOOKUP($AC75,Rev_Exp_Table,Rev_Exp!$AA$25)</f>
        <v>163.4399</v>
      </c>
      <c r="AH75" s="1753" t="n">
        <f aca="false">Trapped!$AA$64*(1+Trapped!$D$67)</f>
        <v>191.99587</v>
      </c>
      <c r="AI75" s="1708" t="n">
        <f aca="false">AD75*AI$54</f>
        <v>52.9411764705882</v>
      </c>
      <c r="AJ75" s="1710" t="n">
        <f aca="false">SUM(AD75:AI75)</f>
        <v>1221.71094647059</v>
      </c>
      <c r="BI75" s="0"/>
      <c r="BR75" s="1746"/>
      <c r="BU75" s="320"/>
      <c r="BV75" s="1739"/>
      <c r="BW75" s="1743"/>
      <c r="BX75" s="1754"/>
      <c r="BY75" s="1715"/>
      <c r="CA75" s="320"/>
      <c r="CB75" s="1537"/>
      <c r="CD75" s="320"/>
      <c r="CE75" s="1754"/>
      <c r="CF75" s="1715"/>
      <c r="CH75" s="320"/>
      <c r="CI75" s="109"/>
      <c r="CJ75" s="109"/>
      <c r="CK75" s="109"/>
      <c r="CL75" s="109"/>
      <c r="CM75" s="1754"/>
      <c r="CN75" s="1755"/>
      <c r="CP75" s="320"/>
      <c r="CQ75" s="109"/>
      <c r="CR75" s="1715"/>
      <c r="CT75" s="1717"/>
      <c r="CU75" s="1752"/>
      <c r="CV75" s="1719"/>
      <c r="CW75" s="1715"/>
    </row>
    <row r="76" customFormat="false" ht="12.75" hidden="false" customHeight="false" outlineLevel="0" collapsed="false">
      <c r="B76" s="1746"/>
      <c r="C76" s="320"/>
      <c r="D76" s="1739"/>
      <c r="E76" s="1743"/>
      <c r="F76" s="109"/>
      <c r="G76" s="1715"/>
      <c r="H76" s="1561"/>
      <c r="I76" s="306"/>
      <c r="J76" s="388"/>
      <c r="K76" s="1744"/>
      <c r="N76" s="1531"/>
      <c r="O76" s="1709"/>
      <c r="P76" s="1708"/>
      <c r="Q76" s="1741"/>
      <c r="R76" s="1712"/>
      <c r="S76" s="1745"/>
      <c r="T76" s="1711"/>
      <c r="W76" s="1531"/>
      <c r="X76" s="1709"/>
      <c r="Z76" s="1708"/>
      <c r="AA76" s="1711"/>
      <c r="AC76" s="1531"/>
      <c r="AD76" s="1712"/>
      <c r="AE76" s="1712"/>
      <c r="AF76" s="1712"/>
      <c r="AG76" s="1712"/>
      <c r="AH76" s="1753"/>
      <c r="AI76" s="1708"/>
      <c r="AJ76" s="1710"/>
      <c r="BI76" s="0"/>
      <c r="BR76" s="1746"/>
      <c r="BU76" s="320"/>
      <c r="BV76" s="1739"/>
      <c r="BW76" s="1743"/>
      <c r="BX76" s="1754"/>
      <c r="BY76" s="1715"/>
      <c r="CA76" s="320"/>
      <c r="CB76" s="1537"/>
      <c r="CD76" s="320"/>
      <c r="CE76" s="1754"/>
      <c r="CF76" s="1715"/>
      <c r="CH76" s="320"/>
      <c r="CI76" s="109"/>
      <c r="CJ76" s="109"/>
      <c r="CK76" s="109"/>
      <c r="CL76" s="109"/>
      <c r="CM76" s="1754"/>
      <c r="CN76" s="1755"/>
      <c r="CP76" s="320"/>
      <c r="CQ76" s="109"/>
      <c r="CR76" s="1715"/>
      <c r="CT76" s="1717"/>
      <c r="CU76" s="1752"/>
      <c r="CV76" s="1719"/>
      <c r="CW76" s="1715"/>
    </row>
    <row r="77" customFormat="false" ht="13.5" hidden="false" customHeight="false" outlineLevel="0" collapsed="false">
      <c r="B77" s="1549"/>
      <c r="C77" s="1587"/>
      <c r="D77" s="1756"/>
      <c r="E77" s="1757"/>
      <c r="F77" s="373"/>
      <c r="G77" s="1588"/>
      <c r="H77" s="1587"/>
      <c r="I77" s="373"/>
      <c r="J77" s="373"/>
      <c r="K77" s="1758"/>
      <c r="N77" s="1759" t="s">
        <v>66</v>
      </c>
      <c r="O77" s="1760" t="n">
        <f aca="false">SUM(O55:O76)</f>
        <v>78063.1500000001</v>
      </c>
      <c r="P77" s="1761" t="n">
        <f aca="false">SUM(P55:P76)</f>
        <v>140250</v>
      </c>
      <c r="Q77" s="1757"/>
      <c r="R77" s="1762" t="n">
        <f aca="false">SUM(R55:R76)</f>
        <v>32663.8674820892</v>
      </c>
      <c r="S77" s="1763" t="n">
        <f aca="false">SUM(S55:S76)</f>
        <v>36351.1199110584</v>
      </c>
      <c r="T77" s="1764" t="n">
        <f aca="false">SUM(T55:T76)</f>
        <v>287328.137393148</v>
      </c>
      <c r="W77" s="1759" t="s">
        <v>66</v>
      </c>
      <c r="X77" s="1760" t="n">
        <f aca="false">SUM(X55:X76)</f>
        <v>47828.1350877953</v>
      </c>
      <c r="Y77" s="373"/>
      <c r="Z77" s="1761" t="n">
        <f aca="false">SUM(Z55:Z76)</f>
        <v>49749.8130727587</v>
      </c>
      <c r="AA77" s="1764" t="n">
        <f aca="false">SUM(AA55:AA76)</f>
        <v>97577.948160554</v>
      </c>
      <c r="AC77" s="1759" t="s">
        <v>66</v>
      </c>
      <c r="AD77" s="1765" t="n">
        <f aca="false">SUM(AD55:AD76)</f>
        <v>17287.5</v>
      </c>
      <c r="AE77" s="1765" t="n">
        <f aca="false">SUM(AE55:AE76)</f>
        <v>2881.25</v>
      </c>
      <c r="AF77" s="1765" t="n">
        <f aca="false">SUM(AF55:AF76)</f>
        <v>25483.37</v>
      </c>
      <c r="AG77" s="1765" t="n">
        <f aca="false">SUM(AG55:AG76)</f>
        <v>9074.730875</v>
      </c>
      <c r="AH77" s="1765" t="n">
        <f aca="false">SUM(AH55:AH76)</f>
        <v>97013.50604</v>
      </c>
      <c r="AI77" s="1766" t="n">
        <f aca="false">SUM(AI55:AI76)</f>
        <v>3050.73529411765</v>
      </c>
      <c r="AJ77" s="1767" t="n">
        <f aca="false">SUM(AJ55:AJ76)</f>
        <v>154791.092209118</v>
      </c>
      <c r="BI77" s="0"/>
      <c r="BR77" s="1768" t="s">
        <v>66</v>
      </c>
      <c r="BU77" s="1769" t="n">
        <f aca="false">SUM(BU55:BU76)</f>
        <v>88063.4758928572</v>
      </c>
      <c r="BV77" s="1766" t="n">
        <f aca="false">SUM(BV55:BV76)</f>
        <v>150267.857142857</v>
      </c>
      <c r="BW77" s="1760" t="n">
        <f aca="false">SUM(BW55:BW76)</f>
        <v>36651.1187450414</v>
      </c>
      <c r="BX77" s="1766" t="n">
        <f aca="false">SUM(BX55:BX76)</f>
        <v>36896.3347795529</v>
      </c>
      <c r="BY77" s="1770" t="n">
        <f aca="false">SUM(BY55:BY76)</f>
        <v>311878.786560309</v>
      </c>
      <c r="CA77" s="1769" t="n">
        <f aca="false">SUM(CA55:CA76)</f>
        <v>93563.6359680926</v>
      </c>
      <c r="CB77" s="1770" t="n">
        <f aca="false">SUM(CB55:CB76)</f>
        <v>4348.75186452156</v>
      </c>
      <c r="CD77" s="1769" t="n">
        <f aca="false">SUM(CD55:CD76)</f>
        <v>54225.467118839</v>
      </c>
      <c r="CE77" s="1766" t="n">
        <f aca="false">SUM(CE55:CE76)</f>
        <v>51978.2234616344</v>
      </c>
      <c r="CF77" s="1770" t="n">
        <f aca="false">SUM(CF55:CF76)</f>
        <v>106203.690580473</v>
      </c>
      <c r="CH77" s="1769" t="n">
        <f aca="false">SUM(CH55:CH76)</f>
        <v>17737.5</v>
      </c>
      <c r="CI77" s="1765" t="n">
        <f aca="false">SUM(CI55:CI76)</f>
        <v>2956.25</v>
      </c>
      <c r="CJ77" s="1765" t="n">
        <f aca="false">SUM(CJ55:CJ76)</f>
        <v>26873.372</v>
      </c>
      <c r="CK77" s="1765" t="n">
        <f aca="false">SUM(CK55:CK76)</f>
        <v>9479.138075</v>
      </c>
      <c r="CL77" s="1765" t="n">
        <f aca="false">SUM(CL55:CL76)</f>
        <v>97013.50604</v>
      </c>
      <c r="CM77" s="1766" t="n">
        <f aca="false">SUM(CM55:CM76)</f>
        <v>3130.14705882353</v>
      </c>
      <c r="CN77" s="1767" t="n">
        <f aca="false">SUM(CN55:CN76)</f>
        <v>157189.913173824</v>
      </c>
      <c r="CP77" s="1769" t="n">
        <f aca="false">SUM(CP55:CP76)</f>
        <v>673184.77814722</v>
      </c>
      <c r="CQ77" s="209" t="n">
        <f aca="false">SUM(CQ55:CQ76)</f>
        <v>716941.788726789</v>
      </c>
      <c r="CR77" s="1771" t="n">
        <f aca="false">SUM(CR55:CR76)</f>
        <v>736457.923704971</v>
      </c>
      <c r="CT77" s="1772" t="n">
        <f aca="false">SUM(CT55:CT76)</f>
        <v>736457.923704971</v>
      </c>
      <c r="CU77" s="1773"/>
      <c r="CV77" s="1774"/>
      <c r="CW77" s="1771"/>
    </row>
    <row r="78" customFormat="false" ht="12.75" hidden="false" customHeight="false" outlineLevel="0" collapsed="false">
      <c r="B78" s="1556" t="n">
        <v>1</v>
      </c>
      <c r="C78" s="1556" t="n">
        <f aca="false">B78+1</f>
        <v>2</v>
      </c>
      <c r="D78" s="1556" t="n">
        <f aca="false">C78+1</f>
        <v>3</v>
      </c>
      <c r="E78" s="1556" t="n">
        <f aca="false">D78+1</f>
        <v>4</v>
      </c>
      <c r="F78" s="1556" t="n">
        <f aca="false">E78+1</f>
        <v>5</v>
      </c>
      <c r="G78" s="1556" t="n">
        <f aca="false">F78+1</f>
        <v>6</v>
      </c>
      <c r="N78" s="1556" t="n">
        <v>1</v>
      </c>
      <c r="O78" s="1556" t="n">
        <f aca="false">N78+1</f>
        <v>2</v>
      </c>
      <c r="P78" s="1556" t="n">
        <f aca="false">O78+1</f>
        <v>3</v>
      </c>
      <c r="Q78" s="1556" t="n">
        <f aca="false">P78+1</f>
        <v>4</v>
      </c>
      <c r="R78" s="1556" t="n">
        <f aca="false">Q78+1</f>
        <v>5</v>
      </c>
      <c r="S78" s="1556" t="n">
        <f aca="false">R78+1</f>
        <v>6</v>
      </c>
      <c r="T78" s="1556" t="n">
        <f aca="false">S78+1</f>
        <v>7</v>
      </c>
      <c r="W78" s="1556" t="n">
        <v>1</v>
      </c>
      <c r="X78" s="1556" t="n">
        <f aca="false">W78+1</f>
        <v>2</v>
      </c>
      <c r="Y78" s="1556" t="n">
        <f aca="false">X78+1</f>
        <v>3</v>
      </c>
      <c r="Z78" s="1556" t="n">
        <f aca="false">Y78+1</f>
        <v>4</v>
      </c>
      <c r="AA78" s="1556" t="n">
        <f aca="false">Z78+1</f>
        <v>5</v>
      </c>
      <c r="AC78" s="1556" t="n">
        <v>1</v>
      </c>
      <c r="AD78" s="1556" t="n">
        <f aca="false">AC78+1</f>
        <v>2</v>
      </c>
      <c r="AE78" s="1556" t="n">
        <f aca="false">AD78+1</f>
        <v>3</v>
      </c>
      <c r="AF78" s="1556" t="n">
        <f aca="false">AE78+1</f>
        <v>4</v>
      </c>
      <c r="AG78" s="1556" t="n">
        <f aca="false">AF78+1</f>
        <v>5</v>
      </c>
      <c r="AH78" s="1556" t="n">
        <f aca="false">AG78+1</f>
        <v>6</v>
      </c>
      <c r="AI78" s="1556" t="n">
        <f aca="false">AH78+1</f>
        <v>7</v>
      </c>
      <c r="AJ78" s="1556" t="n">
        <f aca="false">AI78+1</f>
        <v>8</v>
      </c>
      <c r="BI78" s="0"/>
      <c r="BR78" s="1556" t="n">
        <v>1</v>
      </c>
      <c r="BS78" s="1556" t="n">
        <f aca="false">BR78+1</f>
        <v>2</v>
      </c>
      <c r="BT78" s="1556" t="n">
        <f aca="false">BS78+1</f>
        <v>3</v>
      </c>
      <c r="BU78" s="1556" t="n">
        <f aca="false">BT78+1</f>
        <v>4</v>
      </c>
      <c r="BV78" s="1556" t="n">
        <f aca="false">BU78+1</f>
        <v>5</v>
      </c>
      <c r="BW78" s="1556" t="n">
        <f aca="false">BV78+1</f>
        <v>6</v>
      </c>
      <c r="BX78" s="1556" t="n">
        <f aca="false">BW78+1</f>
        <v>7</v>
      </c>
      <c r="BY78" s="1556" t="n">
        <f aca="false">BX78+1</f>
        <v>8</v>
      </c>
      <c r="BZ78" s="1556" t="n">
        <f aca="false">BY78+1</f>
        <v>9</v>
      </c>
      <c r="CA78" s="1556" t="n">
        <f aca="false">BZ78+1</f>
        <v>10</v>
      </c>
      <c r="CB78" s="1556" t="n">
        <f aca="false">CA78+1</f>
        <v>11</v>
      </c>
      <c r="CC78" s="1556" t="n">
        <f aca="false">CB78+1</f>
        <v>12</v>
      </c>
      <c r="CD78" s="1556" t="n">
        <f aca="false">CC78+1</f>
        <v>13</v>
      </c>
      <c r="CE78" s="1556" t="n">
        <f aca="false">CD78+1</f>
        <v>14</v>
      </c>
      <c r="CF78" s="1556" t="n">
        <f aca="false">CE78+1</f>
        <v>15</v>
      </c>
      <c r="CG78" s="1556" t="n">
        <f aca="false">CF78+1</f>
        <v>16</v>
      </c>
      <c r="CH78" s="1556" t="n">
        <f aca="false">CG78+1</f>
        <v>17</v>
      </c>
      <c r="CI78" s="1556" t="n">
        <f aca="false">CH78+1</f>
        <v>18</v>
      </c>
      <c r="CJ78" s="1556" t="n">
        <f aca="false">CI78+1</f>
        <v>19</v>
      </c>
      <c r="CK78" s="1556" t="n">
        <f aca="false">CJ78+1</f>
        <v>20</v>
      </c>
      <c r="CL78" s="1556" t="n">
        <f aca="false">CK78+1</f>
        <v>21</v>
      </c>
      <c r="CM78" s="1556" t="n">
        <f aca="false">CL78+1</f>
        <v>22</v>
      </c>
      <c r="CN78" s="1556" t="n">
        <f aca="false">CM78+1</f>
        <v>23</v>
      </c>
      <c r="CO78" s="1556" t="n">
        <f aca="false">CN78+1</f>
        <v>24</v>
      </c>
      <c r="CP78" s="1556" t="n">
        <f aca="false">CO78+1</f>
        <v>25</v>
      </c>
      <c r="CQ78" s="1556" t="n">
        <f aca="false">CP78+1</f>
        <v>26</v>
      </c>
      <c r="CR78" s="1556" t="n">
        <f aca="false">CQ78+1</f>
        <v>27</v>
      </c>
      <c r="CS78" s="1556" t="n">
        <f aca="false">CR78+1</f>
        <v>28</v>
      </c>
      <c r="CT78" s="1556" t="n">
        <f aca="false">CS78+1</f>
        <v>29</v>
      </c>
      <c r="CU78" s="1556" t="n">
        <f aca="false">CT78+1</f>
        <v>30</v>
      </c>
      <c r="CV78" s="1556" t="n">
        <f aca="false">CU78+1</f>
        <v>31</v>
      </c>
      <c r="CW78" s="1556" t="n">
        <f aca="false">CV78+1</f>
        <v>32</v>
      </c>
    </row>
    <row r="79" customFormat="false" ht="12.75" hidden="false" customHeight="false" outlineLevel="0" collapsed="false">
      <c r="Z79" s="0"/>
      <c r="BI79" s="0"/>
      <c r="CB79" s="1682"/>
      <c r="CP79" s="0"/>
    </row>
    <row r="80" customFormat="false" ht="12.75" hidden="false" customHeight="false" outlineLevel="0" collapsed="false">
      <c r="CB80" s="1682"/>
    </row>
    <row r="81" customFormat="false" ht="12.75" hidden="false" customHeight="false" outlineLevel="0" collapsed="false">
      <c r="CB81" s="1682"/>
    </row>
  </sheetData>
  <mergeCells count="15">
    <mergeCell ref="E7:F7"/>
    <mergeCell ref="G7:H7"/>
    <mergeCell ref="N7:O7"/>
    <mergeCell ref="AN7:AO7"/>
    <mergeCell ref="AP7:AQ7"/>
    <mergeCell ref="AW7:AX7"/>
    <mergeCell ref="BU7:BV7"/>
    <mergeCell ref="BW7:BX7"/>
    <mergeCell ref="CD7:CE7"/>
    <mergeCell ref="O53:P53"/>
    <mergeCell ref="R53:S53"/>
    <mergeCell ref="X53:Z53"/>
    <mergeCell ref="BU53:BV53"/>
    <mergeCell ref="BW53:BX53"/>
    <mergeCell ref="CD53:CE53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B79"/>
  <sheetViews>
    <sheetView showFormulas="false" showGridLines="false" showRowColHeaders="true" showZeros="true" rightToLeft="false" tabSelected="false" showOutlineSymbols="true" defaultGridColor="true" view="normal" topLeftCell="I1" colorId="64" zoomScale="90" zoomScaleNormal="90" zoomScalePageLayoutView="100" workbookViewId="0">
      <selection pane="topLeft" activeCell="P15" activeCellId="0" sqref="P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.7"/>
    <col collapsed="false" customWidth="true" hidden="false" outlineLevel="0" max="3" min="2" style="0" width="12.7"/>
    <col collapsed="false" customWidth="true" hidden="false" outlineLevel="0" max="4" min="4" style="0" width="1.7"/>
    <col collapsed="false" customWidth="true" hidden="false" outlineLevel="0" max="11" min="5" style="0" width="12.7"/>
    <col collapsed="false" customWidth="true" hidden="false" outlineLevel="0" max="12" min="12" style="0" width="1.7"/>
    <col collapsed="false" customWidth="true" hidden="false" outlineLevel="0" max="16" min="13" style="0" width="12.7"/>
    <col collapsed="false" customWidth="true" hidden="false" outlineLevel="0" max="17" min="17" style="1682" width="12.7"/>
    <col collapsed="false" customWidth="true" hidden="false" outlineLevel="0" max="19" min="18" style="0" width="12.7"/>
    <col collapsed="false" customWidth="true" hidden="false" outlineLevel="0" max="20" min="20" style="0" width="1.7"/>
    <col collapsed="false" customWidth="true" hidden="false" outlineLevel="0" max="28" min="21" style="0" width="12.7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</row>
    <row r="2" customFormat="false" ht="15.75" hidden="false" customHeight="false" outlineLevel="0" collapsed="false">
      <c r="A2" s="18" t="str">
        <f aca="false">TOC!B3</f>
        <v>480 MW POWER PLANT (CUIABA, BRAZIL)</v>
      </c>
    </row>
    <row r="3" customFormat="false" ht="15" hidden="false" customHeight="false" outlineLevel="0" collapsed="false">
      <c r="A3" s="19" t="str">
        <f aca="false">TOC!B4</f>
        <v>ENRON INTERNATIONAL</v>
      </c>
    </row>
    <row r="4" customFormat="false" ht="15" hidden="false" customHeight="false" outlineLevel="0" collapsed="false">
      <c r="A4" s="21" t="s">
        <v>1943</v>
      </c>
      <c r="B4" s="358"/>
      <c r="C4" s="358"/>
      <c r="D4" s="358"/>
      <c r="E4" s="358"/>
    </row>
    <row r="5" customFormat="false" ht="12.75" hidden="false" customHeight="false" outlineLevel="0" collapsed="false">
      <c r="V5" s="1683" t="s">
        <v>1835</v>
      </c>
      <c r="W5" s="1683" t="s">
        <v>1218</v>
      </c>
    </row>
    <row r="6" customFormat="false" ht="13.5" hidden="false" customHeight="false" outlineLevel="0" collapsed="false">
      <c r="B6" s="330" t="s">
        <v>1944</v>
      </c>
      <c r="Q6" s="0"/>
      <c r="R6" s="1687" t="n">
        <f aca="false">-'US$ Table'!K6</f>
        <v>-1.3</v>
      </c>
      <c r="V6" s="1685" t="n">
        <f aca="false">Exch</f>
        <v>1.065</v>
      </c>
      <c r="W6" s="1686" t="n">
        <f aca="false">(Pis+Cofins)/(1-(Pis+Cofins))</f>
        <v>0.0272213662044171</v>
      </c>
    </row>
    <row r="7" customFormat="false" ht="12.75" hidden="false" customHeight="false" outlineLevel="0" collapsed="false">
      <c r="B7" s="1688" t="s">
        <v>713</v>
      </c>
      <c r="C7" s="855" t="s">
        <v>1911</v>
      </c>
      <c r="E7" s="1692" t="s">
        <v>1945</v>
      </c>
      <c r="F7" s="29" t="s">
        <v>1946</v>
      </c>
      <c r="G7" s="29" t="s">
        <v>1947</v>
      </c>
      <c r="H7" s="29" t="s">
        <v>1948</v>
      </c>
      <c r="I7" s="29" t="s">
        <v>1920</v>
      </c>
      <c r="J7" s="1697" t="s">
        <v>1921</v>
      </c>
      <c r="K7" s="1691" t="s">
        <v>1949</v>
      </c>
      <c r="M7" s="1692" t="s">
        <v>1950</v>
      </c>
      <c r="N7" s="29" t="s">
        <v>1951</v>
      </c>
      <c r="O7" s="29" t="s">
        <v>317</v>
      </c>
      <c r="P7" s="29" t="s">
        <v>1952</v>
      </c>
      <c r="Q7" s="29" t="s">
        <v>1183</v>
      </c>
      <c r="R7" s="1697" t="s">
        <v>1915</v>
      </c>
      <c r="S7" s="1691" t="s">
        <v>1949</v>
      </c>
      <c r="U7" s="1692" t="s">
        <v>1949</v>
      </c>
      <c r="V7" s="29" t="s">
        <v>1923</v>
      </c>
      <c r="W7" s="29" t="s">
        <v>1924</v>
      </c>
      <c r="X7" s="1694" t="s">
        <v>1925</v>
      </c>
      <c r="Y7" s="1695" t="s">
        <v>66</v>
      </c>
      <c r="Z7" s="29" t="s">
        <v>1933</v>
      </c>
      <c r="AA7" s="854" t="s">
        <v>64</v>
      </c>
      <c r="AB7" s="1693" t="s">
        <v>1953</v>
      </c>
    </row>
    <row r="8" customFormat="false" ht="12.75" hidden="false" customHeight="false" outlineLevel="0" collapsed="false">
      <c r="B8" s="470" t="s">
        <v>727</v>
      </c>
      <c r="C8" s="233" t="s">
        <v>727</v>
      </c>
      <c r="E8" s="1121" t="s">
        <v>1954</v>
      </c>
      <c r="F8" s="45" t="s">
        <v>733</v>
      </c>
      <c r="G8" s="45" t="s">
        <v>1929</v>
      </c>
      <c r="H8" s="1700" t="s">
        <v>1955</v>
      </c>
      <c r="I8" s="45" t="s">
        <v>1930</v>
      </c>
      <c r="J8" s="1705" t="s">
        <v>1930</v>
      </c>
      <c r="K8" s="46" t="s">
        <v>733</v>
      </c>
      <c r="M8" s="1121" t="s">
        <v>1956</v>
      </c>
      <c r="N8" s="45" t="s">
        <v>1957</v>
      </c>
      <c r="O8" s="45" t="s">
        <v>1958</v>
      </c>
      <c r="P8" s="1775" t="n">
        <v>0.15</v>
      </c>
      <c r="Q8" s="1776" t="n">
        <f aca="false">SUM(Tax,AddTax,Social)/(100%-SUM(Tax,AddTax,Social))</f>
        <v>0.492537313432836</v>
      </c>
      <c r="R8" s="1698" t="s">
        <v>1927</v>
      </c>
      <c r="S8" s="46" t="s">
        <v>1946</v>
      </c>
      <c r="U8" s="1121" t="s">
        <v>1959</v>
      </c>
      <c r="V8" s="45" t="s">
        <v>1931</v>
      </c>
      <c r="W8" s="45" t="s">
        <v>1932</v>
      </c>
      <c r="X8" s="1701" t="s">
        <v>1644</v>
      </c>
      <c r="Y8" s="1702" t="s">
        <v>1644</v>
      </c>
      <c r="Z8" s="45" t="s">
        <v>1960</v>
      </c>
      <c r="AA8" s="44" t="s">
        <v>63</v>
      </c>
      <c r="AB8" s="133" t="s">
        <v>1840</v>
      </c>
    </row>
    <row r="9" customFormat="false" ht="12.75" hidden="false" customHeight="false" outlineLevel="0" collapsed="false">
      <c r="B9" s="1531" t="n">
        <f aca="false">'US$ Table'!B9</f>
        <v>1</v>
      </c>
      <c r="C9" s="1533" t="n">
        <f aca="false">'US$ Table'!C9</f>
        <v>1999</v>
      </c>
      <c r="E9" s="1707" t="n">
        <f aca="false">VLOOKUP($C9,OM_Table_R,'R$ Table'!E$78)</f>
        <v>1113.72110242478</v>
      </c>
      <c r="F9" s="1712" t="n">
        <f aca="false">VLOOKUP($C9,OM_Table_R,'R$ Table'!F$78)</f>
        <v>475.192519490561</v>
      </c>
      <c r="G9" s="1712" t="n">
        <f aca="false">VLOOKUP($C9,OM_Table_R,'R$ Table'!G$78)</f>
        <v>599.837387513155</v>
      </c>
      <c r="H9" s="1712" t="n">
        <f aca="false">VLOOKUP($C9,OM_Table_R,'R$ Table'!H$78)</f>
        <v>0</v>
      </c>
      <c r="I9" s="1712" t="n">
        <f aca="false">VLOOKUP($C9,OM_Table_R,'R$ Table'!I$78)</f>
        <v>137.556686389897</v>
      </c>
      <c r="J9" s="1708" t="n">
        <f aca="false">VLOOKUP($C9,OM_Table_R,'R$ Table'!J$78)</f>
        <v>243.051947368421</v>
      </c>
      <c r="K9" s="1710" t="n">
        <f aca="false">SUM(E9:J9)</f>
        <v>2569.35964318681</v>
      </c>
      <c r="M9" s="1707" t="n">
        <f aca="false">-HLOOKUP($C9,CF_Table,CF!$AB$36)</f>
        <v>234.375</v>
      </c>
      <c r="N9" s="1712" t="n">
        <f aca="false">-HLOOKUP($C9,CF_Table,CF!$AB$37)</f>
        <v>82.5</v>
      </c>
      <c r="O9" s="1712" t="n">
        <f aca="false">Tot_Equity*HLOOKUP($C9,CF_Table,CF!$AB$12)/CF!$Z$12</f>
        <v>3465.32004914636</v>
      </c>
      <c r="P9" s="1712" t="n">
        <f aca="false">P$8*O9</f>
        <v>519.798007371953</v>
      </c>
      <c r="Q9" s="1712" t="n">
        <f aca="false">Q$8*P9</f>
        <v>256.019914078723</v>
      </c>
      <c r="R9" s="1708" t="n">
        <f aca="false">-'US$ Table'!K9</f>
        <v>-0</v>
      </c>
      <c r="S9" s="1710" t="n">
        <f aca="false">SUM(M9:R9)</f>
        <v>4558.01297059703</v>
      </c>
      <c r="U9" s="1777" t="n">
        <f aca="false">SUM(K9,S9)</f>
        <v>7127.37261378384</v>
      </c>
      <c r="V9" s="109" t="n">
        <f aca="false">U9*V$6</f>
        <v>7590.65183367979</v>
      </c>
      <c r="W9" s="109" t="n">
        <f aca="false">V9*(1+W$6)</f>
        <v>7797.27974697462</v>
      </c>
      <c r="X9" s="1713" t="n">
        <f aca="false">'US$ Table'!AC9</f>
        <v>9</v>
      </c>
      <c r="Y9" s="1714" t="n">
        <f aca="false">'US$ Table'!AD9</f>
        <v>9</v>
      </c>
      <c r="Z9" s="109" t="n">
        <f aca="false">W9*X9/Y9</f>
        <v>7797.27974697462</v>
      </c>
      <c r="AA9" s="497" t="n">
        <f aca="false">'US$ Table'!AF9</f>
        <v>150</v>
      </c>
      <c r="AB9" s="1715" t="n">
        <f aca="false">Z9/AA9/X9*1000</f>
        <v>5775.76277553676</v>
      </c>
    </row>
    <row r="10" customFormat="false" ht="12.75" hidden="false" customHeight="false" outlineLevel="0" collapsed="false">
      <c r="B10" s="1531" t="n">
        <f aca="false">'US$ Table'!B10</f>
        <v>2</v>
      </c>
      <c r="C10" s="1533" t="n">
        <f aca="false">'US$ Table'!C10</f>
        <v>2001</v>
      </c>
      <c r="E10" s="1707" t="n">
        <f aca="false">VLOOKUP($C10,OM_Table_R,'R$ Table'!E$78)</f>
        <v>1271.2961751004</v>
      </c>
      <c r="F10" s="1712" t="n">
        <f aca="false">VLOOKUP($C10,OM_Table_R,'R$ Table'!F$78)</f>
        <v>423.524956584859</v>
      </c>
      <c r="G10" s="1712" t="n">
        <f aca="false">VLOOKUP($C10,OM_Table_R,'R$ Table'!G$78)</f>
        <v>524.129364457367</v>
      </c>
      <c r="H10" s="1712" t="n">
        <f aca="false">VLOOKUP($C10,OM_Table_R,'R$ Table'!H$78)</f>
        <v>202.361225449651</v>
      </c>
      <c r="I10" s="1712" t="n">
        <f aca="false">VLOOKUP($C10,OM_Table_R,'R$ Table'!I$78)</f>
        <v>595.304634137979</v>
      </c>
      <c r="J10" s="1708" t="n">
        <f aca="false">VLOOKUP($C10,OM_Table_R,'R$ Table'!J$78)</f>
        <v>243.051947368421</v>
      </c>
      <c r="K10" s="1710" t="n">
        <f aca="false">SUM(E10:J10)</f>
        <v>3259.66830309868</v>
      </c>
      <c r="M10" s="1707" t="n">
        <f aca="false">-HLOOKUP($C10,CF_Table,CF!$AB$36)</f>
        <v>4497.51554973028</v>
      </c>
      <c r="N10" s="1712" t="n">
        <f aca="false">-HLOOKUP($C10,CF_Table,CF!$AB$37)</f>
        <v>110</v>
      </c>
      <c r="O10" s="1712" t="n">
        <f aca="false">Tot_Equity*HLOOKUP($C10,CF_Table,CF!$AB$12)/CF!$Z$12</f>
        <v>4620.42673219514</v>
      </c>
      <c r="P10" s="1712" t="n">
        <f aca="false">P$8*O10</f>
        <v>693.064009829271</v>
      </c>
      <c r="Q10" s="1712" t="n">
        <f aca="false">Q$8*P10</f>
        <v>341.359885438298</v>
      </c>
      <c r="R10" s="1708" t="n">
        <f aca="false">-'US$ Table'!K10</f>
        <v>-1773.05103777594</v>
      </c>
      <c r="S10" s="1710" t="n">
        <f aca="false">SUM(M10:R10)</f>
        <v>8489.31513941706</v>
      </c>
      <c r="U10" s="1777" t="n">
        <f aca="false">SUM(K10,S10)</f>
        <v>11748.9834425157</v>
      </c>
      <c r="V10" s="109" t="n">
        <f aca="false">U10*V$6</f>
        <v>12512.6673662793</v>
      </c>
      <c r="W10" s="109" t="n">
        <f aca="false">V10*(1+W$6)</f>
        <v>12853.2792668508</v>
      </c>
      <c r="X10" s="1713" t="n">
        <f aca="false">'US$ Table'!AC10</f>
        <v>7</v>
      </c>
      <c r="Y10" s="1714" t="n">
        <f aca="false">'US$ Table'!AD10</f>
        <v>12</v>
      </c>
      <c r="Z10" s="109" t="n">
        <f aca="false">W10*X10/Y10</f>
        <v>7497.7462389963</v>
      </c>
      <c r="AA10" s="497" t="n">
        <f aca="false">'US$ Table'!AF10</f>
        <v>300</v>
      </c>
      <c r="AB10" s="1715" t="n">
        <f aca="false">Z10/AA10/X10*1000</f>
        <v>3570.355351903</v>
      </c>
    </row>
    <row r="11" customFormat="false" ht="12.75" hidden="false" customHeight="false" outlineLevel="0" collapsed="false">
      <c r="B11" s="1531" t="n">
        <f aca="false">'US$ Table'!B11</f>
        <v>3</v>
      </c>
      <c r="C11" s="1533" t="n">
        <f aca="false">'US$ Table'!C11</f>
        <v>2001</v>
      </c>
      <c r="E11" s="1707" t="n">
        <f aca="false">VLOOKUP($C11,OM_Table_R,'R$ Table'!E$78)</f>
        <v>1271.2961751004</v>
      </c>
      <c r="F11" s="1712" t="n">
        <f aca="false">VLOOKUP($C11,OM_Table_R,'R$ Table'!F$78)</f>
        <v>423.524956584859</v>
      </c>
      <c r="G11" s="1712" t="n">
        <f aca="false">VLOOKUP($C11,OM_Table_R,'R$ Table'!G$78)</f>
        <v>524.129364457367</v>
      </c>
      <c r="H11" s="1712" t="n">
        <f aca="false">VLOOKUP($C11,OM_Table_R,'R$ Table'!H$78)</f>
        <v>202.361225449651</v>
      </c>
      <c r="I11" s="1712" t="n">
        <f aca="false">VLOOKUP($C11,OM_Table_R,'R$ Table'!I$78)</f>
        <v>595.304634137979</v>
      </c>
      <c r="J11" s="1708" t="n">
        <f aca="false">VLOOKUP($C11,OM_Table_R,'R$ Table'!J$78)</f>
        <v>243.051947368421</v>
      </c>
      <c r="K11" s="1710" t="n">
        <f aca="false">SUM(E11:J11)</f>
        <v>3259.66830309868</v>
      </c>
      <c r="M11" s="1707" t="n">
        <f aca="false">-HLOOKUP($C11,CF_Table,CF!$AB$36)</f>
        <v>4497.51554973028</v>
      </c>
      <c r="N11" s="1712" t="n">
        <f aca="false">-HLOOKUP($C11,CF_Table,CF!$AB$37)</f>
        <v>110</v>
      </c>
      <c r="O11" s="1712" t="n">
        <f aca="false">Tot_Equity*HLOOKUP($C11,CF_Table,CF!$AB$12)/CF!$Z$12</f>
        <v>4620.42673219514</v>
      </c>
      <c r="P11" s="1712" t="n">
        <f aca="false">P$8*O11</f>
        <v>693.064009829271</v>
      </c>
      <c r="Q11" s="1712" t="n">
        <f aca="false">Q$8*P11</f>
        <v>341.359885438298</v>
      </c>
      <c r="R11" s="1708" t="n">
        <f aca="false">-'US$ Table'!K11</f>
        <v>-1773.05103777594</v>
      </c>
      <c r="S11" s="1710" t="n">
        <f aca="false">SUM(M11:R11)</f>
        <v>8489.31513941706</v>
      </c>
      <c r="U11" s="1777" t="n">
        <f aca="false">SUM(K11,S11)</f>
        <v>11748.9834425157</v>
      </c>
      <c r="V11" s="109" t="n">
        <f aca="false">U11*V$6</f>
        <v>12512.6673662793</v>
      </c>
      <c r="W11" s="109" t="n">
        <f aca="false">V11*(1+W$6)</f>
        <v>12853.2792668508</v>
      </c>
      <c r="X11" s="1713" t="n">
        <f aca="false">'US$ Table'!AC11</f>
        <v>5</v>
      </c>
      <c r="Y11" s="1714" t="n">
        <f aca="false">'US$ Table'!AD11</f>
        <v>12</v>
      </c>
      <c r="Z11" s="109" t="n">
        <f aca="false">W11*X11/Y11</f>
        <v>5355.5330278545</v>
      </c>
      <c r="AA11" s="497" t="n">
        <f aca="false">'US$ Table'!AF11</f>
        <v>480</v>
      </c>
      <c r="AB11" s="1715"/>
    </row>
    <row r="12" customFormat="false" ht="12.75" hidden="false" customHeight="false" outlineLevel="0" collapsed="false">
      <c r="B12" s="1531" t="n">
        <f aca="false">'US$ Table'!B12</f>
        <v>3</v>
      </c>
      <c r="C12" s="1533" t="n">
        <f aca="false">'US$ Table'!C12</f>
        <v>2002</v>
      </c>
      <c r="E12" s="1707" t="n">
        <f aca="false">VLOOKUP($C12,OM_Table_R,'R$ Table'!E$78)</f>
        <v>987.526659674486</v>
      </c>
      <c r="F12" s="1712" t="n">
        <f aca="false">VLOOKUP($C12,OM_Table_R,'R$ Table'!F$78)</f>
        <v>407.16534583731</v>
      </c>
      <c r="G12" s="1712" t="n">
        <f aca="false">VLOOKUP($C12,OM_Table_R,'R$ Table'!G$78)</f>
        <v>488.932443630744</v>
      </c>
      <c r="H12" s="1712" t="n">
        <f aca="false">VLOOKUP($C12,OM_Table_R,'R$ Table'!H$78)</f>
        <v>188.772038287997</v>
      </c>
      <c r="I12" s="1712" t="n">
        <f aca="false">VLOOKUP($C12,OM_Table_R,'R$ Table'!I$78)</f>
        <v>639.911648664015</v>
      </c>
      <c r="J12" s="1708" t="n">
        <f aca="false">VLOOKUP($C12,OM_Table_R,'R$ Table'!J$78)</f>
        <v>243.051947368421</v>
      </c>
      <c r="K12" s="1710" t="n">
        <f aca="false">SUM(E12:J12)</f>
        <v>2955.36008346297</v>
      </c>
      <c r="M12" s="1707" t="n">
        <f aca="false">-HLOOKUP($C12,CF_Table,CF!$AB$36)</f>
        <v>4497.51554973028</v>
      </c>
      <c r="N12" s="1712" t="n">
        <f aca="false">-HLOOKUP($C12,CF_Table,CF!$AB$37)</f>
        <v>110</v>
      </c>
      <c r="O12" s="1712" t="n">
        <f aca="false">Tot_Equity*HLOOKUP($C12,CF_Table,CF!$AB$12)/CF!$Z$12</f>
        <v>4620.42673219514</v>
      </c>
      <c r="P12" s="1712" t="n">
        <f aca="false">P$8*O12</f>
        <v>693.064009829271</v>
      </c>
      <c r="Q12" s="1712" t="n">
        <f aca="false">Q$8*P12</f>
        <v>341.359885438298</v>
      </c>
      <c r="R12" s="1708" t="n">
        <f aca="false">-'US$ Table'!K12</f>
        <v>-7365.19475014832</v>
      </c>
      <c r="S12" s="1710" t="n">
        <f aca="false">SUM(M12:R12)</f>
        <v>2897.17142704467</v>
      </c>
      <c r="U12" s="1777" t="n">
        <f aca="false">SUM(K12,S12)</f>
        <v>5852.53151050765</v>
      </c>
      <c r="V12" s="109" t="n">
        <f aca="false">U12*V$6</f>
        <v>6232.94605869064</v>
      </c>
      <c r="W12" s="109" t="n">
        <f aca="false">V12*(1+W$6)</f>
        <v>6402.61536588664</v>
      </c>
      <c r="X12" s="1713" t="n">
        <f aca="false">'US$ Table'!AC12</f>
        <v>12</v>
      </c>
      <c r="Y12" s="1714" t="n">
        <f aca="false">'US$ Table'!AD12</f>
        <v>12</v>
      </c>
      <c r="Z12" s="109" t="n">
        <f aca="false">W12*X12/Y12</f>
        <v>6402.61536588664</v>
      </c>
      <c r="AA12" s="497" t="n">
        <f aca="false">'US$ Table'!AF12</f>
        <v>480</v>
      </c>
      <c r="AB12" s="1715"/>
    </row>
    <row r="13" customFormat="false" ht="12.75" hidden="false" customHeight="false" outlineLevel="0" collapsed="false">
      <c r="B13" s="1531" t="n">
        <f aca="false">'US$ Table'!B13</f>
        <v>3</v>
      </c>
      <c r="C13" s="1533" t="n">
        <f aca="false">'US$ Table'!C13</f>
        <v>2002</v>
      </c>
      <c r="E13" s="1707" t="n">
        <f aca="false">VLOOKUP($C13,OM_Table_R,'R$ Table'!E$78)</f>
        <v>987.526659674486</v>
      </c>
      <c r="F13" s="1712" t="n">
        <f aca="false">VLOOKUP($C13,OM_Table_R,'R$ Table'!F$78)</f>
        <v>407.16534583731</v>
      </c>
      <c r="G13" s="1712" t="n">
        <f aca="false">VLOOKUP($C13,OM_Table_R,'R$ Table'!G$78)</f>
        <v>488.932443630744</v>
      </c>
      <c r="H13" s="1712" t="n">
        <f aca="false">VLOOKUP($C13,OM_Table_R,'R$ Table'!H$78)</f>
        <v>188.772038287997</v>
      </c>
      <c r="I13" s="1712" t="n">
        <f aca="false">VLOOKUP($C13,OM_Table_R,'R$ Table'!I$78)</f>
        <v>639.911648664015</v>
      </c>
      <c r="J13" s="1708" t="n">
        <f aca="false">VLOOKUP($C13,OM_Table_R,'R$ Table'!J$78)</f>
        <v>243.051947368421</v>
      </c>
      <c r="K13" s="1710" t="n">
        <f aca="false">SUM(E13:J13)</f>
        <v>2955.36008346297</v>
      </c>
      <c r="M13" s="1707" t="n">
        <f aca="false">-HLOOKUP($C13,CF_Table,CF!$AB$36)</f>
        <v>4497.51554973028</v>
      </c>
      <c r="N13" s="1712" t="n">
        <f aca="false">-HLOOKUP($C13,CF_Table,CF!$AB$37)</f>
        <v>110</v>
      </c>
      <c r="O13" s="1712" t="n">
        <f aca="false">Tot_Equity*HLOOKUP($C13,CF_Table,CF!$AB$12)/CF!$Z$12</f>
        <v>4620.42673219514</v>
      </c>
      <c r="P13" s="1712" t="n">
        <f aca="false">P$8*O13</f>
        <v>693.064009829271</v>
      </c>
      <c r="Q13" s="1712" t="n">
        <f aca="false">Q$8*P13</f>
        <v>341.359885438298</v>
      </c>
      <c r="R13" s="1708" t="n">
        <f aca="false">-'US$ Table'!K13</f>
        <v>-7365.19475014832</v>
      </c>
      <c r="S13" s="1710" t="n">
        <f aca="false">SUM(M13:R13)</f>
        <v>2897.17142704467</v>
      </c>
      <c r="U13" s="1777" t="n">
        <f aca="false">SUM(K13,S13)</f>
        <v>5852.53151050765</v>
      </c>
      <c r="V13" s="109" t="n">
        <f aca="false">U13*V$6</f>
        <v>6232.94605869064</v>
      </c>
      <c r="W13" s="109" t="n">
        <f aca="false">V13*(1+W$6)</f>
        <v>6402.61536588664</v>
      </c>
      <c r="X13" s="1713" t="n">
        <f aca="false">'US$ Table'!AC13</f>
        <v>4</v>
      </c>
      <c r="Y13" s="1714" t="n">
        <f aca="false">'US$ Table'!AD13</f>
        <v>12</v>
      </c>
      <c r="Z13" s="109" t="n">
        <f aca="false">W13*X13/Y13</f>
        <v>2134.20512196221</v>
      </c>
      <c r="AA13" s="497" t="n">
        <f aca="false">'US$ Table'!AF13</f>
        <v>480</v>
      </c>
      <c r="AB13" s="1715" t="n">
        <f aca="false">SUM(Z11:Z13)/AA13/SUM(X11:X13)*1000</f>
        <v>1378.20967417692</v>
      </c>
    </row>
    <row r="14" customFormat="false" ht="12.75" hidden="false" customHeight="false" outlineLevel="0" collapsed="false">
      <c r="B14" s="1531" t="n">
        <f aca="false">'US$ Table'!B14</f>
        <v>4</v>
      </c>
      <c r="C14" s="1533" t="n">
        <f aca="false">'US$ Table'!C14</f>
        <v>2002</v>
      </c>
      <c r="E14" s="1707" t="n">
        <f aca="false">VLOOKUP($C14,OM_Table_R,'R$ Table'!E$78)</f>
        <v>987.526659674486</v>
      </c>
      <c r="F14" s="1712" t="n">
        <f aca="false">VLOOKUP($C14,OM_Table_R,'R$ Table'!F$78)</f>
        <v>407.16534583731</v>
      </c>
      <c r="G14" s="1712" t="n">
        <f aca="false">VLOOKUP($C14,OM_Table_R,'R$ Table'!G$78)</f>
        <v>488.932443630744</v>
      </c>
      <c r="H14" s="1712" t="n">
        <f aca="false">VLOOKUP($C14,OM_Table_R,'R$ Table'!H$78)</f>
        <v>188.772038287997</v>
      </c>
      <c r="I14" s="1712" t="n">
        <f aca="false">VLOOKUP($C14,OM_Table_R,'R$ Table'!I$78)</f>
        <v>639.911648664015</v>
      </c>
      <c r="J14" s="1708" t="n">
        <f aca="false">VLOOKUP($C14,OM_Table_R,'R$ Table'!J$78)</f>
        <v>243.051947368421</v>
      </c>
      <c r="K14" s="1710" t="n">
        <f aca="false">SUM(E14:J14)</f>
        <v>2955.36008346297</v>
      </c>
      <c r="M14" s="1707" t="n">
        <f aca="false">-HLOOKUP($C14,CF_Table,CF!$AB$36)</f>
        <v>4497.51554973028</v>
      </c>
      <c r="N14" s="1712" t="n">
        <f aca="false">-HLOOKUP($C14,CF_Table,CF!$AB$37)</f>
        <v>110</v>
      </c>
      <c r="O14" s="1712" t="n">
        <f aca="false">Tot_Equity*HLOOKUP($C14,CF_Table,CF!$AB$12)/CF!$Z$12</f>
        <v>4620.42673219514</v>
      </c>
      <c r="P14" s="1712" t="n">
        <f aca="false">P$8*O14</f>
        <v>693.064009829271</v>
      </c>
      <c r="Q14" s="1712" t="n">
        <f aca="false">Q$8*P14</f>
        <v>341.359885438298</v>
      </c>
      <c r="R14" s="1708" t="n">
        <f aca="false">-'US$ Table'!K14</f>
        <v>-7365.19475014832</v>
      </c>
      <c r="S14" s="1710" t="n">
        <f aca="false">SUM(M14:R14)</f>
        <v>2897.17142704467</v>
      </c>
      <c r="U14" s="1777" t="n">
        <f aca="false">SUM(K14,S14)</f>
        <v>5852.53151050765</v>
      </c>
      <c r="V14" s="109" t="n">
        <f aca="false">U14*V$6</f>
        <v>6232.94605869064</v>
      </c>
      <c r="W14" s="109" t="n">
        <f aca="false">V14*(1+W$6)</f>
        <v>6402.61536588664</v>
      </c>
      <c r="X14" s="1713" t="n">
        <f aca="false">'US$ Table'!AC14</f>
        <v>8</v>
      </c>
      <c r="Y14" s="1714" t="n">
        <f aca="false">'US$ Table'!AD14</f>
        <v>12</v>
      </c>
      <c r="Z14" s="109" t="n">
        <f aca="false">W14*X14/Y14</f>
        <v>4268.41024392443</v>
      </c>
      <c r="AA14" s="497" t="n">
        <f aca="false">'US$ Table'!AF14</f>
        <v>480</v>
      </c>
      <c r="AB14" s="1715"/>
    </row>
    <row r="15" customFormat="false" ht="12.75" hidden="false" customHeight="false" outlineLevel="0" collapsed="false">
      <c r="B15" s="1531" t="n">
        <f aca="false">'US$ Table'!B15</f>
        <v>4</v>
      </c>
      <c r="C15" s="1533" t="n">
        <f aca="false">'US$ Table'!C15</f>
        <v>2003</v>
      </c>
      <c r="E15" s="1707" t="n">
        <f aca="false">VLOOKUP($C15,OM_Table_R,'R$ Table'!E$78)</f>
        <v>911.412307161433</v>
      </c>
      <c r="F15" s="1712" t="n">
        <f aca="false">VLOOKUP($C15,OM_Table_R,'R$ Table'!F$78)</f>
        <v>375.78277367022</v>
      </c>
      <c r="G15" s="1712" t="n">
        <f aca="false">VLOOKUP($C15,OM_Table_R,'R$ Table'!G$78)</f>
        <v>451.247611525203</v>
      </c>
      <c r="H15" s="1712" t="n">
        <f aca="false">VLOOKUP($C15,OM_Table_R,'R$ Table'!H$78)</f>
        <v>174.222292895203</v>
      </c>
      <c r="I15" s="1712" t="n">
        <f aca="false">VLOOKUP($C15,OM_Table_R,'R$ Table'!I$78)</f>
        <v>590.589981925745</v>
      </c>
      <c r="J15" s="1708" t="n">
        <f aca="false">VLOOKUP($C15,OM_Table_R,'R$ Table'!J$78)</f>
        <v>243.051947368421</v>
      </c>
      <c r="K15" s="1710" t="n">
        <f aca="false">SUM(E15:J15)</f>
        <v>2746.30691454623</v>
      </c>
      <c r="M15" s="1707" t="n">
        <f aca="false">-HLOOKUP($C15,CF_Table,CF!$AB$36)</f>
        <v>4257.79514613549</v>
      </c>
      <c r="N15" s="1712" t="n">
        <f aca="false">-HLOOKUP($C15,CF_Table,CF!$AB$37)</f>
        <v>110</v>
      </c>
      <c r="O15" s="1712" t="n">
        <f aca="false">Tot_Equity*HLOOKUP($C15,CF_Table,CF!$AB$12)/CF!$Z$12</f>
        <v>4620.42673219514</v>
      </c>
      <c r="P15" s="1712" t="n">
        <f aca="false">P$8*O15</f>
        <v>693.064009829271</v>
      </c>
      <c r="Q15" s="1712" t="n">
        <f aca="false">Q$8*P15</f>
        <v>341.359885438298</v>
      </c>
      <c r="R15" s="1708" t="n">
        <f aca="false">-'US$ Table'!K15</f>
        <v>-7239.60926211532</v>
      </c>
      <c r="S15" s="1710" t="n">
        <f aca="false">SUM(M15:R15)</f>
        <v>2783.03651148289</v>
      </c>
      <c r="U15" s="1777" t="n">
        <f aca="false">SUM(K15,S15)</f>
        <v>5529.34342602911</v>
      </c>
      <c r="V15" s="109" t="n">
        <f aca="false">U15*V$6</f>
        <v>5888.75074872101</v>
      </c>
      <c r="W15" s="109" t="n">
        <f aca="false">V15*(1+W$6)</f>
        <v>6049.05058933847</v>
      </c>
      <c r="X15" s="1713" t="n">
        <f aca="false">'US$ Table'!AC15</f>
        <v>4</v>
      </c>
      <c r="Y15" s="1714" t="n">
        <f aca="false">'US$ Table'!AD15</f>
        <v>12</v>
      </c>
      <c r="Z15" s="109" t="n">
        <f aca="false">W15*X15/Y15</f>
        <v>2016.35019644616</v>
      </c>
      <c r="AA15" s="497" t="n">
        <f aca="false">'US$ Table'!AF15</f>
        <v>480</v>
      </c>
      <c r="AB15" s="1715" t="n">
        <f aca="false">SUM(Z14:Z15)/AA15/SUM(X14:X15)*1000</f>
        <v>1091.10424311989</v>
      </c>
    </row>
    <row r="16" customFormat="false" ht="12.75" hidden="false" customHeight="false" outlineLevel="0" collapsed="false">
      <c r="B16" s="1531" t="n">
        <f aca="false">'US$ Table'!B16</f>
        <v>5</v>
      </c>
      <c r="C16" s="1533" t="n">
        <f aca="false">'US$ Table'!C16</f>
        <v>2003</v>
      </c>
      <c r="E16" s="1707" t="n">
        <f aca="false">VLOOKUP($C16,OM_Table_R,'R$ Table'!E$78)</f>
        <v>911.412307161433</v>
      </c>
      <c r="F16" s="1712" t="n">
        <f aca="false">VLOOKUP($C16,OM_Table_R,'R$ Table'!F$78)</f>
        <v>375.78277367022</v>
      </c>
      <c r="G16" s="1712" t="n">
        <f aca="false">VLOOKUP($C16,OM_Table_R,'R$ Table'!G$78)</f>
        <v>451.247611525203</v>
      </c>
      <c r="H16" s="1712" t="n">
        <f aca="false">VLOOKUP($C16,OM_Table_R,'R$ Table'!H$78)</f>
        <v>174.222292895203</v>
      </c>
      <c r="I16" s="1712" t="n">
        <f aca="false">VLOOKUP($C16,OM_Table_R,'R$ Table'!I$78)</f>
        <v>590.589981925745</v>
      </c>
      <c r="J16" s="1708" t="n">
        <f aca="false">VLOOKUP($C16,OM_Table_R,'R$ Table'!J$78)</f>
        <v>243.051947368421</v>
      </c>
      <c r="K16" s="1710" t="n">
        <f aca="false">SUM(E16:J16)</f>
        <v>2746.30691454623</v>
      </c>
      <c r="M16" s="1707" t="n">
        <f aca="false">-HLOOKUP($C16,CF_Table,CF!$AB$36)</f>
        <v>4257.79514613549</v>
      </c>
      <c r="N16" s="1712" t="n">
        <f aca="false">-HLOOKUP($C16,CF_Table,CF!$AB$37)</f>
        <v>110</v>
      </c>
      <c r="O16" s="1712" t="n">
        <f aca="false">Tot_Equity*HLOOKUP($C16,CF_Table,CF!$AB$12)/CF!$Z$12</f>
        <v>4620.42673219514</v>
      </c>
      <c r="P16" s="1712" t="n">
        <f aca="false">P$8*O16</f>
        <v>693.064009829271</v>
      </c>
      <c r="Q16" s="1712" t="n">
        <f aca="false">Q$8*P16</f>
        <v>341.359885438298</v>
      </c>
      <c r="R16" s="1708" t="n">
        <f aca="false">-'US$ Table'!K16</f>
        <v>-7239.60926211532</v>
      </c>
      <c r="S16" s="1710" t="n">
        <f aca="false">SUM(M16:R16)</f>
        <v>2783.03651148289</v>
      </c>
      <c r="U16" s="1777" t="n">
        <f aca="false">SUM(K16,S16)</f>
        <v>5529.34342602911</v>
      </c>
      <c r="V16" s="109" t="n">
        <f aca="false">U16*V$6</f>
        <v>5888.75074872101</v>
      </c>
      <c r="W16" s="109" t="n">
        <f aca="false">V16*(1+W$6)</f>
        <v>6049.05058933847</v>
      </c>
      <c r="X16" s="1713" t="n">
        <f aca="false">'US$ Table'!AC16</f>
        <v>8</v>
      </c>
      <c r="Y16" s="1714" t="n">
        <f aca="false">'US$ Table'!AD16</f>
        <v>12</v>
      </c>
      <c r="Z16" s="109" t="n">
        <f aca="false">W16*X16/Y16</f>
        <v>4032.70039289232</v>
      </c>
      <c r="AA16" s="497" t="n">
        <f aca="false">'US$ Table'!AF16</f>
        <v>480</v>
      </c>
      <c r="AB16" s="1715"/>
    </row>
    <row r="17" customFormat="false" ht="12.75" hidden="false" customHeight="false" outlineLevel="0" collapsed="false">
      <c r="B17" s="1531" t="n">
        <f aca="false">'US$ Table'!B17</f>
        <v>5</v>
      </c>
      <c r="C17" s="1533" t="n">
        <f aca="false">'US$ Table'!C17</f>
        <v>2004</v>
      </c>
      <c r="E17" s="1707" t="n">
        <f aca="false">VLOOKUP($C17,OM_Table_R,'R$ Table'!E$78)</f>
        <v>868.638930625108</v>
      </c>
      <c r="F17" s="1712" t="n">
        <f aca="false">VLOOKUP($C17,OM_Table_R,'R$ Table'!F$78)</f>
        <v>358.146959508217</v>
      </c>
      <c r="G17" s="1712" t="n">
        <f aca="false">VLOOKUP($C17,OM_Table_R,'R$ Table'!G$78)</f>
        <v>430.070166534364</v>
      </c>
      <c r="H17" s="1712" t="n">
        <f aca="false">VLOOKUP($C17,OM_Table_R,'R$ Table'!H$78)</f>
        <v>166.045888345392</v>
      </c>
      <c r="I17" s="1712" t="n">
        <f aca="false">VLOOKUP($C17,OM_Table_R,'R$ Table'!I$78)</f>
        <v>562.873077647628</v>
      </c>
      <c r="J17" s="1708" t="n">
        <f aca="false">VLOOKUP($C17,OM_Table_R,'R$ Table'!J$78)</f>
        <v>243.051947368421</v>
      </c>
      <c r="K17" s="1710" t="n">
        <f aca="false">SUM(E17:J17)</f>
        <v>2628.82697002913</v>
      </c>
      <c r="M17" s="1707" t="n">
        <f aca="false">-HLOOKUP($C17,CF_Table,CF!$AB$36)</f>
        <v>312.5</v>
      </c>
      <c r="N17" s="1712" t="n">
        <f aca="false">-HLOOKUP($C17,CF_Table,CF!$AB$37)</f>
        <v>110</v>
      </c>
      <c r="O17" s="1712" t="n">
        <f aca="false">Tot_Equity*HLOOKUP($C17,CF_Table,CF!$AB$12)/CF!$Z$12</f>
        <v>4620.42673219514</v>
      </c>
      <c r="P17" s="1712" t="n">
        <f aca="false">P$8*O17</f>
        <v>693.064009829271</v>
      </c>
      <c r="Q17" s="1712" t="n">
        <f aca="false">Q$8*P17</f>
        <v>341.359885438298</v>
      </c>
      <c r="R17" s="1708" t="n">
        <f aca="false">-'US$ Table'!K17</f>
        <v>-7478.7264838399</v>
      </c>
      <c r="S17" s="1710" t="n">
        <f aca="false">SUM(M17:R17)</f>
        <v>-1401.37585637719</v>
      </c>
      <c r="U17" s="1777" t="n">
        <f aca="false">SUM(K17,S17)</f>
        <v>1227.45111365194</v>
      </c>
      <c r="V17" s="109" t="n">
        <f aca="false">U17*V$6</f>
        <v>1307.23543603932</v>
      </c>
      <c r="W17" s="109" t="n">
        <f aca="false">V17*(1+W$6)</f>
        <v>1342.82017055914</v>
      </c>
      <c r="X17" s="1713" t="n">
        <f aca="false">'US$ Table'!AC17</f>
        <v>4</v>
      </c>
      <c r="Y17" s="1714" t="n">
        <f aca="false">'US$ Table'!AD17</f>
        <v>12</v>
      </c>
      <c r="Z17" s="109" t="n">
        <f aca="false">W17*X17/Y17</f>
        <v>447.606723519713</v>
      </c>
      <c r="AA17" s="497" t="n">
        <f aca="false">'US$ Table'!AF17</f>
        <v>480</v>
      </c>
      <c r="AB17" s="1715" t="n">
        <f aca="false">SUM(Z16:Z17)/AA17/SUM(X16:X17)*1000</f>
        <v>777.831096599311</v>
      </c>
    </row>
    <row r="18" customFormat="false" ht="12.75" hidden="false" customHeight="false" outlineLevel="0" collapsed="false">
      <c r="B18" s="1531" t="n">
        <f aca="false">'US$ Table'!B18</f>
        <v>6</v>
      </c>
      <c r="C18" s="1533" t="n">
        <f aca="false">'US$ Table'!C18</f>
        <v>2004</v>
      </c>
      <c r="E18" s="1707" t="n">
        <f aca="false">VLOOKUP($C18,OM_Table_R,'R$ Table'!E$78)</f>
        <v>868.638930625108</v>
      </c>
      <c r="F18" s="1712" t="n">
        <f aca="false">VLOOKUP($C18,OM_Table_R,'R$ Table'!F$78)</f>
        <v>358.146959508217</v>
      </c>
      <c r="G18" s="1712" t="n">
        <f aca="false">VLOOKUP($C18,OM_Table_R,'R$ Table'!G$78)</f>
        <v>430.070166534364</v>
      </c>
      <c r="H18" s="1712" t="n">
        <f aca="false">VLOOKUP($C18,OM_Table_R,'R$ Table'!H$78)</f>
        <v>166.045888345392</v>
      </c>
      <c r="I18" s="1712" t="n">
        <f aca="false">VLOOKUP($C18,OM_Table_R,'R$ Table'!I$78)</f>
        <v>562.873077647628</v>
      </c>
      <c r="J18" s="1708" t="n">
        <f aca="false">VLOOKUP($C18,OM_Table_R,'R$ Table'!J$78)</f>
        <v>243.051947368421</v>
      </c>
      <c r="K18" s="1710" t="n">
        <f aca="false">SUM(E18:J18)</f>
        <v>2628.82697002913</v>
      </c>
      <c r="M18" s="1707" t="n">
        <f aca="false">-HLOOKUP($C18,CF_Table,CF!$AB$36)</f>
        <v>312.5</v>
      </c>
      <c r="N18" s="1712" t="n">
        <f aca="false">-HLOOKUP($C18,CF_Table,CF!$AB$37)</f>
        <v>110</v>
      </c>
      <c r="O18" s="1712" t="n">
        <f aca="false">Tot_Equity*HLOOKUP($C18,CF_Table,CF!$AB$12)/CF!$Z$12</f>
        <v>4620.42673219514</v>
      </c>
      <c r="P18" s="1712" t="n">
        <f aca="false">P$8*O18</f>
        <v>693.064009829271</v>
      </c>
      <c r="Q18" s="1712" t="n">
        <f aca="false">Q$8*P18</f>
        <v>341.359885438298</v>
      </c>
      <c r="R18" s="1708" t="n">
        <f aca="false">-'US$ Table'!K18</f>
        <v>-7478.7264838399</v>
      </c>
      <c r="S18" s="1710" t="n">
        <f aca="false">SUM(M18:R18)</f>
        <v>-1401.37585637719</v>
      </c>
      <c r="U18" s="1777" t="n">
        <f aca="false">SUM(K18,S18)</f>
        <v>1227.45111365194</v>
      </c>
      <c r="V18" s="109" t="n">
        <f aca="false">U18*V$6</f>
        <v>1307.23543603932</v>
      </c>
      <c r="W18" s="109" t="n">
        <f aca="false">V18*(1+W$6)</f>
        <v>1342.82017055914</v>
      </c>
      <c r="X18" s="1713" t="n">
        <f aca="false">'US$ Table'!AC18</f>
        <v>8</v>
      </c>
      <c r="Y18" s="1714" t="n">
        <f aca="false">'US$ Table'!AD18</f>
        <v>12</v>
      </c>
      <c r="Z18" s="109" t="n">
        <f aca="false">W18*X18/Y18</f>
        <v>895.213447039425</v>
      </c>
      <c r="AA18" s="497" t="n">
        <f aca="false">'US$ Table'!AF18</f>
        <v>480</v>
      </c>
      <c r="AB18" s="1715"/>
    </row>
    <row r="19" customFormat="false" ht="12.75" hidden="false" customHeight="false" outlineLevel="0" collapsed="false">
      <c r="B19" s="1531" t="n">
        <f aca="false">'US$ Table'!B19</f>
        <v>6</v>
      </c>
      <c r="C19" s="1533" t="n">
        <f aca="false">'US$ Table'!C19</f>
        <v>2005</v>
      </c>
      <c r="E19" s="1707" t="n">
        <f aca="false">VLOOKUP($C19,OM_Table_R,'R$ Table'!E$78)</f>
        <v>840.894927346968</v>
      </c>
      <c r="F19" s="1712" t="n">
        <f aca="false">VLOOKUP($C19,OM_Table_R,'R$ Table'!F$78)</f>
        <v>346.707879277837</v>
      </c>
      <c r="G19" s="1712" t="n">
        <f aca="false">VLOOKUP($C19,OM_Table_R,'R$ Table'!G$78)</f>
        <v>416.33388591248</v>
      </c>
      <c r="H19" s="1712" t="n">
        <f aca="false">VLOOKUP($C19,OM_Table_R,'R$ Table'!H$78)</f>
        <v>160.74244463805</v>
      </c>
      <c r="I19" s="1712" t="n">
        <f aca="false">VLOOKUP($C19,OM_Table_R,'R$ Table'!I$78)</f>
        <v>544.8951216053</v>
      </c>
      <c r="J19" s="1708" t="n">
        <f aca="false">VLOOKUP($C19,OM_Table_R,'R$ Table'!J$78)</f>
        <v>243.051947368421</v>
      </c>
      <c r="K19" s="1710" t="n">
        <f aca="false">SUM(E19:J19)</f>
        <v>2552.62620614906</v>
      </c>
      <c r="M19" s="1707" t="n">
        <f aca="false">-HLOOKUP($C19,CF_Table,CF!$AB$36)</f>
        <v>312.5</v>
      </c>
      <c r="N19" s="1712" t="n">
        <f aca="false">-HLOOKUP($C19,CF_Table,CF!$AB$37)</f>
        <v>110</v>
      </c>
      <c r="O19" s="1712" t="n">
        <f aca="false">Tot_Equity*HLOOKUP($C19,CF_Table,CF!$AB$12)/CF!$Z$12</f>
        <v>4620.42673219514</v>
      </c>
      <c r="P19" s="1712" t="n">
        <f aca="false">P$8*O19</f>
        <v>693.064009829271</v>
      </c>
      <c r="Q19" s="1712" t="n">
        <f aca="false">Q$8*P19</f>
        <v>341.359885438298</v>
      </c>
      <c r="R19" s="1708" t="n">
        <f aca="false">-'US$ Table'!K19</f>
        <v>-7380.30020523087</v>
      </c>
      <c r="S19" s="1710" t="n">
        <f aca="false">SUM(M19:R19)</f>
        <v>-1302.94957776816</v>
      </c>
      <c r="U19" s="1777" t="n">
        <f aca="false">SUM(K19,S19)</f>
        <v>1249.6766283809</v>
      </c>
      <c r="V19" s="109" t="n">
        <f aca="false">U19*V$6</f>
        <v>1330.90560922566</v>
      </c>
      <c r="W19" s="109" t="n">
        <f aca="false">V19*(1+W$6)</f>
        <v>1367.1346781979</v>
      </c>
      <c r="X19" s="1713" t="n">
        <f aca="false">'US$ Table'!AC19</f>
        <v>4</v>
      </c>
      <c r="Y19" s="1714" t="n">
        <f aca="false">'US$ Table'!AD19</f>
        <v>12</v>
      </c>
      <c r="Z19" s="109" t="n">
        <f aca="false">W19*X19/Y19</f>
        <v>455.711559399301</v>
      </c>
      <c r="AA19" s="497" t="n">
        <f aca="false">'US$ Table'!AF19</f>
        <v>480</v>
      </c>
      <c r="AB19" s="1715" t="n">
        <f aca="false">SUM(Z18:Z19)/AA19/SUM(X18:X19)*1000</f>
        <v>234.535591395612</v>
      </c>
    </row>
    <row r="20" customFormat="false" ht="12.75" hidden="false" customHeight="false" outlineLevel="0" collapsed="false">
      <c r="B20" s="1531" t="n">
        <f aca="false">'US$ Table'!B20</f>
        <v>7</v>
      </c>
      <c r="C20" s="1533" t="n">
        <f aca="false">'US$ Table'!C20</f>
        <v>2005</v>
      </c>
      <c r="E20" s="1707" t="n">
        <f aca="false">VLOOKUP($C20,OM_Table_R,'R$ Table'!E$78)</f>
        <v>840.894927346968</v>
      </c>
      <c r="F20" s="1712" t="n">
        <f aca="false">VLOOKUP($C20,OM_Table_R,'R$ Table'!F$78)</f>
        <v>346.707879277837</v>
      </c>
      <c r="G20" s="1712" t="n">
        <f aca="false">VLOOKUP($C20,OM_Table_R,'R$ Table'!G$78)</f>
        <v>416.33388591248</v>
      </c>
      <c r="H20" s="1712" t="n">
        <f aca="false">VLOOKUP($C20,OM_Table_R,'R$ Table'!H$78)</f>
        <v>160.74244463805</v>
      </c>
      <c r="I20" s="1712" t="n">
        <f aca="false">VLOOKUP($C20,OM_Table_R,'R$ Table'!I$78)</f>
        <v>544.8951216053</v>
      </c>
      <c r="J20" s="1708" t="n">
        <f aca="false">VLOOKUP($C20,OM_Table_R,'R$ Table'!J$78)</f>
        <v>243.051947368421</v>
      </c>
      <c r="K20" s="1710" t="n">
        <f aca="false">SUM(E20:J20)</f>
        <v>2552.62620614906</v>
      </c>
      <c r="M20" s="1707" t="n">
        <f aca="false">-HLOOKUP($C20,CF_Table,CF!$AB$36)</f>
        <v>312.5</v>
      </c>
      <c r="N20" s="1712" t="n">
        <f aca="false">-HLOOKUP($C20,CF_Table,CF!$AB$37)</f>
        <v>110</v>
      </c>
      <c r="O20" s="1712" t="n">
        <f aca="false">Tot_Equity*HLOOKUP($C20,CF_Table,CF!$AB$12)/CF!$Z$12</f>
        <v>4620.42673219514</v>
      </c>
      <c r="P20" s="1712" t="n">
        <f aca="false">P$8*O20</f>
        <v>693.064009829271</v>
      </c>
      <c r="Q20" s="1712" t="n">
        <f aca="false">Q$8*P20</f>
        <v>341.359885438298</v>
      </c>
      <c r="R20" s="1708" t="n">
        <f aca="false">-'US$ Table'!K20</f>
        <v>-7380.30020523087</v>
      </c>
      <c r="S20" s="1710" t="n">
        <f aca="false">SUM(M20:R20)</f>
        <v>-1302.94957776816</v>
      </c>
      <c r="U20" s="1777" t="n">
        <f aca="false">SUM(K20,S20)</f>
        <v>1249.6766283809</v>
      </c>
      <c r="V20" s="109" t="n">
        <f aca="false">U20*V$6</f>
        <v>1330.90560922566</v>
      </c>
      <c r="W20" s="109" t="n">
        <f aca="false">V20*(1+W$6)</f>
        <v>1367.1346781979</v>
      </c>
      <c r="X20" s="1713" t="n">
        <f aca="false">'US$ Table'!AC20</f>
        <v>8</v>
      </c>
      <c r="Y20" s="1714" t="n">
        <f aca="false">'US$ Table'!AD20</f>
        <v>12</v>
      </c>
      <c r="Z20" s="109" t="n">
        <f aca="false">W20*X20/Y20</f>
        <v>911.423118798603</v>
      </c>
      <c r="AA20" s="497" t="n">
        <f aca="false">'US$ Table'!AF20</f>
        <v>480</v>
      </c>
      <c r="AB20" s="1715"/>
    </row>
    <row r="21" customFormat="false" ht="12.75" hidden="false" customHeight="false" outlineLevel="0" collapsed="false">
      <c r="B21" s="1531" t="n">
        <f aca="false">'US$ Table'!B21</f>
        <v>7</v>
      </c>
      <c r="C21" s="1533" t="n">
        <f aca="false">'US$ Table'!C21</f>
        <v>2006</v>
      </c>
      <c r="E21" s="1707" t="n">
        <f aca="false">VLOOKUP($C21,OM_Table_R,'R$ Table'!E$78)</f>
        <v>816.546509741397</v>
      </c>
      <c r="F21" s="1712" t="n">
        <f aca="false">VLOOKUP($C21,OM_Table_R,'R$ Table'!F$78)</f>
        <v>336.668826885843</v>
      </c>
      <c r="G21" s="1712" t="n">
        <f aca="false">VLOOKUP($C21,OM_Table_R,'R$ Table'!G$78)</f>
        <v>404.278787245718</v>
      </c>
      <c r="H21" s="1712" t="n">
        <f aca="false">VLOOKUP($C21,OM_Table_R,'R$ Table'!H$78)</f>
        <v>156.088088853867</v>
      </c>
      <c r="I21" s="1712" t="n">
        <f aca="false">VLOOKUP($C21,OM_Table_R,'R$ Table'!I$78)</f>
        <v>529.11748573117</v>
      </c>
      <c r="J21" s="1708" t="n">
        <f aca="false">VLOOKUP($C21,OM_Table_R,'R$ Table'!J$78)</f>
        <v>243.051947368421</v>
      </c>
      <c r="K21" s="1710" t="n">
        <f aca="false">SUM(E21:J21)</f>
        <v>2485.75164582642</v>
      </c>
      <c r="M21" s="1707" t="n">
        <f aca="false">-HLOOKUP($C21,CF_Table,CF!$AB$36)</f>
        <v>312.5</v>
      </c>
      <c r="N21" s="1712" t="n">
        <f aca="false">-HLOOKUP($C21,CF_Table,CF!$AB$37)</f>
        <v>110</v>
      </c>
      <c r="O21" s="1712" t="n">
        <f aca="false">Tot_Equity*HLOOKUP($C21,CF_Table,CF!$AB$12)/CF!$Z$12</f>
        <v>4620.42673219514</v>
      </c>
      <c r="P21" s="1712" t="n">
        <f aca="false">P$8*O21</f>
        <v>693.064009829271</v>
      </c>
      <c r="Q21" s="1712" t="n">
        <f aca="false">Q$8*P21</f>
        <v>341.359885438298</v>
      </c>
      <c r="R21" s="1708" t="n">
        <f aca="false">-'US$ Table'!K21</f>
        <v>-7181.91217074459</v>
      </c>
      <c r="S21" s="1710" t="n">
        <f aca="false">SUM(M21:R21)</f>
        <v>-1104.56154328188</v>
      </c>
      <c r="U21" s="1777" t="n">
        <f aca="false">SUM(K21,S21)</f>
        <v>1381.19010254454</v>
      </c>
      <c r="V21" s="109" t="n">
        <f aca="false">U21*V$6</f>
        <v>1470.96745920993</v>
      </c>
      <c r="W21" s="109" t="n">
        <f aca="false">V21*(1+W$6)</f>
        <v>1511.00920309187</v>
      </c>
      <c r="X21" s="1713" t="n">
        <f aca="false">'US$ Table'!AC21</f>
        <v>4</v>
      </c>
      <c r="Y21" s="1714" t="n">
        <f aca="false">'US$ Table'!AD21</f>
        <v>12</v>
      </c>
      <c r="Z21" s="109" t="n">
        <f aca="false">W21*X21/Y21</f>
        <v>503.669734363955</v>
      </c>
      <c r="AA21" s="497" t="n">
        <f aca="false">'US$ Table'!AF21</f>
        <v>480</v>
      </c>
      <c r="AB21" s="1715" t="n">
        <f aca="false">SUM(Z20:Z21)/AA21/SUM(X20:X21)*1000</f>
        <v>245.675842562944</v>
      </c>
    </row>
    <row r="22" customFormat="false" ht="12.75" hidden="false" customHeight="false" outlineLevel="0" collapsed="false">
      <c r="B22" s="1531" t="n">
        <f aca="false">'US$ Table'!B22</f>
        <v>8</v>
      </c>
      <c r="C22" s="1533" t="n">
        <f aca="false">'US$ Table'!C22</f>
        <v>2006</v>
      </c>
      <c r="E22" s="1707" t="n">
        <f aca="false">VLOOKUP($C22,OM_Table_R,'R$ Table'!E$78)</f>
        <v>816.546509741397</v>
      </c>
      <c r="F22" s="1712" t="n">
        <f aca="false">VLOOKUP($C22,OM_Table_R,'R$ Table'!F$78)</f>
        <v>336.668826885843</v>
      </c>
      <c r="G22" s="1712" t="n">
        <f aca="false">VLOOKUP($C22,OM_Table_R,'R$ Table'!G$78)</f>
        <v>404.278787245718</v>
      </c>
      <c r="H22" s="1712" t="n">
        <f aca="false">VLOOKUP($C22,OM_Table_R,'R$ Table'!H$78)</f>
        <v>156.088088853867</v>
      </c>
      <c r="I22" s="1712" t="n">
        <f aca="false">VLOOKUP($C22,OM_Table_R,'R$ Table'!I$78)</f>
        <v>529.11748573117</v>
      </c>
      <c r="J22" s="1708" t="n">
        <f aca="false">VLOOKUP($C22,OM_Table_R,'R$ Table'!J$78)</f>
        <v>243.051947368421</v>
      </c>
      <c r="K22" s="1710" t="n">
        <f aca="false">SUM(E22:J22)</f>
        <v>2485.75164582642</v>
      </c>
      <c r="M22" s="1707" t="n">
        <f aca="false">-HLOOKUP($C22,CF_Table,CF!$AB$36)</f>
        <v>312.5</v>
      </c>
      <c r="N22" s="1712" t="n">
        <f aca="false">-HLOOKUP($C22,CF_Table,CF!$AB$37)</f>
        <v>110</v>
      </c>
      <c r="O22" s="1712" t="n">
        <f aca="false">Tot_Equity*HLOOKUP($C22,CF_Table,CF!$AB$12)/CF!$Z$12</f>
        <v>4620.42673219514</v>
      </c>
      <c r="P22" s="1712" t="n">
        <f aca="false">P$8*O22</f>
        <v>693.064009829271</v>
      </c>
      <c r="Q22" s="1712" t="n">
        <f aca="false">Q$8*P22</f>
        <v>341.359885438298</v>
      </c>
      <c r="R22" s="1708" t="n">
        <f aca="false">-'US$ Table'!K22</f>
        <v>-7181.91217074459</v>
      </c>
      <c r="S22" s="1710" t="n">
        <f aca="false">SUM(M22:R22)</f>
        <v>-1104.56154328188</v>
      </c>
      <c r="U22" s="1777" t="n">
        <f aca="false">SUM(K22,S22)</f>
        <v>1381.19010254454</v>
      </c>
      <c r="V22" s="109" t="n">
        <f aca="false">U22*V$6</f>
        <v>1470.96745920993</v>
      </c>
      <c r="W22" s="109" t="n">
        <f aca="false">V22*(1+W$6)</f>
        <v>1511.00920309187</v>
      </c>
      <c r="X22" s="1713" t="n">
        <f aca="false">'US$ Table'!AC22</f>
        <v>8</v>
      </c>
      <c r="Y22" s="1714" t="n">
        <f aca="false">'US$ Table'!AD22</f>
        <v>12</v>
      </c>
      <c r="Z22" s="109" t="n">
        <f aca="false">W22*X22/Y22</f>
        <v>1007.33946872791</v>
      </c>
      <c r="AA22" s="497" t="n">
        <f aca="false">'US$ Table'!AF22</f>
        <v>480</v>
      </c>
      <c r="AB22" s="1715"/>
    </row>
    <row r="23" customFormat="false" ht="12.75" hidden="false" customHeight="false" outlineLevel="0" collapsed="false">
      <c r="B23" s="1531" t="n">
        <f aca="false">'US$ Table'!B23</f>
        <v>8</v>
      </c>
      <c r="C23" s="1533" t="n">
        <f aca="false">'US$ Table'!C23</f>
        <v>2007</v>
      </c>
      <c r="E23" s="1707" t="n">
        <f aca="false">VLOOKUP($C23,OM_Table_R,'R$ Table'!E$78)</f>
        <v>794.147729778033</v>
      </c>
      <c r="F23" s="1712" t="n">
        <f aca="false">VLOOKUP($C23,OM_Table_R,'R$ Table'!F$78)</f>
        <v>327.433626093266</v>
      </c>
      <c r="G23" s="1712" t="n">
        <f aca="false">VLOOKUP($C23,OM_Table_R,'R$ Table'!G$78)</f>
        <v>393.188969958715</v>
      </c>
      <c r="H23" s="1712" t="n">
        <f aca="false">VLOOKUP($C23,OM_Table_R,'R$ Table'!H$78)</f>
        <v>151.806418776988</v>
      </c>
      <c r="I23" s="1712" t="n">
        <f aca="false">VLOOKUP($C23,OM_Table_R,'R$ Table'!I$78)</f>
        <v>514.603203940394</v>
      </c>
      <c r="J23" s="1708" t="n">
        <f aca="false">VLOOKUP($C23,OM_Table_R,'R$ Table'!J$78)</f>
        <v>243.051947368421</v>
      </c>
      <c r="K23" s="1710" t="n">
        <f aca="false">SUM(E23:J23)</f>
        <v>2424.23189591582</v>
      </c>
      <c r="M23" s="1707" t="n">
        <f aca="false">-HLOOKUP($C23,CF_Table,CF!$AB$36)</f>
        <v>312.5</v>
      </c>
      <c r="N23" s="1712" t="n">
        <f aca="false">-HLOOKUP($C23,CF_Table,CF!$AB$37)</f>
        <v>110</v>
      </c>
      <c r="O23" s="1712" t="n">
        <f aca="false">Tot_Equity*HLOOKUP($C23,CF_Table,CF!$AB$12)/CF!$Z$12</f>
        <v>4620.42673219514</v>
      </c>
      <c r="P23" s="1712" t="n">
        <f aca="false">P$8*O23</f>
        <v>693.064009829271</v>
      </c>
      <c r="Q23" s="1712" t="n">
        <f aca="false">Q$8*P23</f>
        <v>341.359885438298</v>
      </c>
      <c r="R23" s="1708" t="n">
        <f aca="false">-'US$ Table'!K23</f>
        <v>-6917.66569451851</v>
      </c>
      <c r="S23" s="1710" t="n">
        <f aca="false">SUM(M23:R23)</f>
        <v>-840.3150670558</v>
      </c>
      <c r="U23" s="1777" t="n">
        <f aca="false">SUM(K23,S23)</f>
        <v>1583.91682886002</v>
      </c>
      <c r="V23" s="109" t="n">
        <f aca="false">U23*V$6</f>
        <v>1686.87142273592</v>
      </c>
      <c r="W23" s="109" t="n">
        <f aca="false">V23*(1+W$6)</f>
        <v>1732.79036747398</v>
      </c>
      <c r="X23" s="1713" t="n">
        <f aca="false">'US$ Table'!AC23</f>
        <v>4</v>
      </c>
      <c r="Y23" s="1714" t="n">
        <f aca="false">'US$ Table'!AD23</f>
        <v>12</v>
      </c>
      <c r="Z23" s="109" t="n">
        <f aca="false">W23*X23/Y23</f>
        <v>577.596789157993</v>
      </c>
      <c r="AA23" s="497" t="n">
        <f aca="false">'US$ Table'!AF23</f>
        <v>480</v>
      </c>
      <c r="AB23" s="1715" t="n">
        <f aca="false">SUM(Z22:Z23)/AA23/SUM(X22:X23)*1000</f>
        <v>275.162544771858</v>
      </c>
    </row>
    <row r="24" customFormat="false" ht="12.75" hidden="false" customHeight="false" outlineLevel="0" collapsed="false">
      <c r="B24" s="1531" t="n">
        <f aca="false">'US$ Table'!B24</f>
        <v>9</v>
      </c>
      <c r="C24" s="1533" t="n">
        <f aca="false">'US$ Table'!C24</f>
        <v>2007</v>
      </c>
      <c r="E24" s="1707" t="n">
        <f aca="false">VLOOKUP($C24,OM_Table_R,'R$ Table'!E$78)</f>
        <v>794.147729778033</v>
      </c>
      <c r="F24" s="1712" t="n">
        <f aca="false">VLOOKUP($C24,OM_Table_R,'R$ Table'!F$78)</f>
        <v>327.433626093266</v>
      </c>
      <c r="G24" s="1712" t="n">
        <f aca="false">VLOOKUP($C24,OM_Table_R,'R$ Table'!G$78)</f>
        <v>393.188969958715</v>
      </c>
      <c r="H24" s="1712" t="n">
        <f aca="false">VLOOKUP($C24,OM_Table_R,'R$ Table'!H$78)</f>
        <v>151.806418776988</v>
      </c>
      <c r="I24" s="1712" t="n">
        <f aca="false">VLOOKUP($C24,OM_Table_R,'R$ Table'!I$78)</f>
        <v>514.603203940394</v>
      </c>
      <c r="J24" s="1708" t="n">
        <f aca="false">VLOOKUP($C24,OM_Table_R,'R$ Table'!J$78)</f>
        <v>243.051947368421</v>
      </c>
      <c r="K24" s="1710" t="n">
        <f aca="false">SUM(E24:J24)</f>
        <v>2424.23189591582</v>
      </c>
      <c r="M24" s="1707" t="n">
        <f aca="false">-HLOOKUP($C24,CF_Table,CF!$AB$36)</f>
        <v>312.5</v>
      </c>
      <c r="N24" s="1712" t="n">
        <f aca="false">-HLOOKUP($C24,CF_Table,CF!$AB$37)</f>
        <v>110</v>
      </c>
      <c r="O24" s="1712" t="n">
        <f aca="false">Tot_Equity*HLOOKUP($C24,CF_Table,CF!$AB$12)/CF!$Z$12</f>
        <v>4620.42673219514</v>
      </c>
      <c r="P24" s="1712" t="n">
        <f aca="false">P$8*O24</f>
        <v>693.064009829271</v>
      </c>
      <c r="Q24" s="1712" t="n">
        <f aca="false">Q$8*P24</f>
        <v>341.359885438298</v>
      </c>
      <c r="R24" s="1708" t="n">
        <f aca="false">-'US$ Table'!K24</f>
        <v>-6917.66569451851</v>
      </c>
      <c r="S24" s="1710" t="n">
        <f aca="false">SUM(M24:R24)</f>
        <v>-840.3150670558</v>
      </c>
      <c r="U24" s="1777" t="n">
        <f aca="false">SUM(K24,S24)</f>
        <v>1583.91682886002</v>
      </c>
      <c r="V24" s="109" t="n">
        <f aca="false">U24*V$6</f>
        <v>1686.87142273592</v>
      </c>
      <c r="W24" s="109" t="n">
        <f aca="false">V24*(1+W$6)</f>
        <v>1732.79036747398</v>
      </c>
      <c r="X24" s="1713" t="n">
        <f aca="false">'US$ Table'!AC24</f>
        <v>8</v>
      </c>
      <c r="Y24" s="1714" t="n">
        <f aca="false">'US$ Table'!AD24</f>
        <v>12</v>
      </c>
      <c r="Z24" s="109" t="n">
        <f aca="false">W24*X24/Y24</f>
        <v>1155.19357831599</v>
      </c>
      <c r="AA24" s="497" t="n">
        <f aca="false">'US$ Table'!AF24</f>
        <v>480</v>
      </c>
      <c r="AB24" s="1715"/>
    </row>
    <row r="25" customFormat="false" ht="12.75" hidden="false" customHeight="false" outlineLevel="0" collapsed="false">
      <c r="B25" s="1531" t="n">
        <f aca="false">'US$ Table'!B25</f>
        <v>9</v>
      </c>
      <c r="C25" s="1533" t="n">
        <f aca="false">'US$ Table'!C25</f>
        <v>2008</v>
      </c>
      <c r="E25" s="1707" t="n">
        <f aca="false">VLOOKUP($C25,OM_Table_R,'R$ Table'!E$78)</f>
        <v>772.855641552027</v>
      </c>
      <c r="F25" s="1712" t="n">
        <f aca="false">VLOOKUP($C25,OM_Table_R,'R$ Table'!F$78)</f>
        <v>318.654723385973</v>
      </c>
      <c r="G25" s="1712" t="n">
        <f aca="false">VLOOKUP($C25,OM_Table_R,'R$ Table'!G$78)</f>
        <v>382.647084709992</v>
      </c>
      <c r="H25" s="1712" t="n">
        <f aca="false">VLOOKUP($C25,OM_Table_R,'R$ Table'!H$78)</f>
        <v>147.736299905305</v>
      </c>
      <c r="I25" s="1712" t="n">
        <f aca="false">VLOOKUP($C25,OM_Table_R,'R$ Table'!I$78)</f>
        <v>500.806052089633</v>
      </c>
      <c r="J25" s="1708" t="n">
        <f aca="false">VLOOKUP($C25,OM_Table_R,'R$ Table'!J$78)</f>
        <v>243.051947368421</v>
      </c>
      <c r="K25" s="1710" t="n">
        <f aca="false">SUM(E25:J25)</f>
        <v>2365.75174901135</v>
      </c>
      <c r="M25" s="1707" t="n">
        <f aca="false">-HLOOKUP($C25,CF_Table,CF!$AB$36)</f>
        <v>312.5</v>
      </c>
      <c r="N25" s="1712" t="n">
        <f aca="false">-HLOOKUP($C25,CF_Table,CF!$AB$37)</f>
        <v>110</v>
      </c>
      <c r="O25" s="1712" t="n">
        <f aca="false">Tot_Equity*HLOOKUP($C25,CF_Table,CF!$AB$12)/CF!$Z$12</f>
        <v>4620.42673219514</v>
      </c>
      <c r="P25" s="1712" t="n">
        <f aca="false">P$8*O25</f>
        <v>693.064009829271</v>
      </c>
      <c r="Q25" s="1712" t="n">
        <f aca="false">Q$8*P25</f>
        <v>341.359885438298</v>
      </c>
      <c r="R25" s="1708" t="n">
        <f aca="false">-'US$ Table'!K25</f>
        <v>-6277.04472101232</v>
      </c>
      <c r="S25" s="1710" t="n">
        <f aca="false">SUM(M25:R25)</f>
        <v>-199.694093549612</v>
      </c>
      <c r="U25" s="1777" t="n">
        <f aca="false">SUM(K25,S25)</f>
        <v>2166.05765546174</v>
      </c>
      <c r="V25" s="109" t="n">
        <f aca="false">U25*V$6</f>
        <v>2306.85140306675</v>
      </c>
      <c r="W25" s="109" t="n">
        <f aca="false">V25*(1+W$6)</f>
        <v>2369.6470498888</v>
      </c>
      <c r="X25" s="1713" t="n">
        <f aca="false">'US$ Table'!AC25</f>
        <v>4</v>
      </c>
      <c r="Y25" s="1714" t="n">
        <f aca="false">'US$ Table'!AD25</f>
        <v>12</v>
      </c>
      <c r="Z25" s="109" t="n">
        <f aca="false">W25*X25/Y25</f>
        <v>789.882349962935</v>
      </c>
      <c r="AA25" s="497" t="n">
        <f aca="false">'US$ Table'!AF25</f>
        <v>480</v>
      </c>
      <c r="AB25" s="1715" t="n">
        <f aca="false">SUM(Z24:Z25)/AA25/SUM(X24:X25)*1000</f>
        <v>337.686793103979</v>
      </c>
    </row>
    <row r="26" customFormat="false" ht="12.75" hidden="false" customHeight="false" outlineLevel="0" collapsed="false">
      <c r="B26" s="1531" t="n">
        <f aca="false">'US$ Table'!B26</f>
        <v>10</v>
      </c>
      <c r="C26" s="1533" t="n">
        <f aca="false">'US$ Table'!C26</f>
        <v>2008</v>
      </c>
      <c r="E26" s="1707" t="n">
        <f aca="false">VLOOKUP($C26,OM_Table_R,'R$ Table'!E$78)</f>
        <v>772.855641552027</v>
      </c>
      <c r="F26" s="1712" t="n">
        <f aca="false">VLOOKUP($C26,OM_Table_R,'R$ Table'!F$78)</f>
        <v>318.654723385973</v>
      </c>
      <c r="G26" s="1712" t="n">
        <f aca="false">VLOOKUP($C26,OM_Table_R,'R$ Table'!G$78)</f>
        <v>382.647084709992</v>
      </c>
      <c r="H26" s="1712" t="n">
        <f aca="false">VLOOKUP($C26,OM_Table_R,'R$ Table'!H$78)</f>
        <v>147.736299905305</v>
      </c>
      <c r="I26" s="1712" t="n">
        <f aca="false">VLOOKUP($C26,OM_Table_R,'R$ Table'!I$78)</f>
        <v>500.806052089633</v>
      </c>
      <c r="J26" s="1708" t="n">
        <f aca="false">VLOOKUP($C26,OM_Table_R,'R$ Table'!J$78)</f>
        <v>243.051947368421</v>
      </c>
      <c r="K26" s="1710" t="n">
        <f aca="false">SUM(E26:J26)</f>
        <v>2365.75174901135</v>
      </c>
      <c r="M26" s="1707" t="n">
        <f aca="false">-HLOOKUP($C26,CF_Table,CF!$AB$36)</f>
        <v>312.5</v>
      </c>
      <c r="N26" s="1712" t="n">
        <f aca="false">-HLOOKUP($C26,CF_Table,CF!$AB$37)</f>
        <v>110</v>
      </c>
      <c r="O26" s="1712" t="n">
        <f aca="false">Tot_Equity*HLOOKUP($C26,CF_Table,CF!$AB$12)/CF!$Z$12</f>
        <v>4620.42673219514</v>
      </c>
      <c r="P26" s="1712" t="n">
        <f aca="false">P$8*O26</f>
        <v>693.064009829271</v>
      </c>
      <c r="Q26" s="1712" t="n">
        <f aca="false">Q$8*P26</f>
        <v>341.359885438298</v>
      </c>
      <c r="R26" s="1708" t="n">
        <f aca="false">-'US$ Table'!K26</f>
        <v>-6277.04472101232</v>
      </c>
      <c r="S26" s="1710" t="n">
        <f aca="false">SUM(M26:R26)</f>
        <v>-199.694093549612</v>
      </c>
      <c r="U26" s="1777" t="n">
        <f aca="false">SUM(K26,S26)</f>
        <v>2166.05765546174</v>
      </c>
      <c r="V26" s="109" t="n">
        <f aca="false">U26*V$6</f>
        <v>2306.85140306675</v>
      </c>
      <c r="W26" s="109" t="n">
        <f aca="false">V26*(1+W$6)</f>
        <v>2369.6470498888</v>
      </c>
      <c r="X26" s="1713" t="n">
        <f aca="false">'US$ Table'!AC26</f>
        <v>8</v>
      </c>
      <c r="Y26" s="1714" t="n">
        <f aca="false">'US$ Table'!AD26</f>
        <v>12</v>
      </c>
      <c r="Z26" s="109" t="n">
        <f aca="false">W26*X26/Y26</f>
        <v>1579.76469992587</v>
      </c>
      <c r="AA26" s="497" t="n">
        <f aca="false">'US$ Table'!AF26</f>
        <v>480</v>
      </c>
      <c r="AB26" s="1715"/>
    </row>
    <row r="27" customFormat="false" ht="12.75" hidden="false" customHeight="false" outlineLevel="0" collapsed="false">
      <c r="B27" s="1531" t="n">
        <f aca="false">'US$ Table'!B27</f>
        <v>10</v>
      </c>
      <c r="C27" s="1533" t="n">
        <f aca="false">'US$ Table'!C27</f>
        <v>2009</v>
      </c>
      <c r="E27" s="1707" t="n">
        <f aca="false">VLOOKUP($C27,OM_Table_R,'R$ Table'!E$78)</f>
        <v>753.008075992071</v>
      </c>
      <c r="F27" s="1712" t="n">
        <f aca="false">VLOOKUP($C27,OM_Table_R,'R$ Table'!F$78)</f>
        <v>310.471409228245</v>
      </c>
      <c r="G27" s="1712" t="n">
        <f aca="false">VLOOKUP($C27,OM_Table_R,'R$ Table'!G$78)</f>
        <v>372.820394327224</v>
      </c>
      <c r="H27" s="1712" t="n">
        <f aca="false">VLOOKUP($C27,OM_Table_R,'R$ Table'!H$78)</f>
        <v>143.942310781971</v>
      </c>
      <c r="I27" s="1712" t="n">
        <f aca="false">VLOOKUP($C27,OM_Table_R,'R$ Table'!I$78)</f>
        <v>487.944942695761</v>
      </c>
      <c r="J27" s="1708" t="n">
        <f aca="false">VLOOKUP($C27,OM_Table_R,'R$ Table'!J$78)</f>
        <v>243.051947368421</v>
      </c>
      <c r="K27" s="1710" t="n">
        <f aca="false">SUM(E27:J27)</f>
        <v>2311.23908039369</v>
      </c>
      <c r="M27" s="1707" t="n">
        <f aca="false">-HLOOKUP($C27,CF_Table,CF!$AB$36)</f>
        <v>312.5</v>
      </c>
      <c r="N27" s="1712" t="n">
        <f aca="false">-HLOOKUP($C27,CF_Table,CF!$AB$37)</f>
        <v>110</v>
      </c>
      <c r="O27" s="1712" t="n">
        <f aca="false">Tot_Equity*HLOOKUP($C27,CF_Table,CF!$AB$12)/CF!$Z$12</f>
        <v>4620.42673219514</v>
      </c>
      <c r="P27" s="1712" t="n">
        <f aca="false">P$8*O27</f>
        <v>693.064009829271</v>
      </c>
      <c r="Q27" s="1712" t="n">
        <f aca="false">Q$8*P27</f>
        <v>341.359885438298</v>
      </c>
      <c r="R27" s="1708" t="n">
        <f aca="false">-'US$ Table'!K27</f>
        <v>-5684.33077938356</v>
      </c>
      <c r="S27" s="1710" t="n">
        <f aca="false">SUM(M27:R27)</f>
        <v>393.019848079152</v>
      </c>
      <c r="U27" s="1777" t="n">
        <f aca="false">SUM(K27,S27)</f>
        <v>2704.25892847284</v>
      </c>
      <c r="V27" s="109" t="n">
        <f aca="false">U27*V$6</f>
        <v>2880.03575882358</v>
      </c>
      <c r="W27" s="109" t="n">
        <f aca="false">V27*(1+W$6)</f>
        <v>2958.43426689633</v>
      </c>
      <c r="X27" s="1713" t="n">
        <f aca="false">'US$ Table'!AC27</f>
        <v>4</v>
      </c>
      <c r="Y27" s="1714" t="n">
        <f aca="false">'US$ Table'!AD27</f>
        <v>12</v>
      </c>
      <c r="Z27" s="109" t="n">
        <f aca="false">W27*X27/Y27</f>
        <v>986.14475563211</v>
      </c>
      <c r="AA27" s="497" t="n">
        <f aca="false">'US$ Table'!AF27</f>
        <v>480</v>
      </c>
      <c r="AB27" s="1715" t="n">
        <f aca="false">SUM(Z26:Z27)/AA27/SUM(X26:X27)*1000</f>
        <v>445.470391589927</v>
      </c>
    </row>
    <row r="28" customFormat="false" ht="12.75" hidden="false" customHeight="false" outlineLevel="0" collapsed="false">
      <c r="B28" s="1531" t="n">
        <f aca="false">'US$ Table'!B28</f>
        <v>11</v>
      </c>
      <c r="C28" s="1533" t="n">
        <f aca="false">'US$ Table'!C28</f>
        <v>2009</v>
      </c>
      <c r="E28" s="1707" t="n">
        <f aca="false">VLOOKUP($C28,OM_Table_R,'R$ Table'!E$78)</f>
        <v>753.008075992071</v>
      </c>
      <c r="F28" s="1712" t="n">
        <f aca="false">VLOOKUP($C28,OM_Table_R,'R$ Table'!F$78)</f>
        <v>310.471409228245</v>
      </c>
      <c r="G28" s="1712" t="n">
        <f aca="false">VLOOKUP($C28,OM_Table_R,'R$ Table'!G$78)</f>
        <v>372.820394327224</v>
      </c>
      <c r="H28" s="1712" t="n">
        <f aca="false">VLOOKUP($C28,OM_Table_R,'R$ Table'!H$78)</f>
        <v>143.942310781971</v>
      </c>
      <c r="I28" s="1712" t="n">
        <f aca="false">VLOOKUP($C28,OM_Table_R,'R$ Table'!I$78)</f>
        <v>487.944942695761</v>
      </c>
      <c r="J28" s="1708" t="n">
        <f aca="false">VLOOKUP($C28,OM_Table_R,'R$ Table'!J$78)</f>
        <v>243.051947368421</v>
      </c>
      <c r="K28" s="1710" t="n">
        <f aca="false">SUM(E28:J28)</f>
        <v>2311.23908039369</v>
      </c>
      <c r="M28" s="1707" t="n">
        <f aca="false">-HLOOKUP($C28,CF_Table,CF!$AB$36)</f>
        <v>312.5</v>
      </c>
      <c r="N28" s="1712" t="n">
        <f aca="false">-HLOOKUP($C28,CF_Table,CF!$AB$37)</f>
        <v>110</v>
      </c>
      <c r="O28" s="1712" t="n">
        <f aca="false">Tot_Equity*HLOOKUP($C28,CF_Table,CF!$AB$12)/CF!$Z$12</f>
        <v>4620.42673219514</v>
      </c>
      <c r="P28" s="1712" t="n">
        <f aca="false">P$8*O28</f>
        <v>693.064009829271</v>
      </c>
      <c r="Q28" s="1712" t="n">
        <f aca="false">Q$8*P28</f>
        <v>341.359885438298</v>
      </c>
      <c r="R28" s="1708" t="n">
        <f aca="false">-'US$ Table'!K28</f>
        <v>-5684.33077938356</v>
      </c>
      <c r="S28" s="1710" t="n">
        <f aca="false">SUM(M28:R28)</f>
        <v>393.019848079152</v>
      </c>
      <c r="U28" s="1777" t="n">
        <f aca="false">SUM(K28,S28)</f>
        <v>2704.25892847284</v>
      </c>
      <c r="V28" s="109" t="n">
        <f aca="false">U28*V$6</f>
        <v>2880.03575882358</v>
      </c>
      <c r="W28" s="109" t="n">
        <f aca="false">V28*(1+W$6)</f>
        <v>2958.43426689633</v>
      </c>
      <c r="X28" s="1713" t="n">
        <f aca="false">'US$ Table'!AC28</f>
        <v>8</v>
      </c>
      <c r="Y28" s="1714" t="n">
        <f aca="false">'US$ Table'!AD28</f>
        <v>12</v>
      </c>
      <c r="Z28" s="109" t="n">
        <f aca="false">W28*X28/Y28</f>
        <v>1972.28951126422</v>
      </c>
      <c r="AA28" s="497" t="n">
        <f aca="false">'US$ Table'!AF28</f>
        <v>480</v>
      </c>
      <c r="AB28" s="1715"/>
    </row>
    <row r="29" customFormat="false" ht="12.75" hidden="false" customHeight="false" outlineLevel="0" collapsed="false">
      <c r="B29" s="1531" t="n">
        <f aca="false">'US$ Table'!B29</f>
        <v>11</v>
      </c>
      <c r="C29" s="1533" t="n">
        <f aca="false">'US$ Table'!C29</f>
        <v>2010</v>
      </c>
      <c r="E29" s="1707" t="n">
        <f aca="false">VLOOKUP($C29,OM_Table_R,'R$ Table'!E$78)</f>
        <v>734.421516586152</v>
      </c>
      <c r="F29" s="1712" t="n">
        <f aca="false">VLOOKUP($C29,OM_Table_R,'R$ Table'!F$78)</f>
        <v>302.808018256166</v>
      </c>
      <c r="G29" s="1712" t="n">
        <f aca="false">VLOOKUP($C29,OM_Table_R,'R$ Table'!G$78)</f>
        <v>363.618038299672</v>
      </c>
      <c r="H29" s="1712" t="n">
        <f aca="false">VLOOKUP($C29,OM_Table_R,'R$ Table'!H$78)</f>
        <v>140.389371051743</v>
      </c>
      <c r="I29" s="1712" t="n">
        <f aca="false">VLOOKUP($C29,OM_Table_R,'R$ Table'!I$78)</f>
        <v>475.900958104648</v>
      </c>
      <c r="J29" s="1708" t="n">
        <f aca="false">VLOOKUP($C29,OM_Table_R,'R$ Table'!J$78)</f>
        <v>243.051947368421</v>
      </c>
      <c r="K29" s="1710" t="n">
        <f aca="false">SUM(E29:J29)</f>
        <v>2260.1898496668</v>
      </c>
      <c r="M29" s="1707" t="n">
        <f aca="false">-HLOOKUP($C29,CF_Table,CF!$AB$36)</f>
        <v>312.5</v>
      </c>
      <c r="N29" s="1712" t="n">
        <f aca="false">-HLOOKUP($C29,CF_Table,CF!$AB$37)</f>
        <v>110</v>
      </c>
      <c r="O29" s="1712" t="n">
        <f aca="false">Tot_Equity*HLOOKUP($C29,CF_Table,CF!$AB$12)/CF!$Z$12</f>
        <v>4620.42673219514</v>
      </c>
      <c r="P29" s="1712" t="n">
        <f aca="false">P$8*O29</f>
        <v>693.064009829271</v>
      </c>
      <c r="Q29" s="1712" t="n">
        <f aca="false">Q$8*P29</f>
        <v>341.359885438298</v>
      </c>
      <c r="R29" s="1708" t="n">
        <f aca="false">-'US$ Table'!K29</f>
        <v>-5397.66778527085</v>
      </c>
      <c r="S29" s="1710" t="n">
        <f aca="false">SUM(M29:R29)</f>
        <v>679.682842191863</v>
      </c>
      <c r="U29" s="1777" t="n">
        <f aca="false">SUM(K29,S29)</f>
        <v>2939.87269185867</v>
      </c>
      <c r="V29" s="109" t="n">
        <f aca="false">U29*V$6</f>
        <v>3130.96441682948</v>
      </c>
      <c r="W29" s="109" t="n">
        <f aca="false">V29*(1+W$6)</f>
        <v>3216.19354579299</v>
      </c>
      <c r="X29" s="1713" t="n">
        <f aca="false">'US$ Table'!AC29</f>
        <v>4</v>
      </c>
      <c r="Y29" s="1714" t="n">
        <f aca="false">'US$ Table'!AD29</f>
        <v>12</v>
      </c>
      <c r="Z29" s="109" t="n">
        <f aca="false">W29*X29/Y29</f>
        <v>1072.06451526433</v>
      </c>
      <c r="AA29" s="497" t="n">
        <f aca="false">'US$ Table'!AF29</f>
        <v>480</v>
      </c>
      <c r="AB29" s="1715" t="n">
        <f aca="false">SUM(Z28:Z29)/AA29/SUM(X28:X29)*1000</f>
        <v>528.533685161207</v>
      </c>
    </row>
    <row r="30" customFormat="false" ht="12.75" hidden="false" customHeight="false" outlineLevel="0" collapsed="false">
      <c r="B30" s="1531" t="n">
        <f aca="false">'US$ Table'!B30</f>
        <v>12</v>
      </c>
      <c r="C30" s="1533" t="n">
        <f aca="false">'US$ Table'!C30</f>
        <v>2010</v>
      </c>
      <c r="E30" s="1707" t="n">
        <f aca="false">VLOOKUP($C30,OM_Table_R,'R$ Table'!E$78)</f>
        <v>734.421516586152</v>
      </c>
      <c r="F30" s="1712" t="n">
        <f aca="false">VLOOKUP($C30,OM_Table_R,'R$ Table'!F$78)</f>
        <v>302.808018256166</v>
      </c>
      <c r="G30" s="1712" t="n">
        <f aca="false">VLOOKUP($C30,OM_Table_R,'R$ Table'!G$78)</f>
        <v>363.618038299672</v>
      </c>
      <c r="H30" s="1712" t="n">
        <f aca="false">VLOOKUP($C30,OM_Table_R,'R$ Table'!H$78)</f>
        <v>140.389371051743</v>
      </c>
      <c r="I30" s="1712" t="n">
        <f aca="false">VLOOKUP($C30,OM_Table_R,'R$ Table'!I$78)</f>
        <v>475.900958104648</v>
      </c>
      <c r="J30" s="1708" t="n">
        <f aca="false">VLOOKUP($C30,OM_Table_R,'R$ Table'!J$78)</f>
        <v>243.051947368421</v>
      </c>
      <c r="K30" s="1710" t="n">
        <f aca="false">SUM(E30:J30)</f>
        <v>2260.1898496668</v>
      </c>
      <c r="M30" s="1707" t="n">
        <f aca="false">-HLOOKUP($C30,CF_Table,CF!$AB$36)</f>
        <v>312.5</v>
      </c>
      <c r="N30" s="1712" t="n">
        <f aca="false">-HLOOKUP($C30,CF_Table,CF!$AB$37)</f>
        <v>110</v>
      </c>
      <c r="O30" s="1712" t="n">
        <f aca="false">Tot_Equity*HLOOKUP($C30,CF_Table,CF!$AB$12)/CF!$Z$12</f>
        <v>4620.42673219514</v>
      </c>
      <c r="P30" s="1712" t="n">
        <f aca="false">P$8*O30</f>
        <v>693.064009829271</v>
      </c>
      <c r="Q30" s="1712" t="n">
        <f aca="false">Q$8*P30</f>
        <v>341.359885438298</v>
      </c>
      <c r="R30" s="1708" t="n">
        <f aca="false">-'US$ Table'!K30</f>
        <v>-5397.66778527085</v>
      </c>
      <c r="S30" s="1710" t="n">
        <f aca="false">SUM(M30:R30)</f>
        <v>679.682842191863</v>
      </c>
      <c r="U30" s="1777" t="n">
        <f aca="false">SUM(K30,S30)</f>
        <v>2939.87269185867</v>
      </c>
      <c r="V30" s="109" t="n">
        <f aca="false">U30*V$6</f>
        <v>3130.96441682948</v>
      </c>
      <c r="W30" s="109" t="n">
        <f aca="false">V30*(1+W$6)</f>
        <v>3216.19354579299</v>
      </c>
      <c r="X30" s="1713" t="n">
        <f aca="false">'US$ Table'!AC30</f>
        <v>8</v>
      </c>
      <c r="Y30" s="1714" t="n">
        <f aca="false">'US$ Table'!AD30</f>
        <v>12</v>
      </c>
      <c r="Z30" s="109" t="n">
        <f aca="false">W30*X30/Y30</f>
        <v>2144.12903052866</v>
      </c>
      <c r="AA30" s="497" t="n">
        <f aca="false">'US$ Table'!AF30</f>
        <v>480</v>
      </c>
      <c r="AB30" s="1715"/>
    </row>
    <row r="31" customFormat="false" ht="12.75" hidden="false" customHeight="false" outlineLevel="0" collapsed="false">
      <c r="B31" s="1531" t="n">
        <f aca="false">'US$ Table'!B31</f>
        <v>12</v>
      </c>
      <c r="C31" s="1533" t="n">
        <f aca="false">'US$ Table'!C31</f>
        <v>2011</v>
      </c>
      <c r="E31" s="1707" t="n">
        <f aca="false">VLOOKUP($C31,OM_Table_R,'R$ Table'!E$78)</f>
        <v>717.03248212473</v>
      </c>
      <c r="F31" s="1712" t="n">
        <f aca="false">VLOOKUP($C31,OM_Table_R,'R$ Table'!F$78)</f>
        <v>295.63837664609</v>
      </c>
      <c r="G31" s="1712" t="n">
        <f aca="false">VLOOKUP($C31,OM_Table_R,'R$ Table'!G$78)</f>
        <v>355.008586566587</v>
      </c>
      <c r="H31" s="1712" t="n">
        <f aca="false">VLOOKUP($C31,OM_Table_R,'R$ Table'!H$78)</f>
        <v>137.065345875324</v>
      </c>
      <c r="I31" s="1712" t="n">
        <f aca="false">VLOOKUP($C31,OM_Table_R,'R$ Table'!I$78)</f>
        <v>464.63296285422</v>
      </c>
      <c r="J31" s="1708" t="n">
        <f aca="false">VLOOKUP($C31,OM_Table_R,'R$ Table'!J$78)</f>
        <v>243.051947368421</v>
      </c>
      <c r="K31" s="1710" t="n">
        <f aca="false">SUM(E31:J31)</f>
        <v>2212.42970143537</v>
      </c>
      <c r="M31" s="1707" t="n">
        <f aca="false">-HLOOKUP($C31,CF_Table,CF!$AB$36)</f>
        <v>312.5</v>
      </c>
      <c r="N31" s="1712" t="n">
        <f aca="false">-HLOOKUP($C31,CF_Table,CF!$AB$37)</f>
        <v>110</v>
      </c>
      <c r="O31" s="1712" t="n">
        <f aca="false">Tot_Equity*HLOOKUP($C31,CF_Table,CF!$AB$12)/CF!$Z$12</f>
        <v>4620.42673219514</v>
      </c>
      <c r="P31" s="1712" t="n">
        <f aca="false">P$8*O31</f>
        <v>693.064009829271</v>
      </c>
      <c r="Q31" s="1712" t="n">
        <f aca="false">Q$8*P31</f>
        <v>341.359885438298</v>
      </c>
      <c r="R31" s="1708" t="n">
        <f aca="false">-'US$ Table'!K31</f>
        <v>-5256.04575960326</v>
      </c>
      <c r="S31" s="1710" t="n">
        <f aca="false">SUM(M31:R31)</f>
        <v>821.304867859451</v>
      </c>
      <c r="U31" s="1777" t="n">
        <f aca="false">SUM(K31,S31)</f>
        <v>3033.73456929482</v>
      </c>
      <c r="V31" s="109" t="n">
        <f aca="false">U31*V$6</f>
        <v>3230.92731629899</v>
      </c>
      <c r="W31" s="109" t="n">
        <f aca="false">V31*(1+W$6)</f>
        <v>3318.87757195582</v>
      </c>
      <c r="X31" s="1713" t="n">
        <f aca="false">'US$ Table'!AC31</f>
        <v>4</v>
      </c>
      <c r="Y31" s="1714" t="n">
        <f aca="false">'US$ Table'!AD31</f>
        <v>12</v>
      </c>
      <c r="Z31" s="109" t="n">
        <f aca="false">W31*X31/Y31</f>
        <v>1106.29252398527</v>
      </c>
      <c r="AA31" s="497" t="n">
        <f aca="false">'US$ Table'!AF31</f>
        <v>480</v>
      </c>
      <c r="AB31" s="1715" t="n">
        <f aca="false">SUM(Z30:Z31)/AA31/SUM(X30:X31)*1000</f>
        <v>564.309297658669</v>
      </c>
    </row>
    <row r="32" customFormat="false" ht="12.75" hidden="false" customHeight="false" outlineLevel="0" collapsed="false">
      <c r="B32" s="1531" t="n">
        <f aca="false">'US$ Table'!B32</f>
        <v>13</v>
      </c>
      <c r="C32" s="1533" t="n">
        <f aca="false">'US$ Table'!C32</f>
        <v>2011</v>
      </c>
      <c r="E32" s="1707" t="n">
        <f aca="false">VLOOKUP($C32,OM_Table_R,'R$ Table'!E$78)</f>
        <v>717.03248212473</v>
      </c>
      <c r="F32" s="1712" t="n">
        <f aca="false">VLOOKUP($C32,OM_Table_R,'R$ Table'!F$78)</f>
        <v>295.63837664609</v>
      </c>
      <c r="G32" s="1712" t="n">
        <f aca="false">VLOOKUP($C32,OM_Table_R,'R$ Table'!G$78)</f>
        <v>355.008586566587</v>
      </c>
      <c r="H32" s="1712" t="n">
        <f aca="false">VLOOKUP($C32,OM_Table_R,'R$ Table'!H$78)</f>
        <v>137.065345875324</v>
      </c>
      <c r="I32" s="1712" t="n">
        <f aca="false">VLOOKUP($C32,OM_Table_R,'R$ Table'!I$78)</f>
        <v>464.63296285422</v>
      </c>
      <c r="J32" s="1708" t="n">
        <f aca="false">VLOOKUP($C32,OM_Table_R,'R$ Table'!J$78)</f>
        <v>243.051947368421</v>
      </c>
      <c r="K32" s="1710" t="n">
        <f aca="false">SUM(E32:J32)</f>
        <v>2212.42970143537</v>
      </c>
      <c r="M32" s="1707" t="n">
        <f aca="false">-HLOOKUP($C32,CF_Table,CF!$AB$36)</f>
        <v>312.5</v>
      </c>
      <c r="N32" s="1712" t="n">
        <f aca="false">-HLOOKUP($C32,CF_Table,CF!$AB$37)</f>
        <v>110</v>
      </c>
      <c r="O32" s="1712" t="n">
        <f aca="false">Tot_Equity*HLOOKUP($C32,CF_Table,CF!$AB$12)/CF!$Z$12</f>
        <v>4620.42673219514</v>
      </c>
      <c r="P32" s="1712" t="n">
        <f aca="false">P$8*O32</f>
        <v>693.064009829271</v>
      </c>
      <c r="Q32" s="1712" t="n">
        <f aca="false">Q$8*P32</f>
        <v>341.359885438298</v>
      </c>
      <c r="R32" s="1708" t="n">
        <f aca="false">-'US$ Table'!K32</f>
        <v>-5256.04575960326</v>
      </c>
      <c r="S32" s="1710" t="n">
        <f aca="false">SUM(M32:R32)</f>
        <v>821.304867859451</v>
      </c>
      <c r="U32" s="1777" t="n">
        <f aca="false">SUM(K32,S32)</f>
        <v>3033.73456929482</v>
      </c>
      <c r="V32" s="109" t="n">
        <f aca="false">U32*V$6</f>
        <v>3230.92731629899</v>
      </c>
      <c r="W32" s="109" t="n">
        <f aca="false">V32*(1+W$6)</f>
        <v>3318.87757195582</v>
      </c>
      <c r="X32" s="1713" t="n">
        <f aca="false">'US$ Table'!AC32</f>
        <v>8</v>
      </c>
      <c r="Y32" s="1714" t="n">
        <f aca="false">'US$ Table'!AD32</f>
        <v>12</v>
      </c>
      <c r="Z32" s="109" t="n">
        <f aca="false">W32*X32/Y32</f>
        <v>2212.58504797054</v>
      </c>
      <c r="AA32" s="497" t="n">
        <f aca="false">'US$ Table'!AF32</f>
        <v>480</v>
      </c>
      <c r="AB32" s="1715"/>
    </row>
    <row r="33" customFormat="false" ht="12.75" hidden="false" customHeight="false" outlineLevel="0" collapsed="false">
      <c r="B33" s="1531" t="n">
        <f aca="false">'US$ Table'!B33</f>
        <v>13</v>
      </c>
      <c r="C33" s="1533" t="n">
        <f aca="false">'US$ Table'!C33</f>
        <v>2012</v>
      </c>
      <c r="E33" s="1707" t="n">
        <f aca="false">VLOOKUP($C33,OM_Table_R,'R$ Table'!E$78)</f>
        <v>701.45520650566</v>
      </c>
      <c r="F33" s="1712" t="n">
        <f aca="false">VLOOKUP($C33,OM_Table_R,'R$ Table'!F$78)</f>
        <v>289.21573807476</v>
      </c>
      <c r="G33" s="1712" t="n">
        <f aca="false">VLOOKUP($C33,OM_Table_R,'R$ Table'!G$78)</f>
        <v>347.296151303267</v>
      </c>
      <c r="H33" s="1712" t="n">
        <f aca="false">VLOOKUP($C33,OM_Table_R,'R$ Table'!H$78)</f>
        <v>134.087649991595</v>
      </c>
      <c r="I33" s="1712" t="n">
        <f aca="false">VLOOKUP($C33,OM_Table_R,'R$ Table'!I$78)</f>
        <v>454.538977010456</v>
      </c>
      <c r="J33" s="1708" t="n">
        <f aca="false">VLOOKUP($C33,OM_Table_R,'R$ Table'!J$78)</f>
        <v>243.051947368421</v>
      </c>
      <c r="K33" s="1710" t="n">
        <f aca="false">SUM(E33:J33)</f>
        <v>2169.64567025416</v>
      </c>
      <c r="M33" s="1707" t="n">
        <f aca="false">-HLOOKUP($C33,CF_Table,CF!$AB$36)</f>
        <v>312.5</v>
      </c>
      <c r="N33" s="1712" t="n">
        <f aca="false">-HLOOKUP($C33,CF_Table,CF!$AB$37)</f>
        <v>110</v>
      </c>
      <c r="O33" s="1712" t="n">
        <f aca="false">Tot_Equity*HLOOKUP($C33,CF_Table,CF!$AB$12)/CF!$Z$12</f>
        <v>4620.42673219514</v>
      </c>
      <c r="P33" s="1712" t="n">
        <f aca="false">P$8*O33</f>
        <v>693.064009829271</v>
      </c>
      <c r="Q33" s="1712" t="n">
        <f aca="false">Q$8*P33</f>
        <v>341.359885438298</v>
      </c>
      <c r="R33" s="1708" t="n">
        <f aca="false">-'US$ Table'!K33</f>
        <v>-5090.47021799696</v>
      </c>
      <c r="S33" s="1710" t="n">
        <f aca="false">SUM(M33:R33)</f>
        <v>986.880409465753</v>
      </c>
      <c r="U33" s="1777" t="n">
        <f aca="false">SUM(K33,S33)</f>
        <v>3156.52607971991</v>
      </c>
      <c r="V33" s="109" t="n">
        <f aca="false">U33*V$6</f>
        <v>3361.70027490171</v>
      </c>
      <c r="W33" s="109" t="n">
        <f aca="false">V33*(1+W$6)</f>
        <v>3453.21034915429</v>
      </c>
      <c r="X33" s="1713" t="n">
        <f aca="false">'US$ Table'!AC33</f>
        <v>4</v>
      </c>
      <c r="Y33" s="1714" t="n">
        <f aca="false">'US$ Table'!AD33</f>
        <v>12</v>
      </c>
      <c r="Z33" s="109" t="n">
        <f aca="false">W33*X33/Y33</f>
        <v>1151.07011638476</v>
      </c>
      <c r="AA33" s="497" t="n">
        <f aca="false">'US$ Table'!AF33</f>
        <v>480</v>
      </c>
      <c r="AB33" s="1715" t="n">
        <f aca="false">SUM(Z32:Z33)/AA33/SUM(X32:X33)*1000</f>
        <v>583.967910478352</v>
      </c>
    </row>
    <row r="34" customFormat="false" ht="12.75" hidden="false" customHeight="false" outlineLevel="0" collapsed="false">
      <c r="B34" s="1531" t="n">
        <f aca="false">'US$ Table'!B34</f>
        <v>14</v>
      </c>
      <c r="C34" s="1533" t="n">
        <f aca="false">'US$ Table'!C34</f>
        <v>2012</v>
      </c>
      <c r="E34" s="1707" t="n">
        <f aca="false">VLOOKUP($C34,OM_Table_R,'R$ Table'!E$78)</f>
        <v>701.45520650566</v>
      </c>
      <c r="F34" s="1712" t="n">
        <f aca="false">VLOOKUP($C34,OM_Table_R,'R$ Table'!F$78)</f>
        <v>289.21573807476</v>
      </c>
      <c r="G34" s="1712" t="n">
        <f aca="false">VLOOKUP($C34,OM_Table_R,'R$ Table'!G$78)</f>
        <v>347.296151303267</v>
      </c>
      <c r="H34" s="1712" t="n">
        <f aca="false">VLOOKUP($C34,OM_Table_R,'R$ Table'!H$78)</f>
        <v>134.087649991595</v>
      </c>
      <c r="I34" s="1712" t="n">
        <f aca="false">VLOOKUP($C34,OM_Table_R,'R$ Table'!I$78)</f>
        <v>454.538977010456</v>
      </c>
      <c r="J34" s="1708" t="n">
        <f aca="false">VLOOKUP($C34,OM_Table_R,'R$ Table'!J$78)</f>
        <v>243.051947368421</v>
      </c>
      <c r="K34" s="1710" t="n">
        <f aca="false">SUM(E34:J34)</f>
        <v>2169.64567025416</v>
      </c>
      <c r="M34" s="1707" t="n">
        <f aca="false">-HLOOKUP($C34,CF_Table,CF!$AB$36)</f>
        <v>312.5</v>
      </c>
      <c r="N34" s="1712" t="n">
        <f aca="false">-HLOOKUP($C34,CF_Table,CF!$AB$37)</f>
        <v>110</v>
      </c>
      <c r="O34" s="1712" t="n">
        <f aca="false">Tot_Equity*HLOOKUP($C34,CF_Table,CF!$AB$12)/CF!$Z$12</f>
        <v>4620.42673219514</v>
      </c>
      <c r="P34" s="1712" t="n">
        <f aca="false">P$8*O34</f>
        <v>693.064009829271</v>
      </c>
      <c r="Q34" s="1712" t="n">
        <f aca="false">Q$8*P34</f>
        <v>341.359885438298</v>
      </c>
      <c r="R34" s="1708" t="n">
        <f aca="false">-'US$ Table'!K34</f>
        <v>-5090.47021799696</v>
      </c>
      <c r="S34" s="1710" t="n">
        <f aca="false">SUM(M34:R34)</f>
        <v>986.880409465753</v>
      </c>
      <c r="U34" s="1777" t="n">
        <f aca="false">SUM(K34,S34)</f>
        <v>3156.52607971991</v>
      </c>
      <c r="V34" s="109" t="n">
        <f aca="false">U34*V$6</f>
        <v>3361.70027490171</v>
      </c>
      <c r="W34" s="109" t="n">
        <f aca="false">V34*(1+W$6)</f>
        <v>3453.21034915429</v>
      </c>
      <c r="X34" s="1713" t="n">
        <f aca="false">'US$ Table'!AC34</f>
        <v>8</v>
      </c>
      <c r="Y34" s="1714" t="n">
        <f aca="false">'US$ Table'!AD34</f>
        <v>12</v>
      </c>
      <c r="Z34" s="109" t="n">
        <f aca="false">W34*X34/Y34</f>
        <v>2302.14023276953</v>
      </c>
      <c r="AA34" s="497" t="n">
        <f aca="false">'US$ Table'!AF34</f>
        <v>480</v>
      </c>
      <c r="AB34" s="1715"/>
    </row>
    <row r="35" customFormat="false" ht="12.75" hidden="false" customHeight="false" outlineLevel="0" collapsed="false">
      <c r="B35" s="1531" t="n">
        <f aca="false">'US$ Table'!B35</f>
        <v>14</v>
      </c>
      <c r="C35" s="1533" t="n">
        <f aca="false">'US$ Table'!C35</f>
        <v>2013</v>
      </c>
      <c r="E35" s="1707" t="n">
        <f aca="false">VLOOKUP($C35,OM_Table_R,'R$ Table'!E$78)</f>
        <v>687.391868885363</v>
      </c>
      <c r="F35" s="1712" t="n">
        <f aca="false">VLOOKUP($C35,OM_Table_R,'R$ Table'!F$78)</f>
        <v>283.417308564327</v>
      </c>
      <c r="G35" s="1712" t="n">
        <f aca="false">VLOOKUP($C35,OM_Table_R,'R$ Table'!G$78)</f>
        <v>340.333278999078</v>
      </c>
      <c r="H35" s="1712" t="n">
        <f aca="false">VLOOKUP($C35,OM_Table_R,'R$ Table'!H$78)</f>
        <v>131.39935304112</v>
      </c>
      <c r="I35" s="1712" t="n">
        <f aca="false">VLOOKUP($C35,OM_Table_R,'R$ Table'!I$78)</f>
        <v>445.426014363666</v>
      </c>
      <c r="J35" s="1708" t="n">
        <f aca="false">VLOOKUP($C35,OM_Table_R,'R$ Table'!J$78)</f>
        <v>243.051947368421</v>
      </c>
      <c r="K35" s="1710" t="n">
        <f aca="false">SUM(E35:J35)</f>
        <v>2131.01977122197</v>
      </c>
      <c r="M35" s="1707" t="n">
        <f aca="false">-HLOOKUP($C35,CF_Table,CF!$AB$36)</f>
        <v>312.5</v>
      </c>
      <c r="N35" s="1712" t="n">
        <f aca="false">-HLOOKUP($C35,CF_Table,CF!$AB$37)</f>
        <v>110</v>
      </c>
      <c r="O35" s="1712" t="n">
        <f aca="false">Tot_Equity*HLOOKUP($C35,CF_Table,CF!$AB$12)/CF!$Z$12</f>
        <v>4620.42673219514</v>
      </c>
      <c r="P35" s="1712" t="n">
        <f aca="false">P$8*O35</f>
        <v>693.064009829271</v>
      </c>
      <c r="Q35" s="1712" t="n">
        <f aca="false">Q$8*P35</f>
        <v>341.359885438298</v>
      </c>
      <c r="R35" s="1708" t="n">
        <f aca="false">-'US$ Table'!K35</f>
        <v>-4771.86920263263</v>
      </c>
      <c r="S35" s="1710" t="n">
        <f aca="false">SUM(M35:R35)</f>
        <v>1305.48142483008</v>
      </c>
      <c r="U35" s="1777" t="n">
        <f aca="false">SUM(K35,S35)</f>
        <v>3436.50119605205</v>
      </c>
      <c r="V35" s="109" t="n">
        <f aca="false">U35*V$6</f>
        <v>3659.87377379544</v>
      </c>
      <c r="W35" s="109" t="n">
        <f aca="false">V35*(1+W$6)</f>
        <v>3759.50053805386</v>
      </c>
      <c r="X35" s="1713" t="n">
        <f aca="false">'US$ Table'!AC35</f>
        <v>4</v>
      </c>
      <c r="Y35" s="1714" t="n">
        <f aca="false">'US$ Table'!AD35</f>
        <v>12</v>
      </c>
      <c r="Z35" s="109" t="n">
        <f aca="false">W35*X35/Y35</f>
        <v>1253.16684601795</v>
      </c>
      <c r="AA35" s="497" t="n">
        <f aca="false">'US$ Table'!AF35</f>
        <v>480</v>
      </c>
      <c r="AB35" s="1715" t="n">
        <f aca="false">SUM(Z34:Z35)/AA35/SUM(X34:X35)*1000</f>
        <v>617.240812289494</v>
      </c>
    </row>
    <row r="36" customFormat="false" ht="12.75" hidden="false" customHeight="false" outlineLevel="0" collapsed="false">
      <c r="B36" s="1531" t="n">
        <f aca="false">'US$ Table'!B36</f>
        <v>15</v>
      </c>
      <c r="C36" s="1533" t="n">
        <f aca="false">'US$ Table'!C36</f>
        <v>2013</v>
      </c>
      <c r="E36" s="1707" t="n">
        <f aca="false">VLOOKUP($C36,OM_Table_R,'R$ Table'!E$78)</f>
        <v>687.391868885363</v>
      </c>
      <c r="F36" s="1712" t="n">
        <f aca="false">VLOOKUP($C36,OM_Table_R,'R$ Table'!F$78)</f>
        <v>283.417308564327</v>
      </c>
      <c r="G36" s="1712" t="n">
        <f aca="false">VLOOKUP($C36,OM_Table_R,'R$ Table'!G$78)</f>
        <v>340.333278999078</v>
      </c>
      <c r="H36" s="1712" t="n">
        <f aca="false">VLOOKUP($C36,OM_Table_R,'R$ Table'!H$78)</f>
        <v>131.39935304112</v>
      </c>
      <c r="I36" s="1712" t="n">
        <f aca="false">VLOOKUP($C36,OM_Table_R,'R$ Table'!I$78)</f>
        <v>445.426014363666</v>
      </c>
      <c r="J36" s="1708" t="n">
        <f aca="false">VLOOKUP($C36,OM_Table_R,'R$ Table'!J$78)</f>
        <v>243.051947368421</v>
      </c>
      <c r="K36" s="1710" t="n">
        <f aca="false">SUM(E36:J36)</f>
        <v>2131.01977122197</v>
      </c>
      <c r="M36" s="1707" t="n">
        <f aca="false">-HLOOKUP($C36,CF_Table,CF!$AB$36)</f>
        <v>312.5</v>
      </c>
      <c r="N36" s="1712" t="n">
        <f aca="false">-HLOOKUP($C36,CF_Table,CF!$AB$37)</f>
        <v>110</v>
      </c>
      <c r="O36" s="1712" t="n">
        <f aca="false">Tot_Equity*HLOOKUP($C36,CF_Table,CF!$AB$12)/CF!$Z$12</f>
        <v>4620.42673219514</v>
      </c>
      <c r="P36" s="1712" t="n">
        <f aca="false">P$8*O36</f>
        <v>693.064009829271</v>
      </c>
      <c r="Q36" s="1712" t="n">
        <f aca="false">Q$8*P36</f>
        <v>341.359885438298</v>
      </c>
      <c r="R36" s="1708" t="n">
        <f aca="false">-'US$ Table'!K36</f>
        <v>-4771.86920263263</v>
      </c>
      <c r="S36" s="1710" t="n">
        <f aca="false">SUM(M36:R36)</f>
        <v>1305.48142483008</v>
      </c>
      <c r="U36" s="1777" t="n">
        <f aca="false">SUM(K36,S36)</f>
        <v>3436.50119605205</v>
      </c>
      <c r="V36" s="109" t="n">
        <f aca="false">U36*V$6</f>
        <v>3659.87377379544</v>
      </c>
      <c r="W36" s="109" t="n">
        <f aca="false">V36*(1+W$6)</f>
        <v>3759.50053805386</v>
      </c>
      <c r="X36" s="1713" t="n">
        <f aca="false">'US$ Table'!AC36</f>
        <v>8</v>
      </c>
      <c r="Y36" s="1714" t="n">
        <f aca="false">'US$ Table'!AD36</f>
        <v>12</v>
      </c>
      <c r="Z36" s="109" t="n">
        <f aca="false">W36*X36/Y36</f>
        <v>2506.33369203591</v>
      </c>
      <c r="AA36" s="497" t="n">
        <f aca="false">'US$ Table'!AF36</f>
        <v>480</v>
      </c>
      <c r="AB36" s="1715"/>
    </row>
    <row r="37" customFormat="false" ht="12.75" hidden="false" customHeight="false" outlineLevel="0" collapsed="false">
      <c r="B37" s="1531" t="n">
        <f aca="false">'US$ Table'!B37</f>
        <v>15</v>
      </c>
      <c r="C37" s="1533" t="n">
        <f aca="false">'US$ Table'!C37</f>
        <v>2014</v>
      </c>
      <c r="E37" s="1707" t="n">
        <f aca="false">VLOOKUP($C37,OM_Table_R,'R$ Table'!E$78)</f>
        <v>673.871079895391</v>
      </c>
      <c r="F37" s="1712" t="n">
        <f aca="false">VLOOKUP($C37,OM_Table_R,'R$ Table'!F$78)</f>
        <v>277.842576306558</v>
      </c>
      <c r="G37" s="1712" t="n">
        <f aca="false">VLOOKUP($C37,OM_Table_R,'R$ Table'!G$78)</f>
        <v>333.639026913913</v>
      </c>
      <c r="H37" s="1712" t="n">
        <f aca="false">VLOOKUP($C37,OM_Table_R,'R$ Table'!H$78)</f>
        <v>128.814767732061</v>
      </c>
      <c r="I37" s="1712" t="n">
        <f aca="false">VLOOKUP($C37,OM_Table_R,'R$ Table'!I$78)</f>
        <v>436.664620137952</v>
      </c>
      <c r="J37" s="1708" t="n">
        <f aca="false">VLOOKUP($C37,OM_Table_R,'R$ Table'!J$78)</f>
        <v>243.051947368421</v>
      </c>
      <c r="K37" s="1710" t="n">
        <f aca="false">SUM(E37:J37)</f>
        <v>2093.8840183543</v>
      </c>
      <c r="M37" s="1707" t="n">
        <f aca="false">-HLOOKUP($C37,CF_Table,CF!$AB$36)</f>
        <v>312.5</v>
      </c>
      <c r="N37" s="1712" t="n">
        <f aca="false">-HLOOKUP($C37,CF_Table,CF!$AB$37)</f>
        <v>110</v>
      </c>
      <c r="O37" s="1712" t="n">
        <f aca="false">Tot_Equity*HLOOKUP($C37,CF_Table,CF!$AB$12)/CF!$Z$12</f>
        <v>4620.42673219514</v>
      </c>
      <c r="P37" s="1712" t="n">
        <f aca="false">P$8*O37</f>
        <v>693.064009829271</v>
      </c>
      <c r="Q37" s="1712" t="n">
        <f aca="false">Q$8*P37</f>
        <v>341.359885438298</v>
      </c>
      <c r="R37" s="1708" t="n">
        <f aca="false">-'US$ Table'!K37</f>
        <v>-4485.98419518826</v>
      </c>
      <c r="S37" s="1710" t="n">
        <f aca="false">SUM(M37:R37)</f>
        <v>1591.36643227445</v>
      </c>
      <c r="U37" s="1777" t="n">
        <f aca="false">SUM(K37,S37)</f>
        <v>3685.25045062875</v>
      </c>
      <c r="V37" s="109" t="n">
        <f aca="false">U37*V$6</f>
        <v>3924.79172991962</v>
      </c>
      <c r="W37" s="109" t="n">
        <f aca="false">V37*(1+W$6)</f>
        <v>4031.62992287583</v>
      </c>
      <c r="X37" s="1713" t="n">
        <f aca="false">'US$ Table'!AC37</f>
        <v>4</v>
      </c>
      <c r="Y37" s="1714" t="n">
        <f aca="false">'US$ Table'!AD37</f>
        <v>12</v>
      </c>
      <c r="Z37" s="109" t="n">
        <f aca="false">W37*X37/Y37</f>
        <v>1343.87664095861</v>
      </c>
      <c r="AA37" s="497" t="n">
        <f aca="false">'US$ Table'!AF37</f>
        <v>480</v>
      </c>
      <c r="AB37" s="1715" t="n">
        <f aca="false">SUM(Z36:Z37)/AA37/SUM(X36:X37)*1000</f>
        <v>668.439293922659</v>
      </c>
    </row>
    <row r="38" customFormat="false" ht="12.75" hidden="false" customHeight="false" outlineLevel="0" collapsed="false">
      <c r="B38" s="1531" t="n">
        <f aca="false">'US$ Table'!B38</f>
        <v>16</v>
      </c>
      <c r="C38" s="1533" t="n">
        <f aca="false">'US$ Table'!C38</f>
        <v>2014</v>
      </c>
      <c r="E38" s="1707" t="n">
        <f aca="false">VLOOKUP($C38,OM_Table_R,'R$ Table'!E$78)</f>
        <v>673.871079895391</v>
      </c>
      <c r="F38" s="1712" t="n">
        <f aca="false">VLOOKUP($C38,OM_Table_R,'R$ Table'!F$78)</f>
        <v>277.842576306558</v>
      </c>
      <c r="G38" s="1712" t="n">
        <f aca="false">VLOOKUP($C38,OM_Table_R,'R$ Table'!G$78)</f>
        <v>333.639026913913</v>
      </c>
      <c r="H38" s="1712" t="n">
        <f aca="false">VLOOKUP($C38,OM_Table_R,'R$ Table'!H$78)</f>
        <v>128.814767732061</v>
      </c>
      <c r="I38" s="1712" t="n">
        <f aca="false">VLOOKUP($C38,OM_Table_R,'R$ Table'!I$78)</f>
        <v>436.664620137952</v>
      </c>
      <c r="J38" s="1708" t="n">
        <f aca="false">VLOOKUP($C38,OM_Table_R,'R$ Table'!J$78)</f>
        <v>243.051947368421</v>
      </c>
      <c r="K38" s="1710" t="n">
        <f aca="false">SUM(E38:J38)</f>
        <v>2093.8840183543</v>
      </c>
      <c r="M38" s="1707" t="n">
        <f aca="false">-HLOOKUP($C38,CF_Table,CF!$AB$36)</f>
        <v>312.5</v>
      </c>
      <c r="N38" s="1712" t="n">
        <f aca="false">-HLOOKUP($C38,CF_Table,CF!$AB$37)</f>
        <v>110</v>
      </c>
      <c r="O38" s="1712" t="n">
        <f aca="false">Tot_Equity*HLOOKUP($C38,CF_Table,CF!$AB$12)/CF!$Z$12</f>
        <v>4620.42673219514</v>
      </c>
      <c r="P38" s="1712" t="n">
        <f aca="false">P$8*O38</f>
        <v>693.064009829271</v>
      </c>
      <c r="Q38" s="1712" t="n">
        <f aca="false">Q$8*P38</f>
        <v>341.359885438298</v>
      </c>
      <c r="R38" s="1708" t="n">
        <f aca="false">-'US$ Table'!K38</f>
        <v>-4485.98419518826</v>
      </c>
      <c r="S38" s="1710" t="n">
        <f aca="false">SUM(M38:R38)</f>
        <v>1591.36643227445</v>
      </c>
      <c r="U38" s="1777" t="n">
        <f aca="false">SUM(K38,S38)</f>
        <v>3685.25045062875</v>
      </c>
      <c r="V38" s="109" t="n">
        <f aca="false">U38*V$6</f>
        <v>3924.79172991962</v>
      </c>
      <c r="W38" s="109" t="n">
        <f aca="false">V38*(1+W$6)</f>
        <v>4031.62992287583</v>
      </c>
      <c r="X38" s="1713" t="n">
        <f aca="false">'US$ Table'!AC38</f>
        <v>8</v>
      </c>
      <c r="Y38" s="1714" t="n">
        <f aca="false">'US$ Table'!AD38</f>
        <v>12</v>
      </c>
      <c r="Z38" s="109" t="n">
        <f aca="false">W38*X38/Y38</f>
        <v>2687.75328191722</v>
      </c>
      <c r="AA38" s="497" t="n">
        <f aca="false">'US$ Table'!AF38</f>
        <v>480</v>
      </c>
      <c r="AB38" s="1715"/>
    </row>
    <row r="39" customFormat="false" ht="12.75" hidden="false" customHeight="false" outlineLevel="0" collapsed="false">
      <c r="B39" s="1531" t="n">
        <f aca="false">'US$ Table'!B39</f>
        <v>16</v>
      </c>
      <c r="C39" s="1533" t="n">
        <f aca="false">'US$ Table'!C39</f>
        <v>2015</v>
      </c>
      <c r="E39" s="1707" t="n">
        <f aca="false">VLOOKUP($C39,OM_Table_R,'R$ Table'!E$78)</f>
        <v>660.621710137334</v>
      </c>
      <c r="F39" s="1712" t="n">
        <f aca="false">VLOOKUP($C39,OM_Table_R,'R$ Table'!F$78)</f>
        <v>272.379752425485</v>
      </c>
      <c r="G39" s="1712" t="n">
        <f aca="false">VLOOKUP($C39,OM_Table_R,'R$ Table'!G$78)</f>
        <v>327.079156687716</v>
      </c>
      <c r="H39" s="1712" t="n">
        <f aca="false">VLOOKUP($C39,OM_Table_R,'R$ Table'!H$78)</f>
        <v>126.282065945474</v>
      </c>
      <c r="I39" s="1712" t="n">
        <f aca="false">VLOOKUP($C39,OM_Table_R,'R$ Table'!I$78)</f>
        <v>428.079104028004</v>
      </c>
      <c r="J39" s="1708" t="n">
        <f aca="false">VLOOKUP($C39,OM_Table_R,'R$ Table'!J$78)</f>
        <v>243.051947368421</v>
      </c>
      <c r="K39" s="1710" t="n">
        <f aca="false">SUM(E39:J39)</f>
        <v>2057.49373659243</v>
      </c>
      <c r="M39" s="1707" t="n">
        <f aca="false">-HLOOKUP($C39,CF_Table,CF!$AB$36)</f>
        <v>312.5</v>
      </c>
      <c r="N39" s="1712" t="n">
        <f aca="false">-HLOOKUP($C39,CF_Table,CF!$AB$37)</f>
        <v>110</v>
      </c>
      <c r="O39" s="1712" t="n">
        <f aca="false">Tot_Equity*HLOOKUP($C39,CF_Table,CF!$AB$12)/CF!$Z$12</f>
        <v>4620.42673219514</v>
      </c>
      <c r="P39" s="1712" t="n">
        <f aca="false">P$8*O39</f>
        <v>693.064009829271</v>
      </c>
      <c r="Q39" s="1712" t="n">
        <f aca="false">Q$8*P39</f>
        <v>341.359885438298</v>
      </c>
      <c r="R39" s="1708" t="n">
        <f aca="false">-'US$ Table'!K39</f>
        <v>-3898.56895248303</v>
      </c>
      <c r="S39" s="1710" t="n">
        <f aca="false">SUM(M39:R39)</f>
        <v>2178.78167497968</v>
      </c>
      <c r="U39" s="1777" t="n">
        <f aca="false">SUM(K39,S39)</f>
        <v>4236.27541157211</v>
      </c>
      <c r="V39" s="109" t="n">
        <f aca="false">U39*V$6</f>
        <v>4511.6333133243</v>
      </c>
      <c r="W39" s="109" t="n">
        <f aca="false">V39*(1+W$6)</f>
        <v>4634.44613592635</v>
      </c>
      <c r="X39" s="1713" t="n">
        <f aca="false">'US$ Table'!AC39</f>
        <v>4</v>
      </c>
      <c r="Y39" s="1714" t="n">
        <f aca="false">'US$ Table'!AD39</f>
        <v>12</v>
      </c>
      <c r="Z39" s="109" t="n">
        <f aca="false">W39*X39/Y39</f>
        <v>1544.81537864212</v>
      </c>
      <c r="AA39" s="497" t="n">
        <f aca="false">'US$ Table'!AF39</f>
        <v>480</v>
      </c>
      <c r="AB39" s="1715" t="n">
        <f aca="false">SUM(Z38:Z39)/AA39/SUM(X38:X39)*1000</f>
        <v>734.820948013773</v>
      </c>
    </row>
    <row r="40" customFormat="false" ht="12.75" hidden="false" customHeight="false" outlineLevel="0" collapsed="false">
      <c r="B40" s="1531" t="n">
        <f aca="false">'US$ Table'!B40</f>
        <v>17</v>
      </c>
      <c r="C40" s="1533" t="n">
        <f aca="false">'US$ Table'!C40</f>
        <v>2015</v>
      </c>
      <c r="E40" s="1707" t="n">
        <f aca="false">VLOOKUP($C40,OM_Table_R,'R$ Table'!E$78)</f>
        <v>660.621710137334</v>
      </c>
      <c r="F40" s="1712" t="n">
        <f aca="false">VLOOKUP($C40,OM_Table_R,'R$ Table'!F$78)</f>
        <v>272.379752425485</v>
      </c>
      <c r="G40" s="1712" t="n">
        <f aca="false">VLOOKUP($C40,OM_Table_R,'R$ Table'!G$78)</f>
        <v>327.079156687716</v>
      </c>
      <c r="H40" s="1712" t="n">
        <f aca="false">VLOOKUP($C40,OM_Table_R,'R$ Table'!H$78)</f>
        <v>126.282065945474</v>
      </c>
      <c r="I40" s="1712" t="n">
        <f aca="false">VLOOKUP($C40,OM_Table_R,'R$ Table'!I$78)</f>
        <v>428.079104028004</v>
      </c>
      <c r="J40" s="1708" t="n">
        <f aca="false">VLOOKUP($C40,OM_Table_R,'R$ Table'!J$78)</f>
        <v>243.051947368421</v>
      </c>
      <c r="K40" s="1710" t="n">
        <f aca="false">SUM(E40:J40)</f>
        <v>2057.49373659243</v>
      </c>
      <c r="M40" s="1707" t="n">
        <f aca="false">-HLOOKUP($C40,CF_Table,CF!$AB$36)</f>
        <v>312.5</v>
      </c>
      <c r="N40" s="1712" t="n">
        <f aca="false">-HLOOKUP($C40,CF_Table,CF!$AB$37)</f>
        <v>110</v>
      </c>
      <c r="O40" s="1712" t="n">
        <f aca="false">Tot_Equity*HLOOKUP($C40,CF_Table,CF!$AB$12)/CF!$Z$12</f>
        <v>4620.42673219514</v>
      </c>
      <c r="P40" s="1712" t="n">
        <f aca="false">P$8*O40</f>
        <v>693.064009829271</v>
      </c>
      <c r="Q40" s="1712" t="n">
        <f aca="false">Q$8*P40</f>
        <v>341.359885438298</v>
      </c>
      <c r="R40" s="1708" t="n">
        <f aca="false">-'US$ Table'!K40</f>
        <v>-3898.56895248303</v>
      </c>
      <c r="S40" s="1710" t="n">
        <f aca="false">SUM(M40:R40)</f>
        <v>2178.78167497968</v>
      </c>
      <c r="U40" s="1777" t="n">
        <f aca="false">SUM(K40,S40)</f>
        <v>4236.27541157211</v>
      </c>
      <c r="V40" s="109" t="n">
        <f aca="false">U40*V$6</f>
        <v>4511.6333133243</v>
      </c>
      <c r="W40" s="109" t="n">
        <f aca="false">V40*(1+W$6)</f>
        <v>4634.44613592635</v>
      </c>
      <c r="X40" s="1713" t="n">
        <f aca="false">'US$ Table'!AC40</f>
        <v>8</v>
      </c>
      <c r="Y40" s="1714" t="n">
        <f aca="false">'US$ Table'!AD40</f>
        <v>12</v>
      </c>
      <c r="Z40" s="109" t="n">
        <f aca="false">W40*X40/Y40</f>
        <v>3089.63075728423</v>
      </c>
      <c r="AA40" s="497" t="n">
        <f aca="false">'US$ Table'!AF40</f>
        <v>480</v>
      </c>
      <c r="AB40" s="1715"/>
    </row>
    <row r="41" customFormat="false" ht="12.75" hidden="false" customHeight="false" outlineLevel="0" collapsed="false">
      <c r="B41" s="1531" t="n">
        <f aca="false">'US$ Table'!B41</f>
        <v>17</v>
      </c>
      <c r="C41" s="1533" t="n">
        <f aca="false">'US$ Table'!C41</f>
        <v>2016</v>
      </c>
      <c r="E41" s="1707" t="n">
        <f aca="false">VLOOKUP($C41,OM_Table_R,'R$ Table'!E$78)</f>
        <v>647.67950284408</v>
      </c>
      <c r="F41" s="1712" t="n">
        <f aca="false">VLOOKUP($C41,OM_Table_R,'R$ Table'!F$78)</f>
        <v>267.043574149353</v>
      </c>
      <c r="G41" s="1712" t="n">
        <f aca="false">VLOOKUP($C41,OM_Table_R,'R$ Table'!G$78)</f>
        <v>320.671365084447</v>
      </c>
      <c r="H41" s="1712" t="n">
        <f aca="false">VLOOKUP($C41,OM_Table_R,'R$ Table'!H$78)</f>
        <v>123.808080228978</v>
      </c>
      <c r="I41" s="1712" t="n">
        <f aca="false">VLOOKUP($C41,OM_Table_R,'R$ Table'!I$78)</f>
        <v>419.692627445076</v>
      </c>
      <c r="J41" s="1708" t="n">
        <f aca="false">VLOOKUP($C41,OM_Table_R,'R$ Table'!J$78)</f>
        <v>243.051947368421</v>
      </c>
      <c r="K41" s="1710" t="n">
        <f aca="false">SUM(E41:J41)</f>
        <v>2021.94709712036</v>
      </c>
      <c r="M41" s="1707" t="n">
        <f aca="false">-HLOOKUP($C41,CF_Table,CF!$AB$36)</f>
        <v>312.5</v>
      </c>
      <c r="N41" s="1712" t="n">
        <f aca="false">-HLOOKUP($C41,CF_Table,CF!$AB$37)</f>
        <v>110</v>
      </c>
      <c r="O41" s="1712" t="n">
        <f aca="false">Tot_Equity*HLOOKUP($C41,CF_Table,CF!$AB$12)/CF!$Z$12</f>
        <v>4620.42673219514</v>
      </c>
      <c r="P41" s="1712" t="n">
        <f aca="false">P$8*O41</f>
        <v>693.064009829271</v>
      </c>
      <c r="Q41" s="1712" t="n">
        <f aca="false">Q$8*P41</f>
        <v>341.359885438298</v>
      </c>
      <c r="R41" s="1708" t="n">
        <f aca="false">-'US$ Table'!K41</f>
        <v>-0</v>
      </c>
      <c r="S41" s="1710" t="n">
        <f aca="false">SUM(M41:R41)</f>
        <v>6077.35062746271</v>
      </c>
      <c r="U41" s="1777" t="n">
        <f aca="false">SUM(K41,S41)</f>
        <v>8099.29772458307</v>
      </c>
      <c r="V41" s="109" t="n">
        <f aca="false">U41*V$6</f>
        <v>8625.75207668097</v>
      </c>
      <c r="W41" s="109" t="n">
        <f aca="false">V41*(1+W$6)</f>
        <v>8860.55683274881</v>
      </c>
      <c r="X41" s="1713" t="n">
        <f aca="false">'US$ Table'!AC41</f>
        <v>4</v>
      </c>
      <c r="Y41" s="1714" t="n">
        <f aca="false">'US$ Table'!AD41</f>
        <v>12</v>
      </c>
      <c r="Z41" s="109" t="n">
        <f aca="false">W41*X41/Y41</f>
        <v>2953.5189442496</v>
      </c>
      <c r="AA41" s="497" t="n">
        <f aca="false">'US$ Table'!AF41</f>
        <v>480</v>
      </c>
      <c r="AB41" s="1715" t="n">
        <f aca="false">SUM(Z40:Z41)/AA41/SUM(X40:X41)*1000</f>
        <v>1049.15793429407</v>
      </c>
    </row>
    <row r="42" customFormat="false" ht="12.75" hidden="false" customHeight="false" outlineLevel="0" collapsed="false">
      <c r="B42" s="1531" t="n">
        <f aca="false">'US$ Table'!B42</f>
        <v>18</v>
      </c>
      <c r="C42" s="1533" t="n">
        <f aca="false">'US$ Table'!C42</f>
        <v>2016</v>
      </c>
      <c r="E42" s="1707" t="n">
        <f aca="false">VLOOKUP($C42,OM_Table_R,'R$ Table'!E$78)</f>
        <v>647.67950284408</v>
      </c>
      <c r="F42" s="1712" t="n">
        <f aca="false">VLOOKUP($C42,OM_Table_R,'R$ Table'!F$78)</f>
        <v>267.043574149353</v>
      </c>
      <c r="G42" s="1712" t="n">
        <f aca="false">VLOOKUP($C42,OM_Table_R,'R$ Table'!G$78)</f>
        <v>320.671365084447</v>
      </c>
      <c r="H42" s="1712" t="n">
        <f aca="false">VLOOKUP($C42,OM_Table_R,'R$ Table'!H$78)</f>
        <v>123.808080228978</v>
      </c>
      <c r="I42" s="1712" t="n">
        <f aca="false">VLOOKUP($C42,OM_Table_R,'R$ Table'!I$78)</f>
        <v>419.692627445076</v>
      </c>
      <c r="J42" s="1708" t="n">
        <f aca="false">VLOOKUP($C42,OM_Table_R,'R$ Table'!J$78)</f>
        <v>243.051947368421</v>
      </c>
      <c r="K42" s="1710" t="n">
        <f aca="false">SUM(E42:J42)</f>
        <v>2021.94709712036</v>
      </c>
      <c r="M42" s="1707" t="n">
        <f aca="false">-HLOOKUP($C42,CF_Table,CF!$AB$36)</f>
        <v>312.5</v>
      </c>
      <c r="N42" s="1712" t="n">
        <f aca="false">-HLOOKUP($C42,CF_Table,CF!$AB$37)</f>
        <v>110</v>
      </c>
      <c r="O42" s="1712" t="n">
        <f aca="false">Tot_Equity*HLOOKUP($C42,CF_Table,CF!$AB$12)/CF!$Z$12</f>
        <v>4620.42673219514</v>
      </c>
      <c r="P42" s="1712" t="n">
        <f aca="false">P$8*O42</f>
        <v>693.064009829271</v>
      </c>
      <c r="Q42" s="1712" t="n">
        <f aca="false">Q$8*P42</f>
        <v>341.359885438298</v>
      </c>
      <c r="R42" s="1708" t="n">
        <f aca="false">-'US$ Table'!K42</f>
        <v>-0</v>
      </c>
      <c r="S42" s="1710" t="n">
        <f aca="false">SUM(M42:R42)</f>
        <v>6077.35062746271</v>
      </c>
      <c r="U42" s="1777" t="n">
        <f aca="false">SUM(K42,S42)</f>
        <v>8099.29772458307</v>
      </c>
      <c r="V42" s="109" t="n">
        <f aca="false">U42*V$6</f>
        <v>8625.75207668097</v>
      </c>
      <c r="W42" s="109" t="n">
        <f aca="false">V42*(1+W$6)</f>
        <v>8860.55683274881</v>
      </c>
      <c r="X42" s="1713" t="n">
        <f aca="false">'US$ Table'!AC42</f>
        <v>8</v>
      </c>
      <c r="Y42" s="1714" t="n">
        <f aca="false">'US$ Table'!AD42</f>
        <v>12</v>
      </c>
      <c r="Z42" s="109" t="n">
        <f aca="false">W42*X42/Y42</f>
        <v>5907.03788849921</v>
      </c>
      <c r="AA42" s="497" t="n">
        <f aca="false">'US$ Table'!AF42</f>
        <v>480</v>
      </c>
      <c r="AB42" s="1715"/>
    </row>
    <row r="43" customFormat="false" ht="12.75" hidden="false" customHeight="false" outlineLevel="0" collapsed="false">
      <c r="B43" s="1531" t="n">
        <f aca="false">'US$ Table'!B43</f>
        <v>18</v>
      </c>
      <c r="C43" s="1533" t="n">
        <f aca="false">'US$ Table'!C43</f>
        <v>2017</v>
      </c>
      <c r="E43" s="1707" t="n">
        <f aca="false">VLOOKUP($C43,OM_Table_R,'R$ Table'!E$78)</f>
        <v>634.985078398583</v>
      </c>
      <c r="F43" s="1712" t="n">
        <f aca="false">VLOOKUP($C43,OM_Table_R,'R$ Table'!F$78)</f>
        <v>261.80955877476</v>
      </c>
      <c r="G43" s="1712" t="n">
        <f aca="false">VLOOKUP($C43,OM_Table_R,'R$ Table'!G$78)</f>
        <v>314.386252775004</v>
      </c>
      <c r="H43" s="1712" t="n">
        <f aca="false">VLOOKUP($C43,OM_Table_R,'R$ Table'!H$78)</f>
        <v>121.381459788919</v>
      </c>
      <c r="I43" s="1712" t="n">
        <f aca="false">VLOOKUP($C43,OM_Table_R,'R$ Table'!I$78)</f>
        <v>411.466712735658</v>
      </c>
      <c r="J43" s="1708" t="n">
        <f aca="false">VLOOKUP($C43,OM_Table_R,'R$ Table'!J$78)</f>
        <v>243.051947368421</v>
      </c>
      <c r="K43" s="1710" t="n">
        <f aca="false">SUM(E43:J43)</f>
        <v>1987.08100984135</v>
      </c>
      <c r="M43" s="1707" t="n">
        <f aca="false">-HLOOKUP($C43,CF_Table,CF!$AB$36)</f>
        <v>312.5</v>
      </c>
      <c r="N43" s="1712" t="n">
        <f aca="false">-HLOOKUP($C43,CF_Table,CF!$AB$37)</f>
        <v>110</v>
      </c>
      <c r="O43" s="1712" t="n">
        <f aca="false">Tot_Equity*HLOOKUP($C43,CF_Table,CF!$AB$12)/CF!$Z$12</f>
        <v>4620.42673219514</v>
      </c>
      <c r="P43" s="1712" t="n">
        <f aca="false">P$8*O43</f>
        <v>693.064009829271</v>
      </c>
      <c r="Q43" s="1712" t="n">
        <f aca="false">Q$8*P43</f>
        <v>341.359885438298</v>
      </c>
      <c r="R43" s="1708" t="n">
        <f aca="false">-'US$ Table'!K43</f>
        <v>-0</v>
      </c>
      <c r="S43" s="1710" t="n">
        <f aca="false">SUM(M43:R43)</f>
        <v>6077.35062746271</v>
      </c>
      <c r="U43" s="1777" t="n">
        <f aca="false">SUM(K43,S43)</f>
        <v>8064.43163730406</v>
      </c>
      <c r="V43" s="109" t="n">
        <f aca="false">U43*V$6</f>
        <v>8588.61969372882</v>
      </c>
      <c r="W43" s="109" t="n">
        <f aca="false">V43*(1+W$6)</f>
        <v>8822.41365560228</v>
      </c>
      <c r="X43" s="1713" t="n">
        <f aca="false">'US$ Table'!AC43</f>
        <v>4</v>
      </c>
      <c r="Y43" s="1714" t="n">
        <f aca="false">'US$ Table'!AD43</f>
        <v>12</v>
      </c>
      <c r="Z43" s="109" t="n">
        <f aca="false">W43*X43/Y43</f>
        <v>2940.80455186743</v>
      </c>
      <c r="AA43" s="497" t="n">
        <f aca="false">'US$ Table'!AF43</f>
        <v>480</v>
      </c>
      <c r="AB43" s="1715" t="n">
        <f aca="false">SUM(Z42:Z43)/AA43/SUM(X42:X43)*1000</f>
        <v>1536.0837570081</v>
      </c>
    </row>
    <row r="44" customFormat="false" ht="12.75" hidden="false" customHeight="false" outlineLevel="0" collapsed="false">
      <c r="B44" s="1531" t="n">
        <f aca="false">'US$ Table'!B44</f>
        <v>19</v>
      </c>
      <c r="C44" s="1533" t="n">
        <f aca="false">'US$ Table'!C44</f>
        <v>2017</v>
      </c>
      <c r="E44" s="1707" t="n">
        <f aca="false">VLOOKUP($C44,OM_Table_R,'R$ Table'!E$78)</f>
        <v>634.985078398583</v>
      </c>
      <c r="F44" s="1712" t="n">
        <f aca="false">VLOOKUP($C44,OM_Table_R,'R$ Table'!F$78)</f>
        <v>261.80955877476</v>
      </c>
      <c r="G44" s="1712" t="n">
        <f aca="false">VLOOKUP($C44,OM_Table_R,'R$ Table'!G$78)</f>
        <v>314.386252775004</v>
      </c>
      <c r="H44" s="1712" t="n">
        <f aca="false">VLOOKUP($C44,OM_Table_R,'R$ Table'!H$78)</f>
        <v>121.381459788919</v>
      </c>
      <c r="I44" s="1712" t="n">
        <f aca="false">VLOOKUP($C44,OM_Table_R,'R$ Table'!I$78)</f>
        <v>411.466712735658</v>
      </c>
      <c r="J44" s="1708" t="n">
        <f aca="false">VLOOKUP($C44,OM_Table_R,'R$ Table'!J$78)</f>
        <v>243.051947368421</v>
      </c>
      <c r="K44" s="1710" t="n">
        <f aca="false">SUM(E44:J44)</f>
        <v>1987.08100984135</v>
      </c>
      <c r="M44" s="1707" t="n">
        <f aca="false">-HLOOKUP($C44,CF_Table,CF!$AB$36)</f>
        <v>312.5</v>
      </c>
      <c r="N44" s="1712" t="n">
        <f aca="false">-HLOOKUP($C44,CF_Table,CF!$AB$37)</f>
        <v>110</v>
      </c>
      <c r="O44" s="1712" t="n">
        <f aca="false">Tot_Equity*HLOOKUP($C44,CF_Table,CF!$AB$12)/CF!$Z$12</f>
        <v>4620.42673219514</v>
      </c>
      <c r="P44" s="1712" t="n">
        <f aca="false">P$8*O44</f>
        <v>693.064009829271</v>
      </c>
      <c r="Q44" s="1712" t="n">
        <f aca="false">Q$8*P44</f>
        <v>341.359885438298</v>
      </c>
      <c r="R44" s="1708" t="n">
        <f aca="false">-'US$ Table'!K44</f>
        <v>-0</v>
      </c>
      <c r="S44" s="1710" t="n">
        <f aca="false">SUM(M44:R44)</f>
        <v>6077.35062746271</v>
      </c>
      <c r="U44" s="1777" t="n">
        <f aca="false">SUM(K44,S44)</f>
        <v>8064.43163730406</v>
      </c>
      <c r="V44" s="109" t="n">
        <f aca="false">U44*V$6</f>
        <v>8588.61969372882</v>
      </c>
      <c r="W44" s="109" t="n">
        <f aca="false">V44*(1+W$6)</f>
        <v>8822.41365560228</v>
      </c>
      <c r="X44" s="1713" t="n">
        <f aca="false">'US$ Table'!AC44</f>
        <v>8</v>
      </c>
      <c r="Y44" s="1714" t="n">
        <f aca="false">'US$ Table'!AD44</f>
        <v>12</v>
      </c>
      <c r="Z44" s="109" t="n">
        <f aca="false">W44*X44/Y44</f>
        <v>5881.60910373485</v>
      </c>
      <c r="AA44" s="497" t="n">
        <f aca="false">'US$ Table'!AF44</f>
        <v>480</v>
      </c>
      <c r="AB44" s="1715"/>
    </row>
    <row r="45" customFormat="false" ht="12.75" hidden="false" customHeight="false" outlineLevel="0" collapsed="false">
      <c r="B45" s="1531" t="n">
        <f aca="false">'US$ Table'!B45</f>
        <v>19</v>
      </c>
      <c r="C45" s="1533" t="n">
        <f aca="false">'US$ Table'!C45</f>
        <v>2018</v>
      </c>
      <c r="E45" s="1707" t="n">
        <f aca="false">VLOOKUP($C45,OM_Table_R,'R$ Table'!E$78)</f>
        <v>622.54626421676</v>
      </c>
      <c r="F45" s="1712" t="n">
        <f aca="false">VLOOKUP($C45,OM_Table_R,'R$ Table'!F$78)</f>
        <v>256.680933609525</v>
      </c>
      <c r="G45" s="1712" t="n">
        <f aca="false">VLOOKUP($C45,OM_Table_R,'R$ Table'!G$78)</f>
        <v>308.227695176375</v>
      </c>
      <c r="H45" s="1712" t="n">
        <f aca="false">VLOOKUP($C45,OM_Table_R,'R$ Table'!H$78)</f>
        <v>119.003700885922</v>
      </c>
      <c r="I45" s="1712" t="n">
        <f aca="false">VLOOKUP($C45,OM_Table_R,'R$ Table'!I$78)</f>
        <v>403.406432020665</v>
      </c>
      <c r="J45" s="1708" t="n">
        <f aca="false">VLOOKUP($C45,OM_Table_R,'R$ Table'!J$78)</f>
        <v>64.4583</v>
      </c>
      <c r="K45" s="1710" t="n">
        <f aca="false">SUM(E45:J45)</f>
        <v>1774.32332590925</v>
      </c>
      <c r="M45" s="1707" t="n">
        <f aca="false">-HLOOKUP($C45,CF_Table,CF!$AB$36)</f>
        <v>312.5</v>
      </c>
      <c r="N45" s="1712" t="n">
        <f aca="false">-HLOOKUP($C45,CF_Table,CF!$AB$37)</f>
        <v>110</v>
      </c>
      <c r="O45" s="1712" t="n">
        <f aca="false">Tot_Equity*HLOOKUP($C45,CF_Table,CF!$AB$12)/CF!$Z$12</f>
        <v>4620.42673219514</v>
      </c>
      <c r="P45" s="1712" t="n">
        <f aca="false">P$8*O45</f>
        <v>693.064009829271</v>
      </c>
      <c r="Q45" s="1712" t="n">
        <f aca="false">Q$8*P45</f>
        <v>341.359885438298</v>
      </c>
      <c r="R45" s="1708" t="n">
        <f aca="false">-'US$ Table'!K45</f>
        <v>-0</v>
      </c>
      <c r="S45" s="1710" t="n">
        <f aca="false">SUM(M45:R45)</f>
        <v>6077.35062746271</v>
      </c>
      <c r="U45" s="1777" t="n">
        <f aca="false">SUM(K45,S45)</f>
        <v>7851.67395337196</v>
      </c>
      <c r="V45" s="109" t="n">
        <f aca="false">U45*V$6</f>
        <v>8362.03276034113</v>
      </c>
      <c r="W45" s="109" t="n">
        <f aca="false">V45*(1+W$6)</f>
        <v>8589.65871632371</v>
      </c>
      <c r="X45" s="1713" t="n">
        <f aca="false">'US$ Table'!AC45</f>
        <v>4</v>
      </c>
      <c r="Y45" s="1714" t="n">
        <f aca="false">'US$ Table'!AD45</f>
        <v>12</v>
      </c>
      <c r="Z45" s="109" t="n">
        <f aca="false">W45*X45/Y45</f>
        <v>2863.2195721079</v>
      </c>
      <c r="AA45" s="497" t="n">
        <f aca="false">'US$ Table'!AF45</f>
        <v>480</v>
      </c>
      <c r="AB45" s="1715" t="n">
        <f aca="false">SUM(Z44:Z45)/AA45/SUM(X44:X45)*1000</f>
        <v>1518.19942288937</v>
      </c>
    </row>
    <row r="46" customFormat="false" ht="12.75" hidden="false" customHeight="false" outlineLevel="0" collapsed="false">
      <c r="B46" s="1531" t="n">
        <f aca="false">'US$ Table'!B46</f>
        <v>20</v>
      </c>
      <c r="C46" s="1533" t="n">
        <f aca="false">'US$ Table'!C46</f>
        <v>2018</v>
      </c>
      <c r="E46" s="1707" t="n">
        <f aca="false">VLOOKUP($C46,OM_Table_R,'R$ Table'!E$78)</f>
        <v>622.54626421676</v>
      </c>
      <c r="F46" s="1712" t="n">
        <f aca="false">VLOOKUP($C46,OM_Table_R,'R$ Table'!F$78)</f>
        <v>256.680933609525</v>
      </c>
      <c r="G46" s="1712" t="n">
        <f aca="false">VLOOKUP($C46,OM_Table_R,'R$ Table'!G$78)</f>
        <v>308.227695176375</v>
      </c>
      <c r="H46" s="1712" t="n">
        <f aca="false">VLOOKUP($C46,OM_Table_R,'R$ Table'!H$78)</f>
        <v>119.003700885922</v>
      </c>
      <c r="I46" s="1712" t="n">
        <f aca="false">VLOOKUP($C46,OM_Table_R,'R$ Table'!I$78)</f>
        <v>403.406432020665</v>
      </c>
      <c r="J46" s="1708" t="n">
        <f aca="false">VLOOKUP($C46,OM_Table_R,'R$ Table'!J$78)</f>
        <v>64.4583</v>
      </c>
      <c r="K46" s="1710" t="n">
        <f aca="false">SUM(E46:J46)</f>
        <v>1774.32332590925</v>
      </c>
      <c r="M46" s="1707" t="n">
        <f aca="false">-HLOOKUP($C46,CF_Table,CF!$AB$36)</f>
        <v>312.5</v>
      </c>
      <c r="N46" s="1712" t="n">
        <f aca="false">-HLOOKUP($C46,CF_Table,CF!$AB$37)</f>
        <v>110</v>
      </c>
      <c r="O46" s="1712" t="n">
        <f aca="false">Tot_Equity*HLOOKUP($C46,CF_Table,CF!$AB$12)/CF!$Z$12</f>
        <v>4620.42673219514</v>
      </c>
      <c r="P46" s="1712" t="n">
        <f aca="false">P$8*O46</f>
        <v>693.064009829271</v>
      </c>
      <c r="Q46" s="1712" t="n">
        <f aca="false">Q$8*P46</f>
        <v>341.359885438298</v>
      </c>
      <c r="R46" s="1708" t="n">
        <f aca="false">-'US$ Table'!K46</f>
        <v>-0</v>
      </c>
      <c r="S46" s="1710" t="n">
        <f aca="false">SUM(M46:R46)</f>
        <v>6077.35062746271</v>
      </c>
      <c r="U46" s="1777" t="n">
        <f aca="false">SUM(K46,S46)</f>
        <v>7851.67395337196</v>
      </c>
      <c r="V46" s="109" t="n">
        <f aca="false">U46*V$6</f>
        <v>8362.03276034113</v>
      </c>
      <c r="W46" s="109" t="n">
        <f aca="false">V46*(1+W$6)</f>
        <v>8589.65871632371</v>
      </c>
      <c r="X46" s="1713" t="n">
        <f aca="false">'US$ Table'!AC46</f>
        <v>8</v>
      </c>
      <c r="Y46" s="1714" t="n">
        <f aca="false">'US$ Table'!AD46</f>
        <v>12</v>
      </c>
      <c r="Z46" s="109" t="n">
        <f aca="false">W46*X46/Y46</f>
        <v>5726.43914421581</v>
      </c>
      <c r="AA46" s="497" t="n">
        <f aca="false">'US$ Table'!AF46</f>
        <v>480</v>
      </c>
      <c r="AB46" s="1715"/>
    </row>
    <row r="47" customFormat="false" ht="12.75" hidden="false" customHeight="false" outlineLevel="0" collapsed="false">
      <c r="B47" s="1531" t="n">
        <f aca="false">'US$ Table'!B47</f>
        <v>20</v>
      </c>
      <c r="C47" s="1533" t="n">
        <f aca="false">'US$ Table'!C47</f>
        <v>2019</v>
      </c>
      <c r="E47" s="1707" t="n">
        <f aca="false">VLOOKUP($C47,OM_Table_R,'R$ Table'!E$78)</f>
        <v>203.451412983026</v>
      </c>
      <c r="F47" s="1712" t="n">
        <f aca="false">VLOOKUP($C47,OM_Table_R,'R$ Table'!F$78)</f>
        <v>83.8846871796138</v>
      </c>
      <c r="G47" s="1712" t="n">
        <f aca="false">VLOOKUP($C47,OM_Table_R,'R$ Table'!G$78)</f>
        <v>100.730441588998</v>
      </c>
      <c r="H47" s="1712" t="n">
        <f aca="false">VLOOKUP($C47,OM_Table_R,'R$ Table'!H$78)</f>
        <v>38.8910390875306</v>
      </c>
      <c r="I47" s="1712" t="n">
        <f aca="false">VLOOKUP($C47,OM_Table_R,'R$ Table'!I$78)</f>
        <v>131.835356371954</v>
      </c>
      <c r="J47" s="1708" t="n">
        <f aca="false">VLOOKUP($C47,OM_Table_R,'R$ Table'!J$78)</f>
        <v>64.4583</v>
      </c>
      <c r="K47" s="1710" t="n">
        <f aca="false">SUM(E47:J47)</f>
        <v>623.251237211123</v>
      </c>
      <c r="M47" s="1707" t="n">
        <f aca="false">-HLOOKUP($C47,CF_Table,CF!$AB$36)</f>
        <v>104.166666666667</v>
      </c>
      <c r="N47" s="1712" t="n">
        <f aca="false">-HLOOKUP($C47,CF_Table,CF!$AB$37)</f>
        <v>36.6666666666667</v>
      </c>
      <c r="O47" s="1712" t="n">
        <f aca="false">Tot_Equity*HLOOKUP($C47,CF_Table,CF!$AB$12)/CF!$Z$12</f>
        <v>1540.14224406505</v>
      </c>
      <c r="P47" s="1712" t="n">
        <f aca="false">P$8*O47</f>
        <v>231.021336609757</v>
      </c>
      <c r="Q47" s="1712" t="n">
        <f aca="false">Q$8*P47</f>
        <v>113.786628479433</v>
      </c>
      <c r="R47" s="1708" t="n">
        <f aca="false">-'US$ Table'!K47</f>
        <v>-0</v>
      </c>
      <c r="S47" s="1710" t="n">
        <f aca="false">SUM(M47:R47)</f>
        <v>2025.78354248757</v>
      </c>
      <c r="U47" s="1777" t="n">
        <f aca="false">SUM(K47,S47)</f>
        <v>2649.03477969869</v>
      </c>
      <c r="V47" s="109" t="n">
        <f aca="false">U47*V$6</f>
        <v>2821.22204037911</v>
      </c>
      <c r="W47" s="109" t="n">
        <f aca="false">V47*(1+W$6)</f>
        <v>2898.01955868424</v>
      </c>
      <c r="X47" s="1713" t="n">
        <f aca="false">'US$ Table'!AC47</f>
        <v>4</v>
      </c>
      <c r="Y47" s="1714" t="n">
        <f aca="false">'US$ Table'!AD47</f>
        <v>4</v>
      </c>
      <c r="Z47" s="109" t="n">
        <f aca="false">W47*X47/Y47</f>
        <v>2898.01955868424</v>
      </c>
      <c r="AA47" s="497" t="n">
        <f aca="false">'US$ Table'!AF47</f>
        <v>480</v>
      </c>
      <c r="AB47" s="1715" t="n">
        <f aca="false">SUM(Z46:Z47)/AA47/SUM(X46:X47)*1000</f>
        <v>1497.30185814237</v>
      </c>
    </row>
    <row r="48" customFormat="false" ht="13.5" hidden="false" customHeight="false" outlineLevel="0" collapsed="false">
      <c r="B48" s="1531"/>
      <c r="C48" s="1533"/>
      <c r="E48" s="1707"/>
      <c r="F48" s="1712"/>
      <c r="G48" s="1712"/>
      <c r="H48" s="1712"/>
      <c r="I48" s="1712"/>
      <c r="J48" s="1708"/>
      <c r="K48" s="1710"/>
      <c r="M48" s="1707"/>
      <c r="N48" s="1712"/>
      <c r="O48" s="1712"/>
      <c r="P48" s="1712"/>
      <c r="Q48" s="1712"/>
      <c r="R48" s="1708"/>
      <c r="S48" s="1710"/>
      <c r="U48" s="1777"/>
      <c r="V48" s="109"/>
      <c r="W48" s="109"/>
      <c r="X48" s="1713"/>
      <c r="Y48" s="1714"/>
      <c r="Z48" s="109"/>
      <c r="AA48" s="497"/>
      <c r="AB48" s="1715"/>
    </row>
    <row r="49" customFormat="false" ht="13.5" hidden="false" customHeight="false" outlineLevel="0" collapsed="false">
      <c r="B49" s="1721" t="s">
        <v>66</v>
      </c>
      <c r="C49" s="1722"/>
      <c r="E49" s="1723" t="n">
        <f aca="false">E9+SUM(E10:E11,E13:E46)/2+E12+E47</f>
        <v>16401.0308416483</v>
      </c>
      <c r="F49" s="1727" t="n">
        <f aca="false">F9+SUM(F10:F11,F13:F46)/2+F12+F47</f>
        <v>6677.63488978628</v>
      </c>
      <c r="G49" s="1727" t="n">
        <f aca="false">G9+SUM(G10:G11,G13:G46)/2+G12+G47</f>
        <v>8063.40853284076</v>
      </c>
      <c r="H49" s="1727" t="n">
        <f aca="false">H9+SUM(H10:H11,H13:H46)/2+H12+H47</f>
        <v>2881.61187985109</v>
      </c>
      <c r="I49" s="1727" t="n">
        <f aca="false">I9+SUM(I10:I11,I13:I46)/2+I12+I47</f>
        <v>9815.15824856384</v>
      </c>
      <c r="J49" s="1724" t="n">
        <f aca="false">J9+SUM(J10:J11,J13:J46)/2+J12+J47</f>
        <v>4746.9036</v>
      </c>
      <c r="K49" s="1726" t="n">
        <f aca="false">K9+SUM(K10:K11,K13:K46)/2+K12+K47</f>
        <v>48585.7479926902</v>
      </c>
      <c r="M49" s="1723" t="n">
        <f aca="false">M9+SUM(M10:M11,M13:M46)/2+M12+M47</f>
        <v>22776.383461993</v>
      </c>
      <c r="N49" s="1727" t="n">
        <f aca="false">N9+SUM(N10:N11,N13:N46)/2+N12+N47</f>
        <v>2209.16666666667</v>
      </c>
      <c r="O49" s="1727" t="n">
        <f aca="false">O9+SUM(O10:O11,O13:O46)/2+O12+O47</f>
        <v>92793.5702049191</v>
      </c>
      <c r="P49" s="1727" t="n">
        <f aca="false">P9+SUM(P10:P11,P13:P46)/2+P12+P47</f>
        <v>13919.0355307379</v>
      </c>
      <c r="Q49" s="1727" t="n">
        <f aca="false">Q9+SUM(Q10:Q11,Q13:Q46)/2+Q12+Q47</f>
        <v>6855.64436588582</v>
      </c>
      <c r="R49" s="1724" t="n">
        <f aca="false">R9+SUM(R10:R11,R13:R46)/2+R12+R47</f>
        <v>-93563.6359680926</v>
      </c>
      <c r="S49" s="1726" t="n">
        <f aca="false">S9+SUM(S10:S11,S13:S46)/2+S12+S47</f>
        <v>44990.1642621098</v>
      </c>
      <c r="U49" s="1723" t="n">
        <f aca="false">U9+SUM(U10:U11,U13:U46)/2+U12+U47</f>
        <v>93575.9122548001</v>
      </c>
      <c r="V49" s="1727" t="n">
        <f aca="false">V9+SUM(V10:V11,V13:V46)/2+V12+V47</f>
        <v>99658.3465513621</v>
      </c>
      <c r="W49" s="1727" t="n">
        <f aca="false">W9+SUM(W10:W11,W13:W46)/2+W12+W47</f>
        <v>102371.182898163</v>
      </c>
      <c r="X49" s="1729"/>
      <c r="Y49" s="1730"/>
      <c r="Z49" s="1551" t="n">
        <f aca="false">SUM(Z9:Z48)</f>
        <v>102371.182898163</v>
      </c>
      <c r="AA49" s="1731"/>
      <c r="AB49" s="1722"/>
    </row>
    <row r="50" customFormat="false" ht="12.75" hidden="false" customHeight="false" outlineLevel="0" collapsed="false">
      <c r="B50" s="1556" t="n">
        <v>1</v>
      </c>
      <c r="C50" s="1556" t="n">
        <f aca="false">B50+1</f>
        <v>2</v>
      </c>
      <c r="D50" s="1556" t="n">
        <f aca="false">C50+1</f>
        <v>3</v>
      </c>
      <c r="E50" s="1556" t="n">
        <f aca="false">D50+1</f>
        <v>4</v>
      </c>
      <c r="F50" s="1556" t="n">
        <f aca="false">E50+1</f>
        <v>5</v>
      </c>
      <c r="G50" s="1556" t="n">
        <f aca="false">F50+1</f>
        <v>6</v>
      </c>
      <c r="H50" s="1556" t="n">
        <f aca="false">G50+1</f>
        <v>7</v>
      </c>
      <c r="I50" s="1556" t="n">
        <f aca="false">H50+1</f>
        <v>8</v>
      </c>
      <c r="J50" s="1556" t="n">
        <f aca="false">I50+1</f>
        <v>9</v>
      </c>
      <c r="K50" s="1556" t="n">
        <f aca="false">J50+1</f>
        <v>10</v>
      </c>
      <c r="L50" s="1556" t="n">
        <f aca="false">K50+1</f>
        <v>11</v>
      </c>
      <c r="M50" s="1556" t="n">
        <f aca="false">L50+1</f>
        <v>12</v>
      </c>
      <c r="N50" s="1556" t="n">
        <f aca="false">M50+1</f>
        <v>13</v>
      </c>
      <c r="O50" s="1556" t="n">
        <f aca="false">N50+1</f>
        <v>14</v>
      </c>
      <c r="P50" s="1556" t="n">
        <f aca="false">O50+1</f>
        <v>15</v>
      </c>
      <c r="Q50" s="1556" t="n">
        <f aca="false">P50+1</f>
        <v>16</v>
      </c>
      <c r="R50" s="1556" t="n">
        <f aca="false">Q50+1</f>
        <v>17</v>
      </c>
      <c r="S50" s="1556" t="n">
        <f aca="false">R50+1</f>
        <v>18</v>
      </c>
      <c r="T50" s="1556" t="n">
        <f aca="false">S50+1</f>
        <v>19</v>
      </c>
      <c r="U50" s="1556" t="n">
        <f aca="false">T50+1</f>
        <v>20</v>
      </c>
      <c r="V50" s="1556" t="n">
        <f aca="false">U50+1</f>
        <v>21</v>
      </c>
      <c r="W50" s="1556" t="n">
        <f aca="false">V50+1</f>
        <v>22</v>
      </c>
      <c r="X50" s="1556" t="n">
        <f aca="false">W50+1</f>
        <v>23</v>
      </c>
      <c r="Y50" s="1556" t="n">
        <f aca="false">X50+1</f>
        <v>24</v>
      </c>
      <c r="Z50" s="1556" t="n">
        <f aca="false">Y50+1</f>
        <v>25</v>
      </c>
      <c r="AA50" s="1556" t="n">
        <f aca="false">Z50+1</f>
        <v>26</v>
      </c>
      <c r="AB50" s="1556" t="n">
        <f aca="false">AA50+1</f>
        <v>27</v>
      </c>
    </row>
    <row r="52" customFormat="false" ht="13.5" hidden="false" customHeight="false" outlineLevel="0" collapsed="false">
      <c r="C52" s="330" t="s">
        <v>1961</v>
      </c>
      <c r="Q52" s="0"/>
    </row>
    <row r="53" customFormat="false" ht="12.75" hidden="false" customHeight="false" outlineLevel="0" collapsed="false">
      <c r="C53" s="1688" t="s">
        <v>1911</v>
      </c>
      <c r="D53" s="1181"/>
      <c r="E53" s="29" t="s">
        <v>1945</v>
      </c>
      <c r="F53" s="29" t="s">
        <v>1946</v>
      </c>
      <c r="G53" s="29" t="s">
        <v>1947</v>
      </c>
      <c r="H53" s="29" t="s">
        <v>1948</v>
      </c>
      <c r="I53" s="29" t="s">
        <v>1920</v>
      </c>
      <c r="J53" s="1697" t="s">
        <v>1921</v>
      </c>
      <c r="K53" s="1691" t="s">
        <v>1949</v>
      </c>
      <c r="Q53" s="0"/>
    </row>
    <row r="54" customFormat="false" ht="12.75" hidden="false" customHeight="false" outlineLevel="0" collapsed="false">
      <c r="C54" s="470" t="s">
        <v>727</v>
      </c>
      <c r="D54" s="388"/>
      <c r="E54" s="45" t="s">
        <v>1954</v>
      </c>
      <c r="F54" s="45" t="s">
        <v>733</v>
      </c>
      <c r="G54" s="45" t="s">
        <v>1929</v>
      </c>
      <c r="H54" s="1700" t="s">
        <v>1955</v>
      </c>
      <c r="I54" s="45" t="s">
        <v>1930</v>
      </c>
      <c r="J54" s="1705" t="s">
        <v>1930</v>
      </c>
      <c r="K54" s="46" t="s">
        <v>733</v>
      </c>
      <c r="Q54" s="0"/>
    </row>
    <row r="55" customFormat="false" ht="12.75" hidden="false" customHeight="false" outlineLevel="0" collapsed="false">
      <c r="C55" s="1124" t="n">
        <f aca="false">YEAR(Startops1)</f>
        <v>1999</v>
      </c>
      <c r="D55" s="388"/>
      <c r="E55" s="1712" t="n">
        <f aca="false">HLOOKUP($C55,Rev_Exp_Table,Rev_Exp!$AA$72)/HLOOKUP($C55,Rev_Exp_Table,Rev_Exp!$AA$26)</f>
        <v>1113.72110242478</v>
      </c>
      <c r="F55" s="1712" t="n">
        <f aca="false">HLOOKUP($C55,Rev_Exp_Table,Rev_Exp!$AA$73)/HLOOKUP($C55,Rev_Exp_Table,Rev_Exp!$AA$26)</f>
        <v>475.192519490561</v>
      </c>
      <c r="G55" s="1712" t="n">
        <f aca="false">HLOOKUP($C55,Rev_Exp_Table,Rev_Exp!$AA$74)/HLOOKUP($C55,Rev_Exp_Table,Rev_Exp!$AA$26)</f>
        <v>599.837387513155</v>
      </c>
      <c r="H55" s="1712" t="n">
        <f aca="false">HLOOKUP($C55,Rev_Exp_Table,Rev_Exp!$AA$75)/HLOOKUP($C55,Rev_Exp_Table,Rev_Exp!$AA$26)</f>
        <v>0</v>
      </c>
      <c r="I55" s="1712" t="n">
        <f aca="false">HLOOKUP($C55,Rev_Exp_Table,Rev_Exp!$AA$76)/HLOOKUP($C55,Rev_Exp_Table,Rev_Exp!$AA$26)</f>
        <v>137.556686389897</v>
      </c>
      <c r="J55" s="1708" t="n">
        <f aca="false">AVERAGE(Trapped!$G$79:$Y$79)</f>
        <v>243.051947368421</v>
      </c>
      <c r="K55" s="1710" t="n">
        <f aca="false">SUM(D55:J55)</f>
        <v>2569.35964318681</v>
      </c>
      <c r="Q55" s="0"/>
    </row>
    <row r="56" customFormat="false" ht="12.75" hidden="false" customHeight="false" outlineLevel="0" collapsed="false">
      <c r="C56" s="1531" t="n">
        <f aca="false">C55+1</f>
        <v>2000</v>
      </c>
      <c r="D56" s="388"/>
      <c r="E56" s="1712" t="n">
        <f aca="false">HLOOKUP($C56,Rev_Exp_Table,Rev_Exp!$AA$72)/HLOOKUP($C56,Rev_Exp_Table,Rev_Exp!$AA$26)</f>
        <v>931.425820067806</v>
      </c>
      <c r="F56" s="1712" t="n">
        <f aca="false">HLOOKUP($C56,Rev_Exp_Table,Rev_Exp!$AA$73)/HLOOKUP($C56,Rev_Exp_Table,Rev_Exp!$AA$26)</f>
        <v>397.412405307708</v>
      </c>
      <c r="G56" s="1712" t="n">
        <f aca="false">HLOOKUP($C56,Rev_Exp_Table,Rev_Exp!$AA$74)/HLOOKUP($C56,Rev_Exp_Table,Rev_Exp!$AA$26)</f>
        <v>501.655243269943</v>
      </c>
      <c r="H56" s="1712" t="n">
        <f aca="false">HLOOKUP($C56,Rev_Exp_Table,Rev_Exp!$AA$75)/HLOOKUP($C56,Rev_Exp_Table,Rev_Exp!$AA$26)</f>
        <v>0</v>
      </c>
      <c r="I56" s="1712" t="n">
        <f aca="false">HLOOKUP($C56,Rev_Exp_Table,Rev_Exp!$AA$76)/HLOOKUP($C56,Rev_Exp_Table,Rev_Exp!$AA$26)</f>
        <v>115.041233525674</v>
      </c>
      <c r="J56" s="1708" t="n">
        <f aca="false">AVERAGE(Trapped!$G$79:$Y$79)</f>
        <v>243.051947368421</v>
      </c>
      <c r="K56" s="1710" t="n">
        <f aca="false">SUM(D56:J56)</f>
        <v>2188.58664953955</v>
      </c>
      <c r="Q56" s="0"/>
    </row>
    <row r="57" customFormat="false" ht="12.75" hidden="false" customHeight="false" outlineLevel="0" collapsed="false">
      <c r="C57" s="1531" t="n">
        <f aca="false">C56+1</f>
        <v>2001</v>
      </c>
      <c r="D57" s="388"/>
      <c r="E57" s="1712" t="n">
        <f aca="false">HLOOKUP($C57,Rev_Exp_Table,Rev_Exp!$AA$72)/HLOOKUP($C57,Rev_Exp_Table,Rev_Exp!$AA$26)</f>
        <v>1271.2961751004</v>
      </c>
      <c r="F57" s="1712" t="n">
        <f aca="false">HLOOKUP($C57,Rev_Exp_Table,Rev_Exp!$AA$73)/HLOOKUP($C57,Rev_Exp_Table,Rev_Exp!$AA$26)</f>
        <v>423.524956584859</v>
      </c>
      <c r="G57" s="1712" t="n">
        <f aca="false">HLOOKUP($C57,Rev_Exp_Table,Rev_Exp!$AA$74)/HLOOKUP($C57,Rev_Exp_Table,Rev_Exp!$AA$26)</f>
        <v>524.129364457367</v>
      </c>
      <c r="H57" s="1712" t="n">
        <f aca="false">HLOOKUP($C57,Rev_Exp_Table,Rev_Exp!$AA$75)/HLOOKUP($C57,Rev_Exp_Table,Rev_Exp!$AA$26)</f>
        <v>202.361225449651</v>
      </c>
      <c r="I57" s="1712" t="n">
        <f aca="false">HLOOKUP($C57,Rev_Exp_Table,Rev_Exp!$AA$76)/HLOOKUP($C57,Rev_Exp_Table,Rev_Exp!$AA$26)</f>
        <v>595.304634137979</v>
      </c>
      <c r="J57" s="1708" t="n">
        <f aca="false">AVERAGE(Trapped!$G$79:$Y$79)</f>
        <v>243.051947368421</v>
      </c>
      <c r="K57" s="1710" t="n">
        <f aca="false">SUM(D57:J57)</f>
        <v>3259.66830309868</v>
      </c>
      <c r="Q57" s="0"/>
    </row>
    <row r="58" customFormat="false" ht="12.75" hidden="false" customHeight="false" outlineLevel="0" collapsed="false">
      <c r="C58" s="1531" t="n">
        <f aca="false">C57+1</f>
        <v>2002</v>
      </c>
      <c r="D58" s="388"/>
      <c r="E58" s="1712" t="n">
        <f aca="false">HLOOKUP($C58,Rev_Exp_Table,Rev_Exp!$AA$72)/HLOOKUP($C58,Rev_Exp_Table,Rev_Exp!$AA$26)</f>
        <v>987.526659674486</v>
      </c>
      <c r="F58" s="1712" t="n">
        <f aca="false">HLOOKUP($C58,Rev_Exp_Table,Rev_Exp!$AA$73)/HLOOKUP($C58,Rev_Exp_Table,Rev_Exp!$AA$26)</f>
        <v>407.16534583731</v>
      </c>
      <c r="G58" s="1712" t="n">
        <f aca="false">HLOOKUP($C58,Rev_Exp_Table,Rev_Exp!$AA$74)/HLOOKUP($C58,Rev_Exp_Table,Rev_Exp!$AA$26)</f>
        <v>488.932443630744</v>
      </c>
      <c r="H58" s="1712" t="n">
        <f aca="false">HLOOKUP($C58,Rev_Exp_Table,Rev_Exp!$AA$75)/HLOOKUP($C58,Rev_Exp_Table,Rev_Exp!$AA$26)</f>
        <v>188.772038287997</v>
      </c>
      <c r="I58" s="1712" t="n">
        <f aca="false">HLOOKUP($C58,Rev_Exp_Table,Rev_Exp!$AA$76)/HLOOKUP($C58,Rev_Exp_Table,Rev_Exp!$AA$26)</f>
        <v>639.911648664015</v>
      </c>
      <c r="J58" s="1708" t="n">
        <f aca="false">AVERAGE(Trapped!$G$79:$Y$79)</f>
        <v>243.051947368421</v>
      </c>
      <c r="K58" s="1710" t="n">
        <f aca="false">SUM(D58:J58)</f>
        <v>2955.36008346297</v>
      </c>
      <c r="Q58" s="0"/>
    </row>
    <row r="59" customFormat="false" ht="12.75" hidden="false" customHeight="false" outlineLevel="0" collapsed="false">
      <c r="C59" s="1531" t="n">
        <f aca="false">C58+1</f>
        <v>2003</v>
      </c>
      <c r="D59" s="388"/>
      <c r="E59" s="1712" t="n">
        <f aca="false">HLOOKUP($C59,Rev_Exp_Table,Rev_Exp!$AA$72)/HLOOKUP($C59,Rev_Exp_Table,Rev_Exp!$AA$26)</f>
        <v>911.412307161433</v>
      </c>
      <c r="F59" s="1712" t="n">
        <f aca="false">HLOOKUP($C59,Rev_Exp_Table,Rev_Exp!$AA$73)/HLOOKUP($C59,Rev_Exp_Table,Rev_Exp!$AA$26)</f>
        <v>375.78277367022</v>
      </c>
      <c r="G59" s="1712" t="n">
        <f aca="false">HLOOKUP($C59,Rev_Exp_Table,Rev_Exp!$AA$74)/HLOOKUP($C59,Rev_Exp_Table,Rev_Exp!$AA$26)</f>
        <v>451.247611525203</v>
      </c>
      <c r="H59" s="1712" t="n">
        <f aca="false">HLOOKUP($C59,Rev_Exp_Table,Rev_Exp!$AA$75)/HLOOKUP($C59,Rev_Exp_Table,Rev_Exp!$AA$26)</f>
        <v>174.222292895203</v>
      </c>
      <c r="I59" s="1712" t="n">
        <f aca="false">HLOOKUP($C59,Rev_Exp_Table,Rev_Exp!$AA$76)/HLOOKUP($C59,Rev_Exp_Table,Rev_Exp!$AA$26)</f>
        <v>590.589981925745</v>
      </c>
      <c r="J59" s="1708" t="n">
        <f aca="false">AVERAGE(Trapped!$G$79:$Y$79)</f>
        <v>243.051947368421</v>
      </c>
      <c r="K59" s="1710" t="n">
        <f aca="false">SUM(D59:J59)</f>
        <v>2746.30691454623</v>
      </c>
      <c r="Q59" s="0"/>
    </row>
    <row r="60" customFormat="false" ht="12.75" hidden="false" customHeight="false" outlineLevel="0" collapsed="false">
      <c r="C60" s="1531" t="n">
        <f aca="false">C59+1</f>
        <v>2004</v>
      </c>
      <c r="D60" s="388"/>
      <c r="E60" s="1712" t="n">
        <f aca="false">HLOOKUP($C60,Rev_Exp_Table,Rev_Exp!$AA$72)/HLOOKUP($C60,Rev_Exp_Table,Rev_Exp!$AA$26)</f>
        <v>868.638930625108</v>
      </c>
      <c r="F60" s="1712" t="n">
        <f aca="false">HLOOKUP($C60,Rev_Exp_Table,Rev_Exp!$AA$73)/HLOOKUP($C60,Rev_Exp_Table,Rev_Exp!$AA$26)</f>
        <v>358.146959508217</v>
      </c>
      <c r="G60" s="1712" t="n">
        <f aca="false">HLOOKUP($C60,Rev_Exp_Table,Rev_Exp!$AA$74)/HLOOKUP($C60,Rev_Exp_Table,Rev_Exp!$AA$26)</f>
        <v>430.070166534364</v>
      </c>
      <c r="H60" s="1712" t="n">
        <f aca="false">HLOOKUP($C60,Rev_Exp_Table,Rev_Exp!$AA$75)/HLOOKUP($C60,Rev_Exp_Table,Rev_Exp!$AA$26)</f>
        <v>166.045888345392</v>
      </c>
      <c r="I60" s="1712" t="n">
        <f aca="false">HLOOKUP($C60,Rev_Exp_Table,Rev_Exp!$AA$76)/HLOOKUP($C60,Rev_Exp_Table,Rev_Exp!$AA$26)</f>
        <v>562.873077647628</v>
      </c>
      <c r="J60" s="1708" t="n">
        <f aca="false">AVERAGE(Trapped!$G$79:$Y$79)</f>
        <v>243.051947368421</v>
      </c>
      <c r="K60" s="1710" t="n">
        <f aca="false">SUM(D60:J60)</f>
        <v>2628.82697002913</v>
      </c>
      <c r="Q60" s="0"/>
    </row>
    <row r="61" customFormat="false" ht="12.75" hidden="false" customHeight="false" outlineLevel="0" collapsed="false">
      <c r="C61" s="1531" t="n">
        <f aca="false">C60+1</f>
        <v>2005</v>
      </c>
      <c r="D61" s="388"/>
      <c r="E61" s="1712" t="n">
        <f aca="false">HLOOKUP($C61,Rev_Exp_Table,Rev_Exp!$AA$72)/HLOOKUP($C61,Rev_Exp_Table,Rev_Exp!$AA$26)</f>
        <v>840.894927346968</v>
      </c>
      <c r="F61" s="1712" t="n">
        <f aca="false">HLOOKUP($C61,Rev_Exp_Table,Rev_Exp!$AA$73)/HLOOKUP($C61,Rev_Exp_Table,Rev_Exp!$AA$26)</f>
        <v>346.707879277837</v>
      </c>
      <c r="G61" s="1712" t="n">
        <f aca="false">HLOOKUP($C61,Rev_Exp_Table,Rev_Exp!$AA$74)/HLOOKUP($C61,Rev_Exp_Table,Rev_Exp!$AA$26)</f>
        <v>416.33388591248</v>
      </c>
      <c r="H61" s="1712" t="n">
        <f aca="false">HLOOKUP($C61,Rev_Exp_Table,Rev_Exp!$AA$75)/HLOOKUP($C61,Rev_Exp_Table,Rev_Exp!$AA$26)</f>
        <v>160.74244463805</v>
      </c>
      <c r="I61" s="1712" t="n">
        <f aca="false">HLOOKUP($C61,Rev_Exp_Table,Rev_Exp!$AA$76)/HLOOKUP($C61,Rev_Exp_Table,Rev_Exp!$AA$26)</f>
        <v>544.8951216053</v>
      </c>
      <c r="J61" s="1708" t="n">
        <f aca="false">AVERAGE(Trapped!$G$79:$Y$79)</f>
        <v>243.051947368421</v>
      </c>
      <c r="K61" s="1710" t="n">
        <f aca="false">SUM(D61:J61)</f>
        <v>2552.62620614906</v>
      </c>
      <c r="Q61" s="0"/>
    </row>
    <row r="62" customFormat="false" ht="12.75" hidden="false" customHeight="false" outlineLevel="0" collapsed="false">
      <c r="C62" s="1531" t="n">
        <f aca="false">C61+1</f>
        <v>2006</v>
      </c>
      <c r="D62" s="388"/>
      <c r="E62" s="1712" t="n">
        <f aca="false">HLOOKUP($C62,Rev_Exp_Table,Rev_Exp!$AA$72)/HLOOKUP($C62,Rev_Exp_Table,Rev_Exp!$AA$26)</f>
        <v>816.546509741397</v>
      </c>
      <c r="F62" s="1712" t="n">
        <f aca="false">HLOOKUP($C62,Rev_Exp_Table,Rev_Exp!$AA$73)/HLOOKUP($C62,Rev_Exp_Table,Rev_Exp!$AA$26)</f>
        <v>336.668826885843</v>
      </c>
      <c r="G62" s="1712" t="n">
        <f aca="false">HLOOKUP($C62,Rev_Exp_Table,Rev_Exp!$AA$74)/HLOOKUP($C62,Rev_Exp_Table,Rev_Exp!$AA$26)</f>
        <v>404.278787245718</v>
      </c>
      <c r="H62" s="1712" t="n">
        <f aca="false">HLOOKUP($C62,Rev_Exp_Table,Rev_Exp!$AA$75)/HLOOKUP($C62,Rev_Exp_Table,Rev_Exp!$AA$26)</f>
        <v>156.088088853867</v>
      </c>
      <c r="I62" s="1712" t="n">
        <f aca="false">HLOOKUP($C62,Rev_Exp_Table,Rev_Exp!$AA$76)/HLOOKUP($C62,Rev_Exp_Table,Rev_Exp!$AA$26)</f>
        <v>529.11748573117</v>
      </c>
      <c r="J62" s="1708" t="n">
        <f aca="false">AVERAGE(Trapped!$G$79:$Y$79)</f>
        <v>243.051947368421</v>
      </c>
      <c r="K62" s="1710" t="n">
        <f aca="false">SUM(D62:J62)</f>
        <v>2485.75164582642</v>
      </c>
      <c r="Q62" s="0"/>
    </row>
    <row r="63" customFormat="false" ht="12.75" hidden="false" customHeight="false" outlineLevel="0" collapsed="false">
      <c r="C63" s="1531" t="n">
        <f aca="false">C62+1</f>
        <v>2007</v>
      </c>
      <c r="D63" s="388"/>
      <c r="E63" s="1712" t="n">
        <f aca="false">HLOOKUP($C63,Rev_Exp_Table,Rev_Exp!$AA$72)/HLOOKUP($C63,Rev_Exp_Table,Rev_Exp!$AA$26)</f>
        <v>794.147729778033</v>
      </c>
      <c r="F63" s="1712" t="n">
        <f aca="false">HLOOKUP($C63,Rev_Exp_Table,Rev_Exp!$AA$73)/HLOOKUP($C63,Rev_Exp_Table,Rev_Exp!$AA$26)</f>
        <v>327.433626093266</v>
      </c>
      <c r="G63" s="1712" t="n">
        <f aca="false">HLOOKUP($C63,Rev_Exp_Table,Rev_Exp!$AA$74)/HLOOKUP($C63,Rev_Exp_Table,Rev_Exp!$AA$26)</f>
        <v>393.188969958715</v>
      </c>
      <c r="H63" s="1712" t="n">
        <f aca="false">HLOOKUP($C63,Rev_Exp_Table,Rev_Exp!$AA$75)/HLOOKUP($C63,Rev_Exp_Table,Rev_Exp!$AA$26)</f>
        <v>151.806418776988</v>
      </c>
      <c r="I63" s="1712" t="n">
        <f aca="false">HLOOKUP($C63,Rev_Exp_Table,Rev_Exp!$AA$76)/HLOOKUP($C63,Rev_Exp_Table,Rev_Exp!$AA$26)</f>
        <v>514.603203940394</v>
      </c>
      <c r="J63" s="1708" t="n">
        <f aca="false">AVERAGE(Trapped!$G$79:$Y$79)</f>
        <v>243.051947368421</v>
      </c>
      <c r="K63" s="1710" t="n">
        <f aca="false">SUM(D63:J63)</f>
        <v>2424.23189591582</v>
      </c>
      <c r="Q63" s="0"/>
    </row>
    <row r="64" customFormat="false" ht="12.75" hidden="false" customHeight="false" outlineLevel="0" collapsed="false">
      <c r="C64" s="1531" t="n">
        <f aca="false">C63+1</f>
        <v>2008</v>
      </c>
      <c r="D64" s="388"/>
      <c r="E64" s="1712" t="n">
        <f aca="false">HLOOKUP($C64,Rev_Exp_Table,Rev_Exp!$AA$72)/HLOOKUP($C64,Rev_Exp_Table,Rev_Exp!$AA$26)</f>
        <v>772.855641552027</v>
      </c>
      <c r="F64" s="1712" t="n">
        <f aca="false">HLOOKUP($C64,Rev_Exp_Table,Rev_Exp!$AA$73)/HLOOKUP($C64,Rev_Exp_Table,Rev_Exp!$AA$26)</f>
        <v>318.654723385973</v>
      </c>
      <c r="G64" s="1712" t="n">
        <f aca="false">HLOOKUP($C64,Rev_Exp_Table,Rev_Exp!$AA$74)/HLOOKUP($C64,Rev_Exp_Table,Rev_Exp!$AA$26)</f>
        <v>382.647084709992</v>
      </c>
      <c r="H64" s="1712" t="n">
        <f aca="false">HLOOKUP($C64,Rev_Exp_Table,Rev_Exp!$AA$75)/HLOOKUP($C64,Rev_Exp_Table,Rev_Exp!$AA$26)</f>
        <v>147.736299905305</v>
      </c>
      <c r="I64" s="1712" t="n">
        <f aca="false">HLOOKUP($C64,Rev_Exp_Table,Rev_Exp!$AA$76)/HLOOKUP($C64,Rev_Exp_Table,Rev_Exp!$AA$26)</f>
        <v>500.806052089633</v>
      </c>
      <c r="J64" s="1708" t="n">
        <f aca="false">AVERAGE(Trapped!$G$79:$Y$79)</f>
        <v>243.051947368421</v>
      </c>
      <c r="K64" s="1710" t="n">
        <f aca="false">SUM(D64:J64)</f>
        <v>2365.75174901135</v>
      </c>
      <c r="Q64" s="0"/>
    </row>
    <row r="65" customFormat="false" ht="12.75" hidden="false" customHeight="false" outlineLevel="0" collapsed="false">
      <c r="C65" s="1531" t="n">
        <f aca="false">C64+1</f>
        <v>2009</v>
      </c>
      <c r="D65" s="388"/>
      <c r="E65" s="1712" t="n">
        <f aca="false">HLOOKUP($C65,Rev_Exp_Table,Rev_Exp!$AA$72)/HLOOKUP($C65,Rev_Exp_Table,Rev_Exp!$AA$26)</f>
        <v>753.008075992071</v>
      </c>
      <c r="F65" s="1712" t="n">
        <f aca="false">HLOOKUP($C65,Rev_Exp_Table,Rev_Exp!$AA$73)/HLOOKUP($C65,Rev_Exp_Table,Rev_Exp!$AA$26)</f>
        <v>310.471409228245</v>
      </c>
      <c r="G65" s="1712" t="n">
        <f aca="false">HLOOKUP($C65,Rev_Exp_Table,Rev_Exp!$AA$74)/HLOOKUP($C65,Rev_Exp_Table,Rev_Exp!$AA$26)</f>
        <v>372.820394327224</v>
      </c>
      <c r="H65" s="1712" t="n">
        <f aca="false">HLOOKUP($C65,Rev_Exp_Table,Rev_Exp!$AA$75)/HLOOKUP($C65,Rev_Exp_Table,Rev_Exp!$AA$26)</f>
        <v>143.942310781971</v>
      </c>
      <c r="I65" s="1712" t="n">
        <f aca="false">HLOOKUP($C65,Rev_Exp_Table,Rev_Exp!$AA$76)/HLOOKUP($C65,Rev_Exp_Table,Rev_Exp!$AA$26)</f>
        <v>487.944942695761</v>
      </c>
      <c r="J65" s="1708" t="n">
        <f aca="false">AVERAGE(Trapped!$G$79:$Y$79)</f>
        <v>243.051947368421</v>
      </c>
      <c r="K65" s="1710" t="n">
        <f aca="false">SUM(D65:J65)</f>
        <v>2311.23908039369</v>
      </c>
      <c r="Q65" s="0"/>
    </row>
    <row r="66" customFormat="false" ht="12.75" hidden="false" customHeight="false" outlineLevel="0" collapsed="false">
      <c r="C66" s="1531" t="n">
        <f aca="false">C65+1</f>
        <v>2010</v>
      </c>
      <c r="D66" s="388"/>
      <c r="E66" s="1712" t="n">
        <f aca="false">HLOOKUP($C66,Rev_Exp_Table,Rev_Exp!$AA$72)/HLOOKUP($C66,Rev_Exp_Table,Rev_Exp!$AA$26)</f>
        <v>734.421516586152</v>
      </c>
      <c r="F66" s="1712" t="n">
        <f aca="false">HLOOKUP($C66,Rev_Exp_Table,Rev_Exp!$AA$73)/HLOOKUP($C66,Rev_Exp_Table,Rev_Exp!$AA$26)</f>
        <v>302.808018256166</v>
      </c>
      <c r="G66" s="1712" t="n">
        <f aca="false">HLOOKUP($C66,Rev_Exp_Table,Rev_Exp!$AA$74)/HLOOKUP($C66,Rev_Exp_Table,Rev_Exp!$AA$26)</f>
        <v>363.618038299672</v>
      </c>
      <c r="H66" s="1712" t="n">
        <f aca="false">HLOOKUP($C66,Rev_Exp_Table,Rev_Exp!$AA$75)/HLOOKUP($C66,Rev_Exp_Table,Rev_Exp!$AA$26)</f>
        <v>140.389371051743</v>
      </c>
      <c r="I66" s="1712" t="n">
        <f aca="false">HLOOKUP($C66,Rev_Exp_Table,Rev_Exp!$AA$76)/HLOOKUP($C66,Rev_Exp_Table,Rev_Exp!$AA$26)</f>
        <v>475.900958104648</v>
      </c>
      <c r="J66" s="1708" t="n">
        <f aca="false">AVERAGE(Trapped!$G$79:$Y$79)</f>
        <v>243.051947368421</v>
      </c>
      <c r="K66" s="1710" t="n">
        <f aca="false">SUM(D66:J66)</f>
        <v>2260.1898496668</v>
      </c>
      <c r="Q66" s="0"/>
    </row>
    <row r="67" customFormat="false" ht="12.75" hidden="false" customHeight="false" outlineLevel="0" collapsed="false">
      <c r="C67" s="1531" t="n">
        <f aca="false">C66+1</f>
        <v>2011</v>
      </c>
      <c r="D67" s="388"/>
      <c r="E67" s="1712" t="n">
        <f aca="false">HLOOKUP($C67,Rev_Exp_Table,Rev_Exp!$AA$72)/HLOOKUP($C67,Rev_Exp_Table,Rev_Exp!$AA$26)</f>
        <v>717.03248212473</v>
      </c>
      <c r="F67" s="1712" t="n">
        <f aca="false">HLOOKUP($C67,Rev_Exp_Table,Rev_Exp!$AA$73)/HLOOKUP($C67,Rev_Exp_Table,Rev_Exp!$AA$26)</f>
        <v>295.63837664609</v>
      </c>
      <c r="G67" s="1712" t="n">
        <f aca="false">HLOOKUP($C67,Rev_Exp_Table,Rev_Exp!$AA$74)/HLOOKUP($C67,Rev_Exp_Table,Rev_Exp!$AA$26)</f>
        <v>355.008586566587</v>
      </c>
      <c r="H67" s="1712" t="n">
        <f aca="false">HLOOKUP($C67,Rev_Exp_Table,Rev_Exp!$AA$75)/HLOOKUP($C67,Rev_Exp_Table,Rev_Exp!$AA$26)</f>
        <v>137.065345875324</v>
      </c>
      <c r="I67" s="1712" t="n">
        <f aca="false">HLOOKUP($C67,Rev_Exp_Table,Rev_Exp!$AA$76)/HLOOKUP($C67,Rev_Exp_Table,Rev_Exp!$AA$26)</f>
        <v>464.63296285422</v>
      </c>
      <c r="J67" s="1708" t="n">
        <f aca="false">AVERAGE(Trapped!$G$79:$Y$79)</f>
        <v>243.051947368421</v>
      </c>
      <c r="K67" s="1710" t="n">
        <f aca="false">SUM(D67:J67)</f>
        <v>2212.42970143537</v>
      </c>
      <c r="Q67" s="0"/>
    </row>
    <row r="68" customFormat="false" ht="12.75" hidden="false" customHeight="false" outlineLevel="0" collapsed="false">
      <c r="C68" s="1531" t="n">
        <f aca="false">C67+1</f>
        <v>2012</v>
      </c>
      <c r="D68" s="388"/>
      <c r="E68" s="1712" t="n">
        <f aca="false">HLOOKUP($C68,Rev_Exp_Table,Rev_Exp!$AA$72)/HLOOKUP($C68,Rev_Exp_Table,Rev_Exp!$AA$26)</f>
        <v>701.45520650566</v>
      </c>
      <c r="F68" s="1712" t="n">
        <f aca="false">HLOOKUP($C68,Rev_Exp_Table,Rev_Exp!$AA$73)/HLOOKUP($C68,Rev_Exp_Table,Rev_Exp!$AA$26)</f>
        <v>289.21573807476</v>
      </c>
      <c r="G68" s="1712" t="n">
        <f aca="false">HLOOKUP($C68,Rev_Exp_Table,Rev_Exp!$AA$74)/HLOOKUP($C68,Rev_Exp_Table,Rev_Exp!$AA$26)</f>
        <v>347.296151303267</v>
      </c>
      <c r="H68" s="1712" t="n">
        <f aca="false">HLOOKUP($C68,Rev_Exp_Table,Rev_Exp!$AA$75)/HLOOKUP($C68,Rev_Exp_Table,Rev_Exp!$AA$26)</f>
        <v>134.087649991595</v>
      </c>
      <c r="I68" s="1712" t="n">
        <f aca="false">HLOOKUP($C68,Rev_Exp_Table,Rev_Exp!$AA$76)/HLOOKUP($C68,Rev_Exp_Table,Rev_Exp!$AA$26)</f>
        <v>454.538977010456</v>
      </c>
      <c r="J68" s="1708" t="n">
        <f aca="false">AVERAGE(Trapped!$G$79:$Y$79)</f>
        <v>243.051947368421</v>
      </c>
      <c r="K68" s="1710" t="n">
        <f aca="false">SUM(D68:J68)</f>
        <v>2169.64567025416</v>
      </c>
      <c r="Q68" s="0"/>
    </row>
    <row r="69" customFormat="false" ht="12.75" hidden="false" customHeight="false" outlineLevel="0" collapsed="false">
      <c r="C69" s="1531" t="n">
        <f aca="false">C68+1</f>
        <v>2013</v>
      </c>
      <c r="D69" s="388"/>
      <c r="E69" s="1712" t="n">
        <f aca="false">HLOOKUP($C69,Rev_Exp_Table,Rev_Exp!$AA$72)/HLOOKUP($C69,Rev_Exp_Table,Rev_Exp!$AA$26)</f>
        <v>687.391868885363</v>
      </c>
      <c r="F69" s="1712" t="n">
        <f aca="false">HLOOKUP($C69,Rev_Exp_Table,Rev_Exp!$AA$73)/HLOOKUP($C69,Rev_Exp_Table,Rev_Exp!$AA$26)</f>
        <v>283.417308564327</v>
      </c>
      <c r="G69" s="1712" t="n">
        <f aca="false">HLOOKUP($C69,Rev_Exp_Table,Rev_Exp!$AA$74)/HLOOKUP($C69,Rev_Exp_Table,Rev_Exp!$AA$26)</f>
        <v>340.333278999078</v>
      </c>
      <c r="H69" s="1712" t="n">
        <f aca="false">HLOOKUP($C69,Rev_Exp_Table,Rev_Exp!$AA$75)/HLOOKUP($C69,Rev_Exp_Table,Rev_Exp!$AA$26)</f>
        <v>131.39935304112</v>
      </c>
      <c r="I69" s="1712" t="n">
        <f aca="false">HLOOKUP($C69,Rev_Exp_Table,Rev_Exp!$AA$76)/HLOOKUP($C69,Rev_Exp_Table,Rev_Exp!$AA$26)</f>
        <v>445.426014363666</v>
      </c>
      <c r="J69" s="1708" t="n">
        <f aca="false">AVERAGE(Trapped!$G$79:$Y$79)</f>
        <v>243.051947368421</v>
      </c>
      <c r="K69" s="1710" t="n">
        <f aca="false">SUM(D69:J69)</f>
        <v>2131.01977122197</v>
      </c>
      <c r="Q69" s="0"/>
    </row>
    <row r="70" customFormat="false" ht="12.75" hidden="false" customHeight="false" outlineLevel="0" collapsed="false">
      <c r="C70" s="1531" t="n">
        <f aca="false">C69+1</f>
        <v>2014</v>
      </c>
      <c r="D70" s="388"/>
      <c r="E70" s="1712" t="n">
        <f aca="false">HLOOKUP($C70,Rev_Exp_Table,Rev_Exp!$AA$72)/HLOOKUP($C70,Rev_Exp_Table,Rev_Exp!$AA$26)</f>
        <v>673.871079895391</v>
      </c>
      <c r="F70" s="1712" t="n">
        <f aca="false">HLOOKUP($C70,Rev_Exp_Table,Rev_Exp!$AA$73)/HLOOKUP($C70,Rev_Exp_Table,Rev_Exp!$AA$26)</f>
        <v>277.842576306558</v>
      </c>
      <c r="G70" s="1712" t="n">
        <f aca="false">HLOOKUP($C70,Rev_Exp_Table,Rev_Exp!$AA$74)/HLOOKUP($C70,Rev_Exp_Table,Rev_Exp!$AA$26)</f>
        <v>333.639026913913</v>
      </c>
      <c r="H70" s="1712" t="n">
        <f aca="false">HLOOKUP($C70,Rev_Exp_Table,Rev_Exp!$AA$75)/HLOOKUP($C70,Rev_Exp_Table,Rev_Exp!$AA$26)</f>
        <v>128.814767732061</v>
      </c>
      <c r="I70" s="1712" t="n">
        <f aca="false">HLOOKUP($C70,Rev_Exp_Table,Rev_Exp!$AA$76)/HLOOKUP($C70,Rev_Exp_Table,Rev_Exp!$AA$26)</f>
        <v>436.664620137952</v>
      </c>
      <c r="J70" s="1708" t="n">
        <f aca="false">AVERAGE(Trapped!$G$79:$Y$79)</f>
        <v>243.051947368421</v>
      </c>
      <c r="K70" s="1710" t="n">
        <f aca="false">SUM(D70:J70)</f>
        <v>2093.8840183543</v>
      </c>
      <c r="Q70" s="0"/>
    </row>
    <row r="71" customFormat="false" ht="12.75" hidden="false" customHeight="false" outlineLevel="0" collapsed="false">
      <c r="C71" s="1531" t="n">
        <f aca="false">C70+1</f>
        <v>2015</v>
      </c>
      <c r="D71" s="388"/>
      <c r="E71" s="1712" t="n">
        <f aca="false">HLOOKUP($C71,Rev_Exp_Table,Rev_Exp!$AA$72)/HLOOKUP($C71,Rev_Exp_Table,Rev_Exp!$AA$26)</f>
        <v>660.621710137334</v>
      </c>
      <c r="F71" s="1712" t="n">
        <f aca="false">HLOOKUP($C71,Rev_Exp_Table,Rev_Exp!$AA$73)/HLOOKUP($C71,Rev_Exp_Table,Rev_Exp!$AA$26)</f>
        <v>272.379752425485</v>
      </c>
      <c r="G71" s="1712" t="n">
        <f aca="false">HLOOKUP($C71,Rev_Exp_Table,Rev_Exp!$AA$74)/HLOOKUP($C71,Rev_Exp_Table,Rev_Exp!$AA$26)</f>
        <v>327.079156687716</v>
      </c>
      <c r="H71" s="1712" t="n">
        <f aca="false">HLOOKUP($C71,Rev_Exp_Table,Rev_Exp!$AA$75)/HLOOKUP($C71,Rev_Exp_Table,Rev_Exp!$AA$26)</f>
        <v>126.282065945474</v>
      </c>
      <c r="I71" s="1712" t="n">
        <f aca="false">HLOOKUP($C71,Rev_Exp_Table,Rev_Exp!$AA$76)/HLOOKUP($C71,Rev_Exp_Table,Rev_Exp!$AA$26)</f>
        <v>428.079104028004</v>
      </c>
      <c r="J71" s="1708" t="n">
        <f aca="false">AVERAGE(Trapped!$G$79:$Y$79)</f>
        <v>243.051947368421</v>
      </c>
      <c r="K71" s="1710" t="n">
        <f aca="false">SUM(D71:J71)</f>
        <v>2057.49373659243</v>
      </c>
      <c r="Q71" s="0"/>
    </row>
    <row r="72" customFormat="false" ht="12.75" hidden="false" customHeight="false" outlineLevel="0" collapsed="false">
      <c r="C72" s="1531" t="n">
        <f aca="false">C71+1</f>
        <v>2016</v>
      </c>
      <c r="D72" s="388"/>
      <c r="E72" s="1712" t="n">
        <f aca="false">HLOOKUP($C72,Rev_Exp_Table,Rev_Exp!$AA$72)/HLOOKUP($C72,Rev_Exp_Table,Rev_Exp!$AA$26)</f>
        <v>647.67950284408</v>
      </c>
      <c r="F72" s="1712" t="n">
        <f aca="false">HLOOKUP($C72,Rev_Exp_Table,Rev_Exp!$AA$73)/HLOOKUP($C72,Rev_Exp_Table,Rev_Exp!$AA$26)</f>
        <v>267.043574149353</v>
      </c>
      <c r="G72" s="1712" t="n">
        <f aca="false">HLOOKUP($C72,Rev_Exp_Table,Rev_Exp!$AA$74)/HLOOKUP($C72,Rev_Exp_Table,Rev_Exp!$AA$26)</f>
        <v>320.671365084447</v>
      </c>
      <c r="H72" s="1712" t="n">
        <f aca="false">HLOOKUP($C72,Rev_Exp_Table,Rev_Exp!$AA$75)/HLOOKUP($C72,Rev_Exp_Table,Rev_Exp!$AA$26)</f>
        <v>123.808080228978</v>
      </c>
      <c r="I72" s="1712" t="n">
        <f aca="false">HLOOKUP($C72,Rev_Exp_Table,Rev_Exp!$AA$76)/HLOOKUP($C72,Rev_Exp_Table,Rev_Exp!$AA$26)</f>
        <v>419.692627445076</v>
      </c>
      <c r="J72" s="1708" t="n">
        <f aca="false">AVERAGE(Trapped!$G$79:$Y$79)</f>
        <v>243.051947368421</v>
      </c>
      <c r="K72" s="1710" t="n">
        <f aca="false">SUM(D72:J72)</f>
        <v>2021.94709712036</v>
      </c>
      <c r="Q72" s="0"/>
    </row>
    <row r="73" customFormat="false" ht="12.75" hidden="false" customHeight="false" outlineLevel="0" collapsed="false">
      <c r="C73" s="1531" t="n">
        <f aca="false">C72+1</f>
        <v>2017</v>
      </c>
      <c r="D73" s="388"/>
      <c r="E73" s="1712" t="n">
        <f aca="false">HLOOKUP($C73,Rev_Exp_Table,Rev_Exp!$AA$72)/HLOOKUP($C73,Rev_Exp_Table,Rev_Exp!$AA$26)</f>
        <v>634.985078398583</v>
      </c>
      <c r="F73" s="1712" t="n">
        <f aca="false">HLOOKUP($C73,Rev_Exp_Table,Rev_Exp!$AA$73)/HLOOKUP($C73,Rev_Exp_Table,Rev_Exp!$AA$26)</f>
        <v>261.80955877476</v>
      </c>
      <c r="G73" s="1712" t="n">
        <f aca="false">HLOOKUP($C73,Rev_Exp_Table,Rev_Exp!$AA$74)/HLOOKUP($C73,Rev_Exp_Table,Rev_Exp!$AA$26)</f>
        <v>314.386252775004</v>
      </c>
      <c r="H73" s="1712" t="n">
        <f aca="false">HLOOKUP($C73,Rev_Exp_Table,Rev_Exp!$AA$75)/HLOOKUP($C73,Rev_Exp_Table,Rev_Exp!$AA$26)</f>
        <v>121.381459788919</v>
      </c>
      <c r="I73" s="1712" t="n">
        <f aca="false">HLOOKUP($C73,Rev_Exp_Table,Rev_Exp!$AA$76)/HLOOKUP($C73,Rev_Exp_Table,Rev_Exp!$AA$26)</f>
        <v>411.466712735658</v>
      </c>
      <c r="J73" s="1708" t="n">
        <f aca="false">AVERAGE(Trapped!$G$79:$Y$79)</f>
        <v>243.051947368421</v>
      </c>
      <c r="K73" s="1710" t="n">
        <f aca="false">SUM(D73:J73)</f>
        <v>1987.08100984135</v>
      </c>
      <c r="Q73" s="0"/>
    </row>
    <row r="74" customFormat="false" ht="12.75" hidden="false" customHeight="false" outlineLevel="0" collapsed="false">
      <c r="C74" s="1531" t="n">
        <f aca="false">C73+1</f>
        <v>2018</v>
      </c>
      <c r="D74" s="388"/>
      <c r="E74" s="1712" t="n">
        <f aca="false">HLOOKUP($C74,Rev_Exp_Table,Rev_Exp!$AA$72)/HLOOKUP($C74,Rev_Exp_Table,Rev_Exp!$AA$26)</f>
        <v>622.54626421676</v>
      </c>
      <c r="F74" s="1712" t="n">
        <f aca="false">HLOOKUP($C74,Rev_Exp_Table,Rev_Exp!$AA$73)/HLOOKUP($C74,Rev_Exp_Table,Rev_Exp!$AA$26)</f>
        <v>256.680933609525</v>
      </c>
      <c r="G74" s="1712" t="n">
        <f aca="false">HLOOKUP($C74,Rev_Exp_Table,Rev_Exp!$AA$74)/HLOOKUP($C74,Rev_Exp_Table,Rev_Exp!$AA$26)</f>
        <v>308.227695176375</v>
      </c>
      <c r="H74" s="1712" t="n">
        <f aca="false">HLOOKUP($C74,Rev_Exp_Table,Rev_Exp!$AA$75)/HLOOKUP($C74,Rev_Exp_Table,Rev_Exp!$AA$26)</f>
        <v>119.003700885922</v>
      </c>
      <c r="I74" s="1712" t="n">
        <f aca="false">HLOOKUP($C74,Rev_Exp_Table,Rev_Exp!$AA$76)/HLOOKUP($C74,Rev_Exp_Table,Rev_Exp!$AA$26)</f>
        <v>403.406432020665</v>
      </c>
      <c r="J74" s="1778" t="n">
        <f aca="false">Trapped!$Z$79</f>
        <v>64.4583</v>
      </c>
      <c r="K74" s="1710" t="n">
        <f aca="false">SUM(D74:J74)</f>
        <v>1774.32332590925</v>
      </c>
      <c r="Q74" s="0"/>
    </row>
    <row r="75" customFormat="false" ht="12.75" hidden="false" customHeight="false" outlineLevel="0" collapsed="false">
      <c r="C75" s="1531" t="n">
        <f aca="false">C74+1</f>
        <v>2019</v>
      </c>
      <c r="D75" s="388"/>
      <c r="E75" s="1712" t="n">
        <f aca="false">HLOOKUP($C75,Rev_Exp_Table,Rev_Exp!$AA$72)/HLOOKUP($C75,Rev_Exp_Table,Rev_Exp!$AA$26)</f>
        <v>203.451412983026</v>
      </c>
      <c r="F75" s="1712" t="n">
        <f aca="false">HLOOKUP($C75,Rev_Exp_Table,Rev_Exp!$AA$73)/HLOOKUP($C75,Rev_Exp_Table,Rev_Exp!$AA$26)</f>
        <v>83.8846871796138</v>
      </c>
      <c r="G75" s="1712" t="n">
        <f aca="false">HLOOKUP($C75,Rev_Exp_Table,Rev_Exp!$AA$74)/HLOOKUP($C75,Rev_Exp_Table,Rev_Exp!$AA$26)</f>
        <v>100.730441588998</v>
      </c>
      <c r="H75" s="1712" t="n">
        <f aca="false">HLOOKUP($C75,Rev_Exp_Table,Rev_Exp!$AA$75)/HLOOKUP($C75,Rev_Exp_Table,Rev_Exp!$AA$26)</f>
        <v>38.8910390875306</v>
      </c>
      <c r="I75" s="1712" t="n">
        <f aca="false">HLOOKUP($C75,Rev_Exp_Table,Rev_Exp!$AA$76)/HLOOKUP($C75,Rev_Exp_Table,Rev_Exp!$AA$26)</f>
        <v>131.835356371954</v>
      </c>
      <c r="J75" s="1778" t="n">
        <f aca="false">Trapped!$AA$79</f>
        <v>64.4583</v>
      </c>
      <c r="K75" s="1710" t="n">
        <f aca="false">SUM(D75:J75)</f>
        <v>623.251237211123</v>
      </c>
      <c r="Q75" s="0"/>
    </row>
    <row r="76" customFormat="false" ht="13.5" hidden="false" customHeight="false" outlineLevel="0" collapsed="false">
      <c r="C76" s="1531"/>
      <c r="D76" s="388"/>
      <c r="E76" s="1712"/>
      <c r="F76" s="1712"/>
      <c r="G76" s="1712"/>
      <c r="H76" s="1712"/>
      <c r="I76" s="1712"/>
      <c r="J76" s="1778"/>
      <c r="K76" s="1710"/>
      <c r="Q76" s="0"/>
    </row>
    <row r="77" customFormat="false" ht="13.5" hidden="false" customHeight="false" outlineLevel="0" collapsed="false">
      <c r="C77" s="1721" t="s">
        <v>66</v>
      </c>
      <c r="D77" s="1727" t="n">
        <f aca="false">SUM(D55:D76)</f>
        <v>0</v>
      </c>
      <c r="E77" s="1727" t="n">
        <f aca="false">SUM(E55:E76)</f>
        <v>16344.9300020416</v>
      </c>
      <c r="F77" s="1727" t="n">
        <f aca="false">SUM(F55:F76)</f>
        <v>6667.88194925668</v>
      </c>
      <c r="G77" s="1727" t="n">
        <f aca="false">SUM(G55:G76)</f>
        <v>8076.13133247996</v>
      </c>
      <c r="H77" s="1727" t="n">
        <f aca="false">SUM(H55:H76)</f>
        <v>2692.83984156309</v>
      </c>
      <c r="I77" s="1727" t="n">
        <f aca="false">SUM(I55:I76)</f>
        <v>9290.2878334255</v>
      </c>
      <c r="J77" s="1724" t="n">
        <f aca="false">SUM(J55:J76)</f>
        <v>4746.9036</v>
      </c>
      <c r="K77" s="1726" t="n">
        <f aca="false">SUM(K55:K76)</f>
        <v>47818.9745587668</v>
      </c>
      <c r="Q77" s="0"/>
    </row>
    <row r="78" customFormat="false" ht="12.75" hidden="false" customHeight="false" outlineLevel="0" collapsed="false">
      <c r="C78" s="1556" t="n">
        <v>1</v>
      </c>
      <c r="D78" s="1556" t="n">
        <f aca="false">C78+1</f>
        <v>2</v>
      </c>
      <c r="E78" s="1556" t="n">
        <f aca="false">D78+1</f>
        <v>3</v>
      </c>
      <c r="F78" s="1556" t="n">
        <f aca="false">E78+1</f>
        <v>4</v>
      </c>
      <c r="G78" s="1556" t="n">
        <f aca="false">F78+1</f>
        <v>5</v>
      </c>
      <c r="H78" s="1556" t="n">
        <f aca="false">G78+1</f>
        <v>6</v>
      </c>
      <c r="I78" s="1556" t="n">
        <f aca="false">H78+1</f>
        <v>7</v>
      </c>
      <c r="J78" s="1556" t="n">
        <f aca="false">I78+1</f>
        <v>8</v>
      </c>
      <c r="K78" s="1556" t="n">
        <f aca="false">J78+1</f>
        <v>9</v>
      </c>
      <c r="Q78" s="0"/>
    </row>
    <row r="79" customFormat="false" ht="12.75" hidden="false" customHeight="false" outlineLevel="0" collapsed="false">
      <c r="Q79" s="0"/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X22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F11" activeCellId="0" sqref="F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6.56"/>
    <col collapsed="false" customWidth="true" hidden="false" outlineLevel="0" max="3" min="3" style="0" width="1.7"/>
    <col collapsed="false" customWidth="true" hidden="false" outlineLevel="0" max="9" min="4" style="0" width="11.7"/>
    <col collapsed="false" customWidth="true" hidden="false" outlineLevel="0" max="10" min="10" style="1682" width="11.7"/>
    <col collapsed="false" customWidth="true" hidden="false" outlineLevel="0" max="24" min="11" style="0" width="11.7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1522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1522"/>
    </row>
    <row r="3" customFormat="false" ht="15" hidden="false" customHeight="false" outlineLevel="0" collapsed="false">
      <c r="A3" s="19" t="str">
        <f aca="false">TOC!B4</f>
        <v>ENRON INTERNATIONAL</v>
      </c>
      <c r="B3" s="19"/>
    </row>
    <row r="4" customFormat="false" ht="15" hidden="false" customHeight="false" outlineLevel="0" collapsed="false">
      <c r="A4" s="21" t="s">
        <v>1962</v>
      </c>
      <c r="B4" s="21"/>
      <c r="C4" s="358"/>
      <c r="D4" s="358"/>
      <c r="E4" s="358"/>
    </row>
    <row r="5" customFormat="false" ht="13.5" hidden="false" customHeight="false" outlineLevel="0" collapsed="false"/>
    <row r="6" customFormat="false" ht="12.75" hidden="false" customHeight="false" outlineLevel="0" collapsed="false">
      <c r="A6" s="1779" t="s">
        <v>1963</v>
      </c>
      <c r="B6" s="1780"/>
      <c r="C6" s="1780"/>
      <c r="D6" s="1781" t="n">
        <v>1</v>
      </c>
      <c r="E6" s="1782" t="n">
        <f aca="false">D6+1</f>
        <v>2</v>
      </c>
      <c r="F6" s="1782" t="n">
        <f aca="false">E6+1</f>
        <v>3</v>
      </c>
      <c r="G6" s="1782" t="n">
        <f aca="false">F6+1</f>
        <v>4</v>
      </c>
      <c r="H6" s="1782" t="n">
        <f aca="false">G6+1</f>
        <v>5</v>
      </c>
      <c r="I6" s="1782" t="n">
        <f aca="false">H6+1</f>
        <v>6</v>
      </c>
      <c r="J6" s="1782" t="n">
        <f aca="false">I6+1</f>
        <v>7</v>
      </c>
      <c r="K6" s="1782" t="n">
        <f aca="false">J6+1</f>
        <v>8</v>
      </c>
      <c r="L6" s="1782" t="n">
        <f aca="false">K6+1</f>
        <v>9</v>
      </c>
      <c r="M6" s="1782" t="n">
        <f aca="false">L6+1</f>
        <v>10</v>
      </c>
      <c r="N6" s="1782" t="n">
        <f aca="false">M6+1</f>
        <v>11</v>
      </c>
      <c r="O6" s="1782" t="n">
        <f aca="false">N6+1</f>
        <v>12</v>
      </c>
      <c r="P6" s="1782" t="n">
        <f aca="false">O6+1</f>
        <v>13</v>
      </c>
      <c r="Q6" s="1782" t="n">
        <f aca="false">P6+1</f>
        <v>14</v>
      </c>
      <c r="R6" s="1782" t="n">
        <f aca="false">Q6+1</f>
        <v>15</v>
      </c>
      <c r="S6" s="1782" t="n">
        <f aca="false">R6+1</f>
        <v>16</v>
      </c>
      <c r="T6" s="1782" t="n">
        <f aca="false">S6+1</f>
        <v>17</v>
      </c>
      <c r="U6" s="1782" t="n">
        <f aca="false">T6+1</f>
        <v>18</v>
      </c>
      <c r="V6" s="1782" t="n">
        <f aca="false">U6+1</f>
        <v>19</v>
      </c>
      <c r="W6" s="1782" t="n">
        <f aca="false">V6+1</f>
        <v>20</v>
      </c>
      <c r="X6" s="452" t="s">
        <v>66</v>
      </c>
    </row>
    <row r="7" customFormat="false" ht="12.75" hidden="false" customHeight="false" outlineLevel="0" collapsed="false">
      <c r="A7" s="744"/>
      <c r="B7" s="388"/>
      <c r="C7" s="388"/>
      <c r="D7" s="388"/>
      <c r="E7" s="388"/>
      <c r="F7" s="388"/>
      <c r="G7" s="388"/>
      <c r="H7" s="388"/>
      <c r="I7" s="388"/>
      <c r="J7" s="630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614"/>
    </row>
    <row r="8" customFormat="false" ht="12.75" hidden="false" customHeight="false" outlineLevel="0" collapsed="false">
      <c r="A8" s="744" t="s">
        <v>1964</v>
      </c>
      <c r="B8" s="388"/>
      <c r="C8" s="388"/>
      <c r="D8" s="76" t="n">
        <v>150</v>
      </c>
      <c r="E8" s="76" t="n">
        <v>300</v>
      </c>
      <c r="F8" s="76" t="n">
        <v>480</v>
      </c>
      <c r="G8" s="427" t="n">
        <f aca="false">F8</f>
        <v>480</v>
      </c>
      <c r="H8" s="427" t="n">
        <f aca="false">G8</f>
        <v>480</v>
      </c>
      <c r="I8" s="427" t="n">
        <f aca="false">H8</f>
        <v>480</v>
      </c>
      <c r="J8" s="427" t="n">
        <f aca="false">I8</f>
        <v>480</v>
      </c>
      <c r="K8" s="427" t="n">
        <f aca="false">J8</f>
        <v>480</v>
      </c>
      <c r="L8" s="427" t="n">
        <f aca="false">K8</f>
        <v>480</v>
      </c>
      <c r="M8" s="427" t="n">
        <f aca="false">L8</f>
        <v>480</v>
      </c>
      <c r="N8" s="427" t="n">
        <f aca="false">M8</f>
        <v>480</v>
      </c>
      <c r="O8" s="427" t="n">
        <f aca="false">N8</f>
        <v>480</v>
      </c>
      <c r="P8" s="427" t="n">
        <f aca="false">O8</f>
        <v>480</v>
      </c>
      <c r="Q8" s="427" t="n">
        <f aca="false">P8</f>
        <v>480</v>
      </c>
      <c r="R8" s="427" t="n">
        <f aca="false">Q8</f>
        <v>480</v>
      </c>
      <c r="S8" s="427" t="n">
        <f aca="false">R8</f>
        <v>480</v>
      </c>
      <c r="T8" s="427" t="n">
        <f aca="false">S8</f>
        <v>480</v>
      </c>
      <c r="U8" s="427" t="n">
        <f aca="false">T8</f>
        <v>480</v>
      </c>
      <c r="V8" s="427" t="n">
        <f aca="false">U8</f>
        <v>480</v>
      </c>
      <c r="W8" s="427" t="n">
        <f aca="false">V8</f>
        <v>480</v>
      </c>
      <c r="X8" s="614"/>
    </row>
    <row r="9" customFormat="false" ht="12.75" hidden="false" customHeight="false" outlineLevel="0" collapsed="false">
      <c r="A9" s="744"/>
      <c r="B9" s="388"/>
      <c r="C9" s="388"/>
      <c r="D9" s="388"/>
      <c r="E9" s="388"/>
      <c r="F9" s="388"/>
      <c r="G9" s="388"/>
      <c r="H9" s="388"/>
      <c r="I9" s="388"/>
      <c r="J9" s="630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614"/>
    </row>
    <row r="10" customFormat="false" ht="12.75" hidden="false" customHeight="false" outlineLevel="0" collapsed="false">
      <c r="A10" s="1783" t="s">
        <v>1965</v>
      </c>
      <c r="B10" s="388"/>
      <c r="C10" s="388"/>
      <c r="D10" s="388"/>
      <c r="E10" s="388"/>
      <c r="F10" s="388"/>
      <c r="G10" s="388"/>
      <c r="H10" s="388"/>
      <c r="I10" s="388"/>
      <c r="J10" s="630"/>
      <c r="K10" s="388"/>
      <c r="L10" s="388"/>
      <c r="M10" s="388"/>
      <c r="N10" s="388"/>
      <c r="O10" s="388"/>
      <c r="P10" s="388"/>
      <c r="Q10" s="388"/>
      <c r="R10" s="388"/>
      <c r="S10" s="388"/>
      <c r="T10" s="388"/>
      <c r="U10" s="388"/>
      <c r="V10" s="388"/>
      <c r="W10" s="388"/>
      <c r="X10" s="614"/>
    </row>
    <row r="11" customFormat="false" ht="12.75" hidden="false" customHeight="false" outlineLevel="0" collapsed="false">
      <c r="A11" s="744" t="s">
        <v>1864</v>
      </c>
      <c r="B11" s="388"/>
      <c r="C11" s="388"/>
      <c r="D11" s="109" t="n">
        <f aca="false">VLOOKUP(D$6,Bid_Tariff_Table,Tariff!$D$63)</f>
        <v>10721.11</v>
      </c>
      <c r="E11" s="109" t="n">
        <f aca="false">VLOOKUP(E$6,Bid_Tariff_Table,Tariff!$D$63)</f>
        <v>10721.11</v>
      </c>
      <c r="F11" s="109" t="n">
        <f aca="false">VLOOKUP(F$6,Bid_Tariff_Table,Tariff!$D$63)</f>
        <v>6782.87</v>
      </c>
      <c r="G11" s="109" t="n">
        <f aca="false">VLOOKUP(G$6,Bid_Tariff_Table,Tariff!$D$63)</f>
        <v>7854.93</v>
      </c>
      <c r="H11" s="109" t="n">
        <f aca="false">VLOOKUP(H$6,Bid_Tariff_Table,Tariff!$D$63)</f>
        <v>9495.86</v>
      </c>
      <c r="I11" s="109" t="n">
        <f aca="false">VLOOKUP(I$6,Bid_Tariff_Table,Tariff!$D$63)</f>
        <v>9425.51</v>
      </c>
      <c r="J11" s="109" t="n">
        <f aca="false">VLOOKUP(J$6,Bid_Tariff_Table,Tariff!$D$63)</f>
        <v>9803.42</v>
      </c>
      <c r="K11" s="109" t="n">
        <f aca="false">VLOOKUP(K$6,Bid_Tariff_Table,Tariff!$D$63)</f>
        <v>9776.1</v>
      </c>
      <c r="L11" s="109" t="n">
        <f aca="false">VLOOKUP(L$6,Bid_Tariff_Table,Tariff!$D$63)</f>
        <v>10096.24</v>
      </c>
      <c r="M11" s="109" t="n">
        <f aca="false">VLOOKUP(M$6,Bid_Tariff_Table,Tariff!$D$63)</f>
        <v>10416.24</v>
      </c>
      <c r="N11" s="109" t="n">
        <f aca="false">VLOOKUP(N$6,Bid_Tariff_Table,Tariff!$D$63)</f>
        <v>10554.88</v>
      </c>
      <c r="O11" s="109" t="n">
        <f aca="false">VLOOKUP(O$6,Bid_Tariff_Table,Tariff!$D$63)</f>
        <v>10709.97</v>
      </c>
      <c r="P11" s="109" t="n">
        <f aca="false">VLOOKUP(P$6,Bid_Tariff_Table,Tariff!$D$63)</f>
        <v>5172.37</v>
      </c>
      <c r="Q11" s="109" t="n">
        <f aca="false">VLOOKUP(Q$6,Bid_Tariff_Table,Tariff!$D$63)</f>
        <v>3801.75</v>
      </c>
      <c r="R11" s="109" t="n">
        <f aca="false">VLOOKUP(R$6,Bid_Tariff_Table,Tariff!$D$63)</f>
        <v>3801.76</v>
      </c>
      <c r="S11" s="109" t="n">
        <f aca="false">VLOOKUP(S$6,Bid_Tariff_Table,Tariff!$D$63)</f>
        <v>3801.75</v>
      </c>
      <c r="T11" s="109" t="n">
        <f aca="false">VLOOKUP(T$6,Bid_Tariff_Table,Tariff!$D$63)</f>
        <v>3801.74</v>
      </c>
      <c r="U11" s="109" t="n">
        <f aca="false">VLOOKUP(U$6,Bid_Tariff_Table,Tariff!$D$63)</f>
        <v>3801.75</v>
      </c>
      <c r="V11" s="109" t="n">
        <f aca="false">VLOOKUP(V$6,Bid_Tariff_Table,Tariff!$D$63)</f>
        <v>3801.74</v>
      </c>
      <c r="W11" s="109" t="n">
        <f aca="false">VLOOKUP(W$6,Bid_Tariff_Table,Tariff!$D$63)</f>
        <v>3801.75</v>
      </c>
      <c r="X11" s="1784"/>
    </row>
    <row r="12" customFormat="false" ht="12.75" hidden="false" customHeight="false" outlineLevel="0" collapsed="false">
      <c r="A12" s="744" t="s">
        <v>1966</v>
      </c>
      <c r="B12" s="388"/>
      <c r="C12" s="388"/>
      <c r="D12" s="109" t="n">
        <f aca="false">D$8*D11*12/1000</f>
        <v>19297.998</v>
      </c>
      <c r="E12" s="109" t="n">
        <f aca="false">E$8*E11*12/1000</f>
        <v>38595.996</v>
      </c>
      <c r="F12" s="109" t="n">
        <f aca="false">F$8*F11*12/1000</f>
        <v>39069.3312</v>
      </c>
      <c r="G12" s="109" t="n">
        <f aca="false">G$8*G11*12/1000</f>
        <v>45244.3968</v>
      </c>
      <c r="H12" s="109" t="n">
        <f aca="false">H$8*H11*12/1000</f>
        <v>54696.1536</v>
      </c>
      <c r="I12" s="109" t="n">
        <f aca="false">I$8*I11*12/1000</f>
        <v>54290.9376</v>
      </c>
      <c r="J12" s="109" t="n">
        <f aca="false">J$8*J11*12/1000</f>
        <v>56467.6992</v>
      </c>
      <c r="K12" s="109" t="n">
        <f aca="false">K$8*K11*12/1000</f>
        <v>56310.336</v>
      </c>
      <c r="L12" s="109" t="n">
        <f aca="false">L$8*L11*12/1000</f>
        <v>58154.3424</v>
      </c>
      <c r="M12" s="109" t="n">
        <f aca="false">M$8*M11*12/1000</f>
        <v>59997.5424</v>
      </c>
      <c r="N12" s="109" t="n">
        <f aca="false">N$8*N11*12/1000</f>
        <v>60796.1088</v>
      </c>
      <c r="O12" s="109" t="n">
        <f aca="false">O$8*O11*12/1000</f>
        <v>61689.4272</v>
      </c>
      <c r="P12" s="109" t="n">
        <f aca="false">P$8*P11*12/1000</f>
        <v>29792.8512</v>
      </c>
      <c r="Q12" s="109" t="n">
        <f aca="false">Q$8*Q11*12/1000</f>
        <v>21898.08</v>
      </c>
      <c r="R12" s="109" t="n">
        <f aca="false">R$8*R11*12/1000</f>
        <v>21898.1376</v>
      </c>
      <c r="S12" s="109" t="n">
        <f aca="false">S$8*S11*12/1000</f>
        <v>21898.08</v>
      </c>
      <c r="T12" s="109" t="n">
        <f aca="false">T$8*T11*12/1000</f>
        <v>21898.0224</v>
      </c>
      <c r="U12" s="109" t="n">
        <f aca="false">U$8*U11*12/1000</f>
        <v>21898.08</v>
      </c>
      <c r="V12" s="109" t="n">
        <f aca="false">V$8*V11*12/1000</f>
        <v>21898.0224</v>
      </c>
      <c r="W12" s="109" t="n">
        <f aca="false">W$8*W11*12/1000</f>
        <v>21898.08</v>
      </c>
      <c r="X12" s="1784" t="n">
        <f aca="false">SUM(D12:W12)</f>
        <v>787689.6228</v>
      </c>
    </row>
    <row r="13" customFormat="false" ht="12.75" hidden="false" customHeight="false" outlineLevel="0" collapsed="false">
      <c r="A13" s="744"/>
      <c r="B13" s="388"/>
      <c r="C13" s="388"/>
      <c r="D13" s="388"/>
      <c r="E13" s="388"/>
      <c r="F13" s="388"/>
      <c r="G13" s="388"/>
      <c r="H13" s="388"/>
      <c r="I13" s="388"/>
      <c r="J13" s="630"/>
      <c r="K13" s="388"/>
      <c r="L13" s="388"/>
      <c r="M13" s="388"/>
      <c r="N13" s="388"/>
      <c r="O13" s="388"/>
      <c r="P13" s="388"/>
      <c r="Q13" s="388"/>
      <c r="R13" s="388"/>
      <c r="S13" s="388"/>
      <c r="T13" s="388"/>
      <c r="U13" s="388"/>
      <c r="V13" s="388"/>
      <c r="W13" s="388"/>
      <c r="X13" s="614"/>
    </row>
    <row r="14" customFormat="false" ht="12.75" hidden="false" customHeight="false" outlineLevel="0" collapsed="false">
      <c r="A14" s="744" t="s">
        <v>1967</v>
      </c>
      <c r="B14" s="51" t="n">
        <v>0.115</v>
      </c>
      <c r="C14" s="388"/>
      <c r="D14" s="109" t="n">
        <f aca="false">NPV(B14,D12:W12)</f>
        <v>324731.791989396</v>
      </c>
      <c r="E14" s="388"/>
      <c r="F14" s="388"/>
      <c r="G14" s="388"/>
      <c r="H14" s="388"/>
      <c r="I14" s="388"/>
      <c r="J14" s="630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614"/>
    </row>
    <row r="15" customFormat="false" ht="12.75" hidden="false" customHeight="false" outlineLevel="0" collapsed="false">
      <c r="A15" s="744"/>
      <c r="B15" s="388"/>
      <c r="C15" s="388"/>
      <c r="D15" s="388"/>
      <c r="E15" s="388"/>
      <c r="F15" s="388"/>
      <c r="G15" s="388"/>
      <c r="H15" s="388"/>
      <c r="I15" s="388"/>
      <c r="J15" s="630"/>
      <c r="K15" s="388"/>
      <c r="L15" s="388"/>
      <c r="M15" s="388"/>
      <c r="N15" s="388"/>
      <c r="O15" s="388"/>
      <c r="P15" s="388"/>
      <c r="Q15" s="388"/>
      <c r="R15" s="388"/>
      <c r="S15" s="388"/>
      <c r="T15" s="388"/>
      <c r="U15" s="388"/>
      <c r="V15" s="388"/>
      <c r="W15" s="388"/>
      <c r="X15" s="614"/>
    </row>
    <row r="16" customFormat="false" ht="12.75" hidden="false" customHeight="false" outlineLevel="0" collapsed="false">
      <c r="A16" s="744"/>
      <c r="B16" s="388"/>
      <c r="C16" s="388"/>
      <c r="D16" s="388"/>
      <c r="E16" s="388"/>
      <c r="F16" s="388"/>
      <c r="G16" s="388"/>
      <c r="H16" s="388"/>
      <c r="I16" s="388"/>
      <c r="J16" s="630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614"/>
    </row>
    <row r="17" customFormat="false" ht="12.75" hidden="false" customHeight="false" outlineLevel="0" collapsed="false">
      <c r="A17" s="1783" t="s">
        <v>1968</v>
      </c>
      <c r="B17" s="388"/>
      <c r="C17" s="388"/>
      <c r="D17" s="388"/>
      <c r="E17" s="388"/>
      <c r="F17" s="388"/>
      <c r="G17" s="388"/>
      <c r="H17" s="388"/>
      <c r="I17" s="388"/>
      <c r="J17" s="630"/>
      <c r="K17" s="388"/>
      <c r="L17" s="388"/>
      <c r="M17" s="388"/>
      <c r="N17" s="388"/>
      <c r="O17" s="388"/>
      <c r="P17" s="388"/>
      <c r="Q17" s="388"/>
      <c r="R17" s="388"/>
      <c r="S17" s="388"/>
      <c r="T17" s="388"/>
      <c r="U17" s="388"/>
      <c r="V17" s="388"/>
      <c r="W17" s="388"/>
      <c r="X17" s="614"/>
    </row>
    <row r="18" customFormat="false" ht="12.75" hidden="false" customHeight="false" outlineLevel="0" collapsed="false">
      <c r="A18" s="744" t="s">
        <v>1864</v>
      </c>
      <c r="B18" s="388"/>
      <c r="C18" s="388"/>
      <c r="D18" s="109" t="n">
        <f aca="false">VLOOKUP(D$6,New_Tariff_Table,'US$ Table'!$G$78)</f>
        <v>10316.6405332604</v>
      </c>
      <c r="E18" s="109" t="n">
        <f aca="false">VLOOKUP(E$6,New_Tariff_Table,'US$ Table'!$G$78)</f>
        <v>9296.51861085183</v>
      </c>
      <c r="F18" s="109" t="n">
        <f aca="false">VLOOKUP(F$6,New_Tariff_Table,'US$ Table'!$G$78)</f>
        <v>9330.58805525954</v>
      </c>
      <c r="G18" s="109" t="n">
        <f aca="false">VLOOKUP(G$6,New_Tariff_Table,'US$ Table'!$G$78)</f>
        <v>10376.3870235678</v>
      </c>
      <c r="H18" s="109" t="n">
        <f aca="false">VLOOKUP(H$6,New_Tariff_Table,'US$ Table'!$G$78)</f>
        <v>10060.8089249265</v>
      </c>
      <c r="I18" s="109" t="n">
        <f aca="false">VLOOKUP(I$6,New_Tariff_Table,'US$ Table'!$G$78)</f>
        <v>9620.6680759532</v>
      </c>
      <c r="J18" s="109" t="n">
        <f aca="false">VLOOKUP(J$6,New_Tariff_Table,'US$ Table'!$G$78)</f>
        <v>9521.63359211995</v>
      </c>
      <c r="K18" s="109" t="n">
        <f aca="false">VLOOKUP(K$6,New_Tariff_Table,'US$ Table'!$G$78)</f>
        <v>9366.69015985345</v>
      </c>
      <c r="L18" s="109" t="n">
        <f aca="false">VLOOKUP(L$6,New_Tariff_Table,'US$ Table'!$G$78)</f>
        <v>9103.53425680975</v>
      </c>
      <c r="M18" s="109" t="n">
        <f aca="false">VLOOKUP(M$6,New_Tariff_Table,'US$ Table'!$G$78)</f>
        <v>8693.33015943632</v>
      </c>
      <c r="N18" s="109" t="n">
        <f aca="false">VLOOKUP(N$6,New_Tariff_Table,'US$ Table'!$G$78)</f>
        <v>8370.65140344059</v>
      </c>
      <c r="O18" s="109" t="n">
        <f aca="false">VLOOKUP(O$6,New_Tariff_Table,'US$ Table'!$G$78)</f>
        <v>8206.05614852317</v>
      </c>
      <c r="P18" s="109" t="n">
        <f aca="false">VLOOKUP(P$6,New_Tariff_Table,'US$ Table'!$G$78)</f>
        <v>8094.77722054302</v>
      </c>
      <c r="Q18" s="109" t="n">
        <f aca="false">VLOOKUP(Q$6,New_Tariff_Table,'US$ Table'!$G$78)</f>
        <v>7401.2682024331</v>
      </c>
      <c r="R18" s="109" t="n">
        <f aca="false">VLOOKUP(R$6,New_Tariff_Table,'US$ Table'!$G$78)</f>
        <v>6103.98202096857</v>
      </c>
      <c r="S18" s="109" t="n">
        <f aca="false">VLOOKUP(S$6,New_Tariff_Table,'US$ Table'!$G$78)</f>
        <v>5838.96755378023</v>
      </c>
      <c r="T18" s="109" t="n">
        <f aca="false">VLOOKUP(T$6,New_Tariff_Table,'US$ Table'!$G$78)</f>
        <v>4740.89083138649</v>
      </c>
      <c r="U18" s="109" t="n">
        <f aca="false">VLOOKUP(U$6,New_Tariff_Table,'US$ Table'!$G$78)</f>
        <v>3088.73567057064</v>
      </c>
      <c r="V18" s="109" t="n">
        <f aca="false">VLOOKUP(V$6,New_Tariff_Table,'US$ Table'!$G$78)</f>
        <v>2761.02859377321</v>
      </c>
      <c r="W18" s="109" t="n">
        <f aca="false">VLOOKUP(W$6,New_Tariff_Table,'US$ Table'!$G$78)</f>
        <v>2144.79592639794</v>
      </c>
      <c r="X18" s="1784"/>
    </row>
    <row r="19" customFormat="false" ht="12.75" hidden="false" customHeight="false" outlineLevel="0" collapsed="false">
      <c r="A19" s="744" t="s">
        <v>1966</v>
      </c>
      <c r="B19" s="388"/>
      <c r="C19" s="388"/>
      <c r="D19" s="109" t="n">
        <f aca="false">D$8*D18*12/1000</f>
        <v>18569.9529598687</v>
      </c>
      <c r="E19" s="109" t="n">
        <f aca="false">E$8*E18*12/1000</f>
        <v>33467.4669990666</v>
      </c>
      <c r="F19" s="109" t="n">
        <f aca="false">F$8*F18*12/1000</f>
        <v>53744.187198295</v>
      </c>
      <c r="G19" s="109" t="n">
        <f aca="false">G$8*G18*12/1000</f>
        <v>59767.9892557506</v>
      </c>
      <c r="H19" s="109" t="n">
        <f aca="false">H$8*H18*12/1000</f>
        <v>57950.2594075766</v>
      </c>
      <c r="I19" s="109" t="n">
        <f aca="false">I$8*I18*12/1000</f>
        <v>55415.0481174905</v>
      </c>
      <c r="J19" s="109" t="n">
        <f aca="false">J$8*J18*12/1000</f>
        <v>54844.6094906109</v>
      </c>
      <c r="K19" s="109" t="n">
        <f aca="false">K$8*K18*12/1000</f>
        <v>53952.1353207559</v>
      </c>
      <c r="L19" s="109" t="n">
        <f aca="false">L$8*L18*12/1000</f>
        <v>52436.3573192242</v>
      </c>
      <c r="M19" s="109" t="n">
        <f aca="false">M$8*M18*12/1000</f>
        <v>50073.5817183532</v>
      </c>
      <c r="N19" s="109" t="n">
        <f aca="false">N$8*N18*12/1000</f>
        <v>48214.9520838178</v>
      </c>
      <c r="O19" s="109" t="n">
        <f aca="false">O$8*O18*12/1000</f>
        <v>47266.8834154935</v>
      </c>
      <c r="P19" s="109" t="n">
        <f aca="false">P$8*P18*12/1000</f>
        <v>46625.9167903278</v>
      </c>
      <c r="Q19" s="109" t="n">
        <f aca="false">Q$8*Q18*12/1000</f>
        <v>42631.3048460147</v>
      </c>
      <c r="R19" s="109" t="n">
        <f aca="false">R$8*R18*12/1000</f>
        <v>35158.936440779</v>
      </c>
      <c r="S19" s="109" t="n">
        <f aca="false">S$8*S18*12/1000</f>
        <v>33632.4531097741</v>
      </c>
      <c r="T19" s="109" t="n">
        <f aca="false">T$8*T18*12/1000</f>
        <v>27307.5311887862</v>
      </c>
      <c r="U19" s="109" t="n">
        <f aca="false">U$8*U18*12/1000</f>
        <v>17791.1174624869</v>
      </c>
      <c r="V19" s="109" t="n">
        <f aca="false">V$8*V18*12/1000</f>
        <v>15903.5247001337</v>
      </c>
      <c r="W19" s="109" t="n">
        <f aca="false">W$8*W18*12/1000</f>
        <v>12354.0245360521</v>
      </c>
      <c r="X19" s="1784" t="n">
        <f aca="false">SUM(D19:W19)</f>
        <v>817108.232360658</v>
      </c>
    </row>
    <row r="20" customFormat="false" ht="12.75" hidden="false" customHeight="false" outlineLevel="0" collapsed="false">
      <c r="A20" s="744"/>
      <c r="B20" s="388"/>
      <c r="C20" s="388"/>
      <c r="D20" s="388"/>
      <c r="E20" s="388"/>
      <c r="F20" s="388"/>
      <c r="G20" s="388"/>
      <c r="H20" s="388"/>
      <c r="I20" s="388"/>
      <c r="J20" s="630"/>
      <c r="K20" s="388"/>
      <c r="L20" s="388"/>
      <c r="M20" s="388"/>
      <c r="N20" s="388"/>
      <c r="O20" s="388"/>
      <c r="P20" s="388"/>
      <c r="Q20" s="388"/>
      <c r="R20" s="388"/>
      <c r="S20" s="388"/>
      <c r="T20" s="388"/>
      <c r="U20" s="388"/>
      <c r="V20" s="388"/>
      <c r="W20" s="388"/>
      <c r="X20" s="614"/>
    </row>
    <row r="21" customFormat="false" ht="12.75" hidden="false" customHeight="false" outlineLevel="0" collapsed="false">
      <c r="A21" s="744" t="s">
        <v>1967</v>
      </c>
      <c r="B21" s="51" t="n">
        <v>0.115</v>
      </c>
      <c r="C21" s="388"/>
      <c r="D21" s="109" t="n">
        <f aca="false">NPV(B21,D19:W19)</f>
        <v>339155.774119411</v>
      </c>
      <c r="E21" s="388"/>
      <c r="F21" s="388"/>
      <c r="G21" s="388"/>
      <c r="H21" s="388"/>
      <c r="I21" s="388"/>
      <c r="J21" s="630"/>
      <c r="K21" s="388"/>
      <c r="L21" s="388"/>
      <c r="M21" s="388"/>
      <c r="N21" s="388"/>
      <c r="O21" s="388"/>
      <c r="P21" s="388"/>
      <c r="Q21" s="388"/>
      <c r="R21" s="388"/>
      <c r="S21" s="388"/>
      <c r="T21" s="388"/>
      <c r="U21" s="388"/>
      <c r="V21" s="388"/>
      <c r="W21" s="388"/>
      <c r="X21" s="614"/>
    </row>
    <row r="22" customFormat="false" ht="13.5" hidden="false" customHeight="false" outlineLevel="0" collapsed="false">
      <c r="A22" s="1587"/>
      <c r="B22" s="373"/>
      <c r="C22" s="373"/>
      <c r="D22" s="373"/>
      <c r="E22" s="373"/>
      <c r="F22" s="373"/>
      <c r="G22" s="373"/>
      <c r="H22" s="373"/>
      <c r="I22" s="373"/>
      <c r="J22" s="1785"/>
      <c r="K22" s="373"/>
      <c r="L22" s="373"/>
      <c r="M22" s="373"/>
      <c r="N22" s="373"/>
      <c r="O22" s="373"/>
      <c r="P22" s="373"/>
      <c r="Q22" s="373"/>
      <c r="R22" s="373"/>
      <c r="S22" s="373"/>
      <c r="T22" s="373"/>
      <c r="U22" s="373"/>
      <c r="V22" s="373"/>
      <c r="W22" s="373"/>
      <c r="X22" s="1549"/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3"/>
  <sheetViews>
    <sheetView showFormulas="false" showGridLines="false" showRowColHeaders="true" showZeros="true" rightToLeft="false" tabSelected="false" showOutlineSymbols="true" defaultGridColor="true" view="normal" topLeftCell="I1" colorId="64" zoomScale="75" zoomScaleNormal="75" zoomScalePageLayoutView="100" workbookViewId="0">
      <selection pane="topLeft" activeCell="R15" activeCellId="0" sqref="R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.7"/>
    <col collapsed="false" customWidth="true" hidden="false" outlineLevel="0" max="3" min="2" style="1" width="10.71"/>
    <col collapsed="false" customWidth="true" hidden="false" outlineLevel="0" max="10" min="4" style="1" width="13.7"/>
    <col collapsed="false" customWidth="true" hidden="false" outlineLevel="0" max="11" min="11" style="1" width="4.7"/>
    <col collapsed="false" customWidth="true" hidden="false" outlineLevel="0" max="15" min="12" style="1" width="13.7"/>
    <col collapsed="false" customWidth="true" hidden="false" outlineLevel="0" max="16" min="16" style="1" width="4.7"/>
    <col collapsed="false" customWidth="true" hidden="false" outlineLevel="0" max="21" min="17" style="1" width="12.7"/>
    <col collapsed="false" customWidth="true" hidden="false" outlineLevel="0" max="22" min="22" style="1" width="4.7"/>
    <col collapsed="false" customWidth="true" hidden="false" outlineLevel="0" max="25" min="23" style="1" width="12.85"/>
    <col collapsed="false" customWidth="true" hidden="false" outlineLevel="0" max="26" min="26" style="1" width="11.7"/>
    <col collapsed="false" customWidth="false" hidden="false" outlineLevel="0" max="257" min="27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18"/>
      <c r="C1" s="1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18"/>
      <c r="C2" s="1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</row>
    <row r="3" customFormat="false" ht="15" hidden="false" customHeight="false" outlineLevel="0" collapsed="false">
      <c r="A3" s="19" t="str">
        <f aca="false">TOC!B4</f>
        <v>ENRON INTERNATIONAL</v>
      </c>
      <c r="B3" s="19"/>
      <c r="C3" s="19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</row>
    <row r="4" customFormat="false" ht="15" hidden="false" customHeight="false" outlineLevel="0" collapsed="false">
      <c r="A4" s="21" t="s">
        <v>699</v>
      </c>
      <c r="B4" s="21"/>
      <c r="C4" s="21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</row>
    <row r="5" customFormat="false" ht="12.75" hidden="false" customHeight="false" outlineLevel="0" collapsed="false">
      <c r="A5" s="215"/>
      <c r="B5" s="215"/>
      <c r="C5" s="215"/>
      <c r="D5" s="215"/>
      <c r="E5" s="215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BG5" s="215"/>
      <c r="BH5" s="215"/>
      <c r="BI5" s="215"/>
      <c r="BJ5" s="215"/>
      <c r="BK5" s="215"/>
      <c r="BL5" s="215"/>
      <c r="BM5" s="215"/>
      <c r="BN5" s="215"/>
      <c r="BO5" s="215"/>
      <c r="BP5" s="215"/>
      <c r="BQ5" s="215"/>
      <c r="BR5" s="215"/>
      <c r="BS5" s="215"/>
      <c r="BT5" s="215"/>
      <c r="BU5" s="215"/>
      <c r="BV5" s="215"/>
      <c r="BW5" s="215"/>
      <c r="BX5" s="215"/>
      <c r="BY5" s="215"/>
      <c r="BZ5" s="215"/>
      <c r="CA5" s="215"/>
      <c r="CB5" s="215"/>
      <c r="CC5" s="215"/>
      <c r="CD5" s="215"/>
      <c r="CE5" s="215"/>
      <c r="CF5" s="215"/>
      <c r="CG5" s="215"/>
      <c r="CH5" s="215"/>
      <c r="CI5" s="215"/>
      <c r="CJ5" s="215"/>
      <c r="CK5" s="215"/>
      <c r="CL5" s="215"/>
      <c r="CM5" s="215"/>
      <c r="CN5" s="215"/>
      <c r="CO5" s="215"/>
      <c r="CP5" s="215"/>
      <c r="CQ5" s="215"/>
      <c r="CR5" s="215"/>
      <c r="CS5" s="215"/>
      <c r="CT5" s="215"/>
      <c r="CU5" s="215"/>
      <c r="CV5" s="215"/>
      <c r="CW5" s="215"/>
      <c r="CX5" s="215"/>
      <c r="CY5" s="215"/>
      <c r="CZ5" s="215"/>
      <c r="DA5" s="215"/>
      <c r="DB5" s="215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  <c r="EY5" s="215"/>
      <c r="EZ5" s="215"/>
      <c r="FA5" s="215"/>
      <c r="FB5" s="215"/>
      <c r="FC5" s="215"/>
      <c r="FD5" s="215"/>
      <c r="FE5" s="215"/>
      <c r="FF5" s="215"/>
      <c r="FG5" s="215"/>
      <c r="FH5" s="215"/>
      <c r="FI5" s="215"/>
      <c r="FJ5" s="215"/>
      <c r="FK5" s="215"/>
      <c r="FL5" s="215"/>
      <c r="FM5" s="215"/>
      <c r="FN5" s="215"/>
      <c r="FO5" s="215"/>
      <c r="FP5" s="215"/>
      <c r="FQ5" s="215"/>
      <c r="FR5" s="215"/>
      <c r="FS5" s="215"/>
      <c r="FT5" s="215"/>
      <c r="FU5" s="215"/>
      <c r="FV5" s="215"/>
      <c r="FW5" s="215"/>
      <c r="FX5" s="215"/>
      <c r="FY5" s="215"/>
      <c r="FZ5" s="215"/>
      <c r="GA5" s="215"/>
      <c r="GB5" s="215"/>
      <c r="GC5" s="215"/>
      <c r="GD5" s="215"/>
      <c r="GE5" s="215"/>
      <c r="GF5" s="215"/>
      <c r="GG5" s="215"/>
      <c r="GH5" s="215"/>
      <c r="GI5" s="215"/>
      <c r="GJ5" s="215"/>
      <c r="GK5" s="215"/>
      <c r="GL5" s="215"/>
      <c r="GM5" s="215"/>
      <c r="GN5" s="215"/>
      <c r="GO5" s="215"/>
      <c r="GP5" s="215"/>
      <c r="GQ5" s="215"/>
      <c r="GR5" s="215"/>
      <c r="GS5" s="215"/>
      <c r="GT5" s="215"/>
      <c r="GU5" s="215"/>
      <c r="GV5" s="215"/>
      <c r="GW5" s="215"/>
      <c r="GX5" s="215"/>
      <c r="GY5" s="215"/>
      <c r="GZ5" s="215"/>
      <c r="HA5" s="215"/>
      <c r="HB5" s="215"/>
      <c r="HC5" s="215"/>
      <c r="HD5" s="215"/>
      <c r="HE5" s="215"/>
      <c r="HF5" s="215"/>
      <c r="HG5" s="215"/>
      <c r="HH5" s="215"/>
      <c r="HI5" s="215"/>
      <c r="HJ5" s="215"/>
      <c r="HK5" s="215"/>
      <c r="HL5" s="215"/>
      <c r="HM5" s="215"/>
      <c r="HN5" s="215"/>
      <c r="HO5" s="215"/>
      <c r="HP5" s="215"/>
      <c r="HQ5" s="215"/>
      <c r="HR5" s="215"/>
      <c r="HS5" s="215"/>
      <c r="HT5" s="215"/>
      <c r="HU5" s="215"/>
      <c r="HV5" s="215"/>
      <c r="HW5" s="215"/>
      <c r="HX5" s="215"/>
      <c r="HY5" s="215"/>
      <c r="HZ5" s="215"/>
      <c r="IA5" s="215"/>
      <c r="IB5" s="215"/>
      <c r="IC5" s="215"/>
      <c r="ID5" s="215"/>
      <c r="IE5" s="215"/>
      <c r="IF5" s="215"/>
      <c r="IG5" s="215"/>
      <c r="IH5" s="215"/>
      <c r="II5" s="215"/>
      <c r="IJ5" s="215"/>
      <c r="IK5" s="215"/>
      <c r="IL5" s="215"/>
      <c r="IM5" s="215"/>
      <c r="IN5" s="215"/>
      <c r="IO5" s="215"/>
      <c r="IP5" s="215"/>
      <c r="IQ5" s="215"/>
      <c r="IR5" s="215"/>
      <c r="IS5" s="215"/>
      <c r="IT5" s="215"/>
      <c r="IU5" s="215"/>
      <c r="IV5" s="215"/>
      <c r="IW5" s="215"/>
    </row>
    <row r="6" customFormat="false" ht="13.5" hidden="false" customHeight="false" outlineLevel="0" collapsed="false">
      <c r="B6" s="62"/>
      <c r="C6" s="62"/>
      <c r="D6" s="450" t="str">
        <f aca="false">IF(AND($F$38=1,ABS(SUM($D$11:$D$31)-SUM($G$41:$G$61))&gt;0.05),"Tariff Table Does Not Match Tariff Below!"," ")</f>
        <v> </v>
      </c>
      <c r="F6" s="451"/>
    </row>
    <row r="7" customFormat="false" ht="12.75" hidden="false" customHeight="false" outlineLevel="0" collapsed="false">
      <c r="B7" s="452" t="s">
        <v>700</v>
      </c>
      <c r="C7" s="452"/>
      <c r="D7" s="452"/>
      <c r="E7" s="452"/>
      <c r="F7" s="452"/>
      <c r="G7" s="452"/>
      <c r="H7" s="452"/>
      <c r="I7" s="452"/>
      <c r="J7" s="452"/>
      <c r="L7" s="452" t="s">
        <v>701</v>
      </c>
      <c r="M7" s="452"/>
      <c r="N7" s="452"/>
      <c r="O7" s="452"/>
      <c r="Q7" s="452" t="s">
        <v>702</v>
      </c>
      <c r="R7" s="452"/>
      <c r="S7" s="452"/>
      <c r="T7" s="452"/>
      <c r="U7" s="452"/>
      <c r="W7" s="453" t="s">
        <v>703</v>
      </c>
      <c r="X7" s="28"/>
      <c r="Y7" s="27"/>
    </row>
    <row r="8" customFormat="false" ht="12.75" hidden="false" customHeight="false" outlineLevel="0" collapsed="false">
      <c r="B8" s="454"/>
      <c r="C8" s="455"/>
      <c r="D8" s="456" t="s">
        <v>704</v>
      </c>
      <c r="E8" s="456"/>
      <c r="F8" s="456"/>
      <c r="G8" s="456"/>
      <c r="H8" s="456"/>
      <c r="I8" s="457" t="s">
        <v>705</v>
      </c>
      <c r="J8" s="457"/>
      <c r="L8" s="458" t="s">
        <v>706</v>
      </c>
      <c r="M8" s="458"/>
      <c r="N8" s="459" t="s">
        <v>707</v>
      </c>
      <c r="O8" s="459"/>
      <c r="Q8" s="460" t="s">
        <v>708</v>
      </c>
      <c r="R8" s="461" t="s">
        <v>709</v>
      </c>
      <c r="S8" s="461" t="s">
        <v>709</v>
      </c>
      <c r="T8" s="461" t="s">
        <v>710</v>
      </c>
      <c r="U8" s="462" t="s">
        <v>711</v>
      </c>
      <c r="W8" s="463" t="s">
        <v>712</v>
      </c>
      <c r="X8" s="464"/>
      <c r="Y8" s="465"/>
    </row>
    <row r="9" customFormat="false" ht="12.75" hidden="false" customHeight="false" outlineLevel="0" collapsed="false">
      <c r="B9" s="264" t="s">
        <v>713</v>
      </c>
      <c r="C9" s="79" t="s">
        <v>714</v>
      </c>
      <c r="D9" s="466" t="s">
        <v>715</v>
      </c>
      <c r="E9" s="79" t="s">
        <v>716</v>
      </c>
      <c r="F9" s="79" t="s">
        <v>717</v>
      </c>
      <c r="G9" s="79" t="s">
        <v>718</v>
      </c>
      <c r="H9" s="467" t="s">
        <v>719</v>
      </c>
      <c r="I9" s="466" t="s">
        <v>719</v>
      </c>
      <c r="J9" s="171" t="s">
        <v>719</v>
      </c>
      <c r="L9" s="264" t="s">
        <v>322</v>
      </c>
      <c r="M9" s="468" t="s">
        <v>720</v>
      </c>
      <c r="N9" s="469" t="s">
        <v>721</v>
      </c>
      <c r="O9" s="171" t="s">
        <v>722</v>
      </c>
      <c r="Q9" s="470" t="s">
        <v>723</v>
      </c>
      <c r="R9" s="44" t="s">
        <v>63</v>
      </c>
      <c r="S9" s="44" t="s">
        <v>724</v>
      </c>
      <c r="T9" s="44" t="s">
        <v>69</v>
      </c>
      <c r="U9" s="233" t="s">
        <v>725</v>
      </c>
      <c r="W9" s="454"/>
      <c r="X9" s="455"/>
      <c r="Y9" s="471" t="s">
        <v>726</v>
      </c>
    </row>
    <row r="10" customFormat="false" ht="12.75" hidden="false" customHeight="false" outlineLevel="0" collapsed="false">
      <c r="B10" s="472" t="s">
        <v>727</v>
      </c>
      <c r="C10" s="303" t="s">
        <v>728</v>
      </c>
      <c r="D10" s="473" t="s">
        <v>729</v>
      </c>
      <c r="E10" s="303" t="s">
        <v>730</v>
      </c>
      <c r="F10" s="303" t="s">
        <v>731</v>
      </c>
      <c r="G10" s="303" t="s">
        <v>732</v>
      </c>
      <c r="H10" s="474" t="s">
        <v>732</v>
      </c>
      <c r="I10" s="473" t="s">
        <v>732</v>
      </c>
      <c r="J10" s="475" t="s">
        <v>733</v>
      </c>
      <c r="L10" s="472" t="s">
        <v>734</v>
      </c>
      <c r="M10" s="476" t="s">
        <v>734</v>
      </c>
      <c r="N10" s="477" t="s">
        <v>734</v>
      </c>
      <c r="O10" s="475" t="s">
        <v>735</v>
      </c>
      <c r="Q10" s="37"/>
      <c r="R10" s="38"/>
      <c r="S10" s="38"/>
      <c r="T10" s="38"/>
      <c r="U10" s="43"/>
      <c r="W10" s="478" t="n">
        <v>36069</v>
      </c>
      <c r="X10" s="479" t="n">
        <v>0</v>
      </c>
      <c r="Y10" s="480" t="n">
        <f aca="false">IF(OR($W10&lt;Startops1,$W10&gt;=Startops2),0,$X10)</f>
        <v>0</v>
      </c>
    </row>
    <row r="11" customFormat="false" ht="12.75" hidden="false" customHeight="false" outlineLevel="0" collapsed="false">
      <c r="B11" s="481" t="n">
        <v>1</v>
      </c>
      <c r="C11" s="482" t="n">
        <f aca="false">Startops1</f>
        <v>36251</v>
      </c>
      <c r="D11" s="483" t="n">
        <f aca="false">IF($F$38=0,D41,G41)</f>
        <v>9586.87619047619</v>
      </c>
      <c r="E11" s="306" t="n">
        <f aca="false">IF($F$38=0,E41,H41)</f>
        <v>0.52500038334257</v>
      </c>
      <c r="F11" s="306" t="n">
        <f aca="false">IF($F$38=0,F41,I41)</f>
        <v>0.474999616657431</v>
      </c>
      <c r="G11" s="484" t="n">
        <v>0</v>
      </c>
      <c r="H11" s="485" t="n">
        <v>0</v>
      </c>
      <c r="I11" s="486" t="n">
        <v>0</v>
      </c>
      <c r="J11" s="487" t="n">
        <v>0.17</v>
      </c>
      <c r="L11" s="488" t="n">
        <f aca="false">IF($C11&lt;Startops2,0,Assm!$C$47)</f>
        <v>0</v>
      </c>
      <c r="M11" s="489" t="n">
        <f aca="false">IF($C11&lt;Startops2,0,Assm!$C$48)</f>
        <v>0</v>
      </c>
      <c r="N11" s="490" t="n">
        <v>0</v>
      </c>
      <c r="O11" s="491" t="n">
        <v>0</v>
      </c>
      <c r="Q11" s="492" t="n">
        <f aca="false">Startops1</f>
        <v>36251</v>
      </c>
      <c r="R11" s="170" t="n">
        <v>150</v>
      </c>
      <c r="S11" s="93" t="n">
        <v>0.91</v>
      </c>
      <c r="T11" s="93" t="n">
        <v>0.92</v>
      </c>
      <c r="U11" s="493" t="n">
        <f aca="false">S11*T11</f>
        <v>0.8372</v>
      </c>
      <c r="W11" s="494" t="n">
        <f aca="false">EDATE(W10,1)</f>
        <v>36100</v>
      </c>
      <c r="X11" s="479" t="n">
        <v>0</v>
      </c>
      <c r="Y11" s="480" t="n">
        <f aca="false">IF(OR($W11&lt;Startops1,$W11&gt;=Startops2),0,$X11)</f>
        <v>0</v>
      </c>
    </row>
    <row r="12" customFormat="false" ht="12.75" hidden="false" customHeight="false" outlineLevel="0" collapsed="false">
      <c r="B12" s="481" t="s">
        <v>736</v>
      </c>
      <c r="C12" s="482" t="n">
        <f aca="false">Startops2</f>
        <v>36951</v>
      </c>
      <c r="D12" s="483" t="n">
        <f aca="false">IF($F$38=0,D42,G42)</f>
        <v>9984.45454545455</v>
      </c>
      <c r="E12" s="306" t="n">
        <f aca="false">IF($F$38=0,E42,H42)</f>
        <v>0.990000462078292</v>
      </c>
      <c r="F12" s="306" t="n">
        <f aca="false">IF($F$38=0,F42,I42)</f>
        <v>0.00999953792170849</v>
      </c>
      <c r="G12" s="484" t="n">
        <v>11645.56</v>
      </c>
      <c r="H12" s="485" t="n">
        <v>9025.02</v>
      </c>
      <c r="I12" s="486" t="n">
        <v>3.2802</v>
      </c>
      <c r="J12" s="487" t="n">
        <v>0.07455</v>
      </c>
      <c r="L12" s="488" t="n">
        <f aca="false">IF($C12&lt;Startops2,0,Assm!$C$47)</f>
        <v>1.21</v>
      </c>
      <c r="M12" s="489" t="n">
        <f aca="false">IF($C12&lt;Startops2,0,Assm!$C$48)</f>
        <v>0.25</v>
      </c>
      <c r="N12" s="490" t="n">
        <v>1.25</v>
      </c>
      <c r="O12" s="491" t="n">
        <v>0</v>
      </c>
      <c r="Q12" s="492" t="n">
        <f aca="false">DieselOps_2</f>
        <v>36678</v>
      </c>
      <c r="R12" s="170" t="n">
        <v>150</v>
      </c>
      <c r="S12" s="93" t="n">
        <v>0.91</v>
      </c>
      <c r="T12" s="93" t="n">
        <v>0.92</v>
      </c>
      <c r="U12" s="493" t="n">
        <f aca="false">S12*T12</f>
        <v>0.8372</v>
      </c>
      <c r="W12" s="494" t="n">
        <f aca="false">EDATE(W11,1)</f>
        <v>36130</v>
      </c>
      <c r="X12" s="479" t="n">
        <v>0</v>
      </c>
      <c r="Y12" s="480" t="n">
        <f aca="false">IF(OR($W12&lt;Startops1,$W12&gt;=Startops2),0,$X12)</f>
        <v>0</v>
      </c>
    </row>
    <row r="13" customFormat="false" ht="12.75" hidden="false" customHeight="false" outlineLevel="0" collapsed="false">
      <c r="B13" s="481" t="s">
        <v>737</v>
      </c>
      <c r="C13" s="482" t="n">
        <f aca="false">Startops3</f>
        <v>37104</v>
      </c>
      <c r="D13" s="483" t="n">
        <f aca="false">IF($F$38=0,D43,G43)</f>
        <v>8415.22784090909</v>
      </c>
      <c r="E13" s="306" t="n">
        <f aca="false">IF($F$38=0,E43,H43)</f>
        <v>0.990000462078292</v>
      </c>
      <c r="F13" s="306" t="n">
        <f aca="false">IF($F$38=0,F43,I43)</f>
        <v>0.00999953792170849</v>
      </c>
      <c r="G13" s="484" t="n">
        <v>11645.56</v>
      </c>
      <c r="H13" s="485" t="n">
        <v>9025.02</v>
      </c>
      <c r="I13" s="486" t="n">
        <v>3.2802</v>
      </c>
      <c r="J13" s="487" t="n">
        <v>0.07455</v>
      </c>
      <c r="L13" s="488" t="n">
        <f aca="false">IF($C13&lt;Startops2,0,Assm!$C$47)</f>
        <v>1.21</v>
      </c>
      <c r="M13" s="489" t="n">
        <f aca="false">IF($C13&lt;Startops2,0,Assm!$C$48)</f>
        <v>0.25</v>
      </c>
      <c r="N13" s="490" t="n">
        <v>0</v>
      </c>
      <c r="O13" s="491" t="n">
        <v>3258.80137</v>
      </c>
      <c r="Q13" s="492" t="n">
        <f aca="false">Startops2</f>
        <v>36951</v>
      </c>
      <c r="R13" s="170" t="n">
        <v>150</v>
      </c>
      <c r="S13" s="93" t="n">
        <f aca="false">X47/(R13*24*47*T13)</f>
        <v>0.450971322849214</v>
      </c>
      <c r="T13" s="93" t="n">
        <v>0.92</v>
      </c>
      <c r="U13" s="493" t="n">
        <f aca="false">S13*T13</f>
        <v>0.414893617021277</v>
      </c>
      <c r="W13" s="494" t="n">
        <f aca="false">EDATE(W12,1)</f>
        <v>36161</v>
      </c>
      <c r="X13" s="479" t="n">
        <v>0</v>
      </c>
      <c r="Y13" s="480" t="n">
        <f aca="false">IF(OR($W13&lt;Startops1,$W13&gt;=Startops2),0,$X13)</f>
        <v>0</v>
      </c>
    </row>
    <row r="14" customFormat="false" ht="12.75" hidden="false" customHeight="false" outlineLevel="0" collapsed="false">
      <c r="B14" s="481" t="n">
        <v>3</v>
      </c>
      <c r="C14" s="495" t="n">
        <v>37012</v>
      </c>
      <c r="D14" s="483" t="n">
        <f aca="false">IF($F$38=0,D44,G44)</f>
        <v>9237.42408376963</v>
      </c>
      <c r="E14" s="306" t="n">
        <f aca="false">IF($F$38=0,E44,H44)</f>
        <v>0.954999468055056</v>
      </c>
      <c r="F14" s="306" t="n">
        <f aca="false">IF($F$38=0,F44,I44)</f>
        <v>0.0450005319449445</v>
      </c>
      <c r="G14" s="496" t="n">
        <v>7427.29</v>
      </c>
      <c r="H14" s="485" t="n">
        <v>6126.75</v>
      </c>
      <c r="I14" s="486" t="n">
        <v>2.36</v>
      </c>
      <c r="J14" s="487" t="n">
        <v>0.19</v>
      </c>
      <c r="L14" s="488" t="n">
        <f aca="false">IF($C14&lt;Startops2,0,Assm!$C$47)</f>
        <v>1.21</v>
      </c>
      <c r="M14" s="489" t="n">
        <f aca="false">IF($C14&lt;Startops2,0,Assm!$C$48)</f>
        <v>0.25</v>
      </c>
      <c r="N14" s="490" t="n">
        <v>0</v>
      </c>
      <c r="O14" s="491" t="n">
        <v>3258.80137</v>
      </c>
      <c r="Q14" s="494" t="n">
        <f aca="false">EDATE(Q13,1)</f>
        <v>36982</v>
      </c>
      <c r="R14" s="497" t="n">
        <f aca="false">U26</f>
        <v>237.779371584699</v>
      </c>
      <c r="S14" s="498" t="n">
        <f aca="false">U28</f>
        <v>1</v>
      </c>
      <c r="T14" s="93" t="n">
        <v>1</v>
      </c>
      <c r="U14" s="493" t="n">
        <f aca="false">S14*T14</f>
        <v>1</v>
      </c>
      <c r="W14" s="494" t="n">
        <f aca="false">EDATE(W13,1)</f>
        <v>36192</v>
      </c>
      <c r="X14" s="479" t="n">
        <v>4680</v>
      </c>
      <c r="Y14" s="480" t="n">
        <f aca="false">IF(OR($W14&lt;Startops1,$W14&gt;=Startops2),0,$X14)</f>
        <v>0</v>
      </c>
    </row>
    <row r="15" customFormat="false" ht="12.75" hidden="false" customHeight="false" outlineLevel="0" collapsed="false">
      <c r="B15" s="499" t="n">
        <f aca="false">B14+1</f>
        <v>4</v>
      </c>
      <c r="C15" s="482" t="n">
        <f aca="false">Startops4</f>
        <v>37377</v>
      </c>
      <c r="D15" s="483" t="n">
        <f aca="false">IF($F$38=0,D45,G45)</f>
        <v>9179.88601036269</v>
      </c>
      <c r="E15" s="306" t="n">
        <f aca="false">IF($F$38=0,E45,H45)</f>
        <v>0.964999554567151</v>
      </c>
      <c r="F15" s="306" t="n">
        <f aca="false">IF($F$38=0,F45,I45)</f>
        <v>0.035000445432849</v>
      </c>
      <c r="G15" s="484" t="n">
        <v>7420.08</v>
      </c>
      <c r="H15" s="485" t="n">
        <v>6103.17</v>
      </c>
      <c r="I15" s="486" t="n">
        <v>2.3</v>
      </c>
      <c r="J15" s="487" t="n">
        <v>0.19</v>
      </c>
      <c r="L15" s="488" t="n">
        <f aca="false">IF($C15&lt;Startops2,0,Assm!$C$47)</f>
        <v>1.21</v>
      </c>
      <c r="M15" s="489" t="n">
        <f aca="false">IF($C15&lt;Startops2,0,Assm!$C$48)</f>
        <v>0.25</v>
      </c>
      <c r="N15" s="490" t="n">
        <v>0</v>
      </c>
      <c r="O15" s="491" t="n">
        <v>3255.63789</v>
      </c>
      <c r="Q15" s="492" t="n">
        <f aca="false">Startops3</f>
        <v>37104</v>
      </c>
      <c r="R15" s="170" t="n">
        <v>480</v>
      </c>
      <c r="S15" s="93" t="n">
        <v>0.91</v>
      </c>
      <c r="T15" s="93" t="n">
        <v>0.92</v>
      </c>
      <c r="U15" s="493" t="n">
        <f aca="false">S15*T15</f>
        <v>0.8372</v>
      </c>
      <c r="W15" s="494" t="n">
        <f aca="false">EDATE(W14,1)</f>
        <v>36220</v>
      </c>
      <c r="X15" s="479" t="n">
        <v>7020</v>
      </c>
      <c r="Y15" s="480" t="n">
        <f aca="false">IF(OR($W15&lt;Startops1,$W15&gt;=Startops2),0,$X15)</f>
        <v>0</v>
      </c>
    </row>
    <row r="16" customFormat="false" ht="12.75" hidden="false" customHeight="false" outlineLevel="0" collapsed="false">
      <c r="B16" s="499" t="n">
        <f aca="false">B15+1</f>
        <v>5</v>
      </c>
      <c r="C16" s="500" t="n">
        <f aca="false">EDATE(C15,12)</f>
        <v>37742</v>
      </c>
      <c r="D16" s="483" t="n">
        <f aca="false">IF($F$38=0,D46,G46)</f>
        <v>9798.43594544435</v>
      </c>
      <c r="E16" s="306" t="n">
        <f aca="false">IF($F$38=0,E46,H46)</f>
        <v>0.974455000387353</v>
      </c>
      <c r="F16" s="306" t="n">
        <f aca="false">IF($F$38=0,F46,I46)</f>
        <v>0.0255449996126472</v>
      </c>
      <c r="G16" s="484" t="n">
        <v>7428.1</v>
      </c>
      <c r="H16" s="485" t="n">
        <v>6129.36</v>
      </c>
      <c r="I16" s="486" t="n">
        <v>2.31</v>
      </c>
      <c r="J16" s="487" t="n">
        <v>0.19</v>
      </c>
      <c r="L16" s="488" t="n">
        <f aca="false">IF($C16&lt;Startops2,0,Assm!$C$47)</f>
        <v>1.21</v>
      </c>
      <c r="M16" s="489" t="n">
        <f aca="false">IF($C16&lt;Startops2,0,Assm!$C$48)</f>
        <v>0.25</v>
      </c>
      <c r="N16" s="490" t="n">
        <v>0</v>
      </c>
      <c r="O16" s="491" t="n">
        <v>3259.15651</v>
      </c>
      <c r="Q16" s="494"/>
      <c r="R16" s="501"/>
      <c r="S16" s="502"/>
      <c r="T16" s="498"/>
      <c r="U16" s="493"/>
      <c r="W16" s="494" t="n">
        <f aca="false">EDATE(W15,1)</f>
        <v>36251</v>
      </c>
      <c r="X16" s="479" t="n">
        <v>9360</v>
      </c>
      <c r="Y16" s="480" t="n">
        <f aca="false">IF(OR($W16&lt;Startops1,$W16&gt;=Startops2),0,$X16)</f>
        <v>9360</v>
      </c>
    </row>
    <row r="17" customFormat="false" ht="13.5" hidden="false" customHeight="false" outlineLevel="0" collapsed="false">
      <c r="B17" s="499" t="n">
        <f aca="false">B16+1</f>
        <v>6</v>
      </c>
      <c r="C17" s="500" t="n">
        <f aca="false">EDATE(C16,12)</f>
        <v>38108</v>
      </c>
      <c r="D17" s="483" t="n">
        <f aca="false">IF($F$38=0,D47,G47)</f>
        <v>9794.89340101523</v>
      </c>
      <c r="E17" s="306" t="n">
        <f aca="false">IF($F$38=0,E47,H47)</f>
        <v>0.985000090496034</v>
      </c>
      <c r="F17" s="306" t="n">
        <f aca="false">IF($F$38=0,F47,I47)</f>
        <v>0.0149999095039665</v>
      </c>
      <c r="G17" s="484" t="n">
        <v>7432.1</v>
      </c>
      <c r="H17" s="485" t="n">
        <v>6142.46</v>
      </c>
      <c r="I17" s="486" t="n">
        <v>2.31</v>
      </c>
      <c r="J17" s="487" t="n">
        <v>0.19</v>
      </c>
      <c r="L17" s="488" t="n">
        <f aca="false">IF($C17&lt;Startops2,0,Assm!$C$47)</f>
        <v>1.21</v>
      </c>
      <c r="M17" s="489" t="n">
        <f aca="false">IF($C17&lt;Startops2,0,Assm!$C$48)</f>
        <v>0.25</v>
      </c>
      <c r="N17" s="490" t="n">
        <v>0</v>
      </c>
      <c r="O17" s="491" t="n">
        <v>3260.91348</v>
      </c>
      <c r="Q17" s="503"/>
      <c r="R17" s="504"/>
      <c r="S17" s="504"/>
      <c r="T17" s="71"/>
      <c r="U17" s="74"/>
      <c r="W17" s="494" t="n">
        <f aca="false">EDATE(W16,1)</f>
        <v>36281</v>
      </c>
      <c r="X17" s="479" t="n">
        <v>9360</v>
      </c>
      <c r="Y17" s="480" t="n">
        <f aca="false">IF(OR($W17&lt;Startops1,$W17&gt;=Startops2),0,$X17)</f>
        <v>9360</v>
      </c>
    </row>
    <row r="18" customFormat="false" ht="12.75" hidden="false" customHeight="false" outlineLevel="0" collapsed="false">
      <c r="B18" s="499" t="n">
        <f aca="false">B17+1</f>
        <v>7</v>
      </c>
      <c r="C18" s="500" t="n">
        <f aca="false">EDATE(C17,12)</f>
        <v>38473</v>
      </c>
      <c r="D18" s="483" t="n">
        <f aca="false">IF($F$38=0,D48,G48)</f>
        <v>9710.48681541582</v>
      </c>
      <c r="E18" s="306" t="n">
        <f aca="false">IF($F$38=0,E48,H48)</f>
        <v>0.985999546968828</v>
      </c>
      <c r="F18" s="306" t="n">
        <f aca="false">IF($F$38=0,F48,I48)</f>
        <v>0.0140004530311721</v>
      </c>
      <c r="G18" s="484" t="n">
        <v>7420.61</v>
      </c>
      <c r="H18" s="485" t="n">
        <v>6104.93</v>
      </c>
      <c r="I18" s="486" t="n">
        <v>2.3</v>
      </c>
      <c r="J18" s="487" t="n">
        <v>0.19</v>
      </c>
      <c r="L18" s="488" t="n">
        <f aca="false">IF($C18&lt;Startops2,0,Assm!$C$47)</f>
        <v>1.21</v>
      </c>
      <c r="M18" s="489" t="n">
        <f aca="false">IF($C18&lt;Startops2,0,Assm!$C$48)</f>
        <v>0.25</v>
      </c>
      <c r="N18" s="490" t="n">
        <v>0</v>
      </c>
      <c r="O18" s="491" t="n">
        <v>3255.87153</v>
      </c>
      <c r="Q18" s="505" t="n">
        <v>1</v>
      </c>
      <c r="R18" s="505" t="n">
        <f aca="false">Q18+1</f>
        <v>2</v>
      </c>
      <c r="S18" s="505" t="n">
        <f aca="false">R18+1</f>
        <v>3</v>
      </c>
      <c r="T18" s="506" t="n">
        <f aca="false">S18+1</f>
        <v>4</v>
      </c>
      <c r="U18" s="506" t="n">
        <f aca="false">T18+1</f>
        <v>5</v>
      </c>
      <c r="W18" s="494" t="n">
        <f aca="false">EDATE(W17,1)</f>
        <v>36312</v>
      </c>
      <c r="X18" s="479" t="n">
        <v>11700</v>
      </c>
      <c r="Y18" s="480" t="n">
        <f aca="false">IF(OR($W18&lt;Startops1,$W18&gt;=Startops2),0,$X18)</f>
        <v>11700</v>
      </c>
    </row>
    <row r="19" customFormat="false" ht="12.75" hidden="false" customHeight="false" outlineLevel="0" collapsed="false">
      <c r="B19" s="499" t="n">
        <f aca="false">B18+1</f>
        <v>8</v>
      </c>
      <c r="C19" s="500" t="n">
        <f aca="false">EDATE(C18,12)</f>
        <v>38838</v>
      </c>
      <c r="D19" s="483" t="n">
        <f aca="false">IF($F$38=0,D49,G49)</f>
        <v>9508.33839918946</v>
      </c>
      <c r="E19" s="306" t="n">
        <f aca="false">IF($F$38=0,E49,H49)</f>
        <v>0.987000280983656</v>
      </c>
      <c r="F19" s="306" t="n">
        <f aca="false">IF($F$38=0,F49,I49)</f>
        <v>0.0129997190163442</v>
      </c>
      <c r="G19" s="484" t="n">
        <v>7429.43</v>
      </c>
      <c r="H19" s="485" t="n">
        <v>6133.73</v>
      </c>
      <c r="I19" s="486" t="n">
        <v>2.31</v>
      </c>
      <c r="J19" s="487" t="n">
        <v>0.19</v>
      </c>
      <c r="L19" s="488" t="n">
        <f aca="false">IF($C19&lt;Startops2,0,Assm!$C$47)</f>
        <v>1.21</v>
      </c>
      <c r="M19" s="489" t="n">
        <f aca="false">IF($C19&lt;Startops2,0,Assm!$C$48)</f>
        <v>0.25</v>
      </c>
      <c r="N19" s="490" t="n">
        <v>0</v>
      </c>
      <c r="O19" s="491" t="n">
        <v>3259.74061</v>
      </c>
      <c r="Q19" s="16"/>
      <c r="R19" s="16"/>
      <c r="S19" s="16"/>
      <c r="W19" s="494" t="n">
        <f aca="false">EDATE(W18,1)</f>
        <v>36342</v>
      </c>
      <c r="X19" s="479" t="n">
        <v>11700</v>
      </c>
      <c r="Y19" s="480" t="n">
        <f aca="false">IF(OR($W19&lt;Startops1,$W19&gt;=Startops2),0,$X19)</f>
        <v>11700</v>
      </c>
    </row>
    <row r="20" customFormat="false" ht="13.5" hidden="false" customHeight="false" outlineLevel="0" collapsed="false">
      <c r="B20" s="499" t="n">
        <f aca="false">B19+1</f>
        <v>9</v>
      </c>
      <c r="C20" s="500" t="n">
        <f aca="false">EDATE(C19,12)</f>
        <v>39203</v>
      </c>
      <c r="D20" s="483" t="n">
        <f aca="false">IF($F$38=0,D50,G50)</f>
        <v>8615.71284125379</v>
      </c>
      <c r="E20" s="306" t="n">
        <f aca="false">IF($F$38=0,E50,H50)</f>
        <v>0.988999816557668</v>
      </c>
      <c r="F20" s="306" t="n">
        <f aca="false">IF($F$38=0,F50,I50)</f>
        <v>0.011000183442332</v>
      </c>
      <c r="G20" s="484" t="n">
        <v>7433.43</v>
      </c>
      <c r="H20" s="485" t="n">
        <v>6146.82</v>
      </c>
      <c r="I20" s="486" t="n">
        <v>2.32</v>
      </c>
      <c r="J20" s="487" t="n">
        <v>0.19</v>
      </c>
      <c r="L20" s="488" t="n">
        <f aca="false">IF($C20&lt;Startops2,0,Assm!$C$47)</f>
        <v>1.21</v>
      </c>
      <c r="M20" s="489" t="n">
        <f aca="false">IF($C20&lt;Startops2,0,Assm!$C$48)</f>
        <v>0.25</v>
      </c>
      <c r="N20" s="490" t="n">
        <v>0</v>
      </c>
      <c r="O20" s="491" t="n">
        <v>3261.47958</v>
      </c>
      <c r="W20" s="494" t="n">
        <f aca="false">EDATE(W19,1)</f>
        <v>36373</v>
      </c>
      <c r="X20" s="479" t="n">
        <v>14040</v>
      </c>
      <c r="Y20" s="480" t="n">
        <f aca="false">IF(OR($W20&lt;Startops1,$W20&gt;=Startops2),0,$X20)</f>
        <v>14040</v>
      </c>
    </row>
    <row r="21" customFormat="false" ht="12.75" hidden="false" customHeight="false" outlineLevel="0" collapsed="false">
      <c r="B21" s="499" t="n">
        <f aca="false">B20+1</f>
        <v>10</v>
      </c>
      <c r="C21" s="500" t="n">
        <f aca="false">EDATE(C20,12)</f>
        <v>39569</v>
      </c>
      <c r="D21" s="483" t="n">
        <f aca="false">IF($F$38=0,D51,G51)</f>
        <v>7894.59320288363</v>
      </c>
      <c r="E21" s="306" t="n">
        <f aca="false">IF($F$38=0,E51,H51)</f>
        <v>0.978835618562354</v>
      </c>
      <c r="F21" s="306" t="n">
        <f aca="false">IF($F$38=0,F51,I51)</f>
        <v>0.0211643814376457</v>
      </c>
      <c r="G21" s="484" t="n">
        <v>7424.62</v>
      </c>
      <c r="H21" s="485" t="n">
        <v>6118.02</v>
      </c>
      <c r="I21" s="486" t="n">
        <v>2.31</v>
      </c>
      <c r="J21" s="487" t="n">
        <v>0.19</v>
      </c>
      <c r="L21" s="488" t="n">
        <f aca="false">IF($C21&lt;Startops2,0,Assm!$C$47)</f>
        <v>1.21</v>
      </c>
      <c r="M21" s="489" t="n">
        <f aca="false">IF($C21&lt;Startops2,0,Assm!$C$48)</f>
        <v>0.25</v>
      </c>
      <c r="N21" s="490" t="n">
        <v>0</v>
      </c>
      <c r="O21" s="491" t="n">
        <v>3257.6285</v>
      </c>
      <c r="Q21" s="453" t="s">
        <v>738</v>
      </c>
      <c r="R21" s="28"/>
      <c r="S21" s="28"/>
      <c r="T21" s="28"/>
      <c r="U21" s="27"/>
      <c r="W21" s="494" t="n">
        <f aca="false">EDATE(W20,1)</f>
        <v>36404</v>
      </c>
      <c r="X21" s="479" t="n">
        <v>16640</v>
      </c>
      <c r="Y21" s="480" t="n">
        <f aca="false">IF(OR($W21&lt;Startops1,$W21&gt;=Startops2),0,$X21)</f>
        <v>16640</v>
      </c>
    </row>
    <row r="22" customFormat="false" ht="12.75" hidden="false" customHeight="false" outlineLevel="0" collapsed="false">
      <c r="B22" s="499" t="n">
        <f aca="false">B21+1</f>
        <v>11</v>
      </c>
      <c r="C22" s="500" t="n">
        <f aca="false">EDATE(C21,12)</f>
        <v>39934</v>
      </c>
      <c r="D22" s="483" t="n">
        <f aca="false">IF($F$38=0,D52,G52)</f>
        <v>7730.96074380165</v>
      </c>
      <c r="E22" s="306" t="n">
        <f aca="false">IF($F$38=0,E52,H52)</f>
        <v>0.967556312059272</v>
      </c>
      <c r="F22" s="306" t="n">
        <f aca="false">IF($F$38=0,F52,I52)</f>
        <v>0.0324436879407285</v>
      </c>
      <c r="G22" s="484" t="n">
        <v>7431.57</v>
      </c>
      <c r="H22" s="485" t="n">
        <v>6140.72</v>
      </c>
      <c r="I22" s="486" t="n">
        <v>2.31</v>
      </c>
      <c r="J22" s="487" t="n">
        <v>0.19</v>
      </c>
      <c r="L22" s="488" t="n">
        <f aca="false">IF($C22&lt;Startops2,0,Assm!$C$47)</f>
        <v>1.21</v>
      </c>
      <c r="M22" s="489" t="n">
        <f aca="false">IF($C22&lt;Startops2,0,Assm!$C$48)</f>
        <v>0.25</v>
      </c>
      <c r="N22" s="490" t="n">
        <v>0</v>
      </c>
      <c r="O22" s="491" t="n">
        <v>3260.67984</v>
      </c>
      <c r="Q22" s="507" t="n">
        <f aca="false">Q14</f>
        <v>36982</v>
      </c>
      <c r="R22" s="42" t="s">
        <v>739</v>
      </c>
      <c r="S22" s="508" t="n">
        <f aca="false">EDATE(Q15,-1)</f>
        <v>37073</v>
      </c>
      <c r="T22" s="38"/>
      <c r="U22" s="43"/>
      <c r="W22" s="494" t="n">
        <f aca="false">EDATE(W21,1)</f>
        <v>36434</v>
      </c>
      <c r="X22" s="479" t="n">
        <v>14040</v>
      </c>
      <c r="Y22" s="480" t="n">
        <f aca="false">IF(OR($W22&lt;Startops1,$W22&gt;=Startops2),0,$X22)</f>
        <v>14040</v>
      </c>
    </row>
    <row r="23" customFormat="false" ht="12.75" hidden="false" customHeight="false" outlineLevel="0" collapsed="false">
      <c r="B23" s="499" t="n">
        <f aca="false">B22+1</f>
        <v>12</v>
      </c>
      <c r="C23" s="500" t="n">
        <f aca="false">EDATE(C22,12)</f>
        <v>40299</v>
      </c>
      <c r="D23" s="483" t="n">
        <f aca="false">IF($F$38=0,D53,G53)</f>
        <v>7728.38912133891</v>
      </c>
      <c r="E23" s="306" t="n">
        <f aca="false">IF($F$38=0,E53,H53)</f>
        <v>0.969547267535333</v>
      </c>
      <c r="F23" s="306" t="n">
        <f aca="false">IF($F$38=0,F53,I53)</f>
        <v>0.0304527324646666</v>
      </c>
      <c r="G23" s="484" t="n">
        <v>7434.78</v>
      </c>
      <c r="H23" s="485" t="n">
        <v>6151.18</v>
      </c>
      <c r="I23" s="486" t="n">
        <v>2.32</v>
      </c>
      <c r="J23" s="487" t="n">
        <v>0.19</v>
      </c>
      <c r="L23" s="488" t="n">
        <f aca="false">IF($C23&lt;Startops2,0,Assm!$C$47)</f>
        <v>1.21</v>
      </c>
      <c r="M23" s="489" t="n">
        <f aca="false">IF($C23&lt;Startops2,0,Assm!$C$48)</f>
        <v>0.25</v>
      </c>
      <c r="N23" s="490" t="n">
        <v>0</v>
      </c>
      <c r="O23" s="491" t="n">
        <v>3262.08635</v>
      </c>
      <c r="Q23" s="494"/>
      <c r="R23" s="501"/>
      <c r="S23" s="502"/>
      <c r="T23" s="498"/>
      <c r="U23" s="493"/>
      <c r="W23" s="494" t="n">
        <f aca="false">EDATE(W22,1)</f>
        <v>36465</v>
      </c>
      <c r="X23" s="479" t="n">
        <v>11700</v>
      </c>
      <c r="Y23" s="480" t="n">
        <f aca="false">IF(OR($W23&lt;Startops1,$W23&gt;=Startops2),0,$X23)</f>
        <v>11700</v>
      </c>
    </row>
    <row r="24" customFormat="false" ht="12.75" hidden="false" customHeight="false" outlineLevel="0" collapsed="false">
      <c r="B24" s="499" t="n">
        <f aca="false">B23+1</f>
        <v>13</v>
      </c>
      <c r="C24" s="500" t="n">
        <f aca="false">EDATE(C23,12)</f>
        <v>40664</v>
      </c>
      <c r="D24" s="483" t="n">
        <f aca="false">IF($F$38=0,D54,G54)</f>
        <v>7277.27848101266</v>
      </c>
      <c r="E24" s="306" t="n">
        <f aca="false">IF($F$38=0,E54,H54)</f>
        <v>0.971735079059143</v>
      </c>
      <c r="F24" s="306" t="n">
        <f aca="false">IF($F$38=0,F54,I54)</f>
        <v>0.0282649209408569</v>
      </c>
      <c r="G24" s="484" t="n">
        <v>7420.61</v>
      </c>
      <c r="H24" s="485" t="n">
        <v>6104.93</v>
      </c>
      <c r="I24" s="486" t="n">
        <v>2.3</v>
      </c>
      <c r="J24" s="487" t="n">
        <v>0.19</v>
      </c>
      <c r="L24" s="488" t="n">
        <f aca="false">IF($C24&lt;Startops2,0,Assm!$C$47)</f>
        <v>1.21</v>
      </c>
      <c r="M24" s="489" t="n">
        <f aca="false">IF($C24&lt;Startops2,0,Assm!$C$48)</f>
        <v>0.25</v>
      </c>
      <c r="N24" s="490" t="n">
        <v>0</v>
      </c>
      <c r="O24" s="491" t="n">
        <v>3255.87153</v>
      </c>
      <c r="Q24" s="37" t="s">
        <v>740</v>
      </c>
      <c r="R24" s="38"/>
      <c r="S24" s="38"/>
      <c r="T24" s="38"/>
      <c r="U24" s="509" t="n">
        <f aca="false">SUM(X46:X51)</f>
        <v>696218</v>
      </c>
      <c r="W24" s="494" t="n">
        <f aca="false">EDATE(W23,1)</f>
        <v>36495</v>
      </c>
      <c r="X24" s="479" t="n">
        <v>9360</v>
      </c>
      <c r="Y24" s="480" t="n">
        <f aca="false">IF(OR($W24&lt;Startops1,$W24&gt;=Startops2),0,$X24)</f>
        <v>9360</v>
      </c>
    </row>
    <row r="25" customFormat="false" ht="13.5" hidden="false" customHeight="false" outlineLevel="0" collapsed="false">
      <c r="B25" s="499" t="n">
        <f aca="false">B24+1</f>
        <v>14</v>
      </c>
      <c r="C25" s="500" t="n">
        <f aca="false">EDATE(C24,12)</f>
        <v>41030</v>
      </c>
      <c r="D25" s="483" t="n">
        <f aca="false">IF($F$38=0,D55,G55)</f>
        <v>6768.8424437299</v>
      </c>
      <c r="E25" s="306" t="n">
        <f aca="false">IF($F$38=0,E55,H55)</f>
        <v>0.941583069706537</v>
      </c>
      <c r="F25" s="306" t="n">
        <f aca="false">IF($F$38=0,F55,I55)</f>
        <v>0.058416930293463</v>
      </c>
      <c r="G25" s="484" t="n">
        <v>7429.43</v>
      </c>
      <c r="H25" s="485" t="n">
        <v>6133.73</v>
      </c>
      <c r="I25" s="486" t="n">
        <v>2.31</v>
      </c>
      <c r="J25" s="487" t="n">
        <v>0.19</v>
      </c>
      <c r="L25" s="488" t="n">
        <f aca="false">IF($C25&lt;Startops2,0,Assm!$C$47)</f>
        <v>1.21</v>
      </c>
      <c r="M25" s="489" t="n">
        <f aca="false">IF($C25&lt;Startops2,0,Assm!$C$48)</f>
        <v>0.25</v>
      </c>
      <c r="N25" s="490" t="n">
        <v>0</v>
      </c>
      <c r="O25" s="491" t="n">
        <v>3259.74061</v>
      </c>
      <c r="Q25" s="37" t="s">
        <v>741</v>
      </c>
      <c r="R25" s="38"/>
      <c r="S25" s="38"/>
      <c r="T25" s="38"/>
      <c r="U25" s="509" t="n">
        <f aca="false">(Q15-Q14)*24</f>
        <v>2928</v>
      </c>
      <c r="W25" s="70"/>
      <c r="X25" s="71"/>
      <c r="Y25" s="510"/>
    </row>
    <row r="26" customFormat="false" ht="12.75" hidden="false" customHeight="false" outlineLevel="0" collapsed="false">
      <c r="B26" s="499" t="n">
        <f aca="false">B25+1</f>
        <v>15</v>
      </c>
      <c r="C26" s="500" t="n">
        <f aca="false">EDATE(C25,12)</f>
        <v>41395</v>
      </c>
      <c r="D26" s="483" t="n">
        <f aca="false">IF($F$38=0,D56,G56)</f>
        <v>6530.38420490929</v>
      </c>
      <c r="E26" s="306" t="n">
        <f aca="false">IF($F$38=0,E56,H56)</f>
        <v>0.936999948444192</v>
      </c>
      <c r="F26" s="306" t="n">
        <f aca="false">IF($F$38=0,F56,I56)</f>
        <v>0.0630000515558078</v>
      </c>
      <c r="G26" s="484" t="n">
        <v>7433.43</v>
      </c>
      <c r="H26" s="485" t="n">
        <v>6146.82</v>
      </c>
      <c r="I26" s="486" t="n">
        <v>2.32</v>
      </c>
      <c r="J26" s="487" t="n">
        <v>0.19</v>
      </c>
      <c r="L26" s="488" t="n">
        <f aca="false">IF($C26&lt;Startops2,0,Assm!$C$47)</f>
        <v>1.21</v>
      </c>
      <c r="M26" s="489" t="n">
        <f aca="false">IF($C26&lt;Startops2,0,Assm!$C$48)</f>
        <v>0.25</v>
      </c>
      <c r="N26" s="490" t="n">
        <v>0</v>
      </c>
      <c r="O26" s="491" t="n">
        <v>3261.47958</v>
      </c>
      <c r="Q26" s="37" t="s">
        <v>742</v>
      </c>
      <c r="R26" s="38"/>
      <c r="S26" s="38"/>
      <c r="T26" s="38"/>
      <c r="U26" s="509" t="n">
        <f aca="false">U24/U25</f>
        <v>237.779371584699</v>
      </c>
      <c r="W26" s="506" t="n">
        <v>1</v>
      </c>
      <c r="X26" s="506" t="n">
        <f aca="false">W26+1</f>
        <v>2</v>
      </c>
      <c r="Y26" s="506" t="n">
        <f aca="false">X26+1</f>
        <v>3</v>
      </c>
    </row>
    <row r="27" customFormat="false" ht="13.5" hidden="false" customHeight="false" outlineLevel="0" collapsed="false">
      <c r="B27" s="499" t="n">
        <f aca="false">B26+1</f>
        <v>16</v>
      </c>
      <c r="C27" s="500" t="n">
        <f aca="false">EDATE(C26,12)</f>
        <v>41760</v>
      </c>
      <c r="D27" s="483" t="n">
        <f aca="false">IF($F$38=0,D57,G57)</f>
        <v>4167.65616933402</v>
      </c>
      <c r="E27" s="306" t="n">
        <f aca="false">IF($F$38=0,E57,H57)</f>
        <v>0.909052195906484</v>
      </c>
      <c r="F27" s="306" t="n">
        <f aca="false">IF($F$38=0,F57,I57)</f>
        <v>0.0909478040935158</v>
      </c>
      <c r="G27" s="484" t="n">
        <v>7424.62</v>
      </c>
      <c r="H27" s="485" t="n">
        <v>6118.02</v>
      </c>
      <c r="I27" s="486" t="n">
        <v>2.31</v>
      </c>
      <c r="J27" s="487" t="n">
        <v>0.19</v>
      </c>
      <c r="L27" s="488" t="n">
        <f aca="false">IF($C27&lt;Startops2,0,Assm!$C$47)</f>
        <v>1.21</v>
      </c>
      <c r="M27" s="489" t="n">
        <f aca="false">IF($C27&lt;Startops2,0,Assm!$C$48)</f>
        <v>0.25</v>
      </c>
      <c r="N27" s="490" t="n">
        <v>0</v>
      </c>
      <c r="O27" s="491" t="n">
        <v>3257.6285</v>
      </c>
      <c r="Q27" s="37" t="s">
        <v>743</v>
      </c>
      <c r="R27" s="38"/>
      <c r="S27" s="38"/>
      <c r="T27" s="38"/>
      <c r="U27" s="94" t="n">
        <f aca="false">T14</f>
        <v>1</v>
      </c>
      <c r="W27" s="506"/>
      <c r="X27" s="506"/>
      <c r="Y27" s="506"/>
    </row>
    <row r="28" customFormat="false" ht="13.5" hidden="false" customHeight="false" outlineLevel="0" collapsed="false">
      <c r="B28" s="499" t="n">
        <f aca="false">B27+1</f>
        <v>17</v>
      </c>
      <c r="C28" s="500" t="n">
        <f aca="false">EDATE(C27,12)</f>
        <v>42125</v>
      </c>
      <c r="D28" s="483" t="n">
        <f aca="false">IF($F$38=0,D58,G58)</f>
        <v>2290.32496307238</v>
      </c>
      <c r="E28" s="306" t="n">
        <f aca="false">IF($F$38=0,E58,H58)</f>
        <v>0.677002126350678</v>
      </c>
      <c r="F28" s="306" t="n">
        <f aca="false">IF($F$38=0,F58,I58)</f>
        <v>0.322997873649323</v>
      </c>
      <c r="G28" s="484" t="n">
        <v>7431.57</v>
      </c>
      <c r="H28" s="485" t="n">
        <v>6140.72</v>
      </c>
      <c r="I28" s="486" t="n">
        <v>2.31</v>
      </c>
      <c r="J28" s="487" t="n">
        <v>0.19</v>
      </c>
      <c r="L28" s="488" t="n">
        <f aca="false">IF($C28&lt;Startops2,0,Assm!$C$47)</f>
        <v>1.21</v>
      </c>
      <c r="M28" s="489" t="n">
        <f aca="false">IF($C28&lt;Startops2,0,Assm!$C$48)</f>
        <v>0.25</v>
      </c>
      <c r="N28" s="490" t="n">
        <v>0</v>
      </c>
      <c r="O28" s="491" t="n">
        <v>3260.67984</v>
      </c>
      <c r="Q28" s="70" t="s">
        <v>744</v>
      </c>
      <c r="R28" s="71"/>
      <c r="S28" s="71"/>
      <c r="T28" s="71"/>
      <c r="U28" s="511" t="n">
        <f aca="false">U24/(U25*U26*U27)</f>
        <v>1</v>
      </c>
      <c r="W28" s="453" t="s">
        <v>745</v>
      </c>
      <c r="X28" s="28"/>
      <c r="Y28" s="27"/>
    </row>
    <row r="29" customFormat="false" ht="12.75" hidden="false" customHeight="false" outlineLevel="0" collapsed="false">
      <c r="B29" s="499" t="n">
        <f aca="false">B28+1</f>
        <v>18</v>
      </c>
      <c r="C29" s="500" t="n">
        <f aca="false">EDATE(C28,12)</f>
        <v>42491</v>
      </c>
      <c r="D29" s="483" t="n">
        <f aca="false">IF($F$38=0,D59,G59)</f>
        <v>2290.32496307238</v>
      </c>
      <c r="E29" s="306" t="n">
        <f aca="false">IF($F$38=0,E59,H59)</f>
        <v>0.677002126350678</v>
      </c>
      <c r="F29" s="306" t="n">
        <f aca="false">IF($F$38=0,F59,I59)</f>
        <v>0.322997873649323</v>
      </c>
      <c r="G29" s="484" t="n">
        <v>7434.78</v>
      </c>
      <c r="H29" s="485" t="n">
        <v>6151.18</v>
      </c>
      <c r="I29" s="486" t="n">
        <v>2.32</v>
      </c>
      <c r="J29" s="487" t="n">
        <v>0.19</v>
      </c>
      <c r="L29" s="488" t="n">
        <f aca="false">IF($C29&lt;Startops2,0,Assm!$C$47)</f>
        <v>1.21</v>
      </c>
      <c r="M29" s="489" t="n">
        <f aca="false">IF($C29&lt;Startops2,0,Assm!$C$48)</f>
        <v>0.25</v>
      </c>
      <c r="N29" s="490" t="n">
        <v>0</v>
      </c>
      <c r="O29" s="491" t="n">
        <v>3262.08635</v>
      </c>
      <c r="W29" s="463" t="s">
        <v>746</v>
      </c>
      <c r="X29" s="464"/>
      <c r="Y29" s="465"/>
    </row>
    <row r="30" customFormat="false" ht="12.75" hidden="false" customHeight="false" outlineLevel="0" collapsed="false">
      <c r="B30" s="499" t="n">
        <f aca="false">B29+1</f>
        <v>19</v>
      </c>
      <c r="C30" s="500" t="n">
        <f aca="false">EDATE(C29,12)</f>
        <v>42856</v>
      </c>
      <c r="D30" s="483" t="n">
        <f aca="false">IF($F$38=0,D60,G60)</f>
        <v>2089.04912836767</v>
      </c>
      <c r="E30" s="306" t="n">
        <f aca="false">IF($F$38=0,E60,H60)</f>
        <v>0.630998953124194</v>
      </c>
      <c r="F30" s="306" t="n">
        <f aca="false">IF($F$38=0,F60,I60)</f>
        <v>0.369001046875806</v>
      </c>
      <c r="G30" s="484" t="n">
        <v>7420.61</v>
      </c>
      <c r="H30" s="485" t="n">
        <v>6104.93</v>
      </c>
      <c r="I30" s="486" t="n">
        <v>2.3</v>
      </c>
      <c r="J30" s="487" t="n">
        <v>0.19</v>
      </c>
      <c r="L30" s="488" t="n">
        <f aca="false">IF($C30&lt;Startops2,0,Assm!$C$47)</f>
        <v>1.21</v>
      </c>
      <c r="M30" s="489" t="n">
        <f aca="false">IF($C30&lt;Startops2,0,Assm!$C$48)</f>
        <v>0.25</v>
      </c>
      <c r="N30" s="490" t="n">
        <v>0</v>
      </c>
      <c r="O30" s="491" t="n">
        <v>3255.87153</v>
      </c>
      <c r="W30" s="454"/>
      <c r="X30" s="455"/>
      <c r="Y30" s="471" t="s">
        <v>726</v>
      </c>
      <c r="AA30" s="1" t="s">
        <v>747</v>
      </c>
      <c r="AB30" s="1" t="s">
        <v>748</v>
      </c>
    </row>
    <row r="31" customFormat="false" ht="12.75" hidden="false" customHeight="false" outlineLevel="0" collapsed="false">
      <c r="B31" s="499" t="n">
        <f aca="false">B30+1</f>
        <v>20</v>
      </c>
      <c r="C31" s="500" t="n">
        <f aca="false">EDATE(C30,12)</f>
        <v>43221</v>
      </c>
      <c r="D31" s="483" t="n">
        <f aca="false">IF($F$38=0,D61,G61)</f>
        <v>1291.01851851852</v>
      </c>
      <c r="E31" s="306" t="n">
        <f aca="false">IF($F$38=0,E61,H61)</f>
        <v>0.540003288019106</v>
      </c>
      <c r="F31" s="306" t="n">
        <f aca="false">IF($F$38=0,F61,I61)</f>
        <v>0.459996711980894</v>
      </c>
      <c r="G31" s="484" t="n">
        <v>7429.43</v>
      </c>
      <c r="H31" s="485" t="n">
        <v>6133.73</v>
      </c>
      <c r="I31" s="486" t="n">
        <v>2.31</v>
      </c>
      <c r="J31" s="487" t="n">
        <v>0.19</v>
      </c>
      <c r="L31" s="488" t="n">
        <f aca="false">IF($C31&lt;Startops2,0,Assm!$C$47)</f>
        <v>1.21</v>
      </c>
      <c r="M31" s="489" t="n">
        <f aca="false">IF($C31&lt;Startops2,0,Assm!$C$48)</f>
        <v>0.25</v>
      </c>
      <c r="N31" s="490" t="n">
        <v>0</v>
      </c>
      <c r="O31" s="491" t="n">
        <v>3259.74061</v>
      </c>
      <c r="W31" s="478" t="n">
        <v>36678</v>
      </c>
      <c r="X31" s="479" t="n">
        <v>90417.6</v>
      </c>
      <c r="Y31" s="480" t="n">
        <f aca="false">IF(OR($W31&lt;Startops1,$W31&gt;=Startops2),0,$X31)</f>
        <v>90417.6</v>
      </c>
      <c r="AA31" s="479" t="n">
        <v>90417.6</v>
      </c>
      <c r="AB31" s="479" t="n">
        <f aca="false">2*AA31</f>
        <v>180835.2</v>
      </c>
    </row>
    <row r="32" customFormat="false" ht="13.5" hidden="false" customHeight="false" outlineLevel="0" collapsed="false">
      <c r="B32" s="70"/>
      <c r="C32" s="71"/>
      <c r="D32" s="512"/>
      <c r="E32" s="329"/>
      <c r="F32" s="329"/>
      <c r="G32" s="329"/>
      <c r="H32" s="513"/>
      <c r="I32" s="512"/>
      <c r="J32" s="514"/>
      <c r="L32" s="268"/>
      <c r="M32" s="515"/>
      <c r="N32" s="516"/>
      <c r="O32" s="514"/>
      <c r="W32" s="494" t="n">
        <f aca="false">EDATE(W31,1)</f>
        <v>36708</v>
      </c>
      <c r="X32" s="479" t="n">
        <v>93431.52</v>
      </c>
      <c r="Y32" s="480" t="n">
        <f aca="false">IF(OR($W32&lt;Startops1,$W32&gt;=Startops2),0,$X32)</f>
        <v>93431.52</v>
      </c>
      <c r="AA32" s="479" t="n">
        <v>93431.52</v>
      </c>
      <c r="AB32" s="479" t="n">
        <f aca="false">2*AA32</f>
        <v>186863.04</v>
      </c>
    </row>
    <row r="33" customFormat="false" ht="12.75" hidden="false" customHeight="false" outlineLevel="0" collapsed="false">
      <c r="C33" s="506" t="n">
        <v>1</v>
      </c>
      <c r="D33" s="3" t="n">
        <f aca="false">C33+1</f>
        <v>2</v>
      </c>
      <c r="E33" s="506" t="n">
        <f aca="false">D33+1</f>
        <v>3</v>
      </c>
      <c r="F33" s="506" t="n">
        <f aca="false">E33+1</f>
        <v>4</v>
      </c>
      <c r="G33" s="506" t="n">
        <f aca="false">F33+1</f>
        <v>5</v>
      </c>
      <c r="H33" s="506" t="n">
        <f aca="false">G33+1</f>
        <v>6</v>
      </c>
      <c r="I33" s="506" t="n">
        <f aca="false">H33+1</f>
        <v>7</v>
      </c>
      <c r="J33" s="506" t="n">
        <f aca="false">I33+1</f>
        <v>8</v>
      </c>
      <c r="K33" s="506" t="n">
        <f aca="false">J33+1</f>
        <v>9</v>
      </c>
      <c r="L33" s="506" t="n">
        <f aca="false">K33+1</f>
        <v>10</v>
      </c>
      <c r="M33" s="506" t="n">
        <f aca="false">L33+1</f>
        <v>11</v>
      </c>
      <c r="N33" s="506" t="n">
        <f aca="false">M33+1</f>
        <v>12</v>
      </c>
      <c r="O33" s="506" t="n">
        <f aca="false">N33+1</f>
        <v>13</v>
      </c>
      <c r="W33" s="494" t="n">
        <f aca="false">EDATE(W32,1)</f>
        <v>36739</v>
      </c>
      <c r="X33" s="479" t="n">
        <v>93431.52</v>
      </c>
      <c r="Y33" s="480" t="n">
        <f aca="false">IF(OR($W33&lt;Startops1,$W33&gt;=Startops2),0,$X33)</f>
        <v>93431.52</v>
      </c>
      <c r="AA33" s="479" t="n">
        <v>93431.52</v>
      </c>
      <c r="AB33" s="479" t="n">
        <f aca="false">2*AA33</f>
        <v>186863.04</v>
      </c>
    </row>
    <row r="34" customFormat="false" ht="12.75" hidden="false" customHeight="false" outlineLevel="0" collapsed="false">
      <c r="W34" s="494" t="n">
        <f aca="false">EDATE(W33,1)</f>
        <v>36770</v>
      </c>
      <c r="X34" s="479" t="n">
        <v>90417.6</v>
      </c>
      <c r="Y34" s="480" t="n">
        <f aca="false">IF(OR($W34&lt;Startops1,$W34&gt;=Startops2),0,$X34)</f>
        <v>90417.6</v>
      </c>
      <c r="AA34" s="479" t="n">
        <v>90417.6</v>
      </c>
      <c r="AB34" s="479" t="n">
        <f aca="false">2*AA34</f>
        <v>180835.2</v>
      </c>
    </row>
    <row r="35" customFormat="false" ht="12.75" hidden="false" customHeight="false" outlineLevel="0" collapsed="false">
      <c r="W35" s="494" t="n">
        <f aca="false">EDATE(W34,1)</f>
        <v>36800</v>
      </c>
      <c r="X35" s="479" t="n">
        <v>93431.52</v>
      </c>
      <c r="Y35" s="480" t="n">
        <f aca="false">IF(OR($W35&lt;Startops1,$W35&gt;=Startops2),0,$X35)</f>
        <v>93431.52</v>
      </c>
      <c r="AA35" s="479" t="n">
        <v>93431.52</v>
      </c>
      <c r="AB35" s="479" t="n">
        <f aca="false">2*AA35</f>
        <v>186863.04</v>
      </c>
    </row>
    <row r="36" customFormat="false" ht="12.75" hidden="false" customHeight="false" outlineLevel="0" collapsed="false">
      <c r="W36" s="494" t="n">
        <f aca="false">EDATE(W35,1)</f>
        <v>36831</v>
      </c>
      <c r="X36" s="479" t="n">
        <v>90417.6</v>
      </c>
      <c r="Y36" s="480" t="n">
        <f aca="false">IF(OR($W36&lt;Startops1,$W36&gt;=Startops2),0,$X36)</f>
        <v>90417.6</v>
      </c>
      <c r="AA36" s="479" t="n">
        <v>90417.6</v>
      </c>
      <c r="AB36" s="479" t="n">
        <f aca="false">2*AA36</f>
        <v>180835.2</v>
      </c>
    </row>
    <row r="37" customFormat="false" ht="12.75" hidden="false" customHeight="false" outlineLevel="0" collapsed="false">
      <c r="W37" s="494" t="n">
        <f aca="false">EDATE(W36,1)</f>
        <v>36861</v>
      </c>
      <c r="X37" s="479" t="n">
        <v>93431.52</v>
      </c>
      <c r="Y37" s="480" t="n">
        <f aca="false">IF(OR($W37&lt;Startops1,$W37&gt;=Startops2),0,$X37)</f>
        <v>93431.52</v>
      </c>
      <c r="AA37" s="479" t="n">
        <v>93431.52</v>
      </c>
      <c r="AB37" s="479" t="n">
        <f aca="false">2*AA37</f>
        <v>186863.04</v>
      </c>
    </row>
    <row r="38" customFormat="false" ht="13.5" hidden="false" customHeight="false" outlineLevel="0" collapsed="false">
      <c r="E38" s="517" t="s">
        <v>749</v>
      </c>
      <c r="F38" s="518" t="n">
        <v>1</v>
      </c>
      <c r="G38" s="1" t="str">
        <f aca="false">CONCATENATE("Currently Using ",IF(F38=0,"Original","Revised")," Tariff")</f>
        <v>Currently Using Revised Tariff</v>
      </c>
      <c r="L38" s="330" t="s">
        <v>750</v>
      </c>
      <c r="W38" s="494" t="n">
        <f aca="false">EDATE(W37,1)</f>
        <v>36892</v>
      </c>
      <c r="X38" s="479" t="n">
        <v>93431.52</v>
      </c>
      <c r="Y38" s="480" t="n">
        <f aca="false">IF(OR($W38&lt;Startops1,$W38&gt;=Startops2),0,$X38)</f>
        <v>93431.52</v>
      </c>
      <c r="AA38" s="1" t="n">
        <f aca="false">X38/31*28</f>
        <v>84389.76</v>
      </c>
    </row>
    <row r="39" customFormat="false" ht="12.75" hidden="false" customHeight="false" outlineLevel="0" collapsed="false">
      <c r="B39" s="519" t="s">
        <v>713</v>
      </c>
      <c r="C39" s="520" t="s">
        <v>714</v>
      </c>
      <c r="D39" s="521" t="s">
        <v>751</v>
      </c>
      <c r="E39" s="521"/>
      <c r="F39" s="521"/>
      <c r="G39" s="522" t="s">
        <v>752</v>
      </c>
      <c r="H39" s="522"/>
      <c r="I39" s="522"/>
      <c r="L39" s="523"/>
      <c r="M39" s="28"/>
      <c r="N39" s="28"/>
      <c r="O39" s="27"/>
      <c r="W39" s="494" t="n">
        <f aca="false">EDATE(W38,1)</f>
        <v>36923</v>
      </c>
      <c r="X39" s="479" t="n">
        <v>84389.76</v>
      </c>
      <c r="Y39" s="480" t="n">
        <f aca="false">IF(OR($W39&lt;Startops1,$W39&gt;=Startops2),0,$X39)</f>
        <v>84389.76</v>
      </c>
    </row>
    <row r="40" customFormat="false" ht="13.5" hidden="false" customHeight="false" outlineLevel="0" collapsed="false">
      <c r="B40" s="472" t="s">
        <v>727</v>
      </c>
      <c r="C40" s="474" t="s">
        <v>728</v>
      </c>
      <c r="D40" s="524" t="s">
        <v>753</v>
      </c>
      <c r="E40" s="524"/>
      <c r="F40" s="524"/>
      <c r="G40" s="525" t="s">
        <v>753</v>
      </c>
      <c r="H40" s="525"/>
      <c r="I40" s="525"/>
      <c r="L40" s="37" t="s">
        <v>754</v>
      </c>
      <c r="M40" s="484" t="n">
        <v>9984.45454545455</v>
      </c>
      <c r="N40" s="76" t="n">
        <v>300</v>
      </c>
      <c r="O40" s="43" t="n">
        <f aca="false">N40/N$42*M40</f>
        <v>6240.28409090909</v>
      </c>
      <c r="W40" s="526"/>
      <c r="X40" s="527"/>
      <c r="Y40" s="528"/>
    </row>
    <row r="41" customFormat="false" ht="12.75" hidden="false" customHeight="false" outlineLevel="0" collapsed="false">
      <c r="B41" s="481" t="n">
        <f aca="false">B11</f>
        <v>1</v>
      </c>
      <c r="C41" s="500" t="n">
        <f aca="false">C11</f>
        <v>36251</v>
      </c>
      <c r="D41" s="484" t="n">
        <v>10721.11</v>
      </c>
      <c r="E41" s="529" t="n">
        <v>0.641419591814654</v>
      </c>
      <c r="F41" s="530" t="n">
        <v>0.358580408185347</v>
      </c>
      <c r="G41" s="484" t="n">
        <v>9586.87619047619</v>
      </c>
      <c r="H41" s="529" t="n">
        <v>0.52500038334257</v>
      </c>
      <c r="I41" s="531" t="n">
        <f aca="false">100%-H41</f>
        <v>0.474999616657431</v>
      </c>
      <c r="L41" s="37" t="s">
        <v>755</v>
      </c>
      <c r="M41" s="484" t="n">
        <v>5799.85</v>
      </c>
      <c r="N41" s="532" t="n">
        <v>180</v>
      </c>
      <c r="O41" s="533" t="n">
        <f aca="false">N41/N$42*M41</f>
        <v>2174.94375</v>
      </c>
      <c r="W41" s="506" t="n">
        <v>1</v>
      </c>
      <c r="X41" s="506" t="n">
        <f aca="false">W41+1</f>
        <v>2</v>
      </c>
      <c r="Y41" s="506" t="n">
        <f aca="false">X41+1</f>
        <v>3</v>
      </c>
    </row>
    <row r="42" customFormat="false" ht="13.5" hidden="false" customHeight="false" outlineLevel="0" collapsed="false">
      <c r="B42" s="499" t="str">
        <f aca="false">B12</f>
        <v>2(a)</v>
      </c>
      <c r="C42" s="500" t="n">
        <f aca="false">C12</f>
        <v>36951</v>
      </c>
      <c r="D42" s="484" t="n">
        <v>10502.5</v>
      </c>
      <c r="E42" s="529" t="n">
        <v>0.525269221613901</v>
      </c>
      <c r="F42" s="530" t="n">
        <v>0.474730778386099</v>
      </c>
      <c r="G42" s="484" t="n">
        <v>9984.45454545455</v>
      </c>
      <c r="H42" s="529" t="n">
        <v>0.990000462078292</v>
      </c>
      <c r="I42" s="531" t="n">
        <f aca="false">100%-H42</f>
        <v>0.00999953792170849</v>
      </c>
      <c r="L42" s="37" t="s">
        <v>756</v>
      </c>
      <c r="M42" s="38"/>
      <c r="N42" s="79" t="n">
        <f aca="false">SUM(N40:N41)</f>
        <v>480</v>
      </c>
      <c r="O42" s="43" t="n">
        <f aca="false">SUM(O40:O41)</f>
        <v>8415.22784090909</v>
      </c>
    </row>
    <row r="43" customFormat="false" ht="13.5" hidden="false" customHeight="false" outlineLevel="0" collapsed="false">
      <c r="B43" s="499" t="str">
        <f aca="false">B13</f>
        <v>2(b)</v>
      </c>
      <c r="C43" s="500" t="n">
        <f aca="false">C13</f>
        <v>37104</v>
      </c>
      <c r="D43" s="484" t="n">
        <v>6782.87</v>
      </c>
      <c r="E43" s="529" t="n">
        <v>0.710821525401489</v>
      </c>
      <c r="F43" s="530" t="n">
        <v>0.289178474598511</v>
      </c>
      <c r="G43" s="484" t="n">
        <f aca="false">O42</f>
        <v>8415.22784090909</v>
      </c>
      <c r="H43" s="529" t="n">
        <v>0.990000462078292</v>
      </c>
      <c r="I43" s="531" t="n">
        <f aca="false">100%-H43</f>
        <v>0.00999953792170849</v>
      </c>
      <c r="L43" s="70"/>
      <c r="M43" s="71"/>
      <c r="N43" s="71"/>
      <c r="O43" s="74"/>
      <c r="W43" s="453" t="s">
        <v>757</v>
      </c>
      <c r="X43" s="28"/>
      <c r="Y43" s="27"/>
      <c r="AB43" s="1" t="s">
        <v>758</v>
      </c>
    </row>
    <row r="44" customFormat="false" ht="12.75" hidden="false" customHeight="false" outlineLevel="0" collapsed="false">
      <c r="B44" s="499" t="n">
        <f aca="false">B14</f>
        <v>3</v>
      </c>
      <c r="C44" s="500" t="n">
        <f aca="false">C14</f>
        <v>37012</v>
      </c>
      <c r="D44" s="484" t="n">
        <v>6782.87</v>
      </c>
      <c r="E44" s="529" t="n">
        <v>0.710821525401489</v>
      </c>
      <c r="F44" s="530" t="n">
        <v>0.289178474598511</v>
      </c>
      <c r="G44" s="484" t="n">
        <v>9237.42408376963</v>
      </c>
      <c r="H44" s="529" t="n">
        <v>0.954999468055056</v>
      </c>
      <c r="I44" s="531" t="n">
        <f aca="false">100%-H44</f>
        <v>0.0450005319449445</v>
      </c>
      <c r="W44" s="463" t="s">
        <v>759</v>
      </c>
      <c r="X44" s="464"/>
      <c r="Y44" s="465"/>
      <c r="Z44" s="479" t="n">
        <v>108000</v>
      </c>
      <c r="AA44" s="479" t="n">
        <v>98820</v>
      </c>
      <c r="AB44" s="479" t="n">
        <v>86000</v>
      </c>
    </row>
    <row r="45" customFormat="false" ht="12.75" hidden="false" customHeight="false" outlineLevel="0" collapsed="false">
      <c r="B45" s="499" t="n">
        <f aca="false">B15</f>
        <v>4</v>
      </c>
      <c r="C45" s="500" t="n">
        <f aca="false">C15</f>
        <v>37377</v>
      </c>
      <c r="D45" s="484" t="n">
        <v>7854.93</v>
      </c>
      <c r="E45" s="529" t="n">
        <v>0.774577240026327</v>
      </c>
      <c r="F45" s="530" t="n">
        <v>0.225422759973673</v>
      </c>
      <c r="G45" s="484" t="n">
        <v>9179.88601036269</v>
      </c>
      <c r="H45" s="529" t="n">
        <v>0.964999554567151</v>
      </c>
      <c r="I45" s="531" t="n">
        <f aca="false">100%-H45</f>
        <v>0.035000445432849</v>
      </c>
      <c r="W45" s="37"/>
      <c r="X45" s="38"/>
      <c r="Y45" s="534" t="s">
        <v>760</v>
      </c>
      <c r="Z45" s="479" t="n">
        <f aca="false">300*31*24</f>
        <v>223200</v>
      </c>
      <c r="AA45" s="479" t="n">
        <f aca="false">100800+28800</f>
        <v>129600</v>
      </c>
      <c r="AB45" s="479" t="n">
        <v>45000</v>
      </c>
    </row>
    <row r="46" customFormat="false" ht="12.75" hidden="false" customHeight="false" outlineLevel="0" collapsed="false">
      <c r="B46" s="499" t="n">
        <f aca="false">B16</f>
        <v>5</v>
      </c>
      <c r="C46" s="500" t="n">
        <f aca="false">C16</f>
        <v>37742</v>
      </c>
      <c r="D46" s="484" t="n">
        <v>9495.86</v>
      </c>
      <c r="E46" s="529" t="n">
        <v>0.77314534965764</v>
      </c>
      <c r="F46" s="530" t="n">
        <v>0.22685465034236</v>
      </c>
      <c r="G46" s="484" t="n">
        <v>9798.43594544435</v>
      </c>
      <c r="H46" s="529" t="n">
        <v>0.974455000387353</v>
      </c>
      <c r="I46" s="531" t="n">
        <f aca="false">100%-H46</f>
        <v>0.0255449996126472</v>
      </c>
      <c r="W46" s="492" t="n">
        <f aca="false">Startops2</f>
        <v>36951</v>
      </c>
      <c r="X46" s="479" t="n">
        <v>12600</v>
      </c>
      <c r="Y46" s="480" t="n">
        <f aca="false">IF($W46&lt;Startops2,0,$X46)</f>
        <v>12600</v>
      </c>
      <c r="Z46" s="479" t="n">
        <f aca="false">300*31*24</f>
        <v>223200</v>
      </c>
      <c r="AA46" s="479" t="n">
        <f aca="false">316800/2</f>
        <v>158400</v>
      </c>
      <c r="AB46" s="479" t="n">
        <v>115660</v>
      </c>
    </row>
    <row r="47" customFormat="false" ht="12.75" hidden="false" customHeight="false" outlineLevel="0" collapsed="false">
      <c r="B47" s="499" t="n">
        <f aca="false">B17</f>
        <v>6</v>
      </c>
      <c r="C47" s="500" t="n">
        <f aca="false">C17</f>
        <v>38108</v>
      </c>
      <c r="D47" s="484" t="n">
        <v>9425.51</v>
      </c>
      <c r="E47" s="529" t="n">
        <v>0.778110680483072</v>
      </c>
      <c r="F47" s="530" t="n">
        <v>0.221889319516928</v>
      </c>
      <c r="G47" s="484" t="n">
        <v>9794.89340101523</v>
      </c>
      <c r="H47" s="529" t="n">
        <v>0.985000090496034</v>
      </c>
      <c r="I47" s="531" t="n">
        <f aca="false">100%-H47</f>
        <v>0.0149999095039665</v>
      </c>
      <c r="W47" s="494" t="n">
        <f aca="false">EDATE(W46,1)</f>
        <v>36982</v>
      </c>
      <c r="X47" s="479" t="n">
        <v>70200</v>
      </c>
      <c r="Y47" s="480" t="n">
        <f aca="false">IF($W47&lt;Startops2,0,$X47)</f>
        <v>70200</v>
      </c>
      <c r="Z47" s="479" t="n">
        <f aca="false">300*24*29</f>
        <v>208800</v>
      </c>
      <c r="AA47" s="479" t="n">
        <f aca="false">316800/2</f>
        <v>158400</v>
      </c>
      <c r="AB47" s="479" t="n">
        <v>188990</v>
      </c>
    </row>
    <row r="48" customFormat="false" ht="12.75" hidden="false" customHeight="false" outlineLevel="0" collapsed="false">
      <c r="B48" s="499" t="n">
        <f aca="false">B18</f>
        <v>7</v>
      </c>
      <c r="C48" s="500" t="n">
        <f aca="false">C18</f>
        <v>38473</v>
      </c>
      <c r="D48" s="484" t="n">
        <v>9803.42</v>
      </c>
      <c r="E48" s="529" t="n">
        <v>0.77920868431629</v>
      </c>
      <c r="F48" s="530" t="n">
        <v>0.22079131568371</v>
      </c>
      <c r="G48" s="484" t="n">
        <v>9710.48681541582</v>
      </c>
      <c r="H48" s="529" t="n">
        <v>0.985999546968828</v>
      </c>
      <c r="I48" s="531" t="n">
        <f aca="false">100%-H48</f>
        <v>0.0140004530311721</v>
      </c>
      <c r="W48" s="494" t="n">
        <f aca="false">EDATE(W47,1)</f>
        <v>37012</v>
      </c>
      <c r="X48" s="479" t="n">
        <v>146880</v>
      </c>
      <c r="Y48" s="480" t="n">
        <f aca="false">IF($W48&lt;Startops2,0,$X48)</f>
        <v>146880</v>
      </c>
      <c r="Z48" s="479" t="n">
        <f aca="false">300*24*31</f>
        <v>223200</v>
      </c>
      <c r="AA48" s="479" t="n">
        <f aca="false">30240+14400</f>
        <v>44640</v>
      </c>
      <c r="AB48" s="479" t="n">
        <v>234410</v>
      </c>
    </row>
    <row r="49" customFormat="false" ht="12.75" hidden="false" customHeight="false" outlineLevel="0" collapsed="false">
      <c r="B49" s="499" t="n">
        <f aca="false">B19</f>
        <v>8</v>
      </c>
      <c r="C49" s="500" t="n">
        <f aca="false">C19</f>
        <v>38838</v>
      </c>
      <c r="D49" s="484" t="n">
        <v>9776.1</v>
      </c>
      <c r="E49" s="529" t="n">
        <v>0.776107036548317</v>
      </c>
      <c r="F49" s="530" t="n">
        <v>0.223892963451683</v>
      </c>
      <c r="G49" s="484" t="n">
        <v>9508.33839918946</v>
      </c>
      <c r="H49" s="529" t="n">
        <v>0.987000280983656</v>
      </c>
      <c r="I49" s="531" t="n">
        <f aca="false">100%-H49</f>
        <v>0.0129997190163442</v>
      </c>
      <c r="W49" s="494" t="n">
        <f aca="false">EDATE(W48,1)</f>
        <v>37043</v>
      </c>
      <c r="X49" s="479" t="n">
        <v>232128</v>
      </c>
      <c r="Y49" s="480" t="n">
        <f aca="false">IF($W49&lt;Startops2,0,$X49)</f>
        <v>232128</v>
      </c>
      <c r="Z49" s="479" t="n">
        <f aca="false">300*24*30*0.91*0.92</f>
        <v>180835.2</v>
      </c>
      <c r="AA49" s="479" t="n">
        <f aca="false">50400+10800+81560</f>
        <v>142760</v>
      </c>
      <c r="AB49" s="479" t="n">
        <v>106000</v>
      </c>
    </row>
    <row r="50" customFormat="false" ht="12.75" hidden="false" customHeight="false" outlineLevel="0" collapsed="false">
      <c r="B50" s="499" t="n">
        <f aca="false">B20</f>
        <v>9</v>
      </c>
      <c r="C50" s="500" t="n">
        <f aca="false">C20</f>
        <v>39203</v>
      </c>
      <c r="D50" s="484" t="n">
        <v>10096.24</v>
      </c>
      <c r="E50" s="529" t="n">
        <v>0.746308526738667</v>
      </c>
      <c r="F50" s="530" t="n">
        <v>0.253691473261333</v>
      </c>
      <c r="G50" s="484" t="n">
        <v>8615.71284125379</v>
      </c>
      <c r="H50" s="529" t="n">
        <v>0.988999816557668</v>
      </c>
      <c r="I50" s="531" t="n">
        <f aca="false">100%-H50</f>
        <v>0.011000183442332</v>
      </c>
      <c r="W50" s="494" t="n">
        <f aca="false">EDATE(W49,1)</f>
        <v>37073</v>
      </c>
      <c r="X50" s="479" t="n">
        <v>234410</v>
      </c>
      <c r="Y50" s="480" t="n">
        <f aca="false">IF($W50&lt;Startops2,0,$X50)</f>
        <v>234410</v>
      </c>
      <c r="Z50" s="479" t="n">
        <f aca="false">300*24*31*0.91*0.92</f>
        <v>186863.04</v>
      </c>
      <c r="AA50" s="479" t="n">
        <v>46800</v>
      </c>
      <c r="AB50" s="479"/>
    </row>
    <row r="51" customFormat="false" ht="12.75" hidden="false" customHeight="false" outlineLevel="0" collapsed="false">
      <c r="B51" s="499" t="n">
        <f aca="false">B21</f>
        <v>10</v>
      </c>
      <c r="C51" s="500" t="n">
        <f aca="false">C21</f>
        <v>39569</v>
      </c>
      <c r="D51" s="484" t="n">
        <v>10416.24</v>
      </c>
      <c r="E51" s="529" t="n">
        <v>0.718258219856685</v>
      </c>
      <c r="F51" s="530" t="n">
        <v>0.281741780143315</v>
      </c>
      <c r="G51" s="484" t="n">
        <v>7894.59320288363</v>
      </c>
      <c r="H51" s="529" t="n">
        <v>0.978835618562354</v>
      </c>
      <c r="I51" s="531" t="n">
        <f aca="false">100%-H51</f>
        <v>0.0211643814376457</v>
      </c>
      <c r="W51" s="494" t="n">
        <f aca="false">EDATE(W50,1)</f>
        <v>37104</v>
      </c>
      <c r="X51" s="479" t="n">
        <v>0</v>
      </c>
      <c r="Y51" s="480" t="n">
        <f aca="false">IF($W51&lt;Startops2,0,$X51)</f>
        <v>0</v>
      </c>
    </row>
    <row r="52" customFormat="false" ht="12.75" hidden="false" customHeight="false" outlineLevel="0" collapsed="false">
      <c r="B52" s="499" t="n">
        <f aca="false">B22</f>
        <v>11</v>
      </c>
      <c r="C52" s="500" t="n">
        <f aca="false">C22</f>
        <v>39934</v>
      </c>
      <c r="D52" s="484" t="n">
        <v>10554.88</v>
      </c>
      <c r="E52" s="529" t="n">
        <v>0.703640401406743</v>
      </c>
      <c r="F52" s="530" t="n">
        <v>0.296359598593257</v>
      </c>
      <c r="G52" s="484" t="n">
        <v>7730.96074380165</v>
      </c>
      <c r="H52" s="529" t="n">
        <v>0.967556312059272</v>
      </c>
      <c r="I52" s="531" t="n">
        <f aca="false">100%-H52</f>
        <v>0.0324436879407285</v>
      </c>
      <c r="W52" s="494" t="n">
        <f aca="false">EDATE(W51,1)</f>
        <v>37135</v>
      </c>
      <c r="X52" s="479"/>
      <c r="Y52" s="480" t="n">
        <f aca="false">IF($W52&lt;Startops2,0,$X52)</f>
        <v>0</v>
      </c>
    </row>
    <row r="53" customFormat="false" ht="13.5" hidden="false" customHeight="false" outlineLevel="0" collapsed="false">
      <c r="B53" s="499" t="n">
        <f aca="false">B23</f>
        <v>12</v>
      </c>
      <c r="C53" s="500" t="n">
        <f aca="false">C23</f>
        <v>40299</v>
      </c>
      <c r="D53" s="484" t="n">
        <v>10709.97</v>
      </c>
      <c r="E53" s="529" t="n">
        <v>0.688224150020962</v>
      </c>
      <c r="F53" s="530" t="n">
        <v>0.311775849979038</v>
      </c>
      <c r="G53" s="484" t="n">
        <v>7728.38912133891</v>
      </c>
      <c r="H53" s="529" t="n">
        <v>0.969547267535333</v>
      </c>
      <c r="I53" s="531" t="n">
        <f aca="false">100%-H53</f>
        <v>0.0304527324646666</v>
      </c>
      <c r="W53" s="70"/>
      <c r="X53" s="71"/>
      <c r="Y53" s="510"/>
    </row>
    <row r="54" customFormat="false" ht="12.75" hidden="false" customHeight="false" outlineLevel="0" collapsed="false">
      <c r="B54" s="499" t="n">
        <f aca="false">B24</f>
        <v>13</v>
      </c>
      <c r="C54" s="500" t="n">
        <f aca="false">C24</f>
        <v>40664</v>
      </c>
      <c r="D54" s="484" t="n">
        <v>5172.37</v>
      </c>
      <c r="E54" s="529" t="n">
        <v>0.693842474532951</v>
      </c>
      <c r="F54" s="530" t="n">
        <v>0.306157525467049</v>
      </c>
      <c r="G54" s="484" t="n">
        <v>7277.27848101266</v>
      </c>
      <c r="H54" s="529" t="n">
        <v>0.971735079059143</v>
      </c>
      <c r="I54" s="531" t="n">
        <f aca="false">100%-H54</f>
        <v>0.0282649209408569</v>
      </c>
      <c r="W54" s="506" t="n">
        <v>1</v>
      </c>
      <c r="X54" s="506" t="n">
        <f aca="false">W54+1</f>
        <v>2</v>
      </c>
      <c r="Y54" s="506" t="n">
        <f aca="false">X54+1</f>
        <v>3</v>
      </c>
    </row>
    <row r="55" customFormat="false" ht="12.75" hidden="false" customHeight="false" outlineLevel="0" collapsed="false">
      <c r="B55" s="499" t="n">
        <f aca="false">B25</f>
        <v>14</v>
      </c>
      <c r="C55" s="500" t="n">
        <f aca="false">C25</f>
        <v>41030</v>
      </c>
      <c r="D55" s="484" t="n">
        <v>3801.75</v>
      </c>
      <c r="E55" s="529" t="n">
        <v>0.474047478135069</v>
      </c>
      <c r="F55" s="530" t="n">
        <v>0.525952521864931</v>
      </c>
      <c r="G55" s="484" t="n">
        <v>6768.8424437299</v>
      </c>
      <c r="H55" s="529" t="n">
        <v>0.941583069706537</v>
      </c>
      <c r="I55" s="531" t="n">
        <f aca="false">100%-H55</f>
        <v>0.058416930293463</v>
      </c>
    </row>
    <row r="56" customFormat="false" ht="12.75" hidden="false" customHeight="false" outlineLevel="0" collapsed="false">
      <c r="B56" s="499" t="n">
        <f aca="false">B26</f>
        <v>15</v>
      </c>
      <c r="C56" s="500" t="n">
        <f aca="false">C26</f>
        <v>41395</v>
      </c>
      <c r="D56" s="484" t="n">
        <v>3801.76</v>
      </c>
      <c r="E56" s="529" t="n">
        <v>0.380168658726485</v>
      </c>
      <c r="F56" s="530" t="n">
        <v>0.619831341273516</v>
      </c>
      <c r="G56" s="484" t="n">
        <v>6530.38420490929</v>
      </c>
      <c r="H56" s="529" t="n">
        <v>0.936999948444192</v>
      </c>
      <c r="I56" s="531" t="n">
        <f aca="false">100%-H56</f>
        <v>0.0630000515558078</v>
      </c>
    </row>
    <row r="57" customFormat="false" ht="12.75" hidden="false" customHeight="false" outlineLevel="0" collapsed="false">
      <c r="B57" s="499" t="n">
        <f aca="false">B27</f>
        <v>16</v>
      </c>
      <c r="C57" s="500" t="n">
        <f aca="false">C27</f>
        <v>41760</v>
      </c>
      <c r="D57" s="484" t="n">
        <v>3801.75</v>
      </c>
      <c r="E57" s="529" t="n">
        <v>0.175098309988821</v>
      </c>
      <c r="F57" s="530" t="n">
        <v>0.824901690011179</v>
      </c>
      <c r="G57" s="484" t="n">
        <v>4167.65616933402</v>
      </c>
      <c r="H57" s="529" t="n">
        <v>0.909052195906484</v>
      </c>
      <c r="I57" s="531" t="n">
        <f aca="false">100%-H57</f>
        <v>0.0909478040935158</v>
      </c>
    </row>
    <row r="58" customFormat="false" ht="12.75" hidden="false" customHeight="false" outlineLevel="0" collapsed="false">
      <c r="B58" s="499" t="n">
        <f aca="false">B28</f>
        <v>17</v>
      </c>
      <c r="C58" s="500" t="n">
        <f aca="false">C28</f>
        <v>42125</v>
      </c>
      <c r="D58" s="484" t="n">
        <v>3801.74</v>
      </c>
      <c r="E58" s="529" t="n">
        <v>0.175098770562953</v>
      </c>
      <c r="F58" s="530" t="n">
        <v>0.824901229437047</v>
      </c>
      <c r="G58" s="484" t="n">
        <v>2290.32496307238</v>
      </c>
      <c r="H58" s="529" t="n">
        <v>0.677002126350678</v>
      </c>
      <c r="I58" s="531" t="n">
        <f aca="false">100%-H58</f>
        <v>0.322997873649323</v>
      </c>
    </row>
    <row r="59" customFormat="false" ht="12.75" hidden="false" customHeight="false" outlineLevel="0" collapsed="false">
      <c r="B59" s="499" t="n">
        <f aca="false">B29</f>
        <v>18</v>
      </c>
      <c r="C59" s="500" t="n">
        <f aca="false">C29</f>
        <v>42491</v>
      </c>
      <c r="D59" s="484" t="n">
        <v>3801.75</v>
      </c>
      <c r="E59" s="529" t="n">
        <v>0.175098309988821</v>
      </c>
      <c r="F59" s="530" t="n">
        <v>0.824901690011179</v>
      </c>
      <c r="G59" s="484" t="n">
        <v>2290.32496307238</v>
      </c>
      <c r="H59" s="529" t="n">
        <v>0.677002126350678</v>
      </c>
      <c r="I59" s="531" t="n">
        <f aca="false">100%-H59</f>
        <v>0.322997873649323</v>
      </c>
    </row>
    <row r="60" customFormat="false" ht="12.75" hidden="false" customHeight="false" outlineLevel="0" collapsed="false">
      <c r="B60" s="499" t="n">
        <f aca="false">B30</f>
        <v>19</v>
      </c>
      <c r="C60" s="500" t="n">
        <f aca="false">C30</f>
        <v>42856</v>
      </c>
      <c r="D60" s="484" t="n">
        <v>3801.74</v>
      </c>
      <c r="E60" s="529" t="n">
        <v>0.175098770562953</v>
      </c>
      <c r="F60" s="530" t="n">
        <v>0.824901229437047</v>
      </c>
      <c r="G60" s="484" t="n">
        <v>2089.04912836767</v>
      </c>
      <c r="H60" s="529" t="n">
        <v>0.630998953124194</v>
      </c>
      <c r="I60" s="531" t="n">
        <f aca="false">100%-H60</f>
        <v>0.369001046875806</v>
      </c>
    </row>
    <row r="61" customFormat="false" ht="12.75" hidden="false" customHeight="false" outlineLevel="0" collapsed="false">
      <c r="B61" s="499" t="n">
        <f aca="false">B31</f>
        <v>20</v>
      </c>
      <c r="C61" s="500" t="n">
        <f aca="false">C31</f>
        <v>43221</v>
      </c>
      <c r="D61" s="484" t="n">
        <v>3801.75</v>
      </c>
      <c r="E61" s="529" t="n">
        <v>0.175098770562953</v>
      </c>
      <c r="F61" s="530" t="n">
        <v>0.824901229437047</v>
      </c>
      <c r="G61" s="484" t="n">
        <v>1291.01851851852</v>
      </c>
      <c r="H61" s="529" t="n">
        <v>0.540003288019106</v>
      </c>
      <c r="I61" s="531" t="n">
        <f aca="false">100%-H61</f>
        <v>0.459996711980894</v>
      </c>
    </row>
    <row r="62" customFormat="false" ht="13.5" hidden="false" customHeight="false" outlineLevel="0" collapsed="false">
      <c r="B62" s="70"/>
      <c r="C62" s="535"/>
      <c r="D62" s="512"/>
      <c r="E62" s="329"/>
      <c r="F62" s="513"/>
      <c r="G62" s="512"/>
      <c r="H62" s="329"/>
      <c r="I62" s="514"/>
    </row>
    <row r="63" customFormat="false" ht="12.75" hidden="false" customHeight="false" outlineLevel="0" collapsed="false">
      <c r="B63" s="506" t="n">
        <v>1</v>
      </c>
      <c r="C63" s="506" t="n">
        <f aca="false">B63+1</f>
        <v>2</v>
      </c>
      <c r="D63" s="506" t="n">
        <f aca="false">C63+1</f>
        <v>3</v>
      </c>
      <c r="E63" s="506" t="n">
        <f aca="false">D63+1</f>
        <v>4</v>
      </c>
      <c r="F63" s="506" t="n">
        <f aca="false">E63+1</f>
        <v>5</v>
      </c>
      <c r="G63" s="506" t="n">
        <f aca="false">F63+1</f>
        <v>6</v>
      </c>
      <c r="H63" s="506" t="n">
        <f aca="false">G63+1</f>
        <v>7</v>
      </c>
      <c r="I63" s="506" t="n">
        <f aca="false">H63+1</f>
        <v>8</v>
      </c>
    </row>
  </sheetData>
  <mergeCells count="11">
    <mergeCell ref="B7:J7"/>
    <mergeCell ref="L7:O7"/>
    <mergeCell ref="Q7:U7"/>
    <mergeCell ref="D8:H8"/>
    <mergeCell ref="I8:J8"/>
    <mergeCell ref="L8:M8"/>
    <mergeCell ref="N8:O8"/>
    <mergeCell ref="D39:F39"/>
    <mergeCell ref="G39:I39"/>
    <mergeCell ref="D40:F40"/>
    <mergeCell ref="G40:I40"/>
  </mergeCells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4" name="Button 45">
              <controlPr defaultSize="0" print="false" autoFill="0" autoPict="0" macro="xls.New_Tariff.Copy_New_Tariff">
                <anchor moveWithCells="true" sizeWithCells="false">
                  <from>
                    <xdr:col>35</xdr:col>
                    <xdr:colOff>432720</xdr:colOff>
                    <xdr:row>1</xdr:row>
                    <xdr:rowOff>190440</xdr:rowOff>
                  </from>
                  <to>
                    <xdr:col>37</xdr:col>
                    <xdr:colOff>383040</xdr:colOff>
                    <xdr:row>4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" zoomScaleNormal="10" zoomScalePageLayoutView="1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4"/>
  <sheetViews>
    <sheetView showFormulas="false" showGridLines="false" showRowColHeaders="true" showZeros="true" rightToLeft="false" tabSelected="true" showOutlineSymbols="true" defaultGridColor="true" view="normal" topLeftCell="A7" colorId="64" zoomScale="80" zoomScaleNormal="80" zoomScalePageLayoutView="100" workbookViewId="0">
      <pane xSplit="3" ySplit="1" topLeftCell="E8" activePane="bottomRight" state="frozen"/>
      <selection pane="topLeft" activeCell="A7" activeCellId="0" sqref="A7"/>
      <selection pane="topRight" activeCell="E7" activeCellId="0" sqref="E7"/>
      <selection pane="bottomLeft" activeCell="A8" activeCellId="0" sqref="A8"/>
      <selection pane="bottomRight" activeCell="H28" activeCellId="0" sqref="H28"/>
    </sheetView>
  </sheetViews>
  <sheetFormatPr defaultColWidth="13.28125" defaultRowHeight="12.75" customHeight="true" zeroHeight="false" outlineLevelRow="0" outlineLevelCol="0"/>
  <cols>
    <col collapsed="false" customWidth="true" hidden="false" outlineLevel="0" max="1" min="1" style="38" width="28.7"/>
    <col collapsed="false" customWidth="true" hidden="false" outlineLevel="0" max="12" min="2" style="1" width="11.7"/>
    <col collapsed="false" customWidth="true" hidden="false" outlineLevel="0" max="13" min="13" style="1" width="11.13"/>
    <col collapsed="false" customWidth="true" hidden="false" outlineLevel="0" max="25" min="14" style="1" width="11.7"/>
    <col collapsed="false" customWidth="true" hidden="false" outlineLevel="0" max="26" min="26" style="38" width="12.7"/>
    <col collapsed="false" customWidth="false" hidden="false" outlineLevel="0" max="257" min="27" style="1" width="13.28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761</v>
      </c>
      <c r="B4" s="388"/>
      <c r="C4" s="3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0"/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388"/>
      <c r="AA5" s="536" t="s">
        <v>762</v>
      </c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763</v>
      </c>
      <c r="B6" s="28"/>
      <c r="C6" s="28"/>
      <c r="D6" s="537" t="n">
        <v>1</v>
      </c>
      <c r="E6" s="538" t="n">
        <f aca="false">D6+1</f>
        <v>2</v>
      </c>
      <c r="F6" s="538" t="n">
        <f aca="false">E6+1</f>
        <v>3</v>
      </c>
      <c r="G6" s="538" t="n">
        <f aca="false">F6+1</f>
        <v>4</v>
      </c>
      <c r="H6" s="538" t="n">
        <f aca="false">G6+1</f>
        <v>5</v>
      </c>
      <c r="I6" s="538" t="n">
        <f aca="false">H6+1</f>
        <v>6</v>
      </c>
      <c r="J6" s="538" t="n">
        <f aca="false">I6+1</f>
        <v>7</v>
      </c>
      <c r="K6" s="538" t="n">
        <f aca="false">J6+1</f>
        <v>8</v>
      </c>
      <c r="L6" s="538" t="n">
        <f aca="false">K6+1</f>
        <v>9</v>
      </c>
      <c r="M6" s="538" t="n">
        <f aca="false">L6+1</f>
        <v>10</v>
      </c>
      <c r="N6" s="538" t="n">
        <f aca="false">M6+1</f>
        <v>11</v>
      </c>
      <c r="O6" s="538" t="n">
        <f aca="false">N6+1</f>
        <v>12</v>
      </c>
      <c r="P6" s="538" t="n">
        <f aca="false">O6+1</f>
        <v>13</v>
      </c>
      <c r="Q6" s="538" t="n">
        <f aca="false">P6+1</f>
        <v>14</v>
      </c>
      <c r="R6" s="538" t="n">
        <f aca="false">Q6+1</f>
        <v>15</v>
      </c>
      <c r="S6" s="538" t="n">
        <f aca="false">R6+1</f>
        <v>16</v>
      </c>
      <c r="T6" s="538" t="n">
        <f aca="false">S6+1</f>
        <v>17</v>
      </c>
      <c r="U6" s="538" t="n">
        <f aca="false">T6+1</f>
        <v>18</v>
      </c>
      <c r="V6" s="538" t="n">
        <f aca="false">U6+1</f>
        <v>19</v>
      </c>
      <c r="W6" s="538" t="n">
        <f aca="false">V6+1</f>
        <v>20</v>
      </c>
      <c r="X6" s="538" t="n">
        <f aca="false">W6+1</f>
        <v>21</v>
      </c>
      <c r="Y6" s="538" t="n">
        <f aca="false">X6+1</f>
        <v>22</v>
      </c>
      <c r="Z6" s="539"/>
      <c r="AA6" s="540" t="s">
        <v>764</v>
      </c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541" t="s">
        <v>765</v>
      </c>
      <c r="B7" s="71"/>
      <c r="C7" s="71"/>
      <c r="D7" s="542" t="n">
        <v>1998</v>
      </c>
      <c r="E7" s="543" t="n">
        <f aca="false">D7+1</f>
        <v>1999</v>
      </c>
      <c r="F7" s="543" t="n">
        <f aca="false">E7+1</f>
        <v>2000</v>
      </c>
      <c r="G7" s="543" t="n">
        <f aca="false">F7+1</f>
        <v>2001</v>
      </c>
      <c r="H7" s="543" t="n">
        <f aca="false">G7+1</f>
        <v>2002</v>
      </c>
      <c r="I7" s="543" t="n">
        <f aca="false">H7+1</f>
        <v>2003</v>
      </c>
      <c r="J7" s="543" t="n">
        <f aca="false">I7+1</f>
        <v>2004</v>
      </c>
      <c r="K7" s="543" t="n">
        <f aca="false">J7+1</f>
        <v>2005</v>
      </c>
      <c r="L7" s="543" t="n">
        <f aca="false">K7+1</f>
        <v>2006</v>
      </c>
      <c r="M7" s="543" t="n">
        <f aca="false">L7+1</f>
        <v>2007</v>
      </c>
      <c r="N7" s="543" t="n">
        <f aca="false">M7+1</f>
        <v>2008</v>
      </c>
      <c r="O7" s="543" t="n">
        <f aca="false">N7+1</f>
        <v>2009</v>
      </c>
      <c r="P7" s="543" t="n">
        <f aca="false">O7+1</f>
        <v>2010</v>
      </c>
      <c r="Q7" s="543" t="n">
        <f aca="false">P7+1</f>
        <v>2011</v>
      </c>
      <c r="R7" s="543" t="n">
        <f aca="false">Q7+1</f>
        <v>2012</v>
      </c>
      <c r="S7" s="543" t="n">
        <f aca="false">R7+1</f>
        <v>2013</v>
      </c>
      <c r="T7" s="543" t="n">
        <f aca="false">S7+1</f>
        <v>2014</v>
      </c>
      <c r="U7" s="543" t="n">
        <f aca="false">T7+1</f>
        <v>2015</v>
      </c>
      <c r="V7" s="543" t="n">
        <f aca="false">U7+1</f>
        <v>2016</v>
      </c>
      <c r="W7" s="543" t="n">
        <f aca="false">V7+1</f>
        <v>2017</v>
      </c>
      <c r="X7" s="543" t="n">
        <f aca="false">W7+1</f>
        <v>2018</v>
      </c>
      <c r="Y7" s="543" t="n">
        <f aca="false">X7+1</f>
        <v>2019</v>
      </c>
      <c r="Z7" s="544" t="s">
        <v>766</v>
      </c>
      <c r="AA7" s="78" t="n">
        <v>1</v>
      </c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45"/>
      <c r="B8" s="388"/>
      <c r="C8" s="67"/>
      <c r="D8" s="546"/>
      <c r="E8" s="546"/>
      <c r="F8" s="547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8"/>
      <c r="AA8" s="175" t="n">
        <f aca="false">AA7+1</f>
        <v>2</v>
      </c>
      <c r="AB8" s="0"/>
      <c r="AC8" s="38"/>
      <c r="AD8" s="38"/>
      <c r="AE8" s="38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12.75" hidden="false" customHeight="false" outlineLevel="0" collapsed="false">
      <c r="A9" s="37" t="s">
        <v>767</v>
      </c>
      <c r="B9" s="38"/>
      <c r="C9" s="38"/>
      <c r="D9" s="215" t="n">
        <f aca="false">IF(D$7&lt;YEAR(Startops1),0,IF(D$7=YEAR(Startops1),IF(D$7=YEAR(Startops2),MONTH(Startops2)-MONTH(Startops1),13-MONTH(Startops1)),IF(D$7&gt;YEAR(Startops2),0,IF(D$7=YEAR(Startops2),MONTH(Startops2)-1-D11,12))))</f>
        <v>0</v>
      </c>
      <c r="E9" s="215" t="n">
        <f aca="false">IF(E$7&lt;YEAR(Startops1),0,IF(E$7=YEAR(Startops1),IF(E$7=YEAR(Startops2),MONTH(Startops2)-MONTH(Startops1),13-MONTH(Startops1)),IF(E$7&gt;YEAR(Startops2),0,IF(E$7=YEAR(Startops2),MONTH(Startops2)-1-E11,12))))</f>
        <v>9</v>
      </c>
      <c r="F9" s="215" t="n">
        <f aca="false">IF(F$7&lt;YEAR(Startops1),0,IF(F$7=YEAR(Startops1),IF(F$7=YEAR(Startops2),MONTH(Startops2)-MONTH(Startops1),13-MONTH(Startops1)),IF(F$7&gt;YEAR(Startops2),0,IF(F$7=YEAR(Startops2),MONTH(Startops2)-1-F11,12))))</f>
        <v>12</v>
      </c>
      <c r="G9" s="549" t="n">
        <v>0</v>
      </c>
      <c r="H9" s="215" t="n">
        <f aca="false">IF(H$7&lt;YEAR(Startops1),0,IF(H$7=YEAR(Startops1),IF(H$7=YEAR(Startops2),MONTH(Startops2)-MONTH(Startops1),13-MONTH(Startops1)),IF(H$7&gt;YEAR(Startops2),0,IF(H$7=YEAR(Startops2),MONTH(Startops2)-1-H11,12))))</f>
        <v>0</v>
      </c>
      <c r="I9" s="215" t="n">
        <f aca="false">IF(I$7&lt;YEAR(Startops1),0,IF(I$7=YEAR(Startops1),IF(I$7=YEAR(Startops2),MONTH(Startops2)-MONTH(Startops1),13-MONTH(Startops1)),IF(I$7&gt;YEAR(Startops2),0,IF(I$7=YEAR(Startops2),MONTH(Startops2)-1-I11,12))))</f>
        <v>0</v>
      </c>
      <c r="J9" s="215" t="n">
        <f aca="false">IF(J$7&lt;YEAR(Startops1),0,IF(J$7=YEAR(Startops1),IF(J$7=YEAR(Startops2),MONTH(Startops2)-MONTH(Startops1),13-MONTH(Startops1)),IF(J$7&gt;YEAR(Startops2),0,IF(J$7=YEAR(Startops2),MONTH(Startops2)-1-J11,12))))</f>
        <v>0</v>
      </c>
      <c r="K9" s="215" t="n">
        <f aca="false">IF(K$7&lt;YEAR(Startops1),0,IF(K$7=YEAR(Startops1),IF(K$7=YEAR(Startops2),MONTH(Startops2)-MONTH(Startops1),13-MONTH(Startops1)),IF(K$7&gt;YEAR(Startops2),0,IF(K$7=YEAR(Startops2),MONTH(Startops2)-1-K11,12))))</f>
        <v>0</v>
      </c>
      <c r="L9" s="215" t="n">
        <f aca="false">IF(L$7&lt;YEAR(Startops1),0,IF(L$7=YEAR(Startops1),IF(L$7=YEAR(Startops2),MONTH(Startops2)-MONTH(Startops1),13-MONTH(Startops1)),IF(L$7&gt;YEAR(Startops2),0,IF(L$7=YEAR(Startops2),MONTH(Startops2)-1-L11,12))))</f>
        <v>0</v>
      </c>
      <c r="M9" s="215" t="n">
        <f aca="false">IF(M$7&lt;YEAR(Startops1),0,IF(M$7=YEAR(Startops1),IF(M$7=YEAR(Startops2),MONTH(Startops2)-MONTH(Startops1),13-MONTH(Startops1)),IF(M$7&gt;YEAR(Startops2),0,IF(M$7=YEAR(Startops2),MONTH(Startops2)-1-M11,12))))</f>
        <v>0</v>
      </c>
      <c r="N9" s="215" t="n">
        <f aca="false">IF(N$7&lt;YEAR(Startops1),0,IF(N$7=YEAR(Startops1),IF(N$7=YEAR(Startops2),MONTH(Startops2)-MONTH(Startops1),13-MONTH(Startops1)),IF(N$7&gt;YEAR(Startops2),0,IF(N$7=YEAR(Startops2),MONTH(Startops2)-1-N11,12))))</f>
        <v>0</v>
      </c>
      <c r="O9" s="215" t="n">
        <f aca="false">IF(O$7&lt;YEAR(Startops1),0,IF(O$7=YEAR(Startops1),IF(O$7=YEAR(Startops2),MONTH(Startops2)-MONTH(Startops1),13-MONTH(Startops1)),IF(O$7&gt;YEAR(Startops2),0,IF(O$7=YEAR(Startops2),MONTH(Startops2)-1-O11,12))))</f>
        <v>0</v>
      </c>
      <c r="P9" s="215" t="n">
        <f aca="false">IF(P$7&lt;YEAR(Startops1),0,IF(P$7=YEAR(Startops1),IF(P$7=YEAR(Startops2),MONTH(Startops2)-MONTH(Startops1),13-MONTH(Startops1)),IF(P$7&gt;YEAR(Startops2),0,IF(P$7=YEAR(Startops2),MONTH(Startops2)-1-P11,12))))</f>
        <v>0</v>
      </c>
      <c r="Q9" s="215" t="n">
        <f aca="false">IF(Q$7&lt;YEAR(Startops1),0,IF(Q$7=YEAR(Startops1),IF(Q$7=YEAR(Startops2),MONTH(Startops2)-MONTH(Startops1),13-MONTH(Startops1)),IF(Q$7&gt;YEAR(Startops2),0,IF(Q$7=YEAR(Startops2),MONTH(Startops2)-1-Q11,12))))</f>
        <v>0</v>
      </c>
      <c r="R9" s="215" t="n">
        <f aca="false">IF(R$7&lt;YEAR(Startops1),0,IF(R$7=YEAR(Startops1),IF(R$7=YEAR(Startops2),MONTH(Startops2)-MONTH(Startops1),13-MONTH(Startops1)),IF(R$7&gt;YEAR(Startops2),0,IF(R$7=YEAR(Startops2),MONTH(Startops2)-1-R11,12))))</f>
        <v>0</v>
      </c>
      <c r="S9" s="215" t="n">
        <f aca="false">IF(S$7&lt;YEAR(Startops1),0,IF(S$7=YEAR(Startops1),IF(S$7=YEAR(Startops2),MONTH(Startops2)-MONTH(Startops1),13-MONTH(Startops1)),IF(S$7&gt;YEAR(Startops2),0,IF(S$7=YEAR(Startops2),MONTH(Startops2)-1-S11,12))))</f>
        <v>0</v>
      </c>
      <c r="T9" s="215" t="n">
        <f aca="false">IF(T$7&lt;YEAR(Startops1),0,IF(T$7=YEAR(Startops1),IF(T$7=YEAR(Startops2),MONTH(Startops2)-MONTH(Startops1),13-MONTH(Startops1)),IF(T$7&gt;YEAR(Startops2),0,IF(T$7=YEAR(Startops2),MONTH(Startops2)-1-T11,12))))</f>
        <v>0</v>
      </c>
      <c r="U9" s="215" t="n">
        <f aca="false">IF(U$7&lt;YEAR(Startops1),0,IF(U$7=YEAR(Startops1),IF(U$7=YEAR(Startops2),MONTH(Startops2)-MONTH(Startops1),13-MONTH(Startops1)),IF(U$7&gt;YEAR(Startops2),0,IF(U$7=YEAR(Startops2),MONTH(Startops2)-1-U11,12))))</f>
        <v>0</v>
      </c>
      <c r="V9" s="215" t="n">
        <f aca="false">IF(V$7&lt;YEAR(Startops1),0,IF(V$7=YEAR(Startops1),IF(V$7=YEAR(Startops2),MONTH(Startops2)-MONTH(Startops1),13-MONTH(Startops1)),IF(V$7&gt;YEAR(Startops2),0,IF(V$7=YEAR(Startops2),MONTH(Startops2)-1-V11,12))))</f>
        <v>0</v>
      </c>
      <c r="W9" s="215" t="n">
        <f aca="false">IF(W$7&lt;YEAR(Startops1),0,IF(W$7=YEAR(Startops1),IF(W$7=YEAR(Startops2),MONTH(Startops2)-MONTH(Startops1),13-MONTH(Startops1)),IF(W$7&gt;YEAR(Startops2),0,IF(W$7=YEAR(Startops2),MONTH(Startops2)-1-W11,12))))</f>
        <v>0</v>
      </c>
      <c r="X9" s="215" t="n">
        <f aca="false">IF(X$7&lt;YEAR(Startops1),0,IF(X$7=YEAR(Startops1),IF(X$7=YEAR(Startops2),MONTH(Startops2)-MONTH(Startops1),13-MONTH(Startops1)),IF(X$7&gt;YEAR(Startops2),0,IF(X$7=YEAR(Startops2),MONTH(Startops2)-1-X11,12))))</f>
        <v>0</v>
      </c>
      <c r="Y9" s="215" t="n">
        <f aca="false">IF(Y$7&lt;YEAR(Startops1),0,IF(Y$7=YEAR(Startops1),IF(Y$7=YEAR(Startops2),MONTH(Startops2)-MONTH(Startops1),13-MONTH(Startops1)),IF(Y$7&gt;YEAR(Startops2),0,IF(Y$7=YEAR(Startops2),MONTH(Startops2)-1-Y11,12))))</f>
        <v>0</v>
      </c>
      <c r="Z9" s="550" t="n">
        <f aca="false">SUM(D9:Y9)</f>
        <v>21</v>
      </c>
      <c r="AA9" s="175" t="n">
        <f aca="false">AA8+1</f>
        <v>3</v>
      </c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37" t="s">
        <v>768</v>
      </c>
      <c r="B10" s="38"/>
      <c r="C10" s="38"/>
      <c r="D10" s="215" t="n">
        <f aca="false">D12-D9-D11</f>
        <v>0</v>
      </c>
      <c r="E10" s="215" t="n">
        <f aca="false">E12-E9-E11</f>
        <v>0</v>
      </c>
      <c r="F10" s="215" t="n">
        <f aca="false">F12-F9-F11</f>
        <v>0</v>
      </c>
      <c r="G10" s="215" t="n">
        <f aca="false">G12-G9-G11</f>
        <v>7</v>
      </c>
      <c r="H10" s="215" t="n">
        <f aca="false">H12-H9-H11</f>
        <v>0</v>
      </c>
      <c r="I10" s="215" t="n">
        <f aca="false">I12-I9-I11</f>
        <v>0</v>
      </c>
      <c r="J10" s="215" t="n">
        <f aca="false">J12-J9-J11</f>
        <v>0</v>
      </c>
      <c r="K10" s="215" t="n">
        <f aca="false">K12-K9-K11</f>
        <v>0</v>
      </c>
      <c r="L10" s="215" t="n">
        <f aca="false">L12-L9-L11</f>
        <v>0</v>
      </c>
      <c r="M10" s="215" t="n">
        <f aca="false">M12-M9-M11</f>
        <v>0</v>
      </c>
      <c r="N10" s="215" t="n">
        <f aca="false">N12-N9-N11</f>
        <v>0</v>
      </c>
      <c r="O10" s="215" t="n">
        <f aca="false">O12-O9-O11</f>
        <v>0</v>
      </c>
      <c r="P10" s="215" t="n">
        <f aca="false">P12-P9-P11</f>
        <v>0</v>
      </c>
      <c r="Q10" s="215" t="n">
        <f aca="false">Q12-Q9-Q11</f>
        <v>0</v>
      </c>
      <c r="R10" s="215" t="n">
        <f aca="false">R12-R9-R11</f>
        <v>0</v>
      </c>
      <c r="S10" s="215" t="n">
        <f aca="false">S12-S9-S11</f>
        <v>0</v>
      </c>
      <c r="T10" s="215" t="n">
        <f aca="false">T12-T9-T11</f>
        <v>0</v>
      </c>
      <c r="U10" s="215" t="n">
        <f aca="false">U12-U9-U11</f>
        <v>0</v>
      </c>
      <c r="V10" s="215" t="n">
        <f aca="false">V12-V9-V11</f>
        <v>0</v>
      </c>
      <c r="W10" s="215" t="n">
        <f aca="false">W12-W9-W11</f>
        <v>0</v>
      </c>
      <c r="X10" s="215" t="n">
        <f aca="false">X12-X9-X11</f>
        <v>0</v>
      </c>
      <c r="Y10" s="215" t="n">
        <f aca="false">Y12-Y9-Y11</f>
        <v>0</v>
      </c>
      <c r="Z10" s="550" t="n">
        <f aca="false">SUM(D10:Y10)</f>
        <v>7</v>
      </c>
      <c r="AA10" s="175" t="n">
        <f aca="false">AA9+1</f>
        <v>4</v>
      </c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</row>
    <row r="11" customFormat="false" ht="12.75" hidden="false" customHeight="false" outlineLevel="0" collapsed="false">
      <c r="A11" s="37" t="s">
        <v>769</v>
      </c>
      <c r="B11" s="38"/>
      <c r="C11" s="38"/>
      <c r="D11" s="551" t="n">
        <f aca="false">IF(D$7&lt;YEAR(Startops3),0,IF(D$7=YEAR(Startops3),13-MONTH(Startops3),IF(D$7=YEAR(Endyr),MONTH(Endyr),12)))</f>
        <v>0</v>
      </c>
      <c r="E11" s="551" t="n">
        <f aca="false">IF(E$7&lt;YEAR(Startops3),0,IF(E$7=YEAR(Startops3),13-MONTH(Startops3),IF(E$7=YEAR(Endyr),MONTH(Endyr),12)))</f>
        <v>0</v>
      </c>
      <c r="F11" s="551" t="n">
        <f aca="false">IF(F$7&lt;YEAR(Startops3),0,IF(F$7=YEAR(Startops3),13-MONTH(Startops3),IF(F$7=YEAR(Endyr),MONTH(Endyr),12)))</f>
        <v>0</v>
      </c>
      <c r="G11" s="551" t="n">
        <f aca="false">IF(G$7&lt;YEAR(Startops3),0,IF(G$7=YEAR(Startops3),13-MONTH(Startops3),IF(G$7=YEAR(Endyr),MONTH(Endyr),12)))</f>
        <v>5</v>
      </c>
      <c r="H11" s="551" t="n">
        <f aca="false">IF(H$7&lt;YEAR(Startops3),0,IF(H$7=YEAR(Startops3),13-MONTH(Startops3),IF(H$7=YEAR(Endyr),MONTH(Endyr),12)))</f>
        <v>12</v>
      </c>
      <c r="I11" s="551" t="n">
        <f aca="false">IF(I$7&lt;YEAR(Startops3),0,IF(I$7=YEAR(Startops3),13-MONTH(Startops3),IF(I$7=YEAR(Endyr),MONTH(Endyr),12)))</f>
        <v>12</v>
      </c>
      <c r="J11" s="551" t="n">
        <f aca="false">IF(J$7&lt;YEAR(Startops3),0,IF(J$7=YEAR(Startops3),13-MONTH(Startops3),IF(J$7=YEAR(Endyr),MONTH(Endyr),12)))</f>
        <v>12</v>
      </c>
      <c r="K11" s="551" t="n">
        <f aca="false">IF(K$7&lt;YEAR(Startops3),0,IF(K$7=YEAR(Startops3),13-MONTH(Startops3),IF(K$7=YEAR(Endyr),MONTH(Endyr),12)))</f>
        <v>12</v>
      </c>
      <c r="L11" s="551" t="n">
        <f aca="false">IF(L$7&lt;YEAR(Startops3),0,IF(L$7=YEAR(Startops3),13-MONTH(Startops3),IF(L$7=YEAR(Endyr),MONTH(Endyr),12)))</f>
        <v>12</v>
      </c>
      <c r="M11" s="551" t="n">
        <f aca="false">IF(M$7&lt;YEAR(Startops3),0,IF(M$7=YEAR(Startops3),13-MONTH(Startops3),IF(M$7=YEAR(Endyr),MONTH(Endyr),12)))</f>
        <v>12</v>
      </c>
      <c r="N11" s="551" t="n">
        <f aca="false">IF(N$7&lt;YEAR(Startops3),0,IF(N$7=YEAR(Startops3),13-MONTH(Startops3),IF(N$7=YEAR(Endyr),MONTH(Endyr),12)))</f>
        <v>12</v>
      </c>
      <c r="O11" s="551" t="n">
        <f aca="false">IF(O$7&lt;YEAR(Startops3),0,IF(O$7=YEAR(Startops3),13-MONTH(Startops3),IF(O$7=YEAR(Endyr),MONTH(Endyr),12)))</f>
        <v>12</v>
      </c>
      <c r="P11" s="551" t="n">
        <f aca="false">IF(P$7&lt;YEAR(Startops3),0,IF(P$7=YEAR(Startops3),13-MONTH(Startops3),IF(P$7=YEAR(Endyr),MONTH(Endyr),12)))</f>
        <v>12</v>
      </c>
      <c r="Q11" s="551" t="n">
        <f aca="false">IF(Q$7&lt;YEAR(Startops3),0,IF(Q$7=YEAR(Startops3),13-MONTH(Startops3),IF(Q$7=YEAR(Endyr),MONTH(Endyr),12)))</f>
        <v>12</v>
      </c>
      <c r="R11" s="551" t="n">
        <f aca="false">IF(R$7&lt;YEAR(Startops3),0,IF(R$7=YEAR(Startops3),13-MONTH(Startops3),IF(R$7=YEAR(Endyr),MONTH(Endyr),12)))</f>
        <v>12</v>
      </c>
      <c r="S11" s="551" t="n">
        <f aca="false">IF(S$7&lt;YEAR(Startops3),0,IF(S$7=YEAR(Startops3),13-MONTH(Startops3),IF(S$7=YEAR(Endyr),MONTH(Endyr),12)))</f>
        <v>12</v>
      </c>
      <c r="T11" s="551" t="n">
        <f aca="false">IF(T$7&lt;YEAR(Startops3),0,IF(T$7=YEAR(Startops3),13-MONTH(Startops3),IF(T$7=YEAR(Endyr),MONTH(Endyr),12)))</f>
        <v>12</v>
      </c>
      <c r="U11" s="551" t="n">
        <f aca="false">IF(U$7&lt;YEAR(Startops3),0,IF(U$7=YEAR(Startops3),13-MONTH(Startops3),IF(U$7=YEAR(Endyr),MONTH(Endyr),12)))</f>
        <v>12</v>
      </c>
      <c r="V11" s="551" t="n">
        <f aca="false">IF(V$7&lt;YEAR(Startops3),0,IF(V$7=YEAR(Startops3),13-MONTH(Startops3),IF(V$7=YEAR(Endyr),MONTH(Endyr),12)))</f>
        <v>12</v>
      </c>
      <c r="W11" s="551" t="n">
        <f aca="false">IF(W$7&lt;YEAR(Startops3),0,IF(W$7=YEAR(Startops3),13-MONTH(Startops3),IF(W$7=YEAR(Endyr),MONTH(Endyr),12)))</f>
        <v>12</v>
      </c>
      <c r="X11" s="551" t="n">
        <f aca="false">IF(X$7&lt;YEAR(Startops3),0,IF(X$7=YEAR(Startops3),13-MONTH(Startops3),IF(X$7=YEAR(Endyr),MONTH(Endyr),12)))</f>
        <v>12</v>
      </c>
      <c r="Y11" s="551" t="n">
        <f aca="false">IF(Y$7&lt;YEAR(Startops3),0,IF(Y$7=YEAR(Startops3),13-MONTH(Startops3),IF(Y$7=YEAR(Endyr),MONTH(Endyr),12)))</f>
        <v>4</v>
      </c>
      <c r="Z11" s="552" t="n">
        <f aca="false">SUM(D11:Y11)</f>
        <v>213</v>
      </c>
      <c r="AA11" s="175" t="n">
        <f aca="false">AA10+1</f>
        <v>5</v>
      </c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</row>
    <row r="12" customFormat="false" ht="12.75" hidden="false" customHeight="false" outlineLevel="0" collapsed="false">
      <c r="A12" s="55" t="s">
        <v>770</v>
      </c>
      <c r="B12" s="62"/>
      <c r="C12" s="38"/>
      <c r="D12" s="553" t="n">
        <f aca="false">IF(D$7&lt;YEAR(Startops1),0,IF(D$7=YEAR(Startops1),13-MONTH(Startops1),IF(D$7=YEAR(Endyr),MONTH(Startops1),12)))</f>
        <v>0</v>
      </c>
      <c r="E12" s="553" t="n">
        <f aca="false">IF(E$7&lt;YEAR(Startops1),0,IF(E$7=YEAR(Startops1),13-MONTH(Startops1),IF(E$7=YEAR(Endyr),MONTH(Startops1),12)))</f>
        <v>9</v>
      </c>
      <c r="F12" s="553" t="n">
        <f aca="false">IF(F$7&lt;YEAR(Startops1),0,IF(F$7=YEAR(Startops1),13-MONTH(Startops1),IF(F$7=YEAR(Endyr),MONTH(Startops1),12)))</f>
        <v>12</v>
      </c>
      <c r="G12" s="553" t="n">
        <f aca="false">IF(G$7&lt;YEAR(Startops1),0,IF(G$7=YEAR(Startops1),13-MONTH(Startops1),IF(G$7=YEAR(Endyr),MONTH(Startops1),12)))</f>
        <v>12</v>
      </c>
      <c r="H12" s="553" t="n">
        <f aca="false">IF(H$7&lt;YEAR(Startops1),0,IF(H$7=YEAR(Startops1),13-MONTH(Startops1),IF(H$7=YEAR(Endyr),MONTH(Startops1),12)))</f>
        <v>12</v>
      </c>
      <c r="I12" s="553" t="n">
        <f aca="false">IF(I$7&lt;YEAR(Startops1),0,IF(I$7=YEAR(Startops1),13-MONTH(Startops1),IF(I$7=YEAR(Endyr),MONTH(Startops1),12)))</f>
        <v>12</v>
      </c>
      <c r="J12" s="553" t="n">
        <f aca="false">IF(J$7&lt;YEAR(Startops1),0,IF(J$7=YEAR(Startops1),13-MONTH(Startops1),IF(J$7=YEAR(Endyr),MONTH(Startops1),12)))</f>
        <v>12</v>
      </c>
      <c r="K12" s="553" t="n">
        <f aca="false">IF(K$7&lt;YEAR(Startops1),0,IF(K$7=YEAR(Startops1),13-MONTH(Startops1),IF(K$7=YEAR(Endyr),MONTH(Startops1),12)))</f>
        <v>12</v>
      </c>
      <c r="L12" s="553" t="n">
        <f aca="false">IF(L$7&lt;YEAR(Startops1),0,IF(L$7=YEAR(Startops1),13-MONTH(Startops1),IF(L$7=YEAR(Endyr),MONTH(Startops1),12)))</f>
        <v>12</v>
      </c>
      <c r="M12" s="553" t="n">
        <f aca="false">IF(M$7&lt;YEAR(Startops1),0,IF(M$7=YEAR(Startops1),13-MONTH(Startops1),IF(M$7=YEAR(Endyr),MONTH(Startops1),12)))</f>
        <v>12</v>
      </c>
      <c r="N12" s="553" t="n">
        <f aca="false">IF(N$7&lt;YEAR(Startops1),0,IF(N$7=YEAR(Startops1),13-MONTH(Startops1),IF(N$7=YEAR(Endyr),MONTH(Startops1),12)))</f>
        <v>12</v>
      </c>
      <c r="O12" s="553" t="n">
        <f aca="false">IF(O$7&lt;YEAR(Startops1),0,IF(O$7=YEAR(Startops1),13-MONTH(Startops1),IF(O$7=YEAR(Endyr),MONTH(Startops1),12)))</f>
        <v>12</v>
      </c>
      <c r="P12" s="553" t="n">
        <f aca="false">IF(P$7&lt;YEAR(Startops1),0,IF(P$7=YEAR(Startops1),13-MONTH(Startops1),IF(P$7=YEAR(Endyr),MONTH(Startops1),12)))</f>
        <v>12</v>
      </c>
      <c r="Q12" s="553" t="n">
        <f aca="false">IF(Q$7&lt;YEAR(Startops1),0,IF(Q$7=YEAR(Startops1),13-MONTH(Startops1),IF(Q$7=YEAR(Endyr),MONTH(Startops1),12)))</f>
        <v>12</v>
      </c>
      <c r="R12" s="553" t="n">
        <f aca="false">IF(R$7&lt;YEAR(Startops1),0,IF(R$7=YEAR(Startops1),13-MONTH(Startops1),IF(R$7=YEAR(Endyr),MONTH(Startops1),12)))</f>
        <v>12</v>
      </c>
      <c r="S12" s="553" t="n">
        <f aca="false">IF(S$7&lt;YEAR(Startops1),0,IF(S$7=YEAR(Startops1),13-MONTH(Startops1),IF(S$7=YEAR(Endyr),MONTH(Startops1),12)))</f>
        <v>12</v>
      </c>
      <c r="T12" s="553" t="n">
        <f aca="false">IF(T$7&lt;YEAR(Startops1),0,IF(T$7=YEAR(Startops1),13-MONTH(Startops1),IF(T$7=YEAR(Endyr),MONTH(Startops1),12)))</f>
        <v>12</v>
      </c>
      <c r="U12" s="553" t="n">
        <f aca="false">IF(U$7&lt;YEAR(Startops1),0,IF(U$7=YEAR(Startops1),13-MONTH(Startops1),IF(U$7=YEAR(Endyr),MONTH(Startops1),12)))</f>
        <v>12</v>
      </c>
      <c r="V12" s="553" t="n">
        <f aca="false">IF(V$7&lt;YEAR(Startops1),0,IF(V$7=YEAR(Startops1),13-MONTH(Startops1),IF(V$7=YEAR(Endyr),MONTH(Startops1),12)))</f>
        <v>12</v>
      </c>
      <c r="W12" s="553" t="n">
        <f aca="false">IF(W$7&lt;YEAR(Startops1),0,IF(W$7=YEAR(Startops1),13-MONTH(Startops1),IF(W$7=YEAR(Endyr),MONTH(Startops1),12)))</f>
        <v>12</v>
      </c>
      <c r="X12" s="553" t="n">
        <f aca="false">IF(X$7&lt;YEAR(Startops1),0,IF(X$7=YEAR(Startops1),13-MONTH(Startops1),IF(X$7=YEAR(Endyr),MONTH(Startops1),12)))</f>
        <v>12</v>
      </c>
      <c r="Y12" s="553" t="n">
        <f aca="false">IF(Y$7&lt;YEAR(Startops1),0,IF(Y$7=YEAR(Startops1),13-MONTH(Startops1),IF(Y$7=YEAR(Endyr),MONTH(Startops1),12)))</f>
        <v>4</v>
      </c>
      <c r="Z12" s="554" t="n">
        <f aca="false">SUM(D12:Y12)</f>
        <v>241</v>
      </c>
      <c r="AA12" s="175" t="n">
        <f aca="false">AA11+1</f>
        <v>6</v>
      </c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</row>
    <row r="13" customFormat="false" ht="12.75" hidden="false" customHeight="false" outlineLevel="0" collapsed="false">
      <c r="A13" s="37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555"/>
      <c r="AA13" s="175" t="n">
        <f aca="false">AA12+1</f>
        <v>7</v>
      </c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</row>
    <row r="14" customFormat="false" ht="12.75" hidden="false" customHeight="false" outlineLevel="0" collapsed="false">
      <c r="A14" s="37" t="s">
        <v>771</v>
      </c>
      <c r="B14" s="38"/>
      <c r="C14" s="38"/>
      <c r="D14" s="556" t="n">
        <f aca="false">IF(D$7&lt;YEAR(Startops1),0,VLOOKUP(DATE(D$7,12,1),Plant_Table,'Plant Operations'!$J$270))</f>
        <v>0</v>
      </c>
      <c r="E14" s="556" t="n">
        <f aca="false">IF(E$7&lt;YEAR(Startops1),0,VLOOKUP(DATE(E$7,12,1),Plant_Table,'Plant Operations'!$J$270))</f>
        <v>107900</v>
      </c>
      <c r="F14" s="556" t="n">
        <f aca="false">IF(F$7&lt;YEAR(Startops1),0,VLOOKUP(DATE(F$7,12,1),Plant_Table,'Plant Operations'!$J$270))</f>
        <v>691778.88</v>
      </c>
      <c r="G14" s="556" t="n">
        <f aca="false">IF(G$7&lt;YEAR(Startops1),0,VLOOKUP(DATE(G$7,12,1),Plant_Table,'Plant Operations'!$J$270))</f>
        <v>177821.28</v>
      </c>
      <c r="H14" s="556" t="n">
        <f aca="false">IF(H$7&lt;YEAR(Startops1),0,VLOOKUP(DATE(H$7,12,1),Plant_Table,'Plant Operations'!$J$270))</f>
        <v>0</v>
      </c>
      <c r="I14" s="556" t="n">
        <f aca="false">IF(I$7&lt;YEAR(Startops1),0,VLOOKUP(DATE(I$7,12,1),Plant_Table,'Plant Operations'!$J$270))</f>
        <v>0</v>
      </c>
      <c r="J14" s="556" t="n">
        <f aca="false">IF(J$7&lt;YEAR(Startops1),0,VLOOKUP(DATE(J$7,12,1),Plant_Table,'Plant Operations'!$J$270))</f>
        <v>0</v>
      </c>
      <c r="K14" s="556" t="n">
        <f aca="false">IF(K$7&lt;YEAR(Startops1),0,VLOOKUP(DATE(K$7,12,1),Plant_Table,'Plant Operations'!$J$270))</f>
        <v>0</v>
      </c>
      <c r="L14" s="556" t="n">
        <f aca="false">IF(L$7&lt;YEAR(Startops1),0,VLOOKUP(DATE(L$7,12,1),Plant_Table,'Plant Operations'!$J$270))</f>
        <v>0</v>
      </c>
      <c r="M14" s="556" t="n">
        <f aca="false">IF(M$7&lt;YEAR(Startops1),0,VLOOKUP(DATE(M$7,12,1),Plant_Table,'Plant Operations'!$J$270))</f>
        <v>0</v>
      </c>
      <c r="N14" s="556" t="n">
        <f aca="false">IF(N$7&lt;YEAR(Startops1),0,VLOOKUP(DATE(N$7,12,1),Plant_Table,'Plant Operations'!$J$270))</f>
        <v>0</v>
      </c>
      <c r="O14" s="556" t="n">
        <f aca="false">IF(O$7&lt;YEAR(Startops1),0,VLOOKUP(DATE(O$7,12,1),Plant_Table,'Plant Operations'!$J$270))</f>
        <v>0</v>
      </c>
      <c r="P14" s="556" t="n">
        <f aca="false">IF(P$7&lt;YEAR(Startops1),0,VLOOKUP(DATE(P$7,12,1),Plant_Table,'Plant Operations'!$J$270))</f>
        <v>0</v>
      </c>
      <c r="Q14" s="556" t="n">
        <f aca="false">IF(Q$7&lt;YEAR(Startops1),0,VLOOKUP(DATE(Q$7,12,1),Plant_Table,'Plant Operations'!$J$270))</f>
        <v>0</v>
      </c>
      <c r="R14" s="556" t="n">
        <f aca="false">IF(R$7&lt;YEAR(Startops1),0,VLOOKUP(DATE(R$7,12,1),Plant_Table,'Plant Operations'!$J$270))</f>
        <v>0</v>
      </c>
      <c r="S14" s="556" t="n">
        <f aca="false">IF(S$7&lt;YEAR(Startops1),0,VLOOKUP(DATE(S$7,12,1),Plant_Table,'Plant Operations'!$J$270))</f>
        <v>0</v>
      </c>
      <c r="T14" s="556" t="n">
        <f aca="false">IF(T$7&lt;YEAR(Startops1),0,VLOOKUP(DATE(T$7,12,1),Plant_Table,'Plant Operations'!$J$270))</f>
        <v>0</v>
      </c>
      <c r="U14" s="556" t="n">
        <f aca="false">IF(U$7&lt;YEAR(Startops1),0,VLOOKUP(DATE(U$7,12,1),Plant_Table,'Plant Operations'!$J$270))</f>
        <v>0</v>
      </c>
      <c r="V14" s="556" t="n">
        <f aca="false">IF(V$7&lt;YEAR(Startops1),0,VLOOKUP(DATE(V$7,12,1),Plant_Table,'Plant Operations'!$J$270))</f>
        <v>0</v>
      </c>
      <c r="W14" s="556" t="n">
        <f aca="false">IF(W$7&lt;YEAR(Startops1),0,VLOOKUP(DATE(W$7,12,1),Plant_Table,'Plant Operations'!$J$270))</f>
        <v>0</v>
      </c>
      <c r="X14" s="556" t="n">
        <f aca="false">IF(X$7&lt;YEAR(Startops1),0,VLOOKUP(DATE(X$7,12,1),Plant_Table,'Plant Operations'!$J$270))</f>
        <v>0</v>
      </c>
      <c r="Y14" s="556" t="n">
        <f aca="false">IF(Y$7&lt;YEAR(Startops1),0,VLOOKUP(DATE(Y$7,12,1),Plant_Table,'Plant Operations'!$J$270))</f>
        <v>0</v>
      </c>
      <c r="Z14" s="557" t="n">
        <f aca="false">SUM(D14:Y14)</f>
        <v>977500.16</v>
      </c>
      <c r="AA14" s="175" t="n">
        <f aca="false">AA13+1</f>
        <v>8</v>
      </c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</row>
    <row r="15" customFormat="false" ht="12.75" hidden="false" customHeight="false" outlineLevel="0" collapsed="false">
      <c r="A15" s="37" t="s">
        <v>772</v>
      </c>
      <c r="B15" s="38"/>
      <c r="C15" s="38"/>
      <c r="D15" s="558" t="n">
        <f aca="false">IF(D$7&lt;YEAR(Startops1),0,VLOOKUP(DATE(D$7,12,1),Plant_Table,'Plant Operations'!$N$270))</f>
        <v>0</v>
      </c>
      <c r="E15" s="558" t="n">
        <f aca="false">IF(E$7&lt;YEAR(Startops1),0,VLOOKUP(DATE(E$7,12,1),Plant_Table,'Plant Operations'!$N$270))</f>
        <v>0</v>
      </c>
      <c r="F15" s="558" t="n">
        <f aca="false">IF(F$7&lt;YEAR(Startops1),0,VLOOKUP(DATE(F$7,12,1),Plant_Table,'Plant Operations'!$N$270))</f>
        <v>0</v>
      </c>
      <c r="G15" s="558" t="n">
        <f aca="false">IF(G$7&lt;YEAR(Startops1),0,VLOOKUP(DATE(G$7,12,1),Plant_Table,'Plant Operations'!$N$270))</f>
        <v>2171833.232</v>
      </c>
      <c r="H15" s="558" t="n">
        <f aca="false">IF(H$7&lt;YEAR(Startops1),0,VLOOKUP(DATE(H$7,12,1),Plant_Table,'Plant Operations'!$N$270))</f>
        <v>3520258.56</v>
      </c>
      <c r="I15" s="558" t="n">
        <f aca="false">IF(I$7&lt;YEAR(Startops1),0,VLOOKUP(DATE(I$7,12,1),Plant_Table,'Plant Operations'!$N$270))</f>
        <v>3520258.56</v>
      </c>
      <c r="J15" s="558" t="n">
        <f aca="false">IF(J$7&lt;YEAR(Startops1),0,VLOOKUP(DATE(J$7,12,1),Plant_Table,'Plant Operations'!$N$270))</f>
        <v>3529903.104</v>
      </c>
      <c r="K15" s="558" t="n">
        <f aca="false">IF(K$7&lt;YEAR(Startops1),0,VLOOKUP(DATE(K$7,12,1),Plant_Table,'Plant Operations'!$N$270))</f>
        <v>3520258.56</v>
      </c>
      <c r="L15" s="558" t="n">
        <f aca="false">IF(L$7&lt;YEAR(Startops1),0,VLOOKUP(DATE(L$7,12,1),Plant_Table,'Plant Operations'!$N$270))</f>
        <v>3520258.56</v>
      </c>
      <c r="M15" s="558" t="n">
        <f aca="false">IF(M$7&lt;YEAR(Startops1),0,VLOOKUP(DATE(M$7,12,1),Plant_Table,'Plant Operations'!$N$270))</f>
        <v>3520258.56</v>
      </c>
      <c r="N15" s="558" t="n">
        <f aca="false">IF(N$7&lt;YEAR(Startops1),0,VLOOKUP(DATE(N$7,12,1),Plant_Table,'Plant Operations'!$N$270))</f>
        <v>3529903.104</v>
      </c>
      <c r="O15" s="558" t="n">
        <f aca="false">IF(O$7&lt;YEAR(Startops1),0,VLOOKUP(DATE(O$7,12,1),Plant_Table,'Plant Operations'!$N$270))</f>
        <v>3520258.56</v>
      </c>
      <c r="P15" s="558" t="n">
        <f aca="false">IF(P$7&lt;YEAR(Startops1),0,VLOOKUP(DATE(P$7,12,1),Plant_Table,'Plant Operations'!$N$270))</f>
        <v>3520258.56</v>
      </c>
      <c r="Q15" s="558" t="n">
        <f aca="false">IF(Q$7&lt;YEAR(Startops1),0,VLOOKUP(DATE(Q$7,12,1),Plant_Table,'Plant Operations'!$N$270))</f>
        <v>3520258.56</v>
      </c>
      <c r="R15" s="558" t="n">
        <f aca="false">IF(R$7&lt;YEAR(Startops1),0,VLOOKUP(DATE(R$7,12,1),Plant_Table,'Plant Operations'!$N$270))</f>
        <v>3529903.104</v>
      </c>
      <c r="S15" s="558" t="n">
        <f aca="false">IF(S$7&lt;YEAR(Startops1),0,VLOOKUP(DATE(S$7,12,1),Plant_Table,'Plant Operations'!$N$270))</f>
        <v>3520258.56</v>
      </c>
      <c r="T15" s="558" t="n">
        <f aca="false">IF(T$7&lt;YEAR(Startops1),0,VLOOKUP(DATE(T$7,12,1),Plant_Table,'Plant Operations'!$N$270))</f>
        <v>3520258.56</v>
      </c>
      <c r="U15" s="558" t="n">
        <f aca="false">IF(U$7&lt;YEAR(Startops1),0,VLOOKUP(DATE(U$7,12,1),Plant_Table,'Plant Operations'!$N$270))</f>
        <v>3520258.56</v>
      </c>
      <c r="V15" s="558" t="n">
        <f aca="false">IF(V$7&lt;YEAR(Startops1),0,VLOOKUP(DATE(V$7,12,1),Plant_Table,'Plant Operations'!$N$270))</f>
        <v>3529903.104</v>
      </c>
      <c r="W15" s="558" t="n">
        <f aca="false">IF(W$7&lt;YEAR(Startops1),0,VLOOKUP(DATE(W$7,12,1),Plant_Table,'Plant Operations'!$N$270))</f>
        <v>3520258.56</v>
      </c>
      <c r="X15" s="558" t="n">
        <f aca="false">IF(X$7&lt;YEAR(Startops1),0,VLOOKUP(DATE(X$7,12,1),Plant_Table,'Plant Operations'!$N$270))</f>
        <v>3520258.56</v>
      </c>
      <c r="Y15" s="558" t="n">
        <f aca="false">IF(Y$7&lt;YEAR(Startops1),0,VLOOKUP(DATE(Y$7,12,1),Plant_Table,'Plant Operations'!$N$270))</f>
        <v>1157345.28</v>
      </c>
      <c r="Z15" s="559" t="n">
        <f aca="false">SUM(D15:Y15)</f>
        <v>63212152.208</v>
      </c>
      <c r="AA15" s="175" t="n">
        <f aca="false">AA14+1</f>
        <v>9</v>
      </c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</row>
    <row r="16" customFormat="false" ht="12.75" hidden="false" customHeight="false" outlineLevel="0" collapsed="false">
      <c r="A16" s="55" t="s">
        <v>773</v>
      </c>
      <c r="B16" s="62"/>
      <c r="C16" s="38"/>
      <c r="D16" s="560" t="n">
        <f aca="false">SUM(D14:D15)</f>
        <v>0</v>
      </c>
      <c r="E16" s="560" t="n">
        <f aca="false">SUM(E14:E15)</f>
        <v>107900</v>
      </c>
      <c r="F16" s="560" t="n">
        <f aca="false">SUM(F14:F15)</f>
        <v>691778.88</v>
      </c>
      <c r="G16" s="560" t="n">
        <f aca="false">SUM(G14:G15)</f>
        <v>2349654.512</v>
      </c>
      <c r="H16" s="560" t="n">
        <f aca="false">SUM(H14:H15)</f>
        <v>3520258.56</v>
      </c>
      <c r="I16" s="560" t="n">
        <f aca="false">SUM(I14:I15)</f>
        <v>3520258.56</v>
      </c>
      <c r="J16" s="560" t="n">
        <f aca="false">SUM(J14:J15)</f>
        <v>3529903.104</v>
      </c>
      <c r="K16" s="560" t="n">
        <f aca="false">SUM(K14:K15)</f>
        <v>3520258.56</v>
      </c>
      <c r="L16" s="560" t="n">
        <f aca="false">SUM(L14:L15)</f>
        <v>3520258.56</v>
      </c>
      <c r="M16" s="560" t="n">
        <f aca="false">SUM(M14:M15)</f>
        <v>3520258.56</v>
      </c>
      <c r="N16" s="560" t="n">
        <f aca="false">SUM(N14:N15)</f>
        <v>3529903.104</v>
      </c>
      <c r="O16" s="560" t="n">
        <f aca="false">SUM(O14:O15)</f>
        <v>3520258.56</v>
      </c>
      <c r="P16" s="560" t="n">
        <f aca="false">SUM(P14:P15)</f>
        <v>3520258.56</v>
      </c>
      <c r="Q16" s="560" t="n">
        <f aca="false">SUM(Q14:Q15)</f>
        <v>3520258.56</v>
      </c>
      <c r="R16" s="560" t="n">
        <f aca="false">SUM(R14:R15)</f>
        <v>3529903.104</v>
      </c>
      <c r="S16" s="560" t="n">
        <f aca="false">SUM(S14:S15)</f>
        <v>3520258.56</v>
      </c>
      <c r="T16" s="560" t="n">
        <f aca="false">SUM(T14:T15)</f>
        <v>3520258.56</v>
      </c>
      <c r="U16" s="560" t="n">
        <f aca="false">SUM(U14:U15)</f>
        <v>3520258.56</v>
      </c>
      <c r="V16" s="560" t="n">
        <f aca="false">SUM(V14:V15)</f>
        <v>3529903.104</v>
      </c>
      <c r="W16" s="560" t="n">
        <f aca="false">SUM(W14:W15)</f>
        <v>3520258.56</v>
      </c>
      <c r="X16" s="560" t="n">
        <f aca="false">SUM(X14:X15)</f>
        <v>3520258.56</v>
      </c>
      <c r="Y16" s="560" t="n">
        <f aca="false">SUM(Y14:Y15)</f>
        <v>1157345.28</v>
      </c>
      <c r="Z16" s="561" t="n">
        <f aca="false">SUM(D16:Y16)</f>
        <v>64189652.368</v>
      </c>
      <c r="AA16" s="175" t="n">
        <f aca="false">AA15+1</f>
        <v>10</v>
      </c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</row>
    <row r="17" customFormat="false" ht="12.75" hidden="false" customHeight="false" outlineLevel="0" collapsed="false">
      <c r="A17" s="37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555"/>
      <c r="AA17" s="175" t="n">
        <f aca="false">AA16+1</f>
        <v>11</v>
      </c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</row>
    <row r="18" customFormat="false" ht="12.75" hidden="false" customHeight="false" outlineLevel="0" collapsed="false">
      <c r="A18" s="37" t="s">
        <v>774</v>
      </c>
      <c r="B18" s="38"/>
      <c r="C18" s="38"/>
      <c r="D18" s="556" t="n">
        <f aca="false">D14*Hr_I/1000</f>
        <v>0</v>
      </c>
      <c r="E18" s="556" t="n">
        <f aca="false">E14*Hr_I/1000</f>
        <v>1089790</v>
      </c>
      <c r="F18" s="556" t="n">
        <f aca="false">F14*Hr_I/1000</f>
        <v>6986966.688</v>
      </c>
      <c r="G18" s="562" t="n">
        <f aca="false">G14*Hr_I/1000</f>
        <v>1795994.928</v>
      </c>
      <c r="H18" s="556" t="n">
        <f aca="false">H14*Hr_I/1000</f>
        <v>0</v>
      </c>
      <c r="I18" s="556" t="n">
        <f aca="false">I14*Hr_I/1000</f>
        <v>0</v>
      </c>
      <c r="J18" s="556" t="n">
        <f aca="false">J14*Hr_I/1000</f>
        <v>0</v>
      </c>
      <c r="K18" s="556" t="n">
        <f aca="false">K14*Hr_I/1000</f>
        <v>0</v>
      </c>
      <c r="L18" s="556" t="n">
        <f aca="false">L14*Hr_I/1000</f>
        <v>0</v>
      </c>
      <c r="M18" s="556" t="n">
        <f aca="false">M14*Hr_I/1000</f>
        <v>0</v>
      </c>
      <c r="N18" s="556" t="n">
        <f aca="false">N14*Hr_I/1000</f>
        <v>0</v>
      </c>
      <c r="O18" s="556" t="n">
        <f aca="false">O14*Hr_I/1000</f>
        <v>0</v>
      </c>
      <c r="P18" s="556" t="n">
        <f aca="false">P14*Hr_I/1000</f>
        <v>0</v>
      </c>
      <c r="Q18" s="556" t="n">
        <f aca="false">Q14*Hr_I/1000</f>
        <v>0</v>
      </c>
      <c r="R18" s="556" t="n">
        <f aca="false">R14*Hr_I/1000</f>
        <v>0</v>
      </c>
      <c r="S18" s="556" t="n">
        <f aca="false">S14*Hr_I/1000</f>
        <v>0</v>
      </c>
      <c r="T18" s="556" t="n">
        <f aca="false">T14*Hr_I/1000</f>
        <v>0</v>
      </c>
      <c r="U18" s="556" t="n">
        <f aca="false">U14*Hr_I/1000</f>
        <v>0</v>
      </c>
      <c r="V18" s="556" t="n">
        <f aca="false">V14*Hr_I/1000</f>
        <v>0</v>
      </c>
      <c r="W18" s="556" t="n">
        <f aca="false">W14*Hr_I/1000</f>
        <v>0</v>
      </c>
      <c r="X18" s="556" t="n">
        <f aca="false">X14*Hr_I/1000</f>
        <v>0</v>
      </c>
      <c r="Y18" s="556" t="n">
        <f aca="false">Y14*Hr_I/1000</f>
        <v>0</v>
      </c>
      <c r="Z18" s="557" t="n">
        <f aca="false">SUM(D18:Y18)</f>
        <v>9872751.616</v>
      </c>
      <c r="AA18" s="175" t="n">
        <f aca="false">AA17+1</f>
        <v>12</v>
      </c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</row>
    <row r="19" customFormat="false" ht="12.75" hidden="false" customHeight="false" outlineLevel="0" collapsed="false">
      <c r="A19" s="37" t="s">
        <v>775</v>
      </c>
      <c r="B19" s="38"/>
      <c r="C19" s="38"/>
      <c r="D19" s="558" t="n">
        <f aca="false">IF(D$7&lt;YEAR(Startops1),0,VLOOKUP(DATE(D$7,12,1),Plant_Table,'Plant Operations'!$Q$270))</f>
        <v>0</v>
      </c>
      <c r="E19" s="558" t="n">
        <f aca="false">IF(E$7&lt;YEAR(Startops1),0,VLOOKUP(DATE(E$7,12,1),Plant_Table,'Plant Operations'!$Q$270))</f>
        <v>0</v>
      </c>
      <c r="F19" s="558" t="n">
        <f aca="false">IF(F$7&lt;YEAR(Startops1),0,VLOOKUP(DATE(F$7,12,1),Plant_Table,'Plant Operations'!$Q$270))</f>
        <v>0</v>
      </c>
      <c r="G19" s="558" t="n">
        <f aca="false">IF(G$7&lt;YEAR(Startops1),0,VLOOKUP(DATE(G$7,12,1),Plant_Table,'Plant Operations'!$Q$270))</f>
        <v>17361108.424</v>
      </c>
      <c r="H19" s="558" t="n">
        <f aca="false">IF(H$7&lt;YEAR(Startops1),0,VLOOKUP(DATE(H$7,12,1),Plant_Table,'Plant Operations'!$Q$270))</f>
        <v>24641809.92</v>
      </c>
      <c r="I19" s="558" t="n">
        <f aca="false">IF(I$7&lt;YEAR(Startops1),0,VLOOKUP(DATE(I$7,12,1),Plant_Table,'Plant Operations'!$Q$270))</f>
        <v>24641809.92</v>
      </c>
      <c r="J19" s="558" t="n">
        <f aca="false">IF(J$7&lt;YEAR(Startops1),0,VLOOKUP(DATE(J$7,12,1),Plant_Table,'Plant Operations'!$Q$270))</f>
        <v>24709321.728</v>
      </c>
      <c r="K19" s="558" t="n">
        <f aca="false">IF(K$7&lt;YEAR(Startops1),0,VLOOKUP(DATE(K$7,12,1),Plant_Table,'Plant Operations'!$Q$270))</f>
        <v>24641809.92</v>
      </c>
      <c r="L19" s="558" t="n">
        <f aca="false">IF(L$7&lt;YEAR(Startops1),0,VLOOKUP(DATE(L$7,12,1),Plant_Table,'Plant Operations'!$Q$270))</f>
        <v>24641809.92</v>
      </c>
      <c r="M19" s="558" t="n">
        <f aca="false">IF(M$7&lt;YEAR(Startops1),0,VLOOKUP(DATE(M$7,12,1),Plant_Table,'Plant Operations'!$Q$270))</f>
        <v>24641809.92</v>
      </c>
      <c r="N19" s="558" t="n">
        <f aca="false">IF(N$7&lt;YEAR(Startops1),0,VLOOKUP(DATE(N$7,12,1),Plant_Table,'Plant Operations'!$Q$270))</f>
        <v>24709321.728</v>
      </c>
      <c r="O19" s="558" t="n">
        <f aca="false">IF(O$7&lt;YEAR(Startops1),0,VLOOKUP(DATE(O$7,12,1),Plant_Table,'Plant Operations'!$Q$270))</f>
        <v>24641809.92</v>
      </c>
      <c r="P19" s="558" t="n">
        <f aca="false">IF(P$7&lt;YEAR(Startops1),0,VLOOKUP(DATE(P$7,12,1),Plant_Table,'Plant Operations'!$Q$270))</f>
        <v>24641809.92</v>
      </c>
      <c r="Q19" s="558" t="n">
        <f aca="false">IF(Q$7&lt;YEAR(Startops1),0,VLOOKUP(DATE(Q$7,12,1),Plant_Table,'Plant Operations'!$Q$270))</f>
        <v>24641809.92</v>
      </c>
      <c r="R19" s="558" t="n">
        <f aca="false">IF(R$7&lt;YEAR(Startops1),0,VLOOKUP(DATE(R$7,12,1),Plant_Table,'Plant Operations'!$Q$270))</f>
        <v>24709321.728</v>
      </c>
      <c r="S19" s="558" t="n">
        <f aca="false">IF(S$7&lt;YEAR(Startops1),0,VLOOKUP(DATE(S$7,12,1),Plant_Table,'Plant Operations'!$Q$270))</f>
        <v>24641809.92</v>
      </c>
      <c r="T19" s="558" t="n">
        <f aca="false">IF(T$7&lt;YEAR(Startops1),0,VLOOKUP(DATE(T$7,12,1),Plant_Table,'Plant Operations'!$Q$270))</f>
        <v>24641809.92</v>
      </c>
      <c r="U19" s="558" t="n">
        <f aca="false">IF(U$7&lt;YEAR(Startops1),0,VLOOKUP(DATE(U$7,12,1),Plant_Table,'Plant Operations'!$Q$270))</f>
        <v>24641809.92</v>
      </c>
      <c r="V19" s="558" t="n">
        <f aca="false">IF(V$7&lt;YEAR(Startops1),0,VLOOKUP(DATE(V$7,12,1),Plant_Table,'Plant Operations'!$Q$270))</f>
        <v>24709321.728</v>
      </c>
      <c r="W19" s="558" t="n">
        <f aca="false">IF(W$7&lt;YEAR(Startops1),0,VLOOKUP(DATE(W$7,12,1),Plant_Table,'Plant Operations'!$Q$270))</f>
        <v>24641809.92</v>
      </c>
      <c r="X19" s="558" t="n">
        <f aca="false">IF(X$7&lt;YEAR(Startops1),0,VLOOKUP(DATE(X$7,12,1),Plant_Table,'Plant Operations'!$Q$270))</f>
        <v>24641809.92</v>
      </c>
      <c r="Y19" s="558" t="n">
        <f aca="false">IF(Y$7&lt;YEAR(Startops1),0,VLOOKUP(DATE(Y$7,12,1),Plant_Table,'Plant Operations'!$Q$270))</f>
        <v>8101416.96</v>
      </c>
      <c r="Z19" s="559" t="n">
        <f aca="false">SUM(D19:Y19)</f>
        <v>444643341.256</v>
      </c>
      <c r="AA19" s="175" t="n">
        <f aca="false">AA18+1</f>
        <v>13</v>
      </c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</row>
    <row r="20" customFormat="false" ht="12.75" hidden="false" customHeight="false" outlineLevel="0" collapsed="false">
      <c r="A20" s="37" t="s">
        <v>776</v>
      </c>
      <c r="B20" s="38"/>
      <c r="C20" s="38"/>
      <c r="D20" s="556" t="n">
        <f aca="false">SUM(D18:D19)</f>
        <v>0</v>
      </c>
      <c r="E20" s="556" t="n">
        <f aca="false">SUM(E18:E19)</f>
        <v>1089790</v>
      </c>
      <c r="F20" s="556" t="n">
        <f aca="false">SUM(F18:F19)</f>
        <v>6986966.688</v>
      </c>
      <c r="G20" s="556" t="n">
        <f aca="false">SUM(G18:G19)</f>
        <v>19157103.352</v>
      </c>
      <c r="H20" s="556" t="n">
        <f aca="false">SUM(H18:H19)</f>
        <v>24641809.92</v>
      </c>
      <c r="I20" s="556" t="n">
        <f aca="false">SUM(I18:I19)</f>
        <v>24641809.92</v>
      </c>
      <c r="J20" s="556" t="n">
        <f aca="false">SUM(J18:J19)</f>
        <v>24709321.728</v>
      </c>
      <c r="K20" s="556" t="n">
        <f aca="false">SUM(K18:K19)</f>
        <v>24641809.92</v>
      </c>
      <c r="L20" s="556" t="n">
        <f aca="false">SUM(L18:L19)</f>
        <v>24641809.92</v>
      </c>
      <c r="M20" s="556" t="n">
        <f aca="false">SUM(M18:M19)</f>
        <v>24641809.92</v>
      </c>
      <c r="N20" s="556" t="n">
        <f aca="false">SUM(N18:N19)</f>
        <v>24709321.728</v>
      </c>
      <c r="O20" s="556" t="n">
        <f aca="false">SUM(O18:O19)</f>
        <v>24641809.92</v>
      </c>
      <c r="P20" s="556" t="n">
        <f aca="false">SUM(P18:P19)</f>
        <v>24641809.92</v>
      </c>
      <c r="Q20" s="556" t="n">
        <f aca="false">SUM(Q18:Q19)</f>
        <v>24641809.92</v>
      </c>
      <c r="R20" s="556" t="n">
        <f aca="false">SUM(R18:R19)</f>
        <v>24709321.728</v>
      </c>
      <c r="S20" s="556" t="n">
        <f aca="false">SUM(S18:S19)</f>
        <v>24641809.92</v>
      </c>
      <c r="T20" s="556" t="n">
        <f aca="false">SUM(T18:T19)</f>
        <v>24641809.92</v>
      </c>
      <c r="U20" s="556" t="n">
        <f aca="false">SUM(U18:U19)</f>
        <v>24641809.92</v>
      </c>
      <c r="V20" s="556" t="n">
        <f aca="false">SUM(V18:V19)</f>
        <v>24709321.728</v>
      </c>
      <c r="W20" s="556" t="n">
        <f aca="false">SUM(W18:W19)</f>
        <v>24641809.92</v>
      </c>
      <c r="X20" s="556" t="n">
        <f aca="false">SUM(X18:X19)</f>
        <v>24641809.92</v>
      </c>
      <c r="Y20" s="556" t="n">
        <f aca="false">SUM(Y18:Y19)</f>
        <v>8101416.96</v>
      </c>
      <c r="Z20" s="557" t="n">
        <f aca="false">SUM(D20:Y20)</f>
        <v>454516092.872</v>
      </c>
      <c r="AA20" s="175" t="n">
        <f aca="false">AA19+1</f>
        <v>14</v>
      </c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</row>
    <row r="21" customFormat="false" ht="12.75" hidden="false" customHeight="false" outlineLevel="0" collapsed="false">
      <c r="A21" s="37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555"/>
      <c r="AA21" s="175" t="n">
        <f aca="false">AA20+1</f>
        <v>15</v>
      </c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</row>
    <row r="22" customFormat="false" ht="12.75" hidden="false" customHeight="false" outlineLevel="0" collapsed="false">
      <c r="A22" s="563" t="s">
        <v>777</v>
      </c>
      <c r="B22" s="464"/>
      <c r="C22" s="464"/>
      <c r="D22" s="564" t="n">
        <f aca="false">IF(D$7&lt;YEAR(Startops1),0,VLOOKUP(DATE(D$7,12,1),Plant_Table,'Plant Operations'!$U$270))</f>
        <v>0</v>
      </c>
      <c r="E22" s="564" t="n">
        <f aca="false">IF(E$7&lt;YEAR(Startops1),0,VLOOKUP(DATE(E$7,12,1),Plant_Table,'Plant Operations'!$U$270))</f>
        <v>0</v>
      </c>
      <c r="F22" s="564" t="n">
        <f aca="false">IF(F$7&lt;YEAR(Startops1),0,VLOOKUP(DATE(F$7,12,1),Plant_Table,'Plant Operations'!$U$270))</f>
        <v>0</v>
      </c>
      <c r="G22" s="564" t="n">
        <f aca="false">IF(G$7&lt;YEAR(Startops1),0,VLOOKUP(DATE(G$7,12,1),Plant_Table,'Plant Operations'!$U$270))</f>
        <v>17361108.424</v>
      </c>
      <c r="H22" s="565" t="n">
        <f aca="false">IF(H$7&lt;YEAR(Startops1),0,VLOOKUP(DATE(H$7,12,1),Plant_Table,'Plant Operations'!$U$270))</f>
        <v>24641809.92</v>
      </c>
      <c r="I22" s="564" t="n">
        <f aca="false">IF(I$7&lt;YEAR(Startops1),0,VLOOKUP(DATE(I$7,12,1),Plant_Table,'Plant Operations'!$U$270))</f>
        <v>24641809.92</v>
      </c>
      <c r="J22" s="564" t="n">
        <f aca="false">IF(J$7&lt;YEAR(Startops1),0,VLOOKUP(DATE(J$7,12,1),Plant_Table,'Plant Operations'!$U$270))</f>
        <v>24709321.728</v>
      </c>
      <c r="K22" s="564" t="n">
        <f aca="false">IF(K$7&lt;YEAR(Startops1),0,VLOOKUP(DATE(K$7,12,1),Plant_Table,'Plant Operations'!$U$270))</f>
        <v>24641809.92</v>
      </c>
      <c r="L22" s="564" t="n">
        <f aca="false">IF(L$7&lt;YEAR(Startops1),0,VLOOKUP(DATE(L$7,12,1),Plant_Table,'Plant Operations'!$U$270))</f>
        <v>24641809.92</v>
      </c>
      <c r="M22" s="564" t="n">
        <f aca="false">IF(M$7&lt;YEAR(Startops1),0,VLOOKUP(DATE(M$7,12,1),Plant_Table,'Plant Operations'!$U$270))</f>
        <v>24641809.92</v>
      </c>
      <c r="N22" s="564" t="n">
        <f aca="false">IF(N$7&lt;YEAR(Startops1),0,VLOOKUP(DATE(N$7,12,1),Plant_Table,'Plant Operations'!$U$270))</f>
        <v>24709321.728</v>
      </c>
      <c r="O22" s="564" t="n">
        <f aca="false">IF(O$7&lt;YEAR(Startops1),0,VLOOKUP(DATE(O$7,12,1),Plant_Table,'Plant Operations'!$U$270))</f>
        <v>24641809.92</v>
      </c>
      <c r="P22" s="564" t="n">
        <f aca="false">IF(P$7&lt;YEAR(Startops1),0,VLOOKUP(DATE(P$7,12,1),Plant_Table,'Plant Operations'!$U$270))</f>
        <v>24641809.92</v>
      </c>
      <c r="Q22" s="564" t="n">
        <f aca="false">IF(Q$7&lt;YEAR(Startops1),0,VLOOKUP(DATE(Q$7,12,1),Plant_Table,'Plant Operations'!$U$270))</f>
        <v>24641809.92</v>
      </c>
      <c r="R22" s="564" t="n">
        <f aca="false">IF(R$7&lt;YEAR(Startops1),0,VLOOKUP(DATE(R$7,12,1),Plant_Table,'Plant Operations'!$U$270))</f>
        <v>24709321.728</v>
      </c>
      <c r="S22" s="564" t="n">
        <f aca="false">IF(S$7&lt;YEAR(Startops1),0,VLOOKUP(DATE(S$7,12,1),Plant_Table,'Plant Operations'!$U$270))</f>
        <v>24641809.92</v>
      </c>
      <c r="T22" s="564" t="n">
        <f aca="false">IF(T$7&lt;YEAR(Startops1),0,VLOOKUP(DATE(T$7,12,1),Plant_Table,'Plant Operations'!$U$270))</f>
        <v>24641809.92</v>
      </c>
      <c r="U22" s="564" t="n">
        <f aca="false">IF(U$7&lt;YEAR(Startops1),0,VLOOKUP(DATE(U$7,12,1),Plant_Table,'Plant Operations'!$U$270))</f>
        <v>24641809.92</v>
      </c>
      <c r="V22" s="564" t="n">
        <f aca="false">IF(V$7&lt;YEAR(Startops1),0,VLOOKUP(DATE(V$7,12,1),Plant_Table,'Plant Operations'!$U$270))</f>
        <v>24709321.728</v>
      </c>
      <c r="W22" s="564" t="n">
        <f aca="false">IF(W$7&lt;YEAR(Startops1),0,VLOOKUP(DATE(W$7,12,1),Plant_Table,'Plant Operations'!$U$270))</f>
        <v>24641809.92</v>
      </c>
      <c r="X22" s="564" t="n">
        <f aca="false">IF(X$7&lt;YEAR(Startops1),0,VLOOKUP(DATE(X$7,12,1),Plant_Table,'Plant Operations'!$U$270))</f>
        <v>24641809.92</v>
      </c>
      <c r="Y22" s="564" t="n">
        <f aca="false">IF(Y$7&lt;YEAR(Startops1),0,VLOOKUP(DATE(Y$7,12,1),Plant_Table,'Plant Operations'!$U$270))</f>
        <v>8101416.96</v>
      </c>
      <c r="Z22" s="566" t="n">
        <f aca="false">SUM(D22:Y22)</f>
        <v>444643341.256</v>
      </c>
      <c r="AA22" s="175" t="n">
        <f aca="false">AA21+1</f>
        <v>16</v>
      </c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</row>
    <row r="23" customFormat="false" ht="12.75" hidden="false" customHeight="false" outlineLevel="0" collapsed="false">
      <c r="A23" s="37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555"/>
      <c r="AA23" s="175" t="n">
        <f aca="false">AA22+1</f>
        <v>17</v>
      </c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</row>
    <row r="24" customFormat="false" ht="12.75" hidden="false" customHeight="false" outlineLevel="0" collapsed="false">
      <c r="A24" s="55" t="s">
        <v>778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555"/>
      <c r="AA24" s="175" t="n">
        <f aca="false">AA23+1</f>
        <v>18</v>
      </c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</row>
    <row r="25" customFormat="false" ht="12.75" hidden="false" customHeight="false" outlineLevel="0" collapsed="false">
      <c r="A25" s="567" t="s">
        <v>779</v>
      </c>
      <c r="B25" s="568"/>
      <c r="C25" s="569"/>
      <c r="D25" s="569" t="n">
        <f aca="false">VLOOKUP(DATE(D$7,12,1),Curves_Table,Escalation!$N$291)</f>
        <v>1.0143570536829</v>
      </c>
      <c r="E25" s="569" t="n">
        <f aca="false">VLOOKUP(DATE(E$7,12,1),Curves_Table,Escalation!$N$291)</f>
        <v>1.0374531835206</v>
      </c>
      <c r="F25" s="569" t="n">
        <f aca="false">VLOOKUP(DATE(F$7,12,1),Curves_Table,Escalation!$N$291)</f>
        <v>1.06207999503397</v>
      </c>
      <c r="G25" s="569" t="n">
        <f aca="false">VLOOKUP(DATE(G$7,12,1),Curves_Table,Escalation!$N$291)</f>
        <v>1.09718061747934</v>
      </c>
      <c r="H25" s="569" t="n">
        <f aca="false">VLOOKUP(DATE(H$7,12,1),Curves_Table,Escalation!$N$291)</f>
        <v>1.13219066683837</v>
      </c>
      <c r="I25" s="569" t="n">
        <f aca="false">VLOOKUP(DATE(I$7,12,1),Curves_Table,Escalation!$N$291)</f>
        <v>1.16628704592773</v>
      </c>
      <c r="J25" s="569" t="n">
        <f aca="false">VLOOKUP(DATE(J$7,12,1),Curves_Table,Escalation!$N$291)</f>
        <v>1.20034933429065</v>
      </c>
      <c r="K25" s="569" t="n">
        <f aca="false">VLOOKUP(DATE(K$7,12,1),Curves_Table,Escalation!$N$291)</f>
        <v>1.23462294375966</v>
      </c>
      <c r="L25" s="569" t="n">
        <f aca="false">VLOOKUP(DATE(L$7,12,1),Curves_Table,Escalation!$N$291)</f>
        <v>1.26919095628799</v>
      </c>
      <c r="M25" s="569" t="n">
        <f aca="false">VLOOKUP(DATE(M$7,12,1),Curves_Table,Escalation!$N$291)</f>
        <v>1.30389657610682</v>
      </c>
      <c r="N25" s="569" t="n">
        <f aca="false">VLOOKUP(DATE(N$7,12,1),Curves_Table,Escalation!$N$291)</f>
        <v>1.33877978058913</v>
      </c>
      <c r="O25" s="569" t="n">
        <f aca="false">VLOOKUP(DATE(O$7,12,1),Curves_Table,Escalation!$N$291)</f>
        <v>1.37395101449367</v>
      </c>
      <c r="P25" s="569" t="n">
        <f aca="false">VLOOKUP(DATE(P$7,12,1),Curves_Table,Escalation!$N$291)</f>
        <v>1.40945468809218</v>
      </c>
      <c r="Q25" s="569" t="n">
        <f aca="false">VLOOKUP(DATE(Q$7,12,1),Curves_Table,Escalation!$N$291)</f>
        <v>1.44536293026781</v>
      </c>
      <c r="R25" s="569" t="n">
        <f aca="false">VLOOKUP(DATE(R$7,12,1),Curves_Table,Escalation!$N$291)</f>
        <v>1.48180861051097</v>
      </c>
      <c r="S25" s="569" t="n">
        <f aca="false">VLOOKUP(DATE(S$7,12,1),Curves_Table,Escalation!$N$291)</f>
        <v>1.51901070889322</v>
      </c>
      <c r="T25" s="569" t="n">
        <f aca="false">VLOOKUP(DATE(T$7,12,1),Curves_Table,Escalation!$N$291)</f>
        <v>1.55739783154092</v>
      </c>
      <c r="U25" s="569" t="n">
        <f aca="false">VLOOKUP(DATE(U$7,12,1),Curves_Table,Escalation!$N$291)</f>
        <v>1.59733039824151</v>
      </c>
      <c r="V25" s="569" t="n">
        <f aca="false">VLOOKUP(DATE(V$7,12,1),Curves_Table,Escalation!$N$291)</f>
        <v>1.63898344452994</v>
      </c>
      <c r="W25" s="569" t="n">
        <f aca="false">VLOOKUP(DATE(W$7,12,1),Curves_Table,Escalation!$N$291)</f>
        <v>1.68254669873615</v>
      </c>
      <c r="X25" s="569" t="n">
        <f aca="false">VLOOKUP(DATE(X$7,12,1),Curves_Table,Escalation!$N$291)</f>
        <v>1.72801332733687</v>
      </c>
      <c r="Y25" s="569" t="n">
        <f aca="false">VLOOKUP(DATE(Y$7,12,1),Curves_Table,Escalation!$N$291)</f>
        <v>1.77543572910631</v>
      </c>
      <c r="Z25" s="570"/>
      <c r="AA25" s="571" t="n">
        <f aca="false">AA24+1</f>
        <v>19</v>
      </c>
      <c r="AB25" s="569"/>
      <c r="AC25" s="569"/>
      <c r="AD25" s="569"/>
      <c r="AE25" s="569"/>
      <c r="AF25" s="569"/>
      <c r="AG25" s="569"/>
      <c r="AH25" s="569"/>
      <c r="AI25" s="569"/>
      <c r="AJ25" s="569"/>
      <c r="AK25" s="569"/>
      <c r="AL25" s="569"/>
      <c r="AM25" s="569"/>
      <c r="AN25" s="569"/>
      <c r="AO25" s="569"/>
      <c r="AP25" s="569"/>
      <c r="AQ25" s="569"/>
      <c r="AR25" s="569"/>
      <c r="AS25" s="569"/>
      <c r="AT25" s="569"/>
      <c r="AU25" s="569"/>
      <c r="AV25" s="569"/>
      <c r="AW25" s="569"/>
      <c r="AX25" s="569"/>
      <c r="AY25" s="569"/>
      <c r="AZ25" s="569"/>
      <c r="BA25" s="569"/>
      <c r="BB25" s="569"/>
      <c r="BC25" s="569"/>
      <c r="BD25" s="569"/>
      <c r="BE25" s="569"/>
      <c r="BF25" s="569"/>
      <c r="BG25" s="569"/>
      <c r="BH25" s="569"/>
      <c r="BI25" s="569"/>
      <c r="BJ25" s="569"/>
      <c r="BK25" s="569"/>
      <c r="BL25" s="569"/>
      <c r="BM25" s="569"/>
      <c r="BN25" s="569"/>
      <c r="BO25" s="569"/>
      <c r="BP25" s="569"/>
      <c r="BQ25" s="569"/>
      <c r="BR25" s="569"/>
      <c r="BS25" s="569"/>
      <c r="BT25" s="569"/>
      <c r="BU25" s="569"/>
      <c r="BV25" s="569"/>
      <c r="BW25" s="569"/>
      <c r="BX25" s="569"/>
      <c r="BY25" s="569"/>
      <c r="BZ25" s="569"/>
      <c r="CA25" s="569"/>
      <c r="CB25" s="569"/>
      <c r="CC25" s="569"/>
      <c r="CD25" s="569"/>
      <c r="CE25" s="569"/>
      <c r="CF25" s="569"/>
      <c r="CG25" s="569"/>
      <c r="CH25" s="569"/>
      <c r="CI25" s="569"/>
      <c r="CJ25" s="569"/>
      <c r="CK25" s="569"/>
      <c r="CL25" s="569"/>
      <c r="CM25" s="569"/>
      <c r="CN25" s="569"/>
      <c r="CO25" s="569"/>
      <c r="CP25" s="569"/>
      <c r="CQ25" s="569"/>
      <c r="CR25" s="569"/>
      <c r="CS25" s="569"/>
      <c r="CT25" s="569"/>
      <c r="CU25" s="569"/>
      <c r="CV25" s="569"/>
      <c r="CW25" s="569"/>
      <c r="CX25" s="569"/>
      <c r="CY25" s="569"/>
      <c r="CZ25" s="569"/>
      <c r="DA25" s="569"/>
      <c r="DB25" s="569"/>
      <c r="DC25" s="569"/>
      <c r="DD25" s="569"/>
      <c r="DE25" s="569"/>
      <c r="DF25" s="569"/>
      <c r="DG25" s="569"/>
      <c r="DH25" s="569"/>
      <c r="DI25" s="569"/>
      <c r="DJ25" s="569"/>
      <c r="DK25" s="569"/>
      <c r="DL25" s="569"/>
      <c r="DM25" s="569"/>
      <c r="DN25" s="569"/>
      <c r="DO25" s="569"/>
      <c r="DP25" s="569"/>
      <c r="DQ25" s="569"/>
      <c r="DR25" s="569"/>
      <c r="DS25" s="569"/>
      <c r="DT25" s="569"/>
      <c r="DU25" s="569"/>
      <c r="DV25" s="569"/>
      <c r="DW25" s="569"/>
      <c r="DX25" s="569"/>
      <c r="DY25" s="569"/>
      <c r="DZ25" s="569"/>
      <c r="EA25" s="569"/>
      <c r="EB25" s="569"/>
      <c r="EC25" s="569"/>
      <c r="ED25" s="569"/>
      <c r="EE25" s="569"/>
      <c r="EF25" s="569"/>
      <c r="EG25" s="569"/>
      <c r="EH25" s="569"/>
      <c r="EI25" s="569"/>
      <c r="EJ25" s="569"/>
      <c r="EK25" s="569"/>
      <c r="EL25" s="569"/>
      <c r="EM25" s="569"/>
      <c r="EN25" s="569"/>
      <c r="EO25" s="569"/>
      <c r="EP25" s="569"/>
      <c r="EQ25" s="569"/>
      <c r="ER25" s="569"/>
      <c r="ES25" s="569"/>
      <c r="ET25" s="569"/>
      <c r="EU25" s="569"/>
      <c r="EV25" s="569"/>
      <c r="EW25" s="569"/>
      <c r="EX25" s="569"/>
      <c r="EY25" s="569"/>
      <c r="EZ25" s="569"/>
      <c r="FA25" s="569"/>
      <c r="FB25" s="569"/>
      <c r="FC25" s="569"/>
      <c r="FD25" s="569"/>
      <c r="FE25" s="569"/>
      <c r="FF25" s="569"/>
      <c r="FG25" s="569"/>
      <c r="FH25" s="569"/>
      <c r="FI25" s="569"/>
      <c r="FJ25" s="569"/>
      <c r="FK25" s="569"/>
      <c r="FL25" s="569"/>
      <c r="FM25" s="569"/>
      <c r="FN25" s="569"/>
      <c r="FO25" s="569"/>
      <c r="FP25" s="569"/>
      <c r="FQ25" s="569"/>
      <c r="FR25" s="569"/>
      <c r="FS25" s="569"/>
      <c r="FT25" s="569"/>
      <c r="FU25" s="569"/>
      <c r="FV25" s="569"/>
      <c r="FW25" s="569"/>
      <c r="FX25" s="569"/>
      <c r="FY25" s="569"/>
      <c r="FZ25" s="569"/>
      <c r="GA25" s="569"/>
      <c r="GB25" s="569"/>
      <c r="GC25" s="569"/>
      <c r="GD25" s="569"/>
      <c r="GE25" s="569"/>
      <c r="GF25" s="569"/>
      <c r="GG25" s="569"/>
      <c r="GH25" s="569"/>
      <c r="GI25" s="569"/>
      <c r="GJ25" s="569"/>
      <c r="GK25" s="569"/>
      <c r="GL25" s="569"/>
      <c r="GM25" s="569"/>
      <c r="GN25" s="569"/>
      <c r="GO25" s="569"/>
      <c r="GP25" s="569"/>
      <c r="GQ25" s="569"/>
      <c r="GR25" s="569"/>
      <c r="GS25" s="569"/>
      <c r="GT25" s="569"/>
      <c r="GU25" s="569"/>
      <c r="GV25" s="569"/>
      <c r="GW25" s="569"/>
      <c r="GX25" s="569"/>
      <c r="GY25" s="569"/>
      <c r="GZ25" s="569"/>
      <c r="HA25" s="569"/>
      <c r="HB25" s="569"/>
      <c r="HC25" s="569"/>
      <c r="HD25" s="569"/>
      <c r="HE25" s="569"/>
      <c r="HF25" s="569"/>
      <c r="HG25" s="569"/>
      <c r="HH25" s="569"/>
      <c r="HI25" s="569"/>
      <c r="HJ25" s="569"/>
      <c r="HK25" s="569"/>
      <c r="HL25" s="569"/>
      <c r="HM25" s="569"/>
      <c r="HN25" s="569"/>
      <c r="HO25" s="569"/>
      <c r="HP25" s="569"/>
      <c r="HQ25" s="569"/>
      <c r="HR25" s="569"/>
      <c r="HS25" s="569"/>
      <c r="HT25" s="569"/>
      <c r="HU25" s="569"/>
      <c r="HV25" s="569"/>
      <c r="HW25" s="569"/>
      <c r="HX25" s="569"/>
      <c r="HY25" s="569"/>
      <c r="HZ25" s="569"/>
      <c r="IA25" s="569"/>
      <c r="IB25" s="569"/>
      <c r="IC25" s="569"/>
      <c r="ID25" s="569"/>
      <c r="IE25" s="569"/>
      <c r="IF25" s="569"/>
      <c r="IG25" s="569"/>
      <c r="IH25" s="569"/>
      <c r="II25" s="569"/>
      <c r="IJ25" s="569"/>
      <c r="IK25" s="569"/>
      <c r="IL25" s="569"/>
      <c r="IM25" s="569"/>
      <c r="IN25" s="569"/>
      <c r="IO25" s="569"/>
      <c r="IP25" s="569"/>
      <c r="IQ25" s="569"/>
      <c r="IR25" s="569"/>
      <c r="IS25" s="569"/>
      <c r="IT25" s="569"/>
      <c r="IU25" s="569"/>
      <c r="IV25" s="569"/>
      <c r="IW25" s="569"/>
    </row>
    <row r="26" customFormat="false" ht="12.75" hidden="false" customHeight="false" outlineLevel="0" collapsed="false">
      <c r="A26" s="567" t="s">
        <v>780</v>
      </c>
      <c r="B26" s="568"/>
      <c r="C26" s="569"/>
      <c r="D26" s="569" t="n">
        <f aca="false">VLOOKUP(DATE(D$7,12,1),Curves_Table,Escalation!$R$291)</f>
        <v>1.04580600399122</v>
      </c>
      <c r="E26" s="569" t="n">
        <f aca="false">VLOOKUP(DATE(E$7,12,1),Curves_Table,Escalation!$R$291)</f>
        <v>1.13477865915154</v>
      </c>
      <c r="F26" s="569" t="n">
        <f aca="false">VLOOKUP(DATE(F$7,12,1),Curves_Table,Escalation!$R$291)</f>
        <v>1.30150483683391</v>
      </c>
      <c r="G26" s="569" t="n">
        <f aca="false">VLOOKUP(DATE(G$7,12,1),Curves_Table,Escalation!$R$291)</f>
        <v>1.42116141710777</v>
      </c>
      <c r="H26" s="569" t="n">
        <f aca="false">VLOOKUP(DATE(H$7,12,1),Curves_Table,Escalation!$R$291)</f>
        <v>1.5466937113115</v>
      </c>
      <c r="I26" s="569" t="n">
        <f aca="false">VLOOKUP(DATE(I$7,12,1),Curves_Table,Escalation!$R$291)</f>
        <v>1.6755808839625</v>
      </c>
      <c r="J26" s="569" t="n">
        <f aca="false">VLOOKUP(DATE(J$7,12,1),Curves_Table,Escalation!$R$291)</f>
        <v>1.8096273546795</v>
      </c>
      <c r="K26" s="569" t="n">
        <f aca="false">VLOOKUP(DATE(K$7,12,1),Curves_Table,Escalation!$R$291)</f>
        <v>1.95137683106314</v>
      </c>
      <c r="L26" s="569" t="n">
        <f aca="false">VLOOKUP(DATE(L$7,12,1),Curves_Table,Escalation!$R$291)</f>
        <v>2.09773009339288</v>
      </c>
      <c r="M26" s="569" t="n">
        <f aca="false">VLOOKUP(DATE(M$7,12,1),Curves_Table,Escalation!$R$291)</f>
        <v>2.25505985039734</v>
      </c>
      <c r="N26" s="569" t="n">
        <f aca="false">VLOOKUP(DATE(N$7,12,1),Curves_Table,Escalation!$R$291)</f>
        <v>2.42418933917714</v>
      </c>
      <c r="O26" s="569" t="n">
        <f aca="false">VLOOKUP(DATE(O$7,12,1),Curves_Table,Escalation!$R$291)</f>
        <v>2.60357709171367</v>
      </c>
      <c r="P26" s="569" t="n">
        <f aca="false">VLOOKUP(DATE(P$7,12,1),Curves_Table,Escalation!$R$291)</f>
        <v>2.79103464231705</v>
      </c>
      <c r="Q26" s="569" t="n">
        <f aca="false">VLOOKUP(DATE(Q$7,12,1),Curves_Table,Escalation!$R$291)</f>
        <v>2.99198913656388</v>
      </c>
      <c r="R26" s="569" t="n">
        <f aca="false">VLOOKUP(DATE(R$7,12,1),Curves_Table,Escalation!$R$291)</f>
        <v>3.20741235439648</v>
      </c>
      <c r="S26" s="569" t="n">
        <f aca="false">VLOOKUP(DATE(S$7,12,1),Curves_Table,Escalation!$R$291)</f>
        <v>3.43620643785714</v>
      </c>
      <c r="T26" s="569" t="n">
        <f aca="false">VLOOKUP(DATE(T$7,12,1),Curves_Table,Escalation!$R$291)</f>
        <v>3.67674088850714</v>
      </c>
      <c r="U26" s="569" t="n">
        <f aca="false">VLOOKUP(DATE(U$7,12,1),Curves_Table,Escalation!$R$291)</f>
        <v>3.9328867884074</v>
      </c>
      <c r="V26" s="569" t="n">
        <f aca="false">VLOOKUP(DATE(V$7,12,1),Curves_Table,Escalation!$R$291)</f>
        <v>4.2042559768075</v>
      </c>
      <c r="W26" s="569" t="n">
        <f aca="false">VLOOKUP(DATE(W$7,12,1),Curves_Table,Escalation!$R$291)</f>
        <v>4.49294778333362</v>
      </c>
      <c r="X26" s="569" t="n">
        <f aca="false">VLOOKUP(DATE(X$7,12,1),Curves_Table,Escalation!$R$291)</f>
        <v>4.79846823260031</v>
      </c>
      <c r="Y26" s="569" t="n">
        <f aca="false">VLOOKUP(DATE(Y$7,12,1),Curves_Table,Escalation!$R$291)</f>
        <v>5.12476407241713</v>
      </c>
      <c r="Z26" s="570"/>
      <c r="AA26" s="571" t="n">
        <f aca="false">AA25+1</f>
        <v>20</v>
      </c>
      <c r="AB26" s="569"/>
      <c r="AC26" s="569"/>
      <c r="AD26" s="569"/>
      <c r="AE26" s="569"/>
      <c r="AF26" s="569"/>
      <c r="AG26" s="569"/>
      <c r="AH26" s="569"/>
      <c r="AI26" s="569"/>
      <c r="AJ26" s="569"/>
      <c r="AK26" s="569"/>
      <c r="AL26" s="569"/>
      <c r="AM26" s="569"/>
      <c r="AN26" s="569"/>
      <c r="AO26" s="569"/>
      <c r="AP26" s="569"/>
      <c r="AQ26" s="569"/>
      <c r="AR26" s="569"/>
      <c r="AS26" s="569"/>
      <c r="AT26" s="569"/>
      <c r="AU26" s="569"/>
      <c r="AV26" s="569"/>
      <c r="AW26" s="569"/>
      <c r="AX26" s="569"/>
      <c r="AY26" s="569"/>
      <c r="AZ26" s="569"/>
      <c r="BA26" s="569"/>
      <c r="BB26" s="569"/>
      <c r="BC26" s="569"/>
      <c r="BD26" s="569"/>
      <c r="BE26" s="569"/>
      <c r="BF26" s="569"/>
      <c r="BG26" s="569"/>
      <c r="BH26" s="569"/>
      <c r="BI26" s="569"/>
      <c r="BJ26" s="569"/>
      <c r="BK26" s="569"/>
      <c r="BL26" s="569"/>
      <c r="BM26" s="569"/>
      <c r="BN26" s="569"/>
      <c r="BO26" s="569"/>
      <c r="BP26" s="569"/>
      <c r="BQ26" s="569"/>
      <c r="BR26" s="569"/>
      <c r="BS26" s="569"/>
      <c r="BT26" s="569"/>
      <c r="BU26" s="569"/>
      <c r="BV26" s="569"/>
      <c r="BW26" s="569"/>
      <c r="BX26" s="569"/>
      <c r="BY26" s="569"/>
      <c r="BZ26" s="569"/>
      <c r="CA26" s="569"/>
      <c r="CB26" s="569"/>
      <c r="CC26" s="569"/>
      <c r="CD26" s="569"/>
      <c r="CE26" s="569"/>
      <c r="CF26" s="569"/>
      <c r="CG26" s="569"/>
      <c r="CH26" s="569"/>
      <c r="CI26" s="569"/>
      <c r="CJ26" s="569"/>
      <c r="CK26" s="569"/>
      <c r="CL26" s="569"/>
      <c r="CM26" s="569"/>
      <c r="CN26" s="569"/>
      <c r="CO26" s="569"/>
      <c r="CP26" s="569"/>
      <c r="CQ26" s="569"/>
      <c r="CR26" s="569"/>
      <c r="CS26" s="569"/>
      <c r="CT26" s="569"/>
      <c r="CU26" s="569"/>
      <c r="CV26" s="569"/>
      <c r="CW26" s="569"/>
      <c r="CX26" s="569"/>
      <c r="CY26" s="569"/>
      <c r="CZ26" s="569"/>
      <c r="DA26" s="569"/>
      <c r="DB26" s="569"/>
      <c r="DC26" s="569"/>
      <c r="DD26" s="569"/>
      <c r="DE26" s="569"/>
      <c r="DF26" s="569"/>
      <c r="DG26" s="569"/>
      <c r="DH26" s="569"/>
      <c r="DI26" s="569"/>
      <c r="DJ26" s="569"/>
      <c r="DK26" s="569"/>
      <c r="DL26" s="569"/>
      <c r="DM26" s="569"/>
      <c r="DN26" s="569"/>
      <c r="DO26" s="569"/>
      <c r="DP26" s="569"/>
      <c r="DQ26" s="569"/>
      <c r="DR26" s="569"/>
      <c r="DS26" s="569"/>
      <c r="DT26" s="569"/>
      <c r="DU26" s="569"/>
      <c r="DV26" s="569"/>
      <c r="DW26" s="569"/>
      <c r="DX26" s="569"/>
      <c r="DY26" s="569"/>
      <c r="DZ26" s="569"/>
      <c r="EA26" s="569"/>
      <c r="EB26" s="569"/>
      <c r="EC26" s="569"/>
      <c r="ED26" s="569"/>
      <c r="EE26" s="569"/>
      <c r="EF26" s="569"/>
      <c r="EG26" s="569"/>
      <c r="EH26" s="569"/>
      <c r="EI26" s="569"/>
      <c r="EJ26" s="569"/>
      <c r="EK26" s="569"/>
      <c r="EL26" s="569"/>
      <c r="EM26" s="569"/>
      <c r="EN26" s="569"/>
      <c r="EO26" s="569"/>
      <c r="EP26" s="569"/>
      <c r="EQ26" s="569"/>
      <c r="ER26" s="569"/>
      <c r="ES26" s="569"/>
      <c r="ET26" s="569"/>
      <c r="EU26" s="569"/>
      <c r="EV26" s="569"/>
      <c r="EW26" s="569"/>
      <c r="EX26" s="569"/>
      <c r="EY26" s="569"/>
      <c r="EZ26" s="569"/>
      <c r="FA26" s="569"/>
      <c r="FB26" s="569"/>
      <c r="FC26" s="569"/>
      <c r="FD26" s="569"/>
      <c r="FE26" s="569"/>
      <c r="FF26" s="569"/>
      <c r="FG26" s="569"/>
      <c r="FH26" s="569"/>
      <c r="FI26" s="569"/>
      <c r="FJ26" s="569"/>
      <c r="FK26" s="569"/>
      <c r="FL26" s="569"/>
      <c r="FM26" s="569"/>
      <c r="FN26" s="569"/>
      <c r="FO26" s="569"/>
      <c r="FP26" s="569"/>
      <c r="FQ26" s="569"/>
      <c r="FR26" s="569"/>
      <c r="FS26" s="569"/>
      <c r="FT26" s="569"/>
      <c r="FU26" s="569"/>
      <c r="FV26" s="569"/>
      <c r="FW26" s="569"/>
      <c r="FX26" s="569"/>
      <c r="FY26" s="569"/>
      <c r="FZ26" s="569"/>
      <c r="GA26" s="569"/>
      <c r="GB26" s="569"/>
      <c r="GC26" s="569"/>
      <c r="GD26" s="569"/>
      <c r="GE26" s="569"/>
      <c r="GF26" s="569"/>
      <c r="GG26" s="569"/>
      <c r="GH26" s="569"/>
      <c r="GI26" s="569"/>
      <c r="GJ26" s="569"/>
      <c r="GK26" s="569"/>
      <c r="GL26" s="569"/>
      <c r="GM26" s="569"/>
      <c r="GN26" s="569"/>
      <c r="GO26" s="569"/>
      <c r="GP26" s="569"/>
      <c r="GQ26" s="569"/>
      <c r="GR26" s="569"/>
      <c r="GS26" s="569"/>
      <c r="GT26" s="569"/>
      <c r="GU26" s="569"/>
      <c r="GV26" s="569"/>
      <c r="GW26" s="569"/>
      <c r="GX26" s="569"/>
      <c r="GY26" s="569"/>
      <c r="GZ26" s="569"/>
      <c r="HA26" s="569"/>
      <c r="HB26" s="569"/>
      <c r="HC26" s="569"/>
      <c r="HD26" s="569"/>
      <c r="HE26" s="569"/>
      <c r="HF26" s="569"/>
      <c r="HG26" s="569"/>
      <c r="HH26" s="569"/>
      <c r="HI26" s="569"/>
      <c r="HJ26" s="569"/>
      <c r="HK26" s="569"/>
      <c r="HL26" s="569"/>
      <c r="HM26" s="569"/>
      <c r="HN26" s="569"/>
      <c r="HO26" s="569"/>
      <c r="HP26" s="569"/>
      <c r="HQ26" s="569"/>
      <c r="HR26" s="569"/>
      <c r="HS26" s="569"/>
      <c r="HT26" s="569"/>
      <c r="HU26" s="569"/>
      <c r="HV26" s="569"/>
      <c r="HW26" s="569"/>
      <c r="HX26" s="569"/>
      <c r="HY26" s="569"/>
      <c r="HZ26" s="569"/>
      <c r="IA26" s="569"/>
      <c r="IB26" s="569"/>
      <c r="IC26" s="569"/>
      <c r="ID26" s="569"/>
      <c r="IE26" s="569"/>
      <c r="IF26" s="569"/>
      <c r="IG26" s="569"/>
      <c r="IH26" s="569"/>
      <c r="II26" s="569"/>
      <c r="IJ26" s="569"/>
      <c r="IK26" s="569"/>
      <c r="IL26" s="569"/>
      <c r="IM26" s="569"/>
      <c r="IN26" s="569"/>
      <c r="IO26" s="569"/>
      <c r="IP26" s="569"/>
      <c r="IQ26" s="569"/>
      <c r="IR26" s="569"/>
      <c r="IS26" s="569"/>
      <c r="IT26" s="569"/>
      <c r="IU26" s="569"/>
      <c r="IV26" s="569"/>
      <c r="IW26" s="569"/>
    </row>
    <row r="27" customFormat="false" ht="12.75" hidden="false" customHeight="false" outlineLevel="0" collapsed="false">
      <c r="A27" s="567" t="s">
        <v>781</v>
      </c>
      <c r="B27" s="568"/>
      <c r="C27" s="569"/>
      <c r="D27" s="569" t="n">
        <f aca="false">IF(Assm!$L$74=0,VLOOKUP(DATE(D$7,12,1),Curves_Table,Escalation!$I$291),VLOOKUP(DATE(D$7,12,1),Curves_Table,Escalation!$J$291))</f>
        <v>1.0804</v>
      </c>
      <c r="E27" s="569" t="n">
        <f aca="false">IF(Assm!$L$74=0,VLOOKUP(DATE(E$7,12,1),Curves_Table,Escalation!$I$291),VLOOKUP(DATE(E$7,12,1),Curves_Table,Escalation!$J$291))</f>
        <v>1.164025</v>
      </c>
      <c r="F27" s="569" t="n">
        <f aca="false">IF(Assm!$L$74=0,VLOOKUP(DATE(F$7,12,1),Curves_Table,Escalation!$I$291),VLOOKUP(DATE(F$7,12,1),Curves_Table,Escalation!$J$291))</f>
        <v>1.85579166666667</v>
      </c>
      <c r="G27" s="569" t="n">
        <f aca="false">IF(Assm!$L$74=0,VLOOKUP(DATE(G$7,12,1),Curves_Table,Escalation!$I$291),VLOOKUP(DATE(G$7,12,1),Curves_Table,Escalation!$J$291))</f>
        <v>1.77621725308948</v>
      </c>
      <c r="H27" s="569" t="n">
        <f aca="false">IF(Assm!$L$74=0,VLOOKUP(DATE(H$7,12,1),Curves_Table,Escalation!$I$291),VLOOKUP(DATE(H$7,12,1),Curves_Table,Escalation!$J$291))</f>
        <v>1.90408231674455</v>
      </c>
      <c r="I27" s="569" t="n">
        <f aca="false">IF(Assm!$L$74=0,VLOOKUP(DATE(I$7,12,1),Curves_Table,Escalation!$I$291),VLOOKUP(DATE(I$7,12,1),Curves_Table,Escalation!$J$291))</f>
        <v>2.06309705851596</v>
      </c>
      <c r="J27" s="569" t="n">
        <f aca="false">IF(Assm!$L$74=0,VLOOKUP(DATE(J$7,12,1),Curves_Table,Escalation!$I$291),VLOOKUP(DATE(J$7,12,1),Curves_Table,Escalation!$J$291))</f>
        <v>2.16468774735532</v>
      </c>
      <c r="K27" s="569" t="n">
        <f aca="false">IF(Assm!$L$74=0,VLOOKUP(DATE(K$7,12,1),Curves_Table,Escalation!$I$291),VLOOKUP(DATE(K$7,12,1),Curves_Table,Escalation!$J$291))</f>
        <v>2.23610820906301</v>
      </c>
      <c r="L27" s="569" t="n">
        <f aca="false">IF(Assm!$L$74=0,VLOOKUP(DATE(L$7,12,1),Curves_Table,Escalation!$I$291),VLOOKUP(DATE(L$7,12,1),Curves_Table,Escalation!$J$291))</f>
        <v>2.30278621923876</v>
      </c>
      <c r="M27" s="569" t="n">
        <f aca="false">IF(Assm!$L$74=0,VLOOKUP(DATE(M$7,12,1),Curves_Table,Escalation!$I$291),VLOOKUP(DATE(M$7,12,1),Curves_Table,Escalation!$J$291))</f>
        <v>2.36773585001062</v>
      </c>
      <c r="N27" s="569" t="n">
        <f aca="false">IF(Assm!$L$74=0,VLOOKUP(DATE(N$7,12,1),Curves_Table,Escalation!$I$291),VLOOKUP(DATE(N$7,12,1),Curves_Table,Escalation!$J$291))</f>
        <v>2.43296671319364</v>
      </c>
      <c r="O27" s="569" t="n">
        <f aca="false">IF(Assm!$L$74=0,VLOOKUP(DATE(O$7,12,1),Curves_Table,Escalation!$I$291),VLOOKUP(DATE(O$7,12,1),Curves_Table,Escalation!$J$291))</f>
        <v>2.49709413477765</v>
      </c>
      <c r="P27" s="569" t="n">
        <f aca="false">IF(Assm!$L$74=0,VLOOKUP(DATE(P$7,12,1),Curves_Table,Escalation!$I$291),VLOOKUP(DATE(P$7,12,1),Curves_Table,Escalation!$J$291))</f>
        <v>2.56028997998376</v>
      </c>
      <c r="Q27" s="569" t="n">
        <f aca="false">IF(Assm!$L$74=0,VLOOKUP(DATE(Q$7,12,1),Curves_Table,Escalation!$I$291),VLOOKUP(DATE(Q$7,12,1),Curves_Table,Escalation!$J$291))</f>
        <v>2.62238057113975</v>
      </c>
      <c r="R27" s="569" t="n">
        <f aca="false">IF(Assm!$L$74=0,VLOOKUP(DATE(R$7,12,1),Curves_Table,Escalation!$I$291),VLOOKUP(DATE(R$7,12,1),Curves_Table,Escalation!$J$291))</f>
        <v>2.68061600022471</v>
      </c>
      <c r="S27" s="569" t="n">
        <f aca="false">IF(Assm!$L$74=0,VLOOKUP(DATE(S$7,12,1),Curves_Table,Escalation!$I$291),VLOOKUP(DATE(S$7,12,1),Curves_Table,Escalation!$J$291))</f>
        <v>2.73545867373882</v>
      </c>
      <c r="T27" s="569" t="n">
        <f aca="false">IF(Assm!$L$74=0,VLOOKUP(DATE(T$7,12,1),Curves_Table,Escalation!$I$291),VLOOKUP(DATE(T$7,12,1),Curves_Table,Escalation!$J$291))</f>
        <v>2.79034388935625</v>
      </c>
      <c r="U27" s="569" t="n">
        <f aca="false">IF(Assm!$L$74=0,VLOOKUP(DATE(U$7,12,1),Curves_Table,Escalation!$I$291),VLOOKUP(DATE(U$7,12,1),Curves_Table,Escalation!$J$291))</f>
        <v>2.84630677609597</v>
      </c>
      <c r="V27" s="569" t="n">
        <f aca="false">IF(Assm!$L$74=0,VLOOKUP(DATE(V$7,12,1),Curves_Table,Escalation!$I$291),VLOOKUP(DATE(V$7,12,1),Curves_Table,Escalation!$J$291))</f>
        <v>2.9031828886712</v>
      </c>
      <c r="W27" s="569" t="n">
        <f aca="false">IF(Assm!$L$74=0,VLOOKUP(DATE(W$7,12,1),Curves_Table,Escalation!$I$291),VLOOKUP(DATE(W$7,12,1),Curves_Table,Escalation!$J$291))</f>
        <v>2.96122241918212</v>
      </c>
      <c r="X27" s="569" t="n">
        <f aca="false">IF(Assm!$L$74=0,VLOOKUP(DATE(X$7,12,1),Curves_Table,Escalation!$I$291),VLOOKUP(DATE(X$7,12,1),Curves_Table,Escalation!$J$291))</f>
        <v>3.02038925952867</v>
      </c>
      <c r="Y27" s="569" t="n">
        <f aca="false">IF(Assm!$L$74=0,VLOOKUP(DATE(Y$7,12,1),Curves_Table,Escalation!$I$291),VLOOKUP(DATE(Y$7,12,1),Curves_Table,Escalation!$J$291))</f>
        <v>3.08072252146163</v>
      </c>
      <c r="Z27" s="570"/>
      <c r="AA27" s="571" t="n">
        <f aca="false">AA26+1</f>
        <v>21</v>
      </c>
      <c r="AB27" s="569"/>
      <c r="AC27" s="569"/>
      <c r="AD27" s="569"/>
      <c r="AE27" s="569"/>
      <c r="AF27" s="569"/>
      <c r="AG27" s="569"/>
      <c r="AH27" s="569"/>
      <c r="AI27" s="569"/>
      <c r="AJ27" s="569"/>
      <c r="AK27" s="569"/>
      <c r="AL27" s="569"/>
      <c r="AM27" s="569"/>
      <c r="AN27" s="569"/>
      <c r="AO27" s="569"/>
      <c r="AP27" s="569"/>
      <c r="AQ27" s="569"/>
      <c r="AR27" s="569"/>
      <c r="AS27" s="569"/>
      <c r="AT27" s="569"/>
      <c r="AU27" s="569"/>
      <c r="AV27" s="569"/>
      <c r="AW27" s="569"/>
      <c r="AX27" s="569"/>
      <c r="AY27" s="569"/>
      <c r="AZ27" s="569"/>
      <c r="BA27" s="569"/>
      <c r="BB27" s="569"/>
      <c r="BC27" s="569"/>
      <c r="BD27" s="569"/>
      <c r="BE27" s="569"/>
      <c r="BF27" s="569"/>
      <c r="BG27" s="569"/>
      <c r="BH27" s="569"/>
      <c r="BI27" s="569"/>
      <c r="BJ27" s="569"/>
      <c r="BK27" s="569"/>
      <c r="BL27" s="569"/>
      <c r="BM27" s="569"/>
      <c r="BN27" s="569"/>
      <c r="BO27" s="569"/>
      <c r="BP27" s="569"/>
      <c r="BQ27" s="569"/>
      <c r="BR27" s="569"/>
      <c r="BS27" s="569"/>
      <c r="BT27" s="569"/>
      <c r="BU27" s="569"/>
      <c r="BV27" s="569"/>
      <c r="BW27" s="569"/>
      <c r="BX27" s="569"/>
      <c r="BY27" s="569"/>
      <c r="BZ27" s="569"/>
      <c r="CA27" s="569"/>
      <c r="CB27" s="569"/>
      <c r="CC27" s="569"/>
      <c r="CD27" s="569"/>
      <c r="CE27" s="569"/>
      <c r="CF27" s="569"/>
      <c r="CG27" s="569"/>
      <c r="CH27" s="569"/>
      <c r="CI27" s="569"/>
      <c r="CJ27" s="569"/>
      <c r="CK27" s="569"/>
      <c r="CL27" s="569"/>
      <c r="CM27" s="569"/>
      <c r="CN27" s="569"/>
      <c r="CO27" s="569"/>
      <c r="CP27" s="569"/>
      <c r="CQ27" s="569"/>
      <c r="CR27" s="569"/>
      <c r="CS27" s="569"/>
      <c r="CT27" s="569"/>
      <c r="CU27" s="569"/>
      <c r="CV27" s="569"/>
      <c r="CW27" s="569"/>
      <c r="CX27" s="569"/>
      <c r="CY27" s="569"/>
      <c r="CZ27" s="569"/>
      <c r="DA27" s="569"/>
      <c r="DB27" s="569"/>
      <c r="DC27" s="569"/>
      <c r="DD27" s="569"/>
      <c r="DE27" s="569"/>
      <c r="DF27" s="569"/>
      <c r="DG27" s="569"/>
      <c r="DH27" s="569"/>
      <c r="DI27" s="569"/>
      <c r="DJ27" s="569"/>
      <c r="DK27" s="569"/>
      <c r="DL27" s="569"/>
      <c r="DM27" s="569"/>
      <c r="DN27" s="569"/>
      <c r="DO27" s="569"/>
      <c r="DP27" s="569"/>
      <c r="DQ27" s="569"/>
      <c r="DR27" s="569"/>
      <c r="DS27" s="569"/>
      <c r="DT27" s="569"/>
      <c r="DU27" s="569"/>
      <c r="DV27" s="569"/>
      <c r="DW27" s="569"/>
      <c r="DX27" s="569"/>
      <c r="DY27" s="569"/>
      <c r="DZ27" s="569"/>
      <c r="EA27" s="569"/>
      <c r="EB27" s="569"/>
      <c r="EC27" s="569"/>
      <c r="ED27" s="569"/>
      <c r="EE27" s="569"/>
      <c r="EF27" s="569"/>
      <c r="EG27" s="569"/>
      <c r="EH27" s="569"/>
      <c r="EI27" s="569"/>
      <c r="EJ27" s="569"/>
      <c r="EK27" s="569"/>
      <c r="EL27" s="569"/>
      <c r="EM27" s="569"/>
      <c r="EN27" s="569"/>
      <c r="EO27" s="569"/>
      <c r="EP27" s="569"/>
      <c r="EQ27" s="569"/>
      <c r="ER27" s="569"/>
      <c r="ES27" s="569"/>
      <c r="ET27" s="569"/>
      <c r="EU27" s="569"/>
      <c r="EV27" s="569"/>
      <c r="EW27" s="569"/>
      <c r="EX27" s="569"/>
      <c r="EY27" s="569"/>
      <c r="EZ27" s="569"/>
      <c r="FA27" s="569"/>
      <c r="FB27" s="569"/>
      <c r="FC27" s="569"/>
      <c r="FD27" s="569"/>
      <c r="FE27" s="569"/>
      <c r="FF27" s="569"/>
      <c r="FG27" s="569"/>
      <c r="FH27" s="569"/>
      <c r="FI27" s="569"/>
      <c r="FJ27" s="569"/>
      <c r="FK27" s="569"/>
      <c r="FL27" s="569"/>
      <c r="FM27" s="569"/>
      <c r="FN27" s="569"/>
      <c r="FO27" s="569"/>
      <c r="FP27" s="569"/>
      <c r="FQ27" s="569"/>
      <c r="FR27" s="569"/>
      <c r="FS27" s="569"/>
      <c r="FT27" s="569"/>
      <c r="FU27" s="569"/>
      <c r="FV27" s="569"/>
      <c r="FW27" s="569"/>
      <c r="FX27" s="569"/>
      <c r="FY27" s="569"/>
      <c r="FZ27" s="569"/>
      <c r="GA27" s="569"/>
      <c r="GB27" s="569"/>
      <c r="GC27" s="569"/>
      <c r="GD27" s="569"/>
      <c r="GE27" s="569"/>
      <c r="GF27" s="569"/>
      <c r="GG27" s="569"/>
      <c r="GH27" s="569"/>
      <c r="GI27" s="569"/>
      <c r="GJ27" s="569"/>
      <c r="GK27" s="569"/>
      <c r="GL27" s="569"/>
      <c r="GM27" s="569"/>
      <c r="GN27" s="569"/>
      <c r="GO27" s="569"/>
      <c r="GP27" s="569"/>
      <c r="GQ27" s="569"/>
      <c r="GR27" s="569"/>
      <c r="GS27" s="569"/>
      <c r="GT27" s="569"/>
      <c r="GU27" s="569"/>
      <c r="GV27" s="569"/>
      <c r="GW27" s="569"/>
      <c r="GX27" s="569"/>
      <c r="GY27" s="569"/>
      <c r="GZ27" s="569"/>
      <c r="HA27" s="569"/>
      <c r="HB27" s="569"/>
      <c r="HC27" s="569"/>
      <c r="HD27" s="569"/>
      <c r="HE27" s="569"/>
      <c r="HF27" s="569"/>
      <c r="HG27" s="569"/>
      <c r="HH27" s="569"/>
      <c r="HI27" s="569"/>
      <c r="HJ27" s="569"/>
      <c r="HK27" s="569"/>
      <c r="HL27" s="569"/>
      <c r="HM27" s="569"/>
      <c r="HN27" s="569"/>
      <c r="HO27" s="569"/>
      <c r="HP27" s="569"/>
      <c r="HQ27" s="569"/>
      <c r="HR27" s="569"/>
      <c r="HS27" s="569"/>
      <c r="HT27" s="569"/>
      <c r="HU27" s="569"/>
      <c r="HV27" s="569"/>
      <c r="HW27" s="569"/>
      <c r="HX27" s="569"/>
      <c r="HY27" s="569"/>
      <c r="HZ27" s="569"/>
      <c r="IA27" s="569"/>
      <c r="IB27" s="569"/>
      <c r="IC27" s="569"/>
      <c r="ID27" s="569"/>
      <c r="IE27" s="569"/>
      <c r="IF27" s="569"/>
      <c r="IG27" s="569"/>
      <c r="IH27" s="569"/>
      <c r="II27" s="569"/>
      <c r="IJ27" s="569"/>
      <c r="IK27" s="569"/>
      <c r="IL27" s="569"/>
      <c r="IM27" s="569"/>
      <c r="IN27" s="569"/>
      <c r="IO27" s="569"/>
      <c r="IP27" s="569"/>
      <c r="IQ27" s="569"/>
      <c r="IR27" s="569"/>
      <c r="IS27" s="569"/>
      <c r="IT27" s="569"/>
      <c r="IU27" s="569"/>
      <c r="IV27" s="569"/>
      <c r="IW27" s="569"/>
    </row>
    <row r="28" customFormat="false" ht="12.75" hidden="false" customHeight="false" outlineLevel="0" collapsed="false">
      <c r="A28" s="37"/>
      <c r="B28" s="62"/>
      <c r="C28" s="38"/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  <c r="Z28" s="555"/>
      <c r="AA28" s="175" t="n">
        <f aca="false">AA27+1</f>
        <v>22</v>
      </c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</row>
    <row r="29" customFormat="false" ht="12.75" hidden="false" customHeight="false" outlineLevel="0" collapsed="false">
      <c r="A29" s="55" t="s">
        <v>782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555"/>
      <c r="AA29" s="175" t="n">
        <f aca="false">AA28+1</f>
        <v>23</v>
      </c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</row>
    <row r="30" customFormat="false" ht="12.75" hidden="false" customHeight="false" outlineLevel="0" collapsed="false">
      <c r="A30" s="572" t="s">
        <v>783</v>
      </c>
      <c r="B30" s="38"/>
      <c r="C30" s="38"/>
      <c r="D30" s="38"/>
      <c r="E30" s="38"/>
      <c r="F30" s="217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555"/>
      <c r="AA30" s="175" t="n">
        <f aca="false">AA29+1</f>
        <v>24</v>
      </c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</row>
    <row r="31" customFormat="false" ht="12.75" hidden="false" customHeight="false" outlineLevel="0" collapsed="false">
      <c r="A31" s="37" t="s">
        <v>784</v>
      </c>
      <c r="B31" s="38"/>
      <c r="C31" s="79"/>
      <c r="D31" s="217" t="n">
        <f aca="false">IF(D$7&lt;YEAR(Startops1),0,IF(Assm!$F$29=1,VLOOKUP(DATE(D$7,12,1),Annex12_Plant_Table,'Annex 12-Plant'!$W$270),VLOOKUP(DATE(D$7,12,1),Annex10_Plant_Table,'Annex 10-Plant'!$J$270)))</f>
        <v>0</v>
      </c>
      <c r="E31" s="217" t="n">
        <f aca="false">IF(E$7&lt;YEAR(Startops1),0,IF(Assm!$F$29=1,VLOOKUP(DATE(E$7,12,1),Annex12_Plant_Table,'Annex 12-Plant'!$W$270),VLOOKUP(DATE(E$7,12,1),Annex10_Plant_Table,'Annex 10-Plant'!$J$270)))</f>
        <v>8934.54341627911</v>
      </c>
      <c r="F31" s="217" t="n">
        <f aca="false">IF(F$7&lt;YEAR(Startops1),0,IF(Assm!$F$29=1,VLOOKUP(DATE(F$7,12,1),Annex12_Plant_Table,'Annex 12-Plant'!$W$270),VLOOKUP(DATE(F$7,12,1),Annex10_Plant_Table,'Annex 10-Plant'!$J$270)))</f>
        <v>14716.7533487156</v>
      </c>
      <c r="G31" s="217" t="n">
        <f aca="false">IF(G$7&lt;YEAR(Startops1),0,IF(Assm!$F$29=1,VLOOKUP(DATE(G$7,12,1),Annex12_Plant_Table,'Annex 12-Plant'!$W$270),VLOOKUP(DATE(G$7,12,1),Annex10_Plant_Table,'Annex 10-Plant'!$J$270)))</f>
        <v>35822.2077968945</v>
      </c>
      <c r="H31" s="573" t="n">
        <f aca="false">IF(H$7&lt;YEAR(Startops1),0,IF(Assm!$F$29=1,VLOOKUP(DATE(H$7,12,1),Annex12_Plant_Table,'Annex 12-Plant'!$W$270),VLOOKUP(DATE(H$7,12,1),Annex10_Plant_Table,'Annex 10-Plant'!$J$270)))</f>
        <v>55089.779762336</v>
      </c>
      <c r="I31" s="217" t="n">
        <f aca="false">IF(I$7&lt;YEAR(Startops1),0,IF(Assm!$F$29=1,VLOOKUP(DATE(I$7,12,1),Annex12_Plant_Table,'Annex 12-Plant'!$W$270),VLOOKUP(DATE(I$7,12,1),Annex10_Plant_Table,'Annex 10-Plant'!$J$270)))</f>
        <v>59419.0679848745</v>
      </c>
      <c r="J31" s="217" t="n">
        <f aca="false">IF(J$7&lt;YEAR(Startops1),0,IF(Assm!$F$29=1,VLOOKUP(DATE(J$7,12,1),Annex12_Plant_Table,'Annex 12-Plant'!$W$270),VLOOKUP(DATE(J$7,12,1),Annex10_Plant_Table,'Annex 10-Plant'!$J$270)))</f>
        <v>62650.6579791128</v>
      </c>
      <c r="K31" s="217" t="n">
        <f aca="false">IF(K$7&lt;YEAR(Startops1),0,IF(Assm!$F$29=1,VLOOKUP(DATE(K$7,12,1),Annex12_Plant_Table,'Annex 12-Plant'!$W$270),VLOOKUP(DATE(K$7,12,1),Annex10_Plant_Table,'Annex 10-Plant'!$J$270)))</f>
        <v>64164.4053200048</v>
      </c>
      <c r="L31" s="217" t="n">
        <f aca="false">IF(L$7&lt;YEAR(Startops1),0,IF(Assm!$F$29=1,VLOOKUP(DATE(L$7,12,1),Annex12_Plant_Table,'Annex 12-Plant'!$W$270),VLOOKUP(DATE(L$7,12,1),Annex10_Plant_Table,'Annex 10-Plant'!$J$270)))</f>
        <v>64893.4915207753</v>
      </c>
      <c r="M31" s="217" t="n">
        <f aca="false">IF(M$7&lt;YEAR(Startops1),0,IF(Assm!$F$29=1,VLOOKUP(DATE(M$7,12,1),Annex12_Plant_Table,'Annex 12-Plant'!$W$270),VLOOKUP(DATE(M$7,12,1),Annex10_Plant_Table,'Annex 10-Plant'!$J$270)))</f>
        <v>62075.797187337</v>
      </c>
      <c r="N31" s="217" t="n">
        <f aca="false">IF(N$7&lt;YEAR(Startops1),0,IF(Assm!$F$29=1,VLOOKUP(DATE(N$7,12,1),Annex12_Plant_Table,'Annex 12-Plant'!$W$270),VLOOKUP(DATE(N$7,12,1),Annex10_Plant_Table,'Annex 10-Plant'!$J$270)))</f>
        <v>58117.8972536781</v>
      </c>
      <c r="O31" s="217" t="n">
        <f aca="false">IF(O$7&lt;YEAR(Startops1),0,IF(Assm!$F$29=1,VLOOKUP(DATE(O$7,12,1),Annex12_Plant_Table,'Annex 12-Plant'!$W$270),VLOOKUP(DATE(O$7,12,1),Annex10_Plant_Table,'Annex 10-Plant'!$J$270)))</f>
        <v>56988.9829780493</v>
      </c>
      <c r="P31" s="217" t="n">
        <f aca="false">IF(P$7&lt;YEAR(Startops1),0,IF(Assm!$F$29=1,VLOOKUP(DATE(P$7,12,1),Annex12_Plant_Table,'Annex 12-Plant'!$W$270),VLOOKUP(DATE(P$7,12,1),Annex10_Plant_Table,'Annex 10-Plant'!$J$270)))</f>
        <v>58047.6608983591</v>
      </c>
      <c r="Q31" s="217" t="n">
        <f aca="false">IF(Q$7&lt;YEAR(Startops1),0,IF(Assm!$F$29=1,VLOOKUP(DATE(Q$7,12,1),Annex12_Plant_Table,'Annex 12-Plant'!$W$270),VLOOKUP(DATE(Q$7,12,1),Annex10_Plant_Table,'Annex 10-Plant'!$J$270)))</f>
        <v>57245.2881043488</v>
      </c>
      <c r="R31" s="217" t="n">
        <f aca="false">IF(R$7&lt;YEAR(Startops1),0,IF(Assm!$F$29=1,VLOOKUP(DATE(R$7,12,1),Annex12_Plant_Table,'Annex 12-Plant'!$W$270),VLOOKUP(DATE(R$7,12,1),Annex10_Plant_Table,'Annex 10-Plant'!$J$270)))</f>
        <v>49972.6795173314</v>
      </c>
      <c r="S31" s="217" t="n">
        <f aca="false">IF(S$7&lt;YEAR(Startops1),0,IF(Assm!$F$29=1,VLOOKUP(DATE(S$7,12,1),Annex12_Plant_Table,'Annex 12-Plant'!$W$270),VLOOKUP(DATE(S$7,12,1),Annex10_Plant_Table,'Annex 10-Plant'!$J$270)))</f>
        <v>53357.3423257097</v>
      </c>
      <c r="T31" s="217" t="n">
        <f aca="false">IF(T$7&lt;YEAR(Startops1),0,IF(Assm!$F$29=1,VLOOKUP(DATE(T$7,12,1),Annex12_Plant_Table,'Annex 12-Plant'!$W$270),VLOOKUP(DATE(T$7,12,1),Annex10_Plant_Table,'Annex 10-Plant'!$J$270)))</f>
        <v>40865.3869247835</v>
      </c>
      <c r="U31" s="217" t="n">
        <f aca="false">IF(U$7&lt;YEAR(Startops1),0,IF(Assm!$F$29=1,VLOOKUP(DATE(U$7,12,1),Annex12_Plant_Table,'Annex 12-Plant'!$W$270),VLOOKUP(DATE(U$7,12,1),Annex10_Plant_Table,'Annex 10-Plant'!$J$270)))</f>
        <v>24331.0312101726</v>
      </c>
      <c r="V31" s="217" t="n">
        <f aca="false">IF(V$7&lt;YEAR(Startops1),0,IF(Assm!$F$29=1,VLOOKUP(DATE(V$7,12,1),Annex12_Plant_Table,'Annex 12-Plant'!$W$270),VLOOKUP(DATE(V$7,12,1),Annex10_Plant_Table,'Annex 10-Plant'!$J$270)))</f>
        <v>19547.1608572341</v>
      </c>
      <c r="W31" s="217" t="n">
        <f aca="false">IF(W$7&lt;YEAR(Startops1),0,IF(Assm!$F$29=1,VLOOKUP(DATE(W$7,12,1),Annex12_Plant_Table,'Annex 12-Plant'!$W$270),VLOOKUP(DATE(W$7,12,1),Annex10_Plant_Table,'Annex 10-Plant'!$J$270)))</f>
        <v>18957.6214930687</v>
      </c>
      <c r="X31" s="217" t="n">
        <f aca="false">IF(X$7&lt;YEAR(Startops1),0,IF(Assm!$F$29=1,VLOOKUP(DATE(X$7,12,1),Annex12_Plant_Table,'Annex 12-Plant'!$W$270),VLOOKUP(DATE(X$7,12,1),Annex10_Plant_Table,'Annex 10-Plant'!$J$270)))</f>
        <v>14055.3639344781</v>
      </c>
      <c r="Y31" s="217" t="n">
        <f aca="false">IF(Y$7&lt;YEAR(Startops1),0,IF(Assm!$F$29=1,VLOOKUP(DATE(Y$7,12,1),Annex12_Plant_Table,'Annex 12-Plant'!$W$270),VLOOKUP(DATE(Y$7,12,1),Annex10_Plant_Table,'Annex 10-Plant'!$J$270)))</f>
        <v>3924.55290451113</v>
      </c>
      <c r="Z31" s="574" t="n">
        <f aca="false">SUM(D31:Y31)</f>
        <v>883177.672718054</v>
      </c>
      <c r="AA31" s="175" t="n">
        <f aca="false">AA30+1</f>
        <v>25</v>
      </c>
    </row>
    <row r="32" customFormat="false" ht="12.75" hidden="false" customHeight="false" outlineLevel="0" collapsed="false">
      <c r="A32" s="37" t="s">
        <v>785</v>
      </c>
      <c r="B32" s="38"/>
      <c r="C32" s="79"/>
      <c r="D32" s="217" t="n">
        <f aca="false">IF(D$7&lt;YEAR(Startops2),0,IF(Assm!$F$29=1,VLOOKUP(DATE(D$7,12,1),Annex12_Gas_Table,'Annex 12-Gas'!$M$270),VLOOKUP(DATE(D$7,12,1),Annex10_Gas_Table,'Annex 10-Gas'!$J$270)))</f>
        <v>0</v>
      </c>
      <c r="E32" s="217" t="n">
        <f aca="false">IF(E$7&lt;YEAR(Startops2),0,IF(Assm!$F$29=1,VLOOKUP(DATE(E$7,12,1),Annex12_Gas_Table,'Annex 12-Gas'!$M$270),VLOOKUP(DATE(E$7,12,1),Annex10_Gas_Table,'Annex 10-Gas'!$J$270)))</f>
        <v>0</v>
      </c>
      <c r="F32" s="217" t="n">
        <f aca="false">IF(F$7&lt;YEAR(Startops2),0,IF(Assm!$F$29=1,VLOOKUP(DATE(F$7,12,1),Annex12_Gas_Table,'Annex 12-Gas'!$M$270),VLOOKUP(DATE(F$7,12,1),Annex10_Gas_Table,'Annex 10-Gas'!$J$270)))</f>
        <v>0</v>
      </c>
      <c r="G32" s="217" t="n">
        <f aca="false">IF(G$7&lt;YEAR(Startops2),0,IF(Assm!$F$29=1,VLOOKUP(DATE(G$7,12,1),Annex12_Gas_Table,'Annex 12-Gas'!$M$270),VLOOKUP(DATE(G$7,12,1),Annex10_Gas_Table,'Annex 10-Gas'!$J$270)))</f>
        <v>33511.8355965512</v>
      </c>
      <c r="H32" s="573" t="n">
        <f aca="false">IF(H$7&lt;YEAR(Startops2),0,IF(Assm!$F$29=1,VLOOKUP(DATE(H$7,12,1),Annex12_Gas_Table,'Annex 12-Gas'!$M$270),VLOOKUP(DATE(H$7,12,1),Annex10_Gas_Table,'Annex 10-Gas'!$J$270)))</f>
        <v>44982.0291151075</v>
      </c>
      <c r="I32" s="217" t="n">
        <f aca="false">IF(I$7&lt;YEAR(Startops2),0,IF(Assm!$F$29=1,VLOOKUP(DATE(I$7,12,1),Annex12_Gas_Table,'Annex 12-Gas'!$M$270),VLOOKUP(DATE(I$7,12,1),Annex10_Gas_Table,'Annex 10-Gas'!$J$270)))</f>
        <v>46382.0420234918</v>
      </c>
      <c r="J32" s="217" t="n">
        <f aca="false">IF(J$7&lt;YEAR(Startops2),0,IF(Assm!$F$29=1,VLOOKUP(DATE(J$7,12,1),Annex12_Gas_Table,'Annex 12-Gas'!$M$270),VLOOKUP(DATE(J$7,12,1),Annex10_Gas_Table,'Annex 10-Gas'!$J$270)))</f>
        <v>47784.616348158</v>
      </c>
      <c r="K32" s="217" t="n">
        <f aca="false">IF(K$7&lt;YEAR(Startops2),0,IF(Assm!$F$29=1,VLOOKUP(DATE(K$7,12,1),Annex12_Gas_Table,'Annex 12-Gas'!$M$270),VLOOKUP(DATE(K$7,12,1),Annex10_Gas_Table,'Annex 10-Gas'!$J$270)))</f>
        <v>49116.7134878041</v>
      </c>
      <c r="L32" s="217" t="n">
        <f aca="false">IF(L$7&lt;YEAR(Startops2),0,IF(Assm!$F$29=1,VLOOKUP(DATE(L$7,12,1),Annex12_Gas_Table,'Annex 12-Gas'!$M$270),VLOOKUP(DATE(L$7,12,1),Annex10_Gas_Table,'Annex 10-Gas'!$J$270)))</f>
        <v>50515.6256368527</v>
      </c>
      <c r="M32" s="217" t="n">
        <f aca="false">IF(M$7&lt;YEAR(Startops2),0,IF(Assm!$F$29=1,VLOOKUP(DATE(M$7,12,1),Annex12_Gas_Table,'Annex 12-Gas'!$M$270),VLOOKUP(DATE(M$7,12,1),Annex10_Gas_Table,'Annex 10-Gas'!$J$270)))</f>
        <v>51946.750589898</v>
      </c>
      <c r="N32" s="217" t="n">
        <f aca="false">IF(N$7&lt;YEAR(Startops2),0,IF(Assm!$F$29=1,VLOOKUP(DATE(N$7,12,1),Annex12_Gas_Table,'Annex 12-Gas'!$M$270),VLOOKUP(DATE(N$7,12,1),Annex10_Gas_Table,'Annex 10-Gas'!$J$270)))</f>
        <v>53313.4173653543</v>
      </c>
      <c r="O32" s="217" t="n">
        <f aca="false">IF(O$7&lt;YEAR(Startops2),0,IF(Assm!$F$29=1,VLOOKUP(DATE(O$7,12,1),Annex12_Gas_Table,'Annex 12-Gas'!$M$270),VLOOKUP(DATE(O$7,12,1),Annex10_Gas_Table,'Annex 10-Gas'!$J$270)))</f>
        <v>54735.607736102</v>
      </c>
      <c r="P32" s="217" t="n">
        <f aca="false">IF(P$7&lt;YEAR(Startops2),0,IF(Assm!$F$29=1,VLOOKUP(DATE(P$7,12,1),Annex12_Gas_Table,'Annex 12-Gas'!$M$270),VLOOKUP(DATE(P$7,12,1),Annex10_Gas_Table,'Annex 10-Gas'!$J$270)))</f>
        <v>56191.2503754793</v>
      </c>
      <c r="Q32" s="217" t="n">
        <f aca="false">IF(Q$7&lt;YEAR(Startops2),0,IF(Assm!$F$29=1,VLOOKUP(DATE(Q$7,12,1),Annex12_Gas_Table,'Annex 12-Gas'!$M$270),VLOOKUP(DATE(Q$7,12,1),Annex10_Gas_Table,'Annex 10-Gas'!$J$270)))</f>
        <v>57563.8260351696</v>
      </c>
      <c r="R32" s="217" t="n">
        <f aca="false">IF(R$7&lt;YEAR(Startops2),0,IF(Assm!$F$29=1,VLOOKUP(DATE(R$7,12,1),Annex12_Gas_Table,'Annex 12-Gas'!$M$270),VLOOKUP(DATE(R$7,12,1),Annex10_Gas_Table,'Annex 10-Gas'!$J$270)))</f>
        <v>59030.4654500988</v>
      </c>
      <c r="S32" s="217" t="n">
        <f aca="false">IF(S$7&lt;YEAR(Startops2),0,IF(Assm!$F$29=1,VLOOKUP(DATE(S$7,12,1),Annex12_Gas_Table,'Annex 12-Gas'!$M$270),VLOOKUP(DATE(S$7,12,1),Annex10_Gas_Table,'Annex 10-Gas'!$J$270)))</f>
        <v>60560.068313789</v>
      </c>
      <c r="T32" s="217" t="n">
        <f aca="false">IF(T$7&lt;YEAR(Startops2),0,IF(Assm!$F$29=1,VLOOKUP(DATE(T$7,12,1),Annex12_Gas_Table,'Annex 12-Gas'!$M$270),VLOOKUP(DATE(T$7,12,1),Annex10_Gas_Table,'Annex 10-Gas'!$J$270)))</f>
        <v>62048.6921912587</v>
      </c>
      <c r="U32" s="217" t="n">
        <f aca="false">IF(U$7&lt;YEAR(Startops2),0,IF(Assm!$F$29=1,VLOOKUP(DATE(U$7,12,1),Annex12_Gas_Table,'Annex 12-Gas'!$M$270),VLOOKUP(DATE(U$7,12,1),Annex10_Gas_Table,'Annex 10-Gas'!$J$270)))</f>
        <v>63647.4274674201</v>
      </c>
      <c r="V32" s="217" t="n">
        <f aca="false">IF(V$7&lt;YEAR(Startops2),0,IF(Assm!$F$29=1,VLOOKUP(DATE(V$7,12,1),Annex12_Gas_Table,'Annex 12-Gas'!$M$270),VLOOKUP(DATE(V$7,12,1),Annex10_Gas_Table,'Annex 10-Gas'!$J$270)))</f>
        <v>65337.0327168078</v>
      </c>
      <c r="W32" s="217" t="n">
        <f aca="false">IF(W$7&lt;YEAR(Startops2),0,IF(Assm!$F$29=1,VLOOKUP(DATE(W$7,12,1),Annex12_Gas_Table,'Annex 12-Gas'!$M$270),VLOOKUP(DATE(W$7,12,1),Annex10_Gas_Table,'Annex 10-Gas'!$J$270)))</f>
        <v>66986.4149632707</v>
      </c>
      <c r="X32" s="217" t="n">
        <f aca="false">IF(X$7&lt;YEAR(Startops2),0,IF(Assm!$F$29=1,VLOOKUP(DATE(X$7,12,1),Annex12_Gas_Table,'Annex 12-Gas'!$M$270),VLOOKUP(DATE(X$7,12,1),Annex10_Gas_Table,'Annex 10-Gas'!$J$270)))</f>
        <v>68798.7938562545</v>
      </c>
      <c r="Y32" s="217" t="n">
        <f aca="false">IF(Y$7&lt;YEAR(Startops2),0,IF(Assm!$F$29=1,VLOOKUP(DATE(Y$7,12,1),Annex12_Gas_Table,'Annex 12-Gas'!$M$270),VLOOKUP(DATE(Y$7,12,1),Annex10_Gas_Table,'Annex 10-Gas'!$J$270)))</f>
        <v>23144.8411123675</v>
      </c>
      <c r="Z32" s="574" t="n">
        <f aca="false">SUM(D32:Y32)</f>
        <v>1015597.45038124</v>
      </c>
      <c r="AA32" s="175" t="n">
        <f aca="false">AA31+1</f>
        <v>26</v>
      </c>
    </row>
    <row r="33" customFormat="false" ht="12.75" hidden="false" customHeight="false" outlineLevel="0" collapsed="false">
      <c r="A33" s="37" t="s">
        <v>706</v>
      </c>
      <c r="B33" s="38"/>
      <c r="C33" s="79"/>
      <c r="D33" s="217" t="n">
        <f aca="false">IF(D$7&lt;YEAR(Startops2),0,IF(Assm!$F$29=1,VLOOKUP(DATE(D$7,12,1),Annex12_Gas_Table,'Annex 12-Gas'!$Y$270),VLOOKUP(DATE(D$7,12,1),Annex10_Gas_Table,'Annex 10-Gas'!$S$270)))</f>
        <v>0</v>
      </c>
      <c r="E33" s="217" t="n">
        <f aca="false">IF(E$7&lt;YEAR(Startops2),0,IF(Assm!$F$29=1,VLOOKUP(DATE(E$7,12,1),Annex12_Gas_Table,'Annex 12-Gas'!$Y$270),VLOOKUP(DATE(E$7,12,1),Annex10_Gas_Table,'Annex 10-Gas'!$S$270)))</f>
        <v>0</v>
      </c>
      <c r="F33" s="217" t="n">
        <f aca="false">IF(F$7&lt;YEAR(Startops2),0,IF(Assm!$F$29=1,VLOOKUP(DATE(F$7,12,1),Annex12_Gas_Table,'Annex 12-Gas'!$Y$270),VLOOKUP(DATE(F$7,12,1),Annex10_Gas_Table,'Annex 10-Gas'!$S$270)))</f>
        <v>0</v>
      </c>
      <c r="G33" s="217" t="n">
        <f aca="false">IF(G$7&lt;YEAR(Startops2),0,IF(Assm!$F$29=1,VLOOKUP(DATE(G$7,12,1),Annex12_Gas_Table,'Annex 12-Gas'!$Y$270),VLOOKUP(DATE(G$7,12,1),Annex10_Gas_Table,'Annex 10-Gas'!$S$270)))</f>
        <v>26285.1650148133</v>
      </c>
      <c r="H33" s="575" t="n">
        <f aca="false">IF(H$7&lt;YEAR(Startops2),0,IF(Assm!$F$29=1,VLOOKUP(DATE(H$7,12,1),Annex12_Gas_Table,'Annex 12-Gas'!$Y$270),VLOOKUP(DATE(H$7,12,1),Annex10_Gas_Table,'Annex 10-Gas'!$S$270)))</f>
        <v>36247.5121132632</v>
      </c>
      <c r="I33" s="217" t="n">
        <f aca="false">IF(I$7&lt;YEAR(Startops2),0,IF(Assm!$F$29=1,VLOOKUP(DATE(I$7,12,1),Annex12_Gas_Table,'Annex 12-Gas'!$Y$270),VLOOKUP(DATE(I$7,12,1),Annex10_Gas_Table,'Annex 10-Gas'!$S$270)))</f>
        <v>37170.0394094744</v>
      </c>
      <c r="J33" s="217" t="n">
        <f aca="false">IF(J$7&lt;YEAR(Startops2),0,IF(Assm!$F$29=1,VLOOKUP(DATE(J$7,12,1),Annex12_Gas_Table,'Annex 12-Gas'!$Y$270),VLOOKUP(DATE(J$7,12,1),Annex10_Gas_Table,'Annex 10-Gas'!$S$270)))</f>
        <v>38128.7425834538</v>
      </c>
      <c r="K33" s="217" t="n">
        <f aca="false">IF(K$7&lt;YEAR(Startops2),0,IF(Assm!$F$29=1,VLOOKUP(DATE(K$7,12,1),Annex12_Gas_Table,'Annex 12-Gas'!$Y$270),VLOOKUP(DATE(K$7,12,1),Annex10_Gas_Table,'Annex 10-Gas'!$S$270)))</f>
        <v>38848.2147043165</v>
      </c>
      <c r="L33" s="217" t="n">
        <f aca="false">IF(L$7&lt;YEAR(Startops2),0,IF(Assm!$F$29=1,VLOOKUP(DATE(L$7,12,1),Annex12_Gas_Table,'Annex 12-Gas'!$Y$270),VLOOKUP(DATE(L$7,12,1),Annex10_Gas_Table,'Annex 10-Gas'!$S$270)))</f>
        <v>39745.8619823186</v>
      </c>
      <c r="M33" s="217" t="n">
        <f aca="false">IF(M$7&lt;YEAR(Startops2),0,IF(Assm!$F$29=1,VLOOKUP(DATE(M$7,12,1),Annex12_Gas_Table,'Annex 12-Gas'!$Y$270),VLOOKUP(DATE(M$7,12,1),Annex10_Gas_Table,'Annex 10-Gas'!$S$270)))</f>
        <v>40720.7159484168</v>
      </c>
      <c r="N33" s="217" t="n">
        <f aca="false">IF(N$7&lt;YEAR(Startops2),0,IF(Assm!$F$29=1,VLOOKUP(DATE(N$7,12,1),Annex12_Gas_Table,'Annex 12-Gas'!$Y$270),VLOOKUP(DATE(N$7,12,1),Annex10_Gas_Table,'Annex 10-Gas'!$S$270)))</f>
        <v>41475.4151904426</v>
      </c>
      <c r="O33" s="217" t="n">
        <f aca="false">IF(O$7&lt;YEAR(Startops2),0,IF(Assm!$F$29=1,VLOOKUP(DATE(O$7,12,1),Annex12_Gas_Table,'Annex 12-Gas'!$Y$270),VLOOKUP(DATE(O$7,12,1),Annex10_Gas_Table,'Annex 10-Gas'!$S$270)))</f>
        <v>42371.9422292582</v>
      </c>
      <c r="P33" s="217" t="n">
        <f aca="false">IF(P$7&lt;YEAR(Startops2),0,IF(Assm!$F$29=1,VLOOKUP(DATE(P$7,12,1),Annex12_Gas_Table,'Annex 12-Gas'!$Y$270),VLOOKUP(DATE(P$7,12,1),Annex10_Gas_Table,'Annex 10-Gas'!$S$270)))</f>
        <v>43335.6353667785</v>
      </c>
      <c r="Q33" s="217" t="n">
        <f aca="false">IF(Q$7&lt;YEAR(Startops2),0,IF(Assm!$F$29=1,VLOOKUP(DATE(Q$7,12,1),Annex12_Gas_Table,'Annex 12-Gas'!$Y$270),VLOOKUP(DATE(Q$7,12,1),Annex10_Gas_Table,'Annex 10-Gas'!$S$270)))</f>
        <v>44006.5984391965</v>
      </c>
      <c r="R33" s="217" t="n">
        <f aca="false">IF(R$7&lt;YEAR(Startops2),0,IF(Assm!$F$29=1,VLOOKUP(DATE(R$7,12,1),Annex12_Gas_Table,'Annex 12-Gas'!$Y$270),VLOOKUP(DATE(R$7,12,1),Annex10_Gas_Table,'Annex 10-Gas'!$S$270)))</f>
        <v>44910.9189819848</v>
      </c>
      <c r="S33" s="217" t="n">
        <f aca="false">IF(S$7&lt;YEAR(Startops2),0,IF(Assm!$F$29=1,VLOOKUP(DATE(S$7,12,1),Annex12_Gas_Table,'Annex 12-Gas'!$Y$270),VLOOKUP(DATE(S$7,12,1),Annex10_Gas_Table,'Annex 10-Gas'!$S$270)))</f>
        <v>45935.9115331568</v>
      </c>
      <c r="T33" s="217" t="n">
        <f aca="false">IF(T$7&lt;YEAR(Startops2),0,IF(Assm!$F$29=1,VLOOKUP(DATE(T$7,12,1),Annex12_Gas_Table,'Annex 12-Gas'!$Y$270),VLOOKUP(DATE(T$7,12,1),Annex10_Gas_Table,'Annex 10-Gas'!$S$270)))</f>
        <v>46735.6468525409</v>
      </c>
      <c r="U33" s="217" t="n">
        <f aca="false">IF(U$7&lt;YEAR(Startops2),0,IF(Assm!$F$29=1,VLOOKUP(DATE(U$7,12,1),Annex12_Gas_Table,'Annex 12-Gas'!$Y$270),VLOOKUP(DATE(U$7,12,1),Annex10_Gas_Table,'Annex 10-Gas'!$S$270)))</f>
        <v>47725.6666036302</v>
      </c>
      <c r="V33" s="217" t="n">
        <f aca="false">IF(V$7&lt;YEAR(Startops2),0,IF(Assm!$F$29=1,VLOOKUP(DATE(V$7,12,1),Annex12_Gas_Table,'Annex 12-Gas'!$Y$270),VLOOKUP(DATE(V$7,12,1),Annex10_Gas_Table,'Annex 10-Gas'!$S$270)))</f>
        <v>48825.9955771727</v>
      </c>
      <c r="W33" s="217" t="n">
        <f aca="false">IF(W$7&lt;YEAR(Startops2),0,IF(Assm!$F$29=1,VLOOKUP(DATE(W$7,12,1),Annex12_Gas_Table,'Annex 12-Gas'!$Y$270),VLOOKUP(DATE(W$7,12,1),Annex10_Gas_Table,'Annex 10-Gas'!$S$270)))</f>
        <v>49633.5714296526</v>
      </c>
      <c r="X33" s="217" t="n">
        <f aca="false">IF(X$7&lt;YEAR(Startops2),0,IF(Assm!$F$29=1,VLOOKUP(DATE(X$7,12,1),Annex12_Gas_Table,'Annex 12-Gas'!$Y$270),VLOOKUP(DATE(X$7,12,1),Annex10_Gas_Table,'Annex 10-Gas'!$S$270)))</f>
        <v>50739.5984845895</v>
      </c>
      <c r="Y33" s="217" t="n">
        <f aca="false">IF(Y$7&lt;YEAR(Startops2),0,IF(Assm!$F$29=1,VLOOKUP(DATE(Y$7,12,1),Annex12_Gas_Table,'Annex 12-Gas'!$Y$270),VLOOKUP(DATE(Y$7,12,1),Annex10_Gas_Table,'Annex 10-Gas'!$S$270)))</f>
        <v>17060.3416797087</v>
      </c>
      <c r="Z33" s="574" t="n">
        <f aca="false">SUM(D33:Y33)</f>
        <v>779903.494124169</v>
      </c>
      <c r="AA33" s="175" t="n">
        <f aca="false">AA32+1</f>
        <v>27</v>
      </c>
    </row>
    <row r="34" customFormat="false" ht="12.75" hidden="false" customHeight="false" outlineLevel="0" collapsed="false">
      <c r="A34" s="37" t="s">
        <v>786</v>
      </c>
      <c r="B34" s="38"/>
      <c r="C34" s="79"/>
      <c r="D34" s="220" t="n">
        <f aca="false">IF(D$7&lt;YEAR(Startops1),0,-VLOOKUP(DATE(D$7,12,1),Penalty_Table,'Avail Penalty'!$M$270))</f>
        <v>0</v>
      </c>
      <c r="E34" s="220" t="n">
        <f aca="false">IF(E$7&lt;YEAR(Startops1),0,-VLOOKUP(DATE(E$7,12,1),Penalty_Table,'Avail Penalty'!$M$270))</f>
        <v>-0</v>
      </c>
      <c r="F34" s="220" t="n">
        <f aca="false">IF(F$7&lt;YEAR(Startops1),0,-VLOOKUP(DATE(F$7,12,1),Penalty_Table,'Avail Penalty'!$M$270))</f>
        <v>-0</v>
      </c>
      <c r="G34" s="220" t="n">
        <f aca="false">IF(G$7&lt;YEAR(Startops1),0,-VLOOKUP(DATE(G$7,12,1),Penalty_Table,'Avail Penalty'!$M$270))</f>
        <v>-0</v>
      </c>
      <c r="H34" s="220" t="n">
        <f aca="false">IF(H$7&lt;YEAR(Startops1),0,-VLOOKUP(DATE(H$7,12,1),Penalty_Table,'Avail Penalty'!$M$270))</f>
        <v>-0</v>
      </c>
      <c r="I34" s="220" t="n">
        <f aca="false">IF(I$7&lt;YEAR(Startops1),0,-VLOOKUP(DATE(I$7,12,1),Penalty_Table,'Avail Penalty'!$M$270))</f>
        <v>-0</v>
      </c>
      <c r="J34" s="220" t="n">
        <f aca="false">IF(J$7&lt;YEAR(Startops1),0,-VLOOKUP(DATE(J$7,12,1),Penalty_Table,'Avail Penalty'!$M$270))</f>
        <v>-0</v>
      </c>
      <c r="K34" s="220" t="n">
        <f aca="false">IF(K$7&lt;YEAR(Startops1),0,-VLOOKUP(DATE(K$7,12,1),Penalty_Table,'Avail Penalty'!$M$270))</f>
        <v>-0</v>
      </c>
      <c r="L34" s="220" t="n">
        <f aca="false">IF(L$7&lt;YEAR(Startops1),0,-VLOOKUP(DATE(L$7,12,1),Penalty_Table,'Avail Penalty'!$M$270))</f>
        <v>-0</v>
      </c>
      <c r="M34" s="220" t="n">
        <f aca="false">IF(M$7&lt;YEAR(Startops1),0,-VLOOKUP(DATE(M$7,12,1),Penalty_Table,'Avail Penalty'!$M$270))</f>
        <v>-0</v>
      </c>
      <c r="N34" s="220" t="n">
        <f aca="false">IF(N$7&lt;YEAR(Startops1),0,-VLOOKUP(DATE(N$7,12,1),Penalty_Table,'Avail Penalty'!$M$270))</f>
        <v>-0</v>
      </c>
      <c r="O34" s="220" t="n">
        <f aca="false">IF(O$7&lt;YEAR(Startops1),0,-VLOOKUP(DATE(O$7,12,1),Penalty_Table,'Avail Penalty'!$M$270))</f>
        <v>-0</v>
      </c>
      <c r="P34" s="220" t="n">
        <f aca="false">IF(P$7&lt;YEAR(Startops1),0,-VLOOKUP(DATE(P$7,12,1),Penalty_Table,'Avail Penalty'!$M$270))</f>
        <v>-0</v>
      </c>
      <c r="Q34" s="220" t="n">
        <f aca="false">IF(Q$7&lt;YEAR(Startops1),0,-VLOOKUP(DATE(Q$7,12,1),Penalty_Table,'Avail Penalty'!$M$270))</f>
        <v>-0</v>
      </c>
      <c r="R34" s="220" t="n">
        <f aca="false">IF(R$7&lt;YEAR(Startops1),0,-VLOOKUP(DATE(R$7,12,1),Penalty_Table,'Avail Penalty'!$M$270))</f>
        <v>-0</v>
      </c>
      <c r="S34" s="220" t="n">
        <f aca="false">IF(S$7&lt;YEAR(Startops1),0,-VLOOKUP(DATE(S$7,12,1),Penalty_Table,'Avail Penalty'!$M$270))</f>
        <v>-0</v>
      </c>
      <c r="T34" s="220" t="n">
        <f aca="false">IF(T$7&lt;YEAR(Startops1),0,-VLOOKUP(DATE(T$7,12,1),Penalty_Table,'Avail Penalty'!$M$270))</f>
        <v>-0</v>
      </c>
      <c r="U34" s="220" t="n">
        <f aca="false">IF(U$7&lt;YEAR(Startops1),0,-VLOOKUP(DATE(U$7,12,1),Penalty_Table,'Avail Penalty'!$M$270))</f>
        <v>-0</v>
      </c>
      <c r="V34" s="220" t="n">
        <f aca="false">IF(V$7&lt;YEAR(Startops1),0,-VLOOKUP(DATE(V$7,12,1),Penalty_Table,'Avail Penalty'!$M$270))</f>
        <v>-0</v>
      </c>
      <c r="W34" s="220" t="n">
        <f aca="false">IF(W$7&lt;YEAR(Startops1),0,-VLOOKUP(DATE(W$7,12,1),Penalty_Table,'Avail Penalty'!$M$270))</f>
        <v>-0</v>
      </c>
      <c r="X34" s="220" t="n">
        <f aca="false">IF(X$7&lt;YEAR(Startops1),0,-VLOOKUP(DATE(X$7,12,1),Penalty_Table,'Avail Penalty'!$M$270))</f>
        <v>-0</v>
      </c>
      <c r="Y34" s="220" t="n">
        <f aca="false">IF(Y$7&lt;YEAR(Startops1),0,-VLOOKUP(DATE(Y$7,12,1),Penalty_Table,'Avail Penalty'!$M$270))</f>
        <v>-0</v>
      </c>
      <c r="Z34" s="576" t="n">
        <f aca="false">SUM(D34:Y34)</f>
        <v>0</v>
      </c>
      <c r="AA34" s="175" t="n">
        <f aca="false">AA33+1</f>
        <v>28</v>
      </c>
    </row>
    <row r="35" customFormat="false" ht="12.75" hidden="false" customHeight="false" outlineLevel="0" collapsed="false">
      <c r="A35" s="55" t="s">
        <v>787</v>
      </c>
      <c r="B35" s="62"/>
      <c r="C35" s="79"/>
      <c r="D35" s="577" t="n">
        <f aca="false">SUM(D31:D34)</f>
        <v>0</v>
      </c>
      <c r="E35" s="577" t="n">
        <f aca="false">SUM(E31:E34)</f>
        <v>8934.54341627911</v>
      </c>
      <c r="F35" s="577" t="n">
        <f aca="false">SUM(F31:F34)</f>
        <v>14716.7533487156</v>
      </c>
      <c r="G35" s="577" t="n">
        <f aca="false">SUM(G31:G34)</f>
        <v>95619.208408259</v>
      </c>
      <c r="H35" s="578" t="n">
        <f aca="false">SUM(H31:H34)</f>
        <v>136319.320990707</v>
      </c>
      <c r="I35" s="577" t="n">
        <f aca="false">SUM(I31:I34)</f>
        <v>142971.149417841</v>
      </c>
      <c r="J35" s="577" t="n">
        <f aca="false">SUM(J31:J34)</f>
        <v>148564.016910725</v>
      </c>
      <c r="K35" s="577" t="n">
        <f aca="false">SUM(K31:K34)</f>
        <v>152129.333512125</v>
      </c>
      <c r="L35" s="577" t="n">
        <f aca="false">SUM(L31:L34)</f>
        <v>155154.979139947</v>
      </c>
      <c r="M35" s="577" t="n">
        <f aca="false">SUM(M31:M34)</f>
        <v>154743.263725652</v>
      </c>
      <c r="N35" s="577" t="n">
        <f aca="false">SUM(N31:N34)</f>
        <v>152906.729809475</v>
      </c>
      <c r="O35" s="577" t="n">
        <f aca="false">SUM(O31:O34)</f>
        <v>154096.532943409</v>
      </c>
      <c r="P35" s="577" t="n">
        <f aca="false">SUM(P31:P34)</f>
        <v>157574.546640617</v>
      </c>
      <c r="Q35" s="577" t="n">
        <f aca="false">SUM(Q31:Q34)</f>
        <v>158815.712578715</v>
      </c>
      <c r="R35" s="577" t="n">
        <f aca="false">SUM(R31:R34)</f>
        <v>153914.063949415</v>
      </c>
      <c r="S35" s="577" t="n">
        <f aca="false">SUM(S31:S34)</f>
        <v>159853.322172655</v>
      </c>
      <c r="T35" s="577" t="n">
        <f aca="false">SUM(T31:T34)</f>
        <v>149649.725968583</v>
      </c>
      <c r="U35" s="577" t="n">
        <f aca="false">SUM(U31:U34)</f>
        <v>135704.125281223</v>
      </c>
      <c r="V35" s="577" t="n">
        <f aca="false">SUM(V31:V34)</f>
        <v>133710.189151215</v>
      </c>
      <c r="W35" s="577" t="n">
        <f aca="false">SUM(W31:W34)</f>
        <v>135577.607885992</v>
      </c>
      <c r="X35" s="577" t="n">
        <f aca="false">SUM(X31:X34)</f>
        <v>133593.756275322</v>
      </c>
      <c r="Y35" s="577" t="n">
        <f aca="false">SUM(Y31:Y34)</f>
        <v>44129.7356965873</v>
      </c>
      <c r="Z35" s="579" t="n">
        <f aca="false">SUM(D35:Y35)</f>
        <v>2678678.61722346</v>
      </c>
      <c r="AA35" s="175" t="n">
        <f aca="false">AA34+1</f>
        <v>29</v>
      </c>
    </row>
    <row r="36" customFormat="false" ht="12.75" hidden="false" customHeight="false" outlineLevel="0" collapsed="false">
      <c r="A36" s="166"/>
      <c r="B36" s="580"/>
      <c r="C36" s="175"/>
      <c r="D36" s="581"/>
      <c r="E36" s="581"/>
      <c r="F36" s="581"/>
      <c r="G36" s="581"/>
      <c r="H36" s="581"/>
      <c r="I36" s="581"/>
      <c r="J36" s="581"/>
      <c r="K36" s="581"/>
      <c r="L36" s="581"/>
      <c r="M36" s="581"/>
      <c r="N36" s="581"/>
      <c r="O36" s="581"/>
      <c r="P36" s="581"/>
      <c r="Q36" s="581"/>
      <c r="R36" s="581"/>
      <c r="S36" s="581"/>
      <c r="T36" s="581"/>
      <c r="U36" s="581"/>
      <c r="V36" s="581"/>
      <c r="W36" s="581"/>
      <c r="X36" s="581"/>
      <c r="Y36" s="581"/>
      <c r="Z36" s="582"/>
      <c r="AA36" s="175" t="n">
        <f aca="false">AA35+1</f>
        <v>30</v>
      </c>
      <c r="AB36" s="415"/>
      <c r="AC36" s="415"/>
      <c r="AD36" s="415"/>
      <c r="AE36" s="415"/>
      <c r="AF36" s="415"/>
      <c r="AG36" s="415"/>
      <c r="AH36" s="415"/>
      <c r="AI36" s="415"/>
      <c r="AJ36" s="415"/>
      <c r="AK36" s="415"/>
      <c r="AL36" s="415"/>
      <c r="AM36" s="415"/>
      <c r="AN36" s="415"/>
      <c r="AO36" s="415"/>
      <c r="AP36" s="415"/>
      <c r="AQ36" s="415"/>
      <c r="AR36" s="415"/>
      <c r="AS36" s="415"/>
      <c r="AT36" s="415"/>
      <c r="AU36" s="415"/>
      <c r="AV36" s="415"/>
      <c r="AW36" s="415"/>
      <c r="AX36" s="415"/>
      <c r="AY36" s="415"/>
      <c r="AZ36" s="415"/>
      <c r="BA36" s="415"/>
      <c r="BB36" s="415"/>
      <c r="BC36" s="415"/>
      <c r="BD36" s="415"/>
      <c r="BE36" s="415"/>
      <c r="BF36" s="415"/>
      <c r="BG36" s="415"/>
      <c r="BH36" s="415"/>
      <c r="BI36" s="415"/>
      <c r="BJ36" s="415"/>
      <c r="BK36" s="415"/>
      <c r="BL36" s="415"/>
      <c r="BM36" s="415"/>
      <c r="BN36" s="415"/>
      <c r="BO36" s="415"/>
      <c r="BP36" s="415"/>
      <c r="BQ36" s="415"/>
      <c r="BR36" s="415"/>
      <c r="BS36" s="415"/>
      <c r="BT36" s="415"/>
      <c r="BU36" s="415"/>
      <c r="BV36" s="415"/>
      <c r="BW36" s="415"/>
      <c r="BX36" s="415"/>
      <c r="BY36" s="415"/>
      <c r="BZ36" s="415"/>
      <c r="CA36" s="415"/>
      <c r="CB36" s="415"/>
      <c r="CC36" s="415"/>
      <c r="CD36" s="415"/>
      <c r="CE36" s="415"/>
      <c r="CF36" s="415"/>
      <c r="CG36" s="415"/>
      <c r="CH36" s="415"/>
      <c r="CI36" s="415"/>
      <c r="CJ36" s="415"/>
      <c r="CK36" s="415"/>
      <c r="CL36" s="415"/>
      <c r="CM36" s="415"/>
      <c r="CN36" s="415"/>
      <c r="CO36" s="415"/>
      <c r="CP36" s="415"/>
      <c r="CQ36" s="415"/>
      <c r="CR36" s="415"/>
      <c r="CS36" s="415"/>
      <c r="CT36" s="415"/>
      <c r="CU36" s="415"/>
      <c r="CV36" s="415"/>
      <c r="CW36" s="415"/>
      <c r="CX36" s="415"/>
      <c r="CY36" s="415"/>
      <c r="CZ36" s="415"/>
      <c r="DA36" s="415"/>
      <c r="DB36" s="415"/>
      <c r="DC36" s="415"/>
      <c r="DD36" s="415"/>
      <c r="DE36" s="415"/>
      <c r="DF36" s="415"/>
      <c r="DG36" s="415"/>
      <c r="DH36" s="415"/>
      <c r="DI36" s="415"/>
      <c r="DJ36" s="415"/>
      <c r="DK36" s="415"/>
      <c r="DL36" s="415"/>
      <c r="DM36" s="415"/>
      <c r="DN36" s="415"/>
      <c r="DO36" s="415"/>
      <c r="DP36" s="415"/>
      <c r="DQ36" s="415"/>
      <c r="DR36" s="415"/>
      <c r="DS36" s="415"/>
      <c r="DT36" s="415"/>
      <c r="DU36" s="415"/>
      <c r="DV36" s="415"/>
      <c r="DW36" s="415"/>
      <c r="DX36" s="415"/>
      <c r="DY36" s="415"/>
      <c r="DZ36" s="415"/>
      <c r="EA36" s="415"/>
      <c r="EB36" s="415"/>
      <c r="EC36" s="415"/>
      <c r="ED36" s="415"/>
      <c r="EE36" s="415"/>
      <c r="EF36" s="415"/>
      <c r="EG36" s="415"/>
      <c r="EH36" s="415"/>
      <c r="EI36" s="415"/>
      <c r="EJ36" s="415"/>
      <c r="EK36" s="415"/>
      <c r="EL36" s="415"/>
      <c r="EM36" s="415"/>
      <c r="EN36" s="415"/>
      <c r="EO36" s="415"/>
      <c r="EP36" s="415"/>
      <c r="EQ36" s="415"/>
      <c r="ER36" s="415"/>
      <c r="ES36" s="415"/>
      <c r="ET36" s="415"/>
      <c r="EU36" s="415"/>
      <c r="EV36" s="415"/>
      <c r="EW36" s="415"/>
      <c r="EX36" s="415"/>
      <c r="EY36" s="415"/>
      <c r="EZ36" s="415"/>
      <c r="FA36" s="415"/>
      <c r="FB36" s="415"/>
      <c r="FC36" s="415"/>
      <c r="FD36" s="415"/>
      <c r="FE36" s="415"/>
      <c r="FF36" s="415"/>
      <c r="FG36" s="415"/>
      <c r="FH36" s="415"/>
      <c r="FI36" s="415"/>
      <c r="FJ36" s="415"/>
      <c r="FK36" s="415"/>
      <c r="FL36" s="415"/>
      <c r="FM36" s="415"/>
      <c r="FN36" s="415"/>
      <c r="FO36" s="415"/>
      <c r="FP36" s="415"/>
      <c r="FQ36" s="415"/>
      <c r="FR36" s="415"/>
      <c r="FS36" s="415"/>
      <c r="FT36" s="415"/>
      <c r="FU36" s="415"/>
      <c r="FV36" s="415"/>
      <c r="FW36" s="415"/>
      <c r="FX36" s="415"/>
      <c r="FY36" s="415"/>
      <c r="FZ36" s="415"/>
      <c r="GA36" s="415"/>
      <c r="GB36" s="415"/>
      <c r="GC36" s="415"/>
      <c r="GD36" s="415"/>
      <c r="GE36" s="415"/>
      <c r="GF36" s="415"/>
      <c r="GG36" s="415"/>
      <c r="GH36" s="415"/>
      <c r="GI36" s="415"/>
      <c r="GJ36" s="415"/>
      <c r="GK36" s="415"/>
      <c r="GL36" s="415"/>
      <c r="GM36" s="415"/>
      <c r="GN36" s="415"/>
      <c r="GO36" s="415"/>
      <c r="GP36" s="415"/>
      <c r="GQ36" s="415"/>
      <c r="GR36" s="415"/>
      <c r="GS36" s="415"/>
      <c r="GT36" s="415"/>
      <c r="GU36" s="415"/>
      <c r="GV36" s="415"/>
      <c r="GW36" s="415"/>
      <c r="GX36" s="415"/>
      <c r="GY36" s="415"/>
      <c r="GZ36" s="415"/>
      <c r="HA36" s="415"/>
      <c r="HB36" s="415"/>
      <c r="HC36" s="415"/>
      <c r="HD36" s="415"/>
      <c r="HE36" s="415"/>
      <c r="HF36" s="415"/>
      <c r="HG36" s="415"/>
      <c r="HH36" s="415"/>
      <c r="HI36" s="415"/>
      <c r="HJ36" s="415"/>
      <c r="HK36" s="415"/>
      <c r="HL36" s="415"/>
      <c r="HM36" s="415"/>
      <c r="HN36" s="415"/>
      <c r="HO36" s="415"/>
      <c r="HP36" s="415"/>
      <c r="HQ36" s="415"/>
      <c r="HR36" s="415"/>
      <c r="HS36" s="415"/>
      <c r="HT36" s="415"/>
      <c r="HU36" s="415"/>
      <c r="HV36" s="415"/>
      <c r="HW36" s="415"/>
      <c r="HX36" s="415"/>
      <c r="HY36" s="415"/>
      <c r="HZ36" s="415"/>
      <c r="IA36" s="415"/>
      <c r="IB36" s="415"/>
      <c r="IC36" s="415"/>
      <c r="ID36" s="415"/>
      <c r="IE36" s="415"/>
      <c r="IF36" s="415"/>
      <c r="IG36" s="415"/>
      <c r="IH36" s="415"/>
      <c r="II36" s="415"/>
      <c r="IJ36" s="415"/>
      <c r="IK36" s="415"/>
      <c r="IL36" s="415"/>
      <c r="IM36" s="415"/>
      <c r="IN36" s="415"/>
      <c r="IO36" s="415"/>
      <c r="IP36" s="415"/>
      <c r="IQ36" s="415"/>
      <c r="IR36" s="415"/>
      <c r="IS36" s="415"/>
      <c r="IT36" s="415"/>
      <c r="IU36" s="415"/>
      <c r="IV36" s="415"/>
      <c r="IW36" s="415"/>
    </row>
    <row r="37" customFormat="false" ht="12.75" hidden="false" customHeight="false" outlineLevel="0" collapsed="false">
      <c r="A37" s="132" t="s">
        <v>788</v>
      </c>
      <c r="B37" s="38"/>
      <c r="C37" s="131"/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574"/>
      <c r="AA37" s="175" t="n">
        <f aca="false">AA36+1</f>
        <v>31</v>
      </c>
    </row>
    <row r="38" customFormat="false" ht="12.75" hidden="false" customHeight="false" outlineLevel="0" collapsed="false">
      <c r="A38" s="37" t="s">
        <v>789</v>
      </c>
      <c r="B38" s="38"/>
      <c r="C38" s="79"/>
      <c r="D38" s="217" t="n">
        <f aca="false">IF(D$7&lt;YEAR(Startops2),0,IF(Assm!$F$29=1,VLOOKUP(DATE(D$7,12,1),Annex12_Gas_Table,'Annex 12-Gas'!$AK$270),VLOOKUP(DATE(D$7,12,1),Annex10_Gas_Table,'Annex 10-Gas'!$AD$270)))</f>
        <v>0</v>
      </c>
      <c r="E38" s="217" t="n">
        <f aca="false">IF(E$7&lt;YEAR(Startops2),0,IF(Assm!$F$29=1,VLOOKUP(DATE(E$7,12,1),Annex12_Gas_Table,'Annex 12-Gas'!$AK$270),VLOOKUP(DATE(E$7,12,1),Annex10_Gas_Table,'Annex 10-Gas'!$AD$270)))</f>
        <v>0</v>
      </c>
      <c r="F38" s="217" t="n">
        <f aca="false">IF(F$7&lt;YEAR(Startops2),0,IF(Assm!$F$29=1,VLOOKUP(DATE(F$7,12,1),Annex12_Gas_Table,'Annex 12-Gas'!$AK$270),VLOOKUP(DATE(F$7,12,1),Annex10_Gas_Table,'Annex 10-Gas'!$AD$270)))</f>
        <v>0</v>
      </c>
      <c r="G38" s="217" t="n">
        <f aca="false">IF(G$7&lt;YEAR(Startops2),0,IF(Assm!$F$29=1,VLOOKUP(DATE(G$7,12,1),Annex12_Gas_Table,'Annex 12-Gas'!$AK$270),VLOOKUP(DATE(G$7,12,1),Annex10_Gas_Table,'Annex 10-Gas'!$AD$270)))</f>
        <v>6113.48932814785</v>
      </c>
      <c r="H38" s="217" t="n">
        <f aca="false">IF(H$7&lt;YEAR(Startops2),0,IF(Assm!$F$29=1,VLOOKUP(DATE(H$7,12,1),Annex12_Gas_Table,'Annex 12-Gas'!$AK$270),VLOOKUP(DATE(H$7,12,1),Annex10_Gas_Table,'Annex 10-Gas'!$AD$270)))</f>
        <v>8409.10080170165</v>
      </c>
      <c r="I38" s="217" t="n">
        <f aca="false">IF(I$7&lt;YEAR(Startops2),0,IF(Assm!$F$29=1,VLOOKUP(DATE(I$7,12,1),Annex12_Gas_Table,'Annex 12-Gas'!$AK$270),VLOOKUP(DATE(I$7,12,1),Annex10_Gas_Table,'Annex 10-Gas'!$AD$270)))</f>
        <v>8562.25265942489</v>
      </c>
      <c r="J38" s="217" t="n">
        <f aca="false">IF(J$7&lt;YEAR(Startops2),0,IF(Assm!$F$29=1,VLOOKUP(DATE(J$7,12,1),Annex12_Gas_Table,'Annex 12-Gas'!$AK$270),VLOOKUP(DATE(J$7,12,1),Annex10_Gas_Table,'Annex 10-Gas'!$AD$270)))</f>
        <v>8794.13583265362</v>
      </c>
      <c r="K38" s="217" t="n">
        <f aca="false">IF(K$7&lt;YEAR(Startops2),0,IF(Assm!$F$29=1,VLOOKUP(DATE(K$7,12,1),Annex12_Gas_Table,'Annex 12-Gas'!$AK$270),VLOOKUP(DATE(K$7,12,1),Annex10_Gas_Table,'Annex 10-Gas'!$AD$270)))</f>
        <v>8940.23295413383</v>
      </c>
      <c r="L38" s="217" t="n">
        <f aca="false">IF(L$7&lt;YEAR(Startops2),0,IF(Assm!$F$29=1,VLOOKUP(DATE(L$7,12,1),Annex12_Gas_Table,'Annex 12-Gas'!$AK$270),VLOOKUP(DATE(L$7,12,1),Annex10_Gas_Table,'Annex 10-Gas'!$AD$270)))</f>
        <v>9150.2894789583</v>
      </c>
      <c r="M38" s="217" t="n">
        <f aca="false">IF(M$7&lt;YEAR(Startops2),0,IF(Assm!$F$29=1,VLOOKUP(DATE(M$7,12,1),Annex12_Gas_Table,'Annex 12-Gas'!$AK$270),VLOOKUP(DATE(M$7,12,1),Annex10_Gas_Table,'Annex 10-Gas'!$AD$270)))</f>
        <v>9387.36187441297</v>
      </c>
      <c r="N38" s="217" t="n">
        <f aca="false">IF(N$7&lt;YEAR(Startops2),0,IF(Assm!$F$29=1,VLOOKUP(DATE(N$7,12,1),Annex12_Gas_Table,'Annex 12-Gas'!$AK$270),VLOOKUP(DATE(N$7,12,1),Annex10_Gas_Table,'Annex 10-Gas'!$AD$270)))</f>
        <v>9596.16121388395</v>
      </c>
      <c r="O38" s="217" t="n">
        <f aca="false">IF(O$7&lt;YEAR(Startops2),0,IF(Assm!$F$29=1,VLOOKUP(DATE(O$7,12,1),Annex12_Gas_Table,'Annex 12-Gas'!$AK$270),VLOOKUP(DATE(O$7,12,1),Annex10_Gas_Table,'Annex 10-Gas'!$AD$270)))</f>
        <v>9754.19767779432</v>
      </c>
      <c r="P38" s="217" t="n">
        <f aca="false">IF(P$7&lt;YEAR(Startops2),0,IF(Assm!$F$29=1,VLOOKUP(DATE(P$7,12,1),Annex12_Gas_Table,'Annex 12-Gas'!$AK$270),VLOOKUP(DATE(P$7,12,1),Annex10_Gas_Table,'Annex 10-Gas'!$AD$270)))</f>
        <v>9981.63602761059</v>
      </c>
      <c r="Q38" s="217" t="n">
        <f aca="false">IF(Q$7&lt;YEAR(Startops2),0,IF(Assm!$F$29=1,VLOOKUP(DATE(Q$7,12,1),Annex12_Gas_Table,'Annex 12-Gas'!$AK$270),VLOOKUP(DATE(Q$7,12,1),Annex10_Gas_Table,'Annex 10-Gas'!$AD$270)))</f>
        <v>10136.7467091152</v>
      </c>
      <c r="R38" s="217" t="n">
        <f aca="false">IF(R$7&lt;YEAR(Startops2),0,IF(Assm!$F$29=1,VLOOKUP(DATE(R$7,12,1),Annex12_Gas_Table,'Annex 12-Gas'!$AK$270),VLOOKUP(DATE(R$7,12,1),Annex10_Gas_Table,'Annex 10-Gas'!$AD$270)))</f>
        <v>10367.1718123239</v>
      </c>
      <c r="S38" s="217" t="n">
        <f aca="false">IF(S$7&lt;YEAR(Startops2),0,IF(Assm!$F$29=1,VLOOKUP(DATE(S$7,12,1),Annex12_Gas_Table,'Annex 12-Gas'!$AK$270),VLOOKUP(DATE(S$7,12,1),Annex10_Gas_Table,'Annex 10-Gas'!$AD$270)))</f>
        <v>10589.5420208929</v>
      </c>
      <c r="T38" s="217" t="n">
        <f aca="false">IF(T$7&lt;YEAR(Startops2),0,IF(Assm!$F$29=1,VLOOKUP(DATE(T$7,12,1),Annex12_Gas_Table,'Annex 12-Gas'!$AK$270),VLOOKUP(DATE(T$7,12,1),Annex10_Gas_Table,'Annex 10-Gas'!$AD$270)))</f>
        <v>10783.9535903149</v>
      </c>
      <c r="U38" s="217" t="n">
        <f aca="false">IF(U$7&lt;YEAR(Startops2),0,IF(Assm!$F$29=1,VLOOKUP(DATE(U$7,12,1),Annex12_Gas_Table,'Annex 12-Gas'!$AK$270),VLOOKUP(DATE(U$7,12,1),Annex10_Gas_Table,'Annex 10-Gas'!$AD$270)))</f>
        <v>10986.6396633944</v>
      </c>
      <c r="V38" s="217" t="n">
        <f aca="false">IF(V$7&lt;YEAR(Startops2),0,IF(Assm!$F$29=1,VLOOKUP(DATE(V$7,12,1),Annex12_Gas_Table,'Annex 12-Gas'!$AK$270),VLOOKUP(DATE(V$7,12,1),Annex10_Gas_Table,'Annex 10-Gas'!$AD$270)))</f>
        <v>11276.5786821343</v>
      </c>
      <c r="W38" s="217" t="n">
        <f aca="false">IF(W$7&lt;YEAR(Startops2),0,IF(Assm!$F$29=1,VLOOKUP(DATE(W$7,12,1),Annex12_Gas_Table,'Annex 12-Gas'!$AK$270),VLOOKUP(DATE(W$7,12,1),Annex10_Gas_Table,'Annex 10-Gas'!$AD$270)))</f>
        <v>11432.9610470794</v>
      </c>
      <c r="X38" s="217" t="n">
        <f aca="false">IF(X$7&lt;YEAR(Startops2),0,IF(Assm!$F$29=1,VLOOKUP(DATE(X$7,12,1),Annex12_Gas_Table,'Annex 12-Gas'!$AK$270),VLOOKUP(DATE(X$7,12,1),Annex10_Gas_Table,'Annex 10-Gas'!$AD$270)))</f>
        <v>11681.2633681139</v>
      </c>
      <c r="Y38" s="217" t="n">
        <f aca="false">IF(Y$7&lt;YEAR(Startops2),0,IF(Assm!$F$29=1,VLOOKUP(DATE(Y$7,12,1),Annex12_Gas_Table,'Annex 12-Gas'!$AK$270),VLOOKUP(DATE(Y$7,12,1),Annex10_Gas_Table,'Annex 10-Gas'!$AD$270)))</f>
        <v>3872.9043025748</v>
      </c>
      <c r="Z38" s="574" t="n">
        <f aca="false">SUM(D38:Y38)</f>
        <v>179816.619044666</v>
      </c>
      <c r="AA38" s="175" t="n">
        <f aca="false">AA37+1</f>
        <v>32</v>
      </c>
    </row>
    <row r="39" customFormat="false" ht="12.75" hidden="false" customHeight="false" outlineLevel="0" collapsed="false">
      <c r="A39" s="37" t="s">
        <v>198</v>
      </c>
      <c r="B39" s="38"/>
      <c r="C39" s="79"/>
      <c r="D39" s="220" t="n">
        <f aca="false">IF(D$7&lt;YEAR(Startops1),0,IF(Assm!$F$29=1,VLOOKUP(DATE(D$7,12,1),Annex12_Plant_Table,'Annex 12-Plant'!$AF$270),VLOOKUP(DATE(D$7,12,1),Annex10_Plant_Table,'Annex 10-Plant'!$S$270)))</f>
        <v>0</v>
      </c>
      <c r="E39" s="220" t="n">
        <f aca="false">IF(E$7&lt;YEAR(Startops1),0,IF(Assm!$F$29=1,VLOOKUP(DATE(E$7,12,1),Annex12_Plant_Table,'Annex 12-Plant'!$AF$270),VLOOKUP(DATE(E$7,12,1),Annex10_Plant_Table,'Annex 10-Plant'!$S$270)))</f>
        <v>11.2251173309925</v>
      </c>
      <c r="F39" s="220" t="n">
        <f aca="false">IF(F$7&lt;YEAR(Startops1),0,IF(Assm!$F$29=1,VLOOKUP(DATE(F$7,12,1),Annex12_Plant_Table,'Annex 12-Plant'!$AF$270),VLOOKUP(DATE(F$7,12,1),Annex10_Plant_Table,'Annex 10-Plant'!$S$270)))</f>
        <v>85.8747490174269</v>
      </c>
      <c r="G39" s="220" t="n">
        <f aca="false">IF(G$7&lt;YEAR(Startops1),0,IF(Assm!$F$29=1,VLOOKUP(DATE(G$7,12,1),Annex12_Plant_Table,'Annex 12-Plant'!$AF$270),VLOOKUP(DATE(G$7,12,1),Annex10_Plant_Table,'Annex 10-Plant'!$S$270)))</f>
        <v>238.048644959993</v>
      </c>
      <c r="H39" s="220" t="n">
        <f aca="false">IF(H$7&lt;YEAR(Startops1),0,IF(Assm!$F$29=1,VLOOKUP(DATE(H$7,12,1),Annex12_Plant_Table,'Annex 12-Plant'!$AF$270),VLOOKUP(DATE(H$7,12,1),Annex10_Plant_Table,'Annex 10-Plant'!$S$270)))</f>
        <v>487.861845389469</v>
      </c>
      <c r="I39" s="220" t="n">
        <f aca="false">IF(I$7&lt;YEAR(Startops1),0,IF(Assm!$F$29=1,VLOOKUP(DATE(I$7,12,1),Annex12_Plant_Table,'Annex 12-Plant'!$AF$270),VLOOKUP(DATE(I$7,12,1),Annex10_Plant_Table,'Annex 10-Plant'!$S$270)))</f>
        <v>504.491971966683</v>
      </c>
      <c r="J39" s="220" t="n">
        <f aca="false">IF(J$7&lt;YEAR(Startops1),0,IF(Assm!$F$29=1,VLOOKUP(DATE(J$7,12,1),Annex12_Plant_Table,'Annex 12-Plant'!$AF$270),VLOOKUP(DATE(J$7,12,1),Annex10_Plant_Table,'Annex 10-Plant'!$S$270)))</f>
        <v>529.359599227934</v>
      </c>
      <c r="K39" s="220" t="n">
        <f aca="false">IF(K$7&lt;YEAR(Startops1),0,IF(Assm!$F$29=1,VLOOKUP(DATE(K$7,12,1),Annex12_Plant_Table,'Annex 12-Plant'!$AF$270),VLOOKUP(DATE(K$7,12,1),Annex10_Plant_Table,'Annex 10-Plant'!$S$270)))</f>
        <v>553.120437441243</v>
      </c>
      <c r="L39" s="220" t="n">
        <f aca="false">IF(L$7&lt;YEAR(Startops1),0,IF(Assm!$F$29=1,VLOOKUP(DATE(L$7,12,1),Annex12_Plant_Table,'Annex 12-Plant'!$AF$270),VLOOKUP(DATE(L$7,12,1),Annex10_Plant_Table,'Annex 10-Plant'!$S$270)))</f>
        <v>578.860247122484</v>
      </c>
      <c r="M39" s="220" t="n">
        <f aca="false">IF(M$7&lt;YEAR(Startops1),0,IF(Assm!$F$29=1,VLOOKUP(DATE(M$7,12,1),Annex12_Plant_Table,'Annex 12-Plant'!$AF$270),VLOOKUP(DATE(M$7,12,1),Annex10_Plant_Table,'Annex 10-Plant'!$S$270)))</f>
        <v>605.593522641704</v>
      </c>
      <c r="N39" s="220" t="n">
        <f aca="false">IF(N$7&lt;YEAR(Startops1),0,IF(Assm!$F$29=1,VLOOKUP(DATE(N$7,12,1),Annex12_Plant_Table,'Annex 12-Plant'!$AF$270),VLOOKUP(DATE(N$7,12,1),Annex10_Plant_Table,'Annex 10-Plant'!$S$270)))</f>
        <v>635.97052069697</v>
      </c>
      <c r="O39" s="220" t="n">
        <f aca="false">IF(O$7&lt;YEAR(Startops1),0,IF(Assm!$F$29=1,VLOOKUP(DATE(O$7,12,1),Annex12_Plant_Table,'Annex 12-Plant'!$AF$270),VLOOKUP(DATE(O$7,12,1),Annex10_Plant_Table,'Annex 10-Plant'!$S$270)))</f>
        <v>664.620439594771</v>
      </c>
      <c r="P39" s="220" t="n">
        <f aca="false">IF(P$7&lt;YEAR(Startops1),0,IF(Assm!$F$29=1,VLOOKUP(DATE(P$7,12,1),Annex12_Plant_Table,'Annex 12-Plant'!$AF$270),VLOOKUP(DATE(P$7,12,1),Annex10_Plant_Table,'Annex 10-Plant'!$S$270)))</f>
        <v>696.018908387129</v>
      </c>
      <c r="Q39" s="220" t="n">
        <f aca="false">IF(Q$7&lt;YEAR(Startops1),0,IF(Assm!$F$29=1,VLOOKUP(DATE(Q$7,12,1),Annex12_Plant_Table,'Annex 12-Plant'!$AF$270),VLOOKUP(DATE(Q$7,12,1),Annex10_Plant_Table,'Annex 10-Plant'!$S$270)))</f>
        <v>729.934184449259</v>
      </c>
      <c r="R39" s="220" t="n">
        <f aca="false">IF(R$7&lt;YEAR(Startops1),0,IF(Assm!$F$29=1,VLOOKUP(DATE(R$7,12,1),Annex12_Plant_Table,'Annex 12-Plant'!$AF$270),VLOOKUP(DATE(R$7,12,1),Annex10_Plant_Table,'Annex 10-Plant'!$S$270)))</f>
        <v>706.124857716782</v>
      </c>
      <c r="S39" s="220" t="n">
        <f aca="false">IF(S$7&lt;YEAR(Startops1),0,IF(Assm!$F$29=1,VLOOKUP(DATE(S$7,12,1),Annex12_Plant_Table,'Annex 12-Plant'!$AF$270),VLOOKUP(DATE(S$7,12,1),Annex10_Plant_Table,'Annex 10-Plant'!$S$270)))</f>
        <v>805.503843938109</v>
      </c>
      <c r="T39" s="220" t="n">
        <f aca="false">IF(T$7&lt;YEAR(Startops1),0,IF(Assm!$F$29=1,VLOOKUP(DATE(T$7,12,1),Annex12_Plant_Table,'Annex 12-Plant'!$AF$270),VLOOKUP(DATE(T$7,12,1),Annex10_Plant_Table,'Annex 10-Plant'!$S$270)))</f>
        <v>845.27619801994</v>
      </c>
      <c r="U39" s="220" t="n">
        <f aca="false">IF(U$7&lt;YEAR(Startops1),0,IF(Assm!$F$29=1,VLOOKUP(DATE(U$7,12,1),Annex12_Plant_Table,'Annex 12-Plant'!$AF$270),VLOOKUP(DATE(U$7,12,1),Annex10_Plant_Table,'Annex 10-Plant'!$S$270)))</f>
        <v>886.537747287542</v>
      </c>
      <c r="V39" s="220" t="n">
        <f aca="false">IF(V$7&lt;YEAR(Startops1),0,IF(Assm!$F$29=1,VLOOKUP(DATE(V$7,12,1),Annex12_Plant_Table,'Annex 12-Plant'!$AF$270),VLOOKUP(DATE(V$7,12,1),Annex10_Plant_Table,'Annex 10-Plant'!$S$270)))</f>
        <v>931.768821412248</v>
      </c>
      <c r="W39" s="220" t="n">
        <f aca="false">IF(W$7&lt;YEAR(Startops1),0,IF(Assm!$F$29=1,VLOOKUP(DATE(W$7,12,1),Annex12_Plant_Table,'Annex 12-Plant'!$AF$270),VLOOKUP(DATE(W$7,12,1),Annex10_Plant_Table,'Annex 10-Plant'!$S$270)))</f>
        <v>973.771726897141</v>
      </c>
      <c r="X39" s="220" t="n">
        <f aca="false">IF(X$7&lt;YEAR(Startops1),0,IF(Assm!$F$29=1,VLOOKUP(DATE(X$7,12,1),Annex12_Plant_Table,'Annex 12-Plant'!$AF$270),VLOOKUP(DATE(X$7,12,1),Annex10_Plant_Table,'Annex 10-Plant'!$S$270)))</f>
        <v>1019.8220925543</v>
      </c>
      <c r="Y39" s="220" t="n">
        <f aca="false">IF(Y$7&lt;YEAR(Startops1),0,IF(Assm!$F$29=1,VLOOKUP(DATE(Y$7,12,1),Annex12_Plant_Table,'Annex 12-Plant'!$AF$270),VLOOKUP(DATE(Y$7,12,1),Annex10_Plant_Table,'Annex 10-Plant'!$S$270)))</f>
        <v>338.017521357959</v>
      </c>
      <c r="Z39" s="576" t="n">
        <f aca="false">SUM(D39:Y39)</f>
        <v>12827.8029974101</v>
      </c>
      <c r="AA39" s="175" t="n">
        <f aca="false">AA38+1</f>
        <v>33</v>
      </c>
    </row>
    <row r="40" customFormat="false" ht="12.75" hidden="false" customHeight="false" outlineLevel="0" collapsed="false">
      <c r="A40" s="55" t="s">
        <v>790</v>
      </c>
      <c r="B40" s="62"/>
      <c r="C40" s="38"/>
      <c r="D40" s="577" t="n">
        <f aca="false">SUM(D38:D39)</f>
        <v>0</v>
      </c>
      <c r="E40" s="577" t="n">
        <f aca="false">SUM(E38:E39)</f>
        <v>11.2251173309925</v>
      </c>
      <c r="F40" s="577" t="n">
        <f aca="false">SUM(F38:F39)</f>
        <v>85.8747490174269</v>
      </c>
      <c r="G40" s="577" t="n">
        <f aca="false">SUM(G38:G39)</f>
        <v>6351.53797310785</v>
      </c>
      <c r="H40" s="577" t="n">
        <f aca="false">SUM(H38:H39)</f>
        <v>8896.96264709112</v>
      </c>
      <c r="I40" s="577" t="n">
        <f aca="false">SUM(I38:I39)</f>
        <v>9066.74463139157</v>
      </c>
      <c r="J40" s="577" t="n">
        <f aca="false">SUM(J38:J39)</f>
        <v>9323.49543188156</v>
      </c>
      <c r="K40" s="577" t="n">
        <f aca="false">SUM(K38:K39)</f>
        <v>9493.35339157507</v>
      </c>
      <c r="L40" s="577" t="n">
        <f aca="false">SUM(L38:L39)</f>
        <v>9729.14972608079</v>
      </c>
      <c r="M40" s="577" t="n">
        <f aca="false">SUM(M38:M39)</f>
        <v>9992.95539705468</v>
      </c>
      <c r="N40" s="577" t="n">
        <f aca="false">SUM(N38:N39)</f>
        <v>10232.1317345809</v>
      </c>
      <c r="O40" s="577" t="n">
        <f aca="false">SUM(O38:O39)</f>
        <v>10418.8181173891</v>
      </c>
      <c r="P40" s="577" t="n">
        <f aca="false">SUM(P38:P39)</f>
        <v>10677.6549359977</v>
      </c>
      <c r="Q40" s="577" t="n">
        <f aca="false">SUM(Q38:Q39)</f>
        <v>10866.6808935645</v>
      </c>
      <c r="R40" s="577" t="n">
        <f aca="false">SUM(R38:R39)</f>
        <v>11073.2966700407</v>
      </c>
      <c r="S40" s="577" t="n">
        <f aca="false">SUM(S38:S39)</f>
        <v>11395.045864831</v>
      </c>
      <c r="T40" s="577" t="n">
        <f aca="false">SUM(T38:T39)</f>
        <v>11629.2297883348</v>
      </c>
      <c r="U40" s="577" t="n">
        <f aca="false">SUM(U38:U39)</f>
        <v>11873.177410682</v>
      </c>
      <c r="V40" s="577" t="n">
        <f aca="false">SUM(V38:V39)</f>
        <v>12208.3475035465</v>
      </c>
      <c r="W40" s="577" t="n">
        <f aca="false">SUM(W38:W39)</f>
        <v>12406.7327739766</v>
      </c>
      <c r="X40" s="577" t="n">
        <f aca="false">SUM(X38:X39)</f>
        <v>12701.0854606682</v>
      </c>
      <c r="Y40" s="577" t="n">
        <f aca="false">SUM(Y38:Y39)</f>
        <v>4210.92182393276</v>
      </c>
      <c r="Z40" s="579" t="n">
        <f aca="false">SUM(D40:Y40)</f>
        <v>192644.422042076</v>
      </c>
      <c r="AA40" s="175" t="n">
        <f aca="false">AA39+1</f>
        <v>34</v>
      </c>
    </row>
    <row r="41" customFormat="false" ht="12.75" hidden="false" customHeight="false" outlineLevel="0" collapsed="false">
      <c r="A41" s="166"/>
      <c r="B41" s="580"/>
      <c r="C41" s="175"/>
      <c r="D41" s="581"/>
      <c r="E41" s="581"/>
      <c r="F41" s="581"/>
      <c r="G41" s="581"/>
      <c r="H41" s="581"/>
      <c r="I41" s="581"/>
      <c r="J41" s="581"/>
      <c r="K41" s="581"/>
      <c r="L41" s="581"/>
      <c r="M41" s="581"/>
      <c r="N41" s="581"/>
      <c r="O41" s="581"/>
      <c r="P41" s="581"/>
      <c r="Q41" s="581"/>
      <c r="R41" s="581"/>
      <c r="S41" s="581"/>
      <c r="T41" s="581"/>
      <c r="U41" s="581"/>
      <c r="V41" s="581"/>
      <c r="W41" s="581"/>
      <c r="X41" s="581"/>
      <c r="Y41" s="581"/>
      <c r="Z41" s="582"/>
      <c r="AA41" s="175" t="n">
        <f aca="false">AA40+1</f>
        <v>35</v>
      </c>
      <c r="AB41" s="415"/>
      <c r="AC41" s="415"/>
      <c r="AD41" s="415"/>
      <c r="AE41" s="415"/>
      <c r="AF41" s="415"/>
      <c r="AG41" s="415"/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  <c r="AR41" s="415"/>
      <c r="AS41" s="415"/>
      <c r="AT41" s="415"/>
      <c r="AU41" s="415"/>
      <c r="AV41" s="415"/>
      <c r="AW41" s="415"/>
      <c r="AX41" s="415"/>
      <c r="AY41" s="415"/>
      <c r="AZ41" s="415"/>
      <c r="BA41" s="415"/>
      <c r="BB41" s="415"/>
      <c r="BC41" s="415"/>
      <c r="BD41" s="415"/>
      <c r="BE41" s="415"/>
      <c r="BF41" s="415"/>
      <c r="BG41" s="415"/>
      <c r="BH41" s="415"/>
      <c r="BI41" s="415"/>
      <c r="BJ41" s="415"/>
      <c r="BK41" s="415"/>
      <c r="BL41" s="415"/>
      <c r="BM41" s="415"/>
      <c r="BN41" s="415"/>
      <c r="BO41" s="415"/>
      <c r="BP41" s="415"/>
      <c r="BQ41" s="415"/>
      <c r="BR41" s="415"/>
      <c r="BS41" s="415"/>
      <c r="BT41" s="415"/>
      <c r="BU41" s="415"/>
      <c r="BV41" s="415"/>
      <c r="BW41" s="415"/>
      <c r="BX41" s="415"/>
      <c r="BY41" s="415"/>
      <c r="BZ41" s="415"/>
      <c r="CA41" s="415"/>
      <c r="CB41" s="415"/>
      <c r="CC41" s="415"/>
      <c r="CD41" s="415"/>
      <c r="CE41" s="415"/>
      <c r="CF41" s="415"/>
      <c r="CG41" s="415"/>
      <c r="CH41" s="415"/>
      <c r="CI41" s="415"/>
      <c r="CJ41" s="415"/>
      <c r="CK41" s="415"/>
      <c r="CL41" s="415"/>
      <c r="CM41" s="415"/>
      <c r="CN41" s="415"/>
      <c r="CO41" s="415"/>
      <c r="CP41" s="415"/>
      <c r="CQ41" s="415"/>
      <c r="CR41" s="415"/>
      <c r="CS41" s="415"/>
      <c r="CT41" s="415"/>
      <c r="CU41" s="415"/>
      <c r="CV41" s="415"/>
      <c r="CW41" s="415"/>
      <c r="CX41" s="415"/>
      <c r="CY41" s="415"/>
      <c r="CZ41" s="415"/>
      <c r="DA41" s="415"/>
      <c r="DB41" s="415"/>
      <c r="DC41" s="415"/>
      <c r="DD41" s="415"/>
      <c r="DE41" s="415"/>
      <c r="DF41" s="415"/>
      <c r="DG41" s="415"/>
      <c r="DH41" s="415"/>
      <c r="DI41" s="415"/>
      <c r="DJ41" s="415"/>
      <c r="DK41" s="415"/>
      <c r="DL41" s="415"/>
      <c r="DM41" s="415"/>
      <c r="DN41" s="415"/>
      <c r="DO41" s="415"/>
      <c r="DP41" s="415"/>
      <c r="DQ41" s="415"/>
      <c r="DR41" s="415"/>
      <c r="DS41" s="415"/>
      <c r="DT41" s="415"/>
      <c r="DU41" s="415"/>
      <c r="DV41" s="415"/>
      <c r="DW41" s="415"/>
      <c r="DX41" s="415"/>
      <c r="DY41" s="415"/>
      <c r="DZ41" s="415"/>
      <c r="EA41" s="415"/>
      <c r="EB41" s="415"/>
      <c r="EC41" s="415"/>
      <c r="ED41" s="415"/>
      <c r="EE41" s="415"/>
      <c r="EF41" s="415"/>
      <c r="EG41" s="415"/>
      <c r="EH41" s="415"/>
      <c r="EI41" s="415"/>
      <c r="EJ41" s="415"/>
      <c r="EK41" s="415"/>
      <c r="EL41" s="415"/>
      <c r="EM41" s="415"/>
      <c r="EN41" s="415"/>
      <c r="EO41" s="415"/>
      <c r="EP41" s="415"/>
      <c r="EQ41" s="415"/>
      <c r="ER41" s="415"/>
      <c r="ES41" s="415"/>
      <c r="ET41" s="415"/>
      <c r="EU41" s="415"/>
      <c r="EV41" s="415"/>
      <c r="EW41" s="415"/>
      <c r="EX41" s="415"/>
      <c r="EY41" s="415"/>
      <c r="EZ41" s="415"/>
      <c r="FA41" s="415"/>
      <c r="FB41" s="415"/>
      <c r="FC41" s="415"/>
      <c r="FD41" s="415"/>
      <c r="FE41" s="415"/>
      <c r="FF41" s="415"/>
      <c r="FG41" s="415"/>
      <c r="FH41" s="415"/>
      <c r="FI41" s="415"/>
      <c r="FJ41" s="415"/>
      <c r="FK41" s="415"/>
      <c r="FL41" s="415"/>
      <c r="FM41" s="415"/>
      <c r="FN41" s="415"/>
      <c r="FO41" s="415"/>
      <c r="FP41" s="415"/>
      <c r="FQ41" s="415"/>
      <c r="FR41" s="415"/>
      <c r="FS41" s="415"/>
      <c r="FT41" s="415"/>
      <c r="FU41" s="415"/>
      <c r="FV41" s="415"/>
      <c r="FW41" s="415"/>
      <c r="FX41" s="415"/>
      <c r="FY41" s="415"/>
      <c r="FZ41" s="415"/>
      <c r="GA41" s="415"/>
      <c r="GB41" s="415"/>
      <c r="GC41" s="415"/>
      <c r="GD41" s="415"/>
      <c r="GE41" s="415"/>
      <c r="GF41" s="415"/>
      <c r="GG41" s="415"/>
      <c r="GH41" s="415"/>
      <c r="GI41" s="415"/>
      <c r="GJ41" s="415"/>
      <c r="GK41" s="415"/>
      <c r="GL41" s="415"/>
      <c r="GM41" s="415"/>
      <c r="GN41" s="415"/>
      <c r="GO41" s="415"/>
      <c r="GP41" s="415"/>
      <c r="GQ41" s="415"/>
      <c r="GR41" s="415"/>
      <c r="GS41" s="415"/>
      <c r="GT41" s="415"/>
      <c r="GU41" s="415"/>
      <c r="GV41" s="415"/>
      <c r="GW41" s="415"/>
      <c r="GX41" s="415"/>
      <c r="GY41" s="415"/>
      <c r="GZ41" s="415"/>
      <c r="HA41" s="415"/>
      <c r="HB41" s="415"/>
      <c r="HC41" s="415"/>
      <c r="HD41" s="415"/>
      <c r="HE41" s="415"/>
      <c r="HF41" s="415"/>
      <c r="HG41" s="415"/>
      <c r="HH41" s="415"/>
      <c r="HI41" s="415"/>
      <c r="HJ41" s="415"/>
      <c r="HK41" s="415"/>
      <c r="HL41" s="415"/>
      <c r="HM41" s="415"/>
      <c r="HN41" s="415"/>
      <c r="HO41" s="415"/>
      <c r="HP41" s="415"/>
      <c r="HQ41" s="415"/>
      <c r="HR41" s="415"/>
      <c r="HS41" s="415"/>
      <c r="HT41" s="415"/>
      <c r="HU41" s="415"/>
      <c r="HV41" s="415"/>
      <c r="HW41" s="415"/>
      <c r="HX41" s="415"/>
      <c r="HY41" s="415"/>
      <c r="HZ41" s="415"/>
      <c r="IA41" s="415"/>
      <c r="IB41" s="415"/>
      <c r="IC41" s="415"/>
      <c r="ID41" s="415"/>
      <c r="IE41" s="415"/>
      <c r="IF41" s="415"/>
      <c r="IG41" s="415"/>
      <c r="IH41" s="415"/>
      <c r="II41" s="415"/>
      <c r="IJ41" s="415"/>
      <c r="IK41" s="415"/>
      <c r="IL41" s="415"/>
      <c r="IM41" s="415"/>
      <c r="IN41" s="415"/>
      <c r="IO41" s="415"/>
      <c r="IP41" s="415"/>
      <c r="IQ41" s="415"/>
      <c r="IR41" s="415"/>
      <c r="IS41" s="415"/>
      <c r="IT41" s="415"/>
      <c r="IU41" s="415"/>
      <c r="IV41" s="415"/>
      <c r="IW41" s="415"/>
    </row>
    <row r="42" customFormat="false" ht="12.75" hidden="false" customHeight="false" outlineLevel="0" collapsed="false">
      <c r="A42" s="37" t="s">
        <v>791</v>
      </c>
      <c r="B42" s="38"/>
      <c r="C42" s="38"/>
      <c r="D42" s="217" t="n">
        <f aca="false">SUM(D35,D40)</f>
        <v>0</v>
      </c>
      <c r="E42" s="217" t="n">
        <f aca="false">SUM(E35,E40)</f>
        <v>8945.7685336101</v>
      </c>
      <c r="F42" s="217" t="n">
        <f aca="false">SUM(F35,F40)</f>
        <v>14802.628097733</v>
      </c>
      <c r="G42" s="217" t="n">
        <f aca="false">SUM(G35,G40)</f>
        <v>101970.746381367</v>
      </c>
      <c r="H42" s="217" t="n">
        <f aca="false">SUM(H35,H40)</f>
        <v>145216.283637798</v>
      </c>
      <c r="I42" s="217" t="n">
        <f aca="false">SUM(I35,I40)</f>
        <v>152037.894049232</v>
      </c>
      <c r="J42" s="217" t="n">
        <f aca="false">SUM(J35,J40)</f>
        <v>157887.512342606</v>
      </c>
      <c r="K42" s="217" t="n">
        <f aca="false">SUM(K35,K40)</f>
        <v>161622.686903701</v>
      </c>
      <c r="L42" s="217" t="n">
        <f aca="false">SUM(L35,L40)</f>
        <v>164884.128866027</v>
      </c>
      <c r="M42" s="217" t="n">
        <f aca="false">SUM(M35,M40)</f>
        <v>164736.219122707</v>
      </c>
      <c r="N42" s="217" t="n">
        <f aca="false">SUM(N35,N40)</f>
        <v>163138.861544056</v>
      </c>
      <c r="O42" s="217" t="n">
        <f aca="false">SUM(O35,O40)</f>
        <v>164515.351060799</v>
      </c>
      <c r="P42" s="217" t="n">
        <f aca="false">SUM(P35,P40)</f>
        <v>168252.201576615</v>
      </c>
      <c r="Q42" s="217" t="n">
        <f aca="false">SUM(Q35,Q40)</f>
        <v>169682.393472279</v>
      </c>
      <c r="R42" s="217" t="n">
        <f aca="false">SUM(R35,R40)</f>
        <v>164987.360619456</v>
      </c>
      <c r="S42" s="217" t="n">
        <f aca="false">SUM(S35,S40)</f>
        <v>171248.368037486</v>
      </c>
      <c r="T42" s="217" t="n">
        <f aca="false">SUM(T35,T40)</f>
        <v>161278.955756918</v>
      </c>
      <c r="U42" s="217" t="n">
        <f aca="false">SUM(U35,U40)</f>
        <v>147577.302691905</v>
      </c>
      <c r="V42" s="217" t="n">
        <f aca="false">SUM(V35,V40)</f>
        <v>145918.536654761</v>
      </c>
      <c r="W42" s="217" t="n">
        <f aca="false">SUM(W35,W40)</f>
        <v>147984.340659969</v>
      </c>
      <c r="X42" s="217" t="n">
        <f aca="false">SUM(X35,X40)</f>
        <v>146294.84173599</v>
      </c>
      <c r="Y42" s="217" t="n">
        <f aca="false">SUM(Y35,Y40)</f>
        <v>48340.6575205201</v>
      </c>
      <c r="Z42" s="574" t="n">
        <f aca="false">SUM(D42:Y42)</f>
        <v>2871323.03926553</v>
      </c>
      <c r="AA42" s="175" t="n">
        <f aca="false">AA41+1</f>
        <v>36</v>
      </c>
    </row>
    <row r="43" customFormat="false" ht="12.75" hidden="false" customHeight="false" outlineLevel="0" collapsed="false">
      <c r="A43" s="37" t="s">
        <v>792</v>
      </c>
      <c r="B43" s="580" t="n">
        <f aca="false">Pis+Cofins</f>
        <v>0.0265</v>
      </c>
      <c r="C43" s="38"/>
      <c r="D43" s="220" t="n">
        <f aca="false">-D42*$B43</f>
        <v>-0</v>
      </c>
      <c r="E43" s="220" t="n">
        <f aca="false">-E42*$B43</f>
        <v>-237.062866140668</v>
      </c>
      <c r="F43" s="220" t="n">
        <f aca="false">-F42*$B43</f>
        <v>-392.269644589925</v>
      </c>
      <c r="G43" s="220" t="n">
        <f aca="false">-G42*$B43</f>
        <v>-2702.22477910622</v>
      </c>
      <c r="H43" s="220" t="n">
        <f aca="false">-H42*$B43</f>
        <v>-3848.23151640164</v>
      </c>
      <c r="I43" s="220" t="n">
        <f aca="false">-I42*$B43</f>
        <v>-4029.00419230466</v>
      </c>
      <c r="J43" s="220" t="n">
        <f aca="false">-J42*$B43</f>
        <v>-4184.01907707906</v>
      </c>
      <c r="K43" s="220" t="n">
        <f aca="false">-K42*$B43</f>
        <v>-4283.00120294806</v>
      </c>
      <c r="L43" s="220" t="n">
        <f aca="false">-L42*$B43</f>
        <v>-4369.42941494973</v>
      </c>
      <c r="M43" s="220" t="n">
        <f aca="false">-M42*$B43</f>
        <v>-4365.50980675172</v>
      </c>
      <c r="N43" s="220" t="n">
        <f aca="false">-N42*$B43</f>
        <v>-4323.17983091748</v>
      </c>
      <c r="O43" s="220" t="n">
        <f aca="false">-O42*$B43</f>
        <v>-4359.65680311116</v>
      </c>
      <c r="P43" s="220" t="n">
        <f aca="false">-P42*$B43</f>
        <v>-4458.68334178029</v>
      </c>
      <c r="Q43" s="220" t="n">
        <f aca="false">-Q42*$B43</f>
        <v>-4496.58342701541</v>
      </c>
      <c r="R43" s="220" t="n">
        <f aca="false">-R42*$B43</f>
        <v>-4372.16505641557</v>
      </c>
      <c r="S43" s="220" t="n">
        <f aca="false">-S42*$B43</f>
        <v>-4538.08175299339</v>
      </c>
      <c r="T43" s="220" t="n">
        <f aca="false">-T42*$B43</f>
        <v>-4273.89232755833</v>
      </c>
      <c r="U43" s="220" t="n">
        <f aca="false">-U42*$B43</f>
        <v>-3910.79852133548</v>
      </c>
      <c r="V43" s="220" t="n">
        <f aca="false">-V42*$B43</f>
        <v>-3866.84122135117</v>
      </c>
      <c r="W43" s="220" t="n">
        <f aca="false">-W42*$B43</f>
        <v>-3921.58502748917</v>
      </c>
      <c r="X43" s="220" t="n">
        <f aca="false">-X42*$B43</f>
        <v>-3876.81330600374</v>
      </c>
      <c r="Y43" s="220" t="n">
        <f aca="false">-Y42*$B43</f>
        <v>-1281.02742429378</v>
      </c>
      <c r="Z43" s="576" t="n">
        <f aca="false">SUM(D43:Y43)</f>
        <v>-76090.0605405367</v>
      </c>
      <c r="AA43" s="175" t="n">
        <f aca="false">AA42+1</f>
        <v>37</v>
      </c>
    </row>
    <row r="44" customFormat="false" ht="12.75" hidden="false" customHeight="false" outlineLevel="0" collapsed="false">
      <c r="A44" s="583" t="s">
        <v>793</v>
      </c>
      <c r="B44" s="584"/>
      <c r="C44" s="585"/>
      <c r="D44" s="586" t="n">
        <f aca="false">SUM(D42:D43)</f>
        <v>0</v>
      </c>
      <c r="E44" s="586" t="n">
        <f aca="false">SUM(E42:E43)</f>
        <v>8708.70566746943</v>
      </c>
      <c r="F44" s="586" t="n">
        <f aca="false">SUM(F42:F43)</f>
        <v>14410.3584531431</v>
      </c>
      <c r="G44" s="586" t="n">
        <f aca="false">SUM(G42:G43)</f>
        <v>99268.5216022606</v>
      </c>
      <c r="H44" s="586" t="n">
        <f aca="false">SUM(H42:H43)</f>
        <v>141368.052121396</v>
      </c>
      <c r="I44" s="586" t="n">
        <f aca="false">SUM(I42:I43)</f>
        <v>148008.889856928</v>
      </c>
      <c r="J44" s="586" t="n">
        <f aca="false">SUM(J42:J43)</f>
        <v>153703.493265527</v>
      </c>
      <c r="K44" s="586" t="n">
        <f aca="false">SUM(K42:K43)</f>
        <v>157339.685700752</v>
      </c>
      <c r="L44" s="586" t="n">
        <f aca="false">SUM(L42:L43)</f>
        <v>160514.699451078</v>
      </c>
      <c r="M44" s="586" t="n">
        <f aca="false">SUM(M42:M43)</f>
        <v>160370.709315955</v>
      </c>
      <c r="N44" s="586" t="n">
        <f aca="false">SUM(N42:N43)</f>
        <v>158815.681713138</v>
      </c>
      <c r="O44" s="586" t="n">
        <f aca="false">SUM(O42:O43)</f>
        <v>160155.694257687</v>
      </c>
      <c r="P44" s="586" t="n">
        <f aca="false">SUM(P42:P43)</f>
        <v>163793.518234834</v>
      </c>
      <c r="Q44" s="586" t="n">
        <f aca="false">SUM(Q42:Q43)</f>
        <v>165185.810045264</v>
      </c>
      <c r="R44" s="586" t="n">
        <f aca="false">SUM(R42:R43)</f>
        <v>160615.19556304</v>
      </c>
      <c r="S44" s="586" t="n">
        <f aca="false">SUM(S42:S43)</f>
        <v>166710.286284493</v>
      </c>
      <c r="T44" s="586" t="n">
        <f aca="false">SUM(T42:T43)</f>
        <v>157005.06342936</v>
      </c>
      <c r="U44" s="586" t="n">
        <f aca="false">SUM(U42:U43)</f>
        <v>143666.504170569</v>
      </c>
      <c r="V44" s="586" t="n">
        <f aca="false">SUM(V42:V43)</f>
        <v>142051.69543341</v>
      </c>
      <c r="W44" s="586" t="n">
        <f aca="false">SUM(W42:W43)</f>
        <v>144062.755632479</v>
      </c>
      <c r="X44" s="586" t="n">
        <f aca="false">SUM(X42:X43)</f>
        <v>142418.028429986</v>
      </c>
      <c r="Y44" s="586" t="n">
        <f aca="false">SUM(Y42:Y43)</f>
        <v>47059.6300962263</v>
      </c>
      <c r="Z44" s="587" t="n">
        <f aca="false">SUM(D44:Y44)</f>
        <v>2795232.978725</v>
      </c>
      <c r="AA44" s="175" t="n">
        <f aca="false">AA43+1</f>
        <v>38</v>
      </c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0"/>
      <c r="IB44" s="330"/>
      <c r="IC44" s="330"/>
      <c r="ID44" s="330"/>
      <c r="IE44" s="330"/>
      <c r="IF44" s="330"/>
      <c r="IG44" s="330"/>
      <c r="IH44" s="330"/>
      <c r="II44" s="330"/>
      <c r="IJ44" s="330"/>
      <c r="IK44" s="330"/>
      <c r="IL44" s="330"/>
      <c r="IM44" s="330"/>
      <c r="IN44" s="330"/>
      <c r="IO44" s="330"/>
      <c r="IP44" s="330"/>
      <c r="IQ44" s="330"/>
      <c r="IR44" s="330"/>
      <c r="IS44" s="330"/>
      <c r="IT44" s="330"/>
      <c r="IU44" s="330"/>
      <c r="IV44" s="330"/>
      <c r="IW44" s="330"/>
    </row>
    <row r="45" customFormat="false" ht="12.75" hidden="false" customHeight="false" outlineLevel="0" collapsed="false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555"/>
      <c r="AA45" s="175" t="n">
        <f aca="false">AA44+1</f>
        <v>39</v>
      </c>
    </row>
    <row r="46" customFormat="false" ht="12.75" hidden="false" customHeight="false" outlineLevel="0" collapsed="false">
      <c r="A46" s="588" t="s">
        <v>794</v>
      </c>
      <c r="B46" s="589"/>
      <c r="C46" s="590"/>
      <c r="D46" s="591" t="n">
        <f aca="false">D7</f>
        <v>1998</v>
      </c>
      <c r="E46" s="591" t="n">
        <f aca="false">E7</f>
        <v>1999</v>
      </c>
      <c r="F46" s="591" t="n">
        <f aca="false">F7</f>
        <v>2000</v>
      </c>
      <c r="G46" s="591" t="n">
        <f aca="false">G7</f>
        <v>2001</v>
      </c>
      <c r="H46" s="591" t="n">
        <f aca="false">H7</f>
        <v>2002</v>
      </c>
      <c r="I46" s="591" t="n">
        <f aca="false">I7</f>
        <v>2003</v>
      </c>
      <c r="J46" s="591" t="n">
        <f aca="false">J7</f>
        <v>2004</v>
      </c>
      <c r="K46" s="591" t="n">
        <f aca="false">K7</f>
        <v>2005</v>
      </c>
      <c r="L46" s="591" t="n">
        <f aca="false">L7</f>
        <v>2006</v>
      </c>
      <c r="M46" s="591" t="n">
        <f aca="false">M7</f>
        <v>2007</v>
      </c>
      <c r="N46" s="591" t="n">
        <f aca="false">N7</f>
        <v>2008</v>
      </c>
      <c r="O46" s="591" t="n">
        <f aca="false">O7</f>
        <v>2009</v>
      </c>
      <c r="P46" s="591" t="n">
        <f aca="false">P7</f>
        <v>2010</v>
      </c>
      <c r="Q46" s="591" t="n">
        <f aca="false">Q7</f>
        <v>2011</v>
      </c>
      <c r="R46" s="591" t="n">
        <f aca="false">R7</f>
        <v>2012</v>
      </c>
      <c r="S46" s="591" t="n">
        <f aca="false">S7</f>
        <v>2013</v>
      </c>
      <c r="T46" s="591" t="n">
        <f aca="false">T7</f>
        <v>2014</v>
      </c>
      <c r="U46" s="591" t="n">
        <f aca="false">U7</f>
        <v>2015</v>
      </c>
      <c r="V46" s="591" t="n">
        <f aca="false">V7</f>
        <v>2016</v>
      </c>
      <c r="W46" s="591" t="n">
        <f aca="false">W7</f>
        <v>2017</v>
      </c>
      <c r="X46" s="591" t="n">
        <f aca="false">X7</f>
        <v>2018</v>
      </c>
      <c r="Y46" s="592" t="n">
        <f aca="false">Y7</f>
        <v>2019</v>
      </c>
      <c r="Z46" s="593"/>
      <c r="AA46" s="175" t="n">
        <f aca="false">AA45+1</f>
        <v>40</v>
      </c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</row>
    <row r="47" customFormat="false" ht="12.75" hidden="false" customHeight="false" outlineLevel="0" collapsed="false">
      <c r="A47" s="594" t="s">
        <v>795</v>
      </c>
      <c r="B47" s="595"/>
      <c r="C47" s="595"/>
      <c r="D47" s="596" t="n">
        <f aca="false">IF(D$12=0,0,D35/D$16*100)</f>
        <v>0</v>
      </c>
      <c r="E47" s="596" t="n">
        <f aca="false">IF(E$12=0,0,E35/E$16*100)</f>
        <v>8.28039241545793</v>
      </c>
      <c r="F47" s="596" t="n">
        <f aca="false">IF(F$12=0,0,F35/F$16*100)</f>
        <v>2.12737823807451</v>
      </c>
      <c r="G47" s="596" t="n">
        <f aca="false">IF(G$12=0,0,G35/G$16*100)</f>
        <v>4.0695007678754</v>
      </c>
      <c r="H47" s="596" t="n">
        <f aca="false">IF(H$12=0,0,H35/H$16*100)</f>
        <v>3.87242353557992</v>
      </c>
      <c r="I47" s="596" t="n">
        <f aca="false">IF(I$12=0,0,I35/I$16*100)</f>
        <v>4.06138205421595</v>
      </c>
      <c r="J47" s="596" t="n">
        <f aca="false">IF(J$12=0,0,J35/J$16*100)</f>
        <v>4.20872790367462</v>
      </c>
      <c r="K47" s="596" t="n">
        <f aca="false">IF(K$12=0,0,K35/K$16*100)</f>
        <v>4.32153862902972</v>
      </c>
      <c r="L47" s="596" t="n">
        <f aca="false">IF(L$12=0,0,L35/L$16*100)</f>
        <v>4.40748815734565</v>
      </c>
      <c r="M47" s="596" t="n">
        <f aca="false">IF(M$12=0,0,M35/M$16*100)</f>
        <v>4.39579255580737</v>
      </c>
      <c r="N47" s="596" t="n">
        <f aca="false">IF(N$12=0,0,N35/N$16*100)</f>
        <v>4.33175430895553</v>
      </c>
      <c r="O47" s="596" t="n">
        <f aca="false">IF(O$12=0,0,O35/O$16*100)</f>
        <v>4.37742087170465</v>
      </c>
      <c r="P47" s="596" t="n">
        <f aca="false">IF(P$12=0,0,P35/P$16*100)</f>
        <v>4.47622082170626</v>
      </c>
      <c r="Q47" s="596" t="n">
        <f aca="false">IF(Q$12=0,0,Q35/Q$16*100)</f>
        <v>4.51147862782883</v>
      </c>
      <c r="R47" s="596" t="n">
        <f aca="false">IF(R$12=0,0,R35/R$16*100)</f>
        <v>4.36029147018237</v>
      </c>
      <c r="S47" s="596" t="n">
        <f aca="false">IF(S$12=0,0,S35/S$16*100)</f>
        <v>4.54095400801058</v>
      </c>
      <c r="T47" s="596" t="n">
        <f aca="false">IF(T$12=0,0,T35/T$16*100)</f>
        <v>4.25110040691395</v>
      </c>
      <c r="U47" s="596" t="n">
        <f aca="false">IF(U$12=0,0,U35/U$16*100)</f>
        <v>3.85494766842419</v>
      </c>
      <c r="V47" s="596" t="n">
        <f aca="false">IF(V$12=0,0,V35/V$16*100)</f>
        <v>3.78792803121699</v>
      </c>
      <c r="W47" s="596" t="n">
        <f aca="false">IF(W$12=0,0,W35/W$16*100)</f>
        <v>3.85135368823567</v>
      </c>
      <c r="X47" s="596" t="n">
        <f aca="false">IF(X$12=0,0,X35/X$16*100)</f>
        <v>3.79499840702957</v>
      </c>
      <c r="Y47" s="597" t="n">
        <f aca="false">IF(Y$12=0,0,Y35/Y$16*100)</f>
        <v>3.81301383944706</v>
      </c>
      <c r="Z47" s="598"/>
      <c r="AA47" s="175" t="n">
        <f aca="false">AA46+1</f>
        <v>41</v>
      </c>
    </row>
    <row r="48" customFormat="false" ht="12.75" hidden="false" customHeight="false" outlineLevel="0" collapsed="false">
      <c r="A48" s="594" t="s">
        <v>796</v>
      </c>
      <c r="B48" s="595"/>
      <c r="C48" s="595"/>
      <c r="D48" s="599" t="n">
        <f aca="false">IF(D$12=0,0,D40/D$16*100)</f>
        <v>0</v>
      </c>
      <c r="E48" s="599" t="n">
        <f aca="false">IF(E$12=0,0,E40/E$16*100)</f>
        <v>0.0104032598062952</v>
      </c>
      <c r="F48" s="599" t="n">
        <f aca="false">IF(F$12=0,0,F40/F$16*100)</f>
        <v>0.0124136124273448</v>
      </c>
      <c r="G48" s="599" t="n">
        <f aca="false">IF(G$12=0,0,G40/G$16*100)</f>
        <v>0.270317952731761</v>
      </c>
      <c r="H48" s="599" t="n">
        <f aca="false">IF(H$12=0,0,H40/H$16*100)</f>
        <v>0.252736056043881</v>
      </c>
      <c r="I48" s="599" t="n">
        <f aca="false">IF(I$12=0,0,I40/I$16*100)</f>
        <v>0.257559053599505</v>
      </c>
      <c r="J48" s="599" t="n">
        <f aca="false">IF(J$12=0,0,J40/J$16*100)</f>
        <v>0.264128933774879</v>
      </c>
      <c r="K48" s="599" t="n">
        <f aca="false">IF(K$12=0,0,K40/K$16*100)</f>
        <v>0.269677730478271</v>
      </c>
      <c r="L48" s="599" t="n">
        <f aca="false">IF(L$12=0,0,L40/L$16*100)</f>
        <v>0.276375997963081</v>
      </c>
      <c r="M48" s="599" t="n">
        <f aca="false">IF(M$12=0,0,M40/M$16*100)</f>
        <v>0.283869926788976</v>
      </c>
      <c r="N48" s="599" t="n">
        <f aca="false">IF(N$12=0,0,N40/N$16*100)</f>
        <v>0.289870045525786</v>
      </c>
      <c r="O48" s="599" t="n">
        <f aca="false">IF(O$12=0,0,O40/O$16*100)</f>
        <v>0.295967410910552</v>
      </c>
      <c r="P48" s="599" t="n">
        <f aca="false">IF(P$12=0,0,P40/P$16*100)</f>
        <v>0.303320189526014</v>
      </c>
      <c r="Q48" s="599" t="n">
        <f aca="false">IF(Q$12=0,0,Q40/Q$16*100)</f>
        <v>0.308689850712683</v>
      </c>
      <c r="R48" s="599" t="n">
        <f aca="false">IF(R$12=0,0,R40/R$16*100)</f>
        <v>0.313699734632736</v>
      </c>
      <c r="S48" s="599" t="n">
        <f aca="false">IF(S$12=0,0,S40/S$16*100)</f>
        <v>0.323699116715761</v>
      </c>
      <c r="T48" s="599" t="n">
        <f aca="false">IF(T$12=0,0,T40/T$16*100)</f>
        <v>0.330351580434331</v>
      </c>
      <c r="U48" s="599" t="n">
        <f aca="false">IF(U$12=0,0,U40/U$16*100)</f>
        <v>0.337281401587785</v>
      </c>
      <c r="V48" s="599" t="n">
        <f aca="false">IF(V$12=0,0,V40/V$16*100)</f>
        <v>0.345855031819778</v>
      </c>
      <c r="W48" s="599" t="n">
        <f aca="false">IF(W$12=0,0,W40/W$16*100)</f>
        <v>0.352438111079448</v>
      </c>
      <c r="X48" s="599" t="n">
        <f aca="false">IF(X$12=0,0,X40/X$16*100)</f>
        <v>0.360799789111746</v>
      </c>
      <c r="Y48" s="600" t="n">
        <f aca="false">IF(Y$12=0,0,Y40/Y$16*100)</f>
        <v>0.363843175990899</v>
      </c>
      <c r="Z48" s="598"/>
      <c r="AA48" s="175" t="n">
        <f aca="false">AA47+1</f>
        <v>42</v>
      </c>
    </row>
    <row r="49" customFormat="false" ht="12.75" hidden="false" customHeight="false" outlineLevel="0" collapsed="false">
      <c r="A49" s="601" t="s">
        <v>797</v>
      </c>
      <c r="B49" s="602"/>
      <c r="C49" s="602"/>
      <c r="D49" s="603" t="n">
        <f aca="false">SUM(D47:D48)</f>
        <v>0</v>
      </c>
      <c r="E49" s="603" t="n">
        <f aca="false">SUM(E47:E48)</f>
        <v>8.29079567526423</v>
      </c>
      <c r="F49" s="603" t="n">
        <f aca="false">SUM(F47:F48)</f>
        <v>2.13979185050186</v>
      </c>
      <c r="G49" s="603" t="n">
        <f aca="false">SUM(G47:G48)</f>
        <v>4.33981872060716</v>
      </c>
      <c r="H49" s="603" t="n">
        <f aca="false">SUM(H47:H48)</f>
        <v>4.1251595916238</v>
      </c>
      <c r="I49" s="603" t="n">
        <f aca="false">SUM(I47:I48)</f>
        <v>4.31894110781545</v>
      </c>
      <c r="J49" s="603" t="n">
        <f aca="false">SUM(J47:J48)</f>
        <v>4.4728568374495</v>
      </c>
      <c r="K49" s="603" t="n">
        <f aca="false">SUM(K47:K48)</f>
        <v>4.59121635950799</v>
      </c>
      <c r="L49" s="603" t="n">
        <f aca="false">SUM(L47:L48)</f>
        <v>4.68386415530874</v>
      </c>
      <c r="M49" s="603" t="n">
        <f aca="false">SUM(M47:M48)</f>
        <v>4.67966248259635</v>
      </c>
      <c r="N49" s="603" t="n">
        <f aca="false">SUM(N47:N48)</f>
        <v>4.62162435448131</v>
      </c>
      <c r="O49" s="603" t="n">
        <f aca="false">SUM(O47:O48)</f>
        <v>4.6733882826152</v>
      </c>
      <c r="P49" s="603" t="n">
        <f aca="false">SUM(P47:P48)</f>
        <v>4.77954101123227</v>
      </c>
      <c r="Q49" s="603" t="n">
        <f aca="false">SUM(Q47:Q48)</f>
        <v>4.82016847854152</v>
      </c>
      <c r="R49" s="603" t="n">
        <f aca="false">SUM(R47:R48)</f>
        <v>4.67399120481511</v>
      </c>
      <c r="S49" s="603" t="n">
        <f aca="false">SUM(S47:S48)</f>
        <v>4.86465312472634</v>
      </c>
      <c r="T49" s="603" t="n">
        <f aca="false">SUM(T47:T48)</f>
        <v>4.58145198734828</v>
      </c>
      <c r="U49" s="603" t="n">
        <f aca="false">SUM(U47:U48)</f>
        <v>4.19222907001197</v>
      </c>
      <c r="V49" s="603" t="n">
        <f aca="false">SUM(V47:V48)</f>
        <v>4.13378306303677</v>
      </c>
      <c r="W49" s="603" t="n">
        <f aca="false">SUM(W47:W48)</f>
        <v>4.20379179931512</v>
      </c>
      <c r="X49" s="603" t="n">
        <f aca="false">SUM(X47:X48)</f>
        <v>4.15579819614131</v>
      </c>
      <c r="Y49" s="604" t="n">
        <f aca="false">SUM(Y47:Y48)</f>
        <v>4.17685701543796</v>
      </c>
      <c r="Z49" s="605"/>
      <c r="AA49" s="175" t="n">
        <f aca="false">AA48+1</f>
        <v>43</v>
      </c>
    </row>
    <row r="50" customFormat="false" ht="12.75" hidden="false" customHeight="false" outlineLevel="0" collapsed="false">
      <c r="A50" s="37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555"/>
      <c r="AA50" s="175" t="n">
        <f aca="false">AA49+1</f>
        <v>44</v>
      </c>
    </row>
    <row r="51" customFormat="false" ht="12.75" hidden="false" customHeight="false" outlineLevel="0" collapsed="false">
      <c r="A51" s="55" t="s">
        <v>798</v>
      </c>
      <c r="B51" s="38"/>
      <c r="C51" s="23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555"/>
      <c r="AA51" s="175" t="n">
        <f aca="false">AA50+1</f>
        <v>45</v>
      </c>
    </row>
    <row r="52" customFormat="false" ht="12.75" hidden="false" customHeight="false" outlineLevel="0" collapsed="false">
      <c r="A52" s="132" t="s">
        <v>799</v>
      </c>
      <c r="B52" s="38"/>
      <c r="C52" s="23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555"/>
      <c r="AA52" s="175" t="n">
        <f aca="false">AA51+1</f>
        <v>46</v>
      </c>
    </row>
    <row r="53" customFormat="false" ht="12.75" hidden="false" customHeight="false" outlineLevel="0" collapsed="false">
      <c r="A53" s="37" t="s">
        <v>800</v>
      </c>
      <c r="B53" s="38"/>
      <c r="C53" s="23"/>
      <c r="D53" s="217" t="n">
        <f aca="false">Assm!$E$43/D$27*D$18/1000</f>
        <v>0</v>
      </c>
      <c r="E53" s="217" t="n">
        <f aca="false">Assm!$E$43/E$27*E$18/1000</f>
        <v>9618.52616913114</v>
      </c>
      <c r="F53" s="217" t="n">
        <f aca="false">Assm!$E$43/F$27*F$18/1000</f>
        <v>38680.0897161646</v>
      </c>
      <c r="G53" s="217" t="n">
        <f aca="false">Assm!$E$43/G$27*G$18/1000</f>
        <v>10388.1220121875</v>
      </c>
      <c r="H53" s="217" t="n">
        <f aca="false">Assm!$E$43/H$27*H$18/1000</f>
        <v>0</v>
      </c>
      <c r="I53" s="217" t="n">
        <f aca="false">Assm!$E$43/I$27*I$18/1000</f>
        <v>0</v>
      </c>
      <c r="J53" s="217" t="n">
        <f aca="false">Assm!$E$43/J$27*J$18/1000</f>
        <v>0</v>
      </c>
      <c r="K53" s="217" t="n">
        <f aca="false">Assm!$E$43/K$27*K$18/1000</f>
        <v>0</v>
      </c>
      <c r="L53" s="217" t="n">
        <f aca="false">Assm!$E$43/L$27*L$18/1000</f>
        <v>0</v>
      </c>
      <c r="M53" s="217" t="n">
        <f aca="false">Assm!$E$43/M$27*M$18/1000</f>
        <v>0</v>
      </c>
      <c r="N53" s="217" t="n">
        <f aca="false">Assm!$E$43/N$27*N$18/1000</f>
        <v>0</v>
      </c>
      <c r="O53" s="217" t="n">
        <f aca="false">Assm!$E$43/O$27*O$18/1000</f>
        <v>0</v>
      </c>
      <c r="P53" s="217" t="n">
        <f aca="false">Assm!$E$43/P$27*P$18/1000</f>
        <v>0</v>
      </c>
      <c r="Q53" s="217" t="n">
        <f aca="false">Assm!$E$43/Q$27*Q$18/1000</f>
        <v>0</v>
      </c>
      <c r="R53" s="217" t="n">
        <f aca="false">Assm!$E$43/R$27*R$18/1000</f>
        <v>0</v>
      </c>
      <c r="S53" s="217" t="n">
        <f aca="false">Assm!$E$43/S$27*S$18/1000</f>
        <v>0</v>
      </c>
      <c r="T53" s="217" t="n">
        <f aca="false">Assm!$E$43/T$27*T$18/1000</f>
        <v>0</v>
      </c>
      <c r="U53" s="217" t="n">
        <f aca="false">Assm!$E$43/U$27*U$18/1000</f>
        <v>0</v>
      </c>
      <c r="V53" s="217" t="n">
        <f aca="false">Assm!$E$43/V$27*V$18/1000</f>
        <v>0</v>
      </c>
      <c r="W53" s="217" t="n">
        <f aca="false">Assm!$E$43/W$27*W$18/1000</f>
        <v>0</v>
      </c>
      <c r="X53" s="217" t="n">
        <f aca="false">Assm!$E$43/X$27*X$18/1000</f>
        <v>0</v>
      </c>
      <c r="Y53" s="217" t="n">
        <f aca="false">Assm!$E$43/Y$27*Y$18/1000</f>
        <v>0</v>
      </c>
      <c r="Z53" s="574" t="n">
        <f aca="false">SUM(D53:Y53)</f>
        <v>58686.7378974833</v>
      </c>
      <c r="AA53" s="175" t="n">
        <f aca="false">AA52+1</f>
        <v>47</v>
      </c>
    </row>
    <row r="54" customFormat="false" ht="12.75" hidden="false" customHeight="false" outlineLevel="0" collapsed="false">
      <c r="A54" s="37" t="s">
        <v>801</v>
      </c>
      <c r="B54" s="38"/>
      <c r="C54" s="23"/>
      <c r="D54" s="220" t="n">
        <f aca="false">IF(D$7&lt;YEAR(Startops2),0,VLOOKUP(DATE(D$7,12,1),Fuel_Cost_Table,'Fuel Expense'!$J$270))</f>
        <v>0</v>
      </c>
      <c r="E54" s="220" t="n">
        <f aca="false">IF(E$7&lt;YEAR(Startops2),0,VLOOKUP(DATE(E$7,12,1),Fuel_Cost_Table,'Fuel Expense'!$J$270))</f>
        <v>0</v>
      </c>
      <c r="F54" s="220" t="n">
        <f aca="false">IF(F$7&lt;YEAR(Startops2),0,VLOOKUP(DATE(F$7,12,1),Fuel_Cost_Table,'Fuel Expense'!$J$270))</f>
        <v>0</v>
      </c>
      <c r="G54" s="220" t="n">
        <f aca="false">IF(G$7&lt;YEAR(Startops2),0,VLOOKUP(DATE(G$7,12,1),Fuel_Cost_Table,'Fuel Expense'!$J$270))</f>
        <v>27315.1273139394</v>
      </c>
      <c r="H54" s="220" t="n">
        <f aca="false">IF(H$7&lt;YEAR(Startops2),0,VLOOKUP(DATE(H$7,12,1),Fuel_Cost_Table,'Fuel Expense'!$J$270))</f>
        <v>39461.5101704932</v>
      </c>
      <c r="I54" s="220" t="n">
        <f aca="false">IF(I$7&lt;YEAR(Startops2),0,VLOOKUP(DATE(I$7,12,1),Fuel_Cost_Table,'Fuel Expense'!$J$270))</f>
        <v>40400.3901140874</v>
      </c>
      <c r="J54" s="220" t="n">
        <f aca="false">IF(J$7&lt;YEAR(Startops2),0,VLOOKUP(DATE(J$7,12,1),Fuel_Cost_Table,'Fuel Expense'!$J$270))</f>
        <v>41436.3691096761</v>
      </c>
      <c r="K54" s="220" t="n">
        <f aca="false">IF(K$7&lt;YEAR(Startops2),0,VLOOKUP(DATE(K$7,12,1),Fuel_Cost_Table,'Fuel Expense'!$J$270))</f>
        <v>42248.3990711667</v>
      </c>
      <c r="L54" s="220" t="n">
        <f aca="false">IF(L$7&lt;YEAR(Startops2),0,VLOOKUP(DATE(L$7,12,1),Fuel_Cost_Table,'Fuel Expense'!$J$270))</f>
        <v>43175.0620770091</v>
      </c>
      <c r="M54" s="220" t="n">
        <f aca="false">IF(M$7&lt;YEAR(Startops2),0,VLOOKUP(DATE(M$7,12,1),Fuel_Cost_Table,'Fuel Expense'!$J$270))</f>
        <v>44102.5048522423</v>
      </c>
      <c r="N54" s="220" t="n">
        <f aca="false">IF(N$7&lt;YEAR(Startops2),0,VLOOKUP(DATE(N$7,12,1),Fuel_Cost_Table,'Fuel Expense'!$J$270))</f>
        <v>45151.6381553276</v>
      </c>
      <c r="O54" s="220" t="n">
        <f aca="false">IF(O$7&lt;YEAR(Startops2),0,VLOOKUP(DATE(O$7,12,1),Fuel_Cost_Table,'Fuel Expense'!$J$270))</f>
        <v>45960.00596728</v>
      </c>
      <c r="P54" s="220" t="n">
        <f aca="false">IF(P$7&lt;YEAR(Startops2),0,VLOOKUP(DATE(P$7,12,1),Fuel_Cost_Table,'Fuel Expense'!$J$270))</f>
        <v>46894.4952333789</v>
      </c>
      <c r="Q54" s="220" t="n">
        <f aca="false">IF(Q$7&lt;YEAR(Startops2),0,VLOOKUP(DATE(Q$7,12,1),Fuel_Cost_Table,'Fuel Expense'!$J$270))</f>
        <v>47835.2266267676</v>
      </c>
      <c r="R54" s="220" t="n">
        <f aca="false">IF(R$7&lt;YEAR(Startops2),0,VLOOKUP(DATE(R$7,12,1),Fuel_Cost_Table,'Fuel Expense'!$J$270))</f>
        <v>48917.3216349565</v>
      </c>
      <c r="S54" s="220" t="n">
        <f aca="false">IF(S$7&lt;YEAR(Startops2),0,VLOOKUP(DATE(S$7,12,1),Fuel_Cost_Table,'Fuel Expense'!$J$270))</f>
        <v>49750.5058075092</v>
      </c>
      <c r="T54" s="220" t="n">
        <f aca="false">IF(T$7&lt;YEAR(Startops2),0,VLOOKUP(DATE(T$7,12,1),Fuel_Cost_Table,'Fuel Expense'!$J$270))</f>
        <v>50740.7677871399</v>
      </c>
      <c r="U54" s="220" t="n">
        <f aca="false">IF(U$7&lt;YEAR(Startops2),0,VLOOKUP(DATE(U$7,12,1),Fuel_Cost_Table,'Fuel Expense'!$J$270))</f>
        <v>51767.0485230667</v>
      </c>
      <c r="V54" s="220" t="n">
        <f aca="false">IF(V$7&lt;YEAR(Startops2),0,VLOOKUP(DATE(V$7,12,1),Fuel_Cost_Table,'Fuel Expense'!$J$270))</f>
        <v>52978.6246952897</v>
      </c>
      <c r="W54" s="220" t="n">
        <f aca="false">IF(W$7&lt;YEAR(Startops2),0,VLOOKUP(DATE(W$7,12,1),Fuel_Cost_Table,'Fuel Expense'!$J$270))</f>
        <v>53952.1835645744</v>
      </c>
      <c r="X54" s="220" t="n">
        <f aca="false">IF(X$7&lt;YEAR(Startops2),0,VLOOKUP(DATE(X$7,12,1),Fuel_Cost_Table,'Fuel Expense'!$J$270))</f>
        <v>55117.3056307232</v>
      </c>
      <c r="Y54" s="220" t="n">
        <f aca="false">IF(Y$7&lt;YEAR(Startops2),0,VLOOKUP(DATE(Y$7,12,1),Fuel_Cost_Table,'Fuel Expense'!$J$270))</f>
        <v>18248.4209093138</v>
      </c>
      <c r="Z54" s="576" t="n">
        <f aca="false">SUM(D54:Y54)</f>
        <v>845452.907243942</v>
      </c>
      <c r="AA54" s="175" t="n">
        <f aca="false">AA53+1</f>
        <v>48</v>
      </c>
    </row>
    <row r="55" customFormat="false" ht="12.75" hidden="false" customHeight="false" outlineLevel="0" collapsed="false">
      <c r="A55" s="37" t="s">
        <v>802</v>
      </c>
      <c r="B55" s="38"/>
      <c r="C55" s="23"/>
      <c r="D55" s="217" t="n">
        <f aca="false">SUM(D53:D54)</f>
        <v>0</v>
      </c>
      <c r="E55" s="217" t="n">
        <f aca="false">SUM(E53:E54)</f>
        <v>9618.52616913114</v>
      </c>
      <c r="F55" s="217" t="n">
        <f aca="false">SUM(F53:F54)</f>
        <v>38680.0897161646</v>
      </c>
      <c r="G55" s="217" t="n">
        <f aca="false">SUM(G53:G54)</f>
        <v>37703.2493261269</v>
      </c>
      <c r="H55" s="217" t="n">
        <f aca="false">SUM(H53:H54)</f>
        <v>39461.5101704932</v>
      </c>
      <c r="I55" s="217" t="n">
        <f aca="false">SUM(I53:I54)</f>
        <v>40400.3901140874</v>
      </c>
      <c r="J55" s="217" t="n">
        <f aca="false">SUM(J53:J54)</f>
        <v>41436.3691096761</v>
      </c>
      <c r="K55" s="217" t="n">
        <f aca="false">SUM(K53:K54)</f>
        <v>42248.3990711667</v>
      </c>
      <c r="L55" s="217" t="n">
        <f aca="false">SUM(L53:L54)</f>
        <v>43175.0620770091</v>
      </c>
      <c r="M55" s="217" t="n">
        <f aca="false">SUM(M53:M54)</f>
        <v>44102.5048522423</v>
      </c>
      <c r="N55" s="217" t="n">
        <f aca="false">SUM(N53:N54)</f>
        <v>45151.6381553276</v>
      </c>
      <c r="O55" s="217" t="n">
        <f aca="false">SUM(O53:O54)</f>
        <v>45960.00596728</v>
      </c>
      <c r="P55" s="217" t="n">
        <f aca="false">SUM(P53:P54)</f>
        <v>46894.4952333789</v>
      </c>
      <c r="Q55" s="217" t="n">
        <f aca="false">SUM(Q53:Q54)</f>
        <v>47835.2266267676</v>
      </c>
      <c r="R55" s="217" t="n">
        <f aca="false">SUM(R53:R54)</f>
        <v>48917.3216349565</v>
      </c>
      <c r="S55" s="217" t="n">
        <f aca="false">SUM(S53:S54)</f>
        <v>49750.5058075092</v>
      </c>
      <c r="T55" s="217" t="n">
        <f aca="false">SUM(T53:T54)</f>
        <v>50740.7677871399</v>
      </c>
      <c r="U55" s="217" t="n">
        <f aca="false">SUM(U53:U54)</f>
        <v>51767.0485230667</v>
      </c>
      <c r="V55" s="217" t="n">
        <f aca="false">SUM(V53:V54)</f>
        <v>52978.6246952897</v>
      </c>
      <c r="W55" s="217" t="n">
        <f aca="false">SUM(W53:W54)</f>
        <v>53952.1835645744</v>
      </c>
      <c r="X55" s="217" t="n">
        <f aca="false">SUM(X53:X54)</f>
        <v>55117.3056307232</v>
      </c>
      <c r="Y55" s="217" t="n">
        <f aca="false">SUM(Y53:Y54)</f>
        <v>18248.4209093138</v>
      </c>
      <c r="Z55" s="574" t="n">
        <f aca="false">SUM(D55:Y55)</f>
        <v>904139.645141425</v>
      </c>
      <c r="AA55" s="175" t="n">
        <f aca="false">AA54+1</f>
        <v>49</v>
      </c>
    </row>
    <row r="56" customFormat="false" ht="12.75" hidden="false" customHeight="false" outlineLevel="0" collapsed="false">
      <c r="A56" s="37" t="s">
        <v>803</v>
      </c>
      <c r="B56" s="606" t="n">
        <f aca="false">Icms_Fuel/(1-Icms_Fuel)</f>
        <v>0</v>
      </c>
      <c r="C56" s="23"/>
      <c r="D56" s="220" t="n">
        <f aca="false">D55*$B56</f>
        <v>0</v>
      </c>
      <c r="E56" s="220" t="n">
        <f aca="false">E55*$B56</f>
        <v>0</v>
      </c>
      <c r="F56" s="220" t="n">
        <f aca="false">F55*$B56</f>
        <v>0</v>
      </c>
      <c r="G56" s="220" t="n">
        <f aca="false">G55*$B56</f>
        <v>0</v>
      </c>
      <c r="H56" s="220" t="n">
        <f aca="false">H55*$B56</f>
        <v>0</v>
      </c>
      <c r="I56" s="220" t="n">
        <f aca="false">I55*$B56</f>
        <v>0</v>
      </c>
      <c r="J56" s="220" t="n">
        <f aca="false">J55*$B56</f>
        <v>0</v>
      </c>
      <c r="K56" s="220" t="n">
        <f aca="false">K55*$B56</f>
        <v>0</v>
      </c>
      <c r="L56" s="220" t="n">
        <f aca="false">L55*$B56</f>
        <v>0</v>
      </c>
      <c r="M56" s="220" t="n">
        <f aca="false">M55*$B56</f>
        <v>0</v>
      </c>
      <c r="N56" s="220" t="n">
        <f aca="false">N55*$B56</f>
        <v>0</v>
      </c>
      <c r="O56" s="220" t="n">
        <f aca="false">O55*$B56</f>
        <v>0</v>
      </c>
      <c r="P56" s="220" t="n">
        <f aca="false">P55*$B56</f>
        <v>0</v>
      </c>
      <c r="Q56" s="220" t="n">
        <f aca="false">Q55*$B56</f>
        <v>0</v>
      </c>
      <c r="R56" s="220" t="n">
        <f aca="false">R55*$B56</f>
        <v>0</v>
      </c>
      <c r="S56" s="220" t="n">
        <f aca="false">S55*$B56</f>
        <v>0</v>
      </c>
      <c r="T56" s="220" t="n">
        <f aca="false">T55*$B56</f>
        <v>0</v>
      </c>
      <c r="U56" s="220" t="n">
        <f aca="false">U55*$B56</f>
        <v>0</v>
      </c>
      <c r="V56" s="220" t="n">
        <f aca="false">V55*$B56</f>
        <v>0</v>
      </c>
      <c r="W56" s="220" t="n">
        <f aca="false">W55*$B56</f>
        <v>0</v>
      </c>
      <c r="X56" s="220" t="n">
        <f aca="false">X55*$B56</f>
        <v>0</v>
      </c>
      <c r="Y56" s="220" t="n">
        <f aca="false">Y55*$B56</f>
        <v>0</v>
      </c>
      <c r="Z56" s="576" t="n">
        <f aca="false">SUM(D56:Y56)</f>
        <v>0</v>
      </c>
      <c r="AA56" s="175" t="n">
        <f aca="false">AA55+1</f>
        <v>50</v>
      </c>
    </row>
    <row r="57" customFormat="false" ht="12.75" hidden="false" customHeight="false" outlineLevel="0" collapsed="false">
      <c r="A57" s="37" t="s">
        <v>804</v>
      </c>
      <c r="B57" s="260"/>
      <c r="C57" s="23"/>
      <c r="D57" s="217" t="n">
        <f aca="false">SUM(D55:D56)</f>
        <v>0</v>
      </c>
      <c r="E57" s="217" t="n">
        <f aca="false">SUM(E55:E56)</f>
        <v>9618.52616913114</v>
      </c>
      <c r="F57" s="217" t="n">
        <f aca="false">SUM(F55:F56)</f>
        <v>38680.0897161646</v>
      </c>
      <c r="G57" s="217" t="n">
        <f aca="false">SUM(G55:G56)</f>
        <v>37703.2493261269</v>
      </c>
      <c r="H57" s="217" t="n">
        <f aca="false">SUM(H55:H56)</f>
        <v>39461.5101704932</v>
      </c>
      <c r="I57" s="217" t="n">
        <f aca="false">SUM(I55:I56)</f>
        <v>40400.3901140874</v>
      </c>
      <c r="J57" s="217" t="n">
        <f aca="false">SUM(J55:J56)</f>
        <v>41436.3691096761</v>
      </c>
      <c r="K57" s="217" t="n">
        <f aca="false">SUM(K55:K56)</f>
        <v>42248.3990711667</v>
      </c>
      <c r="L57" s="217" t="n">
        <f aca="false">SUM(L55:L56)</f>
        <v>43175.0620770091</v>
      </c>
      <c r="M57" s="217" t="n">
        <f aca="false">SUM(M55:M56)</f>
        <v>44102.5048522423</v>
      </c>
      <c r="N57" s="217" t="n">
        <f aca="false">SUM(N55:N56)</f>
        <v>45151.6381553276</v>
      </c>
      <c r="O57" s="217" t="n">
        <f aca="false">SUM(O55:O56)</f>
        <v>45960.00596728</v>
      </c>
      <c r="P57" s="217" t="n">
        <f aca="false">SUM(P55:P56)</f>
        <v>46894.4952333789</v>
      </c>
      <c r="Q57" s="217" t="n">
        <f aca="false">SUM(Q55:Q56)</f>
        <v>47835.2266267676</v>
      </c>
      <c r="R57" s="217" t="n">
        <f aca="false">SUM(R55:R56)</f>
        <v>48917.3216349565</v>
      </c>
      <c r="S57" s="217" t="n">
        <f aca="false">SUM(S55:S56)</f>
        <v>49750.5058075092</v>
      </c>
      <c r="T57" s="217" t="n">
        <f aca="false">SUM(T55:T56)</f>
        <v>50740.7677871399</v>
      </c>
      <c r="U57" s="217" t="n">
        <f aca="false">SUM(U55:U56)</f>
        <v>51767.0485230667</v>
      </c>
      <c r="V57" s="217" t="n">
        <f aca="false">SUM(V55:V56)</f>
        <v>52978.6246952897</v>
      </c>
      <c r="W57" s="217" t="n">
        <f aca="false">SUM(W55:W56)</f>
        <v>53952.1835645744</v>
      </c>
      <c r="X57" s="217" t="n">
        <f aca="false">SUM(X55:X56)</f>
        <v>55117.3056307232</v>
      </c>
      <c r="Y57" s="217" t="n">
        <f aca="false">SUM(Y55:Y56)</f>
        <v>18248.4209093138</v>
      </c>
      <c r="Z57" s="574" t="n">
        <f aca="false">SUM(D57:Y57)</f>
        <v>904139.645141425</v>
      </c>
      <c r="AA57" s="175" t="n">
        <f aca="false">AA56+1</f>
        <v>51</v>
      </c>
    </row>
    <row r="58" customFormat="false" ht="12.75" hidden="false" customHeight="false" outlineLevel="0" collapsed="false">
      <c r="A58" s="37" t="s">
        <v>805</v>
      </c>
      <c r="B58" s="606" t="n">
        <f aca="false">(Pis+Cofins)/(1-(Pis+Cofins))*0</f>
        <v>0</v>
      </c>
      <c r="C58" s="23"/>
      <c r="D58" s="220" t="n">
        <f aca="false">D57*$B58</f>
        <v>0</v>
      </c>
      <c r="E58" s="220" t="n">
        <f aca="false">E57*$B58</f>
        <v>0</v>
      </c>
      <c r="F58" s="220" t="n">
        <f aca="false">F57*$B58</f>
        <v>0</v>
      </c>
      <c r="G58" s="220" t="n">
        <f aca="false">G57*$B58</f>
        <v>0</v>
      </c>
      <c r="H58" s="220" t="n">
        <f aca="false">H57*$B58</f>
        <v>0</v>
      </c>
      <c r="I58" s="220" t="n">
        <f aca="false">I57*$B58</f>
        <v>0</v>
      </c>
      <c r="J58" s="220" t="n">
        <f aca="false">J57*$B58</f>
        <v>0</v>
      </c>
      <c r="K58" s="220" t="n">
        <f aca="false">K57*$B58</f>
        <v>0</v>
      </c>
      <c r="L58" s="220" t="n">
        <f aca="false">L57*$B58</f>
        <v>0</v>
      </c>
      <c r="M58" s="220" t="n">
        <f aca="false">M57*$B58</f>
        <v>0</v>
      </c>
      <c r="N58" s="220" t="n">
        <f aca="false">N57*$B58</f>
        <v>0</v>
      </c>
      <c r="O58" s="220" t="n">
        <f aca="false">O57*$B58</f>
        <v>0</v>
      </c>
      <c r="P58" s="220" t="n">
        <f aca="false">P57*$B58</f>
        <v>0</v>
      </c>
      <c r="Q58" s="220" t="n">
        <f aca="false">Q57*$B58</f>
        <v>0</v>
      </c>
      <c r="R58" s="220" t="n">
        <f aca="false">R57*$B58</f>
        <v>0</v>
      </c>
      <c r="S58" s="220" t="n">
        <f aca="false">S57*$B58</f>
        <v>0</v>
      </c>
      <c r="T58" s="220" t="n">
        <f aca="false">T57*$B58</f>
        <v>0</v>
      </c>
      <c r="U58" s="220" t="n">
        <f aca="false">U57*$B58</f>
        <v>0</v>
      </c>
      <c r="V58" s="220" t="n">
        <f aca="false">V57*$B58</f>
        <v>0</v>
      </c>
      <c r="W58" s="220" t="n">
        <f aca="false">W57*$B58</f>
        <v>0</v>
      </c>
      <c r="X58" s="220" t="n">
        <f aca="false">X57*$B58</f>
        <v>0</v>
      </c>
      <c r="Y58" s="220" t="n">
        <f aca="false">Y57*$B58</f>
        <v>0</v>
      </c>
      <c r="Z58" s="576" t="n">
        <f aca="false">SUM(D58:Y58)</f>
        <v>0</v>
      </c>
      <c r="AA58" s="175" t="n">
        <f aca="false">AA57+1</f>
        <v>52</v>
      </c>
    </row>
    <row r="59" customFormat="false" ht="12.75" hidden="false" customHeight="false" outlineLevel="0" collapsed="false">
      <c r="A59" s="37" t="s">
        <v>806</v>
      </c>
      <c r="B59" s="260"/>
      <c r="C59" s="23"/>
      <c r="D59" s="217" t="n">
        <f aca="false">SUM(D57:D58)</f>
        <v>0</v>
      </c>
      <c r="E59" s="217" t="n">
        <f aca="false">SUM(E57:E58)</f>
        <v>9618.52616913114</v>
      </c>
      <c r="F59" s="217" t="n">
        <f aca="false">SUM(F57:F58)</f>
        <v>38680.0897161646</v>
      </c>
      <c r="G59" s="217" t="n">
        <f aca="false">SUM(G57:G58)</f>
        <v>37703.2493261269</v>
      </c>
      <c r="H59" s="217" t="n">
        <f aca="false">SUM(H57:H58)</f>
        <v>39461.5101704932</v>
      </c>
      <c r="I59" s="217" t="n">
        <f aca="false">SUM(I57:I58)</f>
        <v>40400.3901140874</v>
      </c>
      <c r="J59" s="217" t="n">
        <f aca="false">SUM(J57:J58)</f>
        <v>41436.3691096761</v>
      </c>
      <c r="K59" s="217" t="n">
        <f aca="false">SUM(K57:K58)</f>
        <v>42248.3990711667</v>
      </c>
      <c r="L59" s="217" t="n">
        <f aca="false">SUM(L57:L58)</f>
        <v>43175.0620770091</v>
      </c>
      <c r="M59" s="217" t="n">
        <f aca="false">SUM(M57:M58)</f>
        <v>44102.5048522423</v>
      </c>
      <c r="N59" s="217" t="n">
        <f aca="false">SUM(N57:N58)</f>
        <v>45151.6381553276</v>
      </c>
      <c r="O59" s="217" t="n">
        <f aca="false">SUM(O57:O58)</f>
        <v>45960.00596728</v>
      </c>
      <c r="P59" s="217" t="n">
        <f aca="false">SUM(P57:P58)</f>
        <v>46894.4952333789</v>
      </c>
      <c r="Q59" s="217" t="n">
        <f aca="false">SUM(Q57:Q58)</f>
        <v>47835.2266267676</v>
      </c>
      <c r="R59" s="217" t="n">
        <f aca="false">SUM(R57:R58)</f>
        <v>48917.3216349565</v>
      </c>
      <c r="S59" s="217" t="n">
        <f aca="false">SUM(S57:S58)</f>
        <v>49750.5058075092</v>
      </c>
      <c r="T59" s="217" t="n">
        <f aca="false">SUM(T57:T58)</f>
        <v>50740.7677871399</v>
      </c>
      <c r="U59" s="217" t="n">
        <f aca="false">SUM(U57:U58)</f>
        <v>51767.0485230667</v>
      </c>
      <c r="V59" s="217" t="n">
        <f aca="false">SUM(V57:V58)</f>
        <v>52978.6246952897</v>
      </c>
      <c r="W59" s="217" t="n">
        <f aca="false">SUM(W57:W58)</f>
        <v>53952.1835645744</v>
      </c>
      <c r="X59" s="217" t="n">
        <f aca="false">SUM(X57:X58)</f>
        <v>55117.3056307232</v>
      </c>
      <c r="Y59" s="217" t="n">
        <f aca="false">SUM(Y57:Y58)</f>
        <v>18248.4209093138</v>
      </c>
      <c r="Z59" s="574" t="n">
        <f aca="false">SUM(D59:Y59)</f>
        <v>904139.645141425</v>
      </c>
      <c r="AA59" s="175" t="n">
        <f aca="false">AA58+1</f>
        <v>53</v>
      </c>
    </row>
    <row r="60" customFormat="false" ht="12.75" hidden="false" customHeight="false" outlineLevel="0" collapsed="false">
      <c r="A60" s="37" t="s">
        <v>807</v>
      </c>
      <c r="B60" s="260"/>
      <c r="C60" s="23"/>
      <c r="D60" s="220" t="n">
        <f aca="false">-D53*(1+$B56)*(1+$B58)*Assm!$J$25</f>
        <v>-0</v>
      </c>
      <c r="E60" s="220" t="n">
        <f aca="false">-E53*(1+$B56)*(1+$B58)*Assm!$J$25</f>
        <v>-9618.52616913114</v>
      </c>
      <c r="F60" s="220" t="n">
        <f aca="false">-F53*(1+$B56)*(1+$B58)*Assm!$J$25</f>
        <v>-38680.0897161646</v>
      </c>
      <c r="G60" s="220" t="n">
        <f aca="false">-G53*(1+$B56)*(1+$B58)*Assm!$J$25</f>
        <v>-10388.1220121875</v>
      </c>
      <c r="H60" s="220" t="n">
        <f aca="false">-H53*(1+$B56)*(1+$B58)*Assm!$J$25</f>
        <v>-0</v>
      </c>
      <c r="I60" s="220" t="n">
        <f aca="false">-I53*(1+$B56)*(1+$B58)*Assm!$J$25</f>
        <v>-0</v>
      </c>
      <c r="J60" s="220" t="n">
        <f aca="false">-J53*(1+$B56)*(1+$B58)*Assm!$J$25</f>
        <v>-0</v>
      </c>
      <c r="K60" s="220" t="n">
        <f aca="false">-K53*(1+$B56)*(1+$B58)*Assm!$J$25</f>
        <v>-0</v>
      </c>
      <c r="L60" s="220" t="n">
        <f aca="false">-L53*(1+$B56)*(1+$B58)*Assm!$J$25</f>
        <v>-0</v>
      </c>
      <c r="M60" s="220" t="n">
        <f aca="false">-M53*(1+$B56)*(1+$B58)*Assm!$J$25</f>
        <v>-0</v>
      </c>
      <c r="N60" s="220" t="n">
        <f aca="false">-N53*(1+$B56)*(1+$B58)*Assm!$J$25</f>
        <v>-0</v>
      </c>
      <c r="O60" s="220" t="n">
        <f aca="false">-O53*(1+$B56)*(1+$B58)*Assm!$J$25</f>
        <v>-0</v>
      </c>
      <c r="P60" s="220" t="n">
        <f aca="false">-P53*(1+$B56)*(1+$B58)*Assm!$J$25</f>
        <v>-0</v>
      </c>
      <c r="Q60" s="220" t="n">
        <f aca="false">-Q53*(1+$B56)*(1+$B58)*Assm!$J$25</f>
        <v>-0</v>
      </c>
      <c r="R60" s="220" t="n">
        <f aca="false">-R53*(1+$B56)*(1+$B58)*Assm!$J$25</f>
        <v>-0</v>
      </c>
      <c r="S60" s="220" t="n">
        <f aca="false">-S53*(1+$B56)*(1+$B58)*Assm!$J$25</f>
        <v>-0</v>
      </c>
      <c r="T60" s="220" t="n">
        <f aca="false">-T53*(1+$B56)*(1+$B58)*Assm!$J$25</f>
        <v>-0</v>
      </c>
      <c r="U60" s="220" t="n">
        <f aca="false">-U53*(1+$B56)*(1+$B58)*Assm!$J$25</f>
        <v>-0</v>
      </c>
      <c r="V60" s="220" t="n">
        <f aca="false">-V53*(1+$B56)*(1+$B58)*Assm!$J$25</f>
        <v>-0</v>
      </c>
      <c r="W60" s="220" t="n">
        <f aca="false">-W53*(1+$B56)*(1+$B58)*Assm!$J$25</f>
        <v>-0</v>
      </c>
      <c r="X60" s="220" t="n">
        <f aca="false">-X53*(1+$B56)*(1+$B58)*Assm!$J$25</f>
        <v>-0</v>
      </c>
      <c r="Y60" s="220" t="n">
        <f aca="false">-Y53*(1+$B56)*(1+$B58)*Assm!$J$25</f>
        <v>-0</v>
      </c>
      <c r="Z60" s="576" t="n">
        <f aca="false">SUM(D60:Y60)</f>
        <v>-58686.7378974833</v>
      </c>
      <c r="AA60" s="175" t="n">
        <f aca="false">AA59+1</f>
        <v>54</v>
      </c>
    </row>
    <row r="61" customFormat="false" ht="12.75" hidden="false" customHeight="false" outlineLevel="0" collapsed="false">
      <c r="A61" s="37" t="s">
        <v>808</v>
      </c>
      <c r="B61" s="38"/>
      <c r="C61" s="23"/>
      <c r="D61" s="217" t="n">
        <f aca="false">SUM(D59:D60)</f>
        <v>0</v>
      </c>
      <c r="E61" s="217" t="n">
        <f aca="false">SUM(E59:E60)</f>
        <v>0</v>
      </c>
      <c r="F61" s="217" t="n">
        <f aca="false">SUM(F59:F60)</f>
        <v>0</v>
      </c>
      <c r="G61" s="217" t="n">
        <f aca="false">SUM(G59:G60)</f>
        <v>27315.1273139394</v>
      </c>
      <c r="H61" s="217" t="n">
        <f aca="false">SUM(H59:H60)</f>
        <v>39461.5101704932</v>
      </c>
      <c r="I61" s="217" t="n">
        <f aca="false">SUM(I59:I60)</f>
        <v>40400.3901140874</v>
      </c>
      <c r="J61" s="217" t="n">
        <f aca="false">SUM(J59:J60)</f>
        <v>41436.3691096761</v>
      </c>
      <c r="K61" s="217" t="n">
        <f aca="false">SUM(K59:K60)</f>
        <v>42248.3990711667</v>
      </c>
      <c r="L61" s="217" t="n">
        <f aca="false">SUM(L59:L60)</f>
        <v>43175.0620770091</v>
      </c>
      <c r="M61" s="217" t="n">
        <f aca="false">SUM(M59:M60)</f>
        <v>44102.5048522423</v>
      </c>
      <c r="N61" s="217" t="n">
        <f aca="false">SUM(N59:N60)</f>
        <v>45151.6381553276</v>
      </c>
      <c r="O61" s="217" t="n">
        <f aca="false">SUM(O59:O60)</f>
        <v>45960.00596728</v>
      </c>
      <c r="P61" s="217" t="n">
        <f aca="false">SUM(P59:P60)</f>
        <v>46894.4952333789</v>
      </c>
      <c r="Q61" s="217" t="n">
        <f aca="false">SUM(Q59:Q60)</f>
        <v>47835.2266267676</v>
      </c>
      <c r="R61" s="217" t="n">
        <f aca="false">SUM(R59:R60)</f>
        <v>48917.3216349565</v>
      </c>
      <c r="S61" s="217" t="n">
        <f aca="false">SUM(S59:S60)</f>
        <v>49750.5058075092</v>
      </c>
      <c r="T61" s="217" t="n">
        <f aca="false">SUM(T59:T60)</f>
        <v>50740.7677871399</v>
      </c>
      <c r="U61" s="217" t="n">
        <f aca="false">SUM(U59:U60)</f>
        <v>51767.0485230667</v>
      </c>
      <c r="V61" s="217" t="n">
        <f aca="false">SUM(V59:V60)</f>
        <v>52978.6246952897</v>
      </c>
      <c r="W61" s="217" t="n">
        <f aca="false">SUM(W59:W60)</f>
        <v>53952.1835645744</v>
      </c>
      <c r="X61" s="217" t="n">
        <f aca="false">SUM(X59:X60)</f>
        <v>55117.3056307232</v>
      </c>
      <c r="Y61" s="217" t="n">
        <f aca="false">SUM(Y59:Y60)</f>
        <v>18248.4209093138</v>
      </c>
      <c r="Z61" s="574" t="n">
        <f aca="false">SUM(D61:Y61)</f>
        <v>845452.907243942</v>
      </c>
      <c r="AA61" s="175" t="n">
        <f aca="false">AA60+1</f>
        <v>55</v>
      </c>
    </row>
    <row r="62" customFormat="false" ht="12.75" hidden="false" customHeight="false" outlineLevel="0" collapsed="false">
      <c r="A62" s="37"/>
      <c r="B62" s="38"/>
      <c r="C62" s="23"/>
      <c r="D62" s="556"/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6"/>
      <c r="Q62" s="556"/>
      <c r="R62" s="556"/>
      <c r="S62" s="556"/>
      <c r="T62" s="556"/>
      <c r="U62" s="556"/>
      <c r="V62" s="556"/>
      <c r="W62" s="556"/>
      <c r="X62" s="556"/>
      <c r="Y62" s="556"/>
      <c r="Z62" s="557"/>
      <c r="AA62" s="175" t="n">
        <f aca="false">AA61+1</f>
        <v>56</v>
      </c>
    </row>
    <row r="63" customFormat="false" ht="12.75" hidden="false" customHeight="false" outlineLevel="0" collapsed="false">
      <c r="A63" s="132" t="s">
        <v>809</v>
      </c>
      <c r="B63" s="38"/>
      <c r="C63" s="23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56"/>
      <c r="Q63" s="556"/>
      <c r="R63" s="556"/>
      <c r="S63" s="556"/>
      <c r="T63" s="556"/>
      <c r="U63" s="556"/>
      <c r="V63" s="556"/>
      <c r="W63" s="556"/>
      <c r="X63" s="556"/>
      <c r="Y63" s="556"/>
      <c r="Z63" s="557"/>
      <c r="AA63" s="175" t="n">
        <f aca="false">AA62+1</f>
        <v>57</v>
      </c>
    </row>
    <row r="64" customFormat="false" ht="12.75" hidden="false" customHeight="false" outlineLevel="0" collapsed="false">
      <c r="A64" s="37" t="s">
        <v>810</v>
      </c>
      <c r="B64" s="38"/>
      <c r="C64" s="23"/>
      <c r="D64" s="220" t="n">
        <f aca="false">IF(D$7&lt;YEAR(Startops2),0,VLOOKUP(DATE(D$7,12,1),Fuel_Cost_Table,'Fuel Expense'!$R$270))</f>
        <v>0</v>
      </c>
      <c r="E64" s="220" t="n">
        <f aca="false">IF(E$7&lt;YEAR(Startops2),0,VLOOKUP(DATE(E$7,12,1),Fuel_Cost_Table,'Fuel Expense'!$R$270))</f>
        <v>0</v>
      </c>
      <c r="F64" s="220" t="n">
        <f aca="false">IF(F$7&lt;YEAR(Startops2),0,VLOOKUP(DATE(F$7,12,1),Fuel_Cost_Table,'Fuel Expense'!$R$270))</f>
        <v>0</v>
      </c>
      <c r="G64" s="220" t="n">
        <f aca="false">IF(G$7&lt;YEAR(Startops2),0,VLOOKUP(DATE(G$7,12,1),Fuel_Cost_Table,'Fuel Expense'!$R$270))</f>
        <v>27484.7218623678</v>
      </c>
      <c r="H64" s="220" t="n">
        <f aca="false">IF(H$7&lt;YEAR(Startops2),0,VLOOKUP(DATE(H$7,12,1),Fuel_Cost_Table,'Fuel Expense'!$R$270))</f>
        <v>43789.9974668233</v>
      </c>
      <c r="I64" s="220" t="n">
        <f aca="false">IF(I$7&lt;YEAR(Startops2),0,VLOOKUP(DATE(I$7,12,1),Fuel_Cost_Table,'Fuel Expense'!$R$270))</f>
        <v>45152.9074807657</v>
      </c>
      <c r="J64" s="220" t="n">
        <f aca="false">IF(J$7&lt;YEAR(Startops2),0,VLOOKUP(DATE(J$7,12,1),Fuel_Cost_Table,'Fuel Expense'!$R$270))</f>
        <v>46518.3306722354</v>
      </c>
      <c r="K64" s="220" t="n">
        <f aca="false">IF(K$7&lt;YEAR(Startops2),0,VLOOKUP(DATE(K$7,12,1),Fuel_Cost_Table,'Fuel Expense'!$R$270))</f>
        <v>47815.1308425646</v>
      </c>
      <c r="L64" s="220" t="n">
        <f aca="false">IF(L$7&lt;YEAR(Startops2),0,VLOOKUP(DATE(L$7,12,1),Fuel_Cost_Table,'Fuel Expense'!$R$270))</f>
        <v>49176.961187941</v>
      </c>
      <c r="M64" s="220" t="n">
        <f aca="false">IF(M$7&lt;YEAR(Startops2),0,VLOOKUP(DATE(M$7,12,1),Fuel_Cost_Table,'Fuel Expense'!$R$270))</f>
        <v>50569.9896674611</v>
      </c>
      <c r="N64" s="220" t="n">
        <f aca="false">IF(N$7&lt;YEAR(Startops2),0,VLOOKUP(DATE(N$7,12,1),Fuel_Cost_Table,'Fuel Expense'!$R$270))</f>
        <v>51900.5055773843</v>
      </c>
      <c r="O64" s="220" t="n">
        <f aca="false">IF(O$7&lt;YEAR(Startops2),0,VLOOKUP(DATE(O$7,12,1),Fuel_Cost_Table,'Fuel Expense'!$R$270))</f>
        <v>53285.1036667399</v>
      </c>
      <c r="P64" s="220" t="n">
        <f aca="false">IF(P$7&lt;YEAR(Startops2),0,VLOOKUP(DATE(P$7,12,1),Fuel_Cost_Table,'Fuel Expense'!$R$270))</f>
        <v>54702.1606881802</v>
      </c>
      <c r="Q64" s="220" t="n">
        <f aca="false">IF(Q$7&lt;YEAR(Startops2),0,VLOOKUP(DATE(Q$7,12,1),Fuel_Cost_Table,'Fuel Expense'!$R$270))</f>
        <v>56038.3797172867</v>
      </c>
      <c r="R64" s="220" t="n">
        <f aca="false">IF(R$7&lt;YEAR(Startops2),0,VLOOKUP(DATE(R$7,12,1),Fuel_Cost_Table,'Fuel Expense'!$R$270))</f>
        <v>57466.1576921476</v>
      </c>
      <c r="S64" s="220" t="n">
        <f aca="false">IF(S$7&lt;YEAR(Startops2),0,VLOOKUP(DATE(S$7,12,1),Fuel_Cost_Table,'Fuel Expense'!$R$270))</f>
        <v>58955.0260865737</v>
      </c>
      <c r="T64" s="220" t="n">
        <f aca="false">IF(T$7&lt;YEAR(Startops2),0,VLOOKUP(DATE(T$7,12,1),Fuel_Cost_Table,'Fuel Expense'!$R$270))</f>
        <v>60404.2781303534</v>
      </c>
      <c r="U64" s="220" t="n">
        <f aca="false">IF(U$7&lt;YEAR(Startops2),0,VLOOKUP(DATE(U$7,12,1),Fuel_Cost_Table,'Fuel Expense'!$R$270))</f>
        <v>61960.7584663856</v>
      </c>
      <c r="V64" s="220" t="n">
        <f aca="false">IF(V$7&lt;YEAR(Startops2),0,VLOOKUP(DATE(V$7,12,1),Fuel_Cost_Table,'Fuel Expense'!$R$270))</f>
        <v>63605.5762876779</v>
      </c>
      <c r="W64" s="220" t="n">
        <f aca="false">IF(W$7&lt;YEAR(Startops2),0,VLOOKUP(DATE(W$7,12,1),Fuel_Cost_Table,'Fuel Expense'!$R$270))</f>
        <v>65211.2692435926</v>
      </c>
      <c r="X64" s="220" t="n">
        <f aca="false">IF(X$7&lt;YEAR(Startops2),0,VLOOKUP(DATE(X$7,12,1),Fuel_Cost_Table,'Fuel Expense'!$R$270))</f>
        <v>66975.6253191717</v>
      </c>
      <c r="Y64" s="220" t="n">
        <f aca="false">IF(Y$7&lt;YEAR(Startops2),0,VLOOKUP(DATE(Y$7,12,1),Fuel_Cost_Table,'Fuel Expense'!$R$270))</f>
        <v>22531.5008709648</v>
      </c>
      <c r="Z64" s="576" t="n">
        <f aca="false">SUM(D64:Y64)</f>
        <v>983544.380926618</v>
      </c>
      <c r="AA64" s="175" t="n">
        <f aca="false">AA63+1</f>
        <v>58</v>
      </c>
    </row>
    <row r="65" customFormat="false" ht="12.75" hidden="false" customHeight="false" outlineLevel="0" collapsed="false">
      <c r="A65" s="37" t="s">
        <v>811</v>
      </c>
      <c r="B65" s="38"/>
      <c r="C65" s="23"/>
      <c r="D65" s="217" t="n">
        <f aca="false">SUM(D64)</f>
        <v>0</v>
      </c>
      <c r="E65" s="217" t="n">
        <f aca="false">SUM(E64)</f>
        <v>0</v>
      </c>
      <c r="F65" s="217" t="n">
        <f aca="false">SUM(F64)</f>
        <v>0</v>
      </c>
      <c r="G65" s="217" t="n">
        <f aca="false">SUM(G64)</f>
        <v>27484.7218623678</v>
      </c>
      <c r="H65" s="217" t="n">
        <f aca="false">SUM(H64)</f>
        <v>43789.9974668233</v>
      </c>
      <c r="I65" s="217" t="n">
        <f aca="false">SUM(I64)</f>
        <v>45152.9074807657</v>
      </c>
      <c r="J65" s="217" t="n">
        <f aca="false">SUM(J64)</f>
        <v>46518.3306722354</v>
      </c>
      <c r="K65" s="217" t="n">
        <f aca="false">SUM(K64)</f>
        <v>47815.1308425646</v>
      </c>
      <c r="L65" s="217" t="n">
        <f aca="false">SUM(L64)</f>
        <v>49176.961187941</v>
      </c>
      <c r="M65" s="217" t="n">
        <f aca="false">SUM(M64)</f>
        <v>50569.9896674611</v>
      </c>
      <c r="N65" s="217" t="n">
        <f aca="false">SUM(N64)</f>
        <v>51900.5055773843</v>
      </c>
      <c r="O65" s="217" t="n">
        <f aca="false">SUM(O64)</f>
        <v>53285.1036667399</v>
      </c>
      <c r="P65" s="217" t="n">
        <f aca="false">SUM(P64)</f>
        <v>54702.1606881802</v>
      </c>
      <c r="Q65" s="217" t="n">
        <f aca="false">SUM(Q64)</f>
        <v>56038.3797172867</v>
      </c>
      <c r="R65" s="217" t="n">
        <f aca="false">SUM(R64)</f>
        <v>57466.1576921476</v>
      </c>
      <c r="S65" s="217" t="n">
        <f aca="false">SUM(S64)</f>
        <v>58955.0260865737</v>
      </c>
      <c r="T65" s="217" t="n">
        <f aca="false">SUM(T64)</f>
        <v>60404.2781303534</v>
      </c>
      <c r="U65" s="217" t="n">
        <f aca="false">SUM(U64)</f>
        <v>61960.7584663856</v>
      </c>
      <c r="V65" s="217" t="n">
        <f aca="false">SUM(V64)</f>
        <v>63605.5762876779</v>
      </c>
      <c r="W65" s="217" t="n">
        <f aca="false">SUM(W64)</f>
        <v>65211.2692435926</v>
      </c>
      <c r="X65" s="217" t="n">
        <f aca="false">SUM(X64)</f>
        <v>66975.6253191717</v>
      </c>
      <c r="Y65" s="217" t="n">
        <f aca="false">SUM(Y64)</f>
        <v>22531.5008709648</v>
      </c>
      <c r="Z65" s="574" t="n">
        <f aca="false">SUM(D65:Y65)</f>
        <v>983544.380926618</v>
      </c>
      <c r="AA65" s="175" t="n">
        <f aca="false">AA64+1</f>
        <v>59</v>
      </c>
    </row>
    <row r="66" customFormat="false" ht="12.75" hidden="false" customHeight="false" outlineLevel="0" collapsed="false">
      <c r="A66" s="37" t="s">
        <v>812</v>
      </c>
      <c r="B66" s="606" t="n">
        <f aca="false">Icms_Trans/(1-Icms_Trans)</f>
        <v>0</v>
      </c>
      <c r="C66" s="23"/>
      <c r="D66" s="220" t="n">
        <f aca="false">D65*$B66</f>
        <v>0</v>
      </c>
      <c r="E66" s="220" t="n">
        <f aca="false">E65*$B66</f>
        <v>0</v>
      </c>
      <c r="F66" s="220" t="n">
        <f aca="false">F65*$B66</f>
        <v>0</v>
      </c>
      <c r="G66" s="220" t="n">
        <f aca="false">G65*$B66</f>
        <v>0</v>
      </c>
      <c r="H66" s="220" t="n">
        <f aca="false">H65*$B66</f>
        <v>0</v>
      </c>
      <c r="I66" s="220" t="n">
        <f aca="false">I65*$B66</f>
        <v>0</v>
      </c>
      <c r="J66" s="220" t="n">
        <f aca="false">J65*$B66</f>
        <v>0</v>
      </c>
      <c r="K66" s="220" t="n">
        <f aca="false">K65*$B66</f>
        <v>0</v>
      </c>
      <c r="L66" s="220" t="n">
        <f aca="false">L65*$B66</f>
        <v>0</v>
      </c>
      <c r="M66" s="220" t="n">
        <f aca="false">M65*$B66</f>
        <v>0</v>
      </c>
      <c r="N66" s="220" t="n">
        <f aca="false">N65*$B66</f>
        <v>0</v>
      </c>
      <c r="O66" s="220" t="n">
        <f aca="false">O65*$B66</f>
        <v>0</v>
      </c>
      <c r="P66" s="220" t="n">
        <f aca="false">P65*$B66</f>
        <v>0</v>
      </c>
      <c r="Q66" s="220" t="n">
        <f aca="false">Q65*$B66</f>
        <v>0</v>
      </c>
      <c r="R66" s="220" t="n">
        <f aca="false">R65*$B66</f>
        <v>0</v>
      </c>
      <c r="S66" s="220" t="n">
        <f aca="false">S65*$B66</f>
        <v>0</v>
      </c>
      <c r="T66" s="220" t="n">
        <f aca="false">T65*$B66</f>
        <v>0</v>
      </c>
      <c r="U66" s="220" t="n">
        <f aca="false">U65*$B66</f>
        <v>0</v>
      </c>
      <c r="V66" s="220" t="n">
        <f aca="false">V65*$B66</f>
        <v>0</v>
      </c>
      <c r="W66" s="220" t="n">
        <f aca="false">W65*$B66</f>
        <v>0</v>
      </c>
      <c r="X66" s="220" t="n">
        <f aca="false">X65*$B66</f>
        <v>0</v>
      </c>
      <c r="Y66" s="220" t="n">
        <f aca="false">Y65*$B66</f>
        <v>0</v>
      </c>
      <c r="Z66" s="576" t="n">
        <f aca="false">SUM(D66:Y66)</f>
        <v>0</v>
      </c>
      <c r="AA66" s="175" t="n">
        <f aca="false">AA65+1</f>
        <v>60</v>
      </c>
    </row>
    <row r="67" customFormat="false" ht="12.75" hidden="false" customHeight="false" outlineLevel="0" collapsed="false">
      <c r="A67" s="37" t="s">
        <v>813</v>
      </c>
      <c r="B67" s="38"/>
      <c r="C67" s="23"/>
      <c r="D67" s="217" t="n">
        <f aca="false">SUM(D65:D66)</f>
        <v>0</v>
      </c>
      <c r="E67" s="217" t="n">
        <f aca="false">SUM(E65:E66)</f>
        <v>0</v>
      </c>
      <c r="F67" s="217" t="n">
        <f aca="false">SUM(F65:F66)</f>
        <v>0</v>
      </c>
      <c r="G67" s="217" t="n">
        <f aca="false">SUM(G65:G66)</f>
        <v>27484.7218623678</v>
      </c>
      <c r="H67" s="217" t="n">
        <f aca="false">SUM(H65:H66)</f>
        <v>43789.9974668233</v>
      </c>
      <c r="I67" s="217" t="n">
        <f aca="false">SUM(I65:I66)</f>
        <v>45152.9074807657</v>
      </c>
      <c r="J67" s="217" t="n">
        <f aca="false">SUM(J65:J66)</f>
        <v>46518.3306722354</v>
      </c>
      <c r="K67" s="217" t="n">
        <f aca="false">SUM(K65:K66)</f>
        <v>47815.1308425646</v>
      </c>
      <c r="L67" s="217" t="n">
        <f aca="false">SUM(L65:L66)</f>
        <v>49176.961187941</v>
      </c>
      <c r="M67" s="217" t="n">
        <f aca="false">SUM(M65:M66)</f>
        <v>50569.9896674611</v>
      </c>
      <c r="N67" s="217" t="n">
        <f aca="false">SUM(N65:N66)</f>
        <v>51900.5055773843</v>
      </c>
      <c r="O67" s="217" t="n">
        <f aca="false">SUM(O65:O66)</f>
        <v>53285.1036667399</v>
      </c>
      <c r="P67" s="217" t="n">
        <f aca="false">SUM(P65:P66)</f>
        <v>54702.1606881802</v>
      </c>
      <c r="Q67" s="217" t="n">
        <f aca="false">SUM(Q65:Q66)</f>
        <v>56038.3797172867</v>
      </c>
      <c r="R67" s="217" t="n">
        <f aca="false">SUM(R65:R66)</f>
        <v>57466.1576921476</v>
      </c>
      <c r="S67" s="217" t="n">
        <f aca="false">SUM(S65:S66)</f>
        <v>58955.0260865737</v>
      </c>
      <c r="T67" s="217" t="n">
        <f aca="false">SUM(T65:T66)</f>
        <v>60404.2781303534</v>
      </c>
      <c r="U67" s="217" t="n">
        <f aca="false">SUM(U65:U66)</f>
        <v>61960.7584663856</v>
      </c>
      <c r="V67" s="217" t="n">
        <f aca="false">SUM(V65:V66)</f>
        <v>63605.5762876779</v>
      </c>
      <c r="W67" s="217" t="n">
        <f aca="false">SUM(W65:W66)</f>
        <v>65211.2692435926</v>
      </c>
      <c r="X67" s="217" t="n">
        <f aca="false">SUM(X65:X66)</f>
        <v>66975.6253191717</v>
      </c>
      <c r="Y67" s="217" t="n">
        <f aca="false">SUM(Y65:Y66)</f>
        <v>22531.5008709648</v>
      </c>
      <c r="Z67" s="574" t="n">
        <f aca="false">SUM(D67:Y67)</f>
        <v>983544.380926618</v>
      </c>
      <c r="AA67" s="175" t="n">
        <f aca="false">AA66+1</f>
        <v>61</v>
      </c>
    </row>
    <row r="68" customFormat="false" ht="12.75" hidden="false" customHeight="false" outlineLevel="0" collapsed="false">
      <c r="A68" s="37" t="s">
        <v>814</v>
      </c>
      <c r="B68" s="606" t="n">
        <f aca="false">(Pis+Cofins)/(1-(Pis+Cofins))*0</f>
        <v>0</v>
      </c>
      <c r="C68" s="23"/>
      <c r="D68" s="220" t="n">
        <f aca="false">D67*$B68</f>
        <v>0</v>
      </c>
      <c r="E68" s="220" t="n">
        <f aca="false">E67*$B68</f>
        <v>0</v>
      </c>
      <c r="F68" s="220" t="n">
        <f aca="false">F67*$B68</f>
        <v>0</v>
      </c>
      <c r="G68" s="220" t="n">
        <f aca="false">G67*$B68</f>
        <v>0</v>
      </c>
      <c r="H68" s="220" t="n">
        <f aca="false">H67*$B68</f>
        <v>0</v>
      </c>
      <c r="I68" s="220" t="n">
        <f aca="false">I67*$B68</f>
        <v>0</v>
      </c>
      <c r="J68" s="220" t="n">
        <f aca="false">J67*$B68</f>
        <v>0</v>
      </c>
      <c r="K68" s="220" t="n">
        <f aca="false">K67*$B68</f>
        <v>0</v>
      </c>
      <c r="L68" s="220" t="n">
        <f aca="false">L67*$B68</f>
        <v>0</v>
      </c>
      <c r="M68" s="220" t="n">
        <f aca="false">M67*$B68</f>
        <v>0</v>
      </c>
      <c r="N68" s="220" t="n">
        <f aca="false">N67*$B68</f>
        <v>0</v>
      </c>
      <c r="O68" s="220" t="n">
        <f aca="false">O67*$B68</f>
        <v>0</v>
      </c>
      <c r="P68" s="220" t="n">
        <f aca="false">P67*$B68</f>
        <v>0</v>
      </c>
      <c r="Q68" s="220" t="n">
        <f aca="false">Q67*$B68</f>
        <v>0</v>
      </c>
      <c r="R68" s="220" t="n">
        <f aca="false">R67*$B68</f>
        <v>0</v>
      </c>
      <c r="S68" s="220" t="n">
        <f aca="false">S67*$B68</f>
        <v>0</v>
      </c>
      <c r="T68" s="220" t="n">
        <f aca="false">T67*$B68</f>
        <v>0</v>
      </c>
      <c r="U68" s="220" t="n">
        <f aca="false">U67*$B68</f>
        <v>0</v>
      </c>
      <c r="V68" s="220" t="n">
        <f aca="false">V67*$B68</f>
        <v>0</v>
      </c>
      <c r="W68" s="220" t="n">
        <f aca="false">W67*$B68</f>
        <v>0</v>
      </c>
      <c r="X68" s="220" t="n">
        <f aca="false">X67*$B68</f>
        <v>0</v>
      </c>
      <c r="Y68" s="220" t="n">
        <f aca="false">Y67*$B68</f>
        <v>0</v>
      </c>
      <c r="Z68" s="576" t="n">
        <f aca="false">SUM(D68:Y68)</f>
        <v>0</v>
      </c>
      <c r="AA68" s="175" t="n">
        <f aca="false">AA67+1</f>
        <v>62</v>
      </c>
    </row>
    <row r="69" customFormat="false" ht="12.75" hidden="false" customHeight="false" outlineLevel="0" collapsed="false">
      <c r="A69" s="37" t="s">
        <v>815</v>
      </c>
      <c r="B69" s="38"/>
      <c r="C69" s="23"/>
      <c r="D69" s="217" t="n">
        <f aca="false">SUM(D67:D68)</f>
        <v>0</v>
      </c>
      <c r="E69" s="217" t="n">
        <f aca="false">SUM(E67:E68)</f>
        <v>0</v>
      </c>
      <c r="F69" s="217" t="n">
        <f aca="false">SUM(F67:F68)</f>
        <v>0</v>
      </c>
      <c r="G69" s="217" t="n">
        <f aca="false">SUM(G67:G68)</f>
        <v>27484.7218623678</v>
      </c>
      <c r="H69" s="217" t="n">
        <f aca="false">SUM(H67:H68)</f>
        <v>43789.9974668233</v>
      </c>
      <c r="I69" s="217" t="n">
        <f aca="false">SUM(I67:I68)</f>
        <v>45152.9074807657</v>
      </c>
      <c r="J69" s="217" t="n">
        <f aca="false">SUM(J67:J68)</f>
        <v>46518.3306722354</v>
      </c>
      <c r="K69" s="217" t="n">
        <f aca="false">SUM(K67:K68)</f>
        <v>47815.1308425646</v>
      </c>
      <c r="L69" s="217" t="n">
        <f aca="false">SUM(L67:L68)</f>
        <v>49176.961187941</v>
      </c>
      <c r="M69" s="217" t="n">
        <f aca="false">SUM(M67:M68)</f>
        <v>50569.9896674611</v>
      </c>
      <c r="N69" s="217" t="n">
        <f aca="false">SUM(N67:N68)</f>
        <v>51900.5055773843</v>
      </c>
      <c r="O69" s="217" t="n">
        <f aca="false">SUM(O67:O68)</f>
        <v>53285.1036667399</v>
      </c>
      <c r="P69" s="217" t="n">
        <f aca="false">SUM(P67:P68)</f>
        <v>54702.1606881802</v>
      </c>
      <c r="Q69" s="217" t="n">
        <f aca="false">SUM(Q67:Q68)</f>
        <v>56038.3797172867</v>
      </c>
      <c r="R69" s="217" t="n">
        <f aca="false">SUM(R67:R68)</f>
        <v>57466.1576921476</v>
      </c>
      <c r="S69" s="217" t="n">
        <f aca="false">SUM(S67:S68)</f>
        <v>58955.0260865737</v>
      </c>
      <c r="T69" s="217" t="n">
        <f aca="false">SUM(T67:T68)</f>
        <v>60404.2781303534</v>
      </c>
      <c r="U69" s="217" t="n">
        <f aca="false">SUM(U67:U68)</f>
        <v>61960.7584663856</v>
      </c>
      <c r="V69" s="217" t="n">
        <f aca="false">SUM(V67:V68)</f>
        <v>63605.5762876779</v>
      </c>
      <c r="W69" s="217" t="n">
        <f aca="false">SUM(W67:W68)</f>
        <v>65211.2692435926</v>
      </c>
      <c r="X69" s="217" t="n">
        <f aca="false">SUM(X67:X68)</f>
        <v>66975.6253191717</v>
      </c>
      <c r="Y69" s="217" t="n">
        <f aca="false">SUM(Y67:Y68)</f>
        <v>22531.5008709648</v>
      </c>
      <c r="Z69" s="574" t="n">
        <f aca="false">SUM(D69:Y69)</f>
        <v>983544.380926618</v>
      </c>
      <c r="AA69" s="175" t="n">
        <f aca="false">AA68+1</f>
        <v>63</v>
      </c>
    </row>
    <row r="70" customFormat="false" ht="12.75" hidden="false" customHeight="false" outlineLevel="0" collapsed="false">
      <c r="A70" s="37"/>
      <c r="B70" s="38"/>
      <c r="C70" s="23"/>
      <c r="D70" s="556"/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6"/>
      <c r="Q70" s="556"/>
      <c r="R70" s="556"/>
      <c r="S70" s="556"/>
      <c r="T70" s="556"/>
      <c r="U70" s="556"/>
      <c r="V70" s="556"/>
      <c r="W70" s="556"/>
      <c r="X70" s="556"/>
      <c r="Y70" s="556"/>
      <c r="Z70" s="557"/>
      <c r="AA70" s="175" t="n">
        <f aca="false">AA69+1</f>
        <v>64</v>
      </c>
    </row>
    <row r="71" customFormat="false" ht="12.75" hidden="false" customHeight="false" outlineLevel="0" collapsed="false">
      <c r="A71" s="132" t="s">
        <v>816</v>
      </c>
      <c r="B71" s="38"/>
      <c r="C71" s="23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56"/>
      <c r="Q71" s="556"/>
      <c r="R71" s="556"/>
      <c r="S71" s="556"/>
      <c r="T71" s="556"/>
      <c r="U71" s="556"/>
      <c r="V71" s="556"/>
      <c r="W71" s="556"/>
      <c r="X71" s="556"/>
      <c r="Y71" s="556"/>
      <c r="Z71" s="557"/>
      <c r="AA71" s="175" t="n">
        <f aca="false">AA70+1</f>
        <v>65</v>
      </c>
    </row>
    <row r="72" customFormat="false" ht="12.75" hidden="false" customHeight="false" outlineLevel="0" collapsed="false">
      <c r="A72" s="37" t="str">
        <f aca="false">Assm!A60</f>
        <v>Payroll &amp; Burden (Includes WTF)</v>
      </c>
      <c r="B72" s="38"/>
      <c r="C72" s="23"/>
      <c r="D72" s="217" t="n">
        <f aca="false">IF(D$7&lt;YEAR(Startops1),0,HLOOKUP(D$7,OM_Table,Assm!$G59)*D$12/12*Exch/D$27*D$26)</f>
        <v>0</v>
      </c>
      <c r="E72" s="217" t="n">
        <f aca="false">IF(E$7&lt;YEAR(Startops1),0,HLOOKUP(E$7,OM_Table,Assm!$G59)*E$12/12*Exch/E$27*E$26)</f>
        <v>1263.82693927837</v>
      </c>
      <c r="F72" s="217" t="n">
        <f aca="false">IF(F$7&lt;YEAR(Startops1),0,HLOOKUP(F$7,OM_Table,Assm!$G59)*F$12/12*Exch/F$27*F$26)</f>
        <v>1212.25520997024</v>
      </c>
      <c r="G72" s="217" t="n">
        <f aca="false">IF(G$7&lt;YEAR(Startops1),0,HLOOKUP(G$7,OM_Table,Assm!$G59)*G$12/12*Exch/G$27*G$26)</f>
        <v>1806.71707376937</v>
      </c>
      <c r="H72" s="217" t="n">
        <f aca="false">IF(H$7&lt;YEAR(Startops1),0,HLOOKUP(H$7,OM_Table,Assm!$G59)*H$12/12*Exch/H$27*H$26)</f>
        <v>1527.40127427098</v>
      </c>
      <c r="I72" s="217" t="n">
        <f aca="false">IF(I$7&lt;YEAR(Startops1),0,HLOOKUP(I$7,OM_Table,Assm!$G59)*I$12/12*Exch/I$27*I$26)</f>
        <v>1527.14503928786</v>
      </c>
      <c r="J72" s="217" t="n">
        <f aca="false">IF(J$7&lt;YEAR(Startops1),0,HLOOKUP(J$7,OM_Table,Assm!$G59)*J$12/12*Exch/J$27*J$26)</f>
        <v>1571.91277019875</v>
      </c>
      <c r="K72" s="217" t="n">
        <f aca="false">IF(K$7&lt;YEAR(Startops1),0,HLOOKUP(K$7,OM_Table,Assm!$G59)*K$12/12*Exch/K$27*K$26)</f>
        <v>1640.9028785834</v>
      </c>
      <c r="L72" s="217" t="n">
        <f aca="false">IF(L$7&lt;YEAR(Startops1),0,HLOOKUP(L$7,OM_Table,Assm!$G59)*L$12/12*Exch/L$27*L$26)</f>
        <v>1712.89418613945</v>
      </c>
      <c r="M72" s="217" t="n">
        <f aca="false">IF(M$7&lt;YEAR(Startops1),0,HLOOKUP(M$7,OM_Table,Assm!$G59)*M$12/12*Exch/M$27*M$26)</f>
        <v>1790.85066070664</v>
      </c>
      <c r="N72" s="217" t="n">
        <f aca="false">IF(N$7&lt;YEAR(Startops1),0,HLOOKUP(N$7,OM_Table,Assm!$G59)*N$12/12*Exch/N$27*N$26)</f>
        <v>1873.54840697333</v>
      </c>
      <c r="O72" s="217" t="n">
        <f aca="false">IF(O$7&lt;YEAR(Startops1),0,HLOOKUP(O$7,OM_Table,Assm!$G59)*O$12/12*Exch/O$27*O$26)</f>
        <v>1960.51457652834</v>
      </c>
      <c r="P72" s="217" t="n">
        <f aca="false">IF(P$7&lt;YEAR(Startops1),0,HLOOKUP(P$7,OM_Table,Assm!$G59)*P$12/12*Exch/P$27*P$26)</f>
        <v>2049.79589485498</v>
      </c>
      <c r="Q72" s="217" t="n">
        <f aca="false">IF(Q$7&lt;YEAR(Startops1),0,HLOOKUP(Q$7,OM_Table,Assm!$G59)*Q$12/12*Exch/Q$27*Q$26)</f>
        <v>2145.35339708063</v>
      </c>
      <c r="R72" s="217" t="n">
        <f aca="false">IF(R$7&lt;YEAR(Startops1),0,HLOOKUP(R$7,OM_Table,Assm!$G59)*R$12/12*Exch/R$27*R$26)</f>
        <v>2249.85609540199</v>
      </c>
      <c r="S72" s="217" t="n">
        <f aca="false">IF(S$7&lt;YEAR(Startops1),0,HLOOKUP(S$7,OM_Table,Assm!$G59)*S$12/12*Exch/S$27*S$26)</f>
        <v>2362.02036519454</v>
      </c>
      <c r="T72" s="217" t="n">
        <f aca="false">IF(T$7&lt;YEAR(Startops1),0,HLOOKUP(T$7,OM_Table,Assm!$G59)*T$12/12*Exch/T$27*T$26)</f>
        <v>2477.64935303385</v>
      </c>
      <c r="U72" s="217" t="n">
        <f aca="false">IF(U$7&lt;YEAR(Startops1),0,HLOOKUP(U$7,OM_Table,Assm!$G59)*U$12/12*Exch/U$27*U$26)</f>
        <v>2598.15039593422</v>
      </c>
      <c r="V72" s="217" t="n">
        <f aca="false">IF(V$7&lt;YEAR(Startops1),0,HLOOKUP(V$7,OM_Table,Assm!$G59)*V$12/12*Exch/V$27*V$26)</f>
        <v>2723.01042088794</v>
      </c>
      <c r="W72" s="217" t="n">
        <f aca="false">IF(W$7&lt;YEAR(Startops1),0,HLOOKUP(W$7,OM_Table,Assm!$G59)*W$12/12*Exch/W$27*W$26)</f>
        <v>2852.95480044084</v>
      </c>
      <c r="X72" s="217" t="n">
        <f aca="false">IF(X$7&lt;YEAR(Startops1),0,HLOOKUP(X$7,OM_Table,Assm!$G59)*X$12/12*Exch/X$27*X$26)</f>
        <v>2987.26847216812</v>
      </c>
      <c r="Y72" s="217" t="n">
        <f aca="false">IF(Y$7&lt;YEAR(Startops1),0,HLOOKUP(Y$7,OM_Table,Assm!$G59)*Y$12/12*Exch/Y$27*Y$26)</f>
        <v>1042.64049173791</v>
      </c>
      <c r="Z72" s="574" t="n">
        <f aca="false">SUM(D72:Y72)</f>
        <v>41376.6687024417</v>
      </c>
      <c r="AA72" s="175" t="n">
        <f aca="false">AA71+1</f>
        <v>66</v>
      </c>
    </row>
    <row r="73" customFormat="false" ht="12.75" hidden="false" customHeight="false" outlineLevel="0" collapsed="false">
      <c r="A73" s="37" t="str">
        <f aca="false">Assm!A61</f>
        <v>Other O&amp;M Expenses</v>
      </c>
      <c r="B73" s="38"/>
      <c r="C73" s="23"/>
      <c r="D73" s="217" t="n">
        <f aca="false">IF(D$7&lt;YEAR(Startops1),0,HLOOKUP(D$7,OM_Table,Assm!$G60)*D$12/12*Exch/D$27*D$26)</f>
        <v>0</v>
      </c>
      <c r="E73" s="217" t="n">
        <f aca="false">IF(E$7&lt;YEAR(Startops1),0,HLOOKUP(E$7,OM_Table,Assm!$G60)*E$12/12*Exch/E$27*E$26)</f>
        <v>539.238330106343</v>
      </c>
      <c r="F73" s="217" t="n">
        <f aca="false">IF(F$7&lt;YEAR(Startops1),0,HLOOKUP(F$7,OM_Table,Assm!$G60)*F$12/12*Exch/F$27*F$26)</f>
        <v>517.234167725781</v>
      </c>
      <c r="G73" s="217" t="n">
        <f aca="false">IF(G$7&lt;YEAR(Startops1),0,HLOOKUP(G$7,OM_Table,Assm!$G60)*G$12/12*Exch/G$27*G$26)</f>
        <v>601.897327480645</v>
      </c>
      <c r="H73" s="217" t="n">
        <f aca="false">IF(H$7&lt;YEAR(Startops1),0,HLOOKUP(H$7,OM_Table,Assm!$G60)*H$12/12*Exch/H$27*H$26)</f>
        <v>629.760079870539</v>
      </c>
      <c r="I73" s="217" t="n">
        <f aca="false">IF(I$7&lt;YEAR(Startops1),0,HLOOKUP(I$7,OM_Table,Assm!$G60)*I$12/12*Exch/I$27*I$26)</f>
        <v>629.654432084229</v>
      </c>
      <c r="J73" s="217" t="n">
        <f aca="false">IF(J$7&lt;YEAR(Startops1),0,HLOOKUP(J$7,OM_Table,Assm!$G60)*J$12/12*Exch/J$27*J$26)</f>
        <v>648.112534921362</v>
      </c>
      <c r="K73" s="217" t="n">
        <f aca="false">IF(K$7&lt;YEAR(Startops1),0,HLOOKUP(K$7,OM_Table,Assm!$G60)*K$12/12*Exch/K$27*K$26)</f>
        <v>676.557722769809</v>
      </c>
      <c r="L73" s="217" t="n">
        <f aca="false">IF(L$7&lt;YEAR(Startops1),0,HLOOKUP(L$7,OM_Table,Assm!$G60)*L$12/12*Exch/L$27*L$26)</f>
        <v>706.24032966571</v>
      </c>
      <c r="M73" s="217" t="n">
        <f aca="false">IF(M$7&lt;YEAR(Startops1),0,HLOOKUP(M$7,OM_Table,Assm!$G60)*M$12/12*Exch/M$27*M$26)</f>
        <v>738.38242387294</v>
      </c>
      <c r="N73" s="217" t="n">
        <f aca="false">IF(N$7&lt;YEAR(Startops1),0,HLOOKUP(N$7,OM_Table,Assm!$G60)*N$12/12*Exch/N$27*N$26)</f>
        <v>772.479383310717</v>
      </c>
      <c r="O73" s="217" t="n">
        <f aca="false">IF(O$7&lt;YEAR(Startops1),0,HLOOKUP(O$7,OM_Table,Assm!$G60)*O$12/12*Exch/O$27*O$26)</f>
        <v>808.336248698717</v>
      </c>
      <c r="P73" s="217" t="n">
        <f aca="false">IF(P$7&lt;YEAR(Startops1),0,HLOOKUP(P$7,OM_Table,Assm!$G60)*P$12/12*Exch/P$27*P$26)</f>
        <v>845.147668924333</v>
      </c>
      <c r="Q73" s="217" t="n">
        <f aca="false">IF(Q$7&lt;YEAR(Startops1),0,HLOOKUP(Q$7,OM_Table,Assm!$G60)*Q$12/12*Exch/Q$27*Q$26)</f>
        <v>884.546811276481</v>
      </c>
      <c r="R73" s="217" t="n">
        <f aca="false">IF(R$7&lt;YEAR(Startops1),0,HLOOKUP(R$7,OM_Table,Assm!$G60)*R$12/12*Exch/R$27*R$26)</f>
        <v>927.634131386882</v>
      </c>
      <c r="S73" s="217" t="n">
        <f aca="false">IF(S$7&lt;YEAR(Startops1),0,HLOOKUP(S$7,OM_Table,Assm!$G60)*S$12/12*Exch/S$27*S$26)</f>
        <v>973.880380288886</v>
      </c>
      <c r="T73" s="217" t="n">
        <f aca="false">IF(T$7&lt;YEAR(Startops1),0,HLOOKUP(T$7,OM_Table,Assm!$G60)*T$12/12*Exch/T$27*T$26)</f>
        <v>1021.55516087449</v>
      </c>
      <c r="U73" s="217" t="n">
        <f aca="false">IF(U$7&lt;YEAR(Startops1),0,HLOOKUP(U$7,OM_Table,Assm!$G60)*U$12/12*Exch/U$27*U$26)</f>
        <v>1071.23872974387</v>
      </c>
      <c r="V73" s="217" t="n">
        <f aca="false">IF(V$7&lt;YEAR(Startops1),0,HLOOKUP(V$7,OM_Table,Assm!$G60)*V$12/12*Exch/V$27*V$26)</f>
        <v>1122.71954268546</v>
      </c>
      <c r="W73" s="217" t="n">
        <f aca="false">IF(W$7&lt;YEAR(Startops1),0,HLOOKUP(W$7,OM_Table,Assm!$G60)*W$12/12*Exch/W$27*W$26)</f>
        <v>1176.29667675261</v>
      </c>
      <c r="X73" s="217" t="n">
        <f aca="false">IF(X$7&lt;YEAR(Startops1),0,HLOOKUP(X$7,OM_Table,Assm!$G60)*X$12/12*Exch/X$27*X$26)</f>
        <v>1231.67530583949</v>
      </c>
      <c r="Y73" s="217" t="n">
        <f aca="false">IF(Y$7&lt;YEAR(Startops1),0,HLOOKUP(Y$7,OM_Table,Assm!$G60)*Y$12/12*Exch/Y$27*Y$26)</f>
        <v>429.889231084035</v>
      </c>
      <c r="Z73" s="574" t="n">
        <f aca="false">SUM(D73:Y73)</f>
        <v>16952.4766193633</v>
      </c>
      <c r="AA73" s="175" t="n">
        <f aca="false">AA72+1</f>
        <v>67</v>
      </c>
    </row>
    <row r="74" customFormat="false" ht="12.75" hidden="false" customHeight="false" outlineLevel="0" collapsed="false">
      <c r="A74" s="37" t="str">
        <f aca="false">Assm!A62</f>
        <v>Commercial Office</v>
      </c>
      <c r="B74" s="38"/>
      <c r="C74" s="607"/>
      <c r="D74" s="217" t="n">
        <f aca="false">IF(D$7&lt;YEAR(Startops1),0,HLOOKUP(D$7,OM_Table,Assm!$G61)*D$12/12*Exch/D$27*D$26)</f>
        <v>0</v>
      </c>
      <c r="E74" s="217" t="n">
        <f aca="false">IF(E$7&lt;YEAR(Startops1),0,HLOOKUP(E$7,OM_Table,Assm!$G61)*E$12/12*Exch/E$27*E$26)</f>
        <v>680.682666311143</v>
      </c>
      <c r="F74" s="217" t="n">
        <f aca="false">IF(F$7&lt;YEAR(Startops1),0,HLOOKUP(F$7,OM_Table,Assm!$G61)*F$12/12*Exch/F$27*F$26)</f>
        <v>652.906725538924</v>
      </c>
      <c r="G74" s="217" t="n">
        <f aca="false">IF(G$7&lt;YEAR(Startops1),0,HLOOKUP(G$7,OM_Table,Assm!$G61)*G$12/12*Exch/G$27*G$26)</f>
        <v>744.872430340026</v>
      </c>
      <c r="H74" s="217" t="n">
        <f aca="false">IF(H$7&lt;YEAR(Startops1),0,HLOOKUP(H$7,OM_Table,Assm!$G61)*H$12/12*Exch/H$27*H$26)</f>
        <v>756.228735819836</v>
      </c>
      <c r="I74" s="217" t="n">
        <f aca="false">IF(I$7&lt;YEAR(Startops1),0,HLOOKUP(I$7,OM_Table,Assm!$G61)*I$12/12*Exch/I$27*I$26)</f>
        <v>756.101871805369</v>
      </c>
      <c r="J74" s="217" t="n">
        <f aca="false">IF(J$7&lt;YEAR(Startops1),0,HLOOKUP(J$7,OM_Table,Assm!$G61)*J$12/12*Exch/J$27*J$26)</f>
        <v>778.266737792155</v>
      </c>
      <c r="K74" s="217" t="n">
        <f aca="false">IF(K$7&lt;YEAR(Startops1),0,HLOOKUP(K$7,OM_Table,Assm!$G61)*K$12/12*Exch/K$27*K$26)</f>
        <v>812.424298956099</v>
      </c>
      <c r="L74" s="217" t="n">
        <f aca="false">IF(L$7&lt;YEAR(Startops1),0,HLOOKUP(L$7,OM_Table,Assm!$G61)*L$12/12*Exch/L$27*L$26)</f>
        <v>848.06777812572</v>
      </c>
      <c r="M74" s="217" t="n">
        <f aca="false">IF(M$7&lt;YEAR(Startops1),0,HLOOKUP(M$7,OM_Table,Assm!$G61)*M$12/12*Exch/M$27*M$26)</f>
        <v>886.664659772985</v>
      </c>
      <c r="N74" s="217" t="n">
        <f aca="false">IF(N$7&lt;YEAR(Startops1),0,HLOOKUP(N$7,OM_Table,Assm!$G61)*N$12/12*Exch/N$27*N$26)</f>
        <v>927.608983421177</v>
      </c>
      <c r="O74" s="217" t="n">
        <f aca="false">IF(O$7&lt;YEAR(Startops1),0,HLOOKUP(O$7,OM_Table,Assm!$G61)*O$12/12*Exch/O$27*O$26)</f>
        <v>970.666637994016</v>
      </c>
      <c r="P74" s="217" t="n">
        <f aca="false">IF(P$7&lt;YEAR(Startops1),0,HLOOKUP(P$7,OM_Table,Assm!$G61)*P$12/12*Exch/P$27*P$26)</f>
        <v>1014.87054146575</v>
      </c>
      <c r="Q74" s="217" t="n">
        <f aca="false">IF(Q$7&lt;YEAR(Startops1),0,HLOOKUP(Q$7,OM_Table,Assm!$G61)*Q$12/12*Exch/Q$27*Q$26)</f>
        <v>1062.18183439413</v>
      </c>
      <c r="R74" s="217" t="n">
        <f aca="false">IF(R$7&lt;YEAR(Startops1),0,HLOOKUP(R$7,OM_Table,Assm!$G61)*R$12/12*Exch/R$27*R$26)</f>
        <v>1113.92196632445</v>
      </c>
      <c r="S74" s="217" t="n">
        <f aca="false">IF(S$7&lt;YEAR(Startops1),0,HLOOKUP(S$7,OM_Table,Assm!$G61)*S$12/12*Exch/S$27*S$26)</f>
        <v>1169.45540431366</v>
      </c>
      <c r="T74" s="217" t="n">
        <f aca="false">IF(T$7&lt;YEAR(Startops1),0,HLOOKUP(T$7,OM_Table,Assm!$G61)*T$12/12*Exch/T$27*T$26)</f>
        <v>1226.70425225612</v>
      </c>
      <c r="U74" s="217" t="n">
        <f aca="false">IF(U$7&lt;YEAR(Startops1),0,HLOOKUP(U$7,OM_Table,Assm!$G61)*U$12/12*Exch/U$27*U$26)</f>
        <v>1286.36529410055</v>
      </c>
      <c r="V74" s="217" t="n">
        <f aca="false">IF(V$7&lt;YEAR(Startops1),0,HLOOKUP(V$7,OM_Table,Assm!$G61)*V$12/12*Exch/V$27*V$26)</f>
        <v>1348.18450324731</v>
      </c>
      <c r="W74" s="217" t="n">
        <f aca="false">IF(W$7&lt;YEAR(Startops1),0,HLOOKUP(W$7,OM_Table,Assm!$G61)*W$12/12*Exch/W$27*W$26)</f>
        <v>1412.52101751602</v>
      </c>
      <c r="X74" s="217" t="n">
        <f aca="false">IF(X$7&lt;YEAR(Startops1),0,HLOOKUP(X$7,OM_Table,Assm!$G61)*X$12/12*Exch/X$27*X$26)</f>
        <v>1479.02080371145</v>
      </c>
      <c r="Y74" s="217" t="n">
        <f aca="false">IF(Y$7&lt;YEAR(Startops1),0,HLOOKUP(Y$7,OM_Table,Assm!$G61)*Y$12/12*Exch/Y$27*Y$26)</f>
        <v>516.219748054008</v>
      </c>
      <c r="Z74" s="574" t="n">
        <f aca="false">SUM(D74:Y74)</f>
        <v>20443.9368912609</v>
      </c>
      <c r="AA74" s="175" t="n">
        <f aca="false">AA73+1</f>
        <v>68</v>
      </c>
    </row>
    <row r="75" customFormat="false" ht="12.75" hidden="false" customHeight="false" outlineLevel="0" collapsed="false">
      <c r="A75" s="37" t="str">
        <f aca="false">Assm!A63</f>
        <v>Sustaining Capital</v>
      </c>
      <c r="B75" s="38"/>
      <c r="C75" s="38"/>
      <c r="D75" s="217" t="n">
        <f aca="false">IF(D$7&lt;YEAR(Startops1),0,HLOOKUP(D$7,OM_Table,Assm!$G62)*D$12/12*Exch/D$27*D$26)</f>
        <v>0</v>
      </c>
      <c r="E75" s="217" t="n">
        <f aca="false">IF(E$7&lt;YEAR(Startops1),0,HLOOKUP(E$7,OM_Table,Assm!$G62)*E$12/12*Exch/E$27*E$26)</f>
        <v>0</v>
      </c>
      <c r="F75" s="217" t="n">
        <f aca="false">IF(F$7&lt;YEAR(Startops1),0,HLOOKUP(F$7,OM_Table,Assm!$G62)*F$12/12*Exch/F$27*F$26)</f>
        <v>0</v>
      </c>
      <c r="G75" s="217" t="n">
        <f aca="false">IF(G$7&lt;YEAR(Startops1),0,HLOOKUP(G$7,OM_Table,Assm!$G62)*G$12/12*Exch/G$27*G$26)</f>
        <v>287.587965927691</v>
      </c>
      <c r="H75" s="217" t="n">
        <f aca="false">IF(H$7&lt;YEAR(Startops1),0,HLOOKUP(H$7,OM_Table,Assm!$G62)*H$12/12*Exch/H$27*H$26)</f>
        <v>291.972524491499</v>
      </c>
      <c r="I75" s="217" t="n">
        <f aca="false">IF(I$7&lt;YEAR(Startops1),0,HLOOKUP(I$7,OM_Table,Assm!$G62)*I$12/12*Exch/I$27*I$26)</f>
        <v>291.923543535319</v>
      </c>
      <c r="J75" s="217" t="n">
        <f aca="false">IF(J$7&lt;YEAR(Startops1),0,HLOOKUP(J$7,OM_Table,Assm!$G62)*J$12/12*Exch/J$27*J$26)</f>
        <v>300.48118168188</v>
      </c>
      <c r="K75" s="217" t="n">
        <f aca="false">IF(K$7&lt;YEAR(Startops1),0,HLOOKUP(K$7,OM_Table,Assm!$G62)*K$12/12*Exch/K$27*K$26)</f>
        <v>313.66908223514</v>
      </c>
      <c r="L75" s="217" t="n">
        <f aca="false">IF(L$7&lt;YEAR(Startops1),0,HLOOKUP(L$7,OM_Table,Assm!$G62)*L$12/12*Exch/L$27*L$26)</f>
        <v>327.430681208938</v>
      </c>
      <c r="M75" s="217" t="n">
        <f aca="false">IF(M$7&lt;YEAR(Startops1),0,HLOOKUP(M$7,OM_Table,Assm!$G62)*M$12/12*Exch/M$27*M$26)</f>
        <v>342.33256001659</v>
      </c>
      <c r="N75" s="217" t="n">
        <f aca="false">IF(N$7&lt;YEAR(Startops1),0,HLOOKUP(N$7,OM_Table,Assm!$G62)*N$12/12*Exch/N$27*N$26)</f>
        <v>358.140763239917</v>
      </c>
      <c r="O75" s="217" t="n">
        <f aca="false">IF(O$7&lt;YEAR(Startops1),0,HLOOKUP(O$7,OM_Table,Assm!$G62)*O$12/12*Exch/O$27*O$26)</f>
        <v>374.764902880268</v>
      </c>
      <c r="P75" s="217" t="n">
        <f aca="false">IF(P$7&lt;YEAR(Startops1),0,HLOOKUP(P$7,OM_Table,Assm!$G62)*P$12/12*Exch/P$27*P$26)</f>
        <v>391.831598018518</v>
      </c>
      <c r="Q75" s="217" t="n">
        <f aca="false">IF(Q$7&lt;YEAR(Startops1),0,HLOOKUP(Q$7,OM_Table,Assm!$G62)*Q$12/12*Exch/Q$27*Q$26)</f>
        <v>410.098025858342</v>
      </c>
      <c r="R75" s="217" t="n">
        <f aca="false">IF(R$7&lt;YEAR(Startops1),0,HLOOKUP(R$7,OM_Table,Assm!$G62)*R$12/12*Exch/R$27*R$26)</f>
        <v>430.074385155033</v>
      </c>
      <c r="S75" s="217" t="n">
        <f aca="false">IF(S$7&lt;YEAR(Startops1),0,HLOOKUP(S$7,OM_Table,Assm!$G62)*S$12/12*Exch/S$27*S$26)</f>
        <v>451.515302850159</v>
      </c>
      <c r="T75" s="217" t="n">
        <f aca="false">IF(T$7&lt;YEAR(Startops1),0,HLOOKUP(T$7,OM_Table,Assm!$G62)*T$12/12*Exch/T$27*T$26)</f>
        <v>473.618523564018</v>
      </c>
      <c r="U75" s="217" t="n">
        <f aca="false">IF(U$7&lt;YEAR(Startops1),0,HLOOKUP(U$7,OM_Table,Assm!$G62)*U$12/12*Exch/U$27*U$26)</f>
        <v>496.653068769745</v>
      </c>
      <c r="V75" s="217" t="n">
        <f aca="false">IF(V$7&lt;YEAR(Startops1),0,HLOOKUP(V$7,OM_Table,Assm!$G62)*V$12/12*Exch/V$27*V$26)</f>
        <v>520.520861279745</v>
      </c>
      <c r="W75" s="217" t="n">
        <f aca="false">IF(W$7&lt;YEAR(Startops1),0,HLOOKUP(W$7,OM_Table,Assm!$G62)*W$12/12*Exch/W$27*W$26)</f>
        <v>545.360560696423</v>
      </c>
      <c r="X75" s="217" t="n">
        <f aca="false">IF(X$7&lt;YEAR(Startops1),0,HLOOKUP(X$7,OM_Table,Assm!$G62)*X$12/12*Exch/X$27*X$26)</f>
        <v>571.035478262964</v>
      </c>
      <c r="Y75" s="217" t="n">
        <f aca="false">IF(Y$7&lt;YEAR(Startops1),0,HLOOKUP(Y$7,OM_Table,Assm!$G62)*Y$12/12*Exch/Y$27*Y$26)</f>
        <v>199.307399854747</v>
      </c>
      <c r="Z75" s="574" t="n">
        <f aca="false">SUM(D75:Y75)</f>
        <v>7378.31840952694</v>
      </c>
      <c r="AA75" s="175" t="n">
        <f aca="false">AA74+1</f>
        <v>69</v>
      </c>
    </row>
    <row r="76" customFormat="false" ht="12.75" hidden="false" customHeight="false" outlineLevel="0" collapsed="false">
      <c r="A76" s="37" t="str">
        <f aca="false">Assm!A64</f>
        <v>Minor Maintenance (Incl WTF)</v>
      </c>
      <c r="B76" s="38"/>
      <c r="C76" s="23"/>
      <c r="D76" s="217" t="n">
        <f aca="false">IF(D$7&lt;YEAR(Startops1),0,HLOOKUP(D$7,OM_Table,Assm!$G63)*D$12/12*Exch/D$27*D$26)</f>
        <v>0</v>
      </c>
      <c r="E76" s="217" t="n">
        <f aca="false">IF(E$7&lt;YEAR(Startops1),0,HLOOKUP(E$7,OM_Table,Assm!$G63)*E$12/12*Exch/E$27*E$26)</f>
        <v>156.096392138857</v>
      </c>
      <c r="F76" s="217" t="n">
        <f aca="false">IF(F$7&lt;YEAR(Startops1),0,HLOOKUP(F$7,OM_Table,Assm!$G63)*F$12/12*Exch/F$27*F$26)</f>
        <v>149.726721869004</v>
      </c>
      <c r="G76" s="217" t="n">
        <f aca="false">IF(G$7&lt;YEAR(Startops1),0,HLOOKUP(G$7,OM_Table,Assm!$G63)*G$12/12*Exch/G$27*G$26)</f>
        <v>846.023977462353</v>
      </c>
      <c r="H76" s="217" t="n">
        <f aca="false">IF(H$7&lt;YEAR(Startops1),0,HLOOKUP(H$7,OM_Table,Assm!$G63)*H$12/12*Exch/H$27*H$26)</f>
        <v>989.747322783606</v>
      </c>
      <c r="I76" s="217" t="n">
        <f aca="false">IF(I$7&lt;YEAR(Startops1),0,HLOOKUP(I$7,OM_Table,Assm!$G63)*I$12/12*Exch/I$27*I$26)</f>
        <v>989.58128397454</v>
      </c>
      <c r="J76" s="217" t="n">
        <f aca="false">IF(J$7&lt;YEAR(Startops1),0,HLOOKUP(J$7,OM_Table,Assm!$G63)*J$12/12*Exch/J$27*J$26)</f>
        <v>1018.59051852379</v>
      </c>
      <c r="K76" s="217" t="n">
        <f aca="false">IF(K$7&lt;YEAR(Startops1),0,HLOOKUP(K$7,OM_Table,Assm!$G63)*K$12/12*Exch/K$27*K$26)</f>
        <v>1063.29571565992</v>
      </c>
      <c r="L76" s="217" t="n">
        <f aca="false">IF(L$7&lt;YEAR(Startops1),0,HLOOKUP(L$7,OM_Table,Assm!$G63)*L$12/12*Exch/L$27*L$26)</f>
        <v>1109.94567275865</v>
      </c>
      <c r="M76" s="217" t="n">
        <f aca="false">IF(M$7&lt;YEAR(Startops1),0,HLOOKUP(M$7,OM_Table,Assm!$G63)*M$12/12*Exch/M$27*M$26)</f>
        <v>1160.46102409182</v>
      </c>
      <c r="N76" s="217" t="n">
        <f aca="false">IF(N$7&lt;YEAR(Startops1),0,HLOOKUP(N$7,OM_Table,Assm!$G63)*N$12/12*Exch/N$27*N$26)</f>
        <v>1214.04869247108</v>
      </c>
      <c r="O76" s="217" t="n">
        <f aca="false">IF(O$7&lt;YEAR(Startops1),0,HLOOKUP(O$7,OM_Table,Assm!$G63)*O$12/12*Exch/O$27*O$26)</f>
        <v>1270.40227482022</v>
      </c>
      <c r="P76" s="217" t="n">
        <f aca="false">IF(P$7&lt;YEAR(Startops1),0,HLOOKUP(P$7,OM_Table,Assm!$G63)*P$12/12*Exch/P$27*P$26)</f>
        <v>1328.25606038195</v>
      </c>
      <c r="Q76" s="217" t="n">
        <f aca="false">IF(Q$7&lt;YEAR(Startops1),0,HLOOKUP(Q$7,OM_Table,Assm!$G63)*Q$12/12*Exch/Q$27*Q$26)</f>
        <v>1390.17677734931</v>
      </c>
      <c r="R76" s="217" t="n">
        <f aca="false">IF(R$7&lt;YEAR(Startops1),0,HLOOKUP(R$7,OM_Table,Assm!$G63)*R$12/12*Exch/R$27*R$26)</f>
        <v>1457.89393041808</v>
      </c>
      <c r="S76" s="217" t="n">
        <f aca="false">IF(S$7&lt;YEAR(Startops1),0,HLOOKUP(S$7,OM_Table,Assm!$G63)*S$12/12*Exch/S$27*S$26)</f>
        <v>1530.57573814548</v>
      </c>
      <c r="T76" s="217" t="n">
        <f aca="false">IF(T$7&lt;YEAR(Startops1),0,HLOOKUP(T$7,OM_Table,Assm!$G63)*T$12/12*Exch/T$27*T$26)</f>
        <v>1605.50266342565</v>
      </c>
      <c r="U76" s="217" t="n">
        <f aca="false">IF(U$7&lt;YEAR(Startops1),0,HLOOKUP(U$7,OM_Table,Assm!$G63)*U$12/12*Exch/U$27*U$26)</f>
        <v>1683.58665262501</v>
      </c>
      <c r="V76" s="217" t="n">
        <f aca="false">IF(V$7&lt;YEAR(Startops1),0,HLOOKUP(V$7,OM_Table,Assm!$G63)*V$12/12*Exch/V$27*V$26)</f>
        <v>1764.49523735801</v>
      </c>
      <c r="W76" s="217" t="n">
        <f aca="false">IF(W$7&lt;YEAR(Startops1),0,HLOOKUP(W$7,OM_Table,Assm!$G63)*W$12/12*Exch/W$27*W$26)</f>
        <v>1848.69845490125</v>
      </c>
      <c r="X76" s="217" t="n">
        <f aca="false">IF(X$7&lt;YEAR(Startops1),0,HLOOKUP(X$7,OM_Table,Assm!$G63)*X$12/12*Exch/X$27*X$26)</f>
        <v>1935.7329488778</v>
      </c>
      <c r="Y76" s="217" t="n">
        <f aca="false">IF(Y$7&lt;YEAR(Startops1),0,HLOOKUP(Y$7,OM_Table,Assm!$G63)*Y$12/12*Exch/Y$27*Y$26)</f>
        <v>675.625097809302</v>
      </c>
      <c r="Z76" s="574" t="n">
        <f aca="false">SUM(D76:Y76)</f>
        <v>25188.4631578457</v>
      </c>
      <c r="AA76" s="175" t="n">
        <f aca="false">AA75+1</f>
        <v>70</v>
      </c>
    </row>
    <row r="77" customFormat="false" ht="12.75" hidden="false" customHeight="false" outlineLevel="0" collapsed="false">
      <c r="A77" s="37" t="str">
        <f aca="false">Assm!A65</f>
        <v>Major Maintenance (Avg)</v>
      </c>
      <c r="B77" s="38"/>
      <c r="C77" s="38"/>
      <c r="D77" s="220" t="n">
        <f aca="false">Trapped!F86</f>
        <v>0</v>
      </c>
      <c r="E77" s="220" t="n">
        <f aca="false">Trapped!G86</f>
        <v>282.928225151282</v>
      </c>
      <c r="F77" s="220" t="n">
        <f aca="false">Trapped!H86</f>
        <v>282.928225151282</v>
      </c>
      <c r="G77" s="220" t="n">
        <f aca="false">Trapped!I86</f>
        <v>282.928225151282</v>
      </c>
      <c r="H77" s="220" t="n">
        <f aca="false">Trapped!J86</f>
        <v>282.928225151282</v>
      </c>
      <c r="I77" s="220" t="n">
        <f aca="false">Trapped!K86</f>
        <v>282.928225151282</v>
      </c>
      <c r="J77" s="220" t="n">
        <f aca="false">Trapped!L86</f>
        <v>282.928225151282</v>
      </c>
      <c r="K77" s="220" t="n">
        <f aca="false">Trapped!M86</f>
        <v>282.928225151282</v>
      </c>
      <c r="L77" s="220" t="n">
        <f aca="false">Trapped!N86</f>
        <v>282.928225151282</v>
      </c>
      <c r="M77" s="220" t="n">
        <f aca="false">Trapped!O86</f>
        <v>282.928225151282</v>
      </c>
      <c r="N77" s="220" t="n">
        <f aca="false">Trapped!P86</f>
        <v>282.928225151282</v>
      </c>
      <c r="O77" s="220" t="n">
        <f aca="false">Trapped!Q86</f>
        <v>282.928225151282</v>
      </c>
      <c r="P77" s="220" t="n">
        <f aca="false">Trapped!R86</f>
        <v>282.928225151282</v>
      </c>
      <c r="Q77" s="220" t="n">
        <f aca="false">Trapped!S86</f>
        <v>282.928225151282</v>
      </c>
      <c r="R77" s="220" t="n">
        <f aca="false">Trapped!T86</f>
        <v>282.928225151282</v>
      </c>
      <c r="S77" s="220" t="n">
        <f aca="false">Trapped!U86</f>
        <v>282.928225151282</v>
      </c>
      <c r="T77" s="220" t="n">
        <f aca="false">Trapped!V86</f>
        <v>282.928225151282</v>
      </c>
      <c r="U77" s="220" t="n">
        <f aca="false">Trapped!W86</f>
        <v>282.928225151282</v>
      </c>
      <c r="V77" s="220" t="n">
        <f aca="false">Trapped!X86</f>
        <v>282.928225151282</v>
      </c>
      <c r="W77" s="220" t="n">
        <f aca="false">Trapped!Y86</f>
        <v>282.928225151282</v>
      </c>
      <c r="X77" s="220" t="n">
        <f aca="false">Trapped!Z86</f>
        <v>109.060670128941</v>
      </c>
      <c r="Y77" s="220" t="n">
        <f aca="false">Trapped!AA86</f>
        <v>114.195699307176</v>
      </c>
      <c r="Z77" s="576" t="n">
        <f aca="false">SUM(D77:Y77)</f>
        <v>5598.89264731048</v>
      </c>
      <c r="AA77" s="175" t="n">
        <f aca="false">AA76+1</f>
        <v>71</v>
      </c>
    </row>
    <row r="78" customFormat="false" ht="12.75" hidden="false" customHeight="false" outlineLevel="0" collapsed="false">
      <c r="A78" s="37" t="s">
        <v>817</v>
      </c>
      <c r="B78" s="38"/>
      <c r="C78" s="23"/>
      <c r="D78" s="217" t="n">
        <f aca="false">SUM(D72:D77)</f>
        <v>0</v>
      </c>
      <c r="E78" s="217" t="n">
        <f aca="false">SUM(E72:E77)</f>
        <v>2922.77255298599</v>
      </c>
      <c r="F78" s="217" t="n">
        <f aca="false">SUM(F72:F77)</f>
        <v>2815.05105025523</v>
      </c>
      <c r="G78" s="217" t="n">
        <f aca="false">SUM(G72:G77)</f>
        <v>4570.02700013137</v>
      </c>
      <c r="H78" s="217" t="n">
        <f aca="false">SUM(H72:H77)</f>
        <v>4478.03816238774</v>
      </c>
      <c r="I78" s="217" t="n">
        <f aca="false">SUM(I72:I77)</f>
        <v>4477.3343958386</v>
      </c>
      <c r="J78" s="217" t="n">
        <f aca="false">SUM(J72:J77)</f>
        <v>4600.29196826921</v>
      </c>
      <c r="K78" s="217" t="n">
        <f aca="false">SUM(K72:K77)</f>
        <v>4789.77792335564</v>
      </c>
      <c r="L78" s="217" t="n">
        <f aca="false">SUM(L72:L77)</f>
        <v>4987.50687304975</v>
      </c>
      <c r="M78" s="217" t="n">
        <f aca="false">SUM(M72:M77)</f>
        <v>5201.61955361226</v>
      </c>
      <c r="N78" s="217" t="n">
        <f aca="false">SUM(N72:N77)</f>
        <v>5428.75445456751</v>
      </c>
      <c r="O78" s="217" t="n">
        <f aca="false">SUM(O72:O77)</f>
        <v>5667.61286607284</v>
      </c>
      <c r="P78" s="217" t="n">
        <f aca="false">SUM(P72:P77)</f>
        <v>5912.82998879681</v>
      </c>
      <c r="Q78" s="217" t="n">
        <f aca="false">SUM(Q72:Q77)</f>
        <v>6175.28507111017</v>
      </c>
      <c r="R78" s="217" t="n">
        <f aca="false">SUM(R72:R77)</f>
        <v>6462.30873383771</v>
      </c>
      <c r="S78" s="217" t="n">
        <f aca="false">SUM(S72:S77)</f>
        <v>6770.375415944</v>
      </c>
      <c r="T78" s="217" t="n">
        <f aca="false">SUM(T72:T77)</f>
        <v>7087.9581783054</v>
      </c>
      <c r="U78" s="217" t="n">
        <f aca="false">SUM(U72:U77)</f>
        <v>7418.92236632468</v>
      </c>
      <c r="V78" s="217" t="n">
        <f aca="false">SUM(V72:V77)</f>
        <v>7761.85879060973</v>
      </c>
      <c r="W78" s="217" t="n">
        <f aca="false">SUM(W72:W77)</f>
        <v>8118.75973545842</v>
      </c>
      <c r="X78" s="217" t="n">
        <f aca="false">SUM(X72:X77)</f>
        <v>8313.79367898877</v>
      </c>
      <c r="Y78" s="217" t="n">
        <f aca="false">SUM(Y72:Y77)</f>
        <v>2977.87766784718</v>
      </c>
      <c r="Z78" s="574" t="n">
        <f aca="false">SUM(D78:Y78)</f>
        <v>116938.756427749</v>
      </c>
      <c r="AA78" s="175" t="n">
        <f aca="false">AA77+1</f>
        <v>72</v>
      </c>
    </row>
    <row r="79" customFormat="false" ht="12.75" hidden="false" customHeight="false" outlineLevel="0" collapsed="false">
      <c r="A79" s="37"/>
      <c r="B79" s="38"/>
      <c r="C79" s="23"/>
      <c r="D79" s="556"/>
      <c r="E79" s="556"/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556"/>
      <c r="Q79" s="556"/>
      <c r="R79" s="556"/>
      <c r="S79" s="556"/>
      <c r="T79" s="556"/>
      <c r="U79" s="556"/>
      <c r="V79" s="556"/>
      <c r="W79" s="556"/>
      <c r="X79" s="556"/>
      <c r="Y79" s="556"/>
      <c r="Z79" s="557"/>
      <c r="AA79" s="175" t="n">
        <f aca="false">AA78+1</f>
        <v>73</v>
      </c>
    </row>
    <row r="80" customFormat="false" ht="12.75" hidden="false" customHeight="false" outlineLevel="0" collapsed="false">
      <c r="A80" s="132" t="s">
        <v>818</v>
      </c>
      <c r="B80" s="38"/>
      <c r="C80" s="23"/>
      <c r="D80" s="556"/>
      <c r="E80" s="556"/>
      <c r="F80" s="556"/>
      <c r="G80" s="556"/>
      <c r="H80" s="556"/>
      <c r="I80" s="556"/>
      <c r="J80" s="556"/>
      <c r="K80" s="556"/>
      <c r="L80" s="556"/>
      <c r="M80" s="556"/>
      <c r="N80" s="556"/>
      <c r="O80" s="556"/>
      <c r="P80" s="556"/>
      <c r="Q80" s="556"/>
      <c r="R80" s="556"/>
      <c r="S80" s="556"/>
      <c r="T80" s="556"/>
      <c r="U80" s="556"/>
      <c r="V80" s="556"/>
      <c r="W80" s="556"/>
      <c r="X80" s="556"/>
      <c r="Y80" s="556"/>
      <c r="Z80" s="557"/>
      <c r="AA80" s="175" t="n">
        <f aca="false">AA79+1</f>
        <v>74</v>
      </c>
    </row>
    <row r="81" customFormat="false" ht="12.75" hidden="false" customHeight="false" outlineLevel="0" collapsed="false">
      <c r="A81" s="37" t="str">
        <f aca="false">Assm!A68</f>
        <v>JVM Management Fee</v>
      </c>
      <c r="B81" s="79" t="n">
        <v>-2</v>
      </c>
      <c r="C81" s="23"/>
      <c r="D81" s="217" t="n">
        <f aca="false">IF(D$7&lt;YEAR(Startops1),0,HLOOKUP(D$7,OM_Table,Assm!$G67)*D$12/12*D$25)</f>
        <v>0</v>
      </c>
      <c r="E81" s="217" t="n">
        <f aca="false">IF(E$7&lt;YEAR(Startops1),0,HLOOKUP(E$7,OM_Table,Assm!$G67)*E$12/12*E$25)</f>
        <v>350.140449438202</v>
      </c>
      <c r="F81" s="217" t="n">
        <f aca="false">IF(F$7&lt;YEAR(Startops1),0,HLOOKUP(F$7,OM_Table,Assm!$G67)*F$12/12*F$25)</f>
        <v>477.935997765286</v>
      </c>
      <c r="G81" s="217" t="n">
        <f aca="false">IF(G$7&lt;YEAR(Startops1),0,HLOOKUP(G$7,OM_Table,Assm!$G67)*G$12/12*G$25)</f>
        <v>987.462555731407</v>
      </c>
      <c r="H81" s="217" t="n">
        <f aca="false">IF(H$7&lt;YEAR(Startops1),0,HLOOKUP(H$7,OM_Table,Assm!$G67)*H$12/12*H$25)</f>
        <v>1018.97160015453</v>
      </c>
      <c r="I81" s="217" t="n">
        <f aca="false">IF(I$7&lt;YEAR(Startops1),0,HLOOKUP(I$7,OM_Table,Assm!$G67)*I$12/12*I$25)</f>
        <v>1049.65834133496</v>
      </c>
      <c r="J81" s="217" t="n">
        <f aca="false">IF(J$7&lt;YEAR(Startops1),0,HLOOKUP(J$7,OM_Table,Assm!$G67)*J$12/12*J$25)</f>
        <v>1080.31440086159</v>
      </c>
      <c r="K81" s="217" t="n">
        <f aca="false">IF(K$7&lt;YEAR(Startops1),0,HLOOKUP(K$7,OM_Table,Assm!$G67)*K$12/12*K$25)</f>
        <v>1111.1606493837</v>
      </c>
      <c r="L81" s="217" t="n">
        <f aca="false">IF(L$7&lt;YEAR(Startops1),0,HLOOKUP(L$7,OM_Table,Assm!$G67)*L$12/12*L$25)</f>
        <v>1142.27186065919</v>
      </c>
      <c r="M81" s="217" t="n">
        <f aca="false">IF(M$7&lt;YEAR(Startops1),0,HLOOKUP(M$7,OM_Table,Assm!$G67)*M$12/12*M$25)</f>
        <v>1173.50691849613</v>
      </c>
      <c r="N81" s="217" t="n">
        <f aca="false">IF(N$7&lt;YEAR(Startops1),0,HLOOKUP(N$7,OM_Table,Assm!$G67)*N$12/12*N$25)</f>
        <v>1204.90180253021</v>
      </c>
      <c r="O81" s="217" t="n">
        <f aca="false">IF(O$7&lt;YEAR(Startops1),0,HLOOKUP(O$7,OM_Table,Assm!$G67)*O$12/12*O$25)</f>
        <v>1236.5559130443</v>
      </c>
      <c r="P81" s="217" t="n">
        <f aca="false">IF(P$7&lt;YEAR(Startops1),0,HLOOKUP(P$7,OM_Table,Assm!$G67)*P$12/12*P$25)</f>
        <v>1268.50921928296</v>
      </c>
      <c r="Q81" s="217" t="n">
        <f aca="false">IF(Q$7&lt;YEAR(Startops1),0,HLOOKUP(Q$7,OM_Table,Assm!$G67)*Q$12/12*Q$25)</f>
        <v>1300.82663724103</v>
      </c>
      <c r="R81" s="217" t="n">
        <f aca="false">IF(R$7&lt;YEAR(Startops1),0,HLOOKUP(R$7,OM_Table,Assm!$G67)*R$12/12*R$25)</f>
        <v>1333.62774945987</v>
      </c>
      <c r="S81" s="217" t="n">
        <f aca="false">IF(S$7&lt;YEAR(Startops1),0,HLOOKUP(S$7,OM_Table,Assm!$G67)*S$12/12*S$25)</f>
        <v>1367.1096380039</v>
      </c>
      <c r="T81" s="217" t="n">
        <f aca="false">IF(T$7&lt;YEAR(Startops1),0,HLOOKUP(T$7,OM_Table,Assm!$G67)*T$12/12*T$25)</f>
        <v>1401.65804838683</v>
      </c>
      <c r="U81" s="217" t="n">
        <f aca="false">IF(U$7&lt;YEAR(Startops1),0,HLOOKUP(U$7,OM_Table,Assm!$G67)*U$12/12*U$25)</f>
        <v>1437.59735841736</v>
      </c>
      <c r="V81" s="217" t="n">
        <f aca="false">IF(V$7&lt;YEAR(Startops1),0,HLOOKUP(V$7,OM_Table,Assm!$G67)*V$12/12*V$25)</f>
        <v>1475.08510007695</v>
      </c>
      <c r="W81" s="217" t="n">
        <f aca="false">IF(W$7&lt;YEAR(Startops1),0,HLOOKUP(W$7,OM_Table,Assm!$G67)*W$12/12*W$25)</f>
        <v>1514.29202886253</v>
      </c>
      <c r="X81" s="217" t="n">
        <f aca="false">IF(X$7&lt;YEAR(Startops1),0,HLOOKUP(X$7,OM_Table,Assm!$G67)*X$12/12*X$25)</f>
        <v>1555.21199460318</v>
      </c>
      <c r="Y81" s="217" t="n">
        <f aca="false">IF(Y$7&lt;YEAR(Startops1),0,HLOOKUP(Y$7,OM_Table,Assm!$G67)*Y$12/12*Y$25)</f>
        <v>532.630718731894</v>
      </c>
      <c r="Z81" s="574" t="n">
        <f aca="false">SUM(D81:Y81)</f>
        <v>24019.428982466</v>
      </c>
      <c r="AA81" s="175" t="n">
        <f aca="false">AA80+1</f>
        <v>75</v>
      </c>
      <c r="AB81" s="608" t="n">
        <f aca="false">NPV(0.14,F81:Y81)</f>
        <v>7001.88467252909</v>
      </c>
      <c r="AC81" s="1" t="n">
        <v>0.38</v>
      </c>
      <c r="AD81" s="608" t="n">
        <f aca="false">AC81*AB81</f>
        <v>2660.71617556105</v>
      </c>
    </row>
    <row r="82" customFormat="false" ht="12.75" hidden="false" customHeight="false" outlineLevel="0" collapsed="false">
      <c r="A82" s="37" t="str">
        <f aca="false">Assm!A69</f>
        <v>JVM G&amp;A</v>
      </c>
      <c r="B82" s="38"/>
      <c r="C82" s="38"/>
      <c r="D82" s="217" t="n">
        <f aca="false">IF(D$7&lt;YEAR(Startops1),0,HLOOKUP(D$7,OM_Table,Assm!$G68)*D$12/12*D$25)</f>
        <v>0</v>
      </c>
      <c r="E82" s="217" t="n">
        <f aca="false">IF(E$7&lt;YEAR(Startops1),0,HLOOKUP(E$7,OM_Table,Assm!$G68)*E$12/12*E$25)</f>
        <v>58.3567415730337</v>
      </c>
      <c r="F82" s="217" t="n">
        <f aca="false">IF(F$7&lt;YEAR(Startops1),0,HLOOKUP(F$7,OM_Table,Assm!$G68)*F$12/12*F$25)</f>
        <v>79.6559996275476</v>
      </c>
      <c r="G82" s="217" t="n">
        <f aca="false">IF(G$7&lt;YEAR(Startops1),0,HLOOKUP(G$7,OM_Table,Assm!$G68)*G$12/12*G$25)</f>
        <v>164.577092621901</v>
      </c>
      <c r="H82" s="217" t="n">
        <f aca="false">IF(H$7&lt;YEAR(Startops1),0,HLOOKUP(H$7,OM_Table,Assm!$G68)*H$12/12*H$25)</f>
        <v>169.828600025755</v>
      </c>
      <c r="I82" s="217" t="n">
        <f aca="false">IF(I$7&lt;YEAR(Startops1),0,HLOOKUP(I$7,OM_Table,Assm!$G68)*I$12/12*I$25)</f>
        <v>174.94305688916</v>
      </c>
      <c r="J82" s="217" t="n">
        <f aca="false">IF(J$7&lt;YEAR(Startops1),0,HLOOKUP(J$7,OM_Table,Assm!$G68)*J$12/12*J$25)</f>
        <v>180.052400143597</v>
      </c>
      <c r="K82" s="217" t="n">
        <f aca="false">IF(K$7&lt;YEAR(Startops1),0,HLOOKUP(K$7,OM_Table,Assm!$G68)*K$12/12*K$25)</f>
        <v>185.193441563949</v>
      </c>
      <c r="L82" s="217" t="n">
        <f aca="false">IF(L$7&lt;YEAR(Startops1),0,HLOOKUP(L$7,OM_Table,Assm!$G68)*L$12/12*L$25)</f>
        <v>190.378643443198</v>
      </c>
      <c r="M82" s="217" t="n">
        <f aca="false">IF(M$7&lt;YEAR(Startops1),0,HLOOKUP(M$7,OM_Table,Assm!$G68)*M$12/12*M$25)</f>
        <v>195.584486416022</v>
      </c>
      <c r="N82" s="217" t="n">
        <f aca="false">IF(N$7&lt;YEAR(Startops1),0,HLOOKUP(N$7,OM_Table,Assm!$G68)*N$12/12*N$25)</f>
        <v>200.816967088369</v>
      </c>
      <c r="O82" s="217" t="n">
        <f aca="false">IF(O$7&lt;YEAR(Startops1),0,HLOOKUP(O$7,OM_Table,Assm!$G68)*O$12/12*O$25)</f>
        <v>206.09265217405</v>
      </c>
      <c r="P82" s="217" t="n">
        <f aca="false">IF(P$7&lt;YEAR(Startops1),0,HLOOKUP(P$7,OM_Table,Assm!$G68)*P$12/12*P$25)</f>
        <v>211.418203213827</v>
      </c>
      <c r="Q82" s="217" t="n">
        <f aca="false">IF(Q$7&lt;YEAR(Startops1),0,HLOOKUP(Q$7,OM_Table,Assm!$G68)*Q$12/12*Q$25)</f>
        <v>216.804439540171</v>
      </c>
      <c r="R82" s="217" t="n">
        <f aca="false">IF(R$7&lt;YEAR(Startops1),0,HLOOKUP(R$7,OM_Table,Assm!$G68)*R$12/12*R$25)</f>
        <v>222.271291576646</v>
      </c>
      <c r="S82" s="217" t="n">
        <f aca="false">IF(S$7&lt;YEAR(Startops1),0,HLOOKUP(S$7,OM_Table,Assm!$G68)*S$12/12*S$25)</f>
        <v>227.851606333983</v>
      </c>
      <c r="T82" s="217" t="n">
        <f aca="false">IF(T$7&lt;YEAR(Startops1),0,HLOOKUP(T$7,OM_Table,Assm!$G68)*T$12/12*T$25)</f>
        <v>233.609674731138</v>
      </c>
      <c r="U82" s="217" t="n">
        <f aca="false">IF(U$7&lt;YEAR(Startops1),0,HLOOKUP(U$7,OM_Table,Assm!$G68)*U$12/12*U$25)</f>
        <v>239.599559736226</v>
      </c>
      <c r="V82" s="217" t="n">
        <f aca="false">IF(V$7&lt;YEAR(Startops1),0,HLOOKUP(V$7,OM_Table,Assm!$G68)*V$12/12*V$25)</f>
        <v>245.847516679491</v>
      </c>
      <c r="W82" s="217" t="n">
        <f aca="false">IF(W$7&lt;YEAR(Startops1),0,HLOOKUP(W$7,OM_Table,Assm!$G68)*W$12/12*W$25)</f>
        <v>252.382004810422</v>
      </c>
      <c r="X82" s="217" t="n">
        <f aca="false">IF(X$7&lt;YEAR(Startops1),0,HLOOKUP(X$7,OM_Table,Assm!$G68)*X$12/12*X$25)</f>
        <v>259.20199910053</v>
      </c>
      <c r="Y82" s="217" t="n">
        <f aca="false">IF(Y$7&lt;YEAR(Startops1),0,HLOOKUP(Y$7,OM_Table,Assm!$G68)*Y$12/12*Y$25)</f>
        <v>88.7717864553156</v>
      </c>
      <c r="Z82" s="574" t="n">
        <f aca="false">SUM(D82:Y82)</f>
        <v>4003.23816374433</v>
      </c>
      <c r="AA82" s="175" t="n">
        <f aca="false">AA81+1</f>
        <v>76</v>
      </c>
    </row>
    <row r="83" customFormat="false" ht="12.75" hidden="false" customHeight="false" outlineLevel="0" collapsed="false">
      <c r="A83" s="37" t="str">
        <f aca="false">Assm!A70</f>
        <v>Operating Insurance</v>
      </c>
      <c r="B83" s="38"/>
      <c r="C83" s="607"/>
      <c r="D83" s="217" t="n">
        <f aca="false">IF(D$7&lt;YEAR(Startops1),0,HLOOKUP(D$7,OM_Table,Assm!$G69)*D$12/12*D$25)</f>
        <v>0</v>
      </c>
      <c r="E83" s="217" t="n">
        <f aca="false">IF(E$7&lt;YEAR(Startops1),0,HLOOKUP(E$7,OM_Table,Assm!$G69)*E$12/12*E$25)</f>
        <v>0</v>
      </c>
      <c r="F83" s="217" t="n">
        <f aca="false">IF(F$7&lt;YEAR(Startops1),0,HLOOKUP(F$7,OM_Table,Assm!$G69)*F$12/12*F$25)</f>
        <v>0</v>
      </c>
      <c r="G83" s="217" t="n">
        <f aca="false">IF(G$7&lt;YEAR(Startops1),0,HLOOKUP(G$7,OM_Table,Assm!$G69)*G$12/12*G$25)</f>
        <v>1525.08325265752</v>
      </c>
      <c r="H83" s="217" t="n">
        <f aca="false">IF(H$7&lt;YEAR(Startops1),0,HLOOKUP(H$7,OM_Table,Assm!$G69)*H$12/12*H$25)</f>
        <v>1573.74729128666</v>
      </c>
      <c r="I83" s="217" t="n">
        <f aca="false">IF(I$7&lt;YEAR(Startops1),0,HLOOKUP(I$7,OM_Table,Assm!$G69)*I$12/12*I$25)</f>
        <v>1621.14132641364</v>
      </c>
      <c r="J83" s="217" t="n">
        <f aca="false">IF(J$7&lt;YEAR(Startops1),0,HLOOKUP(J$7,OM_Table,Assm!$G69)*J$12/12*J$25)</f>
        <v>1668.48797536267</v>
      </c>
      <c r="K83" s="217" t="n">
        <f aca="false">IF(K$7&lt;YEAR(Startops1),0,HLOOKUP(K$7,OM_Table,Assm!$G69)*K$12/12*K$25)</f>
        <v>1716.12836107182</v>
      </c>
      <c r="L83" s="217" t="n">
        <f aca="false">IF(L$7&lt;YEAR(Startops1),0,HLOOKUP(L$7,OM_Table,Assm!$G69)*L$12/12*L$25)</f>
        <v>1764.17796762222</v>
      </c>
      <c r="M83" s="217" t="n">
        <f aca="false">IF(M$7&lt;YEAR(Startops1),0,HLOOKUP(M$7,OM_Table,Assm!$G69)*M$12/12*M$25)</f>
        <v>1812.41884858163</v>
      </c>
      <c r="N83" s="217" t="n">
        <f aca="false">IF(N$7&lt;YEAR(Startops1),0,HLOOKUP(N$7,OM_Table,Assm!$G69)*N$12/12*N$25)</f>
        <v>1860.90657257845</v>
      </c>
      <c r="O83" s="217" t="n">
        <f aca="false">IF(O$7&lt;YEAR(Startops1),0,HLOOKUP(O$7,OM_Table,Assm!$G69)*O$12/12*O$25)</f>
        <v>1909.79465804823</v>
      </c>
      <c r="P83" s="217" t="n">
        <f aca="false">IF(P$7&lt;YEAR(Startops1),0,HLOOKUP(P$7,OM_Table,Assm!$G69)*P$12/12*P$25)</f>
        <v>1959.1448353575</v>
      </c>
      <c r="Q83" s="217" t="n">
        <f aca="false">IF(Q$7&lt;YEAR(Startops1),0,HLOOKUP(Q$7,OM_Table,Assm!$G69)*Q$12/12*Q$25)</f>
        <v>2009.05736379811</v>
      </c>
      <c r="R83" s="217" t="n">
        <f aca="false">IF(R$7&lt;YEAR(Startops1),0,HLOOKUP(R$7,OM_Table,Assm!$G69)*R$12/12*R$25)</f>
        <v>2059.71693222747</v>
      </c>
      <c r="S83" s="217" t="n">
        <f aca="false">IF(S$7&lt;YEAR(Startops1),0,HLOOKUP(S$7,OM_Table,Assm!$G69)*S$12/12*S$25)</f>
        <v>2111.427923383</v>
      </c>
      <c r="T83" s="217" t="n">
        <f aca="false">IF(T$7&lt;YEAR(Startops1),0,HLOOKUP(T$7,OM_Table,Assm!$G69)*T$12/12*T$25)</f>
        <v>2164.78610063754</v>
      </c>
      <c r="U83" s="217" t="n">
        <f aca="false">IF(U$7&lt;YEAR(Startops1),0,HLOOKUP(U$7,OM_Table,Assm!$G69)*U$12/12*U$25)</f>
        <v>2220.29244821649</v>
      </c>
      <c r="V83" s="217" t="n">
        <f aca="false">IF(V$7&lt;YEAR(Startops1),0,HLOOKUP(V$7,OM_Table,Assm!$G69)*V$12/12*V$25)</f>
        <v>2278.19026586351</v>
      </c>
      <c r="W83" s="217" t="n">
        <f aca="false">IF(W$7&lt;YEAR(Startops1),0,HLOOKUP(W$7,OM_Table,Assm!$G69)*W$12/12*W$25)</f>
        <v>2338.74327633664</v>
      </c>
      <c r="X83" s="217" t="n">
        <f aca="false">IF(X$7&lt;YEAR(Startops1),0,HLOOKUP(X$7,OM_Table,Assm!$G69)*X$12/12*X$25)</f>
        <v>2401.9419810249</v>
      </c>
      <c r="Y83" s="217" t="n">
        <f aca="false">IF(Y$7&lt;YEAR(Startops1),0,HLOOKUP(Y$7,OM_Table,Assm!$G69)*Y$12/12*Y$25)</f>
        <v>822.619738109744</v>
      </c>
      <c r="Z83" s="574" t="n">
        <f aca="false">SUM(D83:Y83)</f>
        <v>35817.8071185777</v>
      </c>
      <c r="AA83" s="175" t="n">
        <f aca="false">AA82+1</f>
        <v>77</v>
      </c>
    </row>
    <row r="84" customFormat="false" ht="12.75" hidden="false" customHeight="false" outlineLevel="0" collapsed="false">
      <c r="A84" s="37" t="str">
        <f aca="false">Assm!A71</f>
        <v>Minor Maintenance (Incl WTF)</v>
      </c>
      <c r="B84" s="38"/>
      <c r="C84" s="607"/>
      <c r="D84" s="217" t="n">
        <f aca="false">IF(D$7&lt;YEAR(Startops1),0,HLOOKUP(D$7,OM_Table,Assm!$G70)*D$12/12*D$25)</f>
        <v>0</v>
      </c>
      <c r="E84" s="217" t="n">
        <f aca="false">IF(E$7&lt;YEAR(Startops1),0,HLOOKUP(E$7,OM_Table,Assm!$G70)*E$12/12*E$25)</f>
        <v>66.8476474719101</v>
      </c>
      <c r="F84" s="217" t="n">
        <f aca="false">IF(F$7&lt;YEAR(Startops1),0,HLOOKUP(F$7,OM_Table,Assm!$G70)*F$12/12*F$25)</f>
        <v>91.2459475733558</v>
      </c>
      <c r="G84" s="217" t="n">
        <f aca="false">IF(G$7&lt;YEAR(Startops1),0,HLOOKUP(G$7,OM_Table,Assm!$G70)*G$12/12*G$25)</f>
        <v>466.860446799141</v>
      </c>
      <c r="H84" s="217" t="n">
        <f aca="false">IF(H$7&lt;YEAR(Startops1),0,HLOOKUP(H$7,OM_Table,Assm!$G70)*H$12/12*H$25)</f>
        <v>555.135388106988</v>
      </c>
      <c r="I84" s="217" t="n">
        <f aca="false">IF(I$7&lt;YEAR(Startops1),0,HLOOKUP(I$7,OM_Table,Assm!$G70)*I$12/12*I$25)</f>
        <v>571.853514473173</v>
      </c>
      <c r="J84" s="217" t="n">
        <f aca="false">IF(J$7&lt;YEAR(Startops1),0,HLOOKUP(J$7,OM_Table,Assm!$G70)*J$12/12*J$25)</f>
        <v>588.554925484591</v>
      </c>
      <c r="K84" s="217" t="n">
        <f aca="false">IF(K$7&lt;YEAR(Startops1),0,HLOOKUP(K$7,OM_Table,Assm!$G70)*K$12/12*K$25)</f>
        <v>605.359951397355</v>
      </c>
      <c r="L84" s="217" t="n">
        <f aca="false">IF(L$7&lt;YEAR(Startops1),0,HLOOKUP(L$7,OM_Table,Assm!$G70)*L$12/12*L$25)</f>
        <v>622.30932892984</v>
      </c>
      <c r="M84" s="217" t="n">
        <f aca="false">IF(M$7&lt;YEAR(Startops1),0,HLOOKUP(M$7,OM_Table,Assm!$G70)*M$12/12*M$25)</f>
        <v>639.326178027721</v>
      </c>
      <c r="N84" s="217" t="n">
        <f aca="false">IF(N$7&lt;YEAR(Startops1),0,HLOOKUP(N$7,OM_Table,Assm!$G70)*N$12/12*N$25)</f>
        <v>656.430100384526</v>
      </c>
      <c r="O84" s="217" t="n">
        <f aca="false">IF(O$7&lt;YEAR(Startops1),0,HLOOKUP(O$7,OM_Table,Assm!$G70)*O$12/12*O$25)</f>
        <v>673.675249241231</v>
      </c>
      <c r="P84" s="217" t="n">
        <f aca="false">IF(P$7&lt;YEAR(Startops1),0,HLOOKUP(P$7,OM_Table,Assm!$G70)*P$12/12*P$25)</f>
        <v>691.083399828951</v>
      </c>
      <c r="Q84" s="217" t="n">
        <f aca="false">IF(Q$7&lt;YEAR(Startops1),0,HLOOKUP(Q$7,OM_Table,Assm!$G70)*Q$12/12*Q$25)</f>
        <v>708.689918360033</v>
      </c>
      <c r="R84" s="217" t="n">
        <f aca="false">IF(R$7&lt;YEAR(Startops1),0,HLOOKUP(R$7,OM_Table,Assm!$G70)*R$12/12*R$25)</f>
        <v>726.559953363157</v>
      </c>
      <c r="S84" s="217" t="n">
        <f aca="false">IF(S$7&lt;YEAR(Startops1),0,HLOOKUP(S$7,OM_Table,Assm!$G70)*S$12/12*S$25)</f>
        <v>744.800875081313</v>
      </c>
      <c r="T84" s="217" t="n">
        <f aca="false">IF(T$7&lt;YEAR(Startops1),0,HLOOKUP(T$7,OM_Table,Assm!$G70)*T$12/12*T$25)</f>
        <v>763.622837541794</v>
      </c>
      <c r="U84" s="217" t="n">
        <f aca="false">IF(U$7&lt;YEAR(Startops1),0,HLOOKUP(U$7,OM_Table,Assm!$G70)*U$12/12*U$25)</f>
        <v>783.202561666657</v>
      </c>
      <c r="V84" s="217" t="n">
        <f aca="false">IF(V$7&lt;YEAR(Startops1),0,HLOOKUP(V$7,OM_Table,Assm!$G70)*V$12/12*V$25)</f>
        <v>803.625870826889</v>
      </c>
      <c r="W84" s="217" t="n">
        <f aca="false">IF(W$7&lt;YEAR(Startops1),0,HLOOKUP(W$7,OM_Table,Assm!$G70)*W$12/12*W$25)</f>
        <v>824.985792560299</v>
      </c>
      <c r="X84" s="217" t="n">
        <f aca="false">IF(X$7&lt;YEAR(Startops1),0,HLOOKUP(X$7,OM_Table,Assm!$G70)*X$12/12*X$25)</f>
        <v>847.278976255815</v>
      </c>
      <c r="Y84" s="217" t="n">
        <f aca="false">IF(Y$7&lt;YEAR(Startops1),0,HLOOKUP(Y$7,OM_Table,Assm!$G70)*Y$12/12*Y$25)</f>
        <v>290.177038021563</v>
      </c>
      <c r="Z84" s="574" t="n">
        <f aca="false">SUM(D84:Y84)</f>
        <v>12721.6259013963</v>
      </c>
      <c r="AA84" s="175" t="n">
        <f aca="false">AA83+1</f>
        <v>78</v>
      </c>
    </row>
    <row r="85" customFormat="false" ht="12.75" hidden="false" customHeight="false" outlineLevel="0" collapsed="false">
      <c r="A85" s="37" t="str">
        <f aca="false">Assm!A72</f>
        <v>Major Maintenance (Avg)</v>
      </c>
      <c r="B85" s="609" t="s">
        <v>819</v>
      </c>
      <c r="C85" s="38"/>
      <c r="D85" s="610" t="n">
        <f aca="false">Trapped!F70</f>
        <v>0</v>
      </c>
      <c r="E85" s="610" t="n">
        <f aca="false">Trapped!G70</f>
        <v>6980.67768026105</v>
      </c>
      <c r="F85" s="610" t="n">
        <f aca="false">Trapped!H70</f>
        <v>6980.67768026105</v>
      </c>
      <c r="G85" s="610" t="n">
        <f aca="false">Trapped!I70</f>
        <v>6980.67768026105</v>
      </c>
      <c r="H85" s="610" t="n">
        <f aca="false">Trapped!J70</f>
        <v>6980.67768026105</v>
      </c>
      <c r="I85" s="610" t="n">
        <f aca="false">Trapped!K70</f>
        <v>6980.67768026105</v>
      </c>
      <c r="J85" s="610" t="n">
        <f aca="false">Trapped!L70</f>
        <v>6980.67768026105</v>
      </c>
      <c r="K85" s="610" t="n">
        <f aca="false">Trapped!M70</f>
        <v>6980.67768026105</v>
      </c>
      <c r="L85" s="610" t="n">
        <f aca="false">Trapped!N70</f>
        <v>6980.67768026105</v>
      </c>
      <c r="M85" s="610" t="n">
        <f aca="false">Trapped!O70</f>
        <v>6980.67768026105</v>
      </c>
      <c r="N85" s="610" t="n">
        <f aca="false">Trapped!P70</f>
        <v>6980.67768026105</v>
      </c>
      <c r="O85" s="610" t="n">
        <f aca="false">Trapped!Q70</f>
        <v>6980.67768026105</v>
      </c>
      <c r="P85" s="610" t="n">
        <f aca="false">Trapped!R70</f>
        <v>6980.67768026105</v>
      </c>
      <c r="Q85" s="610" t="n">
        <f aca="false">Trapped!S70</f>
        <v>6980.67768026105</v>
      </c>
      <c r="R85" s="610" t="n">
        <f aca="false">Trapped!T70</f>
        <v>6980.67768026105</v>
      </c>
      <c r="S85" s="610" t="n">
        <f aca="false">Trapped!U70</f>
        <v>6980.67768026105</v>
      </c>
      <c r="T85" s="610" t="n">
        <f aca="false">Trapped!V70</f>
        <v>6980.67768026105</v>
      </c>
      <c r="U85" s="610" t="n">
        <f aca="false">Trapped!W70</f>
        <v>6980.67768026105</v>
      </c>
      <c r="V85" s="610" t="n">
        <f aca="false">Trapped!X70</f>
        <v>6980.67768026105</v>
      </c>
      <c r="W85" s="610" t="n">
        <f aca="false">Trapped!Y70</f>
        <v>6980.67768026105</v>
      </c>
      <c r="X85" s="610" t="n">
        <f aca="false">Trapped!Z70</f>
        <v>331.771422153637</v>
      </c>
      <c r="Y85" s="610" t="n">
        <f aca="false">Trapped!AA70</f>
        <v>340.876327438851</v>
      </c>
      <c r="Z85" s="574" t="n">
        <f aca="false">SUM(D85:Y85)</f>
        <v>133305.523674552</v>
      </c>
      <c r="AA85" s="175" t="n">
        <f aca="false">AA84+1</f>
        <v>79</v>
      </c>
    </row>
    <row r="86" customFormat="false" ht="12.75" hidden="false" customHeight="false" outlineLevel="0" collapsed="false">
      <c r="A86" s="37" t="s">
        <v>820</v>
      </c>
      <c r="B86" s="606" t="n">
        <f aca="false">Wh_Serv/(1-Wh_Serv)</f>
        <v>0.176470588235294</v>
      </c>
      <c r="C86" s="38"/>
      <c r="D86" s="220" t="n">
        <f aca="false">D81*$B86</f>
        <v>0</v>
      </c>
      <c r="E86" s="220" t="n">
        <f aca="false">E81*$B86</f>
        <v>61.7894910773298</v>
      </c>
      <c r="F86" s="220" t="n">
        <f aca="false">F81*$B86</f>
        <v>84.3416466644622</v>
      </c>
      <c r="G86" s="220" t="n">
        <f aca="false">G81*$B86</f>
        <v>174.258098070248</v>
      </c>
      <c r="H86" s="220" t="n">
        <f aca="false">H81*$B86</f>
        <v>179.818517674329</v>
      </c>
      <c r="I86" s="220" t="n">
        <f aca="false">I81*$B86</f>
        <v>185.233824941464</v>
      </c>
      <c r="J86" s="220" t="n">
        <f aca="false">J81*$B86</f>
        <v>190.643717799103</v>
      </c>
      <c r="K86" s="220" t="n">
        <f aca="false">K81*$B86</f>
        <v>196.087173420652</v>
      </c>
      <c r="L86" s="220" t="n">
        <f aca="false">L81*$B86</f>
        <v>201.577387175151</v>
      </c>
      <c r="M86" s="220" t="n">
        <f aca="false">M81*$B86</f>
        <v>207.0894562052</v>
      </c>
      <c r="N86" s="220" t="n">
        <f aca="false">N81*$B86</f>
        <v>212.629729858273</v>
      </c>
      <c r="O86" s="220" t="n">
        <f aca="false">O81*$B86</f>
        <v>218.215749360759</v>
      </c>
      <c r="P86" s="220" t="n">
        <f aca="false">P81*$B86</f>
        <v>223.854568108758</v>
      </c>
      <c r="Q86" s="220" t="n">
        <f aca="false">Q81*$B86</f>
        <v>229.557641866064</v>
      </c>
      <c r="R86" s="220" t="n">
        <f aca="false">R81*$B86</f>
        <v>235.346073434096</v>
      </c>
      <c r="S86" s="220" t="n">
        <f aca="false">S81*$B86</f>
        <v>241.254642000688</v>
      </c>
      <c r="T86" s="220" t="n">
        <f aca="false">T81*$B86</f>
        <v>247.351420303558</v>
      </c>
      <c r="U86" s="220" t="n">
        <f aca="false">U81*$B86</f>
        <v>253.693651485416</v>
      </c>
      <c r="V86" s="220" t="n">
        <f aca="false">V81*$B86</f>
        <v>260.309135307697</v>
      </c>
      <c r="W86" s="220" t="n">
        <f aca="false">W81*$B86</f>
        <v>267.228005093388</v>
      </c>
      <c r="X86" s="220" t="n">
        <f aca="false">X81*$B86</f>
        <v>274.449175518208</v>
      </c>
      <c r="Y86" s="220" t="n">
        <f aca="false">Y81*$B86</f>
        <v>93.9936562468048</v>
      </c>
      <c r="Z86" s="576" t="n">
        <f aca="false">SUM(D86:Y86)</f>
        <v>4238.72276161165</v>
      </c>
      <c r="AA86" s="175" t="n">
        <f aca="false">AA85+1</f>
        <v>80</v>
      </c>
    </row>
    <row r="87" customFormat="false" ht="12.75" hidden="false" customHeight="false" outlineLevel="0" collapsed="false">
      <c r="A87" s="37" t="s">
        <v>821</v>
      </c>
      <c r="B87" s="38"/>
      <c r="C87" s="23"/>
      <c r="D87" s="217" t="n">
        <f aca="false">SUM(D81:D86)</f>
        <v>0</v>
      </c>
      <c r="E87" s="217" t="n">
        <f aca="false">SUM(E81:E86)</f>
        <v>7517.81200982153</v>
      </c>
      <c r="F87" s="217" t="n">
        <f aca="false">SUM(F81:F86)</f>
        <v>7713.8572718917</v>
      </c>
      <c r="G87" s="217" t="n">
        <f aca="false">SUM(G81:G86)</f>
        <v>10298.9191261413</v>
      </c>
      <c r="H87" s="217" t="n">
        <f aca="false">SUM(H81:H86)</f>
        <v>10478.1790775093</v>
      </c>
      <c r="I87" s="217" t="n">
        <f aca="false">SUM(I81:I86)</f>
        <v>10583.5077443134</v>
      </c>
      <c r="J87" s="217" t="n">
        <f aca="false">SUM(J81:J86)</f>
        <v>10688.7310999126</v>
      </c>
      <c r="K87" s="217" t="n">
        <f aca="false">SUM(K81:K86)</f>
        <v>10794.6072570985</v>
      </c>
      <c r="L87" s="217" t="n">
        <f aca="false">SUM(L81:L86)</f>
        <v>10901.3928680906</v>
      </c>
      <c r="M87" s="217" t="n">
        <f aca="false">SUM(M81:M86)</f>
        <v>11008.6035679878</v>
      </c>
      <c r="N87" s="217" t="n">
        <f aca="false">SUM(N81:N86)</f>
        <v>11116.3628527009</v>
      </c>
      <c r="O87" s="217" t="n">
        <f aca="false">SUM(O81:O86)</f>
        <v>11225.0119021296</v>
      </c>
      <c r="P87" s="217" t="n">
        <f aca="false">SUM(P81:P86)</f>
        <v>11334.6879060531</v>
      </c>
      <c r="Q87" s="217" t="n">
        <f aca="false">SUM(Q81:Q86)</f>
        <v>11445.6136810665</v>
      </c>
      <c r="R87" s="217" t="n">
        <f aca="false">SUM(R81:R86)</f>
        <v>11558.1996803223</v>
      </c>
      <c r="S87" s="217" t="n">
        <f aca="false">SUM(S81:S86)</f>
        <v>11673.1223650639</v>
      </c>
      <c r="T87" s="217" t="n">
        <f aca="false">SUM(T81:T86)</f>
        <v>11791.7057618619</v>
      </c>
      <c r="U87" s="217" t="n">
        <f aca="false">SUM(U81:U86)</f>
        <v>11915.0632597832</v>
      </c>
      <c r="V87" s="217" t="n">
        <f aca="false">SUM(V81:V86)</f>
        <v>12043.7355690156</v>
      </c>
      <c r="W87" s="217" t="n">
        <f aca="false">SUM(W81:W86)</f>
        <v>12178.3087879243</v>
      </c>
      <c r="X87" s="217" t="n">
        <f aca="false">SUM(X81:X86)</f>
        <v>5669.85554865627</v>
      </c>
      <c r="Y87" s="217" t="n">
        <f aca="false">SUM(Y81:Y86)</f>
        <v>2169.06926500417</v>
      </c>
      <c r="Z87" s="574" t="n">
        <f aca="false">SUM(D87:Y87)</f>
        <v>214106.346602348</v>
      </c>
      <c r="AA87" s="175" t="n">
        <f aca="false">AA86+1</f>
        <v>81</v>
      </c>
    </row>
    <row r="88" customFormat="false" ht="12.75" hidden="false" customHeight="false" outlineLevel="0" collapsed="false">
      <c r="A88" s="37"/>
      <c r="B88" s="38"/>
      <c r="C88" s="23"/>
      <c r="D88" s="556"/>
      <c r="E88" s="556"/>
      <c r="F88" s="556"/>
      <c r="G88" s="556"/>
      <c r="H88" s="556"/>
      <c r="I88" s="556"/>
      <c r="J88" s="556"/>
      <c r="K88" s="556"/>
      <c r="L88" s="556"/>
      <c r="M88" s="556"/>
      <c r="N88" s="556"/>
      <c r="O88" s="556"/>
      <c r="P88" s="556"/>
      <c r="Q88" s="556"/>
      <c r="R88" s="556"/>
      <c r="S88" s="556"/>
      <c r="T88" s="556"/>
      <c r="U88" s="556"/>
      <c r="V88" s="556"/>
      <c r="W88" s="556"/>
      <c r="X88" s="556"/>
      <c r="Y88" s="556"/>
      <c r="Z88" s="557"/>
      <c r="AA88" s="175" t="n">
        <f aca="false">AA87+1</f>
        <v>82</v>
      </c>
    </row>
    <row r="89" customFormat="false" ht="12.75" hidden="false" customHeight="false" outlineLevel="0" collapsed="false">
      <c r="A89" s="166" t="s">
        <v>822</v>
      </c>
      <c r="B89" s="38"/>
      <c r="C89" s="38"/>
      <c r="D89" s="556"/>
      <c r="E89" s="556"/>
      <c r="F89" s="556"/>
      <c r="G89" s="556"/>
      <c r="H89" s="556"/>
      <c r="I89" s="556"/>
      <c r="J89" s="556"/>
      <c r="K89" s="556"/>
      <c r="L89" s="556"/>
      <c r="M89" s="556"/>
      <c r="N89" s="556"/>
      <c r="O89" s="556"/>
      <c r="P89" s="556"/>
      <c r="Q89" s="556"/>
      <c r="R89" s="556"/>
      <c r="S89" s="556"/>
      <c r="T89" s="556"/>
      <c r="U89" s="556"/>
      <c r="V89" s="556"/>
      <c r="W89" s="556"/>
      <c r="X89" s="556"/>
      <c r="Y89" s="556"/>
      <c r="Z89" s="557"/>
      <c r="AA89" s="175" t="n">
        <f aca="false">AA88+1</f>
        <v>83</v>
      </c>
    </row>
    <row r="90" customFormat="false" ht="12.75" hidden="false" customHeight="false" outlineLevel="0" collapsed="false">
      <c r="A90" s="37" t="str">
        <f aca="false">Assm!A75</f>
        <v>Chemicals (Includes WTF)</v>
      </c>
      <c r="B90" s="38"/>
      <c r="C90" s="38"/>
      <c r="D90" s="220" t="n">
        <f aca="false">IF(D$7&lt;YEAR(Startops1),0,HLOOKUP(D$7,OM_Table,Assm!$G76)*Exch/D$27*D$26*D$16)</f>
        <v>0</v>
      </c>
      <c r="E90" s="220" t="n">
        <f aca="false">IF(E$7&lt;YEAR(Startops1),0,HLOOKUP(E$7,OM_Table,Assm!$G76)*Exch/E$27*E$26*E$16)</f>
        <v>17.5200674875262</v>
      </c>
      <c r="F90" s="220" t="n">
        <f aca="false">IF(F$7&lt;YEAR(Startops1),0,HLOOKUP(F$7,OM_Table,Assm!$G76)*Exch/F$27*F$26*F$16)</f>
        <v>80.8070668999019</v>
      </c>
      <c r="G90" s="220" t="n">
        <f aca="false">IF(G$7&lt;YEAR(Startops1),0,HLOOKUP(G$7,OM_Table,Assm!$G76)*Exch/G$27*G$26*G$16)</f>
        <v>414.780817847119</v>
      </c>
      <c r="H90" s="220" t="n">
        <f aca="false">IF(H$7&lt;YEAR(Startops1),0,HLOOKUP(H$7,OM_Table,Assm!$G76)*Exch/H$27*H$26*H$16)</f>
        <v>630.899950536705</v>
      </c>
      <c r="I90" s="220" t="n">
        <f aca="false">IF(I$7&lt;YEAR(Startops1),0,HLOOKUP(I$7,OM_Table,Assm!$G76)*Exch/I$27*I$26*I$16)</f>
        <v>630.794111527076</v>
      </c>
      <c r="J90" s="220" t="n">
        <f aca="false">IF(J$7&lt;YEAR(Startops1),0,HLOOKUP(J$7,OM_Table,Assm!$G76)*Exch/J$27*J$26*J$16)</f>
        <v>651.064488396992</v>
      </c>
      <c r="K90" s="220" t="n">
        <f aca="false">IF(K$7&lt;YEAR(Startops1),0,HLOOKUP(K$7,OM_Table,Assm!$G76)*Exch/K$27*K$26*K$16)</f>
        <v>677.782297535348</v>
      </c>
      <c r="L90" s="220" t="n">
        <f aca="false">IF(L$7&lt;YEAR(Startops1),0,HLOOKUP(L$7,OM_Table,Assm!$G76)*Exch/L$27*L$26*L$16)</f>
        <v>707.518630181701</v>
      </c>
      <c r="M90" s="220" t="n">
        <f aca="false">IF(M$7&lt;YEAR(Startops1),0,HLOOKUP(M$7,OM_Table,Assm!$G76)*Exch/M$27*M$26*M$16)</f>
        <v>739.718901830638</v>
      </c>
      <c r="N90" s="220" t="n">
        <f aca="false">IF(N$7&lt;YEAR(Startops1),0,HLOOKUP(N$7,OM_Table,Assm!$G76)*Exch/N$27*N$26*N$16)</f>
        <v>775.997789571279</v>
      </c>
      <c r="O90" s="220" t="n">
        <f aca="false">IF(O$7&lt;YEAR(Startops1),0,HLOOKUP(O$7,OM_Table,Assm!$G76)*Exch/O$27*O$26*O$16)</f>
        <v>809.799343626042</v>
      </c>
      <c r="P90" s="220" t="n">
        <f aca="false">IF(P$7&lt;YEAR(Startops1),0,HLOOKUP(P$7,OM_Table,Assm!$G76)*Exch/P$27*P$26*P$16)</f>
        <v>846.677392809949</v>
      </c>
      <c r="Q90" s="220" t="n">
        <f aca="false">IF(Q$7&lt;YEAR(Startops1),0,HLOOKUP(Q$7,OM_Table,Assm!$G76)*Exch/Q$27*Q$26*Q$16)</f>
        <v>886.147847917661</v>
      </c>
      <c r="R90" s="220" t="n">
        <f aca="false">IF(R$7&lt;YEAR(Startops1),0,HLOOKUP(R$7,OM_Table,Assm!$G76)*Exch/R$27*R$26*R$16)</f>
        <v>931.859219856421</v>
      </c>
      <c r="S90" s="220" t="n">
        <f aca="false">IF(S$7&lt;YEAR(Startops1),0,HLOOKUP(S$7,OM_Table,Assm!$G76)*Exch/S$27*S$26*S$16)</f>
        <v>975.643111388123</v>
      </c>
      <c r="T90" s="220" t="n">
        <f aca="false">IF(T$7&lt;YEAR(Startops1),0,HLOOKUP(T$7,OM_Table,Assm!$G76)*Exch/T$27*T$26*T$16)</f>
        <v>1023.40418369916</v>
      </c>
      <c r="U90" s="220" t="n">
        <f aca="false">IF(U$7&lt;YEAR(Startops1),0,HLOOKUP(U$7,OM_Table,Assm!$G76)*Exch/U$27*U$26*U$16)</f>
        <v>1073.17768021648</v>
      </c>
      <c r="V90" s="220" t="n">
        <f aca="false">IF(V$7&lt;YEAR(Startops1),0,HLOOKUP(V$7,OM_Table,Assm!$G76)*Exch/V$27*V$26*V$16)</f>
        <v>1127.83318526697</v>
      </c>
      <c r="W90" s="220" t="n">
        <f aca="false">IF(W$7&lt;YEAR(Startops1),0,HLOOKUP(W$7,OM_Table,Assm!$G76)*Exch/W$27*W$26*W$16)</f>
        <v>1178.42578293034</v>
      </c>
      <c r="X90" s="220" t="n">
        <f aca="false">IF(X$7&lt;YEAR(Startops1),0,HLOOKUP(X$7,OM_Table,Assm!$G76)*Exch/X$27*X$26*X$16)</f>
        <v>1233.90464776865</v>
      </c>
      <c r="Y90" s="220" t="n">
        <f aca="false">IF(Y$7&lt;YEAR(Startops1),0,HLOOKUP(Y$7,OM_Table,Assm!$G76)*Exch/Y$27*Y$26*Y$16)</f>
        <v>424.76778143201</v>
      </c>
      <c r="Z90" s="576" t="n">
        <f aca="false">SUM(D90:Y90)</f>
        <v>15838.5242987261</v>
      </c>
      <c r="AA90" s="175" t="n">
        <f aca="false">AA89+1</f>
        <v>84</v>
      </c>
    </row>
    <row r="91" customFormat="false" ht="12.75" hidden="false" customHeight="false" outlineLevel="0" collapsed="false">
      <c r="A91" s="37" t="s">
        <v>823</v>
      </c>
      <c r="B91" s="38"/>
      <c r="C91" s="38"/>
      <c r="D91" s="217" t="n">
        <f aca="false">SUM(D90)</f>
        <v>0</v>
      </c>
      <c r="E91" s="217" t="n">
        <f aca="false">SUM(E90)</f>
        <v>17.5200674875262</v>
      </c>
      <c r="F91" s="217" t="n">
        <f aca="false">SUM(F90)</f>
        <v>80.8070668999019</v>
      </c>
      <c r="G91" s="217" t="n">
        <f aca="false">SUM(G90)</f>
        <v>414.780817847119</v>
      </c>
      <c r="H91" s="217" t="n">
        <f aca="false">SUM(H90)</f>
        <v>630.899950536705</v>
      </c>
      <c r="I91" s="217" t="n">
        <f aca="false">SUM(I90)</f>
        <v>630.794111527076</v>
      </c>
      <c r="J91" s="217" t="n">
        <f aca="false">SUM(J90)</f>
        <v>651.064488396992</v>
      </c>
      <c r="K91" s="217" t="n">
        <f aca="false">SUM(K90)</f>
        <v>677.782297535348</v>
      </c>
      <c r="L91" s="217" t="n">
        <f aca="false">SUM(L90)</f>
        <v>707.518630181701</v>
      </c>
      <c r="M91" s="217" t="n">
        <f aca="false">SUM(M90)</f>
        <v>739.718901830638</v>
      </c>
      <c r="N91" s="217" t="n">
        <f aca="false">SUM(N90)</f>
        <v>775.997789571279</v>
      </c>
      <c r="O91" s="217" t="n">
        <f aca="false">SUM(O90)</f>
        <v>809.799343626042</v>
      </c>
      <c r="P91" s="217" t="n">
        <f aca="false">SUM(P90)</f>
        <v>846.677392809949</v>
      </c>
      <c r="Q91" s="217" t="n">
        <f aca="false">SUM(Q90)</f>
        <v>886.147847917661</v>
      </c>
      <c r="R91" s="217" t="n">
        <f aca="false">SUM(R90)</f>
        <v>931.859219856421</v>
      </c>
      <c r="S91" s="217" t="n">
        <f aca="false">SUM(S90)</f>
        <v>975.643111388123</v>
      </c>
      <c r="T91" s="217" t="n">
        <f aca="false">SUM(T90)</f>
        <v>1023.40418369916</v>
      </c>
      <c r="U91" s="217" t="n">
        <f aca="false">SUM(U90)</f>
        <v>1073.17768021648</v>
      </c>
      <c r="V91" s="217" t="n">
        <f aca="false">SUM(V90)</f>
        <v>1127.83318526697</v>
      </c>
      <c r="W91" s="217" t="n">
        <f aca="false">SUM(W90)</f>
        <v>1178.42578293034</v>
      </c>
      <c r="X91" s="217" t="n">
        <f aca="false">SUM(X90)</f>
        <v>1233.90464776865</v>
      </c>
      <c r="Y91" s="217" t="n">
        <f aca="false">SUM(Y90)</f>
        <v>424.76778143201</v>
      </c>
      <c r="Z91" s="574" t="n">
        <f aca="false">SUM(D91:Y91)</f>
        <v>15838.5242987261</v>
      </c>
      <c r="AA91" s="175" t="n">
        <f aca="false">AA90+1</f>
        <v>85</v>
      </c>
    </row>
    <row r="92" customFormat="false" ht="12.75" hidden="false" customHeight="false" outlineLevel="0" collapsed="false">
      <c r="A92" s="37"/>
      <c r="B92" s="38"/>
      <c r="C92" s="38"/>
      <c r="D92" s="556"/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6"/>
      <c r="Q92" s="556"/>
      <c r="R92" s="556"/>
      <c r="S92" s="556"/>
      <c r="T92" s="556"/>
      <c r="U92" s="556"/>
      <c r="V92" s="556"/>
      <c r="W92" s="556"/>
      <c r="X92" s="556"/>
      <c r="Y92" s="556"/>
      <c r="Z92" s="557"/>
      <c r="AA92" s="175" t="n">
        <f aca="false">AA91+1</f>
        <v>86</v>
      </c>
    </row>
    <row r="93" customFormat="false" ht="12.75" hidden="false" customHeight="false" outlineLevel="0" collapsed="false">
      <c r="A93" s="583" t="s">
        <v>824</v>
      </c>
      <c r="B93" s="584"/>
      <c r="C93" s="585"/>
      <c r="D93" s="586" t="n">
        <f aca="false">SUM(D61,D69,D78,D87,D91)</f>
        <v>0</v>
      </c>
      <c r="E93" s="586" t="n">
        <f aca="false">SUM(E61,E69,E78,E87,E91)</f>
        <v>10458.104630295</v>
      </c>
      <c r="F93" s="586" t="n">
        <f aca="false">SUM(F61,F69,F78,F87,F91)</f>
        <v>10609.7153890468</v>
      </c>
      <c r="G93" s="586" t="n">
        <f aca="false">SUM(G61,G69,G78,G87,G91)</f>
        <v>70083.5761204269</v>
      </c>
      <c r="H93" s="586" t="n">
        <f aca="false">SUM(H61,H69,H78,H87,H91)</f>
        <v>98838.6248277503</v>
      </c>
      <c r="I93" s="586" t="n">
        <f aca="false">SUM(I61,I69,I78,I87,I91)</f>
        <v>101244.933846532</v>
      </c>
      <c r="J93" s="586" t="n">
        <f aca="false">SUM(J61,J69,J78,J87,J91)</f>
        <v>103894.78733849</v>
      </c>
      <c r="K93" s="586" t="n">
        <f aca="false">SUM(K61,K69,K78,K87,K91)</f>
        <v>106325.697391721</v>
      </c>
      <c r="L93" s="586" t="n">
        <f aca="false">SUM(L61,L69,L78,L87,L91)</f>
        <v>108948.441636272</v>
      </c>
      <c r="M93" s="586" t="n">
        <f aca="false">SUM(M61,M69,M78,M87,M91)</f>
        <v>111622.436543134</v>
      </c>
      <c r="N93" s="586" t="n">
        <f aca="false">SUM(N61,N69,N78,N87,N91)</f>
        <v>114373.258829552</v>
      </c>
      <c r="O93" s="586" t="n">
        <f aca="false">SUM(O61,O69,O78,O87,O91)</f>
        <v>116947.533745848</v>
      </c>
      <c r="P93" s="586" t="n">
        <f aca="false">SUM(P61,P69,P78,P87,P91)</f>
        <v>119690.851209219</v>
      </c>
      <c r="Q93" s="586" t="n">
        <f aca="false">SUM(Q61,Q69,Q78,Q87,Q91)</f>
        <v>122380.652944149</v>
      </c>
      <c r="R93" s="586" t="n">
        <f aca="false">SUM(R61,R69,R78,R87,R91)</f>
        <v>125335.846961121</v>
      </c>
      <c r="S93" s="586" t="n">
        <f aca="false">SUM(S61,S69,S78,S87,S91)</f>
        <v>128124.672786479</v>
      </c>
      <c r="T93" s="586" t="n">
        <f aca="false">SUM(T61,T69,T78,T87,T91)</f>
        <v>131048.11404136</v>
      </c>
      <c r="U93" s="586" t="n">
        <f aca="false">SUM(U61,U69,U78,U87,U91)</f>
        <v>134134.970295777</v>
      </c>
      <c r="V93" s="586" t="n">
        <f aca="false">SUM(V61,V69,V78,V87,V91)</f>
        <v>137517.62852786</v>
      </c>
      <c r="W93" s="586" t="n">
        <f aca="false">SUM(W61,W69,W78,W87,W91)</f>
        <v>140638.94711448</v>
      </c>
      <c r="X93" s="586" t="n">
        <f aca="false">SUM(X61,X69,X78,X87,X91)</f>
        <v>137310.484825309</v>
      </c>
      <c r="Y93" s="586" t="n">
        <f aca="false">SUM(Y61,Y69,Y78,Y87,Y91)</f>
        <v>46351.636494562</v>
      </c>
      <c r="Z93" s="587" t="n">
        <f aca="false">SUM(D93:Y93)</f>
        <v>2175880.91549938</v>
      </c>
      <c r="AA93" s="175" t="n">
        <f aca="false">AA92+1</f>
        <v>87</v>
      </c>
      <c r="AB93" s="330"/>
      <c r="AC93" s="330"/>
      <c r="AD93" s="330"/>
      <c r="AE93" s="330"/>
      <c r="AF93" s="330"/>
      <c r="AG93" s="330"/>
      <c r="AH93" s="330"/>
      <c r="AI93" s="330"/>
      <c r="AJ93" s="330"/>
      <c r="AK93" s="330"/>
      <c r="AL93" s="330"/>
      <c r="AM93" s="330"/>
      <c r="AN93" s="330"/>
      <c r="AO93" s="330"/>
      <c r="AP93" s="330"/>
      <c r="AQ93" s="330"/>
      <c r="AR93" s="330"/>
      <c r="AS93" s="330"/>
      <c r="AT93" s="330"/>
      <c r="AU93" s="330"/>
      <c r="AV93" s="330"/>
      <c r="AW93" s="330"/>
      <c r="AX93" s="330"/>
      <c r="AY93" s="330"/>
      <c r="AZ93" s="330"/>
      <c r="BA93" s="330"/>
      <c r="BB93" s="330"/>
      <c r="BC93" s="330"/>
      <c r="BD93" s="330"/>
      <c r="BE93" s="330"/>
      <c r="BF93" s="330"/>
      <c r="BG93" s="330"/>
      <c r="BH93" s="330"/>
      <c r="BI93" s="330"/>
      <c r="BJ93" s="330"/>
      <c r="BK93" s="330"/>
      <c r="BL93" s="330"/>
      <c r="BM93" s="330"/>
      <c r="BN93" s="330"/>
      <c r="BO93" s="330"/>
      <c r="BP93" s="330"/>
      <c r="BQ93" s="330"/>
      <c r="BR93" s="330"/>
      <c r="BS93" s="330"/>
      <c r="BT93" s="330"/>
      <c r="BU93" s="330"/>
      <c r="BV93" s="330"/>
      <c r="BW93" s="330"/>
      <c r="BX93" s="330"/>
      <c r="BY93" s="330"/>
      <c r="BZ93" s="330"/>
      <c r="CA93" s="330"/>
      <c r="CB93" s="330"/>
      <c r="CC93" s="330"/>
      <c r="CD93" s="330"/>
      <c r="CE93" s="330"/>
      <c r="CF93" s="330"/>
      <c r="CG93" s="330"/>
      <c r="CH93" s="330"/>
      <c r="CI93" s="330"/>
      <c r="CJ93" s="330"/>
      <c r="CK93" s="330"/>
      <c r="CL93" s="330"/>
      <c r="CM93" s="330"/>
      <c r="CN93" s="330"/>
      <c r="CO93" s="330"/>
      <c r="CP93" s="330"/>
      <c r="CQ93" s="330"/>
      <c r="CR93" s="330"/>
      <c r="CS93" s="330"/>
      <c r="CT93" s="330"/>
      <c r="CU93" s="330"/>
      <c r="CV93" s="330"/>
      <c r="CW93" s="330"/>
      <c r="CX93" s="330"/>
      <c r="CY93" s="330"/>
      <c r="CZ93" s="330"/>
      <c r="DA93" s="330"/>
      <c r="DB93" s="330"/>
      <c r="DC93" s="330"/>
      <c r="DD93" s="330"/>
      <c r="DE93" s="330"/>
      <c r="DF93" s="330"/>
      <c r="DG93" s="330"/>
      <c r="DH93" s="330"/>
      <c r="DI93" s="330"/>
      <c r="DJ93" s="330"/>
      <c r="DK93" s="330"/>
      <c r="DL93" s="330"/>
      <c r="DM93" s="330"/>
      <c r="DN93" s="330"/>
      <c r="DO93" s="330"/>
      <c r="DP93" s="330"/>
      <c r="DQ93" s="330"/>
      <c r="DR93" s="330"/>
      <c r="DS93" s="330"/>
      <c r="DT93" s="330"/>
      <c r="DU93" s="330"/>
      <c r="DV93" s="330"/>
      <c r="DW93" s="330"/>
      <c r="DX93" s="330"/>
      <c r="DY93" s="330"/>
      <c r="DZ93" s="330"/>
      <c r="EA93" s="330"/>
      <c r="EB93" s="330"/>
      <c r="EC93" s="330"/>
      <c r="ED93" s="330"/>
      <c r="EE93" s="330"/>
      <c r="EF93" s="330"/>
      <c r="EG93" s="330"/>
      <c r="EH93" s="330"/>
      <c r="EI93" s="330"/>
      <c r="EJ93" s="330"/>
      <c r="EK93" s="330"/>
      <c r="EL93" s="330"/>
      <c r="EM93" s="330"/>
      <c r="EN93" s="330"/>
      <c r="EO93" s="330"/>
      <c r="EP93" s="330"/>
      <c r="EQ93" s="330"/>
      <c r="ER93" s="330"/>
      <c r="ES93" s="330"/>
      <c r="ET93" s="330"/>
      <c r="EU93" s="330"/>
      <c r="EV93" s="330"/>
      <c r="EW93" s="330"/>
      <c r="EX93" s="330"/>
      <c r="EY93" s="330"/>
      <c r="EZ93" s="330"/>
      <c r="FA93" s="330"/>
      <c r="FB93" s="330"/>
      <c r="FC93" s="330"/>
      <c r="FD93" s="330"/>
      <c r="FE93" s="330"/>
      <c r="FF93" s="330"/>
      <c r="FG93" s="330"/>
      <c r="FH93" s="330"/>
      <c r="FI93" s="330"/>
      <c r="FJ93" s="330"/>
      <c r="FK93" s="330"/>
      <c r="FL93" s="330"/>
      <c r="FM93" s="330"/>
      <c r="FN93" s="330"/>
      <c r="FO93" s="330"/>
      <c r="FP93" s="330"/>
      <c r="FQ93" s="330"/>
      <c r="FR93" s="330"/>
      <c r="FS93" s="330"/>
      <c r="FT93" s="330"/>
      <c r="FU93" s="330"/>
      <c r="FV93" s="330"/>
      <c r="FW93" s="330"/>
      <c r="FX93" s="330"/>
      <c r="FY93" s="330"/>
      <c r="FZ93" s="330"/>
      <c r="GA93" s="330"/>
      <c r="GB93" s="330"/>
      <c r="GC93" s="330"/>
      <c r="GD93" s="330"/>
      <c r="GE93" s="330"/>
      <c r="GF93" s="330"/>
      <c r="GG93" s="330"/>
      <c r="GH93" s="330"/>
      <c r="GI93" s="330"/>
      <c r="GJ93" s="330"/>
      <c r="GK93" s="330"/>
      <c r="GL93" s="330"/>
      <c r="GM93" s="330"/>
      <c r="GN93" s="330"/>
      <c r="GO93" s="330"/>
      <c r="GP93" s="330"/>
      <c r="GQ93" s="330"/>
      <c r="GR93" s="330"/>
      <c r="GS93" s="330"/>
      <c r="GT93" s="330"/>
      <c r="GU93" s="330"/>
      <c r="GV93" s="330"/>
      <c r="GW93" s="330"/>
      <c r="GX93" s="330"/>
      <c r="GY93" s="330"/>
      <c r="GZ93" s="330"/>
      <c r="HA93" s="330"/>
      <c r="HB93" s="330"/>
      <c r="HC93" s="330"/>
      <c r="HD93" s="330"/>
      <c r="HE93" s="330"/>
      <c r="HF93" s="330"/>
      <c r="HG93" s="330"/>
      <c r="HH93" s="330"/>
      <c r="HI93" s="330"/>
      <c r="HJ93" s="330"/>
      <c r="HK93" s="330"/>
      <c r="HL93" s="330"/>
      <c r="HM93" s="330"/>
      <c r="HN93" s="330"/>
      <c r="HO93" s="330"/>
      <c r="HP93" s="330"/>
      <c r="HQ93" s="330"/>
      <c r="HR93" s="330"/>
      <c r="HS93" s="330"/>
      <c r="HT93" s="330"/>
      <c r="HU93" s="330"/>
      <c r="HV93" s="330"/>
      <c r="HW93" s="330"/>
      <c r="HX93" s="330"/>
      <c r="HY93" s="330"/>
      <c r="HZ93" s="330"/>
      <c r="IA93" s="330"/>
      <c r="IB93" s="330"/>
      <c r="IC93" s="330"/>
      <c r="ID93" s="330"/>
      <c r="IE93" s="330"/>
      <c r="IF93" s="330"/>
      <c r="IG93" s="330"/>
      <c r="IH93" s="330"/>
      <c r="II93" s="330"/>
      <c r="IJ93" s="330"/>
      <c r="IK93" s="330"/>
      <c r="IL93" s="330"/>
      <c r="IM93" s="330"/>
      <c r="IN93" s="330"/>
      <c r="IO93" s="330"/>
      <c r="IP93" s="330"/>
      <c r="IQ93" s="330"/>
      <c r="IR93" s="330"/>
      <c r="IS93" s="330"/>
      <c r="IT93" s="330"/>
      <c r="IU93" s="330"/>
      <c r="IV93" s="330"/>
      <c r="IW93" s="330"/>
    </row>
    <row r="94" customFormat="false" ht="13.5" hidden="false" customHeight="false" outlineLevel="0" collapsed="false">
      <c r="A94" s="70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611"/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1"/>
  <sheetViews>
    <sheetView showFormulas="false" showGridLines="false" showRowColHeaders="true" showZeros="true" rightToLeft="false" tabSelected="false" showOutlineSymbols="true" defaultGridColor="true" view="normal" topLeftCell="A7" colorId="64" zoomScale="80" zoomScaleNormal="80" zoomScalePageLayoutView="100" workbookViewId="0">
      <pane xSplit="0" ySplit="1" topLeftCell="BM8" activePane="bottomLeft" state="frozen"/>
      <selection pane="topLeft" activeCell="A7" activeCellId="0" sqref="A7"/>
      <selection pane="bottomLeft" activeCell="H15" activeCellId="0" sqref="H15"/>
    </sheetView>
  </sheetViews>
  <sheetFormatPr defaultColWidth="13.28125" defaultRowHeight="12.75" customHeight="true" zeroHeight="false" outlineLevelRow="0" outlineLevelCol="0"/>
  <cols>
    <col collapsed="false" customWidth="true" hidden="false" outlineLevel="0" max="1" min="1" style="38" width="32.7"/>
    <col collapsed="false" customWidth="true" hidden="false" outlineLevel="0" max="3" min="2" style="1" width="17.7"/>
    <col collapsed="false" customWidth="true" hidden="false" outlineLevel="0" max="7" min="4" style="1" width="10.71"/>
    <col collapsed="false" customWidth="true" hidden="false" outlineLevel="0" max="24" min="8" style="1" width="11.42"/>
    <col collapsed="false" customWidth="true" hidden="false" outlineLevel="0" max="25" min="25" style="1" width="10.13"/>
    <col collapsed="false" customWidth="true" hidden="false" outlineLevel="0" max="26" min="26" style="38" width="13.14"/>
    <col collapsed="false" customWidth="false" hidden="false" outlineLevel="0" max="257" min="27" style="1" width="13.28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825</v>
      </c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0"/>
      <c r="C5" s="0"/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388"/>
      <c r="AA5" s="0"/>
      <c r="AB5" s="536" t="s">
        <v>762</v>
      </c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763</v>
      </c>
      <c r="B6" s="28"/>
      <c r="C6" s="28"/>
      <c r="D6" s="538" t="n">
        <f aca="false">Rev_Exp!D6</f>
        <v>1</v>
      </c>
      <c r="E6" s="538" t="n">
        <f aca="false">Rev_Exp!E6</f>
        <v>2</v>
      </c>
      <c r="F6" s="538" t="n">
        <f aca="false">Rev_Exp!F6</f>
        <v>3</v>
      </c>
      <c r="G6" s="538" t="n">
        <f aca="false">Rev_Exp!G6</f>
        <v>4</v>
      </c>
      <c r="H6" s="538" t="n">
        <f aca="false">Rev_Exp!H6</f>
        <v>5</v>
      </c>
      <c r="I6" s="538" t="n">
        <f aca="false">Rev_Exp!I6</f>
        <v>6</v>
      </c>
      <c r="J6" s="538" t="n">
        <f aca="false">Rev_Exp!J6</f>
        <v>7</v>
      </c>
      <c r="K6" s="538" t="n">
        <f aca="false">Rev_Exp!K6</f>
        <v>8</v>
      </c>
      <c r="L6" s="538" t="n">
        <f aca="false">Rev_Exp!L6</f>
        <v>9</v>
      </c>
      <c r="M6" s="538" t="n">
        <f aca="false">Rev_Exp!M6</f>
        <v>10</v>
      </c>
      <c r="N6" s="538" t="n">
        <f aca="false">Rev_Exp!N6</f>
        <v>11</v>
      </c>
      <c r="O6" s="538" t="n">
        <f aca="false">Rev_Exp!O6</f>
        <v>12</v>
      </c>
      <c r="P6" s="538" t="n">
        <f aca="false">Rev_Exp!P6</f>
        <v>13</v>
      </c>
      <c r="Q6" s="538" t="n">
        <f aca="false">Rev_Exp!Q6</f>
        <v>14</v>
      </c>
      <c r="R6" s="538" t="n">
        <f aca="false">Rev_Exp!R6</f>
        <v>15</v>
      </c>
      <c r="S6" s="538" t="n">
        <f aca="false">Rev_Exp!S6</f>
        <v>16</v>
      </c>
      <c r="T6" s="538" t="n">
        <f aca="false">Rev_Exp!T6</f>
        <v>17</v>
      </c>
      <c r="U6" s="538" t="n">
        <f aca="false">Rev_Exp!U6</f>
        <v>18</v>
      </c>
      <c r="V6" s="538" t="n">
        <f aca="false">Rev_Exp!V6</f>
        <v>19</v>
      </c>
      <c r="W6" s="538" t="n">
        <f aca="false">Rev_Exp!W6</f>
        <v>20</v>
      </c>
      <c r="X6" s="538" t="n">
        <f aca="false">Rev_Exp!X6</f>
        <v>21</v>
      </c>
      <c r="Y6" s="538" t="n">
        <f aca="false">Rev_Exp!Y6</f>
        <v>22</v>
      </c>
      <c r="Z6" s="539"/>
      <c r="AA6" s="38"/>
      <c r="AB6" s="612" t="s">
        <v>826</v>
      </c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541" t="s">
        <v>765</v>
      </c>
      <c r="B7" s="71"/>
      <c r="C7" s="71"/>
      <c r="D7" s="543" t="n">
        <f aca="false">Rev_Exp!D7</f>
        <v>1998</v>
      </c>
      <c r="E7" s="543" t="n">
        <f aca="false">Rev_Exp!E7</f>
        <v>1999</v>
      </c>
      <c r="F7" s="543" t="n">
        <f aca="false">Rev_Exp!F7</f>
        <v>2000</v>
      </c>
      <c r="G7" s="543" t="n">
        <f aca="false">Rev_Exp!G7</f>
        <v>2001</v>
      </c>
      <c r="H7" s="543" t="n">
        <f aca="false">Rev_Exp!H7</f>
        <v>2002</v>
      </c>
      <c r="I7" s="543" t="n">
        <f aca="false">Rev_Exp!I7</f>
        <v>2003</v>
      </c>
      <c r="J7" s="543" t="n">
        <f aca="false">Rev_Exp!J7</f>
        <v>2004</v>
      </c>
      <c r="K7" s="543" t="n">
        <f aca="false">Rev_Exp!K7</f>
        <v>2005</v>
      </c>
      <c r="L7" s="543" t="n">
        <f aca="false">Rev_Exp!L7</f>
        <v>2006</v>
      </c>
      <c r="M7" s="543" t="n">
        <f aca="false">Rev_Exp!M7</f>
        <v>2007</v>
      </c>
      <c r="N7" s="543" t="n">
        <f aca="false">Rev_Exp!N7</f>
        <v>2008</v>
      </c>
      <c r="O7" s="543" t="n">
        <f aca="false">Rev_Exp!O7</f>
        <v>2009</v>
      </c>
      <c r="P7" s="543" t="n">
        <f aca="false">Rev_Exp!P7</f>
        <v>2010</v>
      </c>
      <c r="Q7" s="543" t="n">
        <f aca="false">Rev_Exp!Q7</f>
        <v>2011</v>
      </c>
      <c r="R7" s="543" t="n">
        <f aca="false">Rev_Exp!R7</f>
        <v>2012</v>
      </c>
      <c r="S7" s="543" t="n">
        <f aca="false">Rev_Exp!S7</f>
        <v>2013</v>
      </c>
      <c r="T7" s="543" t="n">
        <f aca="false">Rev_Exp!T7</f>
        <v>2014</v>
      </c>
      <c r="U7" s="543" t="n">
        <f aca="false">Rev_Exp!U7</f>
        <v>2015</v>
      </c>
      <c r="V7" s="543" t="n">
        <f aca="false">Rev_Exp!V7</f>
        <v>2016</v>
      </c>
      <c r="W7" s="543" t="n">
        <f aca="false">Rev_Exp!W7</f>
        <v>2017</v>
      </c>
      <c r="X7" s="543" t="n">
        <f aca="false">Rev_Exp!X7</f>
        <v>2018</v>
      </c>
      <c r="Y7" s="543" t="n">
        <f aca="false">Rev_Exp!Y7</f>
        <v>2019</v>
      </c>
      <c r="Z7" s="544" t="s">
        <v>766</v>
      </c>
      <c r="AA7" s="38"/>
      <c r="AB7" s="78" t="n">
        <v>1</v>
      </c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45"/>
      <c r="B8" s="388"/>
      <c r="C8" s="388"/>
      <c r="D8" s="613"/>
      <c r="E8" s="613"/>
      <c r="F8" s="613"/>
      <c r="G8" s="613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W8" s="613"/>
      <c r="X8" s="613"/>
      <c r="Y8" s="613"/>
      <c r="Z8" s="614"/>
      <c r="AA8" s="0"/>
      <c r="AB8" s="175" t="n">
        <f aca="false">AB7+1</f>
        <v>2</v>
      </c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</row>
    <row r="9" customFormat="false" ht="12.75" hidden="false" customHeight="false" outlineLevel="0" collapsed="false">
      <c r="A9" s="37" t="s">
        <v>767</v>
      </c>
      <c r="B9" s="38"/>
      <c r="C9" s="38"/>
      <c r="D9" s="215" t="n">
        <f aca="false">Rev_Exp!D9</f>
        <v>0</v>
      </c>
      <c r="E9" s="215" t="n">
        <f aca="false">Rev_Exp!E9</f>
        <v>9</v>
      </c>
      <c r="F9" s="215" t="n">
        <f aca="false">Rev_Exp!F9</f>
        <v>12</v>
      </c>
      <c r="G9" s="215" t="n">
        <f aca="false">Rev_Exp!G9</f>
        <v>0</v>
      </c>
      <c r="H9" s="215" t="n">
        <f aca="false">Rev_Exp!H9</f>
        <v>0</v>
      </c>
      <c r="I9" s="215" t="n">
        <f aca="false">Rev_Exp!I9</f>
        <v>0</v>
      </c>
      <c r="J9" s="215" t="n">
        <f aca="false">Rev_Exp!J9</f>
        <v>0</v>
      </c>
      <c r="K9" s="215" t="n">
        <f aca="false">Rev_Exp!K9</f>
        <v>0</v>
      </c>
      <c r="L9" s="215" t="n">
        <f aca="false">Rev_Exp!L9</f>
        <v>0</v>
      </c>
      <c r="M9" s="215" t="n">
        <f aca="false">Rev_Exp!M9</f>
        <v>0</v>
      </c>
      <c r="N9" s="215" t="n">
        <f aca="false">Rev_Exp!N9</f>
        <v>0</v>
      </c>
      <c r="O9" s="215" t="n">
        <f aca="false">Rev_Exp!O9</f>
        <v>0</v>
      </c>
      <c r="P9" s="215" t="n">
        <f aca="false">Rev_Exp!P9</f>
        <v>0</v>
      </c>
      <c r="Q9" s="215" t="n">
        <f aca="false">Rev_Exp!Q9</f>
        <v>0</v>
      </c>
      <c r="R9" s="215" t="n">
        <f aca="false">Rev_Exp!R9</f>
        <v>0</v>
      </c>
      <c r="S9" s="215" t="n">
        <f aca="false">Rev_Exp!S9</f>
        <v>0</v>
      </c>
      <c r="T9" s="215" t="n">
        <f aca="false">Rev_Exp!T9</f>
        <v>0</v>
      </c>
      <c r="U9" s="215" t="n">
        <f aca="false">Rev_Exp!U9</f>
        <v>0</v>
      </c>
      <c r="V9" s="215" t="n">
        <f aca="false">Rev_Exp!V9</f>
        <v>0</v>
      </c>
      <c r="W9" s="215" t="n">
        <f aca="false">Rev_Exp!W9</f>
        <v>0</v>
      </c>
      <c r="X9" s="215" t="n">
        <f aca="false">Rev_Exp!X9</f>
        <v>0</v>
      </c>
      <c r="Y9" s="215" t="n">
        <f aca="false">Rev_Exp!Y9</f>
        <v>0</v>
      </c>
      <c r="Z9" s="550" t="n">
        <f aca="false">SUM(D9:Y9)</f>
        <v>21</v>
      </c>
      <c r="AA9" s="38"/>
      <c r="AB9" s="175" t="n">
        <f aca="false">AB8+1</f>
        <v>3</v>
      </c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37" t="s">
        <v>768</v>
      </c>
      <c r="B10" s="38"/>
      <c r="C10" s="38"/>
      <c r="D10" s="215" t="n">
        <f aca="false">Rev_Exp!D10</f>
        <v>0</v>
      </c>
      <c r="E10" s="215" t="n">
        <f aca="false">Rev_Exp!E10</f>
        <v>0</v>
      </c>
      <c r="F10" s="215" t="n">
        <f aca="false">Rev_Exp!F10</f>
        <v>0</v>
      </c>
      <c r="G10" s="215" t="n">
        <f aca="false">Rev_Exp!G10</f>
        <v>7</v>
      </c>
      <c r="H10" s="215" t="n">
        <f aca="false">Rev_Exp!H10</f>
        <v>0</v>
      </c>
      <c r="I10" s="215" t="n">
        <f aca="false">Rev_Exp!I10</f>
        <v>0</v>
      </c>
      <c r="J10" s="215" t="n">
        <f aca="false">Rev_Exp!J10</f>
        <v>0</v>
      </c>
      <c r="K10" s="215" t="n">
        <f aca="false">Rev_Exp!K10</f>
        <v>0</v>
      </c>
      <c r="L10" s="215" t="n">
        <f aca="false">Rev_Exp!L10</f>
        <v>0</v>
      </c>
      <c r="M10" s="215" t="n">
        <f aca="false">Rev_Exp!M10</f>
        <v>0</v>
      </c>
      <c r="N10" s="215" t="n">
        <f aca="false">Rev_Exp!N10</f>
        <v>0</v>
      </c>
      <c r="O10" s="215" t="n">
        <f aca="false">Rev_Exp!O10</f>
        <v>0</v>
      </c>
      <c r="P10" s="215" t="n">
        <f aca="false">Rev_Exp!P10</f>
        <v>0</v>
      </c>
      <c r="Q10" s="215" t="n">
        <f aca="false">Rev_Exp!Q10</f>
        <v>0</v>
      </c>
      <c r="R10" s="215" t="n">
        <f aca="false">Rev_Exp!R10</f>
        <v>0</v>
      </c>
      <c r="S10" s="215" t="n">
        <f aca="false">Rev_Exp!S10</f>
        <v>0</v>
      </c>
      <c r="T10" s="215" t="n">
        <f aca="false">Rev_Exp!T10</f>
        <v>0</v>
      </c>
      <c r="U10" s="215" t="n">
        <f aca="false">Rev_Exp!U10</f>
        <v>0</v>
      </c>
      <c r="V10" s="215" t="n">
        <f aca="false">Rev_Exp!V10</f>
        <v>0</v>
      </c>
      <c r="W10" s="215" t="n">
        <f aca="false">Rev_Exp!W10</f>
        <v>0</v>
      </c>
      <c r="X10" s="215" t="n">
        <f aca="false">Rev_Exp!X10</f>
        <v>0</v>
      </c>
      <c r="Y10" s="215" t="n">
        <f aca="false">Rev_Exp!Y10</f>
        <v>0</v>
      </c>
      <c r="Z10" s="550" t="n">
        <f aca="false">SUM(D10:Y10)</f>
        <v>7</v>
      </c>
      <c r="AA10" s="38"/>
      <c r="AB10" s="175" t="n">
        <f aca="false">AB9+1</f>
        <v>4</v>
      </c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</row>
    <row r="11" customFormat="false" ht="12.75" hidden="false" customHeight="false" outlineLevel="0" collapsed="false">
      <c r="A11" s="37" t="s">
        <v>769</v>
      </c>
      <c r="B11" s="38"/>
      <c r="C11" s="38"/>
      <c r="D11" s="551" t="n">
        <f aca="false">Rev_Exp!D11</f>
        <v>0</v>
      </c>
      <c r="E11" s="551" t="n">
        <f aca="false">Rev_Exp!E11</f>
        <v>0</v>
      </c>
      <c r="F11" s="551" t="n">
        <f aca="false">Rev_Exp!F11</f>
        <v>0</v>
      </c>
      <c r="G11" s="551" t="n">
        <f aca="false">Rev_Exp!G11</f>
        <v>5</v>
      </c>
      <c r="H11" s="551" t="n">
        <f aca="false">Rev_Exp!H11</f>
        <v>12</v>
      </c>
      <c r="I11" s="551" t="n">
        <f aca="false">Rev_Exp!I11</f>
        <v>12</v>
      </c>
      <c r="J11" s="551" t="n">
        <f aca="false">Rev_Exp!J11</f>
        <v>12</v>
      </c>
      <c r="K11" s="551" t="n">
        <f aca="false">Rev_Exp!K11</f>
        <v>12</v>
      </c>
      <c r="L11" s="551" t="n">
        <f aca="false">Rev_Exp!L11</f>
        <v>12</v>
      </c>
      <c r="M11" s="551" t="n">
        <f aca="false">Rev_Exp!M11</f>
        <v>12</v>
      </c>
      <c r="N11" s="551" t="n">
        <f aca="false">Rev_Exp!N11</f>
        <v>12</v>
      </c>
      <c r="O11" s="551" t="n">
        <f aca="false">Rev_Exp!O11</f>
        <v>12</v>
      </c>
      <c r="P11" s="551" t="n">
        <f aca="false">Rev_Exp!P11</f>
        <v>12</v>
      </c>
      <c r="Q11" s="551" t="n">
        <f aca="false">Rev_Exp!Q11</f>
        <v>12</v>
      </c>
      <c r="R11" s="551" t="n">
        <f aca="false">Rev_Exp!R11</f>
        <v>12</v>
      </c>
      <c r="S11" s="551" t="n">
        <f aca="false">Rev_Exp!S11</f>
        <v>12</v>
      </c>
      <c r="T11" s="551" t="n">
        <f aca="false">Rev_Exp!T11</f>
        <v>12</v>
      </c>
      <c r="U11" s="551" t="n">
        <f aca="false">Rev_Exp!U11</f>
        <v>12</v>
      </c>
      <c r="V11" s="551" t="n">
        <f aca="false">Rev_Exp!V11</f>
        <v>12</v>
      </c>
      <c r="W11" s="551" t="n">
        <f aca="false">Rev_Exp!W11</f>
        <v>12</v>
      </c>
      <c r="X11" s="551" t="n">
        <f aca="false">Rev_Exp!X11</f>
        <v>12</v>
      </c>
      <c r="Y11" s="551" t="n">
        <f aca="false">Rev_Exp!Y11</f>
        <v>4</v>
      </c>
      <c r="Z11" s="552" t="n">
        <f aca="false">SUM(D11:Y11)</f>
        <v>213</v>
      </c>
      <c r="AA11" s="38"/>
      <c r="AB11" s="175" t="n">
        <f aca="false">AB10+1</f>
        <v>5</v>
      </c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</row>
    <row r="12" customFormat="false" ht="12.75" hidden="false" customHeight="false" outlineLevel="0" collapsed="false">
      <c r="A12" s="55" t="s">
        <v>770</v>
      </c>
      <c r="B12" s="62"/>
      <c r="C12" s="62"/>
      <c r="D12" s="553" t="n">
        <f aca="false">Rev_Exp!D12</f>
        <v>0</v>
      </c>
      <c r="E12" s="553" t="n">
        <f aca="false">Rev_Exp!E12</f>
        <v>9</v>
      </c>
      <c r="F12" s="553" t="n">
        <f aca="false">Rev_Exp!F12</f>
        <v>12</v>
      </c>
      <c r="G12" s="553" t="n">
        <f aca="false">Rev_Exp!G12</f>
        <v>12</v>
      </c>
      <c r="H12" s="553" t="n">
        <f aca="false">Rev_Exp!H12</f>
        <v>12</v>
      </c>
      <c r="I12" s="553" t="n">
        <f aca="false">Rev_Exp!I12</f>
        <v>12</v>
      </c>
      <c r="J12" s="553" t="n">
        <f aca="false">Rev_Exp!J12</f>
        <v>12</v>
      </c>
      <c r="K12" s="553" t="n">
        <f aca="false">Rev_Exp!K12</f>
        <v>12</v>
      </c>
      <c r="L12" s="553" t="n">
        <f aca="false">Rev_Exp!L12</f>
        <v>12</v>
      </c>
      <c r="M12" s="553" t="n">
        <f aca="false">Rev_Exp!M12</f>
        <v>12</v>
      </c>
      <c r="N12" s="553" t="n">
        <f aca="false">Rev_Exp!N12</f>
        <v>12</v>
      </c>
      <c r="O12" s="553" t="n">
        <f aca="false">Rev_Exp!O12</f>
        <v>12</v>
      </c>
      <c r="P12" s="553" t="n">
        <f aca="false">Rev_Exp!P12</f>
        <v>12</v>
      </c>
      <c r="Q12" s="553" t="n">
        <f aca="false">Rev_Exp!Q12</f>
        <v>12</v>
      </c>
      <c r="R12" s="553" t="n">
        <f aca="false">Rev_Exp!R12</f>
        <v>12</v>
      </c>
      <c r="S12" s="553" t="n">
        <f aca="false">Rev_Exp!S12</f>
        <v>12</v>
      </c>
      <c r="T12" s="553" t="n">
        <f aca="false">Rev_Exp!T12</f>
        <v>12</v>
      </c>
      <c r="U12" s="553" t="n">
        <f aca="false">Rev_Exp!U12</f>
        <v>12</v>
      </c>
      <c r="V12" s="553" t="n">
        <f aca="false">Rev_Exp!V12</f>
        <v>12</v>
      </c>
      <c r="W12" s="553" t="n">
        <f aca="false">Rev_Exp!W12</f>
        <v>12</v>
      </c>
      <c r="X12" s="553" t="n">
        <f aca="false">Rev_Exp!X12</f>
        <v>12</v>
      </c>
      <c r="Y12" s="553" t="n">
        <f aca="false">Rev_Exp!Y12</f>
        <v>4</v>
      </c>
      <c r="Z12" s="554" t="n">
        <f aca="false">SUM(D12:Y12)</f>
        <v>241</v>
      </c>
      <c r="AA12" s="38"/>
      <c r="AB12" s="175" t="n">
        <f aca="false">AB11+1</f>
        <v>6</v>
      </c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</row>
    <row r="13" customFormat="false" ht="12.75" hidden="false" customHeight="false" outlineLevel="0" collapsed="false">
      <c r="A13" s="37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555"/>
      <c r="AA13" s="38"/>
      <c r="AB13" s="175" t="n">
        <f aca="false">AB12+1</f>
        <v>7</v>
      </c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</row>
    <row r="14" customFormat="false" ht="12.75" hidden="false" customHeight="false" outlineLevel="0" collapsed="false">
      <c r="A14" s="55" t="s">
        <v>782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555"/>
      <c r="AA14" s="38"/>
      <c r="AB14" s="175" t="n">
        <f aca="false">AB13+1</f>
        <v>8</v>
      </c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</row>
    <row r="15" customFormat="false" ht="12.75" hidden="false" customHeight="false" outlineLevel="0" collapsed="false">
      <c r="A15" s="166" t="s">
        <v>827</v>
      </c>
      <c r="B15" s="38"/>
      <c r="C15" s="79"/>
      <c r="D15" s="217" t="n">
        <f aca="false">Rev_Exp!D35</f>
        <v>0</v>
      </c>
      <c r="E15" s="217" t="n">
        <f aca="false">Rev_Exp!E35</f>
        <v>8934.54341627911</v>
      </c>
      <c r="F15" s="217" t="n">
        <f aca="false">Rev_Exp!F35</f>
        <v>14716.7533487156</v>
      </c>
      <c r="G15" s="217" t="n">
        <f aca="false">Rev_Exp!G35</f>
        <v>95619.208408259</v>
      </c>
      <c r="H15" s="217" t="n">
        <f aca="false">Rev_Exp!H35</f>
        <v>136319.320990707</v>
      </c>
      <c r="I15" s="217" t="n">
        <f aca="false">Rev_Exp!I35</f>
        <v>142971.149417841</v>
      </c>
      <c r="J15" s="217" t="n">
        <f aca="false">Rev_Exp!J35</f>
        <v>148564.016910725</v>
      </c>
      <c r="K15" s="217" t="n">
        <f aca="false">Rev_Exp!K35</f>
        <v>152129.333512125</v>
      </c>
      <c r="L15" s="217" t="n">
        <f aca="false">Rev_Exp!L35</f>
        <v>155154.979139947</v>
      </c>
      <c r="M15" s="217" t="n">
        <f aca="false">Rev_Exp!M35</f>
        <v>154743.263725652</v>
      </c>
      <c r="N15" s="217" t="n">
        <f aca="false">Rev_Exp!N35</f>
        <v>152906.729809475</v>
      </c>
      <c r="O15" s="217" t="n">
        <f aca="false">Rev_Exp!O35</f>
        <v>154096.532943409</v>
      </c>
      <c r="P15" s="217" t="n">
        <f aca="false">Rev_Exp!P35</f>
        <v>157574.546640617</v>
      </c>
      <c r="Q15" s="217" t="n">
        <f aca="false">Rev_Exp!Q35</f>
        <v>158815.712578715</v>
      </c>
      <c r="R15" s="217" t="n">
        <f aca="false">Rev_Exp!R35</f>
        <v>153914.063949415</v>
      </c>
      <c r="S15" s="217" t="n">
        <f aca="false">Rev_Exp!S35</f>
        <v>159853.322172655</v>
      </c>
      <c r="T15" s="217" t="n">
        <f aca="false">Rev_Exp!T35</f>
        <v>149649.725968583</v>
      </c>
      <c r="U15" s="217" t="n">
        <f aca="false">Rev_Exp!U35</f>
        <v>135704.125281223</v>
      </c>
      <c r="V15" s="217" t="n">
        <f aca="false">Rev_Exp!V35</f>
        <v>133710.189151215</v>
      </c>
      <c r="W15" s="217" t="n">
        <f aca="false">Rev_Exp!W35</f>
        <v>135577.607885992</v>
      </c>
      <c r="X15" s="217" t="n">
        <f aca="false">Rev_Exp!X35</f>
        <v>133593.756275322</v>
      </c>
      <c r="Y15" s="217" t="n">
        <f aca="false">Rev_Exp!Y35</f>
        <v>44129.7356965873</v>
      </c>
      <c r="Z15" s="574" t="n">
        <f aca="false">SUM(D15:Y15)</f>
        <v>2678678.61722346</v>
      </c>
      <c r="AB15" s="175" t="n">
        <f aca="false">AB14+1</f>
        <v>9</v>
      </c>
    </row>
    <row r="16" customFormat="false" ht="12.75" hidden="false" customHeight="false" outlineLevel="0" collapsed="false">
      <c r="A16" s="166" t="s">
        <v>828</v>
      </c>
      <c r="B16" s="131" t="s">
        <v>829</v>
      </c>
      <c r="C16" s="38"/>
      <c r="D16" s="220" t="n">
        <f aca="false">Rev_Exp!D40</f>
        <v>0</v>
      </c>
      <c r="E16" s="220" t="n">
        <f aca="false">Rev_Exp!E40</f>
        <v>11.2251173309925</v>
      </c>
      <c r="F16" s="220" t="n">
        <f aca="false">Rev_Exp!F40</f>
        <v>85.8747490174269</v>
      </c>
      <c r="G16" s="220" t="n">
        <f aca="false">Rev_Exp!G40</f>
        <v>6351.53797310785</v>
      </c>
      <c r="H16" s="220" t="n">
        <f aca="false">Rev_Exp!H40</f>
        <v>8896.96264709112</v>
      </c>
      <c r="I16" s="220" t="n">
        <f aca="false">Rev_Exp!I40</f>
        <v>9066.74463139157</v>
      </c>
      <c r="J16" s="220" t="n">
        <f aca="false">Rev_Exp!J40</f>
        <v>9323.49543188156</v>
      </c>
      <c r="K16" s="220" t="n">
        <f aca="false">Rev_Exp!K40</f>
        <v>9493.35339157507</v>
      </c>
      <c r="L16" s="220" t="n">
        <f aca="false">Rev_Exp!L40</f>
        <v>9729.14972608079</v>
      </c>
      <c r="M16" s="220" t="n">
        <f aca="false">Rev_Exp!M40</f>
        <v>9992.95539705468</v>
      </c>
      <c r="N16" s="220" t="n">
        <f aca="false">Rev_Exp!N40</f>
        <v>10232.1317345809</v>
      </c>
      <c r="O16" s="220" t="n">
        <f aca="false">Rev_Exp!O40</f>
        <v>10418.8181173891</v>
      </c>
      <c r="P16" s="220" t="n">
        <f aca="false">Rev_Exp!P40</f>
        <v>10677.6549359977</v>
      </c>
      <c r="Q16" s="220" t="n">
        <f aca="false">Rev_Exp!Q40</f>
        <v>10866.6808935645</v>
      </c>
      <c r="R16" s="220" t="n">
        <f aca="false">Rev_Exp!R40</f>
        <v>11073.2966700407</v>
      </c>
      <c r="S16" s="220" t="n">
        <f aca="false">Rev_Exp!S40</f>
        <v>11395.045864831</v>
      </c>
      <c r="T16" s="220" t="n">
        <f aca="false">Rev_Exp!T40</f>
        <v>11629.2297883348</v>
      </c>
      <c r="U16" s="220" t="n">
        <f aca="false">Rev_Exp!U40</f>
        <v>11873.177410682</v>
      </c>
      <c r="V16" s="220" t="n">
        <f aca="false">Rev_Exp!V40</f>
        <v>12208.3475035465</v>
      </c>
      <c r="W16" s="220" t="n">
        <f aca="false">Rev_Exp!W40</f>
        <v>12406.7327739766</v>
      </c>
      <c r="X16" s="220" t="n">
        <f aca="false">Rev_Exp!X40</f>
        <v>12701.0854606682</v>
      </c>
      <c r="Y16" s="220" t="n">
        <f aca="false">Rev_Exp!Y40</f>
        <v>4210.92182393276</v>
      </c>
      <c r="Z16" s="576" t="n">
        <f aca="false">SUM(D16:Y16)</f>
        <v>192644.422042076</v>
      </c>
      <c r="AB16" s="175" t="n">
        <f aca="false">AB15+1</f>
        <v>10</v>
      </c>
    </row>
    <row r="17" customFormat="false" ht="12.75" hidden="false" customHeight="false" outlineLevel="0" collapsed="false">
      <c r="A17" s="37" t="s">
        <v>830</v>
      </c>
      <c r="B17" s="38"/>
      <c r="C17" s="38"/>
      <c r="D17" s="217" t="n">
        <f aca="false">SUM(D15:D16)</f>
        <v>0</v>
      </c>
      <c r="E17" s="217" t="n">
        <f aca="false">SUM(E15:E16)</f>
        <v>8945.7685336101</v>
      </c>
      <c r="F17" s="217" t="n">
        <f aca="false">SUM(F15:F16)</f>
        <v>14802.628097733</v>
      </c>
      <c r="G17" s="217" t="n">
        <f aca="false">SUM(G15:G16)</f>
        <v>101970.746381367</v>
      </c>
      <c r="H17" s="573" t="n">
        <f aca="false">SUM(H15:H16)</f>
        <v>145216.283637798</v>
      </c>
      <c r="I17" s="217" t="n">
        <f aca="false">SUM(I15:I16)</f>
        <v>152037.894049232</v>
      </c>
      <c r="J17" s="217" t="n">
        <f aca="false">SUM(J15:J16)</f>
        <v>157887.512342606</v>
      </c>
      <c r="K17" s="217" t="n">
        <f aca="false">SUM(K15:K16)</f>
        <v>161622.686903701</v>
      </c>
      <c r="L17" s="217" t="n">
        <f aca="false">SUM(L15:L16)</f>
        <v>164884.128866027</v>
      </c>
      <c r="M17" s="217" t="n">
        <f aca="false">SUM(M15:M16)</f>
        <v>164736.219122707</v>
      </c>
      <c r="N17" s="217" t="n">
        <f aca="false">SUM(N15:N16)</f>
        <v>163138.861544056</v>
      </c>
      <c r="O17" s="217" t="n">
        <f aca="false">SUM(O15:O16)</f>
        <v>164515.351060799</v>
      </c>
      <c r="P17" s="217" t="n">
        <f aca="false">SUM(P15:P16)</f>
        <v>168252.201576615</v>
      </c>
      <c r="Q17" s="217" t="n">
        <f aca="false">SUM(Q15:Q16)</f>
        <v>169682.393472279</v>
      </c>
      <c r="R17" s="217" t="n">
        <f aca="false">SUM(R15:R16)</f>
        <v>164987.360619456</v>
      </c>
      <c r="S17" s="217" t="n">
        <f aca="false">SUM(S15:S16)</f>
        <v>171248.368037486</v>
      </c>
      <c r="T17" s="217" t="n">
        <f aca="false">SUM(T15:T16)</f>
        <v>161278.955756918</v>
      </c>
      <c r="U17" s="217" t="n">
        <f aca="false">SUM(U15:U16)</f>
        <v>147577.302691905</v>
      </c>
      <c r="V17" s="217" t="n">
        <f aca="false">SUM(V15:V16)</f>
        <v>145918.536654761</v>
      </c>
      <c r="W17" s="217" t="n">
        <f aca="false">SUM(W15:W16)</f>
        <v>147984.340659969</v>
      </c>
      <c r="X17" s="217" t="n">
        <f aca="false">SUM(X15:X16)</f>
        <v>146294.84173599</v>
      </c>
      <c r="Y17" s="217" t="n">
        <f aca="false">SUM(Y15:Y16)</f>
        <v>48340.6575205201</v>
      </c>
      <c r="Z17" s="574" t="n">
        <f aca="false">SUM(D17:Y17)</f>
        <v>2871323.03926553</v>
      </c>
      <c r="AB17" s="175" t="n">
        <f aca="false">AB16+1</f>
        <v>11</v>
      </c>
    </row>
    <row r="18" customFormat="false" ht="12.75" hidden="false" customHeight="false" outlineLevel="0" collapsed="false">
      <c r="A18" s="37" t="s">
        <v>792</v>
      </c>
      <c r="B18" s="580" t="n">
        <f aca="false">Pis+Cofins</f>
        <v>0.0265</v>
      </c>
      <c r="C18" s="38"/>
      <c r="D18" s="220" t="n">
        <f aca="false">Rev_Exp!D43</f>
        <v>-0</v>
      </c>
      <c r="E18" s="220" t="n">
        <f aca="false">Rev_Exp!E43</f>
        <v>-237.062866140668</v>
      </c>
      <c r="F18" s="220" t="n">
        <f aca="false">Rev_Exp!F43</f>
        <v>-392.269644589925</v>
      </c>
      <c r="G18" s="220" t="n">
        <f aca="false">Rev_Exp!G43</f>
        <v>-2702.22477910622</v>
      </c>
      <c r="H18" s="220" t="n">
        <f aca="false">Rev_Exp!H43</f>
        <v>-3848.23151640164</v>
      </c>
      <c r="I18" s="220" t="n">
        <f aca="false">Rev_Exp!I43</f>
        <v>-4029.00419230466</v>
      </c>
      <c r="J18" s="220" t="n">
        <f aca="false">Rev_Exp!J43</f>
        <v>-4184.01907707906</v>
      </c>
      <c r="K18" s="220" t="n">
        <f aca="false">Rev_Exp!K43</f>
        <v>-4283.00120294806</v>
      </c>
      <c r="L18" s="220" t="n">
        <f aca="false">Rev_Exp!L43</f>
        <v>-4369.42941494973</v>
      </c>
      <c r="M18" s="220" t="n">
        <f aca="false">Rev_Exp!M43</f>
        <v>-4365.50980675172</v>
      </c>
      <c r="N18" s="220" t="n">
        <f aca="false">Rev_Exp!N43</f>
        <v>-4323.17983091748</v>
      </c>
      <c r="O18" s="220" t="n">
        <f aca="false">Rev_Exp!O43</f>
        <v>-4359.65680311116</v>
      </c>
      <c r="P18" s="220" t="n">
        <f aca="false">Rev_Exp!P43</f>
        <v>-4458.68334178029</v>
      </c>
      <c r="Q18" s="220" t="n">
        <f aca="false">Rev_Exp!Q43</f>
        <v>-4496.58342701541</v>
      </c>
      <c r="R18" s="220" t="n">
        <f aca="false">Rev_Exp!R43</f>
        <v>-4372.16505641557</v>
      </c>
      <c r="S18" s="220" t="n">
        <f aca="false">Rev_Exp!S43</f>
        <v>-4538.08175299339</v>
      </c>
      <c r="T18" s="220" t="n">
        <f aca="false">Rev_Exp!T43</f>
        <v>-4273.89232755833</v>
      </c>
      <c r="U18" s="220" t="n">
        <f aca="false">Rev_Exp!U43</f>
        <v>-3910.79852133548</v>
      </c>
      <c r="V18" s="220" t="n">
        <f aca="false">Rev_Exp!V43</f>
        <v>-3866.84122135117</v>
      </c>
      <c r="W18" s="220" t="n">
        <f aca="false">Rev_Exp!W43</f>
        <v>-3921.58502748917</v>
      </c>
      <c r="X18" s="220" t="n">
        <f aca="false">Rev_Exp!X43</f>
        <v>-3876.81330600374</v>
      </c>
      <c r="Y18" s="220" t="n">
        <f aca="false">Rev_Exp!Y43</f>
        <v>-1281.02742429378</v>
      </c>
      <c r="Z18" s="576" t="n">
        <f aca="false">SUM(D18:Y18)</f>
        <v>-76090.0605405367</v>
      </c>
      <c r="AB18" s="175" t="n">
        <f aca="false">AB17+1</f>
        <v>12</v>
      </c>
    </row>
    <row r="19" customFormat="false" ht="12.75" hidden="false" customHeight="false" outlineLevel="0" collapsed="false">
      <c r="A19" s="55" t="s">
        <v>831</v>
      </c>
      <c r="B19" s="38"/>
      <c r="C19" s="38"/>
      <c r="D19" s="577" t="n">
        <f aca="false">SUM(D17:D18)</f>
        <v>0</v>
      </c>
      <c r="E19" s="577" t="n">
        <f aca="false">SUM(E17:E18)</f>
        <v>8708.70566746943</v>
      </c>
      <c r="F19" s="577" t="n">
        <f aca="false">SUM(F17:F18)</f>
        <v>14410.3584531431</v>
      </c>
      <c r="G19" s="577" t="n">
        <f aca="false">SUM(G17:G18)</f>
        <v>99268.5216022606</v>
      </c>
      <c r="H19" s="577" t="n">
        <f aca="false">SUM(H17:H18)</f>
        <v>141368.052121396</v>
      </c>
      <c r="I19" s="577" t="n">
        <f aca="false">SUM(I17:I18)</f>
        <v>148008.889856928</v>
      </c>
      <c r="J19" s="577" t="n">
        <f aca="false">SUM(J17:J18)</f>
        <v>153703.493265527</v>
      </c>
      <c r="K19" s="577" t="n">
        <f aca="false">SUM(K17:K18)</f>
        <v>157339.685700752</v>
      </c>
      <c r="L19" s="577" t="n">
        <f aca="false">SUM(L17:L18)</f>
        <v>160514.699451078</v>
      </c>
      <c r="M19" s="577" t="n">
        <f aca="false">SUM(M17:M18)</f>
        <v>160370.709315955</v>
      </c>
      <c r="N19" s="577" t="n">
        <f aca="false">SUM(N17:N18)</f>
        <v>158815.681713138</v>
      </c>
      <c r="O19" s="577" t="n">
        <f aca="false">SUM(O17:O18)</f>
        <v>160155.694257687</v>
      </c>
      <c r="P19" s="577" t="n">
        <f aca="false">SUM(P17:P18)</f>
        <v>163793.518234834</v>
      </c>
      <c r="Q19" s="577" t="n">
        <f aca="false">SUM(Q17:Q18)</f>
        <v>165185.810045264</v>
      </c>
      <c r="R19" s="577" t="n">
        <f aca="false">SUM(R17:R18)</f>
        <v>160615.19556304</v>
      </c>
      <c r="S19" s="577" t="n">
        <f aca="false">SUM(S17:S18)</f>
        <v>166710.286284493</v>
      </c>
      <c r="T19" s="577" t="n">
        <f aca="false">SUM(T17:T18)</f>
        <v>157005.06342936</v>
      </c>
      <c r="U19" s="577" t="n">
        <f aca="false">SUM(U17:U18)</f>
        <v>143666.504170569</v>
      </c>
      <c r="V19" s="577" t="n">
        <f aca="false">SUM(V17:V18)</f>
        <v>142051.69543341</v>
      </c>
      <c r="W19" s="577" t="n">
        <f aca="false">SUM(W17:W18)</f>
        <v>144062.755632479</v>
      </c>
      <c r="X19" s="577" t="n">
        <f aca="false">SUM(X17:X18)</f>
        <v>142418.028429986</v>
      </c>
      <c r="Y19" s="577" t="n">
        <f aca="false">SUM(Y17:Y18)</f>
        <v>47059.6300962263</v>
      </c>
      <c r="Z19" s="579" t="n">
        <f aca="false">SUM(D19:Y19)</f>
        <v>2795232.978725</v>
      </c>
      <c r="AB19" s="175" t="n">
        <f aca="false">AB18+1</f>
        <v>13</v>
      </c>
    </row>
    <row r="20" customFormat="false" ht="12.75" hidden="false" customHeight="false" outlineLevel="0" collapsed="false">
      <c r="A20" s="37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555"/>
      <c r="AB20" s="175" t="n">
        <f aca="false">AB19+1</f>
        <v>14</v>
      </c>
    </row>
    <row r="21" customFormat="false" ht="12.75" hidden="false" customHeight="false" outlineLevel="0" collapsed="false">
      <c r="A21" s="55" t="s">
        <v>798</v>
      </c>
      <c r="B21" s="38"/>
      <c r="C21" s="23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555"/>
      <c r="AB21" s="175" t="n">
        <f aca="false">AB20+1</f>
        <v>15</v>
      </c>
    </row>
    <row r="22" customFormat="false" ht="12.75" hidden="false" customHeight="false" outlineLevel="0" collapsed="false">
      <c r="A22" s="166" t="s">
        <v>832</v>
      </c>
      <c r="B22" s="38"/>
      <c r="C22" s="23"/>
      <c r="D22" s="217" t="n">
        <f aca="false">Rev_Exp!D61</f>
        <v>0</v>
      </c>
      <c r="E22" s="217" t="n">
        <f aca="false">Rev_Exp!E61</f>
        <v>0</v>
      </c>
      <c r="F22" s="217" t="n">
        <f aca="false">Rev_Exp!F61</f>
        <v>0</v>
      </c>
      <c r="G22" s="217" t="n">
        <f aca="false">Rev_Exp!G61</f>
        <v>27315.1273139394</v>
      </c>
      <c r="H22" s="217" t="n">
        <f aca="false">Rev_Exp!H61</f>
        <v>39461.5101704932</v>
      </c>
      <c r="I22" s="217" t="n">
        <f aca="false">Rev_Exp!I61</f>
        <v>40400.3901140874</v>
      </c>
      <c r="J22" s="217" t="n">
        <f aca="false">Rev_Exp!J61</f>
        <v>41436.3691096761</v>
      </c>
      <c r="K22" s="217" t="n">
        <f aca="false">Rev_Exp!K61</f>
        <v>42248.3990711667</v>
      </c>
      <c r="L22" s="217" t="n">
        <f aca="false">Rev_Exp!L61</f>
        <v>43175.0620770091</v>
      </c>
      <c r="M22" s="217" t="n">
        <f aca="false">Rev_Exp!M61</f>
        <v>44102.5048522423</v>
      </c>
      <c r="N22" s="217" t="n">
        <f aca="false">Rev_Exp!N61</f>
        <v>45151.6381553276</v>
      </c>
      <c r="O22" s="217" t="n">
        <f aca="false">Rev_Exp!O61</f>
        <v>45960.00596728</v>
      </c>
      <c r="P22" s="217" t="n">
        <f aca="false">Rev_Exp!P61</f>
        <v>46894.4952333789</v>
      </c>
      <c r="Q22" s="217" t="n">
        <f aca="false">Rev_Exp!Q61</f>
        <v>47835.2266267676</v>
      </c>
      <c r="R22" s="217" t="n">
        <f aca="false">Rev_Exp!R61</f>
        <v>48917.3216349565</v>
      </c>
      <c r="S22" s="217" t="n">
        <f aca="false">Rev_Exp!S61</f>
        <v>49750.5058075092</v>
      </c>
      <c r="T22" s="217" t="n">
        <f aca="false">Rev_Exp!T61</f>
        <v>50740.7677871399</v>
      </c>
      <c r="U22" s="217" t="n">
        <f aca="false">Rev_Exp!U61</f>
        <v>51767.0485230667</v>
      </c>
      <c r="V22" s="217" t="n">
        <f aca="false">Rev_Exp!V61</f>
        <v>52978.6246952897</v>
      </c>
      <c r="W22" s="217" t="n">
        <f aca="false">Rev_Exp!W61</f>
        <v>53952.1835645744</v>
      </c>
      <c r="X22" s="217" t="n">
        <f aca="false">Rev_Exp!X61</f>
        <v>55117.3056307232</v>
      </c>
      <c r="Y22" s="217" t="n">
        <f aca="false">Rev_Exp!Y61</f>
        <v>18248.4209093138</v>
      </c>
      <c r="Z22" s="574" t="n">
        <f aca="false">SUM(D22:Y22)</f>
        <v>845452.907243942</v>
      </c>
      <c r="AB22" s="175" t="n">
        <f aca="false">AB21+1</f>
        <v>16</v>
      </c>
    </row>
    <row r="23" customFormat="false" ht="12.75" hidden="false" customHeight="false" outlineLevel="0" collapsed="false">
      <c r="A23" s="166" t="s">
        <v>833</v>
      </c>
      <c r="B23" s="38"/>
      <c r="C23" s="23"/>
      <c r="D23" s="217" t="n">
        <f aca="false">Rev_Exp!D69</f>
        <v>0</v>
      </c>
      <c r="E23" s="217" t="n">
        <f aca="false">Rev_Exp!E69</f>
        <v>0</v>
      </c>
      <c r="F23" s="217" t="n">
        <f aca="false">Rev_Exp!F69</f>
        <v>0</v>
      </c>
      <c r="G23" s="217" t="n">
        <f aca="false">Rev_Exp!G69</f>
        <v>27484.7218623678</v>
      </c>
      <c r="H23" s="217" t="n">
        <f aca="false">Rev_Exp!H69</f>
        <v>43789.9974668233</v>
      </c>
      <c r="I23" s="217" t="n">
        <f aca="false">Rev_Exp!I69</f>
        <v>45152.9074807657</v>
      </c>
      <c r="J23" s="217" t="n">
        <f aca="false">Rev_Exp!J69</f>
        <v>46518.3306722354</v>
      </c>
      <c r="K23" s="217" t="n">
        <f aca="false">Rev_Exp!K69</f>
        <v>47815.1308425646</v>
      </c>
      <c r="L23" s="217" t="n">
        <f aca="false">Rev_Exp!L69</f>
        <v>49176.961187941</v>
      </c>
      <c r="M23" s="217" t="n">
        <f aca="false">Rev_Exp!M69</f>
        <v>50569.9896674611</v>
      </c>
      <c r="N23" s="217" t="n">
        <f aca="false">Rev_Exp!N69</f>
        <v>51900.5055773843</v>
      </c>
      <c r="O23" s="217" t="n">
        <f aca="false">Rev_Exp!O69</f>
        <v>53285.1036667399</v>
      </c>
      <c r="P23" s="217" t="n">
        <f aca="false">Rev_Exp!P69</f>
        <v>54702.1606881802</v>
      </c>
      <c r="Q23" s="217" t="n">
        <f aca="false">Rev_Exp!Q69</f>
        <v>56038.3797172867</v>
      </c>
      <c r="R23" s="217" t="n">
        <f aca="false">Rev_Exp!R69</f>
        <v>57466.1576921476</v>
      </c>
      <c r="S23" s="217" t="n">
        <f aca="false">Rev_Exp!S69</f>
        <v>58955.0260865737</v>
      </c>
      <c r="T23" s="217" t="n">
        <f aca="false">Rev_Exp!T69</f>
        <v>60404.2781303534</v>
      </c>
      <c r="U23" s="217" t="n">
        <f aca="false">Rev_Exp!U69</f>
        <v>61960.7584663856</v>
      </c>
      <c r="V23" s="217" t="n">
        <f aca="false">Rev_Exp!V69</f>
        <v>63605.5762876779</v>
      </c>
      <c r="W23" s="217" t="n">
        <f aca="false">Rev_Exp!W69</f>
        <v>65211.2692435926</v>
      </c>
      <c r="X23" s="217" t="n">
        <f aca="false">Rev_Exp!X69</f>
        <v>66975.6253191717</v>
      </c>
      <c r="Y23" s="217" t="n">
        <f aca="false">Rev_Exp!Y69</f>
        <v>22531.5008709648</v>
      </c>
      <c r="Z23" s="574" t="n">
        <f aca="false">SUM(D23:Y23)</f>
        <v>983544.380926618</v>
      </c>
      <c r="AB23" s="175" t="n">
        <f aca="false">AB22+1</f>
        <v>17</v>
      </c>
    </row>
    <row r="24" customFormat="false" ht="12.75" hidden="false" customHeight="false" outlineLevel="0" collapsed="false">
      <c r="A24" s="166" t="s">
        <v>834</v>
      </c>
      <c r="B24" s="38"/>
      <c r="C24" s="38"/>
      <c r="D24" s="217" t="n">
        <f aca="false">Rev_Exp!D78</f>
        <v>0</v>
      </c>
      <c r="E24" s="217" t="n">
        <f aca="false">Rev_Exp!E78</f>
        <v>2922.77255298599</v>
      </c>
      <c r="F24" s="217" t="n">
        <f aca="false">Rev_Exp!F78</f>
        <v>2815.05105025523</v>
      </c>
      <c r="G24" s="217" t="n">
        <f aca="false">Rev_Exp!G78</f>
        <v>4570.02700013137</v>
      </c>
      <c r="H24" s="217" t="n">
        <f aca="false">Rev_Exp!H78</f>
        <v>4478.03816238774</v>
      </c>
      <c r="I24" s="217" t="n">
        <f aca="false">Rev_Exp!I78</f>
        <v>4477.3343958386</v>
      </c>
      <c r="J24" s="217" t="n">
        <f aca="false">Rev_Exp!J78</f>
        <v>4600.29196826921</v>
      </c>
      <c r="K24" s="217" t="n">
        <f aca="false">Rev_Exp!K78</f>
        <v>4789.77792335564</v>
      </c>
      <c r="L24" s="217" t="n">
        <f aca="false">Rev_Exp!L78</f>
        <v>4987.50687304975</v>
      </c>
      <c r="M24" s="217" t="n">
        <f aca="false">Rev_Exp!M78</f>
        <v>5201.61955361226</v>
      </c>
      <c r="N24" s="217" t="n">
        <f aca="false">Rev_Exp!N78</f>
        <v>5428.75445456751</v>
      </c>
      <c r="O24" s="217" t="n">
        <f aca="false">Rev_Exp!O78</f>
        <v>5667.61286607284</v>
      </c>
      <c r="P24" s="217" t="n">
        <f aca="false">Rev_Exp!P78</f>
        <v>5912.82998879681</v>
      </c>
      <c r="Q24" s="217" t="n">
        <f aca="false">Rev_Exp!Q78</f>
        <v>6175.28507111017</v>
      </c>
      <c r="R24" s="217" t="n">
        <f aca="false">Rev_Exp!R78</f>
        <v>6462.30873383771</v>
      </c>
      <c r="S24" s="217" t="n">
        <f aca="false">Rev_Exp!S78</f>
        <v>6770.375415944</v>
      </c>
      <c r="T24" s="217" t="n">
        <f aca="false">Rev_Exp!T78</f>
        <v>7087.9581783054</v>
      </c>
      <c r="U24" s="217" t="n">
        <f aca="false">Rev_Exp!U78</f>
        <v>7418.92236632468</v>
      </c>
      <c r="V24" s="217" t="n">
        <f aca="false">Rev_Exp!V78</f>
        <v>7761.85879060973</v>
      </c>
      <c r="W24" s="217" t="n">
        <f aca="false">Rev_Exp!W78</f>
        <v>8118.75973545842</v>
      </c>
      <c r="X24" s="217" t="n">
        <f aca="false">Rev_Exp!X78</f>
        <v>8313.79367898877</v>
      </c>
      <c r="Y24" s="217" t="n">
        <f aca="false">Rev_Exp!Y78</f>
        <v>2977.87766784718</v>
      </c>
      <c r="Z24" s="574" t="n">
        <f aca="false">SUM(D24:Y24)</f>
        <v>116938.756427749</v>
      </c>
      <c r="AB24" s="175" t="n">
        <f aca="false">AB23+1</f>
        <v>18</v>
      </c>
    </row>
    <row r="25" customFormat="false" ht="12.75" hidden="false" customHeight="false" outlineLevel="0" collapsed="false">
      <c r="A25" s="166" t="s">
        <v>835</v>
      </c>
      <c r="B25" s="38"/>
      <c r="C25" s="38"/>
      <c r="D25" s="217" t="n">
        <f aca="false">Rev_Exp!D87</f>
        <v>0</v>
      </c>
      <c r="E25" s="217" t="n">
        <f aca="false">Rev_Exp!E87</f>
        <v>7517.81200982153</v>
      </c>
      <c r="F25" s="217" t="n">
        <f aca="false">Rev_Exp!F87</f>
        <v>7713.8572718917</v>
      </c>
      <c r="G25" s="217" t="n">
        <f aca="false">Rev_Exp!G87</f>
        <v>10298.9191261413</v>
      </c>
      <c r="H25" s="217" t="n">
        <f aca="false">Rev_Exp!H87</f>
        <v>10478.1790775093</v>
      </c>
      <c r="I25" s="217" t="n">
        <f aca="false">Rev_Exp!I87</f>
        <v>10583.5077443134</v>
      </c>
      <c r="J25" s="217" t="n">
        <f aca="false">Rev_Exp!J87</f>
        <v>10688.7310999126</v>
      </c>
      <c r="K25" s="217" t="n">
        <f aca="false">Rev_Exp!K87</f>
        <v>10794.6072570985</v>
      </c>
      <c r="L25" s="217" t="n">
        <f aca="false">Rev_Exp!L87</f>
        <v>10901.3928680906</v>
      </c>
      <c r="M25" s="217" t="n">
        <f aca="false">Rev_Exp!M87</f>
        <v>11008.6035679878</v>
      </c>
      <c r="N25" s="217" t="n">
        <f aca="false">Rev_Exp!N87</f>
        <v>11116.3628527009</v>
      </c>
      <c r="O25" s="217" t="n">
        <f aca="false">Rev_Exp!O87</f>
        <v>11225.0119021296</v>
      </c>
      <c r="P25" s="217" t="n">
        <f aca="false">Rev_Exp!P87</f>
        <v>11334.6879060531</v>
      </c>
      <c r="Q25" s="217" t="n">
        <f aca="false">Rev_Exp!Q87</f>
        <v>11445.6136810665</v>
      </c>
      <c r="R25" s="217" t="n">
        <f aca="false">Rev_Exp!R87</f>
        <v>11558.1996803223</v>
      </c>
      <c r="S25" s="217" t="n">
        <f aca="false">Rev_Exp!S87</f>
        <v>11673.1223650639</v>
      </c>
      <c r="T25" s="217" t="n">
        <f aca="false">Rev_Exp!T87</f>
        <v>11791.7057618619</v>
      </c>
      <c r="U25" s="217" t="n">
        <f aca="false">Rev_Exp!U87</f>
        <v>11915.0632597832</v>
      </c>
      <c r="V25" s="217" t="n">
        <f aca="false">Rev_Exp!V87</f>
        <v>12043.7355690156</v>
      </c>
      <c r="W25" s="217" t="n">
        <f aca="false">Rev_Exp!W87</f>
        <v>12178.3087879243</v>
      </c>
      <c r="X25" s="217" t="n">
        <f aca="false">Rev_Exp!X87</f>
        <v>5669.85554865627</v>
      </c>
      <c r="Y25" s="217" t="n">
        <f aca="false">Rev_Exp!Y87</f>
        <v>2169.06926500417</v>
      </c>
      <c r="Z25" s="574" t="n">
        <f aca="false">SUM(D25:Y25)</f>
        <v>214106.346602348</v>
      </c>
      <c r="AB25" s="175" t="n">
        <f aca="false">AB24+1</f>
        <v>19</v>
      </c>
    </row>
    <row r="26" customFormat="false" ht="12.75" hidden="false" customHeight="false" outlineLevel="0" collapsed="false">
      <c r="A26" s="166" t="s">
        <v>823</v>
      </c>
      <c r="B26" s="606" t="n">
        <f aca="false">Wh_Serv/(1-Wh_Serv)</f>
        <v>0.176470588235294</v>
      </c>
      <c r="C26" s="131" t="s">
        <v>836</v>
      </c>
      <c r="D26" s="220" t="n">
        <f aca="false">Rev_Exp!D91</f>
        <v>0</v>
      </c>
      <c r="E26" s="220" t="n">
        <f aca="false">Rev_Exp!E91</f>
        <v>17.5200674875262</v>
      </c>
      <c r="F26" s="220" t="n">
        <f aca="false">Rev_Exp!F91</f>
        <v>80.8070668999019</v>
      </c>
      <c r="G26" s="220" t="n">
        <f aca="false">Rev_Exp!G91</f>
        <v>414.780817847119</v>
      </c>
      <c r="H26" s="220" t="n">
        <f aca="false">Rev_Exp!H91</f>
        <v>630.899950536705</v>
      </c>
      <c r="I26" s="220" t="n">
        <f aca="false">Rev_Exp!I91</f>
        <v>630.794111527076</v>
      </c>
      <c r="J26" s="220" t="n">
        <f aca="false">Rev_Exp!J91</f>
        <v>651.064488396992</v>
      </c>
      <c r="K26" s="220" t="n">
        <f aca="false">Rev_Exp!K91</f>
        <v>677.782297535348</v>
      </c>
      <c r="L26" s="220" t="n">
        <f aca="false">Rev_Exp!L91</f>
        <v>707.518630181701</v>
      </c>
      <c r="M26" s="220" t="n">
        <f aca="false">Rev_Exp!M91</f>
        <v>739.718901830638</v>
      </c>
      <c r="N26" s="220" t="n">
        <f aca="false">Rev_Exp!N91</f>
        <v>775.997789571279</v>
      </c>
      <c r="O26" s="220" t="n">
        <f aca="false">Rev_Exp!O91</f>
        <v>809.799343626042</v>
      </c>
      <c r="P26" s="220" t="n">
        <f aca="false">Rev_Exp!P91</f>
        <v>846.677392809949</v>
      </c>
      <c r="Q26" s="220" t="n">
        <f aca="false">Rev_Exp!Q91</f>
        <v>886.147847917661</v>
      </c>
      <c r="R26" s="220" t="n">
        <f aca="false">Rev_Exp!R91</f>
        <v>931.859219856421</v>
      </c>
      <c r="S26" s="220" t="n">
        <f aca="false">Rev_Exp!S91</f>
        <v>975.643111388123</v>
      </c>
      <c r="T26" s="220" t="n">
        <f aca="false">Rev_Exp!T91</f>
        <v>1023.40418369916</v>
      </c>
      <c r="U26" s="220" t="n">
        <f aca="false">Rev_Exp!U91</f>
        <v>1073.17768021648</v>
      </c>
      <c r="V26" s="220" t="n">
        <f aca="false">Rev_Exp!V91</f>
        <v>1127.83318526697</v>
      </c>
      <c r="W26" s="220" t="n">
        <f aca="false">Rev_Exp!W91</f>
        <v>1178.42578293034</v>
      </c>
      <c r="X26" s="220" t="n">
        <f aca="false">Rev_Exp!X91</f>
        <v>1233.90464776865</v>
      </c>
      <c r="Y26" s="220" t="n">
        <f aca="false">Rev_Exp!Y91</f>
        <v>424.76778143201</v>
      </c>
      <c r="Z26" s="576" t="n">
        <f aca="false">SUM(D26:Y26)</f>
        <v>15838.5242987261</v>
      </c>
      <c r="AB26" s="175" t="n">
        <f aca="false">AB25+1</f>
        <v>20</v>
      </c>
    </row>
    <row r="27" customFormat="false" ht="12.75" hidden="false" customHeight="false" outlineLevel="0" collapsed="false">
      <c r="A27" s="55" t="s">
        <v>837</v>
      </c>
      <c r="B27" s="62"/>
      <c r="C27" s="62"/>
      <c r="D27" s="577" t="n">
        <f aca="false">SUM(D22:D26)*RAROC!C83</f>
        <v>0</v>
      </c>
      <c r="E27" s="577" t="n">
        <f aca="false">SUM(E22:E26)*RAROC!D83</f>
        <v>10458.104630295</v>
      </c>
      <c r="F27" s="577" t="n">
        <f aca="false">SUM(F22:F26)*RAROC!E83</f>
        <v>10609.7153890468</v>
      </c>
      <c r="G27" s="577" t="n">
        <f aca="false">SUM(G22:G26)*RAROC!F83</f>
        <v>70083.5761204269</v>
      </c>
      <c r="H27" s="577" t="n">
        <f aca="false">SUM(H22:H26)*RAROC!G83</f>
        <v>98838.6248277503</v>
      </c>
      <c r="I27" s="577" t="n">
        <f aca="false">SUM(I22:I26)*RAROC!H83</f>
        <v>101244.933846532</v>
      </c>
      <c r="J27" s="577" t="n">
        <f aca="false">SUM(J22:J26)*RAROC!I83</f>
        <v>124673.744806188</v>
      </c>
      <c r="K27" s="577" t="n">
        <f aca="false">SUM(K22:K26)*RAROC!J83</f>
        <v>106325.697391721</v>
      </c>
      <c r="L27" s="577" t="n">
        <f aca="false">SUM(L22:L26)*RAROC!K83</f>
        <v>108948.441636272</v>
      </c>
      <c r="M27" s="577" t="n">
        <f aca="false">SUM(M22:M26)*RAROC!L83</f>
        <v>111622.436543134</v>
      </c>
      <c r="N27" s="577" t="n">
        <f aca="false">SUM(N22:N26)*RAROC!M83</f>
        <v>114373.258829552</v>
      </c>
      <c r="O27" s="577" t="n">
        <f aca="false">SUM(O22:O26)*RAROC!N83</f>
        <v>116947.533745848</v>
      </c>
      <c r="P27" s="577" t="n">
        <f aca="false">SUM(P22:P26)*RAROC!O83</f>
        <v>119690.851209219</v>
      </c>
      <c r="Q27" s="577" t="n">
        <f aca="false">SUM(Q22:Q26)*RAROC!P83</f>
        <v>122380.652944149</v>
      </c>
      <c r="R27" s="577" t="n">
        <f aca="false">SUM(R22:R26)*RAROC!Q83</f>
        <v>125335.846961121</v>
      </c>
      <c r="S27" s="577" t="n">
        <f aca="false">SUM(S22:S26)*RAROC!R83</f>
        <v>128124.672786479</v>
      </c>
      <c r="T27" s="577" t="n">
        <f aca="false">SUM(T22:T26)*RAROC!S83</f>
        <v>131048.11404136</v>
      </c>
      <c r="U27" s="577" t="n">
        <f aca="false">SUM(U22:U26)*RAROC!T83</f>
        <v>134134.970295777</v>
      </c>
      <c r="V27" s="577" t="n">
        <f aca="false">SUM(V22:V26)*RAROC!U83</f>
        <v>137517.62852786</v>
      </c>
      <c r="W27" s="577" t="n">
        <f aca="false">SUM(W22:W26)*RAROC!V83</f>
        <v>140638.94711448</v>
      </c>
      <c r="X27" s="577" t="n">
        <f aca="false">SUM(X22:X26)*RAROC!W83</f>
        <v>137310.484825309</v>
      </c>
      <c r="Y27" s="577" t="n">
        <f aca="false">SUM(Y22:Y26)*RAROC!X83</f>
        <v>46351.636494562</v>
      </c>
      <c r="Z27" s="579" t="n">
        <f aca="false">SUM(D27:Y27)</f>
        <v>2196659.87296708</v>
      </c>
      <c r="AA27" s="330"/>
      <c r="AB27" s="175" t="n">
        <f aca="false">AB26+1</f>
        <v>21</v>
      </c>
      <c r="AC27" s="330"/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0"/>
      <c r="BW27" s="330"/>
      <c r="BX27" s="330"/>
      <c r="BY27" s="330"/>
      <c r="BZ27" s="330"/>
      <c r="CA27" s="330"/>
      <c r="CB27" s="330"/>
      <c r="CC27" s="330"/>
      <c r="CD27" s="330"/>
      <c r="CE27" s="330"/>
      <c r="CF27" s="330"/>
      <c r="CG27" s="330"/>
      <c r="CH27" s="330"/>
      <c r="CI27" s="330"/>
      <c r="CJ27" s="330"/>
      <c r="CK27" s="330"/>
      <c r="CL27" s="330"/>
      <c r="CM27" s="330"/>
      <c r="CN27" s="330"/>
      <c r="CO27" s="330"/>
      <c r="CP27" s="330"/>
      <c r="CQ27" s="330"/>
      <c r="CR27" s="330"/>
      <c r="CS27" s="330"/>
      <c r="CT27" s="330"/>
      <c r="CU27" s="330"/>
      <c r="CV27" s="330"/>
      <c r="CW27" s="330"/>
      <c r="CX27" s="330"/>
      <c r="CY27" s="330"/>
      <c r="CZ27" s="330"/>
      <c r="DA27" s="330"/>
      <c r="DB27" s="330"/>
      <c r="DC27" s="330"/>
      <c r="DD27" s="330"/>
      <c r="DE27" s="330"/>
      <c r="DF27" s="330"/>
      <c r="DG27" s="330"/>
      <c r="DH27" s="330"/>
      <c r="DI27" s="330"/>
      <c r="DJ27" s="330"/>
      <c r="DK27" s="330"/>
      <c r="DL27" s="330"/>
      <c r="DM27" s="330"/>
      <c r="DN27" s="330"/>
      <c r="DO27" s="330"/>
      <c r="DP27" s="330"/>
      <c r="DQ27" s="330"/>
      <c r="DR27" s="330"/>
      <c r="DS27" s="330"/>
      <c r="DT27" s="330"/>
      <c r="DU27" s="330"/>
      <c r="DV27" s="330"/>
      <c r="DW27" s="330"/>
      <c r="DX27" s="330"/>
      <c r="DY27" s="330"/>
      <c r="DZ27" s="330"/>
      <c r="EA27" s="330"/>
      <c r="EB27" s="330"/>
      <c r="EC27" s="330"/>
      <c r="ED27" s="330"/>
      <c r="EE27" s="330"/>
      <c r="EF27" s="330"/>
      <c r="EG27" s="330"/>
      <c r="EH27" s="330"/>
      <c r="EI27" s="330"/>
      <c r="EJ27" s="330"/>
      <c r="EK27" s="330"/>
      <c r="EL27" s="330"/>
      <c r="EM27" s="330"/>
      <c r="EN27" s="330"/>
      <c r="EO27" s="330"/>
      <c r="EP27" s="330"/>
      <c r="EQ27" s="330"/>
      <c r="ER27" s="330"/>
      <c r="ES27" s="330"/>
      <c r="ET27" s="330"/>
      <c r="EU27" s="330"/>
      <c r="EV27" s="330"/>
      <c r="EW27" s="330"/>
      <c r="EX27" s="330"/>
      <c r="EY27" s="330"/>
      <c r="EZ27" s="330"/>
      <c r="FA27" s="330"/>
      <c r="FB27" s="330"/>
      <c r="FC27" s="330"/>
      <c r="FD27" s="330"/>
      <c r="FE27" s="330"/>
      <c r="FF27" s="330"/>
      <c r="FG27" s="330"/>
      <c r="FH27" s="330"/>
      <c r="FI27" s="330"/>
      <c r="FJ27" s="330"/>
      <c r="FK27" s="330"/>
      <c r="FL27" s="330"/>
      <c r="FM27" s="330"/>
      <c r="FN27" s="330"/>
      <c r="FO27" s="330"/>
      <c r="FP27" s="330"/>
      <c r="FQ27" s="330"/>
      <c r="FR27" s="330"/>
      <c r="FS27" s="330"/>
      <c r="FT27" s="330"/>
      <c r="FU27" s="330"/>
      <c r="FV27" s="330"/>
      <c r="FW27" s="330"/>
      <c r="FX27" s="330"/>
      <c r="FY27" s="330"/>
      <c r="FZ27" s="330"/>
      <c r="GA27" s="330"/>
      <c r="GB27" s="330"/>
      <c r="GC27" s="330"/>
      <c r="GD27" s="330"/>
      <c r="GE27" s="330"/>
      <c r="GF27" s="330"/>
      <c r="GG27" s="330"/>
      <c r="GH27" s="330"/>
      <c r="GI27" s="330"/>
      <c r="GJ27" s="330"/>
      <c r="GK27" s="330"/>
      <c r="GL27" s="330"/>
      <c r="GM27" s="330"/>
      <c r="GN27" s="330"/>
      <c r="GO27" s="330"/>
      <c r="GP27" s="330"/>
      <c r="GQ27" s="330"/>
      <c r="GR27" s="330"/>
      <c r="GS27" s="330"/>
      <c r="GT27" s="330"/>
      <c r="GU27" s="330"/>
      <c r="GV27" s="330"/>
      <c r="GW27" s="330"/>
      <c r="GX27" s="330"/>
      <c r="GY27" s="330"/>
      <c r="GZ27" s="330"/>
      <c r="HA27" s="330"/>
      <c r="HB27" s="330"/>
      <c r="HC27" s="330"/>
      <c r="HD27" s="330"/>
      <c r="HE27" s="330"/>
      <c r="HF27" s="330"/>
      <c r="HG27" s="330"/>
      <c r="HH27" s="330"/>
      <c r="HI27" s="330"/>
      <c r="HJ27" s="330"/>
      <c r="HK27" s="330"/>
      <c r="HL27" s="330"/>
      <c r="HM27" s="330"/>
      <c r="HN27" s="330"/>
      <c r="HO27" s="330"/>
      <c r="HP27" s="330"/>
      <c r="HQ27" s="330"/>
      <c r="HR27" s="330"/>
      <c r="HS27" s="330"/>
      <c r="HT27" s="330"/>
      <c r="HU27" s="330"/>
      <c r="HV27" s="330"/>
      <c r="HW27" s="330"/>
      <c r="HX27" s="330"/>
      <c r="HY27" s="330"/>
      <c r="HZ27" s="330"/>
      <c r="IA27" s="330"/>
      <c r="IB27" s="330"/>
      <c r="IC27" s="330"/>
      <c r="ID27" s="330"/>
      <c r="IE27" s="330"/>
      <c r="IF27" s="330"/>
      <c r="IG27" s="330"/>
      <c r="IH27" s="330"/>
      <c r="II27" s="330"/>
      <c r="IJ27" s="330"/>
      <c r="IK27" s="330"/>
      <c r="IL27" s="330"/>
      <c r="IM27" s="330"/>
      <c r="IN27" s="330"/>
      <c r="IO27" s="330"/>
      <c r="IP27" s="330"/>
      <c r="IQ27" s="330"/>
      <c r="IR27" s="330"/>
      <c r="IS27" s="330"/>
      <c r="IT27" s="330"/>
      <c r="IU27" s="330"/>
      <c r="IV27" s="330"/>
      <c r="IW27" s="330"/>
    </row>
    <row r="28" customFormat="false" ht="12.75" hidden="false" customHeight="false" outlineLevel="0" collapsed="false">
      <c r="A28" s="37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555"/>
      <c r="AB28" s="175" t="n">
        <f aca="false">AB27+1</f>
        <v>22</v>
      </c>
    </row>
    <row r="29" customFormat="false" ht="12.75" hidden="false" customHeight="false" outlineLevel="0" collapsed="false">
      <c r="A29" s="55" t="s">
        <v>838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555"/>
      <c r="AB29" s="175" t="n">
        <f aca="false">AB28+1</f>
        <v>23</v>
      </c>
    </row>
    <row r="30" customFormat="false" ht="12.75" hidden="false" customHeight="false" outlineLevel="0" collapsed="false">
      <c r="A30" s="37" t="s">
        <v>839</v>
      </c>
      <c r="B30" s="38"/>
      <c r="C30" s="38"/>
      <c r="D30" s="217" t="n">
        <f aca="false">Trapped!F39</f>
        <v>0</v>
      </c>
      <c r="E30" s="217" t="n">
        <f aca="false">Trapped!G39</f>
        <v>0</v>
      </c>
      <c r="F30" s="217" t="n">
        <f aca="false">Trapped!H39</f>
        <v>0</v>
      </c>
      <c r="G30" s="217" t="n">
        <f aca="false">Trapped!I39</f>
        <v>68.9915362278783</v>
      </c>
      <c r="H30" s="217" t="n">
        <f aca="false">Trapped!J39</f>
        <v>833.59650136569</v>
      </c>
      <c r="I30" s="217" t="n">
        <f aca="false">Trapped!K39</f>
        <v>921.812613891455</v>
      </c>
      <c r="J30" s="217" t="n">
        <f aca="false">Trapped!L39</f>
        <v>1151.88616377999</v>
      </c>
      <c r="K30" s="217" t="n">
        <f aca="false">Trapped!M39</f>
        <v>1151.88616377999</v>
      </c>
      <c r="L30" s="217" t="n">
        <f aca="false">Trapped!N39</f>
        <v>1091.8752042748</v>
      </c>
      <c r="M30" s="217" t="n">
        <f aca="false">Trapped!O39</f>
        <v>1414.0429185676</v>
      </c>
      <c r="N30" s="217" t="n">
        <f aca="false">Trapped!P39</f>
        <v>1503.98835835098</v>
      </c>
      <c r="O30" s="217" t="n">
        <f aca="false">Trapped!Q39</f>
        <v>1503.98835835098</v>
      </c>
      <c r="P30" s="217" t="n">
        <f aca="false">Trapped!R39</f>
        <v>1378.04752405677</v>
      </c>
      <c r="Q30" s="217" t="n">
        <f aca="false">Trapped!S39</f>
        <v>1320.77841383597</v>
      </c>
      <c r="R30" s="217" t="n">
        <f aca="false">Trapped!T39</f>
        <v>1205.966220097</v>
      </c>
      <c r="S30" s="217" t="n">
        <f aca="false">Trapped!U39</f>
        <v>830.271349829575</v>
      </c>
      <c r="T30" s="217" t="n">
        <f aca="false">Trapped!V39</f>
        <v>930.290960630083</v>
      </c>
      <c r="U30" s="217" t="n">
        <f aca="false">Trapped!W39</f>
        <v>1100.25413148828</v>
      </c>
      <c r="V30" s="217" t="n">
        <f aca="false">Trapped!X39</f>
        <v>1100.25413148828</v>
      </c>
      <c r="W30" s="217" t="n">
        <f aca="false">Trapped!Y39</f>
        <v>1305.0660060042</v>
      </c>
      <c r="X30" s="217" t="n">
        <f aca="false">Trapped!Z39</f>
        <v>1539.56168792964</v>
      </c>
      <c r="Y30" s="217" t="n">
        <f aca="false">Trapped!AA39</f>
        <v>1850.79195256001</v>
      </c>
      <c r="Z30" s="574" t="n">
        <f aca="false">SUM(D30:Y30)</f>
        <v>22203.3501965092</v>
      </c>
      <c r="AB30" s="175" t="n">
        <f aca="false">AB29+1</f>
        <v>24</v>
      </c>
    </row>
    <row r="31" customFormat="false" ht="12.75" hidden="false" customHeight="false" outlineLevel="0" collapsed="false">
      <c r="A31" s="37" t="s">
        <v>840</v>
      </c>
      <c r="B31" s="38"/>
      <c r="C31" s="38"/>
      <c r="D31" s="217" t="n">
        <f aca="false">-(Land1+Land2+Land3)*Prop*D$12/12</f>
        <v>-0</v>
      </c>
      <c r="E31" s="217" t="n">
        <f aca="false">-(Land1+Land2+Land3)*Prop*E$12/12</f>
        <v>-0</v>
      </c>
      <c r="F31" s="217" t="n">
        <f aca="false">-(Land1+Land2+Land3)*Prop*F$12/12</f>
        <v>-0</v>
      </c>
      <c r="G31" s="217" t="n">
        <f aca="false">-(Land1+Land2+Land3)*Prop*G$12/12</f>
        <v>-0</v>
      </c>
      <c r="H31" s="217" t="n">
        <f aca="false">-(Land1+Land2+Land3)*Prop*H$12/12</f>
        <v>-0</v>
      </c>
      <c r="I31" s="217" t="n">
        <f aca="false">-(Land1+Land2+Land3)*Prop*I$12/12</f>
        <v>-0</v>
      </c>
      <c r="J31" s="217" t="n">
        <f aca="false">-(Land1+Land2+Land3)*Prop*J$12/12</f>
        <v>-0</v>
      </c>
      <c r="K31" s="217" t="n">
        <f aca="false">-(Land1+Land2+Land3)*Prop*K$12/12</f>
        <v>-0</v>
      </c>
      <c r="L31" s="217" t="n">
        <f aca="false">-(Land1+Land2+Land3)*Prop*L$12/12</f>
        <v>-0</v>
      </c>
      <c r="M31" s="217" t="n">
        <f aca="false">-(Land1+Land2+Land3)*Prop*M$12/12</f>
        <v>-0</v>
      </c>
      <c r="N31" s="217" t="n">
        <f aca="false">-(Land1+Land2+Land3)*Prop*N$12/12</f>
        <v>-0</v>
      </c>
      <c r="O31" s="217" t="n">
        <f aca="false">-(Land1+Land2+Land3)*Prop*O$12/12</f>
        <v>-0</v>
      </c>
      <c r="P31" s="217" t="n">
        <f aca="false">-(Land1+Land2+Land3)*Prop*P$12/12</f>
        <v>-0</v>
      </c>
      <c r="Q31" s="217" t="n">
        <f aca="false">-(Land1+Land2+Land3)*Prop*Q$12/12</f>
        <v>-0</v>
      </c>
      <c r="R31" s="217" t="n">
        <f aca="false">-(Land1+Land2+Land3)*Prop*R$12/12</f>
        <v>-0</v>
      </c>
      <c r="S31" s="217" t="n">
        <f aca="false">-(Land1+Land2+Land3)*Prop*S$12/12</f>
        <v>-0</v>
      </c>
      <c r="T31" s="217" t="n">
        <f aca="false">-(Land1+Land2+Land3)*Prop*T$12/12</f>
        <v>-0</v>
      </c>
      <c r="U31" s="217" t="n">
        <f aca="false">-(Land1+Land2+Land3)*Prop*U$12/12</f>
        <v>-0</v>
      </c>
      <c r="V31" s="217" t="n">
        <f aca="false">-(Land1+Land2+Land3)*Prop*V$12/12</f>
        <v>-0</v>
      </c>
      <c r="W31" s="217" t="n">
        <f aca="false">-(Land1+Land2+Land3)*Prop*W$12/12</f>
        <v>-0</v>
      </c>
      <c r="X31" s="217" t="n">
        <f aca="false">-(Land1+Land2+Land3)*Prop*X$12/12</f>
        <v>-0</v>
      </c>
      <c r="Y31" s="217" t="n">
        <f aca="false">-(Land1+Land2+Land3)*Prop*Y$12/12</f>
        <v>-0</v>
      </c>
      <c r="Z31" s="574" t="n">
        <f aca="false">SUM(D31:Y31)</f>
        <v>0</v>
      </c>
      <c r="AA31" s="16"/>
      <c r="AB31" s="175" t="n">
        <f aca="false">AB30+1</f>
        <v>25</v>
      </c>
    </row>
    <row r="32" customFormat="false" ht="12.75" hidden="false" customHeight="false" outlineLevel="0" collapsed="false">
      <c r="A32" s="37" t="s">
        <v>841</v>
      </c>
      <c r="B32" s="38"/>
      <c r="C32" s="38"/>
      <c r="D32" s="217" t="n">
        <f aca="false">Trapped!F100</f>
        <v>0</v>
      </c>
      <c r="E32" s="217" t="n">
        <f aca="false">Trapped!G100</f>
        <v>181.590147635308</v>
      </c>
      <c r="F32" s="217" t="n">
        <f aca="false">Trapped!H100</f>
        <v>541.430801526414</v>
      </c>
      <c r="G32" s="217" t="n">
        <f aca="false">Trapped!I100</f>
        <v>574.106537989869</v>
      </c>
      <c r="H32" s="217" t="n">
        <f aca="false">Trapped!J100</f>
        <v>397.494879012124</v>
      </c>
      <c r="I32" s="217" t="n">
        <f aca="false">Trapped!K100</f>
        <v>334.605340814493</v>
      </c>
      <c r="J32" s="217" t="n">
        <f aca="false">Trapped!L100</f>
        <v>456.350761355405</v>
      </c>
      <c r="K32" s="217" t="n">
        <f aca="false">Trapped!M100</f>
        <v>568.90692501537</v>
      </c>
      <c r="L32" s="217" t="n">
        <f aca="false">Trapped!N100</f>
        <v>435.276298364062</v>
      </c>
      <c r="M32" s="217" t="n">
        <f aca="false">Trapped!O100</f>
        <v>516.38462483263</v>
      </c>
      <c r="N32" s="217" t="n">
        <f aca="false">Trapped!P100</f>
        <v>863.535804253924</v>
      </c>
      <c r="O32" s="217" t="n">
        <f aca="false">Trapped!Q100</f>
        <v>884.689306557988</v>
      </c>
      <c r="P32" s="217" t="n">
        <f aca="false">Trapped!R100</f>
        <v>577.797797812503</v>
      </c>
      <c r="Q32" s="217" t="n">
        <f aca="false">Trapped!S100</f>
        <v>595.901383273871</v>
      </c>
      <c r="R32" s="217" t="n">
        <f aca="false">Trapped!T100</f>
        <v>941.019995503595</v>
      </c>
      <c r="S32" s="217" t="n">
        <f aca="false">Trapped!U100</f>
        <v>703.607203493972</v>
      </c>
      <c r="T32" s="217" t="n">
        <f aca="false">Trapped!V100</f>
        <v>465.623681314155</v>
      </c>
      <c r="U32" s="217" t="n">
        <f aca="false">Trapped!W100</f>
        <v>809.028861816385</v>
      </c>
      <c r="V32" s="217" t="n">
        <f aca="false">Trapped!X100</f>
        <v>873.829426792717</v>
      </c>
      <c r="W32" s="217" t="n">
        <f aca="false">Trapped!Y100</f>
        <v>383.539114505012</v>
      </c>
      <c r="X32" s="217" t="n">
        <f aca="false">Trapped!Z100</f>
        <v>0</v>
      </c>
      <c r="Y32" s="217" t="n">
        <f aca="false">Trapped!AA100</f>
        <v>0</v>
      </c>
      <c r="Z32" s="574" t="n">
        <f aca="false">SUM(D32:Y32)</f>
        <v>11104.7188918698</v>
      </c>
      <c r="AA32" s="16"/>
      <c r="AB32" s="175" t="n">
        <f aca="false">AB31+1</f>
        <v>26</v>
      </c>
    </row>
    <row r="33" customFormat="false" ht="12.75" hidden="false" customHeight="false" outlineLevel="0" collapsed="false">
      <c r="A33" s="37" t="s">
        <v>842</v>
      </c>
      <c r="B33" s="38"/>
      <c r="C33" s="38"/>
      <c r="D33" s="217" t="n">
        <f aca="false">IF(AND(D$7&gt;YEAR(Fin_Close),D$7&lt;=Assm!$AA$65),-Assm!$AB$64,0)</f>
        <v>0</v>
      </c>
      <c r="E33" s="217" t="n">
        <f aca="false">IF(AND(E$7&gt;YEAR(Fin_Close),E$7&lt;=Assm!$AA$65),-Assm!$AB$64,0)</f>
        <v>0</v>
      </c>
      <c r="F33" s="217" t="n">
        <f aca="false">IF(AND(F$7&gt;YEAR(Fin_Close),F$7&lt;=Assm!$AA$65),-Assm!$AB$64,0)</f>
        <v>0</v>
      </c>
      <c r="G33" s="217" t="n">
        <f aca="false">IF(AND(G$7&gt;YEAR(Fin_Close),G$7&lt;=Assm!$AA$65),-Assm!$AB$64,0)</f>
        <v>-12.5</v>
      </c>
      <c r="H33" s="217" t="n">
        <f aca="false">IF(AND(H$7&gt;YEAR(Fin_Close),H$7&lt;=Assm!$AA$65),-Assm!$AB$64,0)</f>
        <v>-12.5</v>
      </c>
      <c r="I33" s="217" t="n">
        <f aca="false">IF(AND(I$7&gt;YEAR(Fin_Close),I$7&lt;=Assm!$AA$65),-Assm!$AB$64,0)</f>
        <v>-12.5</v>
      </c>
      <c r="J33" s="217" t="n">
        <f aca="false">IF(AND(J$7&gt;YEAR(Fin_Close),J$7&lt;=Assm!$AA$65),-Assm!$AB$64,0)</f>
        <v>-12.5</v>
      </c>
      <c r="K33" s="217" t="n">
        <f aca="false">IF(AND(K$7&gt;YEAR(Fin_Close),K$7&lt;=Assm!$AA$65),-Assm!$AB$64,0)</f>
        <v>-12.5</v>
      </c>
      <c r="L33" s="217" t="n">
        <f aca="false">IF(AND(L$7&gt;YEAR(Fin_Close),L$7&lt;=Assm!$AA$65),-Assm!$AB$64,0)</f>
        <v>-12.5</v>
      </c>
      <c r="M33" s="217" t="n">
        <f aca="false">IF(AND(M$7&gt;YEAR(Fin_Close),M$7&lt;=Assm!$AA$65),-Assm!$AB$64,0)</f>
        <v>-12.5</v>
      </c>
      <c r="N33" s="217" t="n">
        <f aca="false">IF(AND(N$7&gt;YEAR(Fin_Close),N$7&lt;=Assm!$AA$65),-Assm!$AB$64,0)</f>
        <v>-12.5</v>
      </c>
      <c r="O33" s="217" t="n">
        <f aca="false">IF(AND(O$7&gt;YEAR(Fin_Close),O$7&lt;=Assm!$AA$65),-Assm!$AB$64,0)</f>
        <v>-12.5</v>
      </c>
      <c r="P33" s="217" t="n">
        <f aca="false">IF(AND(P$7&gt;YEAR(Fin_Close),P$7&lt;=Assm!$AA$65),-Assm!$AB$64,0)</f>
        <v>-12.5</v>
      </c>
      <c r="Q33" s="217" t="n">
        <f aca="false">IF(AND(Q$7&gt;YEAR(Fin_Close),Q$7&lt;=Assm!$AA$65),-Assm!$AB$64,0)</f>
        <v>-12.5</v>
      </c>
      <c r="R33" s="217" t="n">
        <f aca="false">IF(AND(R$7&gt;YEAR(Fin_Close),R$7&lt;=Assm!$AA$65),-Assm!$AB$64,0)</f>
        <v>-12.5</v>
      </c>
      <c r="S33" s="217" t="n">
        <f aca="false">IF(AND(S$7&gt;YEAR(Fin_Close),S$7&lt;=Assm!$AA$65),-Assm!$AB$64,0)</f>
        <v>-12.5</v>
      </c>
      <c r="T33" s="217" t="n">
        <f aca="false">IF(AND(T$7&gt;YEAR(Fin_Close),T$7&lt;=Assm!$AA$65),-Assm!$AB$64,0)</f>
        <v>-12.5</v>
      </c>
      <c r="U33" s="217" t="n">
        <f aca="false">IF(AND(U$7&gt;YEAR(Fin_Close),U$7&lt;=Assm!$AA$65),-Assm!$AB$64,0)</f>
        <v>-12.5</v>
      </c>
      <c r="V33" s="217" t="n">
        <f aca="false">IF(AND(V$7&gt;YEAR(Fin_Close),V$7&lt;=Assm!$AA$65),-Assm!$AB$64,0)</f>
        <v>0</v>
      </c>
      <c r="W33" s="217" t="n">
        <f aca="false">IF(AND(W$7&gt;YEAR(Fin_Close),W$7&lt;=Assm!$AA$65),-Assm!$AB$64,0)</f>
        <v>0</v>
      </c>
      <c r="X33" s="217" t="n">
        <f aca="false">IF(AND(X$7&gt;YEAR(Fin_Close),X$7&lt;=Assm!$AA$65),-Assm!$AB$64,0)</f>
        <v>0</v>
      </c>
      <c r="Y33" s="217" t="n">
        <f aca="false">IF(AND(Y$7&gt;YEAR(Fin_Close),Y$7&lt;=Assm!$AA$65),-Assm!$AB$64,0)</f>
        <v>0</v>
      </c>
      <c r="Z33" s="574" t="n">
        <f aca="false">SUM(D33:Y33)</f>
        <v>-187.5</v>
      </c>
      <c r="AA33" s="16"/>
      <c r="AB33" s="175" t="n">
        <f aca="false">AB32+1</f>
        <v>27</v>
      </c>
    </row>
    <row r="34" customFormat="false" ht="12.75" hidden="false" customHeight="false" outlineLevel="0" collapsed="false">
      <c r="A34" s="37" t="s">
        <v>843</v>
      </c>
      <c r="B34" s="38"/>
      <c r="C34" s="38"/>
      <c r="D34" s="217" t="n">
        <f aca="false">-'Debt Amort'!D16*Assm!$Y$84</f>
        <v>-0</v>
      </c>
      <c r="E34" s="217" t="n">
        <f aca="false">-'Debt Amort'!E16*Assm!$Y$84</f>
        <v>-0</v>
      </c>
      <c r="F34" s="217" t="n">
        <f aca="false">-'Debt Amort'!F16*Assm!$Y$84</f>
        <v>-85.8267359489975</v>
      </c>
      <c r="G34" s="217" t="n">
        <f aca="false">-'Debt Amort'!G16*Assm!$Y$84</f>
        <v>-355.008286204035</v>
      </c>
      <c r="H34" s="217" t="n">
        <f aca="false">-'Debt Amort'!H16*Assm!$Y$84</f>
        <v>-349.775557535993</v>
      </c>
      <c r="I34" s="217" t="n">
        <f aca="false">-'Debt Amort'!I16*Assm!$Y$84</f>
        <v>-359.73877510785</v>
      </c>
      <c r="J34" s="217" t="n">
        <f aca="false">-'Debt Amort'!J16*Assm!$Y$84</f>
        <v>-355.637680165807</v>
      </c>
      <c r="K34" s="217" t="n">
        <f aca="false">-'Debt Amort'!K16*Assm!$Y$84</f>
        <v>-347.371512062213</v>
      </c>
      <c r="L34" s="217" t="n">
        <f aca="false">-'Debt Amort'!L16*Assm!$Y$84</f>
        <v>-336.361242219459</v>
      </c>
      <c r="M34" s="217" t="n">
        <f aca="false">-'Debt Amort'!M16*Assm!$Y$84</f>
        <v>-309.668701656701</v>
      </c>
      <c r="N34" s="217" t="n">
        <f aca="false">-'Debt Amort'!N16*Assm!$Y$84</f>
        <v>-284.97228742217</v>
      </c>
      <c r="O34" s="217" t="n">
        <f aca="false">-'Debt Amort'!O16*Assm!$Y$84</f>
        <v>-273.027996000807</v>
      </c>
      <c r="P34" s="217" t="n">
        <f aca="false">-'Debt Amort'!P16*Assm!$Y$84</f>
        <v>-267.127078264657</v>
      </c>
      <c r="Q34" s="217" t="n">
        <f aca="false">-'Debt Amort'!Q16*Assm!$Y$84</f>
        <v>-212.102925749873</v>
      </c>
      <c r="R34" s="217" t="n">
        <f aca="false">-'Debt Amort'!R16*Assm!$Y$84</f>
        <v>-198.827883443026</v>
      </c>
      <c r="S34" s="217" t="n">
        <f aca="false">-'Debt Amort'!S16*Assm!$Y$84</f>
        <v>-186.916008132844</v>
      </c>
      <c r="T34" s="217" t="n">
        <f aca="false">-'Debt Amort'!T16*Assm!$Y$84</f>
        <v>-162.440373020126</v>
      </c>
      <c r="U34" s="217" t="n">
        <f aca="false">-'Debt Amort'!U16*Assm!$Y$84</f>
        <v>-0</v>
      </c>
      <c r="V34" s="217" t="n">
        <f aca="false">-'Debt Amort'!V16*Assm!$Y$84</f>
        <v>-0</v>
      </c>
      <c r="W34" s="217" t="n">
        <f aca="false">-'Debt Amort'!W16*Assm!$Y$84</f>
        <v>-0</v>
      </c>
      <c r="X34" s="217" t="n">
        <f aca="false">-'Debt Amort'!X16*Assm!$Y$84</f>
        <v>-0</v>
      </c>
      <c r="Y34" s="217" t="n">
        <f aca="false">-'Debt Amort'!Y16*Assm!$Y$84</f>
        <v>-0</v>
      </c>
      <c r="Z34" s="574" t="n">
        <f aca="false">SUM(D34:Y34)</f>
        <v>-4084.80304293456</v>
      </c>
      <c r="AA34" s="16"/>
      <c r="AB34" s="175" t="n">
        <f aca="false">AB33+1</f>
        <v>28</v>
      </c>
    </row>
    <row r="35" customFormat="false" ht="12.75" hidden="false" customHeight="false" outlineLevel="0" collapsed="false">
      <c r="A35" s="37" t="s">
        <v>844</v>
      </c>
      <c r="B35" s="38"/>
      <c r="C35" s="38"/>
      <c r="D35" s="217" t="n">
        <f aca="false">-Assm!$F$86</f>
        <v>-0</v>
      </c>
      <c r="E35" s="217" t="n">
        <f aca="false">-Assm!$F$86</f>
        <v>-0</v>
      </c>
      <c r="F35" s="217" t="n">
        <f aca="false">-Assm!$F$86</f>
        <v>-0</v>
      </c>
      <c r="G35" s="217" t="n">
        <f aca="false">-Assm!$F$86</f>
        <v>-0</v>
      </c>
      <c r="H35" s="217" t="n">
        <f aca="false">-Assm!$F$86</f>
        <v>-0</v>
      </c>
      <c r="I35" s="217" t="n">
        <f aca="false">-Assm!$F$86</f>
        <v>-0</v>
      </c>
      <c r="J35" s="217" t="n">
        <f aca="false">-Assm!$F$86</f>
        <v>-0</v>
      </c>
      <c r="K35" s="217" t="n">
        <f aca="false">-Assm!$F$86</f>
        <v>-0</v>
      </c>
      <c r="L35" s="217" t="n">
        <f aca="false">-Assm!$F$86</f>
        <v>-0</v>
      </c>
      <c r="M35" s="217" t="n">
        <f aca="false">-Assm!$F$86</f>
        <v>-0</v>
      </c>
      <c r="N35" s="217" t="n">
        <f aca="false">-Assm!$F$86</f>
        <v>-0</v>
      </c>
      <c r="O35" s="217" t="n">
        <f aca="false">-Assm!$F$86</f>
        <v>-0</v>
      </c>
      <c r="P35" s="217" t="n">
        <f aca="false">-Assm!$F$86</f>
        <v>-0</v>
      </c>
      <c r="Q35" s="217" t="n">
        <f aca="false">-Assm!$F$86</f>
        <v>-0</v>
      </c>
      <c r="R35" s="217" t="n">
        <f aca="false">-Assm!$F$86</f>
        <v>-0</v>
      </c>
      <c r="S35" s="217" t="n">
        <f aca="false">-Assm!$F$86</f>
        <v>-0</v>
      </c>
      <c r="T35" s="217" t="n">
        <f aca="false">-Assm!$F$86</f>
        <v>-0</v>
      </c>
      <c r="U35" s="217" t="n">
        <f aca="false">-Assm!$F$86</f>
        <v>-0</v>
      </c>
      <c r="V35" s="217" t="n">
        <f aca="false">-Assm!$F$86</f>
        <v>-0</v>
      </c>
      <c r="W35" s="217" t="n">
        <f aca="false">-Assm!$F$86</f>
        <v>-0</v>
      </c>
      <c r="X35" s="217" t="n">
        <f aca="false">-Assm!$F$86</f>
        <v>-0</v>
      </c>
      <c r="Y35" s="217" t="n">
        <f aca="false">-Assm!$F$86</f>
        <v>-0</v>
      </c>
      <c r="Z35" s="574" t="n">
        <f aca="false">SUM(D35:Y35)</f>
        <v>0</v>
      </c>
      <c r="AA35" s="16"/>
      <c r="AB35" s="175" t="n">
        <f aca="false">AB34+1</f>
        <v>29</v>
      </c>
    </row>
    <row r="36" customFormat="false" ht="12.75" hidden="false" customHeight="false" outlineLevel="0" collapsed="false">
      <c r="A36" s="615" t="s">
        <v>845</v>
      </c>
      <c r="B36" s="616"/>
      <c r="C36" s="616"/>
      <c r="D36" s="617" t="n">
        <f aca="false">(-Assm!$D$93*Assm!$D$94*D$12/12)+(-'Debt Amort'!D23)</f>
        <v>-0</v>
      </c>
      <c r="E36" s="617" t="n">
        <f aca="false">(-Assm!$D$93*Assm!$D$94*E$12/12)+(-'Debt Amort'!E23)</f>
        <v>-234.375</v>
      </c>
      <c r="F36" s="617" t="n">
        <f aca="false">(-Assm!$D$93*Assm!$D$94*F$12/12)+(-'Debt Amort'!F23)</f>
        <v>-312.5</v>
      </c>
      <c r="G36" s="617" t="n">
        <f aca="false">(-Assm!$D$93*Assm!$D$94*G$12/12)+(-'Debt Amort'!G23)</f>
        <v>-4497.51554973028</v>
      </c>
      <c r="H36" s="617" t="n">
        <f aca="false">(-Assm!$D$93*Assm!$D$94*H$12/12)+(-'Debt Amort'!H23)</f>
        <v>-4497.51554973028</v>
      </c>
      <c r="I36" s="617" t="n">
        <f aca="false">(-Assm!$D$93*Assm!$D$94*I$12/12)+(-'Debt Amort'!I23)</f>
        <v>-4257.79514613549</v>
      </c>
      <c r="J36" s="617" t="n">
        <f aca="false">(-Assm!$D$93*Assm!$D$94*J$12/12)+(-'Debt Amort'!J23)</f>
        <v>-312.5</v>
      </c>
      <c r="K36" s="617" t="n">
        <f aca="false">(-Assm!$D$93*Assm!$D$94*K$12/12)+(-'Debt Amort'!K23)</f>
        <v>-312.5</v>
      </c>
      <c r="L36" s="617" t="n">
        <f aca="false">(-Assm!$D$93*Assm!$D$94*L$12/12)+(-'Debt Amort'!L23)</f>
        <v>-312.5</v>
      </c>
      <c r="M36" s="617" t="n">
        <f aca="false">(-Assm!$D$93*Assm!$D$94*M$12/12)+(-'Debt Amort'!M23)</f>
        <v>-312.5</v>
      </c>
      <c r="N36" s="617" t="n">
        <f aca="false">(-Assm!$D$93*Assm!$D$94*N$12/12)+(-'Debt Amort'!N23)</f>
        <v>-312.5</v>
      </c>
      <c r="O36" s="617" t="n">
        <f aca="false">(-Assm!$D$93*Assm!$D$94*O$12/12)+(-'Debt Amort'!O23)</f>
        <v>-312.5</v>
      </c>
      <c r="P36" s="617" t="n">
        <f aca="false">(-Assm!$D$93*Assm!$D$94*P$12/12)+(-'Debt Amort'!P23)</f>
        <v>-312.5</v>
      </c>
      <c r="Q36" s="617" t="n">
        <f aca="false">(-Assm!$D$93*Assm!$D$94*Q$12/12)+(-'Debt Amort'!Q23)</f>
        <v>-312.5</v>
      </c>
      <c r="R36" s="617" t="n">
        <f aca="false">(-Assm!$D$93*Assm!$D$94*R$12/12)+(-'Debt Amort'!R23)</f>
        <v>-312.5</v>
      </c>
      <c r="S36" s="617" t="n">
        <f aca="false">(-Assm!$D$93*Assm!$D$94*S$12/12)+(-'Debt Amort'!S23)</f>
        <v>-312.5</v>
      </c>
      <c r="T36" s="617" t="n">
        <f aca="false">(-Assm!$D$93*Assm!$D$94*T$12/12)+(-'Debt Amort'!T23)</f>
        <v>-312.5</v>
      </c>
      <c r="U36" s="617" t="n">
        <f aca="false">(-Assm!$D$93*Assm!$D$94*U$12/12)+(-'Debt Amort'!U23)</f>
        <v>-312.5</v>
      </c>
      <c r="V36" s="617" t="n">
        <f aca="false">(-Assm!$D$93*Assm!$D$94*V$12/12)+(-'Debt Amort'!V23)</f>
        <v>-312.5</v>
      </c>
      <c r="W36" s="617" t="n">
        <f aca="false">(-Assm!$D$93*Assm!$D$94*W$12/12)+(-'Debt Amort'!W23)</f>
        <v>-312.5</v>
      </c>
      <c r="X36" s="617" t="n">
        <f aca="false">(-Assm!$D$93*Assm!$D$94*X$12/12)+(-'Debt Amort'!X23)</f>
        <v>-312.5</v>
      </c>
      <c r="Y36" s="617" t="n">
        <f aca="false">(-Assm!$D$93*Assm!$D$94*Y$12/12)+(-'Debt Amort'!Y23)</f>
        <v>-104.166666666667</v>
      </c>
      <c r="Z36" s="618" t="n">
        <f aca="false">SUM(D36:Y36)</f>
        <v>-18591.3679122627</v>
      </c>
      <c r="AA36" s="619"/>
      <c r="AB36" s="620" t="n">
        <f aca="false">AB35+1</f>
        <v>30</v>
      </c>
      <c r="AC36" s="619"/>
      <c r="AD36" s="619"/>
      <c r="AE36" s="619"/>
      <c r="AF36" s="619"/>
      <c r="AG36" s="619"/>
      <c r="AH36" s="619"/>
      <c r="AI36" s="619"/>
      <c r="AJ36" s="619"/>
      <c r="AK36" s="619"/>
      <c r="AL36" s="619"/>
      <c r="AM36" s="619"/>
      <c r="AN36" s="619"/>
      <c r="AO36" s="619"/>
      <c r="AP36" s="619"/>
      <c r="AQ36" s="619"/>
      <c r="AR36" s="619"/>
      <c r="AS36" s="619"/>
      <c r="AT36" s="619"/>
      <c r="AU36" s="619"/>
      <c r="AV36" s="619"/>
      <c r="AW36" s="619"/>
      <c r="AX36" s="619"/>
      <c r="AY36" s="619"/>
      <c r="AZ36" s="619"/>
      <c r="BA36" s="619"/>
      <c r="BB36" s="619"/>
      <c r="BC36" s="619"/>
      <c r="BD36" s="619"/>
      <c r="BE36" s="619"/>
      <c r="BF36" s="619"/>
      <c r="BG36" s="619"/>
      <c r="BH36" s="619"/>
      <c r="BI36" s="619"/>
      <c r="BJ36" s="619"/>
      <c r="BK36" s="619"/>
      <c r="BL36" s="619"/>
      <c r="BM36" s="619"/>
      <c r="BN36" s="619"/>
      <c r="BO36" s="619"/>
      <c r="BP36" s="619"/>
      <c r="BQ36" s="619"/>
      <c r="BR36" s="619"/>
      <c r="BS36" s="619"/>
      <c r="BT36" s="619"/>
      <c r="BU36" s="619"/>
      <c r="BV36" s="619"/>
      <c r="BW36" s="619"/>
      <c r="BX36" s="619"/>
      <c r="BY36" s="619"/>
      <c r="BZ36" s="619"/>
      <c r="CA36" s="619"/>
      <c r="CB36" s="619"/>
      <c r="CC36" s="619"/>
      <c r="CD36" s="619"/>
      <c r="CE36" s="619"/>
      <c r="CF36" s="619"/>
      <c r="CG36" s="619"/>
      <c r="CH36" s="619"/>
      <c r="CI36" s="619"/>
      <c r="CJ36" s="619"/>
      <c r="CK36" s="619"/>
      <c r="CL36" s="619"/>
      <c r="CM36" s="619"/>
      <c r="CN36" s="619"/>
      <c r="CO36" s="619"/>
      <c r="CP36" s="619"/>
      <c r="CQ36" s="619"/>
      <c r="CR36" s="619"/>
      <c r="CS36" s="619"/>
      <c r="CT36" s="619"/>
      <c r="CU36" s="619"/>
      <c r="CV36" s="619"/>
      <c r="CW36" s="619"/>
      <c r="CX36" s="619"/>
      <c r="CY36" s="619"/>
      <c r="CZ36" s="619"/>
      <c r="DA36" s="619"/>
      <c r="DB36" s="619"/>
      <c r="DC36" s="619"/>
      <c r="DD36" s="619"/>
      <c r="DE36" s="619"/>
      <c r="DF36" s="619"/>
      <c r="DG36" s="619"/>
      <c r="DH36" s="619"/>
      <c r="DI36" s="619"/>
      <c r="DJ36" s="619"/>
      <c r="DK36" s="619"/>
      <c r="DL36" s="619"/>
      <c r="DM36" s="619"/>
      <c r="DN36" s="619"/>
      <c r="DO36" s="619"/>
      <c r="DP36" s="619"/>
      <c r="DQ36" s="619"/>
      <c r="DR36" s="619"/>
      <c r="DS36" s="619"/>
      <c r="DT36" s="619"/>
      <c r="DU36" s="619"/>
      <c r="DV36" s="619"/>
      <c r="DW36" s="619"/>
      <c r="DX36" s="619"/>
      <c r="DY36" s="619"/>
      <c r="DZ36" s="619"/>
      <c r="EA36" s="619"/>
      <c r="EB36" s="619"/>
      <c r="EC36" s="619"/>
      <c r="ED36" s="619"/>
      <c r="EE36" s="619"/>
      <c r="EF36" s="619"/>
      <c r="EG36" s="619"/>
      <c r="EH36" s="619"/>
      <c r="EI36" s="619"/>
      <c r="EJ36" s="619"/>
      <c r="EK36" s="619"/>
      <c r="EL36" s="619"/>
      <c r="EM36" s="619"/>
      <c r="EN36" s="619"/>
      <c r="EO36" s="619"/>
      <c r="EP36" s="619"/>
      <c r="EQ36" s="619"/>
      <c r="ER36" s="619"/>
      <c r="ES36" s="619"/>
      <c r="ET36" s="619"/>
      <c r="EU36" s="619"/>
      <c r="EV36" s="619"/>
      <c r="EW36" s="619"/>
      <c r="EX36" s="619"/>
      <c r="EY36" s="619"/>
      <c r="EZ36" s="619"/>
      <c r="FA36" s="619"/>
      <c r="FB36" s="619"/>
      <c r="FC36" s="619"/>
      <c r="FD36" s="619"/>
      <c r="FE36" s="619"/>
      <c r="FF36" s="619"/>
      <c r="FG36" s="619"/>
      <c r="FH36" s="619"/>
      <c r="FI36" s="619"/>
      <c r="FJ36" s="619"/>
      <c r="FK36" s="619"/>
      <c r="FL36" s="619"/>
      <c r="FM36" s="619"/>
      <c r="FN36" s="619"/>
      <c r="FO36" s="619"/>
      <c r="FP36" s="619"/>
      <c r="FQ36" s="619"/>
      <c r="FR36" s="619"/>
      <c r="FS36" s="619"/>
      <c r="FT36" s="619"/>
      <c r="FU36" s="619"/>
      <c r="FV36" s="619"/>
      <c r="FW36" s="619"/>
      <c r="FX36" s="619"/>
      <c r="FY36" s="619"/>
      <c r="FZ36" s="619"/>
      <c r="GA36" s="619"/>
      <c r="GB36" s="619"/>
      <c r="GC36" s="619"/>
      <c r="GD36" s="619"/>
      <c r="GE36" s="619"/>
      <c r="GF36" s="619"/>
      <c r="GG36" s="619"/>
      <c r="GH36" s="619"/>
      <c r="GI36" s="619"/>
      <c r="GJ36" s="619"/>
      <c r="GK36" s="619"/>
      <c r="GL36" s="619"/>
      <c r="GM36" s="619"/>
      <c r="GN36" s="619"/>
      <c r="GO36" s="619"/>
      <c r="GP36" s="619"/>
      <c r="GQ36" s="619"/>
      <c r="GR36" s="619"/>
      <c r="GS36" s="619"/>
      <c r="GT36" s="619"/>
      <c r="GU36" s="619"/>
      <c r="GV36" s="619"/>
      <c r="GW36" s="619"/>
      <c r="GX36" s="619"/>
      <c r="GY36" s="619"/>
      <c r="GZ36" s="619"/>
      <c r="HA36" s="619"/>
      <c r="HB36" s="619"/>
      <c r="HC36" s="619"/>
      <c r="HD36" s="619"/>
      <c r="HE36" s="619"/>
      <c r="HF36" s="619"/>
      <c r="HG36" s="619"/>
      <c r="HH36" s="619"/>
      <c r="HI36" s="619"/>
      <c r="HJ36" s="619"/>
      <c r="HK36" s="619"/>
      <c r="HL36" s="619"/>
      <c r="HM36" s="619"/>
      <c r="HN36" s="619"/>
      <c r="HO36" s="619"/>
      <c r="HP36" s="619"/>
      <c r="HQ36" s="619"/>
      <c r="HR36" s="619"/>
      <c r="HS36" s="619"/>
      <c r="HT36" s="619"/>
      <c r="HU36" s="619"/>
      <c r="HV36" s="619"/>
      <c r="HW36" s="619"/>
      <c r="HX36" s="619"/>
      <c r="HY36" s="619"/>
      <c r="HZ36" s="619"/>
      <c r="IA36" s="619"/>
      <c r="IB36" s="619"/>
      <c r="IC36" s="619"/>
      <c r="ID36" s="619"/>
      <c r="IE36" s="619"/>
      <c r="IF36" s="619"/>
      <c r="IG36" s="619"/>
      <c r="IH36" s="619"/>
      <c r="II36" s="619"/>
      <c r="IJ36" s="619"/>
      <c r="IK36" s="619"/>
      <c r="IL36" s="619"/>
      <c r="IM36" s="619"/>
      <c r="IN36" s="619"/>
      <c r="IO36" s="619"/>
      <c r="IP36" s="619"/>
      <c r="IQ36" s="619"/>
      <c r="IR36" s="619"/>
      <c r="IS36" s="619"/>
      <c r="IT36" s="619"/>
      <c r="IU36" s="619"/>
      <c r="IV36" s="619"/>
      <c r="IW36" s="619"/>
    </row>
    <row r="37" customFormat="false" ht="12.75" hidden="false" customHeight="false" outlineLevel="0" collapsed="false">
      <c r="A37" s="37" t="s">
        <v>846</v>
      </c>
      <c r="B37" s="38"/>
      <c r="C37" s="38"/>
      <c r="D37" s="220" t="n">
        <f aca="false">-Assm!$F$91*D$12/12</f>
        <v>-0</v>
      </c>
      <c r="E37" s="220" t="n">
        <f aca="false">-Assm!$F$91*E$12/12</f>
        <v>-82.5</v>
      </c>
      <c r="F37" s="220" t="n">
        <f aca="false">-Assm!$F$91*F$12/12</f>
        <v>-110</v>
      </c>
      <c r="G37" s="220" t="n">
        <f aca="false">-Assm!$F$91*G$12/12</f>
        <v>-110</v>
      </c>
      <c r="H37" s="220" t="n">
        <f aca="false">-Assm!$F$91*H$12/12</f>
        <v>-110</v>
      </c>
      <c r="I37" s="220" t="n">
        <f aca="false">-Assm!$F$91*I$12/12</f>
        <v>-110</v>
      </c>
      <c r="J37" s="220" t="n">
        <f aca="false">-Assm!$F$91*J$12/12</f>
        <v>-110</v>
      </c>
      <c r="K37" s="220" t="n">
        <f aca="false">-Assm!$F$91*K$12/12</f>
        <v>-110</v>
      </c>
      <c r="L37" s="220" t="n">
        <f aca="false">-Assm!$F$91*L$12/12</f>
        <v>-110</v>
      </c>
      <c r="M37" s="220" t="n">
        <f aca="false">-Assm!$F$91*M$12/12</f>
        <v>-110</v>
      </c>
      <c r="N37" s="220" t="n">
        <f aca="false">-Assm!$F$91*N$12/12</f>
        <v>-110</v>
      </c>
      <c r="O37" s="220" t="n">
        <f aca="false">-Assm!$F$91*O$12/12</f>
        <v>-110</v>
      </c>
      <c r="P37" s="220" t="n">
        <f aca="false">-Assm!$F$91*P$12/12</f>
        <v>-110</v>
      </c>
      <c r="Q37" s="220" t="n">
        <f aca="false">-Assm!$F$91*Q$12/12</f>
        <v>-110</v>
      </c>
      <c r="R37" s="220" t="n">
        <f aca="false">-Assm!$F$91*R$12/12</f>
        <v>-110</v>
      </c>
      <c r="S37" s="220" t="n">
        <f aca="false">-Assm!$F$91*S$12/12</f>
        <v>-110</v>
      </c>
      <c r="T37" s="220" t="n">
        <f aca="false">-Assm!$F$91*T$12/12</f>
        <v>-110</v>
      </c>
      <c r="U37" s="220" t="n">
        <f aca="false">-Assm!$F$91*U$12/12</f>
        <v>-110</v>
      </c>
      <c r="V37" s="220" t="n">
        <f aca="false">-Assm!$F$91*V$12/12</f>
        <v>-110</v>
      </c>
      <c r="W37" s="220" t="n">
        <f aca="false">-Assm!$F$91*W$12/12</f>
        <v>-110</v>
      </c>
      <c r="X37" s="220" t="n">
        <f aca="false">-Assm!$F$91*X$12/12</f>
        <v>-110</v>
      </c>
      <c r="Y37" s="220" t="n">
        <f aca="false">-Assm!$F$91*Y$12/12</f>
        <v>-36.6666666666667</v>
      </c>
      <c r="Z37" s="576" t="n">
        <f aca="false">SUM(D37:Y37)</f>
        <v>-2209.16666666667</v>
      </c>
      <c r="AA37" s="16"/>
      <c r="AB37" s="175" t="n">
        <f aca="false">AB36+1</f>
        <v>31</v>
      </c>
    </row>
    <row r="38" customFormat="false" ht="12.75" hidden="false" customHeight="false" outlineLevel="0" collapsed="false">
      <c r="A38" s="55" t="s">
        <v>847</v>
      </c>
      <c r="B38" s="38"/>
      <c r="C38" s="38"/>
      <c r="D38" s="577" t="n">
        <f aca="false">SUM(D30:D37)</f>
        <v>0</v>
      </c>
      <c r="E38" s="577" t="n">
        <f aca="false">SUM(E30:E37)</f>
        <v>-135.284852364692</v>
      </c>
      <c r="F38" s="577" t="n">
        <f aca="false">SUM(F30:F37)</f>
        <v>33.1040655774165</v>
      </c>
      <c r="G38" s="577" t="n">
        <f aca="false">SUM(G30:G37)</f>
        <v>-4331.92576171657</v>
      </c>
      <c r="H38" s="577" t="n">
        <f aca="false">SUM(H30:H37)</f>
        <v>-3738.69972688846</v>
      </c>
      <c r="I38" s="577" t="n">
        <f aca="false">SUM(I30:I37)</f>
        <v>-3483.6159665374</v>
      </c>
      <c r="J38" s="577" t="n">
        <f aca="false">SUM(J30:J37)</f>
        <v>817.599244969586</v>
      </c>
      <c r="K38" s="577" t="n">
        <f aca="false">SUM(K30:K37)</f>
        <v>938.421576733146</v>
      </c>
      <c r="L38" s="577" t="n">
        <f aca="false">SUM(L30:L37)</f>
        <v>755.7902604194</v>
      </c>
      <c r="M38" s="577" t="n">
        <f aca="false">SUM(M30:M37)</f>
        <v>1185.75884174353</v>
      </c>
      <c r="N38" s="577" t="n">
        <f aca="false">SUM(N30:N37)</f>
        <v>1647.55187518274</v>
      </c>
      <c r="O38" s="577" t="n">
        <f aca="false">SUM(O30:O37)</f>
        <v>1680.64966890816</v>
      </c>
      <c r="P38" s="577" t="n">
        <f aca="false">SUM(P30:P37)</f>
        <v>1253.71824360462</v>
      </c>
      <c r="Q38" s="577" t="n">
        <f aca="false">SUM(Q30:Q37)</f>
        <v>1269.57687135997</v>
      </c>
      <c r="R38" s="577" t="n">
        <f aca="false">SUM(R30:R37)</f>
        <v>1513.15833215757</v>
      </c>
      <c r="S38" s="577" t="n">
        <f aca="false">SUM(S30:S37)</f>
        <v>911.962545190703</v>
      </c>
      <c r="T38" s="577" t="n">
        <f aca="false">SUM(T30:T37)</f>
        <v>798.474268924112</v>
      </c>
      <c r="U38" s="577" t="n">
        <f aca="false">SUM(U30:U37)</f>
        <v>1474.28299330467</v>
      </c>
      <c r="V38" s="577" t="n">
        <f aca="false">SUM(V30:V37)</f>
        <v>1551.583558281</v>
      </c>
      <c r="W38" s="577" t="n">
        <f aca="false">SUM(W30:W37)</f>
        <v>1266.10512050922</v>
      </c>
      <c r="X38" s="577" t="n">
        <f aca="false">SUM(X30:X37)</f>
        <v>1117.06168792964</v>
      </c>
      <c r="Y38" s="577" t="n">
        <f aca="false">SUM(Y30:Y37)</f>
        <v>1709.95861922667</v>
      </c>
      <c r="Z38" s="579" t="n">
        <f aca="false">SUM(D38:Y38)</f>
        <v>8235.23146651501</v>
      </c>
      <c r="AB38" s="175" t="n">
        <f aca="false">AB37+1</f>
        <v>32</v>
      </c>
    </row>
    <row r="39" customFormat="false" ht="12.75" hidden="false" customHeight="false" outlineLevel="0" collapsed="false">
      <c r="A39" s="37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555"/>
      <c r="AB39" s="175" t="n">
        <f aca="false">AB38+1</f>
        <v>33</v>
      </c>
    </row>
    <row r="40" customFormat="false" ht="12.75" hidden="false" customHeight="false" outlineLevel="0" collapsed="false">
      <c r="A40" s="55" t="s">
        <v>848</v>
      </c>
      <c r="B40" s="62"/>
      <c r="C40" s="62"/>
      <c r="D40" s="577" t="n">
        <f aca="false">SUM(D19,-D27,D38)</f>
        <v>0</v>
      </c>
      <c r="E40" s="577" t="n">
        <f aca="false">SUM(E19,-E27,E38)</f>
        <v>-1884.6838151903</v>
      </c>
      <c r="F40" s="577" t="n">
        <f aca="false">SUM(F19,-F27,F38)</f>
        <v>3833.74712967368</v>
      </c>
      <c r="G40" s="577" t="n">
        <f aca="false">SUM(G19,-G27,G38)</f>
        <v>24853.0197201171</v>
      </c>
      <c r="H40" s="577" t="n">
        <f aca="false">SUM(H19,-H27,H38)</f>
        <v>38790.7275667574</v>
      </c>
      <c r="I40" s="577" t="n">
        <f aca="false">SUM(I19,-I27,I38)</f>
        <v>43280.3400438581</v>
      </c>
      <c r="J40" s="577" t="n">
        <f aca="false">SUM(J19,-J27,J38)</f>
        <v>29847.3477043082</v>
      </c>
      <c r="K40" s="577" t="n">
        <f aca="false">SUM(K19,-K27,K38)</f>
        <v>51952.4098857647</v>
      </c>
      <c r="L40" s="577" t="n">
        <f aca="false">SUM(L19,-L27,L38)</f>
        <v>52322.0480752249</v>
      </c>
      <c r="M40" s="577" t="n">
        <f aca="false">SUM(M19,-M27,M38)</f>
        <v>49934.0316145643</v>
      </c>
      <c r="N40" s="577" t="n">
        <f aca="false">SUM(N19,-N27,N38)</f>
        <v>46089.9747587696</v>
      </c>
      <c r="O40" s="577" t="n">
        <f aca="false">SUM(O19,-O27,O38)</f>
        <v>44888.8101807472</v>
      </c>
      <c r="P40" s="577" t="n">
        <f aca="false">SUM(P19,-P27,P38)</f>
        <v>45356.3852692199</v>
      </c>
      <c r="Q40" s="577" t="n">
        <f aca="false">SUM(Q19,-Q27,Q38)</f>
        <v>44074.7339724755</v>
      </c>
      <c r="R40" s="577" t="n">
        <f aca="false">SUM(R19,-R27,R38)</f>
        <v>36792.506934077</v>
      </c>
      <c r="S40" s="577" t="n">
        <f aca="false">SUM(S19,-S27,S38)</f>
        <v>39497.5760432047</v>
      </c>
      <c r="T40" s="577" t="n">
        <f aca="false">SUM(T19,-T27,T38)</f>
        <v>26755.4236569239</v>
      </c>
      <c r="U40" s="577" t="n">
        <f aca="false">SUM(U19,-U27,U38)</f>
        <v>11005.8168680975</v>
      </c>
      <c r="V40" s="577" t="n">
        <f aca="false">SUM(V19,-V27,V38)</f>
        <v>6085.65046383107</v>
      </c>
      <c r="W40" s="577" t="n">
        <f aca="false">SUM(W19,-W27,W38)</f>
        <v>4689.91363850864</v>
      </c>
      <c r="X40" s="577" t="n">
        <f aca="false">SUM(X19,-X27,X38)</f>
        <v>6224.60529260744</v>
      </c>
      <c r="Y40" s="577" t="n">
        <f aca="false">SUM(Y19,-Y27,Y38)</f>
        <v>2417.95222089096</v>
      </c>
      <c r="Z40" s="579" t="n">
        <f aca="false">SUM(D40:Y40)</f>
        <v>606808.337224432</v>
      </c>
      <c r="AA40" s="330"/>
      <c r="AB40" s="175" t="n">
        <f aca="false">AB39+1</f>
        <v>34</v>
      </c>
      <c r="AC40" s="330"/>
      <c r="AD40" s="330"/>
      <c r="AE40" s="330"/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/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30"/>
      <c r="BW40" s="330"/>
      <c r="BX40" s="330"/>
      <c r="BY40" s="330"/>
      <c r="BZ40" s="330"/>
      <c r="CA40" s="330"/>
      <c r="CB40" s="330"/>
      <c r="CC40" s="330"/>
      <c r="CD40" s="330"/>
      <c r="CE40" s="330"/>
      <c r="CF40" s="330"/>
      <c r="CG40" s="330"/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0"/>
      <c r="CZ40" s="330"/>
      <c r="DA40" s="330"/>
      <c r="DB40" s="330"/>
      <c r="DC40" s="330"/>
      <c r="DD40" s="330"/>
      <c r="DE40" s="330"/>
      <c r="DF40" s="330"/>
      <c r="DG40" s="330"/>
      <c r="DH40" s="330"/>
      <c r="DI40" s="330"/>
      <c r="DJ40" s="330"/>
      <c r="DK40" s="330"/>
      <c r="DL40" s="330"/>
      <c r="DM40" s="330"/>
      <c r="DN40" s="330"/>
      <c r="DO40" s="330"/>
      <c r="DP40" s="330"/>
      <c r="DQ40" s="330"/>
      <c r="DR40" s="330"/>
      <c r="DS40" s="330"/>
      <c r="DT40" s="330"/>
      <c r="DU40" s="330"/>
      <c r="DV40" s="330"/>
      <c r="DW40" s="330"/>
      <c r="DX40" s="330"/>
      <c r="DY40" s="330"/>
      <c r="DZ40" s="330"/>
      <c r="EA40" s="330"/>
      <c r="EB40" s="330"/>
      <c r="EC40" s="330"/>
      <c r="ED40" s="330"/>
      <c r="EE40" s="330"/>
      <c r="EF40" s="330"/>
      <c r="EG40" s="330"/>
      <c r="EH40" s="330"/>
      <c r="EI40" s="330"/>
      <c r="EJ40" s="330"/>
      <c r="EK40" s="330"/>
      <c r="EL40" s="330"/>
      <c r="EM40" s="330"/>
      <c r="EN40" s="330"/>
      <c r="EO40" s="330"/>
      <c r="EP40" s="330"/>
      <c r="EQ40" s="330"/>
      <c r="ER40" s="330"/>
      <c r="ES40" s="330"/>
      <c r="ET40" s="330"/>
      <c r="EU40" s="330"/>
      <c r="EV40" s="330"/>
      <c r="EW40" s="330"/>
      <c r="EX40" s="330"/>
      <c r="EY40" s="330"/>
      <c r="EZ40" s="330"/>
      <c r="FA40" s="330"/>
      <c r="FB40" s="330"/>
      <c r="FC40" s="330"/>
      <c r="FD40" s="330"/>
      <c r="FE40" s="330"/>
      <c r="FF40" s="330"/>
      <c r="FG40" s="330"/>
      <c r="FH40" s="330"/>
      <c r="FI40" s="330"/>
      <c r="FJ40" s="330"/>
      <c r="FK40" s="330"/>
      <c r="FL40" s="330"/>
      <c r="FM40" s="330"/>
      <c r="FN40" s="330"/>
      <c r="FO40" s="330"/>
      <c r="FP40" s="330"/>
      <c r="FQ40" s="330"/>
      <c r="FR40" s="330"/>
      <c r="FS40" s="330"/>
      <c r="FT40" s="330"/>
      <c r="FU40" s="330"/>
      <c r="FV40" s="330"/>
      <c r="FW40" s="330"/>
      <c r="FX40" s="330"/>
      <c r="FY40" s="330"/>
      <c r="FZ40" s="330"/>
      <c r="GA40" s="330"/>
      <c r="GB40" s="330"/>
      <c r="GC40" s="330"/>
      <c r="GD40" s="330"/>
      <c r="GE40" s="330"/>
      <c r="GF40" s="330"/>
      <c r="GG40" s="330"/>
      <c r="GH40" s="330"/>
      <c r="GI40" s="330"/>
      <c r="GJ40" s="330"/>
      <c r="GK40" s="330"/>
      <c r="GL40" s="330"/>
      <c r="GM40" s="330"/>
      <c r="GN40" s="330"/>
      <c r="GO40" s="330"/>
      <c r="GP40" s="330"/>
      <c r="GQ40" s="330"/>
      <c r="GR40" s="330"/>
      <c r="GS40" s="330"/>
      <c r="GT40" s="330"/>
      <c r="GU40" s="330"/>
      <c r="GV40" s="330"/>
      <c r="GW40" s="330"/>
      <c r="GX40" s="330"/>
      <c r="GY40" s="330"/>
      <c r="GZ40" s="330"/>
      <c r="HA40" s="330"/>
      <c r="HB40" s="330"/>
      <c r="HC40" s="330"/>
      <c r="HD40" s="330"/>
      <c r="HE40" s="330"/>
      <c r="HF40" s="330"/>
      <c r="HG40" s="330"/>
      <c r="HH40" s="330"/>
      <c r="HI40" s="330"/>
      <c r="HJ40" s="330"/>
      <c r="HK40" s="330"/>
      <c r="HL40" s="330"/>
      <c r="HM40" s="330"/>
      <c r="HN40" s="330"/>
      <c r="HO40" s="330"/>
      <c r="HP40" s="330"/>
      <c r="HQ40" s="330"/>
      <c r="HR40" s="330"/>
      <c r="HS40" s="330"/>
      <c r="HT40" s="330"/>
      <c r="HU40" s="330"/>
      <c r="HV40" s="330"/>
      <c r="HW40" s="330"/>
      <c r="HX40" s="330"/>
      <c r="HY40" s="330"/>
      <c r="HZ40" s="330"/>
      <c r="IA40" s="330"/>
      <c r="IB40" s="330"/>
      <c r="IC40" s="330"/>
      <c r="ID40" s="330"/>
      <c r="IE40" s="330"/>
      <c r="IF40" s="330"/>
      <c r="IG40" s="330"/>
      <c r="IH40" s="330"/>
      <c r="II40" s="330"/>
      <c r="IJ40" s="330"/>
      <c r="IK40" s="330"/>
      <c r="IL40" s="330"/>
      <c r="IM40" s="330"/>
      <c r="IN40" s="330"/>
      <c r="IO40" s="330"/>
      <c r="IP40" s="330"/>
      <c r="IQ40" s="330"/>
      <c r="IR40" s="330"/>
      <c r="IS40" s="330"/>
      <c r="IT40" s="330"/>
      <c r="IU40" s="330"/>
      <c r="IV40" s="330"/>
      <c r="IW40" s="330"/>
    </row>
    <row r="41" customFormat="false" ht="12.75" hidden="false" customHeight="false" outlineLevel="0" collapsed="false">
      <c r="A41" s="37" t="s">
        <v>849</v>
      </c>
      <c r="B41" s="38"/>
      <c r="C41" s="38"/>
      <c r="D41" s="220" t="n">
        <f aca="false">-Depr!G43</f>
        <v>-0</v>
      </c>
      <c r="E41" s="220" t="n">
        <f aca="false">-Depr!H43</f>
        <v>-3704.81055000091</v>
      </c>
      <c r="F41" s="220" t="n">
        <f aca="false">-Depr!I43</f>
        <v>-4939.74740000121</v>
      </c>
      <c r="G41" s="220" t="n">
        <f aca="false">-Depr!J43</f>
        <v>-12563.7993949493</v>
      </c>
      <c r="H41" s="220" t="n">
        <f aca="false">-Depr!K43</f>
        <v>-17799.2181695267</v>
      </c>
      <c r="I41" s="220" t="n">
        <f aca="false">-Depr!L43</f>
        <v>-17799.2181695267</v>
      </c>
      <c r="J41" s="220" t="n">
        <f aca="false">-Depr!M43</f>
        <v>-17799.2181695267</v>
      </c>
      <c r="K41" s="220" t="n">
        <f aca="false">-Depr!N43</f>
        <v>-17799.2181695267</v>
      </c>
      <c r="L41" s="220" t="n">
        <f aca="false">-Depr!O43</f>
        <v>-17799.2181695267</v>
      </c>
      <c r="M41" s="220" t="n">
        <f aca="false">-Depr!P43</f>
        <v>-17799.2181695267</v>
      </c>
      <c r="N41" s="220" t="n">
        <f aca="false">-Depr!Q43</f>
        <v>-17799.2181695267</v>
      </c>
      <c r="O41" s="220" t="n">
        <f aca="false">-Depr!R43</f>
        <v>-17799.2181695267</v>
      </c>
      <c r="P41" s="220" t="n">
        <f aca="false">-Depr!S43</f>
        <v>-17799.2181695267</v>
      </c>
      <c r="Q41" s="220" t="n">
        <f aca="false">-Depr!T43</f>
        <v>-17799.2181695267</v>
      </c>
      <c r="R41" s="220" t="n">
        <f aca="false">-Depr!U43</f>
        <v>-17799.2181695267</v>
      </c>
      <c r="S41" s="220" t="n">
        <f aca="false">-Depr!V43</f>
        <v>-17799.2181695267</v>
      </c>
      <c r="T41" s="220" t="n">
        <f aca="false">-Depr!W43</f>
        <v>-17799.2181695267</v>
      </c>
      <c r="U41" s="220" t="n">
        <f aca="false">-Depr!X43</f>
        <v>-17799.2181695267</v>
      </c>
      <c r="V41" s="220" t="n">
        <f aca="false">-Depr!Y43</f>
        <v>-17799.2181695267</v>
      </c>
      <c r="W41" s="220" t="n">
        <f aca="false">-Depr!Z43</f>
        <v>-17799.2181695267</v>
      </c>
      <c r="X41" s="220" t="n">
        <f aca="false">-Depr!AA43</f>
        <v>-17799.2181695267</v>
      </c>
      <c r="Y41" s="220" t="n">
        <f aca="false">-Depr!AB43</f>
        <v>-5521.42710650878</v>
      </c>
      <c r="Z41" s="576" t="n">
        <f aca="false">SUM(D41:Y41)</f>
        <v>-329316.493333414</v>
      </c>
      <c r="AA41" s="621" t="str">
        <f aca="false">IF(ABS(-$Z$41-Assm!$J$54-Assm!$J$55-Assm!$J$56)&lt;0.1," ","WARNING: CHECK DEPRECIATION")</f>
        <v> </v>
      </c>
      <c r="AB41" s="175" t="n">
        <f aca="false">AB40+1</f>
        <v>35</v>
      </c>
    </row>
    <row r="42" customFormat="false" ht="12.75" hidden="false" customHeight="false" outlineLevel="0" collapsed="false">
      <c r="A42" s="37"/>
      <c r="B42" s="38"/>
      <c r="C42" s="38"/>
      <c r="D42" s="556"/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6"/>
      <c r="Q42" s="556"/>
      <c r="R42" s="556"/>
      <c r="S42" s="556"/>
      <c r="T42" s="556"/>
      <c r="U42" s="556"/>
      <c r="V42" s="556"/>
      <c r="W42" s="556"/>
      <c r="X42" s="556"/>
      <c r="Y42" s="556"/>
      <c r="Z42" s="557"/>
      <c r="AB42" s="175" t="n">
        <f aca="false">AB41+1</f>
        <v>36</v>
      </c>
    </row>
    <row r="43" customFormat="false" ht="12.75" hidden="false" customHeight="false" outlineLevel="0" collapsed="false">
      <c r="A43" s="55" t="s">
        <v>850</v>
      </c>
      <c r="B43" s="62"/>
      <c r="C43" s="62"/>
      <c r="D43" s="577" t="n">
        <f aca="false">SUM(D40:D41)</f>
        <v>0</v>
      </c>
      <c r="E43" s="577" t="n">
        <f aca="false">SUM(E40:E41)</f>
        <v>-5589.49436519121</v>
      </c>
      <c r="F43" s="577" t="n">
        <f aca="false">SUM(F40:F41)</f>
        <v>-1106.00027032753</v>
      </c>
      <c r="G43" s="577" t="n">
        <f aca="false">SUM(G40:G41)</f>
        <v>12289.2203251678</v>
      </c>
      <c r="H43" s="577" t="n">
        <f aca="false">SUM(H40:H41)</f>
        <v>20991.5093972307</v>
      </c>
      <c r="I43" s="577" t="n">
        <f aca="false">SUM(I40:I41)</f>
        <v>25481.1218743314</v>
      </c>
      <c r="J43" s="577" t="n">
        <f aca="false">SUM(J40:J41)</f>
        <v>12048.1295347815</v>
      </c>
      <c r="K43" s="577" t="n">
        <f aca="false">SUM(K40:K41)</f>
        <v>34153.191716238</v>
      </c>
      <c r="L43" s="577" t="n">
        <f aca="false">SUM(L40:L41)</f>
        <v>34522.8299056982</v>
      </c>
      <c r="M43" s="577" t="n">
        <f aca="false">SUM(M40:M41)</f>
        <v>32134.8134450376</v>
      </c>
      <c r="N43" s="577" t="n">
        <f aca="false">SUM(N40:N41)</f>
        <v>28290.7565892429</v>
      </c>
      <c r="O43" s="577" t="n">
        <f aca="false">SUM(O40:O41)</f>
        <v>27089.5920112205</v>
      </c>
      <c r="P43" s="577" t="n">
        <f aca="false">SUM(P40:P41)</f>
        <v>27557.1670996932</v>
      </c>
      <c r="Q43" s="577" t="n">
        <f aca="false">SUM(Q40:Q41)</f>
        <v>26275.5158029488</v>
      </c>
      <c r="R43" s="577" t="n">
        <f aca="false">SUM(R40:R41)</f>
        <v>18993.2887645503</v>
      </c>
      <c r="S43" s="577" t="n">
        <f aca="false">SUM(S40:S41)</f>
        <v>21698.357873678</v>
      </c>
      <c r="T43" s="577" t="n">
        <f aca="false">SUM(T40:T41)</f>
        <v>8956.20548739722</v>
      </c>
      <c r="U43" s="577" t="n">
        <f aca="false">SUM(U40:U41)</f>
        <v>-6793.40130142922</v>
      </c>
      <c r="V43" s="577" t="n">
        <f aca="false">SUM(V40:V41)</f>
        <v>-11713.5677056956</v>
      </c>
      <c r="W43" s="577" t="n">
        <f aca="false">SUM(W40:W41)</f>
        <v>-13109.3045310181</v>
      </c>
      <c r="X43" s="577" t="n">
        <f aca="false">SUM(X40:X41)</f>
        <v>-11574.6128769193</v>
      </c>
      <c r="Y43" s="577" t="n">
        <f aca="false">SUM(Y40:Y41)</f>
        <v>-3103.47488561782</v>
      </c>
      <c r="Z43" s="579" t="n">
        <f aca="false">SUM(D43:Y43)</f>
        <v>277491.843891018</v>
      </c>
      <c r="AA43" s="330"/>
      <c r="AB43" s="175" t="n">
        <f aca="false">AB42+1</f>
        <v>37</v>
      </c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330"/>
      <c r="DN43" s="330"/>
      <c r="DO43" s="330"/>
      <c r="DP43" s="330"/>
      <c r="DQ43" s="330"/>
      <c r="DR43" s="330"/>
      <c r="DS43" s="330"/>
      <c r="DT43" s="330"/>
      <c r="DU43" s="330"/>
      <c r="DV43" s="330"/>
      <c r="DW43" s="330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330"/>
      <c r="EZ43" s="330"/>
      <c r="FA43" s="330"/>
      <c r="FB43" s="330"/>
      <c r="FC43" s="330"/>
      <c r="FD43" s="330"/>
      <c r="FE43" s="330"/>
      <c r="FF43" s="330"/>
      <c r="FG43" s="330"/>
      <c r="FH43" s="330"/>
      <c r="FI43" s="330"/>
      <c r="FJ43" s="330"/>
      <c r="FK43" s="330"/>
      <c r="FL43" s="330"/>
      <c r="FM43" s="330"/>
      <c r="FN43" s="330"/>
      <c r="FO43" s="330"/>
      <c r="FP43" s="330"/>
      <c r="FQ43" s="330"/>
      <c r="FR43" s="330"/>
      <c r="FS43" s="330"/>
      <c r="FT43" s="330"/>
      <c r="FU43" s="330"/>
      <c r="FV43" s="330"/>
      <c r="FW43" s="330"/>
      <c r="FX43" s="330"/>
      <c r="FY43" s="330"/>
      <c r="FZ43" s="330"/>
      <c r="GA43" s="330"/>
      <c r="GB43" s="330"/>
      <c r="GC43" s="330"/>
      <c r="GD43" s="330"/>
      <c r="GE43" s="330"/>
      <c r="GF43" s="330"/>
      <c r="GG43" s="330"/>
      <c r="GH43" s="330"/>
      <c r="GI43" s="330"/>
      <c r="GJ43" s="330"/>
      <c r="GK43" s="330"/>
      <c r="GL43" s="330"/>
      <c r="GM43" s="330"/>
      <c r="GN43" s="330"/>
      <c r="GO43" s="330"/>
      <c r="GP43" s="330"/>
      <c r="GQ43" s="330"/>
      <c r="GR43" s="330"/>
      <c r="GS43" s="330"/>
      <c r="GT43" s="330"/>
      <c r="GU43" s="330"/>
      <c r="GV43" s="330"/>
      <c r="GW43" s="330"/>
      <c r="GX43" s="330"/>
      <c r="GY43" s="330"/>
      <c r="GZ43" s="330"/>
      <c r="HA43" s="330"/>
      <c r="HB43" s="330"/>
      <c r="HC43" s="330"/>
      <c r="HD43" s="330"/>
      <c r="HE43" s="330"/>
      <c r="HF43" s="330"/>
      <c r="HG43" s="330"/>
      <c r="HH43" s="330"/>
      <c r="HI43" s="330"/>
      <c r="HJ43" s="330"/>
      <c r="HK43" s="330"/>
      <c r="HL43" s="330"/>
      <c r="HM43" s="330"/>
      <c r="HN43" s="330"/>
      <c r="HO43" s="330"/>
      <c r="HP43" s="330"/>
      <c r="HQ43" s="330"/>
      <c r="HR43" s="330"/>
      <c r="HS43" s="330"/>
      <c r="HT43" s="330"/>
      <c r="HU43" s="330"/>
      <c r="HV43" s="330"/>
      <c r="HW43" s="330"/>
      <c r="HX43" s="330"/>
      <c r="HY43" s="330"/>
      <c r="HZ43" s="330"/>
      <c r="IA43" s="330"/>
      <c r="IB43" s="330"/>
      <c r="IC43" s="330"/>
      <c r="ID43" s="330"/>
      <c r="IE43" s="330"/>
      <c r="IF43" s="330"/>
      <c r="IG43" s="330"/>
      <c r="IH43" s="330"/>
      <c r="II43" s="330"/>
      <c r="IJ43" s="330"/>
      <c r="IK43" s="330"/>
      <c r="IL43" s="330"/>
      <c r="IM43" s="330"/>
      <c r="IN43" s="330"/>
      <c r="IO43" s="330"/>
      <c r="IP43" s="330"/>
      <c r="IQ43" s="330"/>
      <c r="IR43" s="330"/>
      <c r="IS43" s="330"/>
      <c r="IT43" s="330"/>
      <c r="IU43" s="330"/>
      <c r="IV43" s="330"/>
      <c r="IW43" s="330"/>
    </row>
    <row r="44" customFormat="false" ht="12.75" hidden="false" customHeight="false" outlineLevel="0" collapsed="false">
      <c r="A44" s="37" t="s">
        <v>851</v>
      </c>
      <c r="B44" s="38"/>
      <c r="C44" s="38"/>
      <c r="D44" s="217" t="n">
        <f aca="false">-'Debt Amort'!D12</f>
        <v>-0</v>
      </c>
      <c r="E44" s="217" t="n">
        <f aca="false">IF(E$12=0,0,-'Debt Amort'!E12)</f>
        <v>-0</v>
      </c>
      <c r="F44" s="217" t="n">
        <f aca="false">IF(F$12=0,0,-'Debt Amort'!F12)</f>
        <v>-0</v>
      </c>
      <c r="G44" s="217" t="n">
        <f aca="false">IF(G$12=0,0,-'Debt Amort'!G12)</f>
        <v>-6866.1388759198</v>
      </c>
      <c r="H44" s="217" t="n">
        <f aca="false">IF(H$12=0,0,-'Debt Amort'!H12)</f>
        <v>-16245.849069511</v>
      </c>
      <c r="I44" s="217" t="n">
        <f aca="false">IF(I$12=0,0,-'Debt Amort'!I12)</f>
        <v>-15297.1145543459</v>
      </c>
      <c r="J44" s="217" t="n">
        <f aca="false">IF(J$12=0,0,-'Debt Amort'!J12)</f>
        <v>-14256.7267686017</v>
      </c>
      <c r="K44" s="217" t="n">
        <f aca="false">IF(K$12=0,0,-'Debt Amort'!K12)</f>
        <v>-13047.8739914031</v>
      </c>
      <c r="L44" s="217" t="n">
        <f aca="false">IF(L$12=0,0,-'Debt Amort'!L12)</f>
        <v>-11750.4132012332</v>
      </c>
      <c r="M44" s="217" t="n">
        <f aca="false">IF(M$12=0,0,-'Debt Amort'!M12)</f>
        <v>-10380.0289673911</v>
      </c>
      <c r="N44" s="217" t="n">
        <f aca="false">IF(N$12=0,0,-'Debt Amort'!N12)</f>
        <v>-8974.06088972822</v>
      </c>
      <c r="O44" s="217" t="n">
        <f aca="false">IF(O$12=0,0,-'Debt Amort'!O12)</f>
        <v>-7705.25600331445</v>
      </c>
      <c r="P44" s="217" t="n">
        <f aca="false">IF(P$12=0,0,-'Debt Amort'!P12)</f>
        <v>-6465.01759721142</v>
      </c>
      <c r="Q44" s="217" t="n">
        <f aca="false">IF(Q$12=0,0,-'Debt Amort'!Q12)</f>
        <v>-5197.77633917085</v>
      </c>
      <c r="R44" s="217" t="n">
        <f aca="false">IF(R$12=0,0,-'Debt Amort'!R12)</f>
        <v>-3910.35006902801</v>
      </c>
      <c r="S44" s="217" t="n">
        <f aca="false">IF(S$12=0,0,-'Debt Amort'!S12)</f>
        <v>-2848.34668448025</v>
      </c>
      <c r="T44" s="217" t="n">
        <f aca="false">IF(T$12=0,0,-'Debt Amort'!T12)</f>
        <v>-1786.34329993249</v>
      </c>
      <c r="U44" s="217" t="n">
        <f aca="false">IF(U$12=0,0,-'Debt Amort'!U12)</f>
        <v>-701.827212434818</v>
      </c>
      <c r="V44" s="217" t="n">
        <f aca="false">IF(V$12=0,0,-'Debt Amort'!V12)</f>
        <v>-0</v>
      </c>
      <c r="W44" s="217" t="n">
        <f aca="false">IF(W$12=0,0,-'Debt Amort'!W12)</f>
        <v>-0</v>
      </c>
      <c r="X44" s="217" t="n">
        <f aca="false">IF(X$12=0,0,-'Debt Amort'!X12)</f>
        <v>-0</v>
      </c>
      <c r="Y44" s="217" t="n">
        <f aca="false">IF(Y$12=0,0,-'Debt Amort'!Y12)</f>
        <v>-0</v>
      </c>
      <c r="Z44" s="574" t="n">
        <f aca="false">SUM(D44:Y44)</f>
        <v>-125433.123523706</v>
      </c>
      <c r="AA44" s="621" t="str">
        <f aca="false">IF(ABS(-$Z$44-'Debt Amort'!$Z$12)&lt;0.01," ","CHECK: DOES NOT EQUAL INTEREST PAYMENTS MADE")</f>
        <v> </v>
      </c>
      <c r="AB44" s="175" t="n">
        <f aca="false">AB43+1</f>
        <v>38</v>
      </c>
    </row>
    <row r="45" customFormat="false" ht="12.75" hidden="false" customHeight="false" outlineLevel="0" collapsed="false">
      <c r="A45" s="37" t="s">
        <v>852</v>
      </c>
      <c r="B45" s="38"/>
      <c r="C45" s="38"/>
      <c r="D45" s="217" t="n">
        <f aca="false">-'Debt Amort'!D19</f>
        <v>-0</v>
      </c>
      <c r="E45" s="217" t="n">
        <f aca="false">-'Debt Amort'!E19</f>
        <v>-0</v>
      </c>
      <c r="F45" s="217" t="n">
        <f aca="false">-'Debt Amort'!F19</f>
        <v>-0</v>
      </c>
      <c r="G45" s="217" t="n">
        <f aca="false">-'Debt Amort'!G19</f>
        <v>-2694.78154144109</v>
      </c>
      <c r="H45" s="217" t="n">
        <f aca="false">-'Debt Amort'!H19</f>
        <v>-6397.33203104365</v>
      </c>
      <c r="I45" s="217" t="n">
        <f aca="false">-'Debt Amort'!I19</f>
        <v>-6098.22364659681</v>
      </c>
      <c r="J45" s="217" t="n">
        <f aca="false">-'Debt Amort'!J19</f>
        <v>-5758.9674392476</v>
      </c>
      <c r="K45" s="217" t="n">
        <f aca="false">-'Debt Amort'!K19</f>
        <v>-5374.17456746693</v>
      </c>
      <c r="L45" s="217" t="n">
        <f aca="false">-'Debt Amort'!L19</f>
        <v>-4937.7328724715</v>
      </c>
      <c r="M45" s="217" t="n">
        <f aca="false">-'Debt Amort'!M19</f>
        <v>-4442.70979096531</v>
      </c>
      <c r="N45" s="217" t="n">
        <f aca="false">-'Debt Amort'!N19</f>
        <v>-3881.24223634396</v>
      </c>
      <c r="O45" s="217" t="n">
        <f aca="false">-'Debt Amort'!O19</f>
        <v>-3244.41169920355</v>
      </c>
      <c r="P45" s="217" t="n">
        <f aca="false">-'Debt Amort'!P19</f>
        <v>-2522.10258321547</v>
      </c>
      <c r="Q45" s="217" t="n">
        <f aca="false">-'Debt Amort'!Q19</f>
        <v>-1702.84152613389</v>
      </c>
      <c r="R45" s="217" t="n">
        <f aca="false">-'Debt Amort'!R19</f>
        <v>-773.615153665539</v>
      </c>
      <c r="S45" s="217" t="n">
        <f aca="false">-'Debt Amort'!S19</f>
        <v>-0</v>
      </c>
      <c r="T45" s="217" t="n">
        <f aca="false">-'Debt Amort'!T19</f>
        <v>-0</v>
      </c>
      <c r="U45" s="217" t="n">
        <f aca="false">-'Debt Amort'!U19</f>
        <v>-0</v>
      </c>
      <c r="V45" s="217" t="n">
        <f aca="false">-'Debt Amort'!V19</f>
        <v>-0</v>
      </c>
      <c r="W45" s="217" t="n">
        <f aca="false">-'Debt Amort'!W19</f>
        <v>-0</v>
      </c>
      <c r="X45" s="217" t="n">
        <f aca="false">-'Debt Amort'!X19</f>
        <v>-0</v>
      </c>
      <c r="Y45" s="217" t="n">
        <f aca="false">-'Debt Amort'!Y19</f>
        <v>-0</v>
      </c>
      <c r="Z45" s="574" t="n">
        <f aca="false">SUM(D45:Y45)</f>
        <v>-47828.1350877953</v>
      </c>
      <c r="AA45" s="16"/>
      <c r="AB45" s="175" t="n">
        <f aca="false">AB44+1</f>
        <v>39</v>
      </c>
    </row>
    <row r="46" customFormat="false" ht="12.75" hidden="false" customHeight="false" outlineLevel="0" collapsed="false">
      <c r="A46" s="37" t="s">
        <v>853</v>
      </c>
      <c r="B46" s="38"/>
      <c r="C46" s="556"/>
      <c r="D46" s="220" t="n">
        <f aca="false">-HLOOKUP(DATE(D$7,12,31),Idc_Table,IDC!$BB$63)-SUM($C46:C46)</f>
        <v>-0</v>
      </c>
      <c r="E46" s="220" t="n">
        <f aca="false">-HLOOKUP(DATE(E$7,12,31),Idc_Table,IDC!$BB$63)-SUM($C46:D46)</f>
        <v>-988.566582744534</v>
      </c>
      <c r="F46" s="220" t="n">
        <f aca="false">-HLOOKUP(DATE(F$7,12,31),Idc_Table,IDC!$BB$63)-SUM($C46:E46)</f>
        <v>-2665.13260186675</v>
      </c>
      <c r="G46" s="220" t="n">
        <f aca="false">-HLOOKUP(DATE(G$7,12,31),Idc_Table,IDC!$BB$63)-SUM($C46:F46)</f>
        <v>-5739.81667071093</v>
      </c>
      <c r="H46" s="220" t="n">
        <f aca="false">-HLOOKUP(DATE(H$7,12,31),Idc_Table,IDC!$BB$63)-SUM($C46:G46)</f>
        <v>0</v>
      </c>
      <c r="I46" s="220" t="n">
        <f aca="false">-HLOOKUP(DATE(I$7,12,31),Idc_Table,IDC!$BB$63)-SUM($C46:H46)</f>
        <v>0</v>
      </c>
      <c r="J46" s="220" t="n">
        <f aca="false">-HLOOKUP(DATE(J$7,12,31),Idc_Table,IDC!$BB$63)-SUM($C46:I46)</f>
        <v>0</v>
      </c>
      <c r="K46" s="220" t="n">
        <f aca="false">-HLOOKUP(DATE(K$7,12,31),Idc_Table,IDC!$BB$63)-SUM($C46:J46)</f>
        <v>0</v>
      </c>
      <c r="L46" s="220" t="n">
        <f aca="false">-HLOOKUP(DATE(L$7,12,31),Idc_Table,IDC!$BB$63)-SUM($C46:K46)</f>
        <v>0</v>
      </c>
      <c r="M46" s="220" t="n">
        <f aca="false">-HLOOKUP(DATE(M$7,12,31),Idc_Table,IDC!$BB$63)-SUM($C46:L46)</f>
        <v>0</v>
      </c>
      <c r="N46" s="220" t="n">
        <f aca="false">-HLOOKUP(DATE(N$7,12,31),Idc_Table,IDC!$BB$63)-SUM($C46:M46)</f>
        <v>0</v>
      </c>
      <c r="O46" s="220" t="n">
        <f aca="false">-HLOOKUP(DATE(O$7,12,31),Idc_Table,IDC!$BB$63)-SUM($C46:N46)</f>
        <v>0</v>
      </c>
      <c r="P46" s="220" t="n">
        <f aca="false">-HLOOKUP(DATE(P$7,12,31),Idc_Table,IDC!$BB$63)-SUM($C46:O46)</f>
        <v>0</v>
      </c>
      <c r="Q46" s="220" t="n">
        <f aca="false">-HLOOKUP(DATE(Q$7,12,31),Idc_Table,IDC!$BB$63)-SUM($C46:P46)</f>
        <v>0</v>
      </c>
      <c r="R46" s="220" t="n">
        <f aca="false">-HLOOKUP(DATE(R$7,12,31),Idc_Table,IDC!$BB$63)-SUM($C46:Q46)</f>
        <v>0</v>
      </c>
      <c r="S46" s="220" t="n">
        <f aca="false">-HLOOKUP(DATE(S$7,12,31),Idc_Table,IDC!$BB$63)-SUM($C46:R46)</f>
        <v>0</v>
      </c>
      <c r="T46" s="220" t="n">
        <f aca="false">-HLOOKUP(DATE(T$7,12,31),Idc_Table,IDC!$BB$63)-SUM($C46:S46)</f>
        <v>0</v>
      </c>
      <c r="U46" s="220" t="n">
        <f aca="false">-HLOOKUP(DATE(U$7,12,31),Idc_Table,IDC!$BB$63)-SUM($C46:T46)</f>
        <v>0</v>
      </c>
      <c r="V46" s="220" t="n">
        <f aca="false">-HLOOKUP(DATE(V$7,12,31),Idc_Table,IDC!$BB$63)-SUM($C46:U46)</f>
        <v>0</v>
      </c>
      <c r="W46" s="220" t="n">
        <f aca="false">-HLOOKUP(DATE(W$7,12,31),Idc_Table,IDC!$BB$63)-SUM($C46:V46)</f>
        <v>0</v>
      </c>
      <c r="X46" s="220" t="n">
        <f aca="false">-HLOOKUP(DATE(X$7,12,31),Idc_Table,IDC!$BB$63)-SUM($C46:W46)</f>
        <v>0</v>
      </c>
      <c r="Y46" s="220" t="n">
        <f aca="false">-HLOOKUP(DATE(Y$7,12,31),Idc_Table,IDC!$BB$63)-SUM($C46:X46)</f>
        <v>0</v>
      </c>
      <c r="Z46" s="576" t="n">
        <f aca="false">SUM(D46:Y46)</f>
        <v>-9393.51585532221</v>
      </c>
      <c r="AB46" s="175" t="n">
        <f aca="false">AB45+1</f>
        <v>40</v>
      </c>
    </row>
    <row r="47" customFormat="false" ht="12.75" hidden="false" customHeight="false" outlineLevel="0" collapsed="false">
      <c r="A47" s="37"/>
      <c r="B47" s="38"/>
      <c r="C47" s="38"/>
      <c r="D47" s="558"/>
      <c r="E47" s="558"/>
      <c r="F47" s="558"/>
      <c r="G47" s="558"/>
      <c r="H47" s="558"/>
      <c r="I47" s="558"/>
      <c r="J47" s="558"/>
      <c r="K47" s="558"/>
      <c r="L47" s="558"/>
      <c r="M47" s="558"/>
      <c r="N47" s="558"/>
      <c r="O47" s="558"/>
      <c r="P47" s="558"/>
      <c r="Q47" s="558"/>
      <c r="R47" s="558"/>
      <c r="S47" s="558"/>
      <c r="T47" s="558"/>
      <c r="U47" s="558"/>
      <c r="V47" s="558"/>
      <c r="W47" s="558"/>
      <c r="X47" s="558"/>
      <c r="Y47" s="558"/>
      <c r="Z47" s="559"/>
      <c r="AB47" s="175" t="n">
        <f aca="false">AB46+1</f>
        <v>41</v>
      </c>
    </row>
    <row r="48" customFormat="false" ht="12.75" hidden="false" customHeight="false" outlineLevel="0" collapsed="false">
      <c r="A48" s="55" t="s">
        <v>854</v>
      </c>
      <c r="B48" s="62"/>
      <c r="C48" s="62"/>
      <c r="D48" s="577" t="n">
        <f aca="false">SUM(D43:D46)</f>
        <v>0</v>
      </c>
      <c r="E48" s="577" t="n">
        <f aca="false">SUM(E43:E46)</f>
        <v>-6578.06094793574</v>
      </c>
      <c r="F48" s="577" t="n">
        <f aca="false">SUM(F43:F46)</f>
        <v>-3771.13287219427</v>
      </c>
      <c r="G48" s="577" t="n">
        <f aca="false">SUM(G43:G46)</f>
        <v>-3011.51676290401</v>
      </c>
      <c r="H48" s="577" t="n">
        <f aca="false">SUM(H43:H46)</f>
        <v>-1651.67170332394</v>
      </c>
      <c r="I48" s="577" t="n">
        <f aca="false">SUM(I43:I46)</f>
        <v>4085.78367338871</v>
      </c>
      <c r="J48" s="577" t="n">
        <f aca="false">SUM(J43:J46)</f>
        <v>-7967.56467306774</v>
      </c>
      <c r="K48" s="577" t="n">
        <f aca="false">SUM(K43:K46)</f>
        <v>15731.143157368</v>
      </c>
      <c r="L48" s="577" t="n">
        <f aca="false">SUM(L43:L46)</f>
        <v>17834.6838319935</v>
      </c>
      <c r="M48" s="577" t="n">
        <f aca="false">SUM(M43:M46)</f>
        <v>17312.0746866811</v>
      </c>
      <c r="N48" s="577" t="n">
        <f aca="false">SUM(N43:N46)</f>
        <v>15435.4534631707</v>
      </c>
      <c r="O48" s="577" t="n">
        <f aca="false">SUM(O43:O46)</f>
        <v>16139.9243087025</v>
      </c>
      <c r="P48" s="577" t="n">
        <f aca="false">SUM(P43:P46)</f>
        <v>18570.0469192663</v>
      </c>
      <c r="Q48" s="577" t="n">
        <f aca="false">SUM(Q43:Q46)</f>
        <v>19374.8979376441</v>
      </c>
      <c r="R48" s="577" t="n">
        <f aca="false">SUM(R43:R46)</f>
        <v>14309.3235418567</v>
      </c>
      <c r="S48" s="577" t="n">
        <f aca="false">SUM(S43:S46)</f>
        <v>18850.0111891977</v>
      </c>
      <c r="T48" s="577" t="n">
        <f aca="false">SUM(T43:T46)</f>
        <v>7169.86218746473</v>
      </c>
      <c r="U48" s="577" t="n">
        <f aca="false">SUM(U43:U46)</f>
        <v>-7495.22851386404</v>
      </c>
      <c r="V48" s="577" t="n">
        <f aca="false">SUM(V43:V46)</f>
        <v>-11713.5677056956</v>
      </c>
      <c r="W48" s="577" t="n">
        <f aca="false">SUM(W43:W46)</f>
        <v>-13109.3045310181</v>
      </c>
      <c r="X48" s="577" t="n">
        <f aca="false">SUM(X43:X46)</f>
        <v>-11574.6128769193</v>
      </c>
      <c r="Y48" s="577" t="n">
        <f aca="false">SUM(Y43:Y46)</f>
        <v>-3103.47488561782</v>
      </c>
      <c r="Z48" s="579" t="n">
        <f aca="false">SUM(D48:Y48)</f>
        <v>94837.0694241936</v>
      </c>
      <c r="AA48" s="330"/>
      <c r="AB48" s="175" t="n">
        <f aca="false">AB47+1</f>
        <v>42</v>
      </c>
      <c r="AC48" s="330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330"/>
      <c r="AZ48" s="330"/>
      <c r="BA48" s="330"/>
      <c r="BB48" s="330"/>
      <c r="BC48" s="330"/>
      <c r="BD48" s="330"/>
      <c r="BE48" s="330"/>
      <c r="BF48" s="330"/>
      <c r="BG48" s="330"/>
      <c r="BH48" s="330"/>
      <c r="BI48" s="330"/>
      <c r="BJ48" s="330"/>
      <c r="BK48" s="330"/>
      <c r="BL48" s="330"/>
      <c r="BM48" s="330"/>
      <c r="BN48" s="330"/>
      <c r="BO48" s="330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0"/>
      <c r="CG48" s="330"/>
      <c r="CH48" s="330"/>
      <c r="CI48" s="330"/>
      <c r="CJ48" s="330"/>
      <c r="CK48" s="330"/>
      <c r="CL48" s="330"/>
      <c r="CM48" s="330"/>
      <c r="CN48" s="330"/>
      <c r="CO48" s="330"/>
      <c r="CP48" s="330"/>
      <c r="CQ48" s="330"/>
      <c r="CR48" s="330"/>
      <c r="CS48" s="330"/>
      <c r="CT48" s="330"/>
      <c r="CU48" s="330"/>
      <c r="CV48" s="330"/>
      <c r="CW48" s="330"/>
      <c r="CX48" s="330"/>
      <c r="CY48" s="330"/>
      <c r="CZ48" s="330"/>
      <c r="DA48" s="330"/>
      <c r="DB48" s="330"/>
      <c r="DC48" s="330"/>
      <c r="DD48" s="330"/>
      <c r="DE48" s="330"/>
      <c r="DF48" s="330"/>
      <c r="DG48" s="330"/>
      <c r="DH48" s="330"/>
      <c r="DI48" s="330"/>
      <c r="DJ48" s="330"/>
      <c r="DK48" s="330"/>
      <c r="DL48" s="330"/>
      <c r="DM48" s="330"/>
      <c r="DN48" s="330"/>
      <c r="DO48" s="330"/>
      <c r="DP48" s="330"/>
      <c r="DQ48" s="330"/>
      <c r="DR48" s="330"/>
      <c r="DS48" s="330"/>
      <c r="DT48" s="330"/>
      <c r="DU48" s="330"/>
      <c r="DV48" s="330"/>
      <c r="DW48" s="330"/>
      <c r="DX48" s="330"/>
      <c r="DY48" s="330"/>
      <c r="DZ48" s="330"/>
      <c r="EA48" s="330"/>
      <c r="EB48" s="330"/>
      <c r="EC48" s="330"/>
      <c r="ED48" s="330"/>
      <c r="EE48" s="330"/>
      <c r="EF48" s="330"/>
      <c r="EG48" s="330"/>
      <c r="EH48" s="330"/>
      <c r="EI48" s="330"/>
      <c r="EJ48" s="330"/>
      <c r="EK48" s="330"/>
      <c r="EL48" s="330"/>
      <c r="EM48" s="330"/>
      <c r="EN48" s="330"/>
      <c r="EO48" s="330"/>
      <c r="EP48" s="330"/>
      <c r="EQ48" s="330"/>
      <c r="ER48" s="330"/>
      <c r="ES48" s="330"/>
      <c r="ET48" s="330"/>
      <c r="EU48" s="330"/>
      <c r="EV48" s="330"/>
      <c r="EW48" s="330"/>
      <c r="EX48" s="330"/>
      <c r="EY48" s="330"/>
      <c r="EZ48" s="330"/>
      <c r="FA48" s="330"/>
      <c r="FB48" s="330"/>
      <c r="FC48" s="330"/>
      <c r="FD48" s="330"/>
      <c r="FE48" s="330"/>
      <c r="FF48" s="330"/>
      <c r="FG48" s="330"/>
      <c r="FH48" s="330"/>
      <c r="FI48" s="330"/>
      <c r="FJ48" s="330"/>
      <c r="FK48" s="330"/>
      <c r="FL48" s="330"/>
      <c r="FM48" s="330"/>
      <c r="FN48" s="330"/>
      <c r="FO48" s="330"/>
      <c r="FP48" s="330"/>
      <c r="FQ48" s="330"/>
      <c r="FR48" s="330"/>
      <c r="FS48" s="330"/>
      <c r="FT48" s="330"/>
      <c r="FU48" s="330"/>
      <c r="FV48" s="330"/>
      <c r="FW48" s="330"/>
      <c r="FX48" s="330"/>
      <c r="FY48" s="330"/>
      <c r="FZ48" s="330"/>
      <c r="GA48" s="330"/>
      <c r="GB48" s="330"/>
      <c r="GC48" s="330"/>
      <c r="GD48" s="330"/>
      <c r="GE48" s="330"/>
      <c r="GF48" s="330"/>
      <c r="GG48" s="330"/>
      <c r="GH48" s="330"/>
      <c r="GI48" s="330"/>
      <c r="GJ48" s="330"/>
      <c r="GK48" s="330"/>
      <c r="GL48" s="330"/>
      <c r="GM48" s="330"/>
      <c r="GN48" s="330"/>
      <c r="GO48" s="330"/>
      <c r="GP48" s="330"/>
      <c r="GQ48" s="330"/>
      <c r="GR48" s="330"/>
      <c r="GS48" s="330"/>
      <c r="GT48" s="330"/>
      <c r="GU48" s="330"/>
      <c r="GV48" s="330"/>
      <c r="GW48" s="330"/>
      <c r="GX48" s="330"/>
      <c r="GY48" s="330"/>
      <c r="GZ48" s="330"/>
      <c r="HA48" s="330"/>
      <c r="HB48" s="330"/>
      <c r="HC48" s="330"/>
      <c r="HD48" s="330"/>
      <c r="HE48" s="330"/>
      <c r="HF48" s="330"/>
      <c r="HG48" s="330"/>
      <c r="HH48" s="330"/>
      <c r="HI48" s="330"/>
      <c r="HJ48" s="330"/>
      <c r="HK48" s="330"/>
      <c r="HL48" s="330"/>
      <c r="HM48" s="330"/>
      <c r="HN48" s="330"/>
      <c r="HO48" s="330"/>
      <c r="HP48" s="330"/>
      <c r="HQ48" s="330"/>
      <c r="HR48" s="330"/>
      <c r="HS48" s="330"/>
      <c r="HT48" s="330"/>
      <c r="HU48" s="330"/>
      <c r="HV48" s="330"/>
      <c r="HW48" s="330"/>
      <c r="HX48" s="330"/>
      <c r="HY48" s="330"/>
      <c r="HZ48" s="330"/>
      <c r="IA48" s="330"/>
      <c r="IB48" s="330"/>
      <c r="IC48" s="330"/>
      <c r="ID48" s="330"/>
      <c r="IE48" s="330"/>
      <c r="IF48" s="330"/>
      <c r="IG48" s="330"/>
      <c r="IH48" s="330"/>
      <c r="II48" s="330"/>
      <c r="IJ48" s="330"/>
      <c r="IK48" s="330"/>
      <c r="IL48" s="330"/>
      <c r="IM48" s="330"/>
      <c r="IN48" s="330"/>
      <c r="IO48" s="330"/>
      <c r="IP48" s="330"/>
      <c r="IQ48" s="330"/>
      <c r="IR48" s="330"/>
      <c r="IS48" s="330"/>
      <c r="IT48" s="330"/>
      <c r="IU48" s="330"/>
      <c r="IV48" s="330"/>
      <c r="IW48" s="330"/>
    </row>
    <row r="49" customFormat="false" ht="12.75" hidden="false" customHeight="false" outlineLevel="0" collapsed="false">
      <c r="A49" s="37" t="s">
        <v>855</v>
      </c>
      <c r="B49" s="38"/>
      <c r="C49" s="38"/>
      <c r="D49" s="217" t="n">
        <f aca="false">-Sudam!D64</f>
        <v>-0</v>
      </c>
      <c r="E49" s="217" t="n">
        <f aca="false">-Sudam!E64</f>
        <v>-0</v>
      </c>
      <c r="F49" s="217" t="n">
        <f aca="false">-Sudam!F64</f>
        <v>-0</v>
      </c>
      <c r="G49" s="217" t="n">
        <f aca="false">-Sudam!G64</f>
        <v>-0</v>
      </c>
      <c r="H49" s="217" t="n">
        <f aca="false">-Sudam!H64</f>
        <v>-0</v>
      </c>
      <c r="I49" s="217" t="n">
        <f aca="false">-Sudam!I64</f>
        <v>-2042.89183669435</v>
      </c>
      <c r="J49" s="217" t="n">
        <f aca="false">-Sudam!J64</f>
        <v>-0</v>
      </c>
      <c r="K49" s="217" t="n">
        <f aca="false">-Sudam!K64</f>
        <v>-7865.571578684</v>
      </c>
      <c r="L49" s="217" t="n">
        <f aca="false">-Sudam!L64</f>
        <v>-8917.34191599675</v>
      </c>
      <c r="M49" s="217" t="n">
        <f aca="false">-Sudam!M64</f>
        <v>-8656.03734334056</v>
      </c>
      <c r="N49" s="217" t="n">
        <f aca="false">-Sudam!N64</f>
        <v>-7717.72673158535</v>
      </c>
      <c r="O49" s="217" t="n">
        <f aca="false">-Sudam!O64</f>
        <v>-8069.96215435123</v>
      </c>
      <c r="P49" s="217" t="n">
        <f aca="false">-Sudam!P64</f>
        <v>-9279.35702049191</v>
      </c>
      <c r="Q49" s="217" t="n">
        <f aca="false">-Sudam!Q64</f>
        <v>-9279.35702049191</v>
      </c>
      <c r="R49" s="217" t="n">
        <f aca="false">-Sudam!R64</f>
        <v>-7154.66177092837</v>
      </c>
      <c r="S49" s="217" t="n">
        <f aca="false">-Sudam!S64</f>
        <v>-9279.35702049191</v>
      </c>
      <c r="T49" s="217" t="n">
        <f aca="false">-Sudam!T64</f>
        <v>-3584.93109373236</v>
      </c>
      <c r="U49" s="217" t="n">
        <f aca="false">-Sudam!U64</f>
        <v>-0</v>
      </c>
      <c r="V49" s="217" t="n">
        <f aca="false">-Sudam!V64</f>
        <v>-0</v>
      </c>
      <c r="W49" s="217" t="n">
        <f aca="false">-Sudam!W64</f>
        <v>-0</v>
      </c>
      <c r="X49" s="217" t="n">
        <f aca="false">-Sudam!X64</f>
        <v>-0</v>
      </c>
      <c r="Y49" s="217" t="n">
        <f aca="false">-Sudam!Y64</f>
        <v>-0</v>
      </c>
      <c r="Z49" s="574" t="n">
        <f aca="false">SUM(D49:Y49)</f>
        <v>-81847.1954867887</v>
      </c>
      <c r="AA49" s="330"/>
      <c r="AB49" s="175" t="n">
        <f aca="false">AB48+1</f>
        <v>43</v>
      </c>
      <c r="AC49" s="330"/>
      <c r="AD49" s="330"/>
      <c r="AE49" s="330"/>
      <c r="AF49" s="330"/>
      <c r="AG49" s="330"/>
      <c r="AH49" s="330"/>
      <c r="AI49" s="330"/>
      <c r="AJ49" s="330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0"/>
      <c r="CG49" s="330"/>
      <c r="CH49" s="330"/>
      <c r="CI49" s="330"/>
      <c r="CJ49" s="330"/>
      <c r="CK49" s="330"/>
      <c r="CL49" s="330"/>
      <c r="CM49" s="330"/>
      <c r="CN49" s="330"/>
      <c r="CO49" s="330"/>
      <c r="CP49" s="330"/>
      <c r="CQ49" s="330"/>
      <c r="CR49" s="330"/>
      <c r="CS49" s="330"/>
      <c r="CT49" s="330"/>
      <c r="CU49" s="330"/>
      <c r="CV49" s="330"/>
      <c r="CW49" s="330"/>
      <c r="CX49" s="330"/>
      <c r="CY49" s="330"/>
      <c r="CZ49" s="330"/>
      <c r="DA49" s="330"/>
      <c r="DB49" s="330"/>
      <c r="DC49" s="330"/>
      <c r="DD49" s="330"/>
      <c r="DE49" s="330"/>
      <c r="DF49" s="330"/>
      <c r="DG49" s="330"/>
      <c r="DH49" s="330"/>
      <c r="DI49" s="330"/>
      <c r="DJ49" s="330"/>
      <c r="DK49" s="330"/>
      <c r="DL49" s="330"/>
      <c r="DM49" s="330"/>
      <c r="DN49" s="330"/>
      <c r="DO49" s="330"/>
      <c r="DP49" s="330"/>
      <c r="DQ49" s="330"/>
      <c r="DR49" s="330"/>
      <c r="DS49" s="330"/>
      <c r="DT49" s="330"/>
      <c r="DU49" s="330"/>
      <c r="DV49" s="330"/>
      <c r="DW49" s="330"/>
      <c r="DX49" s="330"/>
      <c r="DY49" s="330"/>
      <c r="DZ49" s="330"/>
      <c r="EA49" s="330"/>
      <c r="EB49" s="330"/>
      <c r="EC49" s="330"/>
      <c r="ED49" s="330"/>
      <c r="EE49" s="330"/>
      <c r="EF49" s="330"/>
      <c r="EG49" s="330"/>
      <c r="EH49" s="330"/>
      <c r="EI49" s="330"/>
      <c r="EJ49" s="330"/>
      <c r="EK49" s="330"/>
      <c r="EL49" s="330"/>
      <c r="EM49" s="330"/>
      <c r="EN49" s="330"/>
      <c r="EO49" s="330"/>
      <c r="EP49" s="330"/>
      <c r="EQ49" s="330"/>
      <c r="ER49" s="330"/>
      <c r="ES49" s="330"/>
      <c r="ET49" s="330"/>
      <c r="EU49" s="330"/>
      <c r="EV49" s="330"/>
      <c r="EW49" s="330"/>
      <c r="EX49" s="330"/>
      <c r="EY49" s="330"/>
      <c r="EZ49" s="330"/>
      <c r="FA49" s="330"/>
      <c r="FB49" s="330"/>
      <c r="FC49" s="330"/>
      <c r="FD49" s="330"/>
      <c r="FE49" s="330"/>
      <c r="FF49" s="330"/>
      <c r="FG49" s="330"/>
      <c r="FH49" s="330"/>
      <c r="FI49" s="330"/>
      <c r="FJ49" s="330"/>
      <c r="FK49" s="330"/>
      <c r="FL49" s="330"/>
      <c r="FM49" s="330"/>
      <c r="FN49" s="330"/>
      <c r="FO49" s="330"/>
      <c r="FP49" s="330"/>
      <c r="FQ49" s="330"/>
      <c r="FR49" s="330"/>
      <c r="FS49" s="330"/>
      <c r="FT49" s="330"/>
      <c r="FU49" s="330"/>
      <c r="FV49" s="330"/>
      <c r="FW49" s="330"/>
      <c r="FX49" s="330"/>
      <c r="FY49" s="330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0"/>
      <c r="IB49" s="330"/>
      <c r="IC49" s="330"/>
      <c r="ID49" s="330"/>
      <c r="IE49" s="330"/>
      <c r="IF49" s="330"/>
      <c r="IG49" s="330"/>
      <c r="IH49" s="330"/>
      <c r="II49" s="330"/>
      <c r="IJ49" s="330"/>
      <c r="IK49" s="330"/>
      <c r="IL49" s="330"/>
      <c r="IM49" s="330"/>
      <c r="IN49" s="330"/>
      <c r="IO49" s="330"/>
      <c r="IP49" s="330"/>
      <c r="IQ49" s="330"/>
      <c r="IR49" s="330"/>
      <c r="IS49" s="330"/>
      <c r="IT49" s="330"/>
      <c r="IU49" s="330"/>
      <c r="IV49" s="330"/>
      <c r="IW49" s="330"/>
    </row>
    <row r="50" customFormat="false" ht="12.75" hidden="false" customHeight="false" outlineLevel="0" collapsed="false">
      <c r="A50" s="37"/>
      <c r="B50" s="38"/>
      <c r="C50" s="38"/>
      <c r="D50" s="558"/>
      <c r="E50" s="558"/>
      <c r="F50" s="558"/>
      <c r="G50" s="558"/>
      <c r="H50" s="558"/>
      <c r="I50" s="558"/>
      <c r="J50" s="558"/>
      <c r="K50" s="558"/>
      <c r="L50" s="558"/>
      <c r="M50" s="558"/>
      <c r="N50" s="558"/>
      <c r="O50" s="558"/>
      <c r="P50" s="558"/>
      <c r="Q50" s="558"/>
      <c r="R50" s="558"/>
      <c r="S50" s="558"/>
      <c r="T50" s="558"/>
      <c r="U50" s="558"/>
      <c r="V50" s="558"/>
      <c r="W50" s="558"/>
      <c r="X50" s="558"/>
      <c r="Y50" s="558"/>
      <c r="Z50" s="559"/>
      <c r="AB50" s="175" t="n">
        <f aca="false">AB49+1</f>
        <v>44</v>
      </c>
    </row>
    <row r="51" customFormat="false" ht="12.75" hidden="false" customHeight="false" outlineLevel="0" collapsed="false">
      <c r="A51" s="55" t="s">
        <v>856</v>
      </c>
      <c r="B51" s="62"/>
      <c r="C51" s="62"/>
      <c r="D51" s="577" t="n">
        <f aca="false">SUM(D48:D49)</f>
        <v>0</v>
      </c>
      <c r="E51" s="577" t="n">
        <f aca="false">SUM(E48:E49)</f>
        <v>-6578.06094793574</v>
      </c>
      <c r="F51" s="577" t="n">
        <f aca="false">SUM(F48:F49)</f>
        <v>-3771.13287219427</v>
      </c>
      <c r="G51" s="577" t="n">
        <f aca="false">SUM(G48:G49)</f>
        <v>-3011.51676290401</v>
      </c>
      <c r="H51" s="577" t="n">
        <f aca="false">SUM(H48:H49)</f>
        <v>-1651.67170332394</v>
      </c>
      <c r="I51" s="577" t="n">
        <f aca="false">SUM(I48:I49)</f>
        <v>2042.89183669435</v>
      </c>
      <c r="J51" s="577" t="n">
        <f aca="false">SUM(J48:J49)</f>
        <v>-7967.56467306774</v>
      </c>
      <c r="K51" s="577" t="n">
        <f aca="false">SUM(K48:K49)</f>
        <v>7865.571578684</v>
      </c>
      <c r="L51" s="577" t="n">
        <f aca="false">SUM(L48:L49)</f>
        <v>8917.34191599675</v>
      </c>
      <c r="M51" s="577" t="n">
        <f aca="false">SUM(M48:M49)</f>
        <v>8656.03734334056</v>
      </c>
      <c r="N51" s="577" t="n">
        <f aca="false">SUM(N48:N49)</f>
        <v>7717.72673158535</v>
      </c>
      <c r="O51" s="577" t="n">
        <f aca="false">SUM(O48:O49)</f>
        <v>8069.96215435123</v>
      </c>
      <c r="P51" s="577" t="n">
        <f aca="false">SUM(P48:P49)</f>
        <v>9290.68989877439</v>
      </c>
      <c r="Q51" s="577" t="n">
        <f aca="false">SUM(Q48:Q49)</f>
        <v>10095.5409171522</v>
      </c>
      <c r="R51" s="577" t="n">
        <f aca="false">SUM(R48:R49)</f>
        <v>7154.66177092837</v>
      </c>
      <c r="S51" s="577" t="n">
        <f aca="false">SUM(S48:S49)</f>
        <v>9570.65416870583</v>
      </c>
      <c r="T51" s="577" t="n">
        <f aca="false">SUM(T48:T49)</f>
        <v>3584.93109373236</v>
      </c>
      <c r="U51" s="577" t="n">
        <f aca="false">SUM(U48:U49)</f>
        <v>-7495.22851386404</v>
      </c>
      <c r="V51" s="577" t="n">
        <f aca="false">SUM(V48:V49)</f>
        <v>-11713.5677056956</v>
      </c>
      <c r="W51" s="577" t="n">
        <f aca="false">SUM(W48:W49)</f>
        <v>-13109.3045310181</v>
      </c>
      <c r="X51" s="577" t="n">
        <f aca="false">SUM(X48:X49)</f>
        <v>-11574.6128769193</v>
      </c>
      <c r="Y51" s="577" t="n">
        <f aca="false">SUM(Y48:Y49)</f>
        <v>-3103.47488561782</v>
      </c>
      <c r="Z51" s="579" t="n">
        <f aca="false">SUM(D51:Y51)</f>
        <v>12989.8739374049</v>
      </c>
      <c r="AA51" s="330"/>
      <c r="AB51" s="175" t="n">
        <f aca="false">AB50+1</f>
        <v>45</v>
      </c>
      <c r="AC51" s="330"/>
      <c r="AD51" s="330"/>
      <c r="AE51" s="330"/>
      <c r="AF51" s="330"/>
      <c r="AG51" s="330"/>
      <c r="AH51" s="330"/>
      <c r="AI51" s="330"/>
      <c r="AJ51" s="330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30"/>
      <c r="BW51" s="330"/>
      <c r="BX51" s="330"/>
      <c r="BY51" s="330"/>
      <c r="BZ51" s="330"/>
      <c r="CA51" s="330"/>
      <c r="CB51" s="330"/>
      <c r="CC51" s="330"/>
      <c r="CD51" s="330"/>
      <c r="CE51" s="330"/>
      <c r="CF51" s="330"/>
      <c r="CG51" s="330"/>
      <c r="CH51" s="330"/>
      <c r="CI51" s="330"/>
      <c r="CJ51" s="330"/>
      <c r="CK51" s="330"/>
      <c r="CL51" s="330"/>
      <c r="CM51" s="330"/>
      <c r="CN51" s="330"/>
      <c r="CO51" s="330"/>
      <c r="CP51" s="330"/>
      <c r="CQ51" s="330"/>
      <c r="CR51" s="330"/>
      <c r="CS51" s="330"/>
      <c r="CT51" s="330"/>
      <c r="CU51" s="330"/>
      <c r="CV51" s="330"/>
      <c r="CW51" s="330"/>
      <c r="CX51" s="330"/>
      <c r="CY51" s="330"/>
      <c r="CZ51" s="330"/>
      <c r="DA51" s="330"/>
      <c r="DB51" s="330"/>
      <c r="DC51" s="330"/>
      <c r="DD51" s="330"/>
      <c r="DE51" s="330"/>
      <c r="DF51" s="330"/>
      <c r="DG51" s="330"/>
      <c r="DH51" s="330"/>
      <c r="DI51" s="330"/>
      <c r="DJ51" s="330"/>
      <c r="DK51" s="330"/>
      <c r="DL51" s="330"/>
      <c r="DM51" s="330"/>
      <c r="DN51" s="330"/>
      <c r="DO51" s="330"/>
      <c r="DP51" s="330"/>
      <c r="DQ51" s="330"/>
      <c r="DR51" s="330"/>
      <c r="DS51" s="330"/>
      <c r="DT51" s="330"/>
      <c r="DU51" s="330"/>
      <c r="DV51" s="330"/>
      <c r="DW51" s="330"/>
      <c r="DX51" s="330"/>
      <c r="DY51" s="330"/>
      <c r="DZ51" s="330"/>
      <c r="EA51" s="330"/>
      <c r="EB51" s="330"/>
      <c r="EC51" s="330"/>
      <c r="ED51" s="330"/>
      <c r="EE51" s="330"/>
      <c r="EF51" s="330"/>
      <c r="EG51" s="330"/>
      <c r="EH51" s="330"/>
      <c r="EI51" s="330"/>
      <c r="EJ51" s="330"/>
      <c r="EK51" s="330"/>
      <c r="EL51" s="330"/>
      <c r="EM51" s="330"/>
      <c r="EN51" s="330"/>
      <c r="EO51" s="330"/>
      <c r="EP51" s="330"/>
      <c r="EQ51" s="330"/>
      <c r="ER51" s="330"/>
      <c r="ES51" s="330"/>
      <c r="ET51" s="330"/>
      <c r="EU51" s="330"/>
      <c r="EV51" s="330"/>
      <c r="EW51" s="330"/>
      <c r="EX51" s="330"/>
      <c r="EY51" s="330"/>
      <c r="EZ51" s="330"/>
      <c r="FA51" s="330"/>
      <c r="FB51" s="330"/>
      <c r="FC51" s="330"/>
      <c r="FD51" s="330"/>
      <c r="FE51" s="330"/>
      <c r="FF51" s="330"/>
      <c r="FG51" s="330"/>
      <c r="FH51" s="330"/>
      <c r="FI51" s="330"/>
      <c r="FJ51" s="330"/>
      <c r="FK51" s="330"/>
      <c r="FL51" s="330"/>
      <c r="FM51" s="330"/>
      <c r="FN51" s="330"/>
      <c r="FO51" s="330"/>
      <c r="FP51" s="330"/>
      <c r="FQ51" s="330"/>
      <c r="FR51" s="330"/>
      <c r="FS51" s="330"/>
      <c r="FT51" s="330"/>
      <c r="FU51" s="330"/>
      <c r="FV51" s="330"/>
      <c r="FW51" s="330"/>
      <c r="FX51" s="330"/>
      <c r="FY51" s="330"/>
      <c r="FZ51" s="330"/>
      <c r="GA51" s="330"/>
      <c r="GB51" s="330"/>
      <c r="GC51" s="330"/>
      <c r="GD51" s="330"/>
      <c r="GE51" s="330"/>
      <c r="GF51" s="330"/>
      <c r="GG51" s="330"/>
      <c r="GH51" s="330"/>
      <c r="GI51" s="330"/>
      <c r="GJ51" s="330"/>
      <c r="GK51" s="330"/>
      <c r="GL51" s="330"/>
      <c r="GM51" s="330"/>
      <c r="GN51" s="330"/>
      <c r="GO51" s="330"/>
      <c r="GP51" s="330"/>
      <c r="GQ51" s="330"/>
      <c r="GR51" s="330"/>
      <c r="GS51" s="330"/>
      <c r="GT51" s="330"/>
      <c r="GU51" s="330"/>
      <c r="GV51" s="330"/>
      <c r="GW51" s="330"/>
      <c r="GX51" s="330"/>
      <c r="GY51" s="330"/>
      <c r="GZ51" s="330"/>
      <c r="HA51" s="330"/>
      <c r="HB51" s="330"/>
      <c r="HC51" s="330"/>
      <c r="HD51" s="330"/>
      <c r="HE51" s="330"/>
      <c r="HF51" s="330"/>
      <c r="HG51" s="330"/>
      <c r="HH51" s="330"/>
      <c r="HI51" s="330"/>
      <c r="HJ51" s="330"/>
      <c r="HK51" s="330"/>
      <c r="HL51" s="330"/>
      <c r="HM51" s="330"/>
      <c r="HN51" s="330"/>
      <c r="HO51" s="330"/>
      <c r="HP51" s="330"/>
      <c r="HQ51" s="330"/>
      <c r="HR51" s="330"/>
      <c r="HS51" s="330"/>
      <c r="HT51" s="330"/>
      <c r="HU51" s="330"/>
      <c r="HV51" s="330"/>
      <c r="HW51" s="330"/>
      <c r="HX51" s="330"/>
      <c r="HY51" s="330"/>
      <c r="HZ51" s="330"/>
      <c r="IA51" s="330"/>
      <c r="IB51" s="330"/>
      <c r="IC51" s="330"/>
      <c r="ID51" s="330"/>
      <c r="IE51" s="330"/>
      <c r="IF51" s="330"/>
      <c r="IG51" s="330"/>
      <c r="IH51" s="330"/>
      <c r="II51" s="330"/>
      <c r="IJ51" s="330"/>
      <c r="IK51" s="330"/>
      <c r="IL51" s="330"/>
      <c r="IM51" s="330"/>
      <c r="IN51" s="330"/>
      <c r="IO51" s="330"/>
      <c r="IP51" s="330"/>
      <c r="IQ51" s="330"/>
      <c r="IR51" s="330"/>
      <c r="IS51" s="330"/>
      <c r="IT51" s="330"/>
      <c r="IU51" s="330"/>
      <c r="IV51" s="330"/>
      <c r="IW51" s="330"/>
    </row>
    <row r="52" customFormat="false" ht="12.75" hidden="false" customHeight="false" outlineLevel="0" collapsed="false">
      <c r="A52" s="37" t="s">
        <v>857</v>
      </c>
      <c r="B52" s="38"/>
      <c r="C52" s="38"/>
      <c r="D52" s="220" t="n">
        <f aca="false">-Taxes!D84</f>
        <v>-0</v>
      </c>
      <c r="E52" s="220" t="n">
        <f aca="false">-Taxes!E84</f>
        <v>-0</v>
      </c>
      <c r="F52" s="220" t="n">
        <f aca="false">-Taxes!F84</f>
        <v>-0</v>
      </c>
      <c r="G52" s="220" t="n">
        <f aca="false">-Taxes!G84</f>
        <v>-0</v>
      </c>
      <c r="H52" s="220" t="n">
        <f aca="false">-Taxes!H84</f>
        <v>-0</v>
      </c>
      <c r="I52" s="220" t="n">
        <f aca="false">-Taxes!I84</f>
        <v>-460.275018193669</v>
      </c>
      <c r="J52" s="220" t="n">
        <f aca="false">-Taxes!J84</f>
        <v>-0</v>
      </c>
      <c r="K52" s="220" t="n">
        <f aca="false">-Taxes!K84</f>
        <v>-1806.21410149204</v>
      </c>
      <c r="L52" s="220" t="n">
        <f aca="false">-Taxes!L84</f>
        <v>-2049.48382538435</v>
      </c>
      <c r="M52" s="220" t="n">
        <f aca="false">-Taxes!M84</f>
        <v>-1989.40836047784</v>
      </c>
      <c r="N52" s="220" t="n">
        <f aca="false">-Taxes!N84</f>
        <v>-1772.9303750547</v>
      </c>
      <c r="O52" s="220" t="n">
        <f aca="false">-Taxes!O84</f>
        <v>-1854.55008614752</v>
      </c>
      <c r="P52" s="220" t="n">
        <f aca="false">-Taxes!P84</f>
        <v>-2136.77542843503</v>
      </c>
      <c r="Q52" s="220" t="n">
        <f aca="false">-Taxes!Q84</f>
        <v>-2322.91796215321</v>
      </c>
      <c r="R52" s="220" t="n">
        <f aca="false">-Taxes!R84</f>
        <v>-1643.77370309649</v>
      </c>
      <c r="S52" s="220" t="n">
        <f aca="false">-Taxes!S84</f>
        <v>-2477.39170394355</v>
      </c>
      <c r="T52" s="220" t="n">
        <f aca="false">-Taxes!T84</f>
        <v>-1174.42617054581</v>
      </c>
      <c r="U52" s="220" t="n">
        <f aca="false">-Taxes!U84</f>
        <v>-0</v>
      </c>
      <c r="V52" s="220" t="n">
        <f aca="false">-Taxes!V84</f>
        <v>-0</v>
      </c>
      <c r="W52" s="220" t="n">
        <f aca="false">-Taxes!W84</f>
        <v>-0</v>
      </c>
      <c r="X52" s="220" t="n">
        <f aca="false">-Taxes!X84</f>
        <v>-0</v>
      </c>
      <c r="Y52" s="220" t="n">
        <f aca="false">-Taxes!Y84</f>
        <v>-0</v>
      </c>
      <c r="Z52" s="622" t="n">
        <f aca="false">SUM(D52:Y52)</f>
        <v>-19688.1467349242</v>
      </c>
      <c r="AB52" s="175" t="n">
        <f aca="false">AB51+1</f>
        <v>46</v>
      </c>
    </row>
    <row r="53" customFormat="false" ht="12.75" hidden="false" customHeight="false" outlineLevel="0" collapsed="false">
      <c r="A53" s="37"/>
      <c r="B53" s="38"/>
      <c r="C53" s="38"/>
      <c r="D53" s="556"/>
      <c r="E53" s="556"/>
      <c r="F53" s="556"/>
      <c r="G53" s="556"/>
      <c r="H53" s="556"/>
      <c r="I53" s="556"/>
      <c r="J53" s="556"/>
      <c r="K53" s="556"/>
      <c r="L53" s="556"/>
      <c r="M53" s="556"/>
      <c r="N53" s="556"/>
      <c r="O53" s="556"/>
      <c r="P53" s="556"/>
      <c r="Q53" s="556"/>
      <c r="R53" s="556"/>
      <c r="S53" s="556"/>
      <c r="T53" s="556"/>
      <c r="U53" s="556"/>
      <c r="V53" s="556"/>
      <c r="W53" s="556"/>
      <c r="X53" s="556"/>
      <c r="Y53" s="556"/>
      <c r="Z53" s="557"/>
      <c r="AB53" s="175" t="n">
        <f aca="false">AB52+1</f>
        <v>47</v>
      </c>
    </row>
    <row r="54" customFormat="false" ht="12.75" hidden="false" customHeight="false" outlineLevel="0" collapsed="false">
      <c r="A54" s="55" t="s">
        <v>858</v>
      </c>
      <c r="B54" s="62"/>
      <c r="C54" s="62"/>
      <c r="D54" s="577" t="n">
        <f aca="false">SUM(D51:D52)</f>
        <v>0</v>
      </c>
      <c r="E54" s="577" t="n">
        <f aca="false">SUM(E51:E52)</f>
        <v>-6578.06094793574</v>
      </c>
      <c r="F54" s="577" t="n">
        <f aca="false">SUM(F51:F52)</f>
        <v>-3771.13287219427</v>
      </c>
      <c r="G54" s="577" t="n">
        <f aca="false">SUM(G51:G52)</f>
        <v>-3011.51676290401</v>
      </c>
      <c r="H54" s="577" t="n">
        <f aca="false">SUM(H51:H52)</f>
        <v>-1651.67170332394</v>
      </c>
      <c r="I54" s="577" t="n">
        <f aca="false">SUM(I51:I52)</f>
        <v>1582.61681850068</v>
      </c>
      <c r="J54" s="577" t="n">
        <f aca="false">SUM(J51:J52)</f>
        <v>-7967.56467306774</v>
      </c>
      <c r="K54" s="577" t="n">
        <f aca="false">SUM(K51:K52)</f>
        <v>6059.35747719197</v>
      </c>
      <c r="L54" s="577" t="n">
        <f aca="false">SUM(L51:L52)</f>
        <v>6867.8580906124</v>
      </c>
      <c r="M54" s="577" t="n">
        <f aca="false">SUM(M51:M52)</f>
        <v>6666.62898286272</v>
      </c>
      <c r="N54" s="577" t="n">
        <f aca="false">SUM(N51:N52)</f>
        <v>5944.79635653065</v>
      </c>
      <c r="O54" s="577" t="n">
        <f aca="false">SUM(O51:O52)</f>
        <v>6215.41206820371</v>
      </c>
      <c r="P54" s="577" t="n">
        <f aca="false">SUM(P51:P52)</f>
        <v>7153.91447033937</v>
      </c>
      <c r="Q54" s="577" t="n">
        <f aca="false">SUM(Q51:Q52)</f>
        <v>7772.62295499896</v>
      </c>
      <c r="R54" s="577" t="n">
        <f aca="false">SUM(R51:R52)</f>
        <v>5510.88806783188</v>
      </c>
      <c r="S54" s="577" t="n">
        <f aca="false">SUM(S51:S52)</f>
        <v>7093.26246476228</v>
      </c>
      <c r="T54" s="577" t="n">
        <f aca="false">SUM(T51:T52)</f>
        <v>2410.50492318655</v>
      </c>
      <c r="U54" s="577" t="n">
        <f aca="false">SUM(U51:U52)</f>
        <v>-7495.22851386404</v>
      </c>
      <c r="V54" s="577" t="n">
        <f aca="false">SUM(V51:V52)</f>
        <v>-11713.5677056956</v>
      </c>
      <c r="W54" s="577" t="n">
        <f aca="false">SUM(W51:W52)</f>
        <v>-13109.3045310181</v>
      </c>
      <c r="X54" s="577" t="n">
        <f aca="false">SUM(X51:X52)</f>
        <v>-11574.6128769193</v>
      </c>
      <c r="Y54" s="577" t="n">
        <f aca="false">SUM(Y51:Y52)</f>
        <v>-3103.47488561782</v>
      </c>
      <c r="Z54" s="579" t="n">
        <f aca="false">SUM(D54:Y54)</f>
        <v>-6698.27279751933</v>
      </c>
      <c r="AA54" s="330"/>
      <c r="AB54" s="175" t="n">
        <f aca="false">AB53+1</f>
        <v>48</v>
      </c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330"/>
      <c r="BG54" s="330"/>
      <c r="BH54" s="330"/>
      <c r="BI54" s="330"/>
      <c r="BJ54" s="330"/>
      <c r="BK54" s="330"/>
      <c r="BL54" s="330"/>
      <c r="BM54" s="330"/>
      <c r="BN54" s="330"/>
      <c r="BO54" s="330"/>
      <c r="BP54" s="330"/>
      <c r="BQ54" s="330"/>
      <c r="BR54" s="330"/>
      <c r="BS54" s="330"/>
      <c r="BT54" s="330"/>
      <c r="BU54" s="330"/>
      <c r="BV54" s="330"/>
      <c r="BW54" s="330"/>
      <c r="BX54" s="330"/>
      <c r="BY54" s="330"/>
      <c r="BZ54" s="330"/>
      <c r="CA54" s="330"/>
      <c r="CB54" s="330"/>
      <c r="CC54" s="330"/>
      <c r="CD54" s="330"/>
      <c r="CE54" s="330"/>
      <c r="CF54" s="330"/>
      <c r="CG54" s="330"/>
      <c r="CH54" s="330"/>
      <c r="CI54" s="330"/>
      <c r="CJ54" s="330"/>
      <c r="CK54" s="330"/>
      <c r="CL54" s="330"/>
      <c r="CM54" s="330"/>
      <c r="CN54" s="330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0"/>
      <c r="CZ54" s="330"/>
      <c r="DA54" s="330"/>
      <c r="DB54" s="330"/>
      <c r="DC54" s="330"/>
      <c r="DD54" s="330"/>
      <c r="DE54" s="330"/>
      <c r="DF54" s="330"/>
      <c r="DG54" s="330"/>
      <c r="DH54" s="330"/>
      <c r="DI54" s="330"/>
      <c r="DJ54" s="330"/>
      <c r="DK54" s="330"/>
      <c r="DL54" s="330"/>
      <c r="DM54" s="330"/>
      <c r="DN54" s="330"/>
      <c r="DO54" s="330"/>
      <c r="DP54" s="330"/>
      <c r="DQ54" s="330"/>
      <c r="DR54" s="330"/>
      <c r="DS54" s="330"/>
      <c r="DT54" s="330"/>
      <c r="DU54" s="330"/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330"/>
      <c r="EG54" s="330"/>
      <c r="EH54" s="330"/>
      <c r="EI54" s="330"/>
      <c r="EJ54" s="330"/>
      <c r="EK54" s="330"/>
      <c r="EL54" s="330"/>
      <c r="EM54" s="330"/>
      <c r="EN54" s="330"/>
      <c r="EO54" s="330"/>
      <c r="EP54" s="330"/>
      <c r="EQ54" s="330"/>
      <c r="ER54" s="330"/>
      <c r="ES54" s="330"/>
      <c r="ET54" s="330"/>
      <c r="EU54" s="330"/>
      <c r="EV54" s="330"/>
      <c r="EW54" s="330"/>
      <c r="EX54" s="330"/>
      <c r="EY54" s="330"/>
      <c r="EZ54" s="330"/>
      <c r="FA54" s="330"/>
      <c r="FB54" s="330"/>
      <c r="FC54" s="330"/>
      <c r="FD54" s="330"/>
      <c r="FE54" s="330"/>
      <c r="FF54" s="330"/>
      <c r="FG54" s="330"/>
      <c r="FH54" s="330"/>
      <c r="FI54" s="330"/>
      <c r="FJ54" s="330"/>
      <c r="FK54" s="330"/>
      <c r="FL54" s="330"/>
      <c r="FM54" s="330"/>
      <c r="FN54" s="330"/>
      <c r="FO54" s="330"/>
      <c r="FP54" s="330"/>
      <c r="FQ54" s="330"/>
      <c r="FR54" s="330"/>
      <c r="FS54" s="330"/>
      <c r="FT54" s="330"/>
      <c r="FU54" s="330"/>
      <c r="FV54" s="330"/>
      <c r="FW54" s="330"/>
      <c r="FX54" s="330"/>
      <c r="FY54" s="330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0"/>
      <c r="IB54" s="330"/>
      <c r="IC54" s="330"/>
      <c r="ID54" s="330"/>
      <c r="IE54" s="330"/>
      <c r="IF54" s="330"/>
      <c r="IG54" s="330"/>
      <c r="IH54" s="330"/>
      <c r="II54" s="330"/>
      <c r="IJ54" s="330"/>
      <c r="IK54" s="330"/>
      <c r="IL54" s="330"/>
      <c r="IM54" s="330"/>
      <c r="IN54" s="330"/>
      <c r="IO54" s="330"/>
      <c r="IP54" s="330"/>
      <c r="IQ54" s="330"/>
      <c r="IR54" s="330"/>
      <c r="IS54" s="330"/>
      <c r="IT54" s="330"/>
      <c r="IU54" s="330"/>
      <c r="IV54" s="330"/>
      <c r="IW54" s="330"/>
    </row>
    <row r="55" customFormat="false" ht="12.75" hidden="false" customHeight="false" outlineLevel="0" collapsed="false">
      <c r="A55" s="37" t="s">
        <v>859</v>
      </c>
      <c r="B55" s="38"/>
      <c r="C55" s="38"/>
      <c r="D55" s="220" t="n">
        <f aca="false">Trapped!F52</f>
        <v>0</v>
      </c>
      <c r="E55" s="220" t="n">
        <f aca="false">Trapped!G52</f>
        <v>116.94199047379</v>
      </c>
      <c r="F55" s="220" t="n">
        <f aca="false">Trapped!H52</f>
        <v>620.092018780245</v>
      </c>
      <c r="G55" s="220" t="n">
        <f aca="false">Trapped!I52</f>
        <v>0</v>
      </c>
      <c r="H55" s="220" t="n">
        <f aca="false">Trapped!J52</f>
        <v>0</v>
      </c>
      <c r="I55" s="220" t="n">
        <f aca="false">Trapped!K52</f>
        <v>137.766354726435</v>
      </c>
      <c r="J55" s="220" t="n">
        <f aca="false">Trapped!L52</f>
        <v>0</v>
      </c>
      <c r="K55" s="220" t="n">
        <f aca="false">Trapped!M52</f>
        <v>774.182951277645</v>
      </c>
      <c r="L55" s="220" t="n">
        <f aca="false">Trapped!N52</f>
        <v>648.075557103475</v>
      </c>
      <c r="M55" s="220" t="n">
        <f aca="false">Trapped!O52</f>
        <v>1803.48559025793</v>
      </c>
      <c r="N55" s="220" t="n">
        <f aca="false">Trapped!P52</f>
        <v>0</v>
      </c>
      <c r="O55" s="220" t="n">
        <f aca="false">Trapped!Q52</f>
        <v>0</v>
      </c>
      <c r="P55" s="220" t="n">
        <f aca="false">Trapped!R52</f>
        <v>0</v>
      </c>
      <c r="Q55" s="220" t="n">
        <f aca="false">Trapped!S52</f>
        <v>0</v>
      </c>
      <c r="R55" s="220" t="n">
        <f aca="false">Trapped!T52</f>
        <v>0</v>
      </c>
      <c r="S55" s="220" t="n">
        <f aca="false">Trapped!U52</f>
        <v>0</v>
      </c>
      <c r="T55" s="220" t="n">
        <f aca="false">Trapped!V52</f>
        <v>0</v>
      </c>
      <c r="U55" s="220" t="n">
        <f aca="false">Trapped!W52</f>
        <v>0</v>
      </c>
      <c r="V55" s="220" t="n">
        <f aca="false">Trapped!X52</f>
        <v>0</v>
      </c>
      <c r="W55" s="220" t="n">
        <f aca="false">Trapped!Y52</f>
        <v>0</v>
      </c>
      <c r="X55" s="220" t="n">
        <f aca="false">Trapped!Z52</f>
        <v>3594.79791190151</v>
      </c>
      <c r="Y55" s="220" t="n">
        <f aca="false">Trapped!AA52</f>
        <v>629.916135114482</v>
      </c>
      <c r="Z55" s="622" t="n">
        <f aca="false">SUM(D55:Y55)</f>
        <v>8325.25850963551</v>
      </c>
      <c r="AB55" s="175" t="n">
        <f aca="false">AB54+1</f>
        <v>49</v>
      </c>
    </row>
    <row r="56" customFormat="false" ht="12.75" hidden="false" customHeight="false" outlineLevel="0" collapsed="false">
      <c r="A56" s="37"/>
      <c r="B56" s="38"/>
      <c r="C56" s="38"/>
      <c r="D56" s="556"/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6"/>
      <c r="Q56" s="556"/>
      <c r="R56" s="556"/>
      <c r="S56" s="556"/>
      <c r="T56" s="556"/>
      <c r="U56" s="556"/>
      <c r="V56" s="556"/>
      <c r="W56" s="556"/>
      <c r="X56" s="556"/>
      <c r="Y56" s="556"/>
      <c r="Z56" s="557"/>
      <c r="AB56" s="175" t="n">
        <f aca="false">AB55+1</f>
        <v>50</v>
      </c>
    </row>
    <row r="57" customFormat="false" ht="12.75" hidden="false" customHeight="false" outlineLevel="0" collapsed="false">
      <c r="A57" s="623" t="s">
        <v>860</v>
      </c>
      <c r="B57" s="624"/>
      <c r="C57" s="624"/>
      <c r="D57" s="625" t="n">
        <f aca="false">SUM(D54:D55)</f>
        <v>0</v>
      </c>
      <c r="E57" s="625" t="n">
        <f aca="false">SUM(E54:E55)</f>
        <v>-6461.11895746196</v>
      </c>
      <c r="F57" s="625" t="n">
        <f aca="false">SUM(F54:F55)</f>
        <v>-3151.04085341403</v>
      </c>
      <c r="G57" s="625" t="n">
        <f aca="false">SUM(G54:G55)</f>
        <v>-3011.51676290401</v>
      </c>
      <c r="H57" s="625" t="n">
        <f aca="false">SUM(H54:H55)</f>
        <v>-1651.67170332394</v>
      </c>
      <c r="I57" s="625" t="n">
        <f aca="false">SUM(I54:I55)</f>
        <v>1720.38317322712</v>
      </c>
      <c r="J57" s="625" t="n">
        <f aca="false">SUM(J54:J55)</f>
        <v>-7967.56467306774</v>
      </c>
      <c r="K57" s="625" t="n">
        <f aca="false">SUM(K54:K55)</f>
        <v>6833.54042846961</v>
      </c>
      <c r="L57" s="625" t="n">
        <f aca="false">SUM(L54:L55)</f>
        <v>7515.93364771588</v>
      </c>
      <c r="M57" s="625" t="n">
        <f aca="false">SUM(M54:M55)</f>
        <v>8470.11457312066</v>
      </c>
      <c r="N57" s="625" t="n">
        <f aca="false">SUM(N54:N55)</f>
        <v>5944.79635653065</v>
      </c>
      <c r="O57" s="625" t="n">
        <f aca="false">SUM(O54:O55)</f>
        <v>6215.41206820371</v>
      </c>
      <c r="P57" s="625" t="n">
        <f aca="false">SUM(P54:P55)</f>
        <v>7153.91447033937</v>
      </c>
      <c r="Q57" s="625" t="n">
        <f aca="false">SUM(Q54:Q55)</f>
        <v>7772.62295499896</v>
      </c>
      <c r="R57" s="625" t="n">
        <f aca="false">SUM(R54:R55)</f>
        <v>5510.88806783188</v>
      </c>
      <c r="S57" s="625" t="n">
        <f aca="false">SUM(S54:S55)</f>
        <v>7093.26246476228</v>
      </c>
      <c r="T57" s="625" t="n">
        <f aca="false">SUM(T54:T55)</f>
        <v>2410.50492318655</v>
      </c>
      <c r="U57" s="625" t="n">
        <f aca="false">SUM(U54:U55)</f>
        <v>-7495.22851386404</v>
      </c>
      <c r="V57" s="625" t="n">
        <f aca="false">SUM(V54:V55)</f>
        <v>-11713.5677056956</v>
      </c>
      <c r="W57" s="625" t="n">
        <f aca="false">SUM(W54:W55)</f>
        <v>-13109.3045310181</v>
      </c>
      <c r="X57" s="625" t="n">
        <f aca="false">SUM(X54:X55)</f>
        <v>-7979.81496501774</v>
      </c>
      <c r="Y57" s="625" t="n">
        <f aca="false">SUM(Y54:Y55)</f>
        <v>-2473.55875050334</v>
      </c>
      <c r="Z57" s="626" t="n">
        <f aca="false">SUM(D57:Y57)</f>
        <v>1626.98571211619</v>
      </c>
      <c r="AA57" s="330"/>
      <c r="AB57" s="175" t="n">
        <f aca="false">AB56+1</f>
        <v>51</v>
      </c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U57" s="330"/>
      <c r="AV57" s="330"/>
      <c r="AW57" s="330"/>
      <c r="AX57" s="330"/>
      <c r="AY57" s="330"/>
      <c r="AZ57" s="330"/>
      <c r="BA57" s="330"/>
      <c r="BB57" s="330"/>
      <c r="BC57" s="330"/>
      <c r="BD57" s="330"/>
      <c r="BE57" s="330"/>
      <c r="BF57" s="330"/>
      <c r="BG57" s="330"/>
      <c r="BH57" s="330"/>
      <c r="BI57" s="330"/>
      <c r="BJ57" s="330"/>
      <c r="BK57" s="330"/>
      <c r="BL57" s="330"/>
      <c r="BM57" s="330"/>
      <c r="BN57" s="330"/>
      <c r="BO57" s="330"/>
      <c r="BP57" s="330"/>
      <c r="BQ57" s="330"/>
      <c r="BR57" s="330"/>
      <c r="BS57" s="330"/>
      <c r="BT57" s="330"/>
      <c r="BU57" s="330"/>
      <c r="BV57" s="330"/>
      <c r="BW57" s="330"/>
      <c r="BX57" s="330"/>
      <c r="BY57" s="330"/>
      <c r="BZ57" s="330"/>
      <c r="CA57" s="330"/>
      <c r="CB57" s="330"/>
      <c r="CC57" s="330"/>
      <c r="CD57" s="330"/>
      <c r="CE57" s="330"/>
      <c r="CF57" s="330"/>
      <c r="CG57" s="330"/>
      <c r="CH57" s="330"/>
      <c r="CI57" s="330"/>
      <c r="CJ57" s="330"/>
      <c r="CK57" s="330"/>
      <c r="CL57" s="330"/>
      <c r="CM57" s="330"/>
      <c r="CN57" s="330"/>
      <c r="CO57" s="330"/>
      <c r="CP57" s="330"/>
      <c r="CQ57" s="330"/>
      <c r="CR57" s="330"/>
      <c r="CS57" s="330"/>
      <c r="CT57" s="330"/>
      <c r="CU57" s="330"/>
      <c r="CV57" s="330"/>
      <c r="CW57" s="330"/>
      <c r="CX57" s="330"/>
      <c r="CY57" s="330"/>
      <c r="CZ57" s="330"/>
      <c r="DA57" s="330"/>
      <c r="DB57" s="330"/>
      <c r="DC57" s="330"/>
      <c r="DD57" s="330"/>
      <c r="DE57" s="330"/>
      <c r="DF57" s="330"/>
      <c r="DG57" s="330"/>
      <c r="DH57" s="330"/>
      <c r="DI57" s="330"/>
      <c r="DJ57" s="330"/>
      <c r="DK57" s="330"/>
      <c r="DL57" s="330"/>
      <c r="DM57" s="330"/>
      <c r="DN57" s="330"/>
      <c r="DO57" s="330"/>
      <c r="DP57" s="330"/>
      <c r="DQ57" s="330"/>
      <c r="DR57" s="330"/>
      <c r="DS57" s="330"/>
      <c r="DT57" s="330"/>
      <c r="DU57" s="330"/>
      <c r="DV57" s="330"/>
      <c r="DW57" s="330"/>
      <c r="DX57" s="330"/>
      <c r="DY57" s="330"/>
      <c r="DZ57" s="330"/>
      <c r="EA57" s="330"/>
      <c r="EB57" s="330"/>
      <c r="EC57" s="330"/>
      <c r="ED57" s="330"/>
      <c r="EE57" s="330"/>
      <c r="EF57" s="330"/>
      <c r="EG57" s="330"/>
      <c r="EH57" s="330"/>
      <c r="EI57" s="330"/>
      <c r="EJ57" s="330"/>
      <c r="EK57" s="330"/>
      <c r="EL57" s="330"/>
      <c r="EM57" s="330"/>
      <c r="EN57" s="330"/>
      <c r="EO57" s="330"/>
      <c r="EP57" s="330"/>
      <c r="EQ57" s="330"/>
      <c r="ER57" s="330"/>
      <c r="ES57" s="330"/>
      <c r="ET57" s="330"/>
      <c r="EU57" s="330"/>
      <c r="EV57" s="330"/>
      <c r="EW57" s="330"/>
      <c r="EX57" s="330"/>
      <c r="EY57" s="330"/>
      <c r="EZ57" s="330"/>
      <c r="FA57" s="330"/>
      <c r="FB57" s="330"/>
      <c r="FC57" s="330"/>
      <c r="FD57" s="330"/>
      <c r="FE57" s="330"/>
      <c r="FF57" s="330"/>
      <c r="FG57" s="330"/>
      <c r="FH57" s="330"/>
      <c r="FI57" s="330"/>
      <c r="FJ57" s="330"/>
      <c r="FK57" s="330"/>
      <c r="FL57" s="330"/>
      <c r="FM57" s="330"/>
      <c r="FN57" s="330"/>
      <c r="FO57" s="330"/>
      <c r="FP57" s="330"/>
      <c r="FQ57" s="330"/>
      <c r="FR57" s="330"/>
      <c r="FS57" s="330"/>
      <c r="FT57" s="330"/>
      <c r="FU57" s="330"/>
      <c r="FV57" s="330"/>
      <c r="FW57" s="330"/>
      <c r="FX57" s="330"/>
      <c r="FY57" s="330"/>
      <c r="FZ57" s="330"/>
      <c r="GA57" s="330"/>
      <c r="GB57" s="330"/>
      <c r="GC57" s="330"/>
      <c r="GD57" s="330"/>
      <c r="GE57" s="330"/>
      <c r="GF57" s="330"/>
      <c r="GG57" s="330"/>
      <c r="GH57" s="330"/>
      <c r="GI57" s="330"/>
      <c r="GJ57" s="330"/>
      <c r="GK57" s="330"/>
      <c r="GL57" s="330"/>
      <c r="GM57" s="330"/>
      <c r="GN57" s="330"/>
      <c r="GO57" s="330"/>
      <c r="GP57" s="330"/>
      <c r="GQ57" s="330"/>
      <c r="GR57" s="330"/>
      <c r="GS57" s="330"/>
      <c r="GT57" s="330"/>
      <c r="GU57" s="330"/>
      <c r="GV57" s="330"/>
      <c r="GW57" s="330"/>
      <c r="GX57" s="330"/>
      <c r="GY57" s="330"/>
      <c r="GZ57" s="330"/>
      <c r="HA57" s="330"/>
      <c r="HB57" s="330"/>
      <c r="HC57" s="330"/>
      <c r="HD57" s="330"/>
      <c r="HE57" s="330"/>
      <c r="HF57" s="330"/>
      <c r="HG57" s="330"/>
      <c r="HH57" s="330"/>
      <c r="HI57" s="330"/>
      <c r="HJ57" s="330"/>
      <c r="HK57" s="330"/>
      <c r="HL57" s="330"/>
      <c r="HM57" s="330"/>
      <c r="HN57" s="330"/>
      <c r="HO57" s="330"/>
      <c r="HP57" s="330"/>
      <c r="HQ57" s="330"/>
      <c r="HR57" s="330"/>
      <c r="HS57" s="330"/>
      <c r="HT57" s="330"/>
      <c r="HU57" s="330"/>
      <c r="HV57" s="330"/>
      <c r="HW57" s="330"/>
      <c r="HX57" s="330"/>
      <c r="HY57" s="330"/>
      <c r="HZ57" s="330"/>
      <c r="IA57" s="330"/>
      <c r="IB57" s="330"/>
      <c r="IC57" s="330"/>
      <c r="ID57" s="330"/>
      <c r="IE57" s="330"/>
      <c r="IF57" s="330"/>
      <c r="IG57" s="330"/>
      <c r="IH57" s="330"/>
      <c r="II57" s="330"/>
      <c r="IJ57" s="330"/>
      <c r="IK57" s="330"/>
      <c r="IL57" s="330"/>
      <c r="IM57" s="330"/>
      <c r="IN57" s="330"/>
      <c r="IO57" s="330"/>
      <c r="IP57" s="330"/>
      <c r="IQ57" s="330"/>
      <c r="IR57" s="330"/>
      <c r="IS57" s="330"/>
      <c r="IT57" s="330"/>
      <c r="IU57" s="330"/>
      <c r="IV57" s="330"/>
      <c r="IW57" s="330"/>
    </row>
    <row r="58" customFormat="false" ht="12.75" hidden="false" customHeight="false" outlineLevel="0" collapsed="false">
      <c r="A58" s="37"/>
      <c r="B58" s="38"/>
      <c r="C58" s="38"/>
      <c r="D58" s="556"/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56"/>
      <c r="Q58" s="556"/>
      <c r="R58" s="556"/>
      <c r="S58" s="556"/>
      <c r="T58" s="556"/>
      <c r="U58" s="556"/>
      <c r="V58" s="556"/>
      <c r="W58" s="556"/>
      <c r="X58" s="556"/>
      <c r="Y58" s="556"/>
      <c r="Z58" s="557"/>
      <c r="AB58" s="175" t="n">
        <f aca="false">AB57+1</f>
        <v>52</v>
      </c>
    </row>
    <row r="59" customFormat="false" ht="12.75" hidden="false" customHeight="false" outlineLevel="0" collapsed="false">
      <c r="A59" s="37" t="s">
        <v>861</v>
      </c>
      <c r="B59" s="38"/>
      <c r="C59" s="38"/>
      <c r="D59" s="556" t="n">
        <f aca="false">-D41</f>
        <v>0</v>
      </c>
      <c r="E59" s="556" t="n">
        <f aca="false">-E41</f>
        <v>3704.81055000091</v>
      </c>
      <c r="F59" s="556" t="n">
        <f aca="false">-F41</f>
        <v>4939.74740000121</v>
      </c>
      <c r="G59" s="556" t="n">
        <f aca="false">-G41</f>
        <v>12563.7993949493</v>
      </c>
      <c r="H59" s="556" t="n">
        <f aca="false">-H41</f>
        <v>17799.2181695267</v>
      </c>
      <c r="I59" s="556" t="n">
        <f aca="false">-I41</f>
        <v>17799.2181695267</v>
      </c>
      <c r="J59" s="556" t="n">
        <f aca="false">-J41</f>
        <v>17799.2181695267</v>
      </c>
      <c r="K59" s="556" t="n">
        <f aca="false">-K41</f>
        <v>17799.2181695267</v>
      </c>
      <c r="L59" s="556" t="n">
        <f aca="false">-L41</f>
        <v>17799.2181695267</v>
      </c>
      <c r="M59" s="556" t="n">
        <f aca="false">-M41</f>
        <v>17799.2181695267</v>
      </c>
      <c r="N59" s="556" t="n">
        <f aca="false">-N41</f>
        <v>17799.2181695267</v>
      </c>
      <c r="O59" s="556" t="n">
        <f aca="false">-O41</f>
        <v>17799.2181695267</v>
      </c>
      <c r="P59" s="556" t="n">
        <f aca="false">-P41</f>
        <v>17799.2181695267</v>
      </c>
      <c r="Q59" s="556" t="n">
        <f aca="false">-Q41</f>
        <v>17799.2181695267</v>
      </c>
      <c r="R59" s="556" t="n">
        <f aca="false">-R41</f>
        <v>17799.2181695267</v>
      </c>
      <c r="S59" s="556" t="n">
        <f aca="false">-S41</f>
        <v>17799.2181695267</v>
      </c>
      <c r="T59" s="556" t="n">
        <f aca="false">-T41</f>
        <v>17799.2181695267</v>
      </c>
      <c r="U59" s="556" t="n">
        <f aca="false">-U41</f>
        <v>17799.2181695267</v>
      </c>
      <c r="V59" s="556" t="n">
        <f aca="false">-V41</f>
        <v>17799.2181695267</v>
      </c>
      <c r="W59" s="556" t="n">
        <f aca="false">-W41</f>
        <v>17799.2181695267</v>
      </c>
      <c r="X59" s="556" t="n">
        <f aca="false">-X41</f>
        <v>17799.2181695267</v>
      </c>
      <c r="Y59" s="556" t="n">
        <f aca="false">-Y41</f>
        <v>5521.42710650878</v>
      </c>
      <c r="Z59" s="557" t="n">
        <f aca="false">SUM(D59:Y59)</f>
        <v>329316.493333414</v>
      </c>
      <c r="AB59" s="175" t="n">
        <f aca="false">AB58+1</f>
        <v>53</v>
      </c>
    </row>
    <row r="60" customFormat="false" ht="12.75" hidden="false" customHeight="false" outlineLevel="0" collapsed="false">
      <c r="A60" s="37" t="s">
        <v>862</v>
      </c>
      <c r="B60" s="38"/>
      <c r="C60" s="38"/>
      <c r="D60" s="556" t="n">
        <f aca="false">-D46</f>
        <v>0</v>
      </c>
      <c r="E60" s="556" t="n">
        <f aca="false">-E46</f>
        <v>988.566582744534</v>
      </c>
      <c r="F60" s="556" t="n">
        <f aca="false">-F46</f>
        <v>2665.13260186675</v>
      </c>
      <c r="G60" s="556" t="n">
        <f aca="false">-G46</f>
        <v>5739.81667071093</v>
      </c>
      <c r="H60" s="556" t="n">
        <f aca="false">-H46</f>
        <v>-0</v>
      </c>
      <c r="I60" s="556" t="n">
        <f aca="false">-I46</f>
        <v>-0</v>
      </c>
      <c r="J60" s="556" t="n">
        <f aca="false">-J46</f>
        <v>-0</v>
      </c>
      <c r="K60" s="556" t="n">
        <f aca="false">-K46</f>
        <v>-0</v>
      </c>
      <c r="L60" s="556" t="n">
        <f aca="false">-L46</f>
        <v>-0</v>
      </c>
      <c r="M60" s="556" t="n">
        <f aca="false">-M46</f>
        <v>-0</v>
      </c>
      <c r="N60" s="556" t="n">
        <f aca="false">-N46</f>
        <v>-0</v>
      </c>
      <c r="O60" s="556" t="n">
        <f aca="false">-O46</f>
        <v>-0</v>
      </c>
      <c r="P60" s="556" t="n">
        <f aca="false">-P46</f>
        <v>-0</v>
      </c>
      <c r="Q60" s="556" t="n">
        <f aca="false">-Q46</f>
        <v>-0</v>
      </c>
      <c r="R60" s="556" t="n">
        <f aca="false">-R46</f>
        <v>-0</v>
      </c>
      <c r="S60" s="556" t="n">
        <f aca="false">-S46</f>
        <v>-0</v>
      </c>
      <c r="T60" s="556" t="n">
        <f aca="false">-T46</f>
        <v>-0</v>
      </c>
      <c r="U60" s="556" t="n">
        <f aca="false">-U46</f>
        <v>-0</v>
      </c>
      <c r="V60" s="556" t="n">
        <f aca="false">-V46</f>
        <v>-0</v>
      </c>
      <c r="W60" s="556" t="n">
        <f aca="false">-W46</f>
        <v>-0</v>
      </c>
      <c r="X60" s="556" t="n">
        <f aca="false">-X46</f>
        <v>-0</v>
      </c>
      <c r="Y60" s="556" t="n">
        <f aca="false">-Y46</f>
        <v>-0</v>
      </c>
      <c r="Z60" s="557" t="n">
        <f aca="false">SUM(D60:Y60)</f>
        <v>9393.51585532221</v>
      </c>
      <c r="AB60" s="175" t="n">
        <f aca="false">AB59+1</f>
        <v>54</v>
      </c>
    </row>
    <row r="61" customFormat="false" ht="12.75" hidden="false" customHeight="false" outlineLevel="0" collapsed="false">
      <c r="A61" s="37" t="s">
        <v>863</v>
      </c>
      <c r="B61" s="38"/>
      <c r="C61" s="38"/>
      <c r="D61" s="556" t="n">
        <f aca="false">IF(D$7=YEAR(Endyr),Land1+Land2+Land3,0)</f>
        <v>0</v>
      </c>
      <c r="E61" s="556" t="n">
        <f aca="false">IF(E$7=YEAR(Endyr),Land1+Land2+Land3,0)</f>
        <v>0</v>
      </c>
      <c r="F61" s="556" t="n">
        <f aca="false">IF(F$7=YEAR(Endyr),Land1+Land2+Land3,0)</f>
        <v>0</v>
      </c>
      <c r="G61" s="556" t="n">
        <f aca="false">IF(G$7=YEAR(Endyr),Land1+Land2+Land3,0)</f>
        <v>0</v>
      </c>
      <c r="H61" s="556" t="n">
        <f aca="false">IF(H$7=YEAR(Endyr),Land1+Land2+Land3,0)</f>
        <v>0</v>
      </c>
      <c r="I61" s="556" t="n">
        <f aca="false">IF(I$7=YEAR(Endyr),Land1+Land2+Land3,0)</f>
        <v>0</v>
      </c>
      <c r="J61" s="556" t="n">
        <f aca="false">IF(J$7=YEAR(Endyr),Land1+Land2+Land3,0)</f>
        <v>0</v>
      </c>
      <c r="K61" s="556" t="n">
        <f aca="false">IF(K$7=YEAR(Endyr),Land1+Land2+Land3,0)</f>
        <v>0</v>
      </c>
      <c r="L61" s="556" t="n">
        <f aca="false">IF(L$7=YEAR(Endyr),Land1+Land2+Land3,0)</f>
        <v>0</v>
      </c>
      <c r="M61" s="556" t="n">
        <f aca="false">IF(M$7=YEAR(Endyr),Land1+Land2+Land3,0)</f>
        <v>0</v>
      </c>
      <c r="N61" s="556" t="n">
        <f aca="false">IF(N$7=YEAR(Endyr),Land1+Land2+Land3,0)</f>
        <v>0</v>
      </c>
      <c r="O61" s="556" t="n">
        <f aca="false">IF(O$7=YEAR(Endyr),Land1+Land2+Land3,0)</f>
        <v>0</v>
      </c>
      <c r="P61" s="556" t="n">
        <f aca="false">IF(P$7=YEAR(Endyr),Land1+Land2+Land3,0)</f>
        <v>0</v>
      </c>
      <c r="Q61" s="556" t="n">
        <f aca="false">IF(Q$7=YEAR(Endyr),Land1+Land2+Land3,0)</f>
        <v>0</v>
      </c>
      <c r="R61" s="556" t="n">
        <f aca="false">IF(R$7=YEAR(Endyr),Land1+Land2+Land3,0)</f>
        <v>0</v>
      </c>
      <c r="S61" s="556" t="n">
        <f aca="false">IF(S$7=YEAR(Endyr),Land1+Land2+Land3,0)</f>
        <v>0</v>
      </c>
      <c r="T61" s="556" t="n">
        <f aca="false">IF(T$7=YEAR(Endyr),Land1+Land2+Land3,0)</f>
        <v>0</v>
      </c>
      <c r="U61" s="556" t="n">
        <f aca="false">IF(U$7=YEAR(Endyr),Land1+Land2+Land3,0)</f>
        <v>0</v>
      </c>
      <c r="V61" s="556" t="n">
        <f aca="false">IF(V$7=YEAR(Endyr),Land1+Land2+Land3,0)</f>
        <v>0</v>
      </c>
      <c r="W61" s="556" t="n">
        <f aca="false">IF(W$7=YEAR(Endyr),Land1+Land2+Land3,0)</f>
        <v>0</v>
      </c>
      <c r="X61" s="556" t="n">
        <f aca="false">IF(X$7=YEAR(Endyr),Land1+Land2+Land3,0)</f>
        <v>0</v>
      </c>
      <c r="Y61" s="556" t="n">
        <f aca="false">IF(Y$7=YEAR(Endyr),Land1+Land2+Land3,0)</f>
        <v>540</v>
      </c>
      <c r="Z61" s="557" t="n">
        <f aca="false">SUM(D61:Y61)</f>
        <v>540</v>
      </c>
      <c r="AB61" s="175" t="n">
        <f aca="false">AB60+1</f>
        <v>55</v>
      </c>
    </row>
    <row r="62" customFormat="false" ht="12.75" hidden="false" customHeight="false" outlineLevel="0" collapsed="false">
      <c r="A62" s="37" t="s">
        <v>864</v>
      </c>
      <c r="B62" s="38"/>
      <c r="C62" s="38"/>
      <c r="D62" s="556" t="n">
        <f aca="false">IF(D$7=YEAR(Endyr),Wcap1+Wcap2+Wcap3,0)</f>
        <v>0</v>
      </c>
      <c r="E62" s="556" t="n">
        <f aca="false">IF(E$7=YEAR(Endyr),Wcap1+Wcap2+Wcap3,0)</f>
        <v>0</v>
      </c>
      <c r="F62" s="556" t="n">
        <f aca="false">IF(F$7=YEAR(Endyr),Wcap1+Wcap2+Wcap3,0)</f>
        <v>0</v>
      </c>
      <c r="G62" s="556" t="n">
        <f aca="false">IF(G$7=YEAR(Endyr),Wcap1+Wcap2+Wcap3,0)</f>
        <v>0</v>
      </c>
      <c r="H62" s="556" t="n">
        <f aca="false">IF(H$7=YEAR(Endyr),Wcap1+Wcap2+Wcap3,0)</f>
        <v>0</v>
      </c>
      <c r="I62" s="556" t="n">
        <f aca="false">IF(I$7=YEAR(Endyr),Wcap1+Wcap2+Wcap3,0)</f>
        <v>0</v>
      </c>
      <c r="J62" s="556" t="n">
        <f aca="false">IF(J$7=YEAR(Endyr),Wcap1+Wcap2+Wcap3,0)</f>
        <v>0</v>
      </c>
      <c r="K62" s="556" t="n">
        <f aca="false">IF(K$7=YEAR(Endyr),Wcap1+Wcap2+Wcap3,0)</f>
        <v>0</v>
      </c>
      <c r="L62" s="556" t="n">
        <f aca="false">IF(L$7=YEAR(Endyr),Wcap1+Wcap2+Wcap3,0)</f>
        <v>0</v>
      </c>
      <c r="M62" s="556" t="n">
        <f aca="false">IF(M$7=YEAR(Endyr),Wcap1+Wcap2+Wcap3,0)</f>
        <v>0</v>
      </c>
      <c r="N62" s="556" t="n">
        <f aca="false">IF(N$7=YEAR(Endyr),Wcap1+Wcap2+Wcap3,0)</f>
        <v>0</v>
      </c>
      <c r="O62" s="556" t="n">
        <f aca="false">IF(O$7=YEAR(Endyr),Wcap1+Wcap2+Wcap3,0)</f>
        <v>0</v>
      </c>
      <c r="P62" s="556" t="n">
        <f aca="false">IF(P$7=YEAR(Endyr),Wcap1+Wcap2+Wcap3,0)</f>
        <v>0</v>
      </c>
      <c r="Q62" s="556" t="n">
        <f aca="false">IF(Q$7=YEAR(Endyr),Wcap1+Wcap2+Wcap3,0)</f>
        <v>0</v>
      </c>
      <c r="R62" s="556" t="n">
        <f aca="false">IF(R$7=YEAR(Endyr),Wcap1+Wcap2+Wcap3,0)</f>
        <v>0</v>
      </c>
      <c r="S62" s="556" t="n">
        <f aca="false">IF(S$7=YEAR(Endyr),Wcap1+Wcap2+Wcap3,0)</f>
        <v>0</v>
      </c>
      <c r="T62" s="556" t="n">
        <f aca="false">IF(T$7=YEAR(Endyr),Wcap1+Wcap2+Wcap3,0)</f>
        <v>0</v>
      </c>
      <c r="U62" s="556" t="n">
        <f aca="false">IF(U$7=YEAR(Endyr),Wcap1+Wcap2+Wcap3,0)</f>
        <v>0</v>
      </c>
      <c r="V62" s="556" t="n">
        <f aca="false">IF(V$7=YEAR(Endyr),Wcap1+Wcap2+Wcap3,0)</f>
        <v>0</v>
      </c>
      <c r="W62" s="556" t="n">
        <f aca="false">IF(W$7=YEAR(Endyr),Wcap1+Wcap2+Wcap3,0)</f>
        <v>0</v>
      </c>
      <c r="X62" s="556" t="n">
        <f aca="false">IF(X$7=YEAR(Endyr),Wcap1+Wcap2+Wcap3,0)</f>
        <v>0</v>
      </c>
      <c r="Y62" s="556" t="n">
        <f aca="false">IF(Y$7=YEAR(Endyr),Wcap1+Wcap2+Wcap3,0)</f>
        <v>0</v>
      </c>
      <c r="Z62" s="557" t="n">
        <f aca="false">SUM(D62:Y62)</f>
        <v>0</v>
      </c>
      <c r="AB62" s="175" t="n">
        <f aca="false">AB61+1</f>
        <v>56</v>
      </c>
    </row>
    <row r="63" customFormat="false" ht="12.75" hidden="false" customHeight="false" outlineLevel="0" collapsed="false">
      <c r="A63" s="37" t="s">
        <v>865</v>
      </c>
      <c r="B63" s="38"/>
      <c r="C63" s="38"/>
      <c r="D63" s="556" t="n">
        <f aca="false">IF(D$7=YEAR(Endyr),Spares1+Spares2+Spares3+Spares_WTF,0)</f>
        <v>0</v>
      </c>
      <c r="E63" s="556" t="n">
        <f aca="false">IF(E$7=YEAR(Endyr),Spares1+Spares2+Spares3+Spares_WTF,0)</f>
        <v>0</v>
      </c>
      <c r="F63" s="556" t="n">
        <f aca="false">IF(F$7=YEAR(Endyr),Spares1+Spares2+Spares3+Spares_WTF,0)</f>
        <v>0</v>
      </c>
      <c r="G63" s="556" t="n">
        <f aca="false">IF(G$7=YEAR(Endyr),Spares1+Spares2+Spares3+Spares_WTF,0)</f>
        <v>0</v>
      </c>
      <c r="H63" s="556" t="n">
        <f aca="false">IF(H$7=YEAR(Endyr),Spares1+Spares2+Spares3+Spares_WTF,0)</f>
        <v>0</v>
      </c>
      <c r="I63" s="556" t="n">
        <f aca="false">IF(I$7=YEAR(Endyr),Spares1+Spares2+Spares3+Spares_WTF,0)</f>
        <v>0</v>
      </c>
      <c r="J63" s="556" t="n">
        <f aca="false">IF(J$7=YEAR(Endyr),Spares1+Spares2+Spares3+Spares_WTF,0)</f>
        <v>0</v>
      </c>
      <c r="K63" s="556" t="n">
        <f aca="false">IF(K$7=YEAR(Endyr),Spares1+Spares2+Spares3+Spares_WTF,0)</f>
        <v>0</v>
      </c>
      <c r="L63" s="556" t="n">
        <f aca="false">IF(L$7=YEAR(Endyr),Spares1+Spares2+Spares3+Spares_WTF,0)</f>
        <v>0</v>
      </c>
      <c r="M63" s="556" t="n">
        <f aca="false">IF(M$7=YEAR(Endyr),Spares1+Spares2+Spares3+Spares_WTF,0)</f>
        <v>0</v>
      </c>
      <c r="N63" s="556" t="n">
        <f aca="false">IF(N$7=YEAR(Endyr),Spares1+Spares2+Spares3+Spares_WTF,0)</f>
        <v>0</v>
      </c>
      <c r="O63" s="556" t="n">
        <f aca="false">IF(O$7=YEAR(Endyr),Spares1+Spares2+Spares3+Spares_WTF,0)</f>
        <v>0</v>
      </c>
      <c r="P63" s="556" t="n">
        <f aca="false">IF(P$7=YEAR(Endyr),Spares1+Spares2+Spares3+Spares_WTF,0)</f>
        <v>0</v>
      </c>
      <c r="Q63" s="556" t="n">
        <f aca="false">IF(Q$7=YEAR(Endyr),Spares1+Spares2+Spares3+Spares_WTF,0)</f>
        <v>0</v>
      </c>
      <c r="R63" s="556" t="n">
        <f aca="false">IF(R$7=YEAR(Endyr),Spares1+Spares2+Spares3+Spares_WTF,0)</f>
        <v>0</v>
      </c>
      <c r="S63" s="556" t="n">
        <f aca="false">IF(S$7=YEAR(Endyr),Spares1+Spares2+Spares3+Spares_WTF,0)</f>
        <v>0</v>
      </c>
      <c r="T63" s="556" t="n">
        <f aca="false">IF(T$7=YEAR(Endyr),Spares1+Spares2+Spares3+Spares_WTF,0)</f>
        <v>0</v>
      </c>
      <c r="U63" s="556" t="n">
        <f aca="false">IF(U$7=YEAR(Endyr),Spares1+Spares2+Spares3+Spares_WTF,0)</f>
        <v>0</v>
      </c>
      <c r="V63" s="556" t="n">
        <f aca="false">IF(V$7=YEAR(Endyr),Spares1+Spares2+Spares3+Spares_WTF,0)</f>
        <v>0</v>
      </c>
      <c r="W63" s="556" t="n">
        <f aca="false">IF(W$7=YEAR(Endyr),Spares1+Spares2+Spares3+Spares_WTF,0)</f>
        <v>0</v>
      </c>
      <c r="X63" s="556" t="n">
        <f aca="false">IF(X$7=YEAR(Endyr),Spares1+Spares2+Spares3+Spares_WTF,0)</f>
        <v>0</v>
      </c>
      <c r="Y63" s="556" t="n">
        <f aca="false">IF(Y$7=YEAR(Endyr),Spares1+Spares2+Spares3+Spares_WTF,0)</f>
        <v>4644.494</v>
      </c>
      <c r="Z63" s="557" t="n">
        <f aca="false">SUM(D63:Y63)</f>
        <v>4644.494</v>
      </c>
      <c r="AB63" s="175" t="n">
        <f aca="false">AB62+1</f>
        <v>57</v>
      </c>
    </row>
    <row r="64" customFormat="false" ht="12.75" hidden="false" customHeight="false" outlineLevel="0" collapsed="false">
      <c r="A64" s="37" t="s">
        <v>866</v>
      </c>
      <c r="B64" s="38"/>
      <c r="C64" s="38"/>
      <c r="D64" s="556" t="n">
        <f aca="false">-D52</f>
        <v>0</v>
      </c>
      <c r="E64" s="556" t="n">
        <f aca="false">-E52</f>
        <v>0</v>
      </c>
      <c r="F64" s="556" t="n">
        <f aca="false">-F52</f>
        <v>0</v>
      </c>
      <c r="G64" s="556" t="n">
        <f aca="false">-G52</f>
        <v>0</v>
      </c>
      <c r="H64" s="556" t="n">
        <f aca="false">-H52</f>
        <v>0</v>
      </c>
      <c r="I64" s="556" t="n">
        <f aca="false">-I52</f>
        <v>460.275018193669</v>
      </c>
      <c r="J64" s="556" t="n">
        <f aca="false">-J52</f>
        <v>0</v>
      </c>
      <c r="K64" s="556" t="n">
        <f aca="false">-K52</f>
        <v>1806.21410149204</v>
      </c>
      <c r="L64" s="556" t="n">
        <f aca="false">-L52</f>
        <v>2049.48382538435</v>
      </c>
      <c r="M64" s="556" t="n">
        <f aca="false">-M52</f>
        <v>1989.40836047784</v>
      </c>
      <c r="N64" s="556" t="n">
        <f aca="false">-N52</f>
        <v>1772.9303750547</v>
      </c>
      <c r="O64" s="556" t="n">
        <f aca="false">-O52</f>
        <v>1854.55008614752</v>
      </c>
      <c r="P64" s="556" t="n">
        <f aca="false">-P52</f>
        <v>2136.77542843503</v>
      </c>
      <c r="Q64" s="556" t="n">
        <f aca="false">-Q52</f>
        <v>2322.91796215321</v>
      </c>
      <c r="R64" s="556" t="n">
        <f aca="false">-R52</f>
        <v>1643.77370309649</v>
      </c>
      <c r="S64" s="556" t="n">
        <f aca="false">-S52</f>
        <v>2477.39170394355</v>
      </c>
      <c r="T64" s="556" t="n">
        <f aca="false">-T52</f>
        <v>1174.42617054581</v>
      </c>
      <c r="U64" s="556" t="n">
        <f aca="false">-U52</f>
        <v>0</v>
      </c>
      <c r="V64" s="556" t="n">
        <f aca="false">-V52</f>
        <v>0</v>
      </c>
      <c r="W64" s="556" t="n">
        <f aca="false">-W52</f>
        <v>0</v>
      </c>
      <c r="X64" s="556" t="n">
        <f aca="false">-X52</f>
        <v>0</v>
      </c>
      <c r="Y64" s="556" t="n">
        <f aca="false">-Y52</f>
        <v>0</v>
      </c>
      <c r="Z64" s="557" t="n">
        <f aca="false">SUM(D64:Y64)</f>
        <v>19688.1467349242</v>
      </c>
      <c r="AB64" s="175" t="n">
        <f aca="false">AB63+1</f>
        <v>58</v>
      </c>
    </row>
    <row r="65" customFormat="false" ht="12.75" hidden="false" customHeight="false" outlineLevel="0" collapsed="false">
      <c r="A65" s="37" t="s">
        <v>867</v>
      </c>
      <c r="B65" s="38"/>
      <c r="C65" s="38"/>
      <c r="D65" s="556" t="n">
        <f aca="false">-D55</f>
        <v>-0</v>
      </c>
      <c r="E65" s="556" t="n">
        <f aca="false">-E55</f>
        <v>-116.94199047379</v>
      </c>
      <c r="F65" s="556" t="n">
        <f aca="false">-F55</f>
        <v>-620.092018780245</v>
      </c>
      <c r="G65" s="556" t="n">
        <f aca="false">-G55</f>
        <v>-0</v>
      </c>
      <c r="H65" s="556" t="n">
        <f aca="false">-H55</f>
        <v>-0</v>
      </c>
      <c r="I65" s="556" t="n">
        <f aca="false">-I55</f>
        <v>-137.766354726435</v>
      </c>
      <c r="J65" s="556" t="n">
        <f aca="false">-J55</f>
        <v>-0</v>
      </c>
      <c r="K65" s="556" t="n">
        <f aca="false">-K55</f>
        <v>-774.182951277645</v>
      </c>
      <c r="L65" s="556" t="n">
        <f aca="false">-L55</f>
        <v>-648.075557103475</v>
      </c>
      <c r="M65" s="556" t="n">
        <f aca="false">-M55</f>
        <v>-1803.48559025793</v>
      </c>
      <c r="N65" s="556" t="n">
        <f aca="false">-N55</f>
        <v>-0</v>
      </c>
      <c r="O65" s="556" t="n">
        <f aca="false">-O55</f>
        <v>-0</v>
      </c>
      <c r="P65" s="556" t="n">
        <f aca="false">-P55</f>
        <v>-0</v>
      </c>
      <c r="Q65" s="556" t="n">
        <f aca="false">-Q55</f>
        <v>-0</v>
      </c>
      <c r="R65" s="556" t="n">
        <f aca="false">-R55</f>
        <v>-0</v>
      </c>
      <c r="S65" s="556" t="n">
        <f aca="false">-S55</f>
        <v>-0</v>
      </c>
      <c r="T65" s="556" t="n">
        <f aca="false">-T55</f>
        <v>-0</v>
      </c>
      <c r="U65" s="556" t="n">
        <f aca="false">-U55</f>
        <v>-0</v>
      </c>
      <c r="V65" s="556" t="n">
        <f aca="false">-V55</f>
        <v>-0</v>
      </c>
      <c r="W65" s="556" t="n">
        <f aca="false">-W55</f>
        <v>-0</v>
      </c>
      <c r="X65" s="556" t="n">
        <f aca="false">-X55</f>
        <v>-3594.79791190151</v>
      </c>
      <c r="Y65" s="556" t="n">
        <f aca="false">-Y55</f>
        <v>-629.916135114482</v>
      </c>
      <c r="Z65" s="557" t="n">
        <f aca="false">SUM(D65:Y65)</f>
        <v>-8325.25850963551</v>
      </c>
      <c r="AB65" s="175" t="n">
        <f aca="false">AB64+1</f>
        <v>59</v>
      </c>
    </row>
    <row r="66" customFormat="false" ht="12.75" hidden="false" customHeight="false" outlineLevel="0" collapsed="false">
      <c r="A66" s="37" t="s">
        <v>868</v>
      </c>
      <c r="B66" s="38"/>
      <c r="C66" s="38"/>
      <c r="D66" s="556" t="n">
        <f aca="false">-Taxes!D54</f>
        <v>-0</v>
      </c>
      <c r="E66" s="556" t="n">
        <f aca="false">-Taxes!E54</f>
        <v>-93.8242600893902</v>
      </c>
      <c r="F66" s="556" t="n">
        <f aca="false">-Taxes!F54</f>
        <v>-475.408329836425</v>
      </c>
      <c r="G66" s="556" t="n">
        <f aca="false">-Taxes!G54</f>
        <v>-0</v>
      </c>
      <c r="H66" s="556" t="n">
        <f aca="false">-Taxes!H54</f>
        <v>-0</v>
      </c>
      <c r="I66" s="556" t="n">
        <f aca="false">-Taxes!I54</f>
        <v>-28.1901865942473</v>
      </c>
      <c r="J66" s="556" t="n">
        <f aca="false">-Taxes!J54</f>
        <v>-0</v>
      </c>
      <c r="K66" s="556" t="n">
        <f aca="false">-Taxes!K54</f>
        <v>-652.803939761463</v>
      </c>
      <c r="L66" s="556" t="n">
        <f aca="false">-Taxes!L54</f>
        <v>-545.888488475719</v>
      </c>
      <c r="M66" s="556" t="n">
        <f aca="false">-Taxes!M54</f>
        <v>-1647.3848057184</v>
      </c>
      <c r="N66" s="556" t="n">
        <f aca="false">-Taxes!N54</f>
        <v>-1547.02980408237</v>
      </c>
      <c r="O66" s="556" t="n">
        <f aca="false">-Taxes!O54</f>
        <v>-325.292748915306</v>
      </c>
      <c r="P66" s="556" t="n">
        <f aca="false">-Taxes!P54</f>
        <v>-751.375553184158</v>
      </c>
      <c r="Q66" s="556" t="n">
        <f aca="false">-Taxes!Q54</f>
        <v>-4540.74272124117</v>
      </c>
      <c r="R66" s="556" t="n">
        <f aca="false">-Taxes!R54</f>
        <v>-3751.31428190574</v>
      </c>
      <c r="S66" s="556" t="n">
        <f aca="false">-Taxes!S54</f>
        <v>-0</v>
      </c>
      <c r="T66" s="556" t="n">
        <f aca="false">-Taxes!T54</f>
        <v>-2407.44357221352</v>
      </c>
      <c r="U66" s="556" t="n">
        <f aca="false">-Taxes!U54</f>
        <v>-0</v>
      </c>
      <c r="V66" s="556" t="n">
        <f aca="false">-Taxes!V54</f>
        <v>-0</v>
      </c>
      <c r="W66" s="556" t="n">
        <f aca="false">-Taxes!W54</f>
        <v>-0</v>
      </c>
      <c r="X66" s="556" t="n">
        <f aca="false">-Taxes!X54</f>
        <v>-0</v>
      </c>
      <c r="Y66" s="556" t="n">
        <f aca="false">-Taxes!Y54</f>
        <v>-0</v>
      </c>
      <c r="Z66" s="557" t="n">
        <f aca="false">SUM(D66:Y66)</f>
        <v>-16766.6986920179</v>
      </c>
      <c r="AA66" s="627" t="str">
        <f aca="false">IF(ABS(-Z66-Taxes!Z54)&lt;0.01," ","CHECK: TOTAL CASH TAXES DOES NOT MATCH TOTAL CASH TAXES CALC'D")</f>
        <v> </v>
      </c>
      <c r="AB66" s="175" t="n">
        <f aca="false">AB65+1</f>
        <v>60</v>
      </c>
    </row>
    <row r="67" customFormat="false" ht="12.75" hidden="false" customHeight="false" outlineLevel="0" collapsed="false">
      <c r="A67" s="37" t="s">
        <v>869</v>
      </c>
      <c r="B67" s="38"/>
      <c r="C67" s="38"/>
      <c r="D67" s="556" t="n">
        <f aca="false">-'Debt Amort'!D13</f>
        <v>-0</v>
      </c>
      <c r="E67" s="556" t="n">
        <f aca="false">-'Debt Amort'!E13</f>
        <v>-0</v>
      </c>
      <c r="F67" s="556" t="n">
        <f aca="false">-'Debt Amort'!F13</f>
        <v>-0</v>
      </c>
      <c r="G67" s="556" t="n">
        <f aca="false">-'Debt Amort'!G13</f>
        <v>-0</v>
      </c>
      <c r="H67" s="556" t="n">
        <f aca="false">-'Debt Amort'!H13</f>
        <v>-12154.8138268118</v>
      </c>
      <c r="I67" s="556" t="n">
        <f aca="false">-'Debt Amort'!I13</f>
        <v>-12684.9300485336</v>
      </c>
      <c r="J67" s="556" t="n">
        <f aca="false">-'Debt Amort'!J13</f>
        <v>-14522.3752400263</v>
      </c>
      <c r="K67" s="556" t="n">
        <f aca="false">-'Debt Amort'!K13</f>
        <v>-15403.1404218615</v>
      </c>
      <c r="L67" s="556" t="n">
        <f aca="false">-'Debt Amort'!L13</f>
        <v>-16039.3077637438</v>
      </c>
      <c r="M67" s="556" t="n">
        <f aca="false">-'Debt Amort'!M13</f>
        <v>-16528.8704101656</v>
      </c>
      <c r="N67" s="556" t="n">
        <f aca="false">-'Debt Amort'!N13</f>
        <v>-15799.4352428079</v>
      </c>
      <c r="O67" s="556" t="n">
        <f aca="false">-'Debt Amort'!O13</f>
        <v>-15092.5269904591</v>
      </c>
      <c r="P67" s="556" t="n">
        <f aca="false">-'Debt Amort'!P13</f>
        <v>-15377.2220828531</v>
      </c>
      <c r="Q67" s="556" t="n">
        <f aca="false">-'Debt Amort'!Q13</f>
        <v>-16172.3899220017</v>
      </c>
      <c r="R67" s="556" t="n">
        <f aca="false">-'Debt Amort'!R13</f>
        <v>-13057.8839909619</v>
      </c>
      <c r="S67" s="556" t="n">
        <f aca="false">-'Debt Amort'!S13</f>
        <v>-13057.8839909619</v>
      </c>
      <c r="T67" s="556" t="n">
        <f aca="false">-'Debt Amort'!T13</f>
        <v>-13166.937350695</v>
      </c>
      <c r="U67" s="556" t="n">
        <f aca="false">-'Debt Amort'!U13</f>
        <v>-12293.4026291753</v>
      </c>
      <c r="V67" s="556" t="n">
        <f aca="false">-'Debt Amort'!V13</f>
        <v>-0</v>
      </c>
      <c r="W67" s="556" t="n">
        <f aca="false">-'Debt Amort'!W13</f>
        <v>-0</v>
      </c>
      <c r="X67" s="556" t="n">
        <f aca="false">-'Debt Amort'!X13</f>
        <v>-0</v>
      </c>
      <c r="Y67" s="556" t="n">
        <f aca="false">-'Debt Amort'!Y13</f>
        <v>-0</v>
      </c>
      <c r="Z67" s="557" t="n">
        <f aca="false">SUM(D67:Y67)</f>
        <v>-201351.119911058</v>
      </c>
      <c r="AA67" s="627" t="str">
        <f aca="false">IF(ABS(-$Z$67-Tot_Debt)&lt;0.1," ","CHECK: DOES NOT EQUAL PRINCIPAL PAYMENTS MADE")</f>
        <v> </v>
      </c>
      <c r="AB67" s="175" t="n">
        <f aca="false">AB66+1</f>
        <v>61</v>
      </c>
    </row>
    <row r="68" customFormat="false" ht="12.75" hidden="false" customHeight="false" outlineLevel="0" collapsed="false">
      <c r="A68" s="37"/>
      <c r="B68" s="38"/>
      <c r="C68" s="38"/>
      <c r="D68" s="556"/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6"/>
      <c r="Q68" s="556"/>
      <c r="R68" s="556"/>
      <c r="S68" s="556"/>
      <c r="T68" s="556"/>
      <c r="U68" s="556"/>
      <c r="V68" s="556"/>
      <c r="W68" s="556"/>
      <c r="X68" s="556"/>
      <c r="Y68" s="556"/>
      <c r="Z68" s="557"/>
      <c r="AB68" s="175" t="n">
        <f aca="false">AB67+1</f>
        <v>62</v>
      </c>
    </row>
    <row r="69" customFormat="false" ht="12.75" hidden="false" customHeight="false" outlineLevel="0" collapsed="false">
      <c r="A69" s="623" t="s">
        <v>870</v>
      </c>
      <c r="B69" s="624"/>
      <c r="C69" s="624"/>
      <c r="D69" s="625" t="n">
        <f aca="false">SUM(D57:D68)</f>
        <v>0</v>
      </c>
      <c r="E69" s="625" t="n">
        <f aca="false">SUM(E57:E68)</f>
        <v>-1978.50807527969</v>
      </c>
      <c r="F69" s="625" t="n">
        <f aca="false">SUM(F57:F68)</f>
        <v>3358.33879983726</v>
      </c>
      <c r="G69" s="625" t="n">
        <f aca="false">SUM(G57:G68)</f>
        <v>15292.0993027562</v>
      </c>
      <c r="H69" s="625" t="n">
        <f aca="false">SUM(H57:H68)</f>
        <v>3992.732639391</v>
      </c>
      <c r="I69" s="625" t="n">
        <f aca="false">SUM(I57:I68)</f>
        <v>7128.98977109322</v>
      </c>
      <c r="J69" s="625" t="n">
        <f aca="false">SUM(J57:J68)</f>
        <v>-4690.72174356739</v>
      </c>
      <c r="K69" s="625" t="n">
        <f aca="false">SUM(K57:K68)</f>
        <v>9608.84538658773</v>
      </c>
      <c r="L69" s="625" t="n">
        <f aca="false">SUM(L57:L68)</f>
        <v>10131.3638333039</v>
      </c>
      <c r="M69" s="625" t="n">
        <f aca="false">SUM(M57:M68)</f>
        <v>8279.00029698326</v>
      </c>
      <c r="N69" s="625" t="n">
        <f aca="false">SUM(N57:N68)</f>
        <v>8170.47985422177</v>
      </c>
      <c r="O69" s="625" t="n">
        <f aca="false">SUM(O57:O68)</f>
        <v>10451.3605845035</v>
      </c>
      <c r="P69" s="625" t="n">
        <f aca="false">SUM(P57:P68)</f>
        <v>10961.3104322638</v>
      </c>
      <c r="Q69" s="625" t="n">
        <f aca="false">SUM(Q57:Q68)</f>
        <v>7181.62644343597</v>
      </c>
      <c r="R69" s="625" t="n">
        <f aca="false">SUM(R57:R68)</f>
        <v>8144.68166758747</v>
      </c>
      <c r="S69" s="625" t="n">
        <f aca="false">SUM(S57:S68)</f>
        <v>14311.9883472707</v>
      </c>
      <c r="T69" s="625" t="n">
        <f aca="false">SUM(T57:T68)</f>
        <v>5809.76834035051</v>
      </c>
      <c r="U69" s="625" t="n">
        <f aca="false">SUM(U57:U68)</f>
        <v>-1989.41297351263</v>
      </c>
      <c r="V69" s="625" t="n">
        <f aca="false">SUM(V57:V68)</f>
        <v>6085.65046383107</v>
      </c>
      <c r="W69" s="625" t="n">
        <f aca="false">SUM(W57:W68)</f>
        <v>4689.91363850864</v>
      </c>
      <c r="X69" s="625" t="n">
        <f aca="false">SUM(X57:X68)</f>
        <v>6224.60529260744</v>
      </c>
      <c r="Y69" s="625" t="n">
        <f aca="false">SUM(Y57:Y68)</f>
        <v>7602.44622089096</v>
      </c>
      <c r="Z69" s="626" t="n">
        <f aca="false">SUM(D69:Y69)</f>
        <v>138766.558523065</v>
      </c>
      <c r="AA69" s="330"/>
      <c r="AB69" s="175" t="n">
        <f aca="false">AB68+1</f>
        <v>63</v>
      </c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330"/>
      <c r="AZ69" s="330"/>
      <c r="BA69" s="330"/>
      <c r="BB69" s="330"/>
      <c r="BC69" s="330"/>
      <c r="BD69" s="330"/>
      <c r="BE69" s="330"/>
      <c r="BF69" s="330"/>
      <c r="BG69" s="330"/>
      <c r="BH69" s="330"/>
      <c r="BI69" s="330"/>
      <c r="BJ69" s="330"/>
      <c r="BK69" s="330"/>
      <c r="BL69" s="330"/>
      <c r="BM69" s="330"/>
      <c r="BN69" s="330"/>
      <c r="BO69" s="330"/>
      <c r="BP69" s="330"/>
      <c r="BQ69" s="330"/>
      <c r="BR69" s="330"/>
      <c r="BS69" s="330"/>
      <c r="BT69" s="330"/>
      <c r="BU69" s="330"/>
      <c r="BV69" s="330"/>
      <c r="BW69" s="330"/>
      <c r="BX69" s="330"/>
      <c r="BY69" s="330"/>
      <c r="BZ69" s="330"/>
      <c r="CA69" s="330"/>
      <c r="CB69" s="330"/>
      <c r="CC69" s="330"/>
      <c r="CD69" s="330"/>
      <c r="CE69" s="330"/>
      <c r="CF69" s="330"/>
      <c r="CG69" s="330"/>
      <c r="CH69" s="330"/>
      <c r="CI69" s="330"/>
      <c r="CJ69" s="330"/>
      <c r="CK69" s="330"/>
      <c r="CL69" s="330"/>
      <c r="CM69" s="330"/>
      <c r="CN69" s="330"/>
      <c r="CO69" s="330"/>
      <c r="CP69" s="330"/>
      <c r="CQ69" s="330"/>
      <c r="CR69" s="330"/>
      <c r="CS69" s="330"/>
      <c r="CT69" s="330"/>
      <c r="CU69" s="330"/>
      <c r="CV69" s="330"/>
      <c r="CW69" s="330"/>
      <c r="CX69" s="330"/>
      <c r="CY69" s="330"/>
      <c r="CZ69" s="330"/>
      <c r="DA69" s="330"/>
      <c r="DB69" s="330"/>
      <c r="DC69" s="330"/>
      <c r="DD69" s="330"/>
      <c r="DE69" s="330"/>
      <c r="DF69" s="330"/>
      <c r="DG69" s="330"/>
      <c r="DH69" s="330"/>
      <c r="DI69" s="330"/>
      <c r="DJ69" s="330"/>
      <c r="DK69" s="330"/>
      <c r="DL69" s="330"/>
      <c r="DM69" s="330"/>
      <c r="DN69" s="330"/>
      <c r="DO69" s="330"/>
      <c r="DP69" s="330"/>
      <c r="DQ69" s="330"/>
      <c r="DR69" s="330"/>
      <c r="DS69" s="330"/>
      <c r="DT69" s="330"/>
      <c r="DU69" s="330"/>
      <c r="DV69" s="330"/>
      <c r="DW69" s="330"/>
      <c r="DX69" s="330"/>
      <c r="DY69" s="330"/>
      <c r="DZ69" s="330"/>
      <c r="EA69" s="330"/>
      <c r="EB69" s="330"/>
      <c r="EC69" s="330"/>
      <c r="ED69" s="330"/>
      <c r="EE69" s="330"/>
      <c r="EF69" s="330"/>
      <c r="EG69" s="330"/>
      <c r="EH69" s="330"/>
      <c r="EI69" s="330"/>
      <c r="EJ69" s="330"/>
      <c r="EK69" s="330"/>
      <c r="EL69" s="330"/>
      <c r="EM69" s="330"/>
      <c r="EN69" s="330"/>
      <c r="EO69" s="330"/>
      <c r="EP69" s="330"/>
      <c r="EQ69" s="330"/>
      <c r="ER69" s="330"/>
      <c r="ES69" s="330"/>
      <c r="ET69" s="330"/>
      <c r="EU69" s="330"/>
      <c r="EV69" s="330"/>
      <c r="EW69" s="330"/>
      <c r="EX69" s="330"/>
      <c r="EY69" s="330"/>
      <c r="EZ69" s="330"/>
      <c r="FA69" s="330"/>
      <c r="FB69" s="330"/>
      <c r="FC69" s="330"/>
      <c r="FD69" s="330"/>
      <c r="FE69" s="330"/>
      <c r="FF69" s="330"/>
      <c r="FG69" s="330"/>
      <c r="FH69" s="330"/>
      <c r="FI69" s="330"/>
      <c r="FJ69" s="330"/>
      <c r="FK69" s="330"/>
      <c r="FL69" s="330"/>
      <c r="FM69" s="330"/>
      <c r="FN69" s="330"/>
      <c r="FO69" s="330"/>
      <c r="FP69" s="330"/>
      <c r="FQ69" s="330"/>
      <c r="FR69" s="330"/>
      <c r="FS69" s="330"/>
      <c r="FT69" s="330"/>
      <c r="FU69" s="330"/>
      <c r="FV69" s="330"/>
      <c r="FW69" s="330"/>
      <c r="FX69" s="330"/>
      <c r="FY69" s="330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0"/>
      <c r="IB69" s="330"/>
      <c r="IC69" s="330"/>
      <c r="ID69" s="330"/>
      <c r="IE69" s="330"/>
      <c r="IF69" s="330"/>
      <c r="IG69" s="330"/>
      <c r="IH69" s="330"/>
      <c r="II69" s="330"/>
      <c r="IJ69" s="330"/>
      <c r="IK69" s="330"/>
      <c r="IL69" s="330"/>
      <c r="IM69" s="330"/>
      <c r="IN69" s="330"/>
      <c r="IO69" s="330"/>
      <c r="IP69" s="330"/>
      <c r="IQ69" s="330"/>
      <c r="IR69" s="330"/>
      <c r="IS69" s="330"/>
      <c r="IT69" s="330"/>
      <c r="IU69" s="330"/>
      <c r="IV69" s="330"/>
      <c r="IW69" s="330"/>
    </row>
    <row r="70" customFormat="false" ht="12.75" hidden="false" customHeight="false" outlineLevel="0" collapsed="false">
      <c r="A70" s="37"/>
      <c r="B70" s="38"/>
      <c r="C70" s="38"/>
      <c r="D70" s="556"/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6"/>
      <c r="Q70" s="556"/>
      <c r="R70" s="556"/>
      <c r="S70" s="556"/>
      <c r="T70" s="556"/>
      <c r="U70" s="556"/>
      <c r="V70" s="556"/>
      <c r="W70" s="556"/>
      <c r="X70" s="556"/>
      <c r="Y70" s="556"/>
      <c r="Z70" s="557"/>
      <c r="AB70" s="175" t="n">
        <f aca="false">AB69+1</f>
        <v>64</v>
      </c>
    </row>
    <row r="71" customFormat="false" ht="12.75" hidden="false" customHeight="false" outlineLevel="0" collapsed="false">
      <c r="A71" s="37" t="s">
        <v>871</v>
      </c>
      <c r="B71" s="38"/>
      <c r="C71" s="38"/>
      <c r="D71" s="556" t="n">
        <f aca="false">-'Debt Amort'!D20</f>
        <v>-0</v>
      </c>
      <c r="E71" s="556" t="n">
        <f aca="false">-'Debt Amort'!E20</f>
        <v>-0</v>
      </c>
      <c r="F71" s="556" t="n">
        <f aca="false">-'Debt Amort'!F20</f>
        <v>-0</v>
      </c>
      <c r="G71" s="556" t="n">
        <f aca="false">-'Debt Amort'!G20</f>
        <v>-0</v>
      </c>
      <c r="H71" s="556" t="n">
        <f aca="false">-'Debt Amort'!H20</f>
        <v>-2228.4103888757</v>
      </c>
      <c r="I71" s="556" t="n">
        <f aca="false">-'Debt Amort'!I20</f>
        <v>-2527.51877332254</v>
      </c>
      <c r="J71" s="556" t="n">
        <f aca="false">-'Debt Amort'!J20</f>
        <v>-2866.77498067176</v>
      </c>
      <c r="K71" s="556" t="n">
        <f aca="false">-'Debt Amort'!K20</f>
        <v>-3251.56785245242</v>
      </c>
      <c r="L71" s="556" t="n">
        <f aca="false">-'Debt Amort'!L20</f>
        <v>-3688.00954744785</v>
      </c>
      <c r="M71" s="556" t="n">
        <f aca="false">-'Debt Amort'!M20</f>
        <v>-4183.03262895404</v>
      </c>
      <c r="N71" s="556" t="n">
        <f aca="false">-'Debt Amort'!N20</f>
        <v>-4744.5001835754</v>
      </c>
      <c r="O71" s="556" t="n">
        <f aca="false">-'Debt Amort'!O20</f>
        <v>-5381.3307207158</v>
      </c>
      <c r="P71" s="556" t="n">
        <f aca="false">-'Debt Amort'!P20</f>
        <v>-6103.63983670388</v>
      </c>
      <c r="Q71" s="556" t="n">
        <f aca="false">-'Debt Amort'!Q20</f>
        <v>-6922.90089378546</v>
      </c>
      <c r="R71" s="556" t="n">
        <f aca="false">-'Debt Amort'!R20</f>
        <v>-7852.12726625381</v>
      </c>
      <c r="S71" s="556" t="n">
        <f aca="false">-'Debt Amort'!S20</f>
        <v>-0</v>
      </c>
      <c r="T71" s="556" t="n">
        <f aca="false">-'Debt Amort'!T20</f>
        <v>-0</v>
      </c>
      <c r="U71" s="556" t="n">
        <f aca="false">-'Debt Amort'!U20</f>
        <v>-0</v>
      </c>
      <c r="V71" s="556" t="n">
        <f aca="false">-'Debt Amort'!V20</f>
        <v>-0</v>
      </c>
      <c r="W71" s="556" t="n">
        <f aca="false">-'Debt Amort'!W20</f>
        <v>-0</v>
      </c>
      <c r="X71" s="556" t="n">
        <f aca="false">-'Debt Amort'!X20</f>
        <v>-0</v>
      </c>
      <c r="Y71" s="556" t="n">
        <f aca="false">-'Debt Amort'!Y20</f>
        <v>-0</v>
      </c>
      <c r="Z71" s="557" t="n">
        <f aca="false">SUM(D71:Y71)</f>
        <v>-49749.8130727587</v>
      </c>
      <c r="AA71" s="627" t="str">
        <f aca="false">IF(ABS(-$Z$67-Tot_Debt)&lt;0.1," ","CHECK: DOES NOT EQUAL PRINCIPAL PAYMENTS MADE")</f>
        <v> </v>
      </c>
      <c r="AB71" s="175" t="n">
        <f aca="false">AB70+1</f>
        <v>65</v>
      </c>
    </row>
    <row r="72" customFormat="false" ht="12.75" hidden="false" customHeight="false" outlineLevel="0" collapsed="false">
      <c r="A72" s="37"/>
      <c r="B72" s="38"/>
      <c r="C72" s="38"/>
      <c r="D72" s="556"/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6"/>
      <c r="Q72" s="556"/>
      <c r="R72" s="556"/>
      <c r="S72" s="556"/>
      <c r="T72" s="556"/>
      <c r="U72" s="556"/>
      <c r="V72" s="556"/>
      <c r="W72" s="556"/>
      <c r="X72" s="556"/>
      <c r="Y72" s="556"/>
      <c r="Z72" s="557"/>
      <c r="AB72" s="175" t="n">
        <f aca="false">AB71+1</f>
        <v>66</v>
      </c>
    </row>
    <row r="73" customFormat="false" ht="12.75" hidden="false" customHeight="false" outlineLevel="0" collapsed="false">
      <c r="A73" s="623" t="s">
        <v>872</v>
      </c>
      <c r="B73" s="624"/>
      <c r="C73" s="624"/>
      <c r="D73" s="625" t="n">
        <f aca="false">SUM(D69:D72)</f>
        <v>0</v>
      </c>
      <c r="E73" s="625" t="n">
        <f aca="false">SUM(E69:E72)</f>
        <v>-1978.50807527969</v>
      </c>
      <c r="F73" s="625" t="n">
        <f aca="false">SUM(F69:F72)</f>
        <v>3358.33879983726</v>
      </c>
      <c r="G73" s="625" t="n">
        <f aca="false">SUM(G69:G72)</f>
        <v>15292.0993027562</v>
      </c>
      <c r="H73" s="625" t="n">
        <f aca="false">SUM(H69:H72)</f>
        <v>1764.3222505153</v>
      </c>
      <c r="I73" s="625" t="n">
        <f aca="false">SUM(I69:I72)</f>
        <v>4601.47099777068</v>
      </c>
      <c r="J73" s="625" t="n">
        <f aca="false">SUM(J69:J72)</f>
        <v>-7557.49672423914</v>
      </c>
      <c r="K73" s="625" t="n">
        <f aca="false">SUM(K69:K72)</f>
        <v>6357.27753413531</v>
      </c>
      <c r="L73" s="625" t="n">
        <f aca="false">SUM(L69:L72)</f>
        <v>6443.3542858561</v>
      </c>
      <c r="M73" s="625" t="n">
        <f aca="false">SUM(M69:M72)</f>
        <v>4095.96766802922</v>
      </c>
      <c r="N73" s="625" t="n">
        <f aca="false">SUM(N69:N72)</f>
        <v>3425.97967064638</v>
      </c>
      <c r="O73" s="625" t="n">
        <f aca="false">SUM(O69:O72)</f>
        <v>5070.02986378769</v>
      </c>
      <c r="P73" s="625" t="n">
        <f aca="false">SUM(P69:P72)</f>
        <v>4857.67059555993</v>
      </c>
      <c r="Q73" s="625" t="n">
        <f aca="false">SUM(Q69:Q72)</f>
        <v>258.72554965051</v>
      </c>
      <c r="R73" s="625" t="n">
        <f aca="false">SUM(R69:R72)</f>
        <v>292.554401333659</v>
      </c>
      <c r="S73" s="625" t="n">
        <f aca="false">SUM(S69:S72)</f>
        <v>14311.9883472707</v>
      </c>
      <c r="T73" s="625" t="n">
        <f aca="false">SUM(T69:T72)</f>
        <v>5809.76834035051</v>
      </c>
      <c r="U73" s="625" t="n">
        <f aca="false">SUM(U69:U72)</f>
        <v>-1989.41297351263</v>
      </c>
      <c r="V73" s="625" t="n">
        <f aca="false">SUM(V69:V72)</f>
        <v>6085.65046383107</v>
      </c>
      <c r="W73" s="625" t="n">
        <f aca="false">SUM(W69:W72)</f>
        <v>4689.91363850864</v>
      </c>
      <c r="X73" s="625" t="n">
        <f aca="false">SUM(X69:X72)</f>
        <v>6224.60529260744</v>
      </c>
      <c r="Y73" s="625" t="n">
        <f aca="false">SUM(Y69:Y72)</f>
        <v>7602.44622089096</v>
      </c>
      <c r="Z73" s="626" t="n">
        <f aca="false">SUM(D73:Y73)</f>
        <v>89016.7454503061</v>
      </c>
      <c r="AA73" s="330"/>
      <c r="AB73" s="175" t="n">
        <f aca="false">AB72+1</f>
        <v>67</v>
      </c>
      <c r="AC73" s="330"/>
      <c r="AD73" s="330"/>
      <c r="AE73" s="330"/>
      <c r="AF73" s="330"/>
      <c r="AG73" s="330"/>
      <c r="AH73" s="330"/>
      <c r="AI73" s="330"/>
      <c r="AJ73" s="330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330"/>
      <c r="AZ73" s="330"/>
      <c r="BA73" s="330"/>
      <c r="BB73" s="330"/>
      <c r="BC73" s="330"/>
      <c r="BD73" s="330"/>
      <c r="BE73" s="330"/>
      <c r="BF73" s="330"/>
      <c r="BG73" s="330"/>
      <c r="BH73" s="330"/>
      <c r="BI73" s="330"/>
      <c r="BJ73" s="330"/>
      <c r="BK73" s="330"/>
      <c r="BL73" s="330"/>
      <c r="BM73" s="330"/>
      <c r="BN73" s="330"/>
      <c r="BO73" s="330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  <c r="CA73" s="330"/>
      <c r="CB73" s="330"/>
      <c r="CC73" s="330"/>
      <c r="CD73" s="330"/>
      <c r="CE73" s="330"/>
      <c r="CF73" s="330"/>
      <c r="CG73" s="330"/>
      <c r="CH73" s="330"/>
      <c r="CI73" s="330"/>
      <c r="CJ73" s="330"/>
      <c r="CK73" s="330"/>
      <c r="CL73" s="330"/>
      <c r="CM73" s="330"/>
      <c r="CN73" s="330"/>
      <c r="CO73" s="330"/>
      <c r="CP73" s="330"/>
      <c r="CQ73" s="330"/>
      <c r="CR73" s="330"/>
      <c r="CS73" s="330"/>
      <c r="CT73" s="330"/>
      <c r="CU73" s="330"/>
      <c r="CV73" s="330"/>
      <c r="CW73" s="330"/>
      <c r="CX73" s="330"/>
      <c r="CY73" s="330"/>
      <c r="CZ73" s="330"/>
      <c r="DA73" s="330"/>
      <c r="DB73" s="330"/>
      <c r="DC73" s="330"/>
      <c r="DD73" s="330"/>
      <c r="DE73" s="330"/>
      <c r="DF73" s="330"/>
      <c r="DG73" s="330"/>
      <c r="DH73" s="330"/>
      <c r="DI73" s="330"/>
      <c r="DJ73" s="330"/>
      <c r="DK73" s="330"/>
      <c r="DL73" s="330"/>
      <c r="DM73" s="330"/>
      <c r="DN73" s="330"/>
      <c r="DO73" s="330"/>
      <c r="DP73" s="330"/>
      <c r="DQ73" s="330"/>
      <c r="DR73" s="330"/>
      <c r="DS73" s="330"/>
      <c r="DT73" s="330"/>
      <c r="DU73" s="330"/>
      <c r="DV73" s="330"/>
      <c r="DW73" s="330"/>
      <c r="DX73" s="330"/>
      <c r="DY73" s="330"/>
      <c r="DZ73" s="330"/>
      <c r="EA73" s="330"/>
      <c r="EB73" s="330"/>
      <c r="EC73" s="330"/>
      <c r="ED73" s="330"/>
      <c r="EE73" s="330"/>
      <c r="EF73" s="330"/>
      <c r="EG73" s="330"/>
      <c r="EH73" s="330"/>
      <c r="EI73" s="330"/>
      <c r="EJ73" s="330"/>
      <c r="EK73" s="330"/>
      <c r="EL73" s="330"/>
      <c r="EM73" s="330"/>
      <c r="EN73" s="330"/>
      <c r="EO73" s="330"/>
      <c r="EP73" s="330"/>
      <c r="EQ73" s="330"/>
      <c r="ER73" s="330"/>
      <c r="ES73" s="330"/>
      <c r="ET73" s="330"/>
      <c r="EU73" s="330"/>
      <c r="EV73" s="330"/>
      <c r="EW73" s="330"/>
      <c r="EX73" s="330"/>
      <c r="EY73" s="330"/>
      <c r="EZ73" s="330"/>
      <c r="FA73" s="330"/>
      <c r="FB73" s="330"/>
      <c r="FC73" s="330"/>
      <c r="FD73" s="330"/>
      <c r="FE73" s="330"/>
      <c r="FF73" s="330"/>
      <c r="FG73" s="330"/>
      <c r="FH73" s="330"/>
      <c r="FI73" s="330"/>
      <c r="FJ73" s="330"/>
      <c r="FK73" s="330"/>
      <c r="FL73" s="330"/>
      <c r="FM73" s="330"/>
      <c r="FN73" s="330"/>
      <c r="FO73" s="330"/>
      <c r="FP73" s="330"/>
      <c r="FQ73" s="330"/>
      <c r="FR73" s="330"/>
      <c r="FS73" s="330"/>
      <c r="FT73" s="330"/>
      <c r="FU73" s="330"/>
      <c r="FV73" s="330"/>
      <c r="FW73" s="330"/>
      <c r="FX73" s="330"/>
      <c r="FY73" s="330"/>
      <c r="FZ73" s="330"/>
      <c r="GA73" s="330"/>
      <c r="GB73" s="330"/>
      <c r="GC73" s="330"/>
      <c r="GD73" s="330"/>
      <c r="GE73" s="330"/>
      <c r="GF73" s="330"/>
      <c r="GG73" s="330"/>
      <c r="GH73" s="330"/>
      <c r="GI73" s="330"/>
      <c r="GJ73" s="330"/>
      <c r="GK73" s="330"/>
      <c r="GL73" s="330"/>
      <c r="GM73" s="330"/>
      <c r="GN73" s="330"/>
      <c r="GO73" s="330"/>
      <c r="GP73" s="330"/>
      <c r="GQ73" s="330"/>
      <c r="GR73" s="330"/>
      <c r="GS73" s="330"/>
      <c r="GT73" s="330"/>
      <c r="GU73" s="330"/>
      <c r="GV73" s="330"/>
      <c r="GW73" s="330"/>
      <c r="GX73" s="330"/>
      <c r="GY73" s="330"/>
      <c r="GZ73" s="330"/>
      <c r="HA73" s="330"/>
      <c r="HB73" s="330"/>
      <c r="HC73" s="330"/>
      <c r="HD73" s="330"/>
      <c r="HE73" s="330"/>
      <c r="HF73" s="330"/>
      <c r="HG73" s="330"/>
      <c r="HH73" s="330"/>
      <c r="HI73" s="330"/>
      <c r="HJ73" s="330"/>
      <c r="HK73" s="330"/>
      <c r="HL73" s="330"/>
      <c r="HM73" s="330"/>
      <c r="HN73" s="330"/>
      <c r="HO73" s="330"/>
      <c r="HP73" s="330"/>
      <c r="HQ73" s="330"/>
      <c r="HR73" s="330"/>
      <c r="HS73" s="330"/>
      <c r="HT73" s="330"/>
      <c r="HU73" s="330"/>
      <c r="HV73" s="330"/>
      <c r="HW73" s="330"/>
      <c r="HX73" s="330"/>
      <c r="HY73" s="330"/>
      <c r="HZ73" s="330"/>
      <c r="IA73" s="330"/>
      <c r="IB73" s="330"/>
      <c r="IC73" s="330"/>
      <c r="ID73" s="330"/>
      <c r="IE73" s="330"/>
      <c r="IF73" s="330"/>
      <c r="IG73" s="330"/>
      <c r="IH73" s="330"/>
      <c r="II73" s="330"/>
      <c r="IJ73" s="330"/>
      <c r="IK73" s="330"/>
      <c r="IL73" s="330"/>
      <c r="IM73" s="330"/>
      <c r="IN73" s="330"/>
      <c r="IO73" s="330"/>
      <c r="IP73" s="330"/>
      <c r="IQ73" s="330"/>
      <c r="IR73" s="330"/>
      <c r="IS73" s="330"/>
      <c r="IT73" s="330"/>
      <c r="IU73" s="330"/>
      <c r="IV73" s="330"/>
      <c r="IW73" s="330"/>
    </row>
    <row r="74" customFormat="false" ht="12.75" hidden="false" customHeight="false" outlineLevel="0" collapsed="false">
      <c r="A74" s="37"/>
      <c r="B74" s="38"/>
      <c r="C74" s="38"/>
      <c r="D74" s="556"/>
      <c r="E74" s="556"/>
      <c r="F74" s="556"/>
      <c r="G74" s="556"/>
      <c r="H74" s="556"/>
      <c r="I74" s="556"/>
      <c r="J74" s="556"/>
      <c r="K74" s="556"/>
      <c r="L74" s="556"/>
      <c r="M74" s="556"/>
      <c r="N74" s="556"/>
      <c r="O74" s="556"/>
      <c r="P74" s="556"/>
      <c r="Q74" s="556"/>
      <c r="R74" s="556"/>
      <c r="S74" s="556"/>
      <c r="T74" s="556"/>
      <c r="U74" s="556"/>
      <c r="V74" s="556"/>
      <c r="W74" s="556"/>
      <c r="X74" s="556"/>
      <c r="Y74" s="556"/>
      <c r="Z74" s="557"/>
      <c r="AB74" s="175" t="n">
        <f aca="false">AB73+1</f>
        <v>68</v>
      </c>
    </row>
    <row r="75" customFormat="false" ht="12.75" hidden="false" customHeight="false" outlineLevel="0" collapsed="false">
      <c r="A75" s="65" t="s">
        <v>873</v>
      </c>
      <c r="B75" s="66"/>
      <c r="C75" s="66"/>
      <c r="D75" s="628" t="n">
        <f aca="false">-Trapped!F29</f>
        <v>-0</v>
      </c>
      <c r="E75" s="628" t="n">
        <f aca="false">-Trapped!G29</f>
        <v>-0</v>
      </c>
      <c r="F75" s="628" t="n">
        <f aca="false">-Trapped!H29</f>
        <v>-3358.33879983726</v>
      </c>
      <c r="G75" s="628" t="n">
        <f aca="false">-Trapped!I29</f>
        <v>-15292.0993027562</v>
      </c>
      <c r="H75" s="628" t="n">
        <f aca="false">-Trapped!J29</f>
        <v>-1764.3222505153</v>
      </c>
      <c r="I75" s="628" t="n">
        <f aca="false">-Trapped!K29</f>
        <v>-4601.47099777068</v>
      </c>
      <c r="J75" s="628" t="n">
        <f aca="false">-Trapped!L29</f>
        <v>-0</v>
      </c>
      <c r="K75" s="628" t="n">
        <f aca="false">-Trapped!M29</f>
        <v>-6357.2775341353</v>
      </c>
      <c r="L75" s="628" t="n">
        <f aca="false">-Trapped!N29</f>
        <v>-6443.35428585609</v>
      </c>
      <c r="M75" s="628" t="n">
        <f aca="false">-Trapped!O29</f>
        <v>-1798.90879566763</v>
      </c>
      <c r="N75" s="628" t="n">
        <f aca="false">-Trapped!P29</f>
        <v>-0</v>
      </c>
      <c r="O75" s="628" t="n">
        <f aca="false">-Trapped!Q29</f>
        <v>-0</v>
      </c>
      <c r="P75" s="628" t="n">
        <f aca="false">-Trapped!R29</f>
        <v>-0</v>
      </c>
      <c r="Q75" s="628" t="n">
        <f aca="false">-Trapped!S29</f>
        <v>-0</v>
      </c>
      <c r="R75" s="628" t="n">
        <f aca="false">-Trapped!T29</f>
        <v>-0</v>
      </c>
      <c r="S75" s="628" t="n">
        <f aca="false">-Trapped!U29</f>
        <v>-7218.72588250839</v>
      </c>
      <c r="T75" s="628" t="n">
        <f aca="false">-Trapped!V29</f>
        <v>-3399.26341716396</v>
      </c>
      <c r="U75" s="628" t="n">
        <f aca="false">-Trapped!W29</f>
        <v>-0</v>
      </c>
      <c r="V75" s="628" t="n">
        <f aca="false">-Trapped!X29</f>
        <v>-6085.65046383107</v>
      </c>
      <c r="W75" s="628" t="n">
        <f aca="false">-Trapped!Y29</f>
        <v>-4689.91363850864</v>
      </c>
      <c r="X75" s="628" t="n">
        <f aca="false">-Trapped!Z29</f>
        <v>-6224.60529260744</v>
      </c>
      <c r="Y75" s="628" t="n">
        <f aca="false">-Trapped!AA29</f>
        <v>-0</v>
      </c>
      <c r="Z75" s="629" t="n">
        <f aca="false">SUM(D75:Y75)</f>
        <v>-67233.930661158</v>
      </c>
      <c r="AB75" s="175" t="n">
        <f aca="false">AB74+1</f>
        <v>69</v>
      </c>
    </row>
    <row r="76" customFormat="false" ht="12.75" hidden="false" customHeight="false" outlineLevel="0" collapsed="false">
      <c r="A76" s="65" t="s">
        <v>874</v>
      </c>
      <c r="B76" s="66"/>
      <c r="C76" s="66"/>
      <c r="D76" s="628" t="n">
        <f aca="false">-Trapped!F30</f>
        <v>-0</v>
      </c>
      <c r="E76" s="628" t="n">
        <f aca="false">-Trapped!G30</f>
        <v>1978.50807527969</v>
      </c>
      <c r="F76" s="628" t="n">
        <f aca="false">-Trapped!H30</f>
        <v>-0</v>
      </c>
      <c r="G76" s="628" t="n">
        <f aca="false">-Trapped!I30</f>
        <v>-0</v>
      </c>
      <c r="H76" s="628" t="n">
        <f aca="false">-Trapped!J30</f>
        <v>-0</v>
      </c>
      <c r="I76" s="628" t="n">
        <f aca="false">-Trapped!K30</f>
        <v>-0</v>
      </c>
      <c r="J76" s="628" t="n">
        <f aca="false">-Trapped!L30</f>
        <v>7557.49672423914</v>
      </c>
      <c r="K76" s="628" t="n">
        <f aca="false">-Trapped!M30</f>
        <v>-0</v>
      </c>
      <c r="L76" s="628" t="n">
        <f aca="false">-Trapped!N30</f>
        <v>-0</v>
      </c>
      <c r="M76" s="628" t="n">
        <f aca="false">-Trapped!O30</f>
        <v>-0</v>
      </c>
      <c r="N76" s="628" t="n">
        <f aca="false">-Trapped!P30</f>
        <v>2518.81668588427</v>
      </c>
      <c r="O76" s="628" t="n">
        <f aca="false">-Trapped!Q30</f>
        <v>1145.38220441602</v>
      </c>
      <c r="P76" s="628" t="n">
        <f aca="false">-Trapped!R30</f>
        <v>2296.24387477943</v>
      </c>
      <c r="Q76" s="628" t="n">
        <f aca="false">-Trapped!S30</f>
        <v>7513.89740534845</v>
      </c>
      <c r="R76" s="628" t="n">
        <f aca="false">-Trapped!T30</f>
        <v>5218.33366649822</v>
      </c>
      <c r="S76" s="628" t="n">
        <f aca="false">-Trapped!U30</f>
        <v>-0</v>
      </c>
      <c r="T76" s="628" t="n">
        <f aca="false">-Trapped!V30</f>
        <v>-0</v>
      </c>
      <c r="U76" s="628" t="n">
        <f aca="false">-Trapped!W30</f>
        <v>1989.41297351263</v>
      </c>
      <c r="V76" s="628" t="n">
        <f aca="false">-Trapped!X30</f>
        <v>-0</v>
      </c>
      <c r="W76" s="628" t="n">
        <f aca="false">-Trapped!Y30</f>
        <v>-0</v>
      </c>
      <c r="X76" s="628" t="n">
        <f aca="false">-Trapped!Z30</f>
        <v>-0</v>
      </c>
      <c r="Y76" s="628" t="n">
        <f aca="false">-Trapped!AA30</f>
        <v>37015.8390512002</v>
      </c>
      <c r="Z76" s="629" t="n">
        <f aca="false">SUM(D76:Y76)</f>
        <v>67233.930661158</v>
      </c>
      <c r="AB76" s="175" t="n">
        <f aca="false">AB75+1</f>
        <v>70</v>
      </c>
    </row>
    <row r="77" customFormat="false" ht="12.75" hidden="false" customHeight="false" outlineLevel="0" collapsed="false">
      <c r="A77" s="37"/>
      <c r="B77" s="38"/>
      <c r="C77" s="38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56"/>
      <c r="Q77" s="556"/>
      <c r="R77" s="556"/>
      <c r="S77" s="556"/>
      <c r="T77" s="556"/>
      <c r="U77" s="556"/>
      <c r="V77" s="556"/>
      <c r="W77" s="556"/>
      <c r="X77" s="556"/>
      <c r="Y77" s="556"/>
      <c r="Z77" s="557"/>
      <c r="AB77" s="175" t="n">
        <f aca="false">AB76+1</f>
        <v>71</v>
      </c>
    </row>
    <row r="78" customFormat="false" ht="12.75" hidden="false" customHeight="false" outlineLevel="0" collapsed="false">
      <c r="A78" s="623" t="s">
        <v>875</v>
      </c>
      <c r="B78" s="624"/>
      <c r="C78" s="624"/>
      <c r="D78" s="625" t="n">
        <f aca="false">SUM(D73:D77)</f>
        <v>0</v>
      </c>
      <c r="E78" s="625" t="n">
        <f aca="false">SUM(E73:E77)</f>
        <v>0</v>
      </c>
      <c r="F78" s="625" t="n">
        <f aca="false">SUM(F73:F77)</f>
        <v>0</v>
      </c>
      <c r="G78" s="625" t="n">
        <f aca="false">SUM(G73:G77)</f>
        <v>0</v>
      </c>
      <c r="H78" s="625" t="n">
        <f aca="false">SUM(H73:H77)</f>
        <v>0</v>
      </c>
      <c r="I78" s="625" t="n">
        <f aca="false">SUM(I73:I77)</f>
        <v>0</v>
      </c>
      <c r="J78" s="625" t="n">
        <f aca="false">SUM(J73:J77)</f>
        <v>0</v>
      </c>
      <c r="K78" s="625" t="n">
        <f aca="false">SUM(K73:K77)</f>
        <v>0</v>
      </c>
      <c r="L78" s="625" t="n">
        <f aca="false">SUM(L73:L77)</f>
        <v>0</v>
      </c>
      <c r="M78" s="625" t="n">
        <f aca="false">SUM(M73:M77)</f>
        <v>2297.05887236159</v>
      </c>
      <c r="N78" s="625" t="n">
        <f aca="false">SUM(N73:N77)</f>
        <v>5944.79635653065</v>
      </c>
      <c r="O78" s="625" t="n">
        <f aca="false">SUM(O73:O77)</f>
        <v>6215.41206820371</v>
      </c>
      <c r="P78" s="625" t="n">
        <f aca="false">SUM(P73:P77)</f>
        <v>7153.91447033936</v>
      </c>
      <c r="Q78" s="625" t="n">
        <f aca="false">SUM(Q73:Q77)</f>
        <v>7772.62295499896</v>
      </c>
      <c r="R78" s="625" t="n">
        <f aca="false">SUM(R73:R77)</f>
        <v>5510.88806783188</v>
      </c>
      <c r="S78" s="625" t="n">
        <f aca="false">SUM(S73:S77)</f>
        <v>7093.26246476228</v>
      </c>
      <c r="T78" s="625" t="n">
        <f aca="false">SUM(T73:T77)</f>
        <v>2410.50492318655</v>
      </c>
      <c r="U78" s="625" t="n">
        <f aca="false">SUM(U73:U77)</f>
        <v>0</v>
      </c>
      <c r="V78" s="625" t="n">
        <f aca="false">SUM(V73:V77)</f>
        <v>0</v>
      </c>
      <c r="W78" s="625" t="n">
        <f aca="false">SUM(W73:W77)</f>
        <v>0</v>
      </c>
      <c r="X78" s="625" t="n">
        <f aca="false">SUM(X73:X77)</f>
        <v>0</v>
      </c>
      <c r="Y78" s="625" t="n">
        <f aca="false">SUM(Y73:Y77)</f>
        <v>44618.2852720911</v>
      </c>
      <c r="Z78" s="626" t="n">
        <f aca="false">SUM(D78:Y78)</f>
        <v>89016.7454503061</v>
      </c>
      <c r="AA78" s="330"/>
      <c r="AB78" s="175" t="n">
        <f aca="false">AB77+1</f>
        <v>72</v>
      </c>
      <c r="AC78" s="330"/>
      <c r="AD78" s="330"/>
      <c r="AE78" s="330"/>
      <c r="AF78" s="330"/>
      <c r="AG78" s="330"/>
      <c r="AH78" s="330"/>
      <c r="AI78" s="330"/>
      <c r="AJ78" s="330"/>
      <c r="AK78" s="330"/>
      <c r="AL78" s="330"/>
      <c r="AM78" s="330"/>
      <c r="AN78" s="330"/>
      <c r="AO78" s="330"/>
      <c r="AP78" s="330"/>
      <c r="AQ78" s="330"/>
      <c r="AR78" s="330"/>
      <c r="AS78" s="330"/>
      <c r="AT78" s="330"/>
      <c r="AU78" s="330"/>
      <c r="AV78" s="330"/>
      <c r="AW78" s="330"/>
      <c r="AX78" s="330"/>
      <c r="AY78" s="330"/>
      <c r="AZ78" s="330"/>
      <c r="BA78" s="330"/>
      <c r="BB78" s="330"/>
      <c r="BC78" s="330"/>
      <c r="BD78" s="330"/>
      <c r="BE78" s="330"/>
      <c r="BF78" s="330"/>
      <c r="BG78" s="330"/>
      <c r="BH78" s="330"/>
      <c r="BI78" s="330"/>
      <c r="BJ78" s="330"/>
      <c r="BK78" s="330"/>
      <c r="BL78" s="330"/>
      <c r="BM78" s="330"/>
      <c r="BN78" s="330"/>
      <c r="BO78" s="330"/>
      <c r="BP78" s="330"/>
      <c r="BQ78" s="330"/>
      <c r="BR78" s="330"/>
      <c r="BS78" s="330"/>
      <c r="BT78" s="330"/>
      <c r="BU78" s="330"/>
      <c r="BV78" s="330"/>
      <c r="BW78" s="330"/>
      <c r="BX78" s="330"/>
      <c r="BY78" s="330"/>
      <c r="BZ78" s="330"/>
      <c r="CA78" s="330"/>
      <c r="CB78" s="330"/>
      <c r="CC78" s="330"/>
      <c r="CD78" s="330"/>
      <c r="CE78" s="330"/>
      <c r="CF78" s="330"/>
      <c r="CG78" s="330"/>
      <c r="CH78" s="330"/>
      <c r="CI78" s="330"/>
      <c r="CJ78" s="330"/>
      <c r="CK78" s="330"/>
      <c r="CL78" s="330"/>
      <c r="CM78" s="330"/>
      <c r="CN78" s="330"/>
      <c r="CO78" s="330"/>
      <c r="CP78" s="330"/>
      <c r="CQ78" s="330"/>
      <c r="CR78" s="330"/>
      <c r="CS78" s="330"/>
      <c r="CT78" s="330"/>
      <c r="CU78" s="330"/>
      <c r="CV78" s="330"/>
      <c r="CW78" s="330"/>
      <c r="CX78" s="330"/>
      <c r="CY78" s="330"/>
      <c r="CZ78" s="330"/>
      <c r="DA78" s="330"/>
      <c r="DB78" s="330"/>
      <c r="DC78" s="330"/>
      <c r="DD78" s="330"/>
      <c r="DE78" s="330"/>
      <c r="DF78" s="330"/>
      <c r="DG78" s="330"/>
      <c r="DH78" s="330"/>
      <c r="DI78" s="330"/>
      <c r="DJ78" s="330"/>
      <c r="DK78" s="330"/>
      <c r="DL78" s="330"/>
      <c r="DM78" s="330"/>
      <c r="DN78" s="330"/>
      <c r="DO78" s="330"/>
      <c r="DP78" s="330"/>
      <c r="DQ78" s="330"/>
      <c r="DR78" s="330"/>
      <c r="DS78" s="330"/>
      <c r="DT78" s="330"/>
      <c r="DU78" s="330"/>
      <c r="DV78" s="330"/>
      <c r="DW78" s="330"/>
      <c r="DX78" s="330"/>
      <c r="DY78" s="330"/>
      <c r="DZ78" s="330"/>
      <c r="EA78" s="330"/>
      <c r="EB78" s="330"/>
      <c r="EC78" s="330"/>
      <c r="ED78" s="330"/>
      <c r="EE78" s="330"/>
      <c r="EF78" s="330"/>
      <c r="EG78" s="330"/>
      <c r="EH78" s="330"/>
      <c r="EI78" s="330"/>
      <c r="EJ78" s="330"/>
      <c r="EK78" s="330"/>
      <c r="EL78" s="330"/>
      <c r="EM78" s="330"/>
      <c r="EN78" s="330"/>
      <c r="EO78" s="330"/>
      <c r="EP78" s="330"/>
      <c r="EQ78" s="330"/>
      <c r="ER78" s="330"/>
      <c r="ES78" s="330"/>
      <c r="ET78" s="330"/>
      <c r="EU78" s="330"/>
      <c r="EV78" s="330"/>
      <c r="EW78" s="330"/>
      <c r="EX78" s="330"/>
      <c r="EY78" s="330"/>
      <c r="EZ78" s="330"/>
      <c r="FA78" s="330"/>
      <c r="FB78" s="330"/>
      <c r="FC78" s="330"/>
      <c r="FD78" s="330"/>
      <c r="FE78" s="330"/>
      <c r="FF78" s="330"/>
      <c r="FG78" s="330"/>
      <c r="FH78" s="330"/>
      <c r="FI78" s="330"/>
      <c r="FJ78" s="330"/>
      <c r="FK78" s="330"/>
      <c r="FL78" s="330"/>
      <c r="FM78" s="330"/>
      <c r="FN78" s="330"/>
      <c r="FO78" s="330"/>
      <c r="FP78" s="330"/>
      <c r="FQ78" s="330"/>
      <c r="FR78" s="330"/>
      <c r="FS78" s="330"/>
      <c r="FT78" s="330"/>
      <c r="FU78" s="330"/>
      <c r="FV78" s="330"/>
      <c r="FW78" s="330"/>
      <c r="FX78" s="330"/>
      <c r="FY78" s="330"/>
      <c r="FZ78" s="330"/>
      <c r="GA78" s="330"/>
      <c r="GB78" s="330"/>
      <c r="GC78" s="330"/>
      <c r="GD78" s="330"/>
      <c r="GE78" s="330"/>
      <c r="GF78" s="330"/>
      <c r="GG78" s="330"/>
      <c r="GH78" s="330"/>
      <c r="GI78" s="330"/>
      <c r="GJ78" s="330"/>
      <c r="GK78" s="330"/>
      <c r="GL78" s="330"/>
      <c r="GM78" s="330"/>
      <c r="GN78" s="330"/>
      <c r="GO78" s="330"/>
      <c r="GP78" s="330"/>
      <c r="GQ78" s="330"/>
      <c r="GR78" s="330"/>
      <c r="GS78" s="330"/>
      <c r="GT78" s="330"/>
      <c r="GU78" s="330"/>
      <c r="GV78" s="330"/>
      <c r="GW78" s="330"/>
      <c r="GX78" s="330"/>
      <c r="GY78" s="330"/>
      <c r="GZ78" s="330"/>
      <c r="HA78" s="330"/>
      <c r="HB78" s="330"/>
      <c r="HC78" s="330"/>
      <c r="HD78" s="330"/>
      <c r="HE78" s="330"/>
      <c r="HF78" s="330"/>
      <c r="HG78" s="330"/>
      <c r="HH78" s="330"/>
      <c r="HI78" s="330"/>
      <c r="HJ78" s="330"/>
      <c r="HK78" s="330"/>
      <c r="HL78" s="330"/>
      <c r="HM78" s="330"/>
      <c r="HN78" s="330"/>
      <c r="HO78" s="330"/>
      <c r="HP78" s="330"/>
      <c r="HQ78" s="330"/>
      <c r="HR78" s="330"/>
      <c r="HS78" s="330"/>
      <c r="HT78" s="330"/>
      <c r="HU78" s="330"/>
      <c r="HV78" s="330"/>
      <c r="HW78" s="330"/>
      <c r="HX78" s="330"/>
      <c r="HY78" s="330"/>
      <c r="HZ78" s="330"/>
      <c r="IA78" s="330"/>
      <c r="IB78" s="330"/>
      <c r="IC78" s="330"/>
      <c r="ID78" s="330"/>
      <c r="IE78" s="330"/>
      <c r="IF78" s="330"/>
      <c r="IG78" s="330"/>
      <c r="IH78" s="330"/>
      <c r="II78" s="330"/>
      <c r="IJ78" s="330"/>
      <c r="IK78" s="330"/>
      <c r="IL78" s="330"/>
      <c r="IM78" s="330"/>
      <c r="IN78" s="330"/>
      <c r="IO78" s="330"/>
      <c r="IP78" s="330"/>
      <c r="IQ78" s="330"/>
      <c r="IR78" s="330"/>
      <c r="IS78" s="330"/>
      <c r="IT78" s="330"/>
      <c r="IU78" s="330"/>
      <c r="IV78" s="330"/>
      <c r="IW78" s="330"/>
    </row>
    <row r="79" customFormat="false" ht="13.5" hidden="false" customHeight="false" outlineLevel="0" collapsed="false">
      <c r="A79" s="70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611"/>
      <c r="AB79" s="175" t="n">
        <f aca="false">AB78+1</f>
        <v>73</v>
      </c>
    </row>
    <row r="80" customFormat="false" ht="12.75" hidden="false" customHeight="false" outlineLevel="0" collapsed="false"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AB80" s="175"/>
    </row>
    <row r="81" customFormat="false" ht="12.75" hidden="false" customHeight="false" outlineLevel="0" collapsed="false">
      <c r="I81" s="230" t="n">
        <f aca="false">-I75</f>
        <v>4601.47099777068</v>
      </c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58"/>
  <sheetViews>
    <sheetView showFormulas="false" showGridLines="false" showRowColHeaders="true" showZeros="true" rightToLeft="false" tabSelected="false" showOutlineSymbols="true" defaultGridColor="true" view="normal" topLeftCell="A31" colorId="64" zoomScale="80" zoomScaleNormal="80" zoomScalePageLayoutView="100" workbookViewId="0">
      <selection pane="topLeft" activeCell="D71" activeCellId="0" sqref="D7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8" width="8.7"/>
    <col collapsed="false" customWidth="true" hidden="false" outlineLevel="0" max="2" min="2" style="38" width="35.7"/>
    <col collapsed="false" customWidth="true" hidden="false" outlineLevel="0" max="3" min="3" style="38" width="10.28"/>
    <col collapsed="false" customWidth="true" hidden="false" outlineLevel="0" max="4" min="4" style="38" width="9.7"/>
    <col collapsed="false" customWidth="true" hidden="false" outlineLevel="0" max="6" min="5" style="38" width="10.71"/>
    <col collapsed="false" customWidth="true" hidden="false" outlineLevel="0" max="7" min="7" style="38" width="10.56"/>
    <col collapsed="false" customWidth="true" hidden="false" outlineLevel="0" max="8" min="8" style="38" width="10.71"/>
    <col collapsed="false" customWidth="true" hidden="false" outlineLevel="0" max="27" min="9" style="38" width="9.7"/>
    <col collapsed="false" customWidth="true" hidden="false" outlineLevel="0" max="29" min="28" style="38" width="12.14"/>
    <col collapsed="false" customWidth="false" hidden="false" outlineLevel="0" max="30" min="30" style="38" width="9.14"/>
    <col collapsed="false" customWidth="false" hidden="false" outlineLevel="0" max="257" min="31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630" t="s">
        <v>876</v>
      </c>
      <c r="G3" s="388"/>
      <c r="H3" s="388"/>
      <c r="I3" s="631" t="n">
        <v>0</v>
      </c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877</v>
      </c>
      <c r="B4" s="632"/>
      <c r="C4" s="632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8"/>
      <c r="AB5" s="388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878</v>
      </c>
      <c r="B6" s="28"/>
      <c r="C6" s="28"/>
      <c r="D6" s="28"/>
      <c r="E6" s="28" t="n">
        <f aca="false">IF(E$7&lt;YEAR(Startops1),0,D6+1)</f>
        <v>0</v>
      </c>
      <c r="F6" s="28" t="n">
        <f aca="false">IF(F$7&lt;YEAR(Startops1),0,E6+1)</f>
        <v>0</v>
      </c>
      <c r="G6" s="28" t="n">
        <f aca="false">IF(G$7&lt;YEAR(Startops1),0,F6+1)</f>
        <v>1</v>
      </c>
      <c r="H6" s="28" t="n">
        <f aca="false">IF(H$7&lt;YEAR(Startops1),0,G6+1)</f>
        <v>2</v>
      </c>
      <c r="I6" s="28" t="n">
        <f aca="false">IF(I$7&lt;YEAR(Startops1),0,H6+1)</f>
        <v>3</v>
      </c>
      <c r="J6" s="28" t="n">
        <f aca="false">IF(J$7&lt;YEAR(Startops1),0,I6+1)</f>
        <v>4</v>
      </c>
      <c r="K6" s="28" t="n">
        <f aca="false">IF(K$7&lt;YEAR(Startops1),0,J6+1)</f>
        <v>5</v>
      </c>
      <c r="L6" s="28" t="n">
        <f aca="false">IF(L$7&lt;YEAR(Startops1),0,K6+1)</f>
        <v>6</v>
      </c>
      <c r="M6" s="28" t="n">
        <f aca="false">IF(M$7&lt;YEAR(Startops1),0,L6+1)</f>
        <v>7</v>
      </c>
      <c r="N6" s="28" t="n">
        <f aca="false">IF(N$7&lt;YEAR(Startops1),0,M6+1)</f>
        <v>8</v>
      </c>
      <c r="O6" s="28" t="n">
        <f aca="false">IF(O$7&lt;YEAR(Startops1),0,N6+1)</f>
        <v>9</v>
      </c>
      <c r="P6" s="28" t="n">
        <f aca="false">IF(P$7&lt;YEAR(Startops1),0,O6+1)</f>
        <v>10</v>
      </c>
      <c r="Q6" s="28" t="n">
        <f aca="false">IF(Q$7&lt;YEAR(Startops1),0,P6+1)</f>
        <v>11</v>
      </c>
      <c r="R6" s="28" t="n">
        <f aca="false">IF(R$7&lt;YEAR(Startops1),0,Q6+1)</f>
        <v>12</v>
      </c>
      <c r="S6" s="28" t="n">
        <f aca="false">IF(S$7&lt;YEAR(Startops1),0,R6+1)</f>
        <v>13</v>
      </c>
      <c r="T6" s="28" t="n">
        <f aca="false">IF(T$7&lt;YEAR(Startops1),0,S6+1)</f>
        <v>14</v>
      </c>
      <c r="U6" s="28" t="n">
        <f aca="false">IF(U$7&lt;YEAR(Startops1),0,T6+1)</f>
        <v>15</v>
      </c>
      <c r="V6" s="28" t="n">
        <f aca="false">IF(V$7&lt;YEAR(Startops1),0,U6+1)</f>
        <v>16</v>
      </c>
      <c r="W6" s="28" t="n">
        <f aca="false">IF(W$7&lt;YEAR(Startops1),0,V6+1)</f>
        <v>17</v>
      </c>
      <c r="X6" s="28" t="n">
        <f aca="false">IF(X$7&lt;YEAR(Startops1),0,W6+1)</f>
        <v>18</v>
      </c>
      <c r="Y6" s="28" t="n">
        <f aca="false">IF(Y$7&lt;YEAR(Startops1),0,X6+1)</f>
        <v>19</v>
      </c>
      <c r="Z6" s="28" t="n">
        <f aca="false">IF(Z$7&lt;YEAR(Startops1),0,Y6+1)</f>
        <v>20</v>
      </c>
      <c r="AA6" s="28" t="n">
        <f aca="false">IF(AA$7&lt;YEAR(Startops1),0,Z6+1)</f>
        <v>21</v>
      </c>
      <c r="AB6" s="539"/>
      <c r="AC6" s="633" t="s">
        <v>310</v>
      </c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634" t="s">
        <v>765</v>
      </c>
      <c r="B7" s="71"/>
      <c r="C7" s="71"/>
      <c r="D7" s="71"/>
      <c r="E7" s="635" t="n">
        <f aca="false">YEAR(Startconst)</f>
        <v>1997</v>
      </c>
      <c r="F7" s="372" t="n">
        <f aca="false">E7+1</f>
        <v>1998</v>
      </c>
      <c r="G7" s="372" t="n">
        <f aca="false">F7+1</f>
        <v>1999</v>
      </c>
      <c r="H7" s="372" t="n">
        <f aca="false">G7+1</f>
        <v>2000</v>
      </c>
      <c r="I7" s="372" t="n">
        <f aca="false">H7+1</f>
        <v>2001</v>
      </c>
      <c r="J7" s="372" t="n">
        <f aca="false">I7+1</f>
        <v>2002</v>
      </c>
      <c r="K7" s="372" t="n">
        <f aca="false">J7+1</f>
        <v>2003</v>
      </c>
      <c r="L7" s="372" t="n">
        <f aca="false">K7+1</f>
        <v>2004</v>
      </c>
      <c r="M7" s="372" t="n">
        <f aca="false">L7+1</f>
        <v>2005</v>
      </c>
      <c r="N7" s="372" t="n">
        <f aca="false">M7+1</f>
        <v>2006</v>
      </c>
      <c r="O7" s="372" t="n">
        <f aca="false">N7+1</f>
        <v>2007</v>
      </c>
      <c r="P7" s="372" t="n">
        <f aca="false">O7+1</f>
        <v>2008</v>
      </c>
      <c r="Q7" s="372" t="n">
        <f aca="false">P7+1</f>
        <v>2009</v>
      </c>
      <c r="R7" s="372" t="n">
        <f aca="false">Q7+1</f>
        <v>2010</v>
      </c>
      <c r="S7" s="372" t="n">
        <f aca="false">R7+1</f>
        <v>2011</v>
      </c>
      <c r="T7" s="372" t="n">
        <f aca="false">S7+1</f>
        <v>2012</v>
      </c>
      <c r="U7" s="372" t="n">
        <f aca="false">T7+1</f>
        <v>2013</v>
      </c>
      <c r="V7" s="372" t="n">
        <f aca="false">U7+1</f>
        <v>2014</v>
      </c>
      <c r="W7" s="372" t="n">
        <f aca="false">V7+1</f>
        <v>2015</v>
      </c>
      <c r="X7" s="372" t="n">
        <f aca="false">W7+1</f>
        <v>2016</v>
      </c>
      <c r="Y7" s="372" t="n">
        <f aca="false">X7+1</f>
        <v>2017</v>
      </c>
      <c r="Z7" s="372" t="n">
        <f aca="false">Y7+1</f>
        <v>2018</v>
      </c>
      <c r="AA7" s="372" t="n">
        <f aca="false">Z7+1</f>
        <v>2019</v>
      </c>
      <c r="AB7" s="544" t="s">
        <v>766</v>
      </c>
      <c r="AC7" s="544" t="s">
        <v>879</v>
      </c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23"/>
      <c r="AB8" s="555"/>
      <c r="AC8" s="555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</row>
    <row r="9" customFormat="false" ht="12.75" hidden="false" customHeight="false" outlineLevel="0" collapsed="false">
      <c r="A9" s="55" t="s">
        <v>880</v>
      </c>
      <c r="AB9" s="555"/>
      <c r="AC9" s="555"/>
    </row>
    <row r="10" customFormat="false" ht="12.75" hidden="false" customHeight="false" outlineLevel="0" collapsed="false">
      <c r="A10" s="37"/>
      <c r="B10" s="38" t="s">
        <v>881</v>
      </c>
      <c r="E10" s="636" t="n">
        <f aca="false">IF(I$3=0,0,SUM($E13:E13)/SUM($E13:E13,#REF!)*I3)</f>
        <v>0</v>
      </c>
      <c r="F10" s="637" t="n">
        <f aca="false">Assm!$K$88</f>
        <v>1</v>
      </c>
      <c r="G10" s="637" t="n">
        <f aca="false">Assm!$K$88</f>
        <v>1</v>
      </c>
      <c r="H10" s="637" t="n">
        <f aca="false">Assm!$K$88</f>
        <v>1</v>
      </c>
      <c r="I10" s="637" t="n">
        <f aca="false">Assm!$K$88</f>
        <v>1</v>
      </c>
      <c r="J10" s="637" t="n">
        <f aca="false">Assm!$K$88</f>
        <v>1</v>
      </c>
      <c r="K10" s="637" t="n">
        <f aca="false">Assm!$K$88</f>
        <v>1</v>
      </c>
      <c r="L10" s="637" t="n">
        <f aca="false">Assm!$K$88</f>
        <v>1</v>
      </c>
      <c r="M10" s="637" t="n">
        <f aca="false">Assm!$K$88</f>
        <v>1</v>
      </c>
      <c r="N10" s="637" t="n">
        <f aca="false">Assm!$K$88</f>
        <v>1</v>
      </c>
      <c r="O10" s="637" t="n">
        <f aca="false">Assm!$K$88</f>
        <v>1</v>
      </c>
      <c r="P10" s="637" t="n">
        <f aca="false">Assm!$K$88</f>
        <v>1</v>
      </c>
      <c r="Q10" s="637" t="n">
        <f aca="false">Assm!$K$88</f>
        <v>1</v>
      </c>
      <c r="R10" s="637" t="n">
        <f aca="false">Assm!$K$88</f>
        <v>1</v>
      </c>
      <c r="S10" s="637" t="n">
        <f aca="false">Assm!$K$88</f>
        <v>1</v>
      </c>
      <c r="T10" s="637" t="n">
        <f aca="false">Assm!$K$88</f>
        <v>1</v>
      </c>
      <c r="U10" s="637" t="n">
        <f aca="false">Assm!$K$88</f>
        <v>1</v>
      </c>
      <c r="V10" s="637" t="n">
        <f aca="false">Assm!$K$88</f>
        <v>1</v>
      </c>
      <c r="W10" s="637" t="n">
        <f aca="false">Assm!$K$88</f>
        <v>1</v>
      </c>
      <c r="X10" s="637" t="n">
        <f aca="false">Assm!$K$88</f>
        <v>1</v>
      </c>
      <c r="Y10" s="637" t="n">
        <f aca="false">Assm!$K$88</f>
        <v>1</v>
      </c>
      <c r="Z10" s="637" t="n">
        <f aca="false">Assm!$K$88</f>
        <v>1</v>
      </c>
      <c r="AA10" s="637" t="n">
        <f aca="false">Assm!$K$88</f>
        <v>1</v>
      </c>
      <c r="AB10" s="638"/>
      <c r="AC10" s="555"/>
    </row>
    <row r="11" customFormat="false" ht="12.75" hidden="false" customHeight="false" outlineLevel="0" collapsed="false">
      <c r="A11" s="37"/>
      <c r="E11" s="637"/>
      <c r="F11" s="637"/>
      <c r="G11" s="637"/>
      <c r="H11" s="637"/>
      <c r="I11" s="637"/>
      <c r="J11" s="637"/>
      <c r="K11" s="637"/>
      <c r="L11" s="637"/>
      <c r="M11" s="637"/>
      <c r="N11" s="637"/>
      <c r="O11" s="637"/>
      <c r="P11" s="637"/>
      <c r="Q11" s="637"/>
      <c r="R11" s="637"/>
      <c r="S11" s="637"/>
      <c r="T11" s="637"/>
      <c r="U11" s="637"/>
      <c r="V11" s="637"/>
      <c r="W11" s="637"/>
      <c r="X11" s="637"/>
      <c r="Y11" s="637"/>
      <c r="Z11" s="637"/>
      <c r="AA11" s="637"/>
      <c r="AB11" s="638"/>
      <c r="AC11" s="555"/>
    </row>
    <row r="12" customFormat="false" ht="12.75" hidden="false" customHeight="false" outlineLevel="0" collapsed="false">
      <c r="A12" s="37"/>
      <c r="B12" s="639" t="s">
        <v>882</v>
      </c>
      <c r="AB12" s="555"/>
      <c r="AC12" s="555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</row>
    <row r="13" customFormat="false" ht="12.75" hidden="false" customHeight="false" outlineLevel="0" collapsed="false">
      <c r="A13" s="37"/>
      <c r="B13" s="38" t="s">
        <v>317</v>
      </c>
      <c r="E13" s="628" t="n">
        <f aca="false">-HLOOKUP(DATE(E$7,12,31),Idc_Table,IDC!$BB$84)*I3-SUM($D13:D13)</f>
        <v>-0</v>
      </c>
      <c r="F13" s="628" t="n">
        <f aca="false">-HLOOKUP(DATE(F$7,12,31),Idc_Table,IDC!$BB$84)-SUM($D13:E13)</f>
        <v>-92793.5702049191</v>
      </c>
      <c r="G13" s="628" t="n">
        <f aca="false">-HLOOKUP(DATE(G$7,12,31),Idc_Table,IDC!$BB$84)-SUM($D13:F13)</f>
        <v>0</v>
      </c>
      <c r="H13" s="628" t="n">
        <f aca="false">-HLOOKUP(DATE(H$7,12,31),Idc_Table,IDC!$BB$84)-SUM($D13:G13)</f>
        <v>0</v>
      </c>
      <c r="I13" s="628" t="n">
        <f aca="false">-HLOOKUP(DATE(I$7,12,31),Idc_Table,IDC!$BB$84)-SUM($D13:H13)</f>
        <v>0</v>
      </c>
      <c r="J13" s="628" t="n">
        <f aca="false">-HLOOKUP(DATE(J$7,12,31),Idc_Table,IDC!$BB$84)-SUM($D13:I13)</f>
        <v>0</v>
      </c>
      <c r="K13" s="628" t="n">
        <f aca="false">-HLOOKUP(DATE(K$7,12,31),Idc_Table,IDC!$BB$84)-SUM($D13:J13)</f>
        <v>0</v>
      </c>
      <c r="L13" s="628" t="n">
        <f aca="false">-HLOOKUP(DATE(L$7,12,31),Idc_Table,IDC!$BB$84)-SUM($D13:K13)</f>
        <v>0</v>
      </c>
      <c r="M13" s="628" t="n">
        <f aca="false">-HLOOKUP(DATE(M$7,12,31),Idc_Table,IDC!$BB$84)-SUM($D13:L13)</f>
        <v>0</v>
      </c>
      <c r="N13" s="628" t="n">
        <f aca="false">-HLOOKUP(DATE(N$7,12,31),Idc_Table,IDC!$BB$84)-SUM($D13:M13)</f>
        <v>0</v>
      </c>
      <c r="O13" s="628" t="n">
        <f aca="false">-HLOOKUP(DATE(O$7,12,31),Idc_Table,IDC!$BB$84)-SUM($D13:N13)</f>
        <v>0</v>
      </c>
      <c r="P13" s="628" t="n">
        <f aca="false">-HLOOKUP(DATE(P$7,12,31),Idc_Table,IDC!$BB$84)-SUM($D13:O13)</f>
        <v>0</v>
      </c>
      <c r="Q13" s="628" t="n">
        <f aca="false">-HLOOKUP(DATE(Q$7,12,31),Idc_Table,IDC!$BB$84)-SUM($D13:P13)</f>
        <v>0</v>
      </c>
      <c r="R13" s="628" t="n">
        <f aca="false">-HLOOKUP(DATE(R$7,12,31),Idc_Table,IDC!$BB$84)-SUM($D13:Q13)</f>
        <v>0</v>
      </c>
      <c r="S13" s="628" t="n">
        <f aca="false">-HLOOKUP(DATE(S$7,12,31),Idc_Table,IDC!$BB$84)-SUM($D13:R13)</f>
        <v>0</v>
      </c>
      <c r="T13" s="628" t="n">
        <f aca="false">-HLOOKUP(DATE(T$7,12,31),Idc_Table,IDC!$BB$84)-SUM($D13:S13)</f>
        <v>0</v>
      </c>
      <c r="U13" s="628" t="n">
        <f aca="false">-HLOOKUP(DATE(U$7,12,31),Idc_Table,IDC!$BB$84)-SUM($D13:T13)</f>
        <v>0</v>
      </c>
      <c r="V13" s="628" t="n">
        <f aca="false">-HLOOKUP(DATE(V$7,12,31),Idc_Table,IDC!$BB$84)-SUM($D13:U13)</f>
        <v>0</v>
      </c>
      <c r="W13" s="628" t="n">
        <f aca="false">-HLOOKUP(DATE(W$7,12,31),Idc_Table,IDC!$BB$84)-SUM($D13:V13)</f>
        <v>0</v>
      </c>
      <c r="X13" s="628" t="n">
        <f aca="false">-HLOOKUP(DATE(X$7,12,31),Idc_Table,IDC!$BB$84)-SUM($D13:W13)</f>
        <v>0</v>
      </c>
      <c r="Y13" s="628" t="n">
        <f aca="false">-HLOOKUP(DATE(Y$7,12,31),Idc_Table,IDC!$BB$84)-SUM($D13:X13)</f>
        <v>0</v>
      </c>
      <c r="Z13" s="628" t="n">
        <f aca="false">-HLOOKUP(DATE(Z$7,12,31),Idc_Table,IDC!$BB$84)-SUM($D13:Y13)</f>
        <v>0</v>
      </c>
      <c r="AA13" s="628" t="n">
        <f aca="false">-HLOOKUP(DATE(AA$7,12,31),Idc_Table,IDC!$BB$84)-SUM($D13:Z13)</f>
        <v>0</v>
      </c>
      <c r="AB13" s="640" t="n">
        <f aca="false">SUM(E13:AA13)</f>
        <v>-92793.5702049191</v>
      </c>
      <c r="AC13" s="641" t="n">
        <f aca="false">IF($I$3=0,F13+NPV(Disc,G13:AA13),E13+NPV(Disc,F13:AA13))</f>
        <v>-92793.5702049191</v>
      </c>
    </row>
    <row r="14" customFormat="false" ht="12.75" hidden="false" customHeight="false" outlineLevel="0" collapsed="false">
      <c r="A14" s="37"/>
      <c r="B14" s="38" t="s">
        <v>883</v>
      </c>
      <c r="E14" s="217" t="n">
        <f aca="false">IF(E$7&lt;YEAR(Startops1),0,HLOOKUP(E$7,CF_Table,CF!$AB$78))*E$10</f>
        <v>0</v>
      </c>
      <c r="F14" s="217" t="n">
        <f aca="false">IF(F$7&lt;YEAR(Startops1),0,HLOOKUP(F$7,CF_Table,CF!$AB$78))*F$10</f>
        <v>0</v>
      </c>
      <c r="G14" s="217" t="n">
        <f aca="false">IF(G$7&lt;YEAR(Startops1),0,HLOOKUP(G$7,CF_Table,CF!$AB$78))*G$10</f>
        <v>0</v>
      </c>
      <c r="H14" s="217" t="n">
        <f aca="false">IF(H$7&lt;YEAR(Startops1),0,HLOOKUP(H$7,CF_Table,CF!$AB$78))*H$10</f>
        <v>0</v>
      </c>
      <c r="I14" s="217" t="n">
        <f aca="false">IF(I$7&lt;YEAR(Startops1),0,HLOOKUP(I$7,CF_Table,CF!$AB$78))*I$10</f>
        <v>0</v>
      </c>
      <c r="J14" s="217" t="n">
        <f aca="false">IF(J$7&lt;YEAR(Startops1),0,HLOOKUP(J$7,CF_Table,CF!$AB$78))*J$10</f>
        <v>0</v>
      </c>
      <c r="K14" s="217" t="n">
        <f aca="false">IF(K$7&lt;YEAR(Startops1),0,HLOOKUP(K$7,CF_Table,CF!$AB$78))*K$10</f>
        <v>0</v>
      </c>
      <c r="L14" s="217" t="n">
        <f aca="false">IF(L$7&lt;YEAR(Startops1),0,HLOOKUP(L$7,CF_Table,CF!$AB$78))*L$10</f>
        <v>0</v>
      </c>
      <c r="M14" s="217" t="n">
        <f aca="false">IF(M$7&lt;YEAR(Startops1),0,HLOOKUP(M$7,CF_Table,CF!$AB$78))*M$10</f>
        <v>0</v>
      </c>
      <c r="N14" s="217" t="n">
        <f aca="false">IF(N$7&lt;YEAR(Startops1),0,HLOOKUP(N$7,CF_Table,CF!$AB$78))*N$10</f>
        <v>0</v>
      </c>
      <c r="O14" s="217" t="n">
        <f aca="false">IF(O$7&lt;YEAR(Startops1),0,HLOOKUP(O$7,CF_Table,CF!$AB$78))*O$10</f>
        <v>2297.05887236159</v>
      </c>
      <c r="P14" s="217" t="n">
        <f aca="false">IF(P$7&lt;YEAR(Startops1),0,HLOOKUP(P$7,CF_Table,CF!$AB$78))*P$10</f>
        <v>5944.79635653065</v>
      </c>
      <c r="Q14" s="217" t="n">
        <f aca="false">IF(Q$7&lt;YEAR(Startops1),0,HLOOKUP(Q$7,CF_Table,CF!$AB$78))*Q$10</f>
        <v>6215.41206820371</v>
      </c>
      <c r="R14" s="217" t="n">
        <f aca="false">IF(R$7&lt;YEAR(Startops1),0,HLOOKUP(R$7,CF_Table,CF!$AB$78))*R$10</f>
        <v>7153.91447033936</v>
      </c>
      <c r="S14" s="217" t="n">
        <f aca="false">IF(S$7&lt;YEAR(Startops1),0,HLOOKUP(S$7,CF_Table,CF!$AB$78))*S$10</f>
        <v>7772.62295499896</v>
      </c>
      <c r="T14" s="217" t="n">
        <f aca="false">IF(T$7&lt;YEAR(Startops1),0,HLOOKUP(T$7,CF_Table,CF!$AB$78))*T$10</f>
        <v>5510.88806783188</v>
      </c>
      <c r="U14" s="217" t="n">
        <f aca="false">IF(U$7&lt;YEAR(Startops1),0,HLOOKUP(U$7,CF_Table,CF!$AB$78))*U$10</f>
        <v>7093.26246476228</v>
      </c>
      <c r="V14" s="217" t="n">
        <f aca="false">IF(V$7&lt;YEAR(Startops1),0,HLOOKUP(V$7,CF_Table,CF!$AB$78))*V$10</f>
        <v>2410.50492318655</v>
      </c>
      <c r="W14" s="217" t="n">
        <f aca="false">IF(W$7&lt;YEAR(Startops1),0,HLOOKUP(W$7,CF_Table,CF!$AB$78))*W$10</f>
        <v>0</v>
      </c>
      <c r="X14" s="217" t="n">
        <f aca="false">IF(X$7&lt;YEAR(Startops1),0,HLOOKUP(X$7,CF_Table,CF!$AB$78))*X$10</f>
        <v>0</v>
      </c>
      <c r="Y14" s="217" t="n">
        <f aca="false">IF(Y$7&lt;YEAR(Startops1),0,HLOOKUP(Y$7,CF_Table,CF!$AB$78))*Y$10</f>
        <v>0</v>
      </c>
      <c r="Z14" s="217" t="n">
        <f aca="false">IF(Z$7&lt;YEAR(Startops1),0,HLOOKUP(Z$7,CF_Table,CF!$AB$78))*Z$10</f>
        <v>0</v>
      </c>
      <c r="AA14" s="217" t="n">
        <f aca="false">IF(AA$7&lt;YEAR(Startops1),0,HLOOKUP(AA$7,CF_Table,CF!$AB$78))*AA$10</f>
        <v>44618.2852720911</v>
      </c>
      <c r="AB14" s="640" t="n">
        <f aca="false">SUM(E14:AA14)</f>
        <v>89016.7454503061</v>
      </c>
      <c r="AC14" s="641" t="n">
        <f aca="false">IF($I$3=0,F14+NPV(Disc,G14:AA14),E14+NPV(Disc,F14:AA14))</f>
        <v>6447.95164942976</v>
      </c>
    </row>
    <row r="15" customFormat="false" ht="12.75" hidden="false" customHeight="false" outlineLevel="0" collapsed="false">
      <c r="A15" s="37"/>
      <c r="B15" s="38" t="s">
        <v>884</v>
      </c>
      <c r="E15" s="217" t="n">
        <f aca="false">IF(E$7&lt;YEAR(Startops1),0,-HLOOKUP(E$7,CF_Table,CF!$AB$75)-HLOOKUP(E$7,CF_Table,CF!$AB$76))*E$10</f>
        <v>0</v>
      </c>
      <c r="F15" s="217" t="n">
        <f aca="false">IF(F$7&lt;YEAR(Startops1),0,-HLOOKUP(F$7,CF_Table,CF!$AB$75)-HLOOKUP(F$7,CF_Table,CF!$AB$76))*F$10</f>
        <v>0</v>
      </c>
      <c r="G15" s="217" t="n">
        <f aca="false">IF(G$7&lt;YEAR(Startops1),0,-HLOOKUP(G$7,CF_Table,CF!$AB$75)-HLOOKUP(G$7,CF_Table,CF!$AB$76))*G$10</f>
        <v>-1978.50807527969</v>
      </c>
      <c r="H15" s="217" t="n">
        <f aca="false">IF(H$7&lt;YEAR(Startops1),0,-HLOOKUP(H$7,CF_Table,CF!$AB$75)-HLOOKUP(H$7,CF_Table,CF!$AB$76))*H$10</f>
        <v>3358.33879983726</v>
      </c>
      <c r="I15" s="217" t="n">
        <f aca="false">IF(I$7&lt;YEAR(Startops1),0,-HLOOKUP(I$7,CF_Table,CF!$AB$75)-HLOOKUP(I$7,CF_Table,CF!$AB$76))*I$10</f>
        <v>15292.0993027562</v>
      </c>
      <c r="J15" s="217" t="n">
        <f aca="false">IF(J$7&lt;YEAR(Startops1),0,-HLOOKUP(J$7,CF_Table,CF!$AB$75)-HLOOKUP(J$7,CF_Table,CF!$AB$76))*J$10</f>
        <v>1764.3222505153</v>
      </c>
      <c r="K15" s="217" t="n">
        <f aca="false">IF(K$7&lt;YEAR(Startops1),0,-HLOOKUP(K$7,CF_Table,CF!$AB$75)-HLOOKUP(K$7,CF_Table,CF!$AB$76))*K$10</f>
        <v>4601.47099777068</v>
      </c>
      <c r="L15" s="217" t="n">
        <f aca="false">IF(L$7&lt;YEAR(Startops1),0,-HLOOKUP(L$7,CF_Table,CF!$AB$75)-HLOOKUP(L$7,CF_Table,CF!$AB$76))*L$10</f>
        <v>-7557.49672423914</v>
      </c>
      <c r="M15" s="217" t="n">
        <f aca="false">IF(M$7&lt;YEAR(Startops1),0,-HLOOKUP(M$7,CF_Table,CF!$AB$75)-HLOOKUP(M$7,CF_Table,CF!$AB$76))*M$10</f>
        <v>6357.2775341353</v>
      </c>
      <c r="N15" s="217" t="n">
        <f aca="false">IF(N$7&lt;YEAR(Startops1),0,-HLOOKUP(N$7,CF_Table,CF!$AB$75)-HLOOKUP(N$7,CF_Table,CF!$AB$76))*N$10</f>
        <v>6443.35428585609</v>
      </c>
      <c r="O15" s="217" t="n">
        <f aca="false">IF(O$7&lt;YEAR(Startops1),0,-HLOOKUP(O$7,CF_Table,CF!$AB$75)-HLOOKUP(O$7,CF_Table,CF!$AB$76))*O$10</f>
        <v>1798.90879566763</v>
      </c>
      <c r="P15" s="217" t="n">
        <f aca="false">IF(P$7&lt;YEAR(Startops1),0,-HLOOKUP(P$7,CF_Table,CF!$AB$75)-HLOOKUP(P$7,CF_Table,CF!$AB$76))*P$10</f>
        <v>-2518.81668588427</v>
      </c>
      <c r="Q15" s="217" t="n">
        <f aca="false">IF(Q$7&lt;YEAR(Startops1),0,-HLOOKUP(Q$7,CF_Table,CF!$AB$75)-HLOOKUP(Q$7,CF_Table,CF!$AB$76))*Q$10</f>
        <v>-1145.38220441602</v>
      </c>
      <c r="R15" s="217" t="n">
        <f aca="false">IF(R$7&lt;YEAR(Startops1),0,-HLOOKUP(R$7,CF_Table,CF!$AB$75)-HLOOKUP(R$7,CF_Table,CF!$AB$76))*R$10</f>
        <v>-2296.24387477943</v>
      </c>
      <c r="S15" s="217" t="n">
        <f aca="false">IF(S$7&lt;YEAR(Startops1),0,-HLOOKUP(S$7,CF_Table,CF!$AB$75)-HLOOKUP(S$7,CF_Table,CF!$AB$76))*S$10</f>
        <v>-7513.89740534845</v>
      </c>
      <c r="T15" s="217" t="n">
        <f aca="false">IF(T$7&lt;YEAR(Startops1),0,-HLOOKUP(T$7,CF_Table,CF!$AB$75)-HLOOKUP(T$7,CF_Table,CF!$AB$76))*T$10</f>
        <v>-5218.33366649822</v>
      </c>
      <c r="U15" s="217" t="n">
        <f aca="false">IF(U$7&lt;YEAR(Startops1),0,-HLOOKUP(U$7,CF_Table,CF!$AB$75)-HLOOKUP(U$7,CF_Table,CF!$AB$76))*U$10</f>
        <v>7218.72588250839</v>
      </c>
      <c r="V15" s="217" t="n">
        <f aca="false">IF(V$7&lt;YEAR(Startops1),0,-HLOOKUP(V$7,CF_Table,CF!$AB$75)-HLOOKUP(V$7,CF_Table,CF!$AB$76))*V$10</f>
        <v>3399.26341716396</v>
      </c>
      <c r="W15" s="217" t="n">
        <f aca="false">IF(W$7&lt;YEAR(Startops1),0,-HLOOKUP(W$7,CF_Table,CF!$AB$75)-HLOOKUP(W$7,CF_Table,CF!$AB$76))*W$10</f>
        <v>-1989.41297351263</v>
      </c>
      <c r="X15" s="217" t="n">
        <f aca="false">IF(X$7&lt;YEAR(Startops1),0,-HLOOKUP(X$7,CF_Table,CF!$AB$75)-HLOOKUP(X$7,CF_Table,CF!$AB$76))*X$10</f>
        <v>6085.65046383107</v>
      </c>
      <c r="Y15" s="217" t="n">
        <f aca="false">IF(Y$7&lt;YEAR(Startops1),0,-HLOOKUP(Y$7,CF_Table,CF!$AB$75)-HLOOKUP(Y$7,CF_Table,CF!$AB$76))*Y$10</f>
        <v>4689.91363850864</v>
      </c>
      <c r="Z15" s="217" t="n">
        <f aca="false">IF(Z$7&lt;YEAR(Startops1),0,-HLOOKUP(Z$7,CF_Table,CF!$AB$75)-HLOOKUP(Z$7,CF_Table,CF!$AB$76))*Z$10</f>
        <v>6224.60529260744</v>
      </c>
      <c r="AA15" s="217" t="n">
        <f aca="false">IF(AA$7&lt;YEAR(Startops1),0,-HLOOKUP(AA$7,CF_Table,CF!$AB$75)-HLOOKUP(AA$7,CF_Table,CF!$AB$76))*AA$10</f>
        <v>-37015.8390512002</v>
      </c>
      <c r="AB15" s="640" t="n">
        <f aca="false">SUM(E15:AA15)</f>
        <v>0</v>
      </c>
      <c r="AC15" s="641" t="n">
        <f aca="false">IF($I$3=0,F15+NPV(Disc,G15:AA15),E15+NPV(Disc,F15:AA15))</f>
        <v>11962.2651611417</v>
      </c>
    </row>
    <row r="16" customFormat="false" ht="12.75" hidden="false" customHeight="false" outlineLevel="0" collapsed="false">
      <c r="A16" s="37"/>
      <c r="B16" s="38" t="s">
        <v>885</v>
      </c>
      <c r="E16" s="220" t="n">
        <f aca="false">IF(E$7&lt;YEAR(Startops1),0,-HLOOKUP(E$7,CF_Table,CF!$AB$49))*E$10</f>
        <v>0</v>
      </c>
      <c r="F16" s="220" t="n">
        <f aca="false">IF(F$7&lt;YEAR(Startops1),0,-HLOOKUP(F$7,CF_Table,CF!$AB$49))*F$10</f>
        <v>0</v>
      </c>
      <c r="G16" s="220" t="n">
        <f aca="false">IF(G$7&lt;YEAR(Startops1),0,-HLOOKUP(G$7,CF_Table,CF!$AB$49))*G$10</f>
        <v>0</v>
      </c>
      <c r="H16" s="220" t="n">
        <f aca="false">IF(H$7&lt;YEAR(Startops1),0,-HLOOKUP(H$7,CF_Table,CF!$AB$49))*H$10</f>
        <v>0</v>
      </c>
      <c r="I16" s="220" t="n">
        <f aca="false">IF(I$7&lt;YEAR(Startops1),0,-HLOOKUP(I$7,CF_Table,CF!$AB$49))*I$10</f>
        <v>0</v>
      </c>
      <c r="J16" s="220" t="n">
        <f aca="false">IF(J$7&lt;YEAR(Startops1),0,-HLOOKUP(J$7,CF_Table,CF!$AB$49))*J$10</f>
        <v>0</v>
      </c>
      <c r="K16" s="220" t="n">
        <f aca="false">IF(K$7&lt;YEAR(Startops1),0,-HLOOKUP(K$7,CF_Table,CF!$AB$49))*K$10</f>
        <v>2042.89183669435</v>
      </c>
      <c r="L16" s="220" t="n">
        <f aca="false">IF(L$7&lt;YEAR(Startops1),0,-HLOOKUP(L$7,CF_Table,CF!$AB$49))*L$10</f>
        <v>0</v>
      </c>
      <c r="M16" s="220" t="n">
        <f aca="false">IF(M$7&lt;YEAR(Startops1),0,-HLOOKUP(M$7,CF_Table,CF!$AB$49))*M$10</f>
        <v>7865.571578684</v>
      </c>
      <c r="N16" s="220" t="n">
        <f aca="false">IF(N$7&lt;YEAR(Startops1),0,-HLOOKUP(N$7,CF_Table,CF!$AB$49))*N$10</f>
        <v>8917.34191599675</v>
      </c>
      <c r="O16" s="220" t="n">
        <f aca="false">IF(O$7&lt;YEAR(Startops1),0,-HLOOKUP(O$7,CF_Table,CF!$AB$49))*O$10</f>
        <v>8656.03734334056</v>
      </c>
      <c r="P16" s="220" t="n">
        <f aca="false">IF(P$7&lt;YEAR(Startops1),0,-HLOOKUP(P$7,CF_Table,CF!$AB$49))*P$10</f>
        <v>7717.72673158535</v>
      </c>
      <c r="Q16" s="220" t="n">
        <f aca="false">IF(Q$7&lt;YEAR(Startops1),0,-HLOOKUP(Q$7,CF_Table,CF!$AB$49))*Q$10</f>
        <v>8069.96215435123</v>
      </c>
      <c r="R16" s="220" t="n">
        <f aca="false">IF(R$7&lt;YEAR(Startops1),0,-HLOOKUP(R$7,CF_Table,CF!$AB$49))*R$10</f>
        <v>9279.35702049191</v>
      </c>
      <c r="S16" s="220" t="n">
        <f aca="false">IF(S$7&lt;YEAR(Startops1),0,-HLOOKUP(S$7,CF_Table,CF!$AB$49))*S$10</f>
        <v>9279.35702049191</v>
      </c>
      <c r="T16" s="220" t="n">
        <f aca="false">IF(T$7&lt;YEAR(Startops1),0,-HLOOKUP(T$7,CF_Table,CF!$AB$49))*T$10</f>
        <v>7154.66177092837</v>
      </c>
      <c r="U16" s="220" t="n">
        <f aca="false">IF(U$7&lt;YEAR(Startops1),0,-HLOOKUP(U$7,CF_Table,CF!$AB$49))*U$10</f>
        <v>9279.35702049191</v>
      </c>
      <c r="V16" s="220" t="n">
        <f aca="false">IF(V$7&lt;YEAR(Startops1),0,-HLOOKUP(V$7,CF_Table,CF!$AB$49))*V$10</f>
        <v>3584.93109373236</v>
      </c>
      <c r="W16" s="220" t="n">
        <f aca="false">IF(W$7&lt;YEAR(Startops1),0,-HLOOKUP(W$7,CF_Table,CF!$AB$49))*W$10</f>
        <v>0</v>
      </c>
      <c r="X16" s="220" t="n">
        <f aca="false">IF(X$7&lt;YEAR(Startops1),0,-HLOOKUP(X$7,CF_Table,CF!$AB$49))*X$10</f>
        <v>0</v>
      </c>
      <c r="Y16" s="220" t="n">
        <f aca="false">IF(Y$7&lt;YEAR(Startops1),0,-HLOOKUP(Y$7,CF_Table,CF!$AB$49))*Y$10</f>
        <v>0</v>
      </c>
      <c r="Z16" s="220" t="n">
        <f aca="false">IF(Z$7&lt;YEAR(Startops1),0,-HLOOKUP(Z$7,CF_Table,CF!$AB$49))*Z$10</f>
        <v>0</v>
      </c>
      <c r="AA16" s="220" t="n">
        <f aca="false">IF(AA$7&lt;YEAR(Startops1),0,-HLOOKUP(AA$7,CF_Table,CF!$AB$49))*AA$10</f>
        <v>0</v>
      </c>
      <c r="AB16" s="642" t="n">
        <f aca="false">SUM(E16:AA16)</f>
        <v>81847.1954867887</v>
      </c>
      <c r="AC16" s="643" t="n">
        <f aca="false">IF($I$3=0,F16+NPV(Disc,G16:AA16),E16+NPV(Disc,F16:AA16))</f>
        <v>13404.7011999259</v>
      </c>
    </row>
    <row r="17" customFormat="false" ht="12.75" hidden="false" customHeight="false" outlineLevel="0" collapsed="false">
      <c r="A17" s="37"/>
      <c r="B17" s="38" t="s">
        <v>886</v>
      </c>
      <c r="E17" s="644" t="n">
        <f aca="false">SUM(E13:E16)</f>
        <v>0</v>
      </c>
      <c r="F17" s="644" t="n">
        <f aca="false">SUM(F13:F16)</f>
        <v>-92793.5702049191</v>
      </c>
      <c r="G17" s="644" t="n">
        <f aca="false">SUM(G13:G16)</f>
        <v>-1978.50807527969</v>
      </c>
      <c r="H17" s="644" t="n">
        <f aca="false">SUM(H13:H16)</f>
        <v>3358.33879983726</v>
      </c>
      <c r="I17" s="644" t="n">
        <f aca="false">SUM(I13:I16)</f>
        <v>15292.0993027562</v>
      </c>
      <c r="J17" s="644" t="n">
        <f aca="false">SUM(J13:J16)</f>
        <v>1764.3222505153</v>
      </c>
      <c r="K17" s="644" t="n">
        <f aca="false">SUM(K13:K16)</f>
        <v>6644.36283446503</v>
      </c>
      <c r="L17" s="644" t="n">
        <f aca="false">SUM(L13:L16)</f>
        <v>-7557.49672423914</v>
      </c>
      <c r="M17" s="644" t="n">
        <f aca="false">SUM(M13:M16)</f>
        <v>14222.8491128193</v>
      </c>
      <c r="N17" s="644" t="n">
        <f aca="false">SUM(N13:N16)</f>
        <v>15360.6962018528</v>
      </c>
      <c r="O17" s="644" t="n">
        <f aca="false">SUM(O13:O16)</f>
        <v>12752.0050113698</v>
      </c>
      <c r="P17" s="644" t="n">
        <f aca="false">SUM(P13:P16)</f>
        <v>11143.7064022317</v>
      </c>
      <c r="Q17" s="644" t="n">
        <f aca="false">SUM(Q13:Q16)</f>
        <v>13139.9920181389</v>
      </c>
      <c r="R17" s="644" t="n">
        <f aca="false">SUM(R13:R16)</f>
        <v>14137.0276160518</v>
      </c>
      <c r="S17" s="644" t="n">
        <f aca="false">SUM(S13:S16)</f>
        <v>9538.08257014242</v>
      </c>
      <c r="T17" s="644" t="n">
        <f aca="false">SUM(T13:T16)</f>
        <v>7447.21617226203</v>
      </c>
      <c r="U17" s="644" t="n">
        <f aca="false">SUM(U13:U16)</f>
        <v>23591.3453677626</v>
      </c>
      <c r="V17" s="644" t="n">
        <f aca="false">SUM(V13:V16)</f>
        <v>9394.69943408287</v>
      </c>
      <c r="W17" s="644" t="n">
        <f aca="false">SUM(W13:W16)</f>
        <v>-1989.41297351263</v>
      </c>
      <c r="X17" s="644" t="n">
        <f aca="false">SUM(X13:X16)</f>
        <v>6085.65046383107</v>
      </c>
      <c r="Y17" s="644" t="n">
        <f aca="false">SUM(Y13:Y16)</f>
        <v>4689.91363850864</v>
      </c>
      <c r="Z17" s="644" t="n">
        <f aca="false">SUM(Z13:Z16)</f>
        <v>6224.60529260744</v>
      </c>
      <c r="AA17" s="644" t="n">
        <f aca="false">SUM(AA13:AA16)</f>
        <v>7602.44622089096</v>
      </c>
      <c r="AB17" s="640" t="n">
        <f aca="false">SUM(E17:AA17)</f>
        <v>78070.3707321757</v>
      </c>
      <c r="AC17" s="574" t="n">
        <f aca="false">SUM(AC13:AC16)</f>
        <v>-60978.6521944217</v>
      </c>
    </row>
    <row r="18" customFormat="false" ht="12.75" hidden="false" customHeight="false" outlineLevel="0" collapsed="false">
      <c r="A18" s="37"/>
      <c r="E18" s="644"/>
      <c r="F18" s="644"/>
      <c r="G18" s="644"/>
      <c r="H18" s="644"/>
      <c r="I18" s="644"/>
      <c r="J18" s="644"/>
      <c r="K18" s="644"/>
      <c r="L18" s="644"/>
      <c r="M18" s="644"/>
      <c r="N18" s="644"/>
      <c r="O18" s="644"/>
      <c r="P18" s="644"/>
      <c r="Q18" s="644"/>
      <c r="R18" s="644"/>
      <c r="S18" s="644"/>
      <c r="T18" s="644"/>
      <c r="U18" s="644"/>
      <c r="V18" s="644"/>
      <c r="W18" s="644"/>
      <c r="X18" s="644"/>
      <c r="Y18" s="644"/>
      <c r="Z18" s="644"/>
      <c r="AA18" s="644"/>
      <c r="AB18" s="640"/>
      <c r="AC18" s="574"/>
    </row>
    <row r="19" customFormat="false" ht="12.75" hidden="false" customHeight="false" outlineLevel="0" collapsed="false">
      <c r="A19" s="37"/>
      <c r="B19" s="38" t="s">
        <v>887</v>
      </c>
      <c r="E19" s="645" t="n">
        <f aca="false">$E17</f>
        <v>0</v>
      </c>
      <c r="F19" s="645" t="n">
        <f aca="false">IF($I$3=0,$F17,$E17+NPV(Disc,$F17:F17))</f>
        <v>-92793.5702049191</v>
      </c>
      <c r="G19" s="217" t="n">
        <f aca="false">IF($I$3=0,$F17+NPV(Disc,$G17:G17),$E17+NPV(Disc,$F17:G17))</f>
        <v>-94456.1820328852</v>
      </c>
      <c r="H19" s="217" t="n">
        <f aca="false">IF($I$3=0,$F17+NPV(Disc,$G17:H17),$E17+NPV(Disc,$F17:H17))</f>
        <v>-92084.6413225983</v>
      </c>
      <c r="I19" s="217" t="n">
        <f aca="false">IF($I$3=0,$F17+NPV(Disc,$G17:I17),$E17+NPV(Disc,$F17:I17))</f>
        <v>-83010.0677644022</v>
      </c>
      <c r="J19" s="217" t="n">
        <f aca="false">IF($I$3=0,$F17+NPV(Disc,$G17:J17),$E17+NPV(Disc,$F17:J17))</f>
        <v>-82130.2553906566</v>
      </c>
      <c r="K19" s="217" t="n">
        <f aca="false">IF($I$3=0,$F17+NPV(Disc,$G17:K17),$E17+NPV(Disc,$F17:K17))</f>
        <v>-79345.9393246366</v>
      </c>
      <c r="L19" s="217" t="n">
        <f aca="false">IF($I$3=0,$F17+NPV(Disc,$G17:L17),$E17+NPV(Disc,$F17:L17))</f>
        <v>-82007.253818843</v>
      </c>
      <c r="M19" s="217" t="n">
        <f aca="false">IF($I$3=0,$F17+NPV(Disc,$G17:M17),$E17+NPV(Disc,$F17:M17))</f>
        <v>-77798.4578485206</v>
      </c>
      <c r="N19" s="217" t="n">
        <f aca="false">IF($I$3=0,$F17+NPV(Disc,$G17:N17),$E17+NPV(Disc,$F17:N17))</f>
        <v>-73978.7054806736</v>
      </c>
      <c r="O19" s="217" t="n">
        <f aca="false">IF($I$3=0,$F17+NPV(Disc,$G17:O17),$E17+NPV(Disc,$F17:O17))</f>
        <v>-71313.9594609099</v>
      </c>
      <c r="P19" s="217" t="n">
        <f aca="false">IF($I$3=0,$F17+NPV(Disc,$G17:P17),$E17+NPV(Disc,$F17:P17))</f>
        <v>-69357.098147281</v>
      </c>
      <c r="Q19" s="217" t="n">
        <f aca="false">IF($I$3=0,$F17+NPV(Disc,$G17:Q17),$E17+NPV(Disc,$F17:Q17))</f>
        <v>-67418.094946008</v>
      </c>
      <c r="R19" s="217" t="n">
        <f aca="false">IF($I$3=0,$F17+NPV(Disc,$G17:R17),$E17+NPV(Disc,$F17:R17))</f>
        <v>-65665.043869993</v>
      </c>
      <c r="S19" s="217" t="n">
        <f aca="false">IF($I$3=0,$F17+NPV(Disc,$G17:S17),$E17+NPV(Disc,$F17:S17))</f>
        <v>-64671.1258154287</v>
      </c>
      <c r="T19" s="217" t="n">
        <f aca="false">IF($I$3=0,$F17+NPV(Disc,$G17:T17),$E17+NPV(Disc,$F17:T17))</f>
        <v>-64018.9923297151</v>
      </c>
      <c r="U19" s="217" t="n">
        <f aca="false">IF($I$3=0,$F17+NPV(Disc,$G17:U17),$E17+NPV(Disc,$F17:U17))</f>
        <v>-62282.9980585438</v>
      </c>
      <c r="V19" s="217" t="n">
        <f aca="false">IF($I$3=0,$F17+NPV(Disc,$G17:V17),$E17+NPV(Disc,$F17:V17))</f>
        <v>-61702.0577541598</v>
      </c>
      <c r="W19" s="217" t="n">
        <f aca="false">IF($I$3=0,$F17+NPV(Disc,$G17:W17),$E17+NPV(Disc,$F17:W17))</f>
        <v>-61805.4353914524</v>
      </c>
      <c r="X19" s="217" t="n">
        <f aca="false">IF($I$3=0,$F17+NPV(Disc,$G17:X17),$E17+NPV(Disc,$F17:X17))</f>
        <v>-61539.6924734522</v>
      </c>
      <c r="Y19" s="217" t="n">
        <f aca="false">IF($I$3=0,$F17+NPV(Disc,$G17:Y17),$E17+NPV(Disc,$F17:Y17))</f>
        <v>-61367.595759026</v>
      </c>
      <c r="Z19" s="217" t="n">
        <f aca="false">IF($I$3=0,$F17+NPV(Disc,$G17:Z17),$E17+NPV(Disc,$F17:Z17))</f>
        <v>-61175.6526213852</v>
      </c>
      <c r="AA19" s="217" t="n">
        <f aca="false">IF($I$3=0,$F17+NPV(Disc,$G17:AA17),$E17+NPV(Disc,$F17:AA17))</f>
        <v>-60978.6521944217</v>
      </c>
      <c r="AB19" s="640"/>
      <c r="AC19" s="574" t="n">
        <f aca="false">AC17</f>
        <v>-60978.6521944217</v>
      </c>
    </row>
    <row r="20" customFormat="false" ht="12.75" hidden="false" customHeight="false" outlineLevel="0" collapsed="false">
      <c r="A20" s="37"/>
      <c r="B20" s="38" t="s">
        <v>888</v>
      </c>
      <c r="E20" s="260" t="e">
        <f aca="false">IRR($E17:E17,-0.9)</f>
        <v>#N/A</v>
      </c>
      <c r="F20" s="260" t="e">
        <f aca="false">IRR($E17:F17,-0.9)</f>
        <v>#N/A</v>
      </c>
      <c r="G20" s="260" t="e">
        <f aca="false">IRR($E17:G17,-0.9)</f>
        <v>#N/A</v>
      </c>
      <c r="H20" s="260" t="n">
        <f aca="false">IRR($E17:H17,-0.9)</f>
        <v>-0.820121684343961</v>
      </c>
      <c r="I20" s="260" t="n">
        <f aca="false">IRR($E17:I17,-0.9)</f>
        <v>-0.437041600262452</v>
      </c>
      <c r="J20" s="260" t="n">
        <f aca="false">IRR($E17:J17,-0.9)</f>
        <v>-0.404915872083909</v>
      </c>
      <c r="K20" s="260" t="n">
        <f aca="false">IRR($E17:K17,-0.9)</f>
        <v>-0.294820951337586</v>
      </c>
      <c r="L20" s="260" t="e">
        <f aca="false">IRR($E17:L17,-0.9)</f>
        <v>#N/A</v>
      </c>
      <c r="M20" s="260" t="e">
        <f aca="false">IRR($E17:M17,-0.9)</f>
        <v>#N/A</v>
      </c>
      <c r="N20" s="260" t="e">
        <f aca="false">IRR($E17:N17,-0.9)</f>
        <v>#N/A</v>
      </c>
      <c r="O20" s="260" t="e">
        <f aca="false">IRR($E17:O17,-0.9)</f>
        <v>#N/A</v>
      </c>
      <c r="P20" s="260" t="e">
        <f aca="false">IRR($E17:P17,-0.9)</f>
        <v>#N/A</v>
      </c>
      <c r="Q20" s="260" t="e">
        <f aca="false">IRR($E17:Q17,-0.9)</f>
        <v>#N/A</v>
      </c>
      <c r="R20" s="260" t="e">
        <f aca="false">IRR($E17:R17,-0.9)</f>
        <v>#N/A</v>
      </c>
      <c r="S20" s="260" t="e">
        <f aca="false">IRR($E17:S17,-0.9)</f>
        <v>#N/A</v>
      </c>
      <c r="T20" s="260" t="e">
        <f aca="false">IRR($E17:T17,-0.9)</f>
        <v>#N/A</v>
      </c>
      <c r="U20" s="260" t="e">
        <f aca="false">IRR($E17:U17,-0.9)</f>
        <v>#N/A</v>
      </c>
      <c r="V20" s="260" t="e">
        <f aca="false">IRR($E17:V17,-0.9)</f>
        <v>#N/A</v>
      </c>
      <c r="W20" s="260" t="n">
        <f aca="false">IRR($E17:W17,-0.9)</f>
        <v>-0.848940815259704</v>
      </c>
      <c r="X20" s="260" t="e">
        <f aca="false">IRR($E17:X17,-0.9)</f>
        <v>#N/A</v>
      </c>
      <c r="Y20" s="260" t="e">
        <f aca="false">IRR($E17:Y17,-0.9)</f>
        <v>#N/A</v>
      </c>
      <c r="Z20" s="260" t="e">
        <f aca="false">IRR($E17:Z17,-0.9)</f>
        <v>#N/A</v>
      </c>
      <c r="AA20" s="260" t="e">
        <f aca="false">IRR($E17:AA17,-0.9)</f>
        <v>#N/A</v>
      </c>
      <c r="AB20" s="638"/>
      <c r="AC20" s="646" t="e">
        <f aca="false">IRR(E17:AA17,-0.9)</f>
        <v>#N/A</v>
      </c>
    </row>
    <row r="21" customFormat="false" ht="12.75" hidden="false" customHeight="false" outlineLevel="0" collapsed="false">
      <c r="A21" s="37"/>
      <c r="E21" s="637"/>
      <c r="F21" s="637"/>
      <c r="G21" s="637"/>
      <c r="H21" s="637"/>
      <c r="I21" s="637"/>
      <c r="J21" s="637"/>
      <c r="K21" s="637"/>
      <c r="L21" s="637"/>
      <c r="M21" s="637"/>
      <c r="N21" s="637"/>
      <c r="O21" s="637"/>
      <c r="P21" s="637"/>
      <c r="Q21" s="637"/>
      <c r="R21" s="637"/>
      <c r="S21" s="637"/>
      <c r="T21" s="637"/>
      <c r="U21" s="637"/>
      <c r="V21" s="637"/>
      <c r="W21" s="637"/>
      <c r="X21" s="637"/>
      <c r="Y21" s="637"/>
      <c r="Z21" s="637"/>
      <c r="AA21" s="637"/>
      <c r="AB21" s="638"/>
      <c r="AC21" s="555"/>
    </row>
    <row r="22" customFormat="false" ht="12.75" hidden="false" customHeight="false" outlineLevel="0" collapsed="false">
      <c r="A22" s="37"/>
      <c r="B22" s="647" t="str">
        <f aca="false">CONCATENATE("Project NPV @ ",TEXT(Disc,"0.0%")," w/o TC")</f>
        <v>Project NPV @ 19.0% w/o TC</v>
      </c>
      <c r="C22" s="648" t="n">
        <f aca="false">AC19</f>
        <v>-60978.6521944217</v>
      </c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49"/>
      <c r="U22" s="649"/>
      <c r="V22" s="649"/>
      <c r="W22" s="649"/>
      <c r="X22" s="649"/>
      <c r="Y22" s="649"/>
      <c r="Z22" s="649"/>
      <c r="AA22" s="649"/>
      <c r="AB22" s="638"/>
      <c r="AC22" s="555"/>
    </row>
    <row r="23" customFormat="false" ht="12.75" hidden="false" customHeight="false" outlineLevel="0" collapsed="false">
      <c r="A23" s="37"/>
      <c r="B23" s="650" t="s">
        <v>889</v>
      </c>
      <c r="C23" s="651" t="e">
        <f aca="false">AC20</f>
        <v>#N/A</v>
      </c>
      <c r="F23" s="649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649"/>
      <c r="R23" s="649"/>
      <c r="S23" s="649"/>
      <c r="T23" s="649"/>
      <c r="U23" s="649"/>
      <c r="V23" s="649"/>
      <c r="W23" s="649"/>
      <c r="X23" s="649"/>
      <c r="Y23" s="649"/>
      <c r="Z23" s="649"/>
      <c r="AA23" s="649"/>
      <c r="AB23" s="638"/>
      <c r="AC23" s="555"/>
    </row>
    <row r="24" customFormat="false" ht="13.5" hidden="false" customHeight="false" outlineLevel="0" collapsed="false">
      <c r="A24" s="70"/>
      <c r="B24" s="652" t="s">
        <v>890</v>
      </c>
      <c r="C24" s="653" t="n">
        <f aca="false">MAX(E24:AA24)</f>
        <v>0</v>
      </c>
      <c r="D24" s="71"/>
      <c r="E24" s="654" t="n">
        <f aca="false">IF(AND(E19&gt;0,D19&lt;0),E$6,0)</f>
        <v>0</v>
      </c>
      <c r="F24" s="654" t="n">
        <f aca="false">IF(AND(F19&gt;0,E19&lt;0),F$6,0)</f>
        <v>0</v>
      </c>
      <c r="G24" s="654" t="n">
        <f aca="false">IF(AND(G19&gt;0,F19&lt;0),G$6,0)</f>
        <v>0</v>
      </c>
      <c r="H24" s="654" t="n">
        <f aca="false">IF(AND(H19&gt;0,G19&lt;0),H$6,0)</f>
        <v>0</v>
      </c>
      <c r="I24" s="654" t="n">
        <f aca="false">IF(AND(I19&gt;0,H19&lt;0),I$6,0)</f>
        <v>0</v>
      </c>
      <c r="J24" s="654" t="n">
        <f aca="false">IF(AND(J19&gt;0,I19&lt;0),J$6,0)</f>
        <v>0</v>
      </c>
      <c r="K24" s="654" t="n">
        <f aca="false">IF(AND(K19&gt;0,J19&lt;0),K$6,0)</f>
        <v>0</v>
      </c>
      <c r="L24" s="654" t="n">
        <f aca="false">IF(AND(L19&gt;0,K19&lt;0),L$6,0)</f>
        <v>0</v>
      </c>
      <c r="M24" s="654" t="n">
        <f aca="false">IF(AND(M19&gt;0,L19&lt;0),M$6,0)</f>
        <v>0</v>
      </c>
      <c r="N24" s="654" t="n">
        <f aca="false">IF(AND(N19&gt;0,M19&lt;0),N$6,0)</f>
        <v>0</v>
      </c>
      <c r="O24" s="654" t="n">
        <f aca="false">IF(AND(O19&gt;0,N19&lt;0),O$6,0)</f>
        <v>0</v>
      </c>
      <c r="P24" s="654" t="n">
        <f aca="false">IF(AND(P19&gt;0,O19&lt;0),P$6,0)</f>
        <v>0</v>
      </c>
      <c r="Q24" s="654" t="n">
        <f aca="false">IF(AND(Q19&gt;0,P19&lt;0),Q$6,0)</f>
        <v>0</v>
      </c>
      <c r="R24" s="654" t="n">
        <f aca="false">IF(AND(R19&gt;0,Q19&lt;0),R$6,0)</f>
        <v>0</v>
      </c>
      <c r="S24" s="654" t="n">
        <f aca="false">IF(AND(S19&gt;0,R19&lt;0),S$6,0)</f>
        <v>0</v>
      </c>
      <c r="T24" s="654" t="n">
        <f aca="false">IF(AND(T19&gt;0,S19&lt;0),T$6,0)</f>
        <v>0</v>
      </c>
      <c r="U24" s="654" t="n">
        <f aca="false">IF(AND(U19&gt;0,T19&lt;0),U$6,0)</f>
        <v>0</v>
      </c>
      <c r="V24" s="654" t="n">
        <f aca="false">IF(AND(V19&gt;0,U19&lt;0),V$6,0)</f>
        <v>0</v>
      </c>
      <c r="W24" s="654" t="n">
        <f aca="false">IF(AND(W19&gt;0,V19&lt;0),W$6,0)</f>
        <v>0</v>
      </c>
      <c r="X24" s="654" t="n">
        <f aca="false">IF(AND(X19&gt;0,W19&lt;0),X$6,0)</f>
        <v>0</v>
      </c>
      <c r="Y24" s="654" t="n">
        <f aca="false">IF(AND(Y19&gt;0,X19&lt;0),Y$6,0)</f>
        <v>0</v>
      </c>
      <c r="Z24" s="654" t="n">
        <f aca="false">IF(AND(Z19&gt;0,Y19&lt;0),Z$6,0)</f>
        <v>0</v>
      </c>
      <c r="AA24" s="654" t="n">
        <f aca="false">IF(AND(AA19&gt;0,Z19&lt;0),AA$6,0)</f>
        <v>0</v>
      </c>
      <c r="AB24" s="655"/>
      <c r="AC24" s="611"/>
    </row>
    <row r="25" customFormat="false" ht="13.5" hidden="false" customHeight="false" outlineLevel="0" collapsed="false">
      <c r="AB25" s="656"/>
    </row>
    <row r="26" customFormat="false" ht="12.75" hidden="false" customHeight="false" outlineLevel="0" collapsed="false">
      <c r="A26" s="657" t="str">
        <f aca="false">CONCATENATE(Assm!$H$98," Returns")</f>
        <v>New Investor Equity % (LJM) Returns</v>
      </c>
      <c r="B26" s="28"/>
      <c r="C26" s="28"/>
      <c r="D26" s="2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539"/>
      <c r="AC26" s="658"/>
    </row>
    <row r="27" customFormat="false" ht="12.75" hidden="false" customHeight="false" outlineLevel="0" collapsed="false">
      <c r="A27" s="37"/>
      <c r="E27" s="637"/>
      <c r="F27" s="637"/>
      <c r="G27" s="637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  <c r="T27" s="637"/>
      <c r="U27" s="637"/>
      <c r="V27" s="637"/>
      <c r="W27" s="637"/>
      <c r="X27" s="637"/>
      <c r="Y27" s="637"/>
      <c r="Z27" s="637"/>
      <c r="AA27" s="637"/>
      <c r="AB27" s="638"/>
      <c r="AC27" s="555"/>
    </row>
    <row r="28" customFormat="false" ht="12.75" hidden="false" customHeight="false" outlineLevel="0" collapsed="false">
      <c r="A28" s="37"/>
      <c r="B28" s="38" t="s">
        <v>891</v>
      </c>
      <c r="E28" s="637" t="n">
        <f aca="false">Assm!$K$85-'Enron Returns'!E$10</f>
        <v>0</v>
      </c>
      <c r="F28" s="637" t="n">
        <f aca="false">Assm!$K$85-'Enron Returns'!F$10</f>
        <v>0</v>
      </c>
      <c r="G28" s="637" t="n">
        <f aca="false">Assm!$K$85-'Enron Returns'!G$10</f>
        <v>0</v>
      </c>
      <c r="H28" s="637" t="n">
        <f aca="false">Assm!$K$85-'Enron Returns'!H$10</f>
        <v>0.13</v>
      </c>
      <c r="I28" s="637" t="n">
        <f aca="false">Assm!$K$85-'Enron Returns'!I$10</f>
        <v>0.13</v>
      </c>
      <c r="J28" s="637" t="n">
        <f aca="false">Assm!$K$85-'Enron Returns'!J$10</f>
        <v>0.13</v>
      </c>
      <c r="K28" s="637" t="n">
        <f aca="false">Assm!$K$85-'Enron Returns'!K$10</f>
        <v>0.13</v>
      </c>
      <c r="L28" s="637" t="n">
        <f aca="false">Assm!$K$85-'Enron Returns'!L$10</f>
        <v>0.13</v>
      </c>
      <c r="M28" s="637" t="n">
        <f aca="false">Assm!$K$85-'Enron Returns'!M$10</f>
        <v>0.13</v>
      </c>
      <c r="N28" s="637" t="n">
        <f aca="false">Assm!$K$85-'Enron Returns'!N$10</f>
        <v>0.13</v>
      </c>
      <c r="O28" s="637" t="n">
        <f aca="false">Assm!$K$85-'Enron Returns'!O$10</f>
        <v>0.13</v>
      </c>
      <c r="P28" s="637" t="n">
        <f aca="false">Assm!$K$85-'Enron Returns'!P$10</f>
        <v>0.13</v>
      </c>
      <c r="Q28" s="637" t="n">
        <f aca="false">Assm!$K$85-'Enron Returns'!Q$10</f>
        <v>0.13</v>
      </c>
      <c r="R28" s="637" t="n">
        <f aca="false">Assm!$K$85-'Enron Returns'!R$10</f>
        <v>0.13</v>
      </c>
      <c r="S28" s="637" t="n">
        <f aca="false">Assm!$K$85-'Enron Returns'!S$10</f>
        <v>0.13</v>
      </c>
      <c r="T28" s="637" t="n">
        <f aca="false">Assm!$K$85-'Enron Returns'!T$10</f>
        <v>0.13</v>
      </c>
      <c r="U28" s="637" t="n">
        <f aca="false">Assm!$K$85-'Enron Returns'!U$10</f>
        <v>0.13</v>
      </c>
      <c r="V28" s="637" t="n">
        <f aca="false">Assm!$K$85-'Enron Returns'!V$10</f>
        <v>0.13</v>
      </c>
      <c r="W28" s="637" t="n">
        <f aca="false">Assm!$K$85-'Enron Returns'!W$10</f>
        <v>0.13</v>
      </c>
      <c r="X28" s="637" t="n">
        <f aca="false">Assm!$K$85-'Enron Returns'!X$10</f>
        <v>0.13</v>
      </c>
      <c r="Y28" s="637" t="n">
        <f aca="false">Assm!$K$85-'Enron Returns'!Y$10</f>
        <v>0.13</v>
      </c>
      <c r="Z28" s="637" t="n">
        <f aca="false">Assm!$K$85-'Enron Returns'!Z$10</f>
        <v>0.13</v>
      </c>
      <c r="AA28" s="637" t="n">
        <f aca="false">Assm!$K$85-'Enron Returns'!AA$10</f>
        <v>0.13</v>
      </c>
      <c r="AB28" s="638"/>
      <c r="AC28" s="555"/>
    </row>
    <row r="29" customFormat="false" ht="12.75" hidden="false" customHeight="false" outlineLevel="0" collapsed="false">
      <c r="A29" s="37"/>
      <c r="B29" s="38" t="s">
        <v>892</v>
      </c>
      <c r="E29" s="637" t="n">
        <f aca="false">Assm!$L$85-'Enron Returns'!E$11</f>
        <v>0</v>
      </c>
      <c r="F29" s="637" t="n">
        <f aca="false">Assm!$L$85-'Enron Returns'!F$11</f>
        <v>0</v>
      </c>
      <c r="G29" s="637" t="n">
        <f aca="false">Assm!$L$85-'Enron Returns'!G$11</f>
        <v>0</v>
      </c>
      <c r="H29" s="637" t="n">
        <f aca="false">Assm!$L$85-'Enron Returns'!H$11</f>
        <v>0.13</v>
      </c>
      <c r="I29" s="637" t="n">
        <f aca="false">Assm!$L$85-'Enron Returns'!I$11</f>
        <v>0.13</v>
      </c>
      <c r="J29" s="637" t="n">
        <f aca="false">Assm!$L$85-'Enron Returns'!J$11</f>
        <v>0.13</v>
      </c>
      <c r="K29" s="637" t="n">
        <f aca="false">Assm!$L$85-'Enron Returns'!K$11</f>
        <v>0.13</v>
      </c>
      <c r="L29" s="637" t="n">
        <f aca="false">Assm!$L$85-'Enron Returns'!L$11</f>
        <v>0.13</v>
      </c>
      <c r="M29" s="637" t="n">
        <f aca="false">Assm!$L$85-'Enron Returns'!M$11</f>
        <v>0.13</v>
      </c>
      <c r="N29" s="637" t="n">
        <f aca="false">Assm!$L$85-'Enron Returns'!N$11</f>
        <v>0.13</v>
      </c>
      <c r="O29" s="637" t="n">
        <f aca="false">Assm!$L$85-'Enron Returns'!O$11</f>
        <v>0.13</v>
      </c>
      <c r="P29" s="637" t="n">
        <f aca="false">Assm!$L$85-'Enron Returns'!P$11</f>
        <v>0.13</v>
      </c>
      <c r="Q29" s="637" t="n">
        <f aca="false">Assm!$L$85-'Enron Returns'!Q$11</f>
        <v>0.13</v>
      </c>
      <c r="R29" s="637" t="n">
        <f aca="false">Assm!$L$85-'Enron Returns'!R$11</f>
        <v>0.13</v>
      </c>
      <c r="S29" s="637" t="n">
        <f aca="false">Assm!$L$85-'Enron Returns'!S$11</f>
        <v>0.13</v>
      </c>
      <c r="T29" s="637" t="n">
        <f aca="false">Assm!$L$85-'Enron Returns'!T$11</f>
        <v>0.13</v>
      </c>
      <c r="U29" s="637" t="n">
        <f aca="false">Assm!$L$85-'Enron Returns'!U$11</f>
        <v>0.13</v>
      </c>
      <c r="V29" s="637" t="n">
        <f aca="false">Assm!$L$85-'Enron Returns'!V$11</f>
        <v>0.13</v>
      </c>
      <c r="W29" s="637" t="n">
        <f aca="false">Assm!$L$85-'Enron Returns'!W$11</f>
        <v>0.13</v>
      </c>
      <c r="X29" s="637" t="n">
        <f aca="false">Assm!$L$85-'Enron Returns'!X$11</f>
        <v>0.13</v>
      </c>
      <c r="Y29" s="637" t="n">
        <f aca="false">Assm!$L$85-'Enron Returns'!Y$11</f>
        <v>0.13</v>
      </c>
      <c r="Z29" s="637" t="n">
        <f aca="false">Assm!$L$85-'Enron Returns'!Z$11</f>
        <v>0.13</v>
      </c>
      <c r="AA29" s="637" t="n">
        <f aca="false">Assm!$L$85-'Enron Returns'!AA$11</f>
        <v>0.13</v>
      </c>
      <c r="AB29" s="638"/>
      <c r="AC29" s="555"/>
    </row>
    <row r="30" customFormat="false" ht="12.75" hidden="false" customHeight="false" outlineLevel="0" collapsed="false">
      <c r="A30" s="37"/>
      <c r="E30" s="637"/>
      <c r="F30" s="637"/>
      <c r="G30" s="637"/>
      <c r="H30" s="637"/>
      <c r="I30" s="637"/>
      <c r="J30" s="637"/>
      <c r="K30" s="637"/>
      <c r="L30" s="637"/>
      <c r="M30" s="637"/>
      <c r="N30" s="637"/>
      <c r="O30" s="637"/>
      <c r="P30" s="637"/>
      <c r="Q30" s="637"/>
      <c r="R30" s="637"/>
      <c r="S30" s="637"/>
      <c r="T30" s="637"/>
      <c r="U30" s="637"/>
      <c r="V30" s="637"/>
      <c r="W30" s="637"/>
      <c r="X30" s="637"/>
      <c r="Y30" s="637"/>
      <c r="Z30" s="637"/>
      <c r="AA30" s="637"/>
      <c r="AB30" s="638"/>
      <c r="AC30" s="555"/>
    </row>
    <row r="31" customFormat="false" ht="12.75" hidden="false" customHeight="false" outlineLevel="0" collapsed="false">
      <c r="A31" s="37"/>
      <c r="B31" s="38" t="s">
        <v>893</v>
      </c>
      <c r="E31" s="217" t="n">
        <f aca="false">-'Enron Returns'!E15</f>
        <v>-0</v>
      </c>
      <c r="F31" s="217" t="n">
        <f aca="false">-'Enron Returns'!F15</f>
        <v>-0</v>
      </c>
      <c r="G31" s="217" t="n">
        <f aca="false">-'Enron Returns'!G15</f>
        <v>-11300</v>
      </c>
      <c r="H31" s="217" t="n">
        <f aca="false">-'Enron Returns'!H15</f>
        <v>-0</v>
      </c>
      <c r="I31" s="217" t="n">
        <f aca="false">-'Enron Returns'!I15</f>
        <v>-0</v>
      </c>
      <c r="J31" s="217" t="n">
        <f aca="false">-'Enron Returns'!J15</f>
        <v>-0</v>
      </c>
      <c r="K31" s="217" t="n">
        <f aca="false">-'Enron Returns'!K15</f>
        <v>-0</v>
      </c>
      <c r="L31" s="217" t="n">
        <f aca="false">-'Enron Returns'!L15</f>
        <v>-0</v>
      </c>
      <c r="M31" s="217" t="n">
        <f aca="false">-'Enron Returns'!M15</f>
        <v>-0</v>
      </c>
      <c r="N31" s="217" t="n">
        <f aca="false">-'Enron Returns'!N15</f>
        <v>-0</v>
      </c>
      <c r="O31" s="217" t="n">
        <f aca="false">-'Enron Returns'!O15</f>
        <v>-0</v>
      </c>
      <c r="P31" s="217" t="n">
        <f aca="false">-'Enron Returns'!P15</f>
        <v>-0</v>
      </c>
      <c r="Q31" s="217" t="n">
        <f aca="false">-'Enron Returns'!Q15</f>
        <v>-0</v>
      </c>
      <c r="R31" s="217" t="n">
        <f aca="false">-'Enron Returns'!R15</f>
        <v>-0</v>
      </c>
      <c r="S31" s="217" t="n">
        <f aca="false">-'Enron Returns'!S15</f>
        <v>-0</v>
      </c>
      <c r="T31" s="217" t="n">
        <f aca="false">-'Enron Returns'!T15</f>
        <v>-0</v>
      </c>
      <c r="U31" s="217" t="n">
        <f aca="false">-'Enron Returns'!U15</f>
        <v>-0</v>
      </c>
      <c r="V31" s="217" t="n">
        <f aca="false">-'Enron Returns'!V15</f>
        <v>-0</v>
      </c>
      <c r="W31" s="217" t="n">
        <f aca="false">-'Enron Returns'!W15</f>
        <v>-0</v>
      </c>
      <c r="X31" s="217" t="n">
        <f aca="false">-'Enron Returns'!X15</f>
        <v>-0</v>
      </c>
      <c r="Y31" s="217" t="n">
        <f aca="false">-'Enron Returns'!Y15</f>
        <v>-0</v>
      </c>
      <c r="Z31" s="217" t="n">
        <f aca="false">-'Enron Returns'!Z15</f>
        <v>-0</v>
      </c>
      <c r="AA31" s="217" t="n">
        <f aca="false">-'Enron Returns'!AA15</f>
        <v>-0</v>
      </c>
      <c r="AB31" s="574" t="n">
        <f aca="false">SUM(E31:AA31)</f>
        <v>-11300</v>
      </c>
      <c r="AC31" s="574" t="n">
        <f aca="false">IF($I$3=0,F31+NPV(Disc,G31:AA31),E31+NPV(Disc,F31:AA31))</f>
        <v>-9495.79831932773</v>
      </c>
    </row>
    <row r="32" customFormat="false" ht="12.75" hidden="false" customHeight="false" outlineLevel="0" collapsed="false">
      <c r="A32" s="37"/>
      <c r="B32" s="38" t="s">
        <v>883</v>
      </c>
      <c r="E32" s="217" t="n">
        <f aca="false">E14*E$29</f>
        <v>0</v>
      </c>
      <c r="F32" s="217" t="n">
        <f aca="false">F14*F$29</f>
        <v>0</v>
      </c>
      <c r="G32" s="217" t="n">
        <f aca="false">G14*G$29</f>
        <v>0</v>
      </c>
      <c r="H32" s="217" t="n">
        <f aca="false">H14*H$29</f>
        <v>0</v>
      </c>
      <c r="I32" s="217" t="n">
        <f aca="false">I14*I$29</f>
        <v>0</v>
      </c>
      <c r="J32" s="217" t="n">
        <f aca="false">J14*J$29</f>
        <v>0</v>
      </c>
      <c r="K32" s="217" t="n">
        <f aca="false">K14*K$29</f>
        <v>0</v>
      </c>
      <c r="L32" s="217" t="n">
        <f aca="false">L14*L$29</f>
        <v>0</v>
      </c>
      <c r="M32" s="217" t="n">
        <f aca="false">M14*M$29</f>
        <v>0</v>
      </c>
      <c r="N32" s="217" t="n">
        <f aca="false">N14*N$29</f>
        <v>0</v>
      </c>
      <c r="O32" s="217" t="n">
        <f aca="false">O14*O$29</f>
        <v>298.617653407007</v>
      </c>
      <c r="P32" s="217" t="n">
        <f aca="false">P14*P$29</f>
        <v>772.823526348984</v>
      </c>
      <c r="Q32" s="217" t="n">
        <f aca="false">Q14*Q$29</f>
        <v>808.003568866482</v>
      </c>
      <c r="R32" s="217" t="n">
        <f aca="false">R14*R$29</f>
        <v>930.008881144117</v>
      </c>
      <c r="S32" s="217" t="n">
        <f aca="false">S14*S$29</f>
        <v>1010.44098414987</v>
      </c>
      <c r="T32" s="217" t="n">
        <f aca="false">T14*T$29</f>
        <v>716.415448818144</v>
      </c>
      <c r="U32" s="217" t="n">
        <f aca="false">U14*U$29</f>
        <v>922.124120419096</v>
      </c>
      <c r="V32" s="217" t="n">
        <f aca="false">V14*V$29</f>
        <v>313.365640014251</v>
      </c>
      <c r="W32" s="217" t="n">
        <f aca="false">W14*W$29</f>
        <v>0</v>
      </c>
      <c r="X32" s="217" t="n">
        <f aca="false">X14*X$29</f>
        <v>0</v>
      </c>
      <c r="Y32" s="217" t="n">
        <f aca="false">Y14*Y$29</f>
        <v>0</v>
      </c>
      <c r="Z32" s="217" t="n">
        <f aca="false">Z14*Z$29</f>
        <v>0</v>
      </c>
      <c r="AA32" s="217" t="n">
        <f aca="false">AA14*AA$29</f>
        <v>5800.37708537184</v>
      </c>
      <c r="AB32" s="574" t="n">
        <f aca="false">SUM(E32:AA32)</f>
        <v>11572.1769085398</v>
      </c>
      <c r="AC32" s="574" t="n">
        <f aca="false">IF($I$3=0,F32+NPV(Disc,G32:AA32),E32+NPV(Disc,F32:AA32))</f>
        <v>838.233714425869</v>
      </c>
    </row>
    <row r="33" customFormat="false" ht="12.75" hidden="false" customHeight="false" outlineLevel="0" collapsed="false">
      <c r="A33" s="659"/>
      <c r="B33" s="38" t="s">
        <v>894</v>
      </c>
      <c r="E33" s="217" t="n">
        <f aca="false">E15*E$29</f>
        <v>0</v>
      </c>
      <c r="F33" s="217" t="n">
        <f aca="false">F15*F$29</f>
        <v>0</v>
      </c>
      <c r="G33" s="217" t="n">
        <f aca="false">G15*G$29</f>
        <v>-0</v>
      </c>
      <c r="H33" s="217" t="n">
        <f aca="false">H15*H$29</f>
        <v>436.584043978844</v>
      </c>
      <c r="I33" s="217" t="n">
        <f aca="false">I15*I$29</f>
        <v>1987.97290935831</v>
      </c>
      <c r="J33" s="217" t="n">
        <f aca="false">J15*J$29</f>
        <v>229.361892566989</v>
      </c>
      <c r="K33" s="217" t="n">
        <f aca="false">K15*K$29</f>
        <v>598.191229710189</v>
      </c>
      <c r="L33" s="217" t="n">
        <f aca="false">L15*L$29</f>
        <v>-982.474574151089</v>
      </c>
      <c r="M33" s="217" t="n">
        <f aca="false">M15*M$29</f>
        <v>826.44607943759</v>
      </c>
      <c r="N33" s="217" t="n">
        <f aca="false">N15*N$29</f>
        <v>837.636057161292</v>
      </c>
      <c r="O33" s="217" t="n">
        <f aca="false">O15*O$29</f>
        <v>233.858143436791</v>
      </c>
      <c r="P33" s="217" t="n">
        <f aca="false">P15*P$29</f>
        <v>-327.446169164955</v>
      </c>
      <c r="Q33" s="217" t="n">
        <f aca="false">Q15*Q$29</f>
        <v>-148.899686574082</v>
      </c>
      <c r="R33" s="217" t="n">
        <f aca="false">R15*R$29</f>
        <v>-298.511703721326</v>
      </c>
      <c r="S33" s="217" t="n">
        <f aca="false">S15*S$29</f>
        <v>-976.806662695299</v>
      </c>
      <c r="T33" s="217" t="n">
        <f aca="false">T15*T$29</f>
        <v>-678.383376644769</v>
      </c>
      <c r="U33" s="217" t="n">
        <f aca="false">U15*U$29</f>
        <v>938.434364726091</v>
      </c>
      <c r="V33" s="217" t="n">
        <f aca="false">V15*V$29</f>
        <v>441.904244231315</v>
      </c>
      <c r="W33" s="217" t="n">
        <f aca="false">W15*W$29</f>
        <v>-258.623686556641</v>
      </c>
      <c r="X33" s="217" t="n">
        <f aca="false">X15*X$29</f>
        <v>791.134560298039</v>
      </c>
      <c r="Y33" s="217" t="n">
        <f aca="false">Y15*Y$29</f>
        <v>609.688773006123</v>
      </c>
      <c r="Z33" s="217" t="n">
        <f aca="false">Z15*Z$29</f>
        <v>809.198688038967</v>
      </c>
      <c r="AA33" s="217" t="n">
        <f aca="false">AA15*AA$29</f>
        <v>-4812.05907665602</v>
      </c>
      <c r="AB33" s="574" t="n">
        <f aca="false">SUM(E33:AA33)</f>
        <v>257.20604978636</v>
      </c>
      <c r="AC33" s="574" t="n">
        <f aca="false">IF($I$3=0,F33+NPV(Disc,G33:AA33),E33+NPV(Disc,F33:AA33))</f>
        <v>1771.23400858402</v>
      </c>
    </row>
    <row r="34" customFormat="false" ht="12.75" hidden="false" customHeight="false" outlineLevel="0" collapsed="false">
      <c r="A34" s="280"/>
      <c r="B34" s="38" t="s">
        <v>895</v>
      </c>
      <c r="D34" s="79" t="s">
        <v>341</v>
      </c>
      <c r="E34" s="217" t="n">
        <f aca="false">-Trapped!E$40*E$10*E$29</f>
        <v>-0</v>
      </c>
      <c r="F34" s="217" t="n">
        <f aca="false">-Trapped!F$40*F$10*F$29</f>
        <v>-0</v>
      </c>
      <c r="G34" s="217" t="n">
        <f aca="false">-Trapped!G$40*G$10*G$29</f>
        <v>-0</v>
      </c>
      <c r="H34" s="217" t="n">
        <f aca="false">-Trapped!H$40*H$10*H$29</f>
        <v>-0</v>
      </c>
      <c r="I34" s="217" t="n">
        <f aca="false">-Trapped!I$40*I$10*I$29</f>
        <v>-10.762679651549</v>
      </c>
      <c r="J34" s="217" t="n">
        <f aca="false">-Trapped!J$40*J$10*J$29</f>
        <v>-130.041054213048</v>
      </c>
      <c r="K34" s="217" t="n">
        <f aca="false">-Trapped!K$40*K$10*K$29</f>
        <v>-143.802767767067</v>
      </c>
      <c r="L34" s="217" t="n">
        <f aca="false">-Trapped!L$40*L$10*L$29</f>
        <v>-179.694241549678</v>
      </c>
      <c r="M34" s="217" t="n">
        <f aca="false">-Trapped!M$40*M$10*M$29</f>
        <v>-179.694241549678</v>
      </c>
      <c r="N34" s="217" t="n">
        <f aca="false">-Trapped!N$40*N$10*N$29</f>
        <v>-170.332531866868</v>
      </c>
      <c r="O34" s="217" t="n">
        <f aca="false">-Trapped!O$40*O$10*O$29</f>
        <v>-220.590695296546</v>
      </c>
      <c r="P34" s="217" t="n">
        <f aca="false">-Trapped!P$40*P$10*P$29</f>
        <v>-234.622183902753</v>
      </c>
      <c r="Q34" s="217" t="n">
        <f aca="false">-Trapped!Q$40*Q$10*Q$29</f>
        <v>-234.622183902753</v>
      </c>
      <c r="R34" s="217" t="n">
        <f aca="false">-Trapped!R$40*R$10*R$29</f>
        <v>-214.975413752856</v>
      </c>
      <c r="S34" s="217" t="n">
        <f aca="false">-Trapped!S$40*S$10*S$29</f>
        <v>-206.041432558411</v>
      </c>
      <c r="T34" s="217" t="n">
        <f aca="false">-Trapped!T$40*T$10*T$29</f>
        <v>-188.130730335132</v>
      </c>
      <c r="U34" s="217" t="n">
        <f aca="false">-Trapped!U$40*U$10*U$29</f>
        <v>-129.522330573414</v>
      </c>
      <c r="V34" s="217" t="n">
        <f aca="false">-Trapped!V$40*V$10*V$29</f>
        <v>-145.125389858293</v>
      </c>
      <c r="W34" s="217" t="n">
        <f aca="false">-Trapped!W$40*W$10*W$29</f>
        <v>-171.639644512172</v>
      </c>
      <c r="X34" s="217" t="n">
        <f aca="false">-Trapped!X$40*X$10*X$29</f>
        <v>-171.639644512172</v>
      </c>
      <c r="Y34" s="217" t="n">
        <f aca="false">-Trapped!Y$40*Y$10*Y$29</f>
        <v>-203.590296936656</v>
      </c>
      <c r="Z34" s="217" t="n">
        <f aca="false">-Trapped!Z$40*Z$10*Z$29</f>
        <v>-240.171623317023</v>
      </c>
      <c r="AA34" s="217" t="n">
        <f aca="false">-Trapped!AA$40*AA$10*AA$29</f>
        <v>-288.723544599361</v>
      </c>
      <c r="AB34" s="574" t="n">
        <f aca="false">SUM(E34:AA34)</f>
        <v>-3463.72263065543</v>
      </c>
      <c r="AC34" s="574" t="n">
        <f aca="false">IF($I$3=0,F34+NPV(Disc,G34:AA34),E34+NPV(Disc,F34:AA34))</f>
        <v>-534.102543960835</v>
      </c>
    </row>
    <row r="35" customFormat="false" ht="12.75" hidden="false" customHeight="false" outlineLevel="0" collapsed="false">
      <c r="A35" s="280"/>
      <c r="B35" s="38" t="s">
        <v>885</v>
      </c>
      <c r="E35" s="217" t="n">
        <f aca="false">E16*E$29</f>
        <v>0</v>
      </c>
      <c r="F35" s="217" t="n">
        <f aca="false">F16*F$29</f>
        <v>0</v>
      </c>
      <c r="G35" s="217" t="n">
        <f aca="false">G16*G$29</f>
        <v>0</v>
      </c>
      <c r="H35" s="217" t="n">
        <f aca="false">H16*H$29</f>
        <v>0</v>
      </c>
      <c r="I35" s="217" t="n">
        <f aca="false">I16*I$29</f>
        <v>0</v>
      </c>
      <c r="J35" s="217" t="n">
        <f aca="false">J16*J$29</f>
        <v>0</v>
      </c>
      <c r="K35" s="217" t="n">
        <f aca="false">K16*K$29</f>
        <v>265.575938770266</v>
      </c>
      <c r="L35" s="217" t="n">
        <f aca="false">L16*L$29</f>
        <v>0</v>
      </c>
      <c r="M35" s="217" t="n">
        <f aca="false">M16*M$29</f>
        <v>1022.52430522892</v>
      </c>
      <c r="N35" s="217" t="n">
        <f aca="false">N16*N$29</f>
        <v>1159.25444907958</v>
      </c>
      <c r="O35" s="217" t="n">
        <f aca="false">O16*O$29</f>
        <v>1125.28485463427</v>
      </c>
      <c r="P35" s="217" t="n">
        <f aca="false">P16*P$29</f>
        <v>1003.3044751061</v>
      </c>
      <c r="Q35" s="217" t="n">
        <f aca="false">Q16*Q$29</f>
        <v>1049.09508006566</v>
      </c>
      <c r="R35" s="217" t="n">
        <f aca="false">R16*R$29</f>
        <v>1206.31641266395</v>
      </c>
      <c r="S35" s="217" t="n">
        <f aca="false">S16*S$29</f>
        <v>1206.31641266395</v>
      </c>
      <c r="T35" s="217" t="n">
        <f aca="false">T16*T$29</f>
        <v>930.106030220688</v>
      </c>
      <c r="U35" s="217" t="n">
        <f aca="false">U16*U$29</f>
        <v>1206.31641266395</v>
      </c>
      <c r="V35" s="217" t="n">
        <f aca="false">V16*V$29</f>
        <v>466.041042185207</v>
      </c>
      <c r="W35" s="217" t="n">
        <f aca="false">W16*W$29</f>
        <v>0</v>
      </c>
      <c r="X35" s="217" t="n">
        <f aca="false">X16*X$29</f>
        <v>0</v>
      </c>
      <c r="Y35" s="217" t="n">
        <f aca="false">Y16*Y$29</f>
        <v>0</v>
      </c>
      <c r="Z35" s="217" t="n">
        <f aca="false">Z16*Z$29</f>
        <v>0</v>
      </c>
      <c r="AA35" s="217" t="n">
        <f aca="false">AA16*AA$29</f>
        <v>0</v>
      </c>
      <c r="AB35" s="574" t="n">
        <f aca="false">SUM(E35:AA35)</f>
        <v>10640.1354132825</v>
      </c>
      <c r="AC35" s="574" t="n">
        <f aca="false">IF($I$3=0,F35+NPV(Disc,G35:AA35),E35+NPV(Disc,F35:AA35))</f>
        <v>1742.61115599037</v>
      </c>
    </row>
    <row r="36" customFormat="false" ht="12.75" hidden="false" customHeight="false" outlineLevel="0" collapsed="false">
      <c r="A36" s="280"/>
      <c r="B36" s="38" t="s">
        <v>896</v>
      </c>
      <c r="C36" s="306" t="n">
        <f aca="false">IF(A37=0,0,Wh_Int)</f>
        <v>0</v>
      </c>
      <c r="E36" s="217" t="n">
        <f aca="false">-E35*$C36</f>
        <v>-0</v>
      </c>
      <c r="F36" s="217" t="n">
        <f aca="false">-F35*$C36</f>
        <v>-0</v>
      </c>
      <c r="G36" s="217" t="n">
        <f aca="false">-G35*$C36</f>
        <v>-0</v>
      </c>
      <c r="H36" s="217" t="n">
        <f aca="false">-H35*$C36</f>
        <v>-0</v>
      </c>
      <c r="I36" s="217" t="n">
        <f aca="false">-I35*$C36</f>
        <v>-0</v>
      </c>
      <c r="J36" s="217" t="n">
        <f aca="false">-J35*$C36</f>
        <v>-0</v>
      </c>
      <c r="K36" s="217" t="n">
        <f aca="false">-K35*$C36</f>
        <v>-0</v>
      </c>
      <c r="L36" s="217" t="n">
        <f aca="false">-L35*$C36</f>
        <v>-0</v>
      </c>
      <c r="M36" s="217" t="n">
        <f aca="false">-M35*$C36</f>
        <v>-0</v>
      </c>
      <c r="N36" s="217" t="n">
        <f aca="false">-N35*$C36</f>
        <v>-0</v>
      </c>
      <c r="O36" s="217" t="n">
        <f aca="false">-O35*$C36</f>
        <v>-0</v>
      </c>
      <c r="P36" s="217" t="n">
        <f aca="false">-P35*$C36</f>
        <v>-0</v>
      </c>
      <c r="Q36" s="217" t="n">
        <f aca="false">-Q35*$C36</f>
        <v>-0</v>
      </c>
      <c r="R36" s="217" t="n">
        <f aca="false">-R35*$C36</f>
        <v>-0</v>
      </c>
      <c r="S36" s="217" t="n">
        <f aca="false">-S35*$C36</f>
        <v>-0</v>
      </c>
      <c r="T36" s="217" t="n">
        <f aca="false">-T35*$C36</f>
        <v>-0</v>
      </c>
      <c r="U36" s="217" t="n">
        <f aca="false">-U35*$C36</f>
        <v>-0</v>
      </c>
      <c r="V36" s="217" t="n">
        <f aca="false">-V35*$C36</f>
        <v>-0</v>
      </c>
      <c r="W36" s="217" t="n">
        <f aca="false">-W35*$C36</f>
        <v>-0</v>
      </c>
      <c r="X36" s="217" t="n">
        <f aca="false">-X35*$C36</f>
        <v>-0</v>
      </c>
      <c r="Y36" s="217" t="n">
        <f aca="false">-Y35*$C36</f>
        <v>-0</v>
      </c>
      <c r="Z36" s="217" t="n">
        <f aca="false">-Z35*$C36</f>
        <v>-0</v>
      </c>
      <c r="AA36" s="217" t="n">
        <f aca="false">-AA35*$C36</f>
        <v>-0</v>
      </c>
      <c r="AB36" s="574" t="n">
        <f aca="false">SUM(E36:AA36)</f>
        <v>0</v>
      </c>
      <c r="AC36" s="574" t="n">
        <f aca="false">IF($I$3=0,F36+NPV(Disc,G36:AA36),E36+NPV(Disc,F36:AA36))</f>
        <v>0</v>
      </c>
    </row>
    <row r="37" customFormat="false" ht="12.75" hidden="false" customHeight="false" outlineLevel="0" collapsed="false">
      <c r="A37" s="660" t="n">
        <v>0</v>
      </c>
      <c r="B37" s="38" t="s">
        <v>897</v>
      </c>
      <c r="C37" s="529" t="n">
        <v>0</v>
      </c>
      <c r="E37" s="220" t="n">
        <f aca="false">-SUM(E34)*$C37</f>
        <v>-0</v>
      </c>
      <c r="F37" s="220" t="n">
        <f aca="false">-SUM(F34)*$C37</f>
        <v>-0</v>
      </c>
      <c r="G37" s="220" t="n">
        <f aca="false">-SUM(G34)*$C37</f>
        <v>-0</v>
      </c>
      <c r="H37" s="220" t="n">
        <f aca="false">-SUM(H34)*$C37</f>
        <v>-0</v>
      </c>
      <c r="I37" s="220" t="n">
        <f aca="false">-SUM(I34)*$C37</f>
        <v>0</v>
      </c>
      <c r="J37" s="220" t="n">
        <f aca="false">-SUM(J34)*$C37</f>
        <v>0</v>
      </c>
      <c r="K37" s="220" t="n">
        <f aca="false">-SUM(K34)*$C37</f>
        <v>0</v>
      </c>
      <c r="L37" s="220" t="n">
        <f aca="false">-SUM(L34)*$C37</f>
        <v>0</v>
      </c>
      <c r="M37" s="220" t="n">
        <f aca="false">-SUM(M34)*$C37</f>
        <v>0</v>
      </c>
      <c r="N37" s="220" t="n">
        <f aca="false">-SUM(N34)*$C37</f>
        <v>0</v>
      </c>
      <c r="O37" s="220" t="n">
        <f aca="false">-SUM(O34)*$C37</f>
        <v>0</v>
      </c>
      <c r="P37" s="220" t="n">
        <f aca="false">-SUM(P34)*$C37</f>
        <v>0</v>
      </c>
      <c r="Q37" s="220" t="n">
        <f aca="false">-SUM(Q34)*$C37</f>
        <v>0</v>
      </c>
      <c r="R37" s="220" t="n">
        <f aca="false">-SUM(R34)*$C37</f>
        <v>0</v>
      </c>
      <c r="S37" s="220" t="n">
        <f aca="false">-SUM(S34)*$C37</f>
        <v>0</v>
      </c>
      <c r="T37" s="220" t="n">
        <f aca="false">-SUM(T34)*$C37</f>
        <v>0</v>
      </c>
      <c r="U37" s="220" t="n">
        <f aca="false">-SUM(U34)*$C37</f>
        <v>0</v>
      </c>
      <c r="V37" s="220" t="n">
        <f aca="false">-SUM(V34)*$C37</f>
        <v>0</v>
      </c>
      <c r="W37" s="220" t="n">
        <f aca="false">-SUM(W34)*$C37</f>
        <v>0</v>
      </c>
      <c r="X37" s="220" t="n">
        <f aca="false">-SUM(X34)*$C37</f>
        <v>0</v>
      </c>
      <c r="Y37" s="220" t="n">
        <f aca="false">-SUM(Y34)*$C37</f>
        <v>0</v>
      </c>
      <c r="Z37" s="220" t="n">
        <f aca="false">-SUM(Z34)*$C37</f>
        <v>0</v>
      </c>
      <c r="AA37" s="220" t="n">
        <f aca="false">-SUM(AA34)*$C37</f>
        <v>0</v>
      </c>
      <c r="AB37" s="576" t="n">
        <f aca="false">SUM(E37:AA37)</f>
        <v>0</v>
      </c>
      <c r="AC37" s="576" t="n">
        <f aca="false">IF($I$3=0,F37+NPV(Disc,G37:AA37),E37+NPV(Disc,F37:AA37))</f>
        <v>0</v>
      </c>
    </row>
    <row r="38" customFormat="false" ht="12.75" hidden="false" customHeight="false" outlineLevel="0" collapsed="false">
      <c r="A38" s="280"/>
      <c r="B38" s="38" t="s">
        <v>898</v>
      </c>
      <c r="E38" s="217" t="n">
        <f aca="false">SUM(E31:E37)</f>
        <v>0</v>
      </c>
      <c r="F38" s="217" t="n">
        <f aca="false">SUM(F31:F37)</f>
        <v>0</v>
      </c>
      <c r="G38" s="217" t="n">
        <f aca="false">SUM(G31:G37)</f>
        <v>-11300</v>
      </c>
      <c r="H38" s="217" t="n">
        <f aca="false">SUM(H31:H37)</f>
        <v>436.584043978844</v>
      </c>
      <c r="I38" s="217" t="n">
        <f aca="false">SUM(I31:I37)</f>
        <v>1977.21022970676</v>
      </c>
      <c r="J38" s="217" t="n">
        <f aca="false">SUM(J31:J37)</f>
        <v>99.3208383539418</v>
      </c>
      <c r="K38" s="217" t="n">
        <f aca="false">SUM(K31:K37)</f>
        <v>719.964400713388</v>
      </c>
      <c r="L38" s="217" t="n">
        <f aca="false">SUM(L31:L37)</f>
        <v>-1162.16881570077</v>
      </c>
      <c r="M38" s="217" t="n">
        <f aca="false">SUM(M31:M37)</f>
        <v>1669.27614311683</v>
      </c>
      <c r="N38" s="217" t="n">
        <f aca="false">SUM(N31:N37)</f>
        <v>1826.557974374</v>
      </c>
      <c r="O38" s="217" t="n">
        <f aca="false">SUM(O31:O37)</f>
        <v>1437.16995618153</v>
      </c>
      <c r="P38" s="217" t="n">
        <f aca="false">SUM(P31:P37)</f>
        <v>1214.05964838737</v>
      </c>
      <c r="Q38" s="217" t="n">
        <f aca="false">SUM(Q31:Q37)</f>
        <v>1473.57677845531</v>
      </c>
      <c r="R38" s="217" t="n">
        <f aca="false">SUM(R31:R37)</f>
        <v>1622.83817633388</v>
      </c>
      <c r="S38" s="217" t="n">
        <f aca="false">SUM(S31:S37)</f>
        <v>1033.9093015601</v>
      </c>
      <c r="T38" s="217" t="n">
        <f aca="false">SUM(T31:T37)</f>
        <v>780.007372058932</v>
      </c>
      <c r="U38" s="217" t="n">
        <f aca="false">SUM(U31:U37)</f>
        <v>2937.35256723572</v>
      </c>
      <c r="V38" s="217" t="n">
        <f aca="false">SUM(V31:V37)</f>
        <v>1076.18553657248</v>
      </c>
      <c r="W38" s="217" t="n">
        <f aca="false">SUM(W31:W37)</f>
        <v>-430.263331068813</v>
      </c>
      <c r="X38" s="217" t="n">
        <f aca="false">SUM(X31:X37)</f>
        <v>619.494915785868</v>
      </c>
      <c r="Y38" s="217" t="n">
        <f aca="false">SUM(Y31:Y37)</f>
        <v>406.098476069467</v>
      </c>
      <c r="Z38" s="217" t="n">
        <f aca="false">SUM(Z31:Z37)</f>
        <v>569.027064721944</v>
      </c>
      <c r="AA38" s="217" t="n">
        <f aca="false">SUM(AA31:AA37)</f>
        <v>699.594464116463</v>
      </c>
      <c r="AB38" s="574" t="n">
        <f aca="false">SUM(E38:AA38)</f>
        <v>7705.79574095325</v>
      </c>
      <c r="AC38" s="574" t="n">
        <f aca="false">SUM(AC31:AC37)</f>
        <v>-5677.82198428831</v>
      </c>
    </row>
    <row r="39" customFormat="false" ht="12.75" hidden="false" customHeight="false" outlineLevel="0" collapsed="false">
      <c r="A39" s="280"/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217"/>
      <c r="AB39" s="574"/>
      <c r="AC39" s="574"/>
    </row>
    <row r="40" customFormat="false" ht="12.75" hidden="false" customHeight="false" outlineLevel="0" collapsed="false">
      <c r="A40" s="280"/>
      <c r="B40" s="38" t="s">
        <v>899</v>
      </c>
      <c r="E40" s="645" t="n">
        <f aca="false">$E38</f>
        <v>0</v>
      </c>
      <c r="F40" s="645" t="n">
        <f aca="false">IF($I$3=0,$F38,$E38+NPV(Disc,$F38:F38))</f>
        <v>0</v>
      </c>
      <c r="G40" s="217" t="n">
        <f aca="false">IF($I$3=0,$F38+NPV(Disc,$G38:G38),$E38+NPV(Disc,$F38:G38))</f>
        <v>-9495.79831932773</v>
      </c>
      <c r="H40" s="217" t="n">
        <f aca="false">IF($I$3=0,$F38+NPV(Disc,$G38:H38),$E38+NPV(Disc,$F38:H38))</f>
        <v>-9187.49802699044</v>
      </c>
      <c r="I40" s="217" t="n">
        <f aca="false">IF($I$3=0,$F38+NPV(Disc,$G38:I38),$E38+NPV(Disc,$F38:I38))</f>
        <v>-8014.19020873307</v>
      </c>
      <c r="J40" s="217" t="n">
        <f aca="false">IF($I$3=0,$F38+NPV(Disc,$G38:J38),$E38+NPV(Disc,$F38:J38))</f>
        <v>-7964.66201028233</v>
      </c>
      <c r="K40" s="217" t="n">
        <f aca="false">IF($I$3=0,$F38+NPV(Disc,$G38:K38),$E38+NPV(Disc,$F38:K38))</f>
        <v>-7662.96138107066</v>
      </c>
      <c r="L40" s="217" t="n">
        <f aca="false">IF($I$3=0,$F38+NPV(Disc,$G38:L38),$E38+NPV(Disc,$F38:L38))</f>
        <v>-8072.21021395725</v>
      </c>
      <c r="M40" s="217" t="n">
        <f aca="false">IF($I$3=0,$F38+NPV(Disc,$G38:M38),$E38+NPV(Disc,$F38:M38))</f>
        <v>-7578.24148457144</v>
      </c>
      <c r="N40" s="217" t="n">
        <f aca="false">IF($I$3=0,$F38+NPV(Disc,$G38:N38),$E38+NPV(Disc,$F38:N38))</f>
        <v>-7124.03035664201</v>
      </c>
      <c r="O40" s="217" t="n">
        <f aca="false">IF($I$3=0,$F38+NPV(Disc,$G38:O38),$E38+NPV(Disc,$F38:O38))</f>
        <v>-6823.70951164202</v>
      </c>
      <c r="P40" s="217" t="n">
        <f aca="false">IF($I$3=0,$F38+NPV(Disc,$G38:P38),$E38+NPV(Disc,$F38:P38))</f>
        <v>-6610.51775365642</v>
      </c>
      <c r="Q40" s="217" t="n">
        <f aca="false">IF($I$3=0,$F38+NPV(Disc,$G38:Q38),$E38+NPV(Disc,$F38:Q38))</f>
        <v>-6393.06936504232</v>
      </c>
      <c r="R40" s="217" t="n">
        <f aca="false">IF($I$3=0,$F38+NPV(Disc,$G38:R38),$E38+NPV(Disc,$F38:R38))</f>
        <v>-6191.83058356113</v>
      </c>
      <c r="S40" s="217" t="n">
        <f aca="false">IF($I$3=0,$F38+NPV(Disc,$G38:S38),$E38+NPV(Disc,$F38:S38))</f>
        <v>-6084.09183061519</v>
      </c>
      <c r="T40" s="217" t="n">
        <f aca="false">IF($I$3=0,$F38+NPV(Disc,$G38:T38),$E38+NPV(Disc,$F38:T38))</f>
        <v>-6015.78859962833</v>
      </c>
      <c r="U40" s="217" t="n">
        <f aca="false">IF($I$3=0,$F38+NPV(Disc,$G38:U38),$E38+NPV(Disc,$F38:U38))</f>
        <v>-5799.64038299887</v>
      </c>
      <c r="V40" s="217" t="n">
        <f aca="false">IF($I$3=0,$F38+NPV(Disc,$G38:V38),$E38+NPV(Disc,$F38:V38))</f>
        <v>-5733.09226641709</v>
      </c>
      <c r="W40" s="217" t="n">
        <f aca="false">IF($I$3=0,$F38+NPV(Disc,$G38:W38),$E38+NPV(Disc,$F38:W38))</f>
        <v>-5755.45042290433</v>
      </c>
      <c r="X40" s="217" t="n">
        <f aca="false">IF($I$3=0,$F38+NPV(Disc,$G38:X38),$E38+NPV(Disc,$F38:X38))</f>
        <v>-5728.39885502582</v>
      </c>
      <c r="Y40" s="217" t="n">
        <f aca="false">IF($I$3=0,$F38+NPV(Disc,$G38:Y38),$E38+NPV(Disc,$F38:Y38))</f>
        <v>-5713.49704257214</v>
      </c>
      <c r="Z40" s="217" t="n">
        <f aca="false">IF($I$3=0,$F38+NPV(Disc,$G38:Z38),$E38+NPV(Disc,$F38:Z38))</f>
        <v>-5695.95041349752</v>
      </c>
      <c r="AA40" s="217" t="n">
        <f aca="false">IF($I$3=0,$F38+NPV(Disc,$G38:AA38),$E38+NPV(Disc,$F38:AA38))</f>
        <v>-5677.82198428831</v>
      </c>
      <c r="AB40" s="640"/>
      <c r="AC40" s="574" t="n">
        <f aca="false">AC38</f>
        <v>-5677.82198428831</v>
      </c>
    </row>
    <row r="41" customFormat="false" ht="12.75" hidden="false" customHeight="false" outlineLevel="0" collapsed="false">
      <c r="A41" s="280"/>
      <c r="B41" s="38" t="s">
        <v>900</v>
      </c>
      <c r="E41" s="260" t="e">
        <f aca="false">IRR($E38:E38,-0.9)</f>
        <v>#N/A</v>
      </c>
      <c r="F41" s="260" t="e">
        <f aca="false">IRR($E38:F38,-0.9)</f>
        <v>#N/A</v>
      </c>
      <c r="G41" s="260" t="e">
        <f aca="false">IRR($E38:G38,-0.9)</f>
        <v>#N/A</v>
      </c>
      <c r="H41" s="260" t="e">
        <f aca="false">IRR($E38:H38,-0.9)</f>
        <v>#N/A</v>
      </c>
      <c r="I41" s="260" t="n">
        <f aca="false">IRR($E38:I38,-0.9)</f>
        <v>-0.561936928514344</v>
      </c>
      <c r="J41" s="260" t="n">
        <f aca="false">IRR($E38:J38,-0.9)</f>
        <v>-0.539724515110772</v>
      </c>
      <c r="K41" s="260" t="n">
        <f aca="false">IRR($E38:K38,-0.9)</f>
        <v>-0.383151522520305</v>
      </c>
      <c r="L41" s="260" t="e">
        <f aca="false">IRR($E38:L38,-0.9)</f>
        <v>#N/A</v>
      </c>
      <c r="M41" s="260" t="e">
        <f aca="false">IRR($E38:M38,-0.9)</f>
        <v>#N/A</v>
      </c>
      <c r="N41" s="260" t="e">
        <f aca="false">IRR($E38:N38,-0.9)</f>
        <v>#N/A</v>
      </c>
      <c r="O41" s="260" t="e">
        <f aca="false">IRR($E38:O38,-0.9)</f>
        <v>#N/A</v>
      </c>
      <c r="P41" s="260" t="e">
        <f aca="false">IRR($E38:P38,-0.9)</f>
        <v>#N/A</v>
      </c>
      <c r="Q41" s="260" t="e">
        <f aca="false">IRR($E38:Q38,-0.9)</f>
        <v>#N/A</v>
      </c>
      <c r="R41" s="260" t="e">
        <f aca="false">IRR($E38:R38,-0.9)</f>
        <v>#N/A</v>
      </c>
      <c r="S41" s="260" t="e">
        <f aca="false">IRR($E38:S38,-0.9)</f>
        <v>#N/A</v>
      </c>
      <c r="T41" s="260" t="e">
        <f aca="false">IRR($E38:T38,-0.9)</f>
        <v>#N/A</v>
      </c>
      <c r="U41" s="260" t="e">
        <f aca="false">IRR($E38:U38,-0.9)</f>
        <v>#N/A</v>
      </c>
      <c r="V41" s="260" t="e">
        <f aca="false">IRR($E38:V38,-0.9)</f>
        <v>#N/A</v>
      </c>
      <c r="W41" s="260" t="e">
        <f aca="false">IRR($E38:W38,-0.9)</f>
        <v>#N/A</v>
      </c>
      <c r="X41" s="260" t="e">
        <f aca="false">IRR($E38:X38,-0.9)</f>
        <v>#N/A</v>
      </c>
      <c r="Y41" s="260" t="e">
        <f aca="false">IRR($E38:Y38,-0.9)</f>
        <v>#N/A</v>
      </c>
      <c r="Z41" s="260" t="e">
        <f aca="false">IRR($E38:Z38,-0.9)</f>
        <v>#N/A</v>
      </c>
      <c r="AA41" s="260" t="e">
        <f aca="false">IRR($E38:AA38,-0.9)</f>
        <v>#N/A</v>
      </c>
      <c r="AB41" s="638"/>
      <c r="AC41" s="646" t="e">
        <f aca="false">IRR(E38:AA38,-0.9)</f>
        <v>#N/A</v>
      </c>
    </row>
    <row r="42" customFormat="false" ht="12.75" hidden="false" customHeight="false" outlineLevel="0" collapsed="false">
      <c r="A42" s="37"/>
      <c r="AB42" s="555"/>
      <c r="AC42" s="557"/>
    </row>
    <row r="43" customFormat="false" ht="12.75" hidden="false" customHeight="false" outlineLevel="0" collapsed="false">
      <c r="A43" s="280"/>
      <c r="B43" s="647" t="str">
        <f aca="false">CONCATENATE(Assm!$H$98," NPV @ ",TEXT(Disc,"0.0%"))</f>
        <v>New Investor Equity % (LJM) NPV @ 19.0%</v>
      </c>
      <c r="C43" s="648" t="n">
        <f aca="false">AC40</f>
        <v>-5677.82198428831</v>
      </c>
      <c r="D43" s="62"/>
      <c r="AB43" s="555"/>
      <c r="AC43" s="557"/>
    </row>
    <row r="44" customFormat="false" ht="12.75" hidden="false" customHeight="false" outlineLevel="0" collapsed="false">
      <c r="A44" s="661"/>
      <c r="B44" s="662" t="str">
        <f aca="false">CONCATENATE(Assm!$H$98," IRR")</f>
        <v>New Investor Equity % (LJM) IRR</v>
      </c>
      <c r="C44" s="663" t="e">
        <f aca="false">AC41</f>
        <v>#N/A</v>
      </c>
      <c r="D44" s="664"/>
      <c r="E44" s="464"/>
      <c r="F44" s="464"/>
      <c r="G44" s="464"/>
      <c r="H44" s="464"/>
      <c r="I44" s="464"/>
      <c r="J44" s="464"/>
      <c r="K44" s="464"/>
      <c r="L44" s="464"/>
      <c r="M44" s="464"/>
      <c r="N44" s="464"/>
      <c r="O44" s="464"/>
      <c r="P44" s="464"/>
      <c r="Q44" s="464"/>
      <c r="R44" s="464"/>
      <c r="S44" s="464"/>
      <c r="T44" s="464"/>
      <c r="U44" s="464"/>
      <c r="V44" s="464"/>
      <c r="W44" s="464"/>
      <c r="X44" s="464"/>
      <c r="Y44" s="464"/>
      <c r="Z44" s="464"/>
      <c r="AA44" s="464"/>
      <c r="AB44" s="665"/>
      <c r="AC44" s="566"/>
    </row>
    <row r="45" customFormat="false" ht="12.75" hidden="false" customHeight="false" outlineLevel="0" collapsed="false">
      <c r="A45" s="37"/>
      <c r="AB45" s="555"/>
      <c r="AC45" s="555"/>
    </row>
    <row r="46" customFormat="false" ht="12.75" hidden="false" customHeight="false" outlineLevel="0" collapsed="false">
      <c r="A46" s="37"/>
      <c r="B46" s="38" t="s">
        <v>901</v>
      </c>
      <c r="E46" s="217" t="n">
        <f aca="false">E38</f>
        <v>0</v>
      </c>
      <c r="F46" s="217" t="n">
        <f aca="false">F38</f>
        <v>0</v>
      </c>
      <c r="G46" s="217" t="n">
        <f aca="false">G38</f>
        <v>-11300</v>
      </c>
      <c r="H46" s="217" t="n">
        <f aca="false">H38</f>
        <v>436.584043978844</v>
      </c>
      <c r="I46" s="217" t="n">
        <f aca="false">I38</f>
        <v>1977.21022970676</v>
      </c>
      <c r="J46" s="217" t="n">
        <f aca="false">J38</f>
        <v>99.3208383539418</v>
      </c>
      <c r="K46" s="217" t="n">
        <f aca="false">K38</f>
        <v>719.964400713388</v>
      </c>
      <c r="L46" s="217" t="n">
        <f aca="false">L38</f>
        <v>-1162.16881570077</v>
      </c>
      <c r="M46" s="217" t="n">
        <f aca="false">M38</f>
        <v>1669.27614311683</v>
      </c>
      <c r="N46" s="217" t="n">
        <f aca="false">N38</f>
        <v>1826.557974374</v>
      </c>
      <c r="O46" s="217" t="n">
        <f aca="false">O38</f>
        <v>1437.16995618153</v>
      </c>
      <c r="P46" s="217" t="n">
        <f aca="false">P38</f>
        <v>1214.05964838737</v>
      </c>
      <c r="Q46" s="217" t="n">
        <f aca="false">Q38</f>
        <v>1473.57677845531</v>
      </c>
      <c r="R46" s="217" t="n">
        <f aca="false">R38</f>
        <v>1622.83817633388</v>
      </c>
      <c r="S46" s="217" t="n">
        <f aca="false">S38</f>
        <v>1033.9093015601</v>
      </c>
      <c r="T46" s="217" t="n">
        <f aca="false">T38</f>
        <v>780.007372058932</v>
      </c>
      <c r="U46" s="217" t="n">
        <f aca="false">U38</f>
        <v>2937.35256723572</v>
      </c>
      <c r="V46" s="217" t="n">
        <f aca="false">V38</f>
        <v>1076.18553657248</v>
      </c>
      <c r="W46" s="217" t="n">
        <f aca="false">W38</f>
        <v>-430.263331068813</v>
      </c>
      <c r="X46" s="217" t="n">
        <f aca="false">X38</f>
        <v>619.494915785868</v>
      </c>
      <c r="Y46" s="217" t="n">
        <f aca="false">Y38</f>
        <v>406.098476069467</v>
      </c>
      <c r="Z46" s="217" t="n">
        <f aca="false">Z38</f>
        <v>569.027064721944</v>
      </c>
      <c r="AA46" s="217" t="n">
        <f aca="false">AA38</f>
        <v>699.594464116463</v>
      </c>
      <c r="AB46" s="574" t="n">
        <f aca="false">SUM(E46:AA46)</f>
        <v>7705.79574095325</v>
      </c>
      <c r="AC46" s="641" t="n">
        <f aca="false">IF($I$3=0,F46+NPV(Disc,G46:AA46),E46+NPV(Disc,F46:AA46))</f>
        <v>-5677.82198428831</v>
      </c>
      <c r="AE46" s="666"/>
      <c r="AF46" s="666"/>
      <c r="AG46" s="666"/>
      <c r="AH46" s="666"/>
      <c r="AI46" s="666"/>
      <c r="AJ46" s="666"/>
      <c r="AK46" s="666"/>
      <c r="AL46" s="666"/>
      <c r="AM46" s="666"/>
      <c r="AN46" s="666"/>
      <c r="AO46" s="666"/>
      <c r="AP46" s="666"/>
      <c r="AQ46" s="666"/>
      <c r="AR46" s="666"/>
      <c r="AS46" s="666"/>
      <c r="AT46" s="666"/>
      <c r="AU46" s="666"/>
      <c r="AV46" s="666"/>
      <c r="AW46" s="666"/>
      <c r="AX46" s="666"/>
      <c r="AY46" s="666"/>
      <c r="AZ46" s="666"/>
      <c r="BA46" s="666"/>
      <c r="BB46" s="666"/>
      <c r="BC46" s="666"/>
      <c r="BD46" s="666"/>
      <c r="BE46" s="666"/>
      <c r="BF46" s="666"/>
      <c r="BG46" s="666"/>
      <c r="BH46" s="666"/>
      <c r="BI46" s="666"/>
      <c r="BJ46" s="666"/>
      <c r="BK46" s="666"/>
      <c r="BL46" s="666"/>
      <c r="BM46" s="666"/>
      <c r="BN46" s="666"/>
      <c r="BO46" s="666"/>
      <c r="BP46" s="666"/>
      <c r="BQ46" s="666"/>
      <c r="BR46" s="666"/>
      <c r="BS46" s="666"/>
      <c r="BT46" s="666"/>
      <c r="BU46" s="666"/>
      <c r="BV46" s="666"/>
      <c r="BW46" s="666"/>
      <c r="BX46" s="666"/>
      <c r="BY46" s="666"/>
      <c r="BZ46" s="666"/>
      <c r="CA46" s="666"/>
      <c r="CB46" s="666"/>
      <c r="CC46" s="666"/>
      <c r="CD46" s="666"/>
      <c r="CE46" s="666"/>
      <c r="CF46" s="666"/>
      <c r="CG46" s="666"/>
      <c r="CH46" s="666"/>
      <c r="CI46" s="666"/>
      <c r="CJ46" s="666"/>
      <c r="CK46" s="666"/>
      <c r="CL46" s="666"/>
      <c r="CM46" s="666"/>
      <c r="CN46" s="666"/>
      <c r="CO46" s="666"/>
      <c r="CP46" s="666"/>
      <c r="CQ46" s="666"/>
      <c r="CR46" s="666"/>
      <c r="CS46" s="666"/>
      <c r="CT46" s="666"/>
      <c r="CU46" s="666"/>
      <c r="CV46" s="666"/>
      <c r="CW46" s="666"/>
      <c r="CX46" s="666"/>
      <c r="CY46" s="666"/>
      <c r="CZ46" s="666"/>
      <c r="DA46" s="666"/>
      <c r="DB46" s="666"/>
      <c r="DC46" s="666"/>
      <c r="DD46" s="666"/>
      <c r="DE46" s="666"/>
      <c r="DF46" s="666"/>
      <c r="DG46" s="666"/>
      <c r="DH46" s="666"/>
      <c r="DI46" s="666"/>
      <c r="DJ46" s="666"/>
      <c r="DK46" s="666"/>
      <c r="DL46" s="666"/>
      <c r="DM46" s="666"/>
      <c r="DN46" s="666"/>
      <c r="DO46" s="666"/>
      <c r="DP46" s="666"/>
      <c r="DQ46" s="666"/>
      <c r="DR46" s="666"/>
      <c r="DS46" s="666"/>
      <c r="DT46" s="666"/>
      <c r="DU46" s="666"/>
      <c r="DV46" s="666"/>
      <c r="DW46" s="666"/>
      <c r="DX46" s="666"/>
      <c r="DY46" s="666"/>
      <c r="DZ46" s="666"/>
      <c r="EA46" s="666"/>
      <c r="EB46" s="666"/>
      <c r="EC46" s="666"/>
      <c r="ED46" s="666"/>
      <c r="EE46" s="666"/>
      <c r="EF46" s="666"/>
      <c r="EG46" s="666"/>
      <c r="EH46" s="666"/>
      <c r="EI46" s="666"/>
      <c r="EJ46" s="666"/>
      <c r="EK46" s="666"/>
      <c r="EL46" s="666"/>
      <c r="EM46" s="666"/>
      <c r="EN46" s="666"/>
      <c r="EO46" s="666"/>
      <c r="EP46" s="666"/>
      <c r="EQ46" s="666"/>
      <c r="ER46" s="666"/>
      <c r="ES46" s="666"/>
      <c r="ET46" s="666"/>
      <c r="EU46" s="666"/>
      <c r="EV46" s="666"/>
      <c r="EW46" s="666"/>
      <c r="EX46" s="666"/>
      <c r="EY46" s="666"/>
      <c r="EZ46" s="666"/>
      <c r="FA46" s="666"/>
      <c r="FB46" s="666"/>
      <c r="FC46" s="666"/>
      <c r="FD46" s="666"/>
      <c r="FE46" s="666"/>
      <c r="FF46" s="666"/>
      <c r="FG46" s="666"/>
      <c r="FH46" s="666"/>
      <c r="FI46" s="666"/>
      <c r="FJ46" s="666"/>
      <c r="FK46" s="666"/>
      <c r="FL46" s="666"/>
      <c r="FM46" s="666"/>
      <c r="FN46" s="666"/>
      <c r="FO46" s="666"/>
      <c r="FP46" s="666"/>
      <c r="FQ46" s="666"/>
      <c r="FR46" s="666"/>
      <c r="FS46" s="666"/>
      <c r="FT46" s="666"/>
      <c r="FU46" s="666"/>
      <c r="FV46" s="666"/>
      <c r="FW46" s="666"/>
      <c r="FX46" s="666"/>
      <c r="FY46" s="666"/>
      <c r="FZ46" s="666"/>
      <c r="GA46" s="666"/>
      <c r="GB46" s="666"/>
      <c r="GC46" s="666"/>
      <c r="GD46" s="666"/>
      <c r="GE46" s="666"/>
      <c r="GF46" s="666"/>
      <c r="GG46" s="666"/>
      <c r="GH46" s="666"/>
      <c r="GI46" s="666"/>
      <c r="GJ46" s="666"/>
      <c r="GK46" s="666"/>
      <c r="GL46" s="666"/>
      <c r="GM46" s="666"/>
      <c r="GN46" s="666"/>
      <c r="GO46" s="666"/>
      <c r="GP46" s="666"/>
      <c r="GQ46" s="666"/>
      <c r="GR46" s="666"/>
      <c r="GS46" s="666"/>
      <c r="GT46" s="666"/>
      <c r="GU46" s="666"/>
      <c r="GV46" s="666"/>
      <c r="GW46" s="666"/>
      <c r="GX46" s="666"/>
      <c r="GY46" s="666"/>
      <c r="GZ46" s="666"/>
      <c r="HA46" s="666"/>
      <c r="HB46" s="666"/>
      <c r="HC46" s="666"/>
      <c r="HD46" s="666"/>
      <c r="HE46" s="666"/>
      <c r="HF46" s="666"/>
      <c r="HG46" s="666"/>
      <c r="HH46" s="666"/>
      <c r="HI46" s="666"/>
      <c r="HJ46" s="666"/>
      <c r="HK46" s="666"/>
      <c r="HL46" s="666"/>
      <c r="HM46" s="666"/>
      <c r="HN46" s="666"/>
      <c r="HO46" s="666"/>
      <c r="HP46" s="666"/>
      <c r="HQ46" s="666"/>
      <c r="HR46" s="666"/>
      <c r="HS46" s="666"/>
      <c r="HT46" s="666"/>
      <c r="HU46" s="666"/>
      <c r="HV46" s="666"/>
      <c r="HW46" s="666"/>
      <c r="HX46" s="666"/>
      <c r="HY46" s="666"/>
      <c r="HZ46" s="666"/>
      <c r="IA46" s="666"/>
      <c r="IB46" s="666"/>
      <c r="IC46" s="666"/>
      <c r="ID46" s="666"/>
      <c r="IE46" s="666"/>
      <c r="IF46" s="666"/>
      <c r="IG46" s="666"/>
      <c r="IH46" s="666"/>
      <c r="II46" s="666"/>
      <c r="IJ46" s="666"/>
      <c r="IK46" s="666"/>
      <c r="IL46" s="666"/>
      <c r="IM46" s="666"/>
      <c r="IN46" s="666"/>
      <c r="IO46" s="666"/>
      <c r="IP46" s="666"/>
      <c r="IQ46" s="666"/>
      <c r="IR46" s="666"/>
      <c r="IS46" s="666"/>
      <c r="IT46" s="666"/>
      <c r="IU46" s="666"/>
      <c r="IV46" s="666"/>
      <c r="IW46" s="666"/>
    </row>
    <row r="47" customFormat="false" ht="12.75" hidden="false" customHeight="false" outlineLevel="0" collapsed="false">
      <c r="A47" s="659" t="n">
        <f aca="false">IF(Assm!$L$110=0,0,Assm!K98)</f>
        <v>0</v>
      </c>
      <c r="B47" s="38" t="s">
        <v>902</v>
      </c>
      <c r="E47" s="217" t="n">
        <f aca="false">-'Enron Returns'!E66</f>
        <v>-0</v>
      </c>
      <c r="F47" s="217" t="n">
        <f aca="false">-'Enron Returns'!F66</f>
        <v>-0</v>
      </c>
      <c r="G47" s="217" t="n">
        <f aca="false">-'Enron Returns'!G66</f>
        <v>-0</v>
      </c>
      <c r="H47" s="217" t="n">
        <f aca="false">-'Enron Returns'!H66</f>
        <v>-0</v>
      </c>
      <c r="I47" s="217" t="n">
        <f aca="false">-'Enron Returns'!I66</f>
        <v>-0</v>
      </c>
      <c r="J47" s="217" t="n">
        <f aca="false">-'Enron Returns'!J66</f>
        <v>-0</v>
      </c>
      <c r="K47" s="217" t="n">
        <f aca="false">-'Enron Returns'!K66</f>
        <v>-0</v>
      </c>
      <c r="L47" s="217" t="n">
        <f aca="false">-'Enron Returns'!L66</f>
        <v>-0</v>
      </c>
      <c r="M47" s="217" t="n">
        <f aca="false">-'Enron Returns'!M66</f>
        <v>-0</v>
      </c>
      <c r="N47" s="217" t="n">
        <f aca="false">-'Enron Returns'!N66</f>
        <v>-0</v>
      </c>
      <c r="O47" s="217" t="n">
        <f aca="false">-'Enron Returns'!O66</f>
        <v>-0</v>
      </c>
      <c r="P47" s="217" t="n">
        <f aca="false">-'Enron Returns'!P66</f>
        <v>-0</v>
      </c>
      <c r="Q47" s="217" t="n">
        <f aca="false">-'Enron Returns'!Q66</f>
        <v>-0</v>
      </c>
      <c r="R47" s="217" t="n">
        <f aca="false">-'Enron Returns'!R66</f>
        <v>-0</v>
      </c>
      <c r="S47" s="217" t="n">
        <f aca="false">-'Enron Returns'!S66</f>
        <v>-0</v>
      </c>
      <c r="T47" s="217" t="n">
        <f aca="false">-'Enron Returns'!T66</f>
        <v>-0</v>
      </c>
      <c r="U47" s="217" t="n">
        <f aca="false">-'Enron Returns'!U66</f>
        <v>-0</v>
      </c>
      <c r="V47" s="217" t="n">
        <f aca="false">-'Enron Returns'!V66</f>
        <v>-0</v>
      </c>
      <c r="W47" s="217" t="n">
        <f aca="false">-'Enron Returns'!W66</f>
        <v>-0</v>
      </c>
      <c r="X47" s="217" t="n">
        <f aca="false">-'Enron Returns'!X66</f>
        <v>-0</v>
      </c>
      <c r="Y47" s="217" t="n">
        <f aca="false">-'Enron Returns'!Y66</f>
        <v>-0</v>
      </c>
      <c r="Z47" s="217" t="n">
        <f aca="false">-'Enron Returns'!Z66</f>
        <v>-0</v>
      </c>
      <c r="AA47" s="217" t="n">
        <f aca="false">-'Enron Returns'!AA66</f>
        <v>-0</v>
      </c>
      <c r="AB47" s="574" t="n">
        <f aca="false">SUM(E47:AA47)</f>
        <v>0</v>
      </c>
      <c r="AC47" s="641" t="n">
        <f aca="false">IF($I$3=0,F47+NPV(Disc,G47:AA47),E47+NPV(Disc,F47:AA47))</f>
        <v>0</v>
      </c>
    </row>
    <row r="48" customFormat="false" ht="12.75" hidden="false" customHeight="false" outlineLevel="0" collapsed="false">
      <c r="A48" s="659"/>
      <c r="B48" s="38" t="s">
        <v>903</v>
      </c>
      <c r="E48" s="610" t="n">
        <f aca="false">IF(E$7&lt;YEAR(Startops1),0,-HLOOKUP(E$7,CF_Table,CF!$AB$71)*$A47)</f>
        <v>0</v>
      </c>
      <c r="F48" s="610" t="n">
        <f aca="false">IF(F$7&lt;YEAR(Startops1),0,-HLOOKUP(F$7,CF_Table,CF!$AB$71)*$A47)</f>
        <v>0</v>
      </c>
      <c r="G48" s="610" t="n">
        <f aca="false">IF(G$7&lt;YEAR(Startops1),0,-HLOOKUP(G$7,CF_Table,CF!$AB$71)*$A47)</f>
        <v>0</v>
      </c>
      <c r="H48" s="610" t="n">
        <f aca="false">IF(H$7&lt;YEAR(Startops1),0,-HLOOKUP(H$7,CF_Table,CF!$AB$71)*$A47)</f>
        <v>0</v>
      </c>
      <c r="I48" s="610" t="n">
        <f aca="false">IF(I$7&lt;YEAR(Startops1),0,-HLOOKUP(I$7,CF_Table,CF!$AB$71)*$A47)</f>
        <v>0</v>
      </c>
      <c r="J48" s="610" t="n">
        <f aca="false">IF(J$7&lt;YEAR(Startops1),0,-HLOOKUP(J$7,CF_Table,CF!$AB$71)*$A47)</f>
        <v>0</v>
      </c>
      <c r="K48" s="610" t="n">
        <f aca="false">IF(K$7&lt;YEAR(Startops1),0,-HLOOKUP(K$7,CF_Table,CF!$AB$71)*$A47)</f>
        <v>0</v>
      </c>
      <c r="L48" s="610" t="n">
        <f aca="false">IF(L$7&lt;YEAR(Startops1),0,-HLOOKUP(L$7,CF_Table,CF!$AB$71)*$A47)</f>
        <v>0</v>
      </c>
      <c r="M48" s="610" t="n">
        <f aca="false">IF(M$7&lt;YEAR(Startops1),0,-HLOOKUP(M$7,CF_Table,CF!$AB$71)*$A47)</f>
        <v>0</v>
      </c>
      <c r="N48" s="610" t="n">
        <f aca="false">IF(N$7&lt;YEAR(Startops1),0,-HLOOKUP(N$7,CF_Table,CF!$AB$71)*$A47)</f>
        <v>0</v>
      </c>
      <c r="O48" s="610" t="n">
        <f aca="false">IF(O$7&lt;YEAR(Startops1),0,-HLOOKUP(O$7,CF_Table,CF!$AB$71)*$A47)</f>
        <v>0</v>
      </c>
      <c r="P48" s="610" t="n">
        <f aca="false">IF(P$7&lt;YEAR(Startops1),0,-HLOOKUP(P$7,CF_Table,CF!$AB$71)*$A47)</f>
        <v>0</v>
      </c>
      <c r="Q48" s="610" t="n">
        <f aca="false">IF(Q$7&lt;YEAR(Startops1),0,-HLOOKUP(Q$7,CF_Table,CF!$AB$71)*$A47)</f>
        <v>0</v>
      </c>
      <c r="R48" s="610" t="n">
        <f aca="false">IF(R$7&lt;YEAR(Startops1),0,-HLOOKUP(R$7,CF_Table,CF!$AB$71)*$A47)</f>
        <v>0</v>
      </c>
      <c r="S48" s="610" t="n">
        <f aca="false">IF(S$7&lt;YEAR(Startops1),0,-HLOOKUP(S$7,CF_Table,CF!$AB$71)*$A47)</f>
        <v>0</v>
      </c>
      <c r="T48" s="610" t="n">
        <f aca="false">IF(T$7&lt;YEAR(Startops1),0,-HLOOKUP(T$7,CF_Table,CF!$AB$71)*$A47)</f>
        <v>0</v>
      </c>
      <c r="U48" s="610" t="n">
        <f aca="false">IF(U$7&lt;YEAR(Startops1),0,-HLOOKUP(U$7,CF_Table,CF!$AB$71)*$A47)</f>
        <v>0</v>
      </c>
      <c r="V48" s="610" t="n">
        <f aca="false">IF(V$7&lt;YEAR(Startops1),0,-HLOOKUP(V$7,CF_Table,CF!$AB$71)*$A47)</f>
        <v>0</v>
      </c>
      <c r="W48" s="610" t="n">
        <f aca="false">IF(W$7&lt;YEAR(Startops1),0,-HLOOKUP(W$7,CF_Table,CF!$AB$71)*$A47)</f>
        <v>0</v>
      </c>
      <c r="X48" s="610" t="n">
        <f aca="false">IF(X$7&lt;YEAR(Startops1),0,-HLOOKUP(X$7,CF_Table,CF!$AB$71)*$A47)</f>
        <v>0</v>
      </c>
      <c r="Y48" s="610" t="n">
        <f aca="false">IF(Y$7&lt;YEAR(Startops1),0,-HLOOKUP(Y$7,CF_Table,CF!$AB$71)*$A47)</f>
        <v>0</v>
      </c>
      <c r="Z48" s="610" t="n">
        <f aca="false">IF(Z$7&lt;YEAR(Startops1),0,-HLOOKUP(Z$7,CF_Table,CF!$AB$71)*$A47)</f>
        <v>0</v>
      </c>
      <c r="AA48" s="610" t="n">
        <f aca="false">IF(AA$7&lt;YEAR(Startops1),0,-HLOOKUP(AA$7,CF_Table,CF!$AB$71)*$A47)</f>
        <v>0</v>
      </c>
      <c r="AB48" s="574" t="n">
        <f aca="false">SUM(E48:AA48)</f>
        <v>0</v>
      </c>
      <c r="AC48" s="641" t="n">
        <f aca="false">IF($I$3=0,F48+NPV(Disc,G48:AA48),E48+NPV(Disc,F48:AA48))</f>
        <v>0</v>
      </c>
    </row>
    <row r="49" customFormat="false" ht="12.75" hidden="false" customHeight="false" outlineLevel="0" collapsed="false">
      <c r="A49" s="37"/>
      <c r="B49" s="38" t="s">
        <v>904</v>
      </c>
      <c r="D49" s="263" t="s">
        <v>407</v>
      </c>
      <c r="E49" s="610" t="n">
        <f aca="false">IF(E$7&lt;YEAR(Startops1),0,-HLOOKUP(E$7,CF_Table,CF!$AB$45)*$A47)</f>
        <v>0</v>
      </c>
      <c r="F49" s="610" t="n">
        <f aca="false">IF(F$7&lt;YEAR(Startops1),0,-HLOOKUP(F$7,CF_Table,CF!$AB$45)*$A47)</f>
        <v>0</v>
      </c>
      <c r="G49" s="610" t="n">
        <f aca="false">IF(G$7&lt;YEAR(Startops1),0,-HLOOKUP(G$7,CF_Table,CF!$AB$45)*$A47)</f>
        <v>0</v>
      </c>
      <c r="H49" s="610" t="n">
        <f aca="false">IF(H$7&lt;YEAR(Startops1),0,-HLOOKUP(H$7,CF_Table,CF!$AB$45)*$A47)</f>
        <v>0</v>
      </c>
      <c r="I49" s="610" t="n">
        <f aca="false">IF(I$7&lt;YEAR(Startops1),0,-HLOOKUP(I$7,CF_Table,CF!$AB$45)*$A47)</f>
        <v>0</v>
      </c>
      <c r="J49" s="610" t="n">
        <f aca="false">IF(J$7&lt;YEAR(Startops1),0,-HLOOKUP(J$7,CF_Table,CF!$AB$45)*$A47)</f>
        <v>0</v>
      </c>
      <c r="K49" s="610" t="n">
        <f aca="false">IF(K$7&lt;YEAR(Startops1),0,-HLOOKUP(K$7,CF_Table,CF!$AB$45)*$A47)</f>
        <v>0</v>
      </c>
      <c r="L49" s="610" t="n">
        <f aca="false">IF(L$7&lt;YEAR(Startops1),0,-HLOOKUP(L$7,CF_Table,CF!$AB$45)*$A47)</f>
        <v>0</v>
      </c>
      <c r="M49" s="610" t="n">
        <f aca="false">IF(M$7&lt;YEAR(Startops1),0,-HLOOKUP(M$7,CF_Table,CF!$AB$45)*$A47)</f>
        <v>0</v>
      </c>
      <c r="N49" s="610" t="n">
        <f aca="false">IF(N$7&lt;YEAR(Startops1),0,-HLOOKUP(N$7,CF_Table,CF!$AB$45)*$A47)</f>
        <v>0</v>
      </c>
      <c r="O49" s="610" t="n">
        <f aca="false">IF(O$7&lt;YEAR(Startops1),0,-HLOOKUP(O$7,CF_Table,CF!$AB$45)*$A47)</f>
        <v>0</v>
      </c>
      <c r="P49" s="610" t="n">
        <f aca="false">IF(P$7&lt;YEAR(Startops1),0,-HLOOKUP(P$7,CF_Table,CF!$AB$45)*$A47)</f>
        <v>0</v>
      </c>
      <c r="Q49" s="610" t="n">
        <f aca="false">IF(Q$7&lt;YEAR(Startops1),0,-HLOOKUP(Q$7,CF_Table,CF!$AB$45)*$A47)</f>
        <v>0</v>
      </c>
      <c r="R49" s="610" t="n">
        <f aca="false">IF(R$7&lt;YEAR(Startops1),0,-HLOOKUP(R$7,CF_Table,CF!$AB$45)*$A47)</f>
        <v>0</v>
      </c>
      <c r="S49" s="610" t="n">
        <f aca="false">IF(S$7&lt;YEAR(Startops1),0,-HLOOKUP(S$7,CF_Table,CF!$AB$45)*$A47)</f>
        <v>0</v>
      </c>
      <c r="T49" s="610" t="n">
        <f aca="false">IF(T$7&lt;YEAR(Startops1),0,-HLOOKUP(T$7,CF_Table,CF!$AB$45)*$A47)</f>
        <v>0</v>
      </c>
      <c r="U49" s="610" t="n">
        <f aca="false">IF(U$7&lt;YEAR(Startops1),0,-HLOOKUP(U$7,CF_Table,CF!$AB$45)*$A47)</f>
        <v>0</v>
      </c>
      <c r="V49" s="610" t="n">
        <f aca="false">IF(V$7&lt;YEAR(Startops1),0,-HLOOKUP(V$7,CF_Table,CF!$AB$45)*$A47)</f>
        <v>0</v>
      </c>
      <c r="W49" s="610" t="n">
        <f aca="false">IF(W$7&lt;YEAR(Startops1),0,-HLOOKUP(W$7,CF_Table,CF!$AB$45)*$A47)</f>
        <v>0</v>
      </c>
      <c r="X49" s="610" t="n">
        <f aca="false">IF(X$7&lt;YEAR(Startops1),0,-HLOOKUP(X$7,CF_Table,CF!$AB$45)*$A47)</f>
        <v>0</v>
      </c>
      <c r="Y49" s="610" t="n">
        <f aca="false">IF(Y$7&lt;YEAR(Startops1),0,-HLOOKUP(Y$7,CF_Table,CF!$AB$45)*$A47)</f>
        <v>0</v>
      </c>
      <c r="Z49" s="610" t="n">
        <f aca="false">IF(Z$7&lt;YEAR(Startops1),0,-HLOOKUP(Z$7,CF_Table,CF!$AB$45)*$A47)</f>
        <v>0</v>
      </c>
      <c r="AA49" s="610" t="n">
        <f aca="false">IF(AA$7&lt;YEAR(Startops1),0,-HLOOKUP(AA$7,CF_Table,CF!$AB$45)*$A47)</f>
        <v>0</v>
      </c>
      <c r="AB49" s="574" t="n">
        <f aca="false">SUM(E49:AA49)</f>
        <v>0</v>
      </c>
      <c r="AC49" s="641" t="n">
        <f aca="false">IF($I$3=0,F49+NPV(Disc,G49:AA49),E49+NPV(Disc,F49:AA49))</f>
        <v>0</v>
      </c>
      <c r="AG49" s="667"/>
    </row>
    <row r="50" customFormat="false" ht="12.75" hidden="false" customHeight="false" outlineLevel="0" collapsed="false">
      <c r="A50" s="37"/>
      <c r="B50" s="38" t="s">
        <v>905</v>
      </c>
      <c r="D50" s="263"/>
      <c r="E50" s="217" t="n">
        <f aca="false">IF(E7=YEAR(Assm!$AB$94),-Assm!$AB$102,0)</f>
        <v>0</v>
      </c>
      <c r="F50" s="610" t="n">
        <f aca="false">IF(F7=YEAR(Assm!$AB$94),-Assm!$AB$102,0)</f>
        <v>0</v>
      </c>
      <c r="G50" s="610" t="n">
        <f aca="false">IF(G7=YEAR(Assm!$AB$94),-Assm!$AB$102,0)</f>
        <v>0</v>
      </c>
      <c r="H50" s="610" t="n">
        <f aca="false">IF(H7=YEAR(Assm!$AB$94),-Assm!$AB$102,0)</f>
        <v>0</v>
      </c>
      <c r="I50" s="610" t="n">
        <f aca="false">IF(I7=YEAR(Assm!$AB$94),-Assm!$AB$102,0)</f>
        <v>-0</v>
      </c>
      <c r="J50" s="610" t="n">
        <f aca="false">IF(J7=YEAR(Assm!$AB$94),-Assm!$AB$102,0)</f>
        <v>0</v>
      </c>
      <c r="K50" s="610" t="n">
        <f aca="false">IF(K7=YEAR(Assm!$AB$94),-Assm!$AB$102,0)</f>
        <v>0</v>
      </c>
      <c r="L50" s="610" t="n">
        <f aca="false">IF(L7=YEAR(Assm!$AB$94),-Assm!$AB$102,0)</f>
        <v>0</v>
      </c>
      <c r="M50" s="610" t="n">
        <f aca="false">IF(M7=YEAR(Assm!$AB$94),-Assm!$AB$102,0)</f>
        <v>0</v>
      </c>
      <c r="N50" s="610" t="n">
        <f aca="false">IF(N7=YEAR(Assm!$AB$94),-Assm!$AB$102,0)</f>
        <v>0</v>
      </c>
      <c r="O50" s="610" t="n">
        <f aca="false">IF(O7=YEAR(Assm!$AB$94),-Assm!$AB$102,0)</f>
        <v>0</v>
      </c>
      <c r="P50" s="610" t="n">
        <f aca="false">IF(P7=YEAR(Assm!$AB$94),-Assm!$AB$102,0)</f>
        <v>0</v>
      </c>
      <c r="Q50" s="610" t="n">
        <f aca="false">IF(Q7=YEAR(Assm!$AB$94),-Assm!$AB$102,0)</f>
        <v>0</v>
      </c>
      <c r="R50" s="610" t="n">
        <f aca="false">IF(R7=YEAR(Assm!$AB$94),-Assm!$AB$102,0)</f>
        <v>0</v>
      </c>
      <c r="S50" s="610" t="n">
        <f aca="false">IF(S7=YEAR(Assm!$AB$94),-Assm!$AB$102,0)</f>
        <v>0</v>
      </c>
      <c r="T50" s="610" t="n">
        <f aca="false">IF(T7=YEAR(Assm!$AB$94),-Assm!$AB$102,0)</f>
        <v>0</v>
      </c>
      <c r="U50" s="610" t="n">
        <f aca="false">IF(U7=YEAR(Assm!$AB$94),-Assm!$AB$102,0)</f>
        <v>0</v>
      </c>
      <c r="V50" s="610" t="n">
        <f aca="false">IF(V7=YEAR(Assm!$AB$94),-Assm!$AB$102,0)</f>
        <v>0</v>
      </c>
      <c r="W50" s="610" t="n">
        <f aca="false">IF(W7=YEAR(Assm!$AB$94),-Assm!$AB$102,0)</f>
        <v>0</v>
      </c>
      <c r="X50" s="610" t="n">
        <f aca="false">IF(X7=YEAR(Assm!$AB$94),-Assm!$AB$102,0)</f>
        <v>0</v>
      </c>
      <c r="Y50" s="610" t="n">
        <f aca="false">IF(Y7=YEAR(Assm!$AB$94),-Assm!$AB$102,0)</f>
        <v>0</v>
      </c>
      <c r="Z50" s="610" t="n">
        <f aca="false">IF(Z7=YEAR(Assm!$AB$94),-Assm!$AB$102,0)</f>
        <v>0</v>
      </c>
      <c r="AA50" s="610" t="n">
        <f aca="false">IF(AA7=YEAR(Assm!$AB$94),-Assm!$AB$102,0)</f>
        <v>0</v>
      </c>
      <c r="AB50" s="574" t="n">
        <f aca="false">SUM(E50:AA50)</f>
        <v>0</v>
      </c>
      <c r="AC50" s="641" t="n">
        <f aca="false">IF($I$3=0,F50+NPV(Disc,G50:AA50),E50+NPV(Disc,F50:AA50))</f>
        <v>0</v>
      </c>
      <c r="AG50" s="667"/>
    </row>
    <row r="51" customFormat="false" ht="12.75" hidden="false" customHeight="false" outlineLevel="0" collapsed="false">
      <c r="A51" s="37"/>
      <c r="B51" s="38" t="s">
        <v>906</v>
      </c>
      <c r="C51" s="306" t="n">
        <f aca="false">C37</f>
        <v>0</v>
      </c>
      <c r="D51" s="79"/>
      <c r="E51" s="220" t="n">
        <f aca="false">-SUM(E49)*USTax</f>
        <v>-0</v>
      </c>
      <c r="F51" s="220" t="n">
        <f aca="false">-SUM(F49)*USTax</f>
        <v>-0</v>
      </c>
      <c r="G51" s="220" t="n">
        <f aca="false">-SUM(G49)*USTax</f>
        <v>-0</v>
      </c>
      <c r="H51" s="220" t="n">
        <f aca="false">-SUM(H49)*USTax</f>
        <v>-0</v>
      </c>
      <c r="I51" s="220" t="n">
        <f aca="false">-SUM(I49)*USTax</f>
        <v>-0</v>
      </c>
      <c r="J51" s="220" t="n">
        <f aca="false">-SUM(J49)*USTax</f>
        <v>-0</v>
      </c>
      <c r="K51" s="220" t="n">
        <f aca="false">-SUM(K49)*USTax</f>
        <v>-0</v>
      </c>
      <c r="L51" s="220" t="n">
        <f aca="false">-SUM(L49)*USTax</f>
        <v>-0</v>
      </c>
      <c r="M51" s="220" t="n">
        <f aca="false">-SUM(M49)*USTax</f>
        <v>-0</v>
      </c>
      <c r="N51" s="220" t="n">
        <f aca="false">-SUM(N49)*USTax</f>
        <v>-0</v>
      </c>
      <c r="O51" s="220" t="n">
        <f aca="false">-SUM(O49)*USTax</f>
        <v>-0</v>
      </c>
      <c r="P51" s="220" t="n">
        <f aca="false">-SUM(P49)*USTax</f>
        <v>-0</v>
      </c>
      <c r="Q51" s="220" t="n">
        <f aca="false">-SUM(Q49)*USTax</f>
        <v>-0</v>
      </c>
      <c r="R51" s="220" t="n">
        <f aca="false">-SUM(R49)*USTax</f>
        <v>-0</v>
      </c>
      <c r="S51" s="220" t="n">
        <f aca="false">-SUM(S49)*USTax</f>
        <v>-0</v>
      </c>
      <c r="T51" s="220" t="n">
        <f aca="false">-SUM(T49)*USTax</f>
        <v>-0</v>
      </c>
      <c r="U51" s="220" t="n">
        <f aca="false">-SUM(U49)*USTax</f>
        <v>-0</v>
      </c>
      <c r="V51" s="220" t="n">
        <f aca="false">-SUM(V49)*USTax</f>
        <v>-0</v>
      </c>
      <c r="W51" s="220" t="n">
        <f aca="false">-SUM(W49)*USTax</f>
        <v>-0</v>
      </c>
      <c r="X51" s="220" t="n">
        <f aca="false">-SUM(X49)*USTax</f>
        <v>-0</v>
      </c>
      <c r="Y51" s="220" t="n">
        <f aca="false">-SUM(Y49)*USTax</f>
        <v>-0</v>
      </c>
      <c r="Z51" s="220" t="n">
        <f aca="false">-SUM(Z49)*USTax</f>
        <v>-0</v>
      </c>
      <c r="AA51" s="220" t="n">
        <f aca="false">-SUM(AA49)*USTax</f>
        <v>-0</v>
      </c>
      <c r="AB51" s="576" t="n">
        <f aca="false">SUM(E51:AA51)</f>
        <v>0</v>
      </c>
      <c r="AC51" s="643" t="n">
        <f aca="false">IF($I$3=0,F51+NPV(Disc,G51:AA51),E51+NPV(Disc,F51:AA51))</f>
        <v>0</v>
      </c>
      <c r="AE51" s="414"/>
      <c r="AF51" s="414"/>
      <c r="AG51" s="667"/>
      <c r="AH51" s="414"/>
      <c r="AI51" s="414"/>
      <c r="AJ51" s="414"/>
      <c r="AK51" s="414"/>
      <c r="AL51" s="414"/>
      <c r="AM51" s="414"/>
      <c r="AN51" s="414"/>
      <c r="AO51" s="414"/>
      <c r="AP51" s="414"/>
      <c r="AQ51" s="414"/>
      <c r="AR51" s="414"/>
      <c r="AS51" s="414"/>
      <c r="AT51" s="414"/>
      <c r="AU51" s="414"/>
      <c r="AV51" s="414"/>
      <c r="AW51" s="414"/>
      <c r="AX51" s="414"/>
      <c r="AY51" s="414"/>
      <c r="AZ51" s="414"/>
      <c r="BA51" s="414"/>
      <c r="BB51" s="414"/>
      <c r="BC51" s="414"/>
      <c r="BD51" s="414"/>
      <c r="BE51" s="414"/>
      <c r="BF51" s="414"/>
      <c r="BG51" s="414"/>
      <c r="BH51" s="414"/>
      <c r="BI51" s="414"/>
      <c r="BJ51" s="414"/>
      <c r="BK51" s="414"/>
      <c r="BL51" s="414"/>
      <c r="BM51" s="414"/>
      <c r="BN51" s="414"/>
      <c r="BO51" s="414"/>
      <c r="BP51" s="414"/>
      <c r="BQ51" s="414"/>
      <c r="BR51" s="414"/>
      <c r="BS51" s="414"/>
      <c r="BT51" s="414"/>
      <c r="BU51" s="414"/>
      <c r="BV51" s="414"/>
      <c r="BW51" s="414"/>
      <c r="BX51" s="414"/>
      <c r="BY51" s="414"/>
      <c r="BZ51" s="414"/>
      <c r="CA51" s="414"/>
      <c r="CB51" s="414"/>
      <c r="CC51" s="414"/>
      <c r="CD51" s="414"/>
      <c r="CE51" s="414"/>
      <c r="CF51" s="414"/>
      <c r="CG51" s="414"/>
      <c r="CH51" s="414"/>
      <c r="CI51" s="414"/>
      <c r="CJ51" s="414"/>
      <c r="CK51" s="414"/>
      <c r="CL51" s="414"/>
      <c r="CM51" s="414"/>
      <c r="CN51" s="414"/>
      <c r="CO51" s="414"/>
      <c r="CP51" s="414"/>
      <c r="CQ51" s="414"/>
      <c r="CR51" s="414"/>
      <c r="CS51" s="414"/>
      <c r="CT51" s="414"/>
      <c r="CU51" s="414"/>
      <c r="CV51" s="414"/>
      <c r="CW51" s="414"/>
      <c r="CX51" s="414"/>
      <c r="CY51" s="414"/>
      <c r="CZ51" s="414"/>
      <c r="DA51" s="414"/>
      <c r="DB51" s="414"/>
      <c r="DC51" s="414"/>
      <c r="DD51" s="414"/>
      <c r="DE51" s="414"/>
      <c r="DF51" s="414"/>
      <c r="DG51" s="414"/>
      <c r="DH51" s="414"/>
      <c r="DI51" s="414"/>
      <c r="DJ51" s="414"/>
      <c r="DK51" s="414"/>
      <c r="DL51" s="414"/>
      <c r="DM51" s="414"/>
      <c r="DN51" s="414"/>
      <c r="DO51" s="414"/>
      <c r="DP51" s="414"/>
      <c r="DQ51" s="414"/>
      <c r="DR51" s="414"/>
      <c r="DS51" s="414"/>
      <c r="DT51" s="414"/>
      <c r="DU51" s="414"/>
      <c r="DV51" s="414"/>
      <c r="DW51" s="414"/>
      <c r="DX51" s="414"/>
      <c r="DY51" s="414"/>
      <c r="DZ51" s="414"/>
      <c r="EA51" s="414"/>
      <c r="EB51" s="414"/>
      <c r="EC51" s="414"/>
      <c r="ED51" s="414"/>
      <c r="EE51" s="414"/>
      <c r="EF51" s="414"/>
      <c r="EG51" s="414"/>
      <c r="EH51" s="414"/>
      <c r="EI51" s="414"/>
      <c r="EJ51" s="414"/>
      <c r="EK51" s="414"/>
      <c r="EL51" s="414"/>
      <c r="EM51" s="414"/>
      <c r="EN51" s="414"/>
      <c r="EO51" s="414"/>
      <c r="EP51" s="414"/>
      <c r="EQ51" s="414"/>
      <c r="ER51" s="414"/>
      <c r="ES51" s="414"/>
      <c r="ET51" s="414"/>
      <c r="EU51" s="414"/>
      <c r="EV51" s="414"/>
      <c r="EW51" s="414"/>
      <c r="EX51" s="414"/>
      <c r="EY51" s="414"/>
      <c r="EZ51" s="414"/>
      <c r="FA51" s="414"/>
      <c r="FB51" s="414"/>
      <c r="FC51" s="414"/>
      <c r="FD51" s="414"/>
      <c r="FE51" s="414"/>
      <c r="FF51" s="414"/>
      <c r="FG51" s="414"/>
      <c r="FH51" s="414"/>
      <c r="FI51" s="414"/>
      <c r="FJ51" s="414"/>
      <c r="FK51" s="414"/>
      <c r="FL51" s="414"/>
      <c r="FM51" s="414"/>
      <c r="FN51" s="414"/>
      <c r="FO51" s="414"/>
      <c r="FP51" s="414"/>
      <c r="FQ51" s="414"/>
      <c r="FR51" s="414"/>
      <c r="FS51" s="414"/>
      <c r="FT51" s="414"/>
      <c r="FU51" s="414"/>
      <c r="FV51" s="414"/>
      <c r="FW51" s="414"/>
      <c r="FX51" s="414"/>
      <c r="FY51" s="414"/>
      <c r="FZ51" s="414"/>
      <c r="GA51" s="414"/>
      <c r="GB51" s="414"/>
      <c r="GC51" s="414"/>
      <c r="GD51" s="414"/>
      <c r="GE51" s="414"/>
      <c r="GF51" s="414"/>
      <c r="GG51" s="414"/>
      <c r="GH51" s="414"/>
      <c r="GI51" s="414"/>
      <c r="GJ51" s="414"/>
      <c r="GK51" s="414"/>
      <c r="GL51" s="414"/>
      <c r="GM51" s="414"/>
      <c r="GN51" s="414"/>
      <c r="GO51" s="414"/>
      <c r="GP51" s="414"/>
      <c r="GQ51" s="414"/>
      <c r="GR51" s="414"/>
      <c r="GS51" s="414"/>
      <c r="GT51" s="414"/>
      <c r="GU51" s="414"/>
      <c r="GV51" s="414"/>
      <c r="GW51" s="414"/>
      <c r="GX51" s="414"/>
      <c r="GY51" s="414"/>
      <c r="GZ51" s="414"/>
      <c r="HA51" s="414"/>
      <c r="HB51" s="414"/>
      <c r="HC51" s="414"/>
      <c r="HD51" s="414"/>
      <c r="HE51" s="414"/>
      <c r="HF51" s="414"/>
      <c r="HG51" s="414"/>
      <c r="HH51" s="414"/>
      <c r="HI51" s="414"/>
      <c r="HJ51" s="414"/>
      <c r="HK51" s="414"/>
      <c r="HL51" s="414"/>
      <c r="HM51" s="414"/>
      <c r="HN51" s="414"/>
      <c r="HO51" s="414"/>
      <c r="HP51" s="414"/>
      <c r="HQ51" s="414"/>
      <c r="HR51" s="414"/>
      <c r="HS51" s="414"/>
      <c r="HT51" s="414"/>
      <c r="HU51" s="414"/>
      <c r="HV51" s="414"/>
      <c r="HW51" s="414"/>
      <c r="HX51" s="414"/>
      <c r="HY51" s="414"/>
      <c r="HZ51" s="414"/>
      <c r="IA51" s="414"/>
      <c r="IB51" s="414"/>
      <c r="IC51" s="414"/>
      <c r="ID51" s="414"/>
      <c r="IE51" s="414"/>
      <c r="IF51" s="414"/>
      <c r="IG51" s="414"/>
      <c r="IH51" s="414"/>
      <c r="II51" s="414"/>
      <c r="IJ51" s="414"/>
      <c r="IK51" s="414"/>
      <c r="IL51" s="414"/>
      <c r="IM51" s="414"/>
      <c r="IN51" s="414"/>
      <c r="IO51" s="414"/>
      <c r="IP51" s="414"/>
      <c r="IQ51" s="414"/>
      <c r="IR51" s="414"/>
      <c r="IS51" s="414"/>
      <c r="IT51" s="414"/>
      <c r="IU51" s="414"/>
      <c r="IV51" s="414"/>
      <c r="IW51" s="414"/>
    </row>
    <row r="52" customFormat="false" ht="12.75" hidden="false" customHeight="false" outlineLevel="0" collapsed="false">
      <c r="A52" s="37"/>
      <c r="B52" s="38" t="s">
        <v>907</v>
      </c>
      <c r="E52" s="217" t="n">
        <f aca="false">SUM(E46:E51)</f>
        <v>0</v>
      </c>
      <c r="F52" s="217" t="n">
        <f aca="false">SUM(F46:F51)</f>
        <v>0</v>
      </c>
      <c r="G52" s="217" t="n">
        <f aca="false">SUM(G46:G51)</f>
        <v>-11300</v>
      </c>
      <c r="H52" s="217" t="n">
        <f aca="false">SUM(H46:H51)</f>
        <v>436.584043978844</v>
      </c>
      <c r="I52" s="217" t="n">
        <f aca="false">SUM(I46:I51)</f>
        <v>1977.21022970676</v>
      </c>
      <c r="J52" s="217" t="n">
        <f aca="false">SUM(J46:J51)</f>
        <v>99.3208383539418</v>
      </c>
      <c r="K52" s="217" t="n">
        <f aca="false">SUM(K46:K51)</f>
        <v>719.964400713388</v>
      </c>
      <c r="L52" s="217" t="n">
        <f aca="false">SUM(L46:L51)</f>
        <v>-1162.16881570077</v>
      </c>
      <c r="M52" s="217" t="n">
        <f aca="false">SUM(M46:M51)</f>
        <v>1669.27614311683</v>
      </c>
      <c r="N52" s="217" t="n">
        <f aca="false">SUM(N46:N51)</f>
        <v>1826.557974374</v>
      </c>
      <c r="O52" s="217" t="n">
        <f aca="false">SUM(O46:O51)</f>
        <v>1437.16995618153</v>
      </c>
      <c r="P52" s="217" t="n">
        <f aca="false">SUM(P46:P51)</f>
        <v>1214.05964838737</v>
      </c>
      <c r="Q52" s="217" t="n">
        <f aca="false">SUM(Q46:Q51)</f>
        <v>1473.57677845531</v>
      </c>
      <c r="R52" s="217" t="n">
        <f aca="false">SUM(R46:R51)</f>
        <v>1622.83817633388</v>
      </c>
      <c r="S52" s="217" t="n">
        <f aca="false">SUM(S46:S51)</f>
        <v>1033.9093015601</v>
      </c>
      <c r="T52" s="217" t="n">
        <f aca="false">SUM(T46:T51)</f>
        <v>780.007372058932</v>
      </c>
      <c r="U52" s="217" t="n">
        <f aca="false">SUM(U46:U51)</f>
        <v>2937.35256723572</v>
      </c>
      <c r="V52" s="217" t="n">
        <f aca="false">SUM(V46:V51)</f>
        <v>1076.18553657248</v>
      </c>
      <c r="W52" s="217" t="n">
        <f aca="false">SUM(W46:W51)</f>
        <v>-430.263331068813</v>
      </c>
      <c r="X52" s="217" t="n">
        <f aca="false">SUM(X46:X51)</f>
        <v>619.494915785868</v>
      </c>
      <c r="Y52" s="217" t="n">
        <f aca="false">SUM(Y46:Y51)</f>
        <v>406.098476069467</v>
      </c>
      <c r="Z52" s="217" t="n">
        <f aca="false">SUM(Z46:Z51)</f>
        <v>569.027064721944</v>
      </c>
      <c r="AA52" s="217" t="n">
        <f aca="false">SUM(AA46:AA51)</f>
        <v>699.594464116463</v>
      </c>
      <c r="AB52" s="574" t="n">
        <f aca="false">SUM(E52:AA52)</f>
        <v>7705.79574095325</v>
      </c>
      <c r="AC52" s="574" t="n">
        <f aca="false">SUM(AC46:AC51)</f>
        <v>-5677.82198428831</v>
      </c>
      <c r="AE52" s="666"/>
      <c r="AF52" s="666"/>
      <c r="AG52" s="666"/>
      <c r="AH52" s="666"/>
      <c r="AI52" s="666"/>
      <c r="AJ52" s="666"/>
      <c r="AK52" s="666"/>
      <c r="AL52" s="666"/>
      <c r="AM52" s="666"/>
      <c r="AN52" s="666"/>
      <c r="AO52" s="666"/>
      <c r="AP52" s="666"/>
      <c r="AQ52" s="666"/>
      <c r="AR52" s="666"/>
      <c r="AS52" s="666"/>
      <c r="AT52" s="666"/>
      <c r="AU52" s="666"/>
      <c r="AV52" s="666"/>
      <c r="AW52" s="666"/>
      <c r="AX52" s="666"/>
      <c r="AY52" s="666"/>
      <c r="AZ52" s="666"/>
      <c r="BA52" s="666"/>
      <c r="BB52" s="666"/>
      <c r="BC52" s="666"/>
      <c r="BD52" s="666"/>
      <c r="BE52" s="666"/>
      <c r="BF52" s="666"/>
      <c r="BG52" s="666"/>
      <c r="BH52" s="666"/>
      <c r="BI52" s="666"/>
      <c r="BJ52" s="666"/>
      <c r="BK52" s="666"/>
      <c r="BL52" s="666"/>
      <c r="BM52" s="666"/>
      <c r="BN52" s="666"/>
      <c r="BO52" s="666"/>
      <c r="BP52" s="666"/>
      <c r="BQ52" s="666"/>
      <c r="BR52" s="666"/>
      <c r="BS52" s="666"/>
      <c r="BT52" s="666"/>
      <c r="BU52" s="666"/>
      <c r="BV52" s="666"/>
      <c r="BW52" s="666"/>
      <c r="BX52" s="666"/>
      <c r="BY52" s="666"/>
      <c r="BZ52" s="666"/>
      <c r="CA52" s="666"/>
      <c r="CB52" s="666"/>
      <c r="CC52" s="666"/>
      <c r="CD52" s="666"/>
      <c r="CE52" s="666"/>
      <c r="CF52" s="666"/>
      <c r="CG52" s="666"/>
      <c r="CH52" s="666"/>
      <c r="CI52" s="666"/>
      <c r="CJ52" s="666"/>
      <c r="CK52" s="666"/>
      <c r="CL52" s="666"/>
      <c r="CM52" s="666"/>
      <c r="CN52" s="666"/>
      <c r="CO52" s="666"/>
      <c r="CP52" s="666"/>
      <c r="CQ52" s="666"/>
      <c r="CR52" s="666"/>
      <c r="CS52" s="666"/>
      <c r="CT52" s="666"/>
      <c r="CU52" s="666"/>
      <c r="CV52" s="666"/>
      <c r="CW52" s="666"/>
      <c r="CX52" s="666"/>
      <c r="CY52" s="666"/>
      <c r="CZ52" s="666"/>
      <c r="DA52" s="666"/>
      <c r="DB52" s="666"/>
      <c r="DC52" s="666"/>
      <c r="DD52" s="666"/>
      <c r="DE52" s="666"/>
      <c r="DF52" s="666"/>
      <c r="DG52" s="666"/>
      <c r="DH52" s="666"/>
      <c r="DI52" s="666"/>
      <c r="DJ52" s="666"/>
      <c r="DK52" s="666"/>
      <c r="DL52" s="666"/>
      <c r="DM52" s="666"/>
      <c r="DN52" s="666"/>
      <c r="DO52" s="666"/>
      <c r="DP52" s="666"/>
      <c r="DQ52" s="666"/>
      <c r="DR52" s="666"/>
      <c r="DS52" s="666"/>
      <c r="DT52" s="666"/>
      <c r="DU52" s="666"/>
      <c r="DV52" s="666"/>
      <c r="DW52" s="666"/>
      <c r="DX52" s="666"/>
      <c r="DY52" s="666"/>
      <c r="DZ52" s="666"/>
      <c r="EA52" s="666"/>
      <c r="EB52" s="666"/>
      <c r="EC52" s="666"/>
      <c r="ED52" s="666"/>
      <c r="EE52" s="666"/>
      <c r="EF52" s="666"/>
      <c r="EG52" s="666"/>
      <c r="EH52" s="666"/>
      <c r="EI52" s="666"/>
      <c r="EJ52" s="666"/>
      <c r="EK52" s="666"/>
      <c r="EL52" s="666"/>
      <c r="EM52" s="666"/>
      <c r="EN52" s="666"/>
      <c r="EO52" s="666"/>
      <c r="EP52" s="666"/>
      <c r="EQ52" s="666"/>
      <c r="ER52" s="666"/>
      <c r="ES52" s="666"/>
      <c r="ET52" s="666"/>
      <c r="EU52" s="666"/>
      <c r="EV52" s="666"/>
      <c r="EW52" s="666"/>
      <c r="EX52" s="666"/>
      <c r="EY52" s="666"/>
      <c r="EZ52" s="666"/>
      <c r="FA52" s="666"/>
      <c r="FB52" s="666"/>
      <c r="FC52" s="666"/>
      <c r="FD52" s="666"/>
      <c r="FE52" s="666"/>
      <c r="FF52" s="666"/>
      <c r="FG52" s="666"/>
      <c r="FH52" s="666"/>
      <c r="FI52" s="666"/>
      <c r="FJ52" s="666"/>
      <c r="FK52" s="666"/>
      <c r="FL52" s="666"/>
      <c r="FM52" s="666"/>
      <c r="FN52" s="666"/>
      <c r="FO52" s="666"/>
      <c r="FP52" s="666"/>
      <c r="FQ52" s="666"/>
      <c r="FR52" s="666"/>
      <c r="FS52" s="666"/>
      <c r="FT52" s="666"/>
      <c r="FU52" s="666"/>
      <c r="FV52" s="666"/>
      <c r="FW52" s="666"/>
      <c r="FX52" s="666"/>
      <c r="FY52" s="666"/>
      <c r="FZ52" s="666"/>
      <c r="GA52" s="666"/>
      <c r="GB52" s="666"/>
      <c r="GC52" s="666"/>
      <c r="GD52" s="666"/>
      <c r="GE52" s="666"/>
      <c r="GF52" s="666"/>
      <c r="GG52" s="666"/>
      <c r="GH52" s="666"/>
      <c r="GI52" s="666"/>
      <c r="GJ52" s="666"/>
      <c r="GK52" s="666"/>
      <c r="GL52" s="666"/>
      <c r="GM52" s="666"/>
      <c r="GN52" s="666"/>
      <c r="GO52" s="666"/>
      <c r="GP52" s="666"/>
      <c r="GQ52" s="666"/>
      <c r="GR52" s="666"/>
      <c r="GS52" s="666"/>
      <c r="GT52" s="666"/>
      <c r="GU52" s="666"/>
      <c r="GV52" s="666"/>
      <c r="GW52" s="666"/>
      <c r="GX52" s="666"/>
      <c r="GY52" s="666"/>
      <c r="GZ52" s="666"/>
      <c r="HA52" s="666"/>
      <c r="HB52" s="666"/>
      <c r="HC52" s="666"/>
      <c r="HD52" s="666"/>
      <c r="HE52" s="666"/>
      <c r="HF52" s="666"/>
      <c r="HG52" s="666"/>
      <c r="HH52" s="666"/>
      <c r="HI52" s="666"/>
      <c r="HJ52" s="666"/>
      <c r="HK52" s="666"/>
      <c r="HL52" s="666"/>
      <c r="HM52" s="666"/>
      <c r="HN52" s="666"/>
      <c r="HO52" s="666"/>
      <c r="HP52" s="666"/>
      <c r="HQ52" s="666"/>
      <c r="HR52" s="666"/>
      <c r="HS52" s="666"/>
      <c r="HT52" s="666"/>
      <c r="HU52" s="666"/>
      <c r="HV52" s="666"/>
      <c r="HW52" s="666"/>
      <c r="HX52" s="666"/>
      <c r="HY52" s="666"/>
      <c r="HZ52" s="666"/>
      <c r="IA52" s="666"/>
      <c r="IB52" s="666"/>
      <c r="IC52" s="666"/>
      <c r="ID52" s="666"/>
      <c r="IE52" s="666"/>
      <c r="IF52" s="666"/>
      <c r="IG52" s="666"/>
      <c r="IH52" s="666"/>
      <c r="II52" s="666"/>
      <c r="IJ52" s="666"/>
      <c r="IK52" s="666"/>
      <c r="IL52" s="666"/>
      <c r="IM52" s="666"/>
      <c r="IN52" s="666"/>
      <c r="IO52" s="666"/>
      <c r="IP52" s="666"/>
      <c r="IQ52" s="666"/>
      <c r="IR52" s="666"/>
      <c r="IS52" s="666"/>
      <c r="IT52" s="666"/>
      <c r="IU52" s="666"/>
      <c r="IV52" s="666"/>
      <c r="IW52" s="666"/>
    </row>
    <row r="53" customFormat="false" ht="12.75" hidden="false" customHeight="false" outlineLevel="0" collapsed="false">
      <c r="A53" s="37"/>
      <c r="E53" s="668" t="n">
        <f aca="false">SUM(E47:E51)</f>
        <v>0</v>
      </c>
      <c r="F53" s="668" t="n">
        <f aca="false">SUM(F47:F51)</f>
        <v>0</v>
      </c>
      <c r="G53" s="668" t="n">
        <f aca="false">SUM(G47:G51)</f>
        <v>0</v>
      </c>
      <c r="H53" s="668" t="n">
        <f aca="false">SUM(H47:H51)</f>
        <v>0</v>
      </c>
      <c r="I53" s="668" t="n">
        <f aca="false">SUM(I47:I51)</f>
        <v>0</v>
      </c>
      <c r="J53" s="668" t="n">
        <f aca="false">SUM(J47:J51)</f>
        <v>0</v>
      </c>
      <c r="K53" s="668" t="n">
        <f aca="false">SUM(K47:K51)</f>
        <v>0</v>
      </c>
      <c r="L53" s="668" t="n">
        <f aca="false">SUM(L47:L51)</f>
        <v>0</v>
      </c>
      <c r="M53" s="668" t="n">
        <f aca="false">SUM(M47:M51)</f>
        <v>0</v>
      </c>
      <c r="N53" s="668" t="n">
        <f aca="false">SUM(N47:N51)</f>
        <v>0</v>
      </c>
      <c r="O53" s="668" t="n">
        <f aca="false">SUM(O47:O51)</f>
        <v>0</v>
      </c>
      <c r="P53" s="668" t="n">
        <f aca="false">SUM(P47:P51)</f>
        <v>0</v>
      </c>
      <c r="Q53" s="668" t="n">
        <f aca="false">SUM(Q47:Q51)</f>
        <v>0</v>
      </c>
      <c r="R53" s="668" t="n">
        <f aca="false">SUM(R47:R51)</f>
        <v>0</v>
      </c>
      <c r="S53" s="668" t="n">
        <f aca="false">SUM(S47:S51)</f>
        <v>0</v>
      </c>
      <c r="T53" s="668" t="n">
        <f aca="false">SUM(T47:T51)</f>
        <v>0</v>
      </c>
      <c r="U53" s="668" t="n">
        <f aca="false">SUM(U47:U51)</f>
        <v>0</v>
      </c>
      <c r="V53" s="668" t="n">
        <f aca="false">SUM(V47:V51)</f>
        <v>0</v>
      </c>
      <c r="W53" s="668" t="n">
        <f aca="false">SUM(W47:W51)</f>
        <v>0</v>
      </c>
      <c r="X53" s="668" t="n">
        <f aca="false">SUM(X47:X51)</f>
        <v>0</v>
      </c>
      <c r="Y53" s="668" t="n">
        <f aca="false">SUM(Y47:Y51)</f>
        <v>0</v>
      </c>
      <c r="Z53" s="668" t="n">
        <f aca="false">SUM(Z47:Z51)</f>
        <v>0</v>
      </c>
      <c r="AA53" s="668" t="n">
        <f aca="false">SUM(AA47:AA51)</f>
        <v>0</v>
      </c>
      <c r="AB53" s="669" t="n">
        <f aca="false">SUM(AB47:AB51)</f>
        <v>0</v>
      </c>
      <c r="AC53" s="669" t="n">
        <f aca="false">SUM(AC47:AC51)</f>
        <v>0</v>
      </c>
      <c r="AE53" s="666"/>
      <c r="AF53" s="666"/>
      <c r="AG53" s="666"/>
      <c r="AH53" s="666"/>
      <c r="AI53" s="666"/>
      <c r="AJ53" s="666"/>
      <c r="AK53" s="666"/>
      <c r="AL53" s="666"/>
      <c r="AM53" s="666"/>
      <c r="AN53" s="666"/>
      <c r="AO53" s="666"/>
      <c r="AP53" s="666"/>
      <c r="AQ53" s="666"/>
      <c r="AR53" s="666"/>
      <c r="AS53" s="666"/>
      <c r="AT53" s="666"/>
      <c r="AU53" s="666"/>
      <c r="AV53" s="666"/>
      <c r="AW53" s="666"/>
      <c r="AX53" s="666"/>
      <c r="AY53" s="666"/>
      <c r="AZ53" s="666"/>
      <c r="BA53" s="666"/>
      <c r="BB53" s="666"/>
      <c r="BC53" s="666"/>
      <c r="BD53" s="666"/>
      <c r="BE53" s="666"/>
      <c r="BF53" s="666"/>
      <c r="BG53" s="666"/>
      <c r="BH53" s="666"/>
      <c r="BI53" s="666"/>
      <c r="BJ53" s="666"/>
      <c r="BK53" s="666"/>
      <c r="BL53" s="666"/>
      <c r="BM53" s="666"/>
      <c r="BN53" s="666"/>
      <c r="BO53" s="666"/>
      <c r="BP53" s="666"/>
      <c r="BQ53" s="666"/>
      <c r="BR53" s="666"/>
      <c r="BS53" s="666"/>
      <c r="BT53" s="666"/>
      <c r="BU53" s="666"/>
      <c r="BV53" s="666"/>
      <c r="BW53" s="666"/>
      <c r="BX53" s="666"/>
      <c r="BY53" s="666"/>
      <c r="BZ53" s="666"/>
      <c r="CA53" s="666"/>
      <c r="CB53" s="666"/>
      <c r="CC53" s="666"/>
      <c r="CD53" s="666"/>
      <c r="CE53" s="666"/>
      <c r="CF53" s="666"/>
      <c r="CG53" s="666"/>
      <c r="CH53" s="666"/>
      <c r="CI53" s="666"/>
      <c r="CJ53" s="666"/>
      <c r="CK53" s="666"/>
      <c r="CL53" s="666"/>
      <c r="CM53" s="666"/>
      <c r="CN53" s="666"/>
      <c r="CO53" s="666"/>
      <c r="CP53" s="666"/>
      <c r="CQ53" s="666"/>
      <c r="CR53" s="666"/>
      <c r="CS53" s="666"/>
      <c r="CT53" s="666"/>
      <c r="CU53" s="666"/>
      <c r="CV53" s="666"/>
      <c r="CW53" s="666"/>
      <c r="CX53" s="666"/>
      <c r="CY53" s="666"/>
      <c r="CZ53" s="666"/>
      <c r="DA53" s="666"/>
      <c r="DB53" s="666"/>
      <c r="DC53" s="666"/>
      <c r="DD53" s="666"/>
      <c r="DE53" s="666"/>
      <c r="DF53" s="666"/>
      <c r="DG53" s="666"/>
      <c r="DH53" s="666"/>
      <c r="DI53" s="666"/>
      <c r="DJ53" s="666"/>
      <c r="DK53" s="666"/>
      <c r="DL53" s="666"/>
      <c r="DM53" s="666"/>
      <c r="DN53" s="666"/>
      <c r="DO53" s="666"/>
      <c r="DP53" s="666"/>
      <c r="DQ53" s="666"/>
      <c r="DR53" s="666"/>
      <c r="DS53" s="666"/>
      <c r="DT53" s="666"/>
      <c r="DU53" s="666"/>
      <c r="DV53" s="666"/>
      <c r="DW53" s="666"/>
      <c r="DX53" s="666"/>
      <c r="DY53" s="666"/>
      <c r="DZ53" s="666"/>
      <c r="EA53" s="666"/>
      <c r="EB53" s="666"/>
      <c r="EC53" s="666"/>
      <c r="ED53" s="666"/>
      <c r="EE53" s="666"/>
      <c r="EF53" s="666"/>
      <c r="EG53" s="666"/>
      <c r="EH53" s="666"/>
      <c r="EI53" s="666"/>
      <c r="EJ53" s="666"/>
      <c r="EK53" s="666"/>
      <c r="EL53" s="666"/>
      <c r="EM53" s="666"/>
      <c r="EN53" s="666"/>
      <c r="EO53" s="666"/>
      <c r="EP53" s="666"/>
      <c r="EQ53" s="666"/>
      <c r="ER53" s="666"/>
      <c r="ES53" s="666"/>
      <c r="ET53" s="666"/>
      <c r="EU53" s="666"/>
      <c r="EV53" s="666"/>
      <c r="EW53" s="666"/>
      <c r="EX53" s="666"/>
      <c r="EY53" s="666"/>
      <c r="EZ53" s="666"/>
      <c r="FA53" s="666"/>
      <c r="FB53" s="666"/>
      <c r="FC53" s="666"/>
      <c r="FD53" s="666"/>
      <c r="FE53" s="666"/>
      <c r="FF53" s="666"/>
      <c r="FG53" s="666"/>
      <c r="FH53" s="666"/>
      <c r="FI53" s="666"/>
      <c r="FJ53" s="666"/>
      <c r="FK53" s="666"/>
      <c r="FL53" s="666"/>
      <c r="FM53" s="666"/>
      <c r="FN53" s="666"/>
      <c r="FO53" s="666"/>
      <c r="FP53" s="666"/>
      <c r="FQ53" s="666"/>
      <c r="FR53" s="666"/>
      <c r="FS53" s="666"/>
      <c r="FT53" s="666"/>
      <c r="FU53" s="666"/>
      <c r="FV53" s="666"/>
      <c r="FW53" s="666"/>
      <c r="FX53" s="666"/>
      <c r="FY53" s="666"/>
      <c r="FZ53" s="666"/>
      <c r="GA53" s="666"/>
      <c r="GB53" s="666"/>
      <c r="GC53" s="666"/>
      <c r="GD53" s="666"/>
      <c r="GE53" s="666"/>
      <c r="GF53" s="666"/>
      <c r="GG53" s="666"/>
      <c r="GH53" s="666"/>
      <c r="GI53" s="666"/>
      <c r="GJ53" s="666"/>
      <c r="GK53" s="666"/>
      <c r="GL53" s="666"/>
      <c r="GM53" s="666"/>
      <c r="GN53" s="666"/>
      <c r="GO53" s="666"/>
      <c r="GP53" s="666"/>
      <c r="GQ53" s="666"/>
      <c r="GR53" s="666"/>
      <c r="GS53" s="666"/>
      <c r="GT53" s="666"/>
      <c r="GU53" s="666"/>
      <c r="GV53" s="666"/>
      <c r="GW53" s="666"/>
      <c r="GX53" s="666"/>
      <c r="GY53" s="666"/>
      <c r="GZ53" s="666"/>
      <c r="HA53" s="666"/>
      <c r="HB53" s="666"/>
      <c r="HC53" s="666"/>
      <c r="HD53" s="666"/>
      <c r="HE53" s="666"/>
      <c r="HF53" s="666"/>
      <c r="HG53" s="666"/>
      <c r="HH53" s="666"/>
      <c r="HI53" s="666"/>
      <c r="HJ53" s="666"/>
      <c r="HK53" s="666"/>
      <c r="HL53" s="666"/>
      <c r="HM53" s="666"/>
      <c r="HN53" s="666"/>
      <c r="HO53" s="666"/>
      <c r="HP53" s="666"/>
      <c r="HQ53" s="666"/>
      <c r="HR53" s="666"/>
      <c r="HS53" s="666"/>
      <c r="HT53" s="666"/>
      <c r="HU53" s="666"/>
      <c r="HV53" s="666"/>
      <c r="HW53" s="666"/>
      <c r="HX53" s="666"/>
      <c r="HY53" s="666"/>
      <c r="HZ53" s="666"/>
      <c r="IA53" s="666"/>
      <c r="IB53" s="666"/>
      <c r="IC53" s="666"/>
      <c r="ID53" s="666"/>
      <c r="IE53" s="666"/>
      <c r="IF53" s="666"/>
      <c r="IG53" s="666"/>
      <c r="IH53" s="666"/>
      <c r="II53" s="666"/>
      <c r="IJ53" s="666"/>
      <c r="IK53" s="666"/>
      <c r="IL53" s="666"/>
      <c r="IM53" s="666"/>
      <c r="IN53" s="666"/>
      <c r="IO53" s="666"/>
      <c r="IP53" s="666"/>
      <c r="IQ53" s="666"/>
      <c r="IR53" s="666"/>
      <c r="IS53" s="666"/>
      <c r="IT53" s="666"/>
      <c r="IU53" s="666"/>
      <c r="IV53" s="666"/>
      <c r="IW53" s="666"/>
    </row>
    <row r="54" customFormat="false" ht="12.75" hidden="false" customHeight="false" outlineLevel="0" collapsed="false">
      <c r="A54" s="37"/>
      <c r="B54" s="38" t="s">
        <v>899</v>
      </c>
      <c r="E54" s="645" t="n">
        <f aca="false">$E52</f>
        <v>0</v>
      </c>
      <c r="F54" s="645" t="n">
        <f aca="false">IF($I$3=0,$F52,$E52+NPV(Disc,$F52:F52))</f>
        <v>0</v>
      </c>
      <c r="G54" s="217" t="n">
        <f aca="false">IF($I$3=0,$F52+NPV(Disc,$G52:G52),$E52+NPV(Disc,$F52:G52))</f>
        <v>-9495.79831932773</v>
      </c>
      <c r="H54" s="217" t="n">
        <f aca="false">IF($I$3=0,$F52+NPV(Disc,$G52:H52),$E52+NPV(Disc,$F52:H52))</f>
        <v>-9187.49802699044</v>
      </c>
      <c r="I54" s="217" t="n">
        <f aca="false">IF($I$3=0,$F52+NPV(Disc,$G52:I52),$E52+NPV(Disc,$F52:I52))</f>
        <v>-8014.19020873307</v>
      </c>
      <c r="J54" s="217" t="n">
        <f aca="false">IF($I$3=0,$F52+NPV(Disc,$G52:J52),$E52+NPV(Disc,$F52:J52))</f>
        <v>-7964.66201028233</v>
      </c>
      <c r="K54" s="217" t="n">
        <f aca="false">IF($I$3=0,$F52+NPV(Disc,$G52:K52),$E52+NPV(Disc,$F52:K52))</f>
        <v>-7662.96138107066</v>
      </c>
      <c r="L54" s="217" t="n">
        <f aca="false">IF($I$3=0,$F52+NPV(Disc,$G52:L52),$E52+NPV(Disc,$F52:L52))</f>
        <v>-8072.21021395725</v>
      </c>
      <c r="M54" s="217" t="n">
        <f aca="false">IF($I$3=0,$F52+NPV(Disc,$G52:M52),$E52+NPV(Disc,$F52:M52))</f>
        <v>-7578.24148457144</v>
      </c>
      <c r="N54" s="217" t="n">
        <f aca="false">IF($I$3=0,$F52+NPV(Disc,$G52:N52),$E52+NPV(Disc,$F52:N52))</f>
        <v>-7124.03035664201</v>
      </c>
      <c r="O54" s="217" t="n">
        <f aca="false">IF($I$3=0,$F52+NPV(Disc,$G52:O52),$E52+NPV(Disc,$F52:O52))</f>
        <v>-6823.70951164202</v>
      </c>
      <c r="P54" s="217" t="n">
        <f aca="false">IF($I$3=0,$F52+NPV(Disc,$G52:P52),$E52+NPV(Disc,$F52:P52))</f>
        <v>-6610.51775365642</v>
      </c>
      <c r="Q54" s="217" t="n">
        <f aca="false">IF($I$3=0,$F52+NPV(Disc,$G52:Q52),$E52+NPV(Disc,$F52:Q52))</f>
        <v>-6393.06936504232</v>
      </c>
      <c r="R54" s="217" t="n">
        <f aca="false">IF($I$3=0,$F52+NPV(Disc,$G52:R52),$E52+NPV(Disc,$F52:R52))</f>
        <v>-6191.83058356113</v>
      </c>
      <c r="S54" s="217" t="n">
        <f aca="false">IF($I$3=0,$F52+NPV(Disc,$G52:S52),$E52+NPV(Disc,$F52:S52))</f>
        <v>-6084.09183061519</v>
      </c>
      <c r="T54" s="217" t="n">
        <f aca="false">IF($I$3=0,$F52+NPV(Disc,$G52:T52),$E52+NPV(Disc,$F52:T52))</f>
        <v>-6015.78859962833</v>
      </c>
      <c r="U54" s="217" t="n">
        <f aca="false">IF($I$3=0,$F52+NPV(Disc,$G52:U52),$E52+NPV(Disc,$F52:U52))</f>
        <v>-5799.64038299887</v>
      </c>
      <c r="V54" s="217" t="n">
        <f aca="false">IF($I$3=0,$F52+NPV(Disc,$G52:V52),$E52+NPV(Disc,$F52:V52))</f>
        <v>-5733.09226641709</v>
      </c>
      <c r="W54" s="217" t="n">
        <f aca="false">IF($I$3=0,$F52+NPV(Disc,$G52:W52),$E52+NPV(Disc,$F52:W52))</f>
        <v>-5755.45042290433</v>
      </c>
      <c r="X54" s="217" t="n">
        <f aca="false">IF($I$3=0,$F52+NPV(Disc,$G52:X52),$E52+NPV(Disc,$F52:X52))</f>
        <v>-5728.39885502582</v>
      </c>
      <c r="Y54" s="217" t="n">
        <f aca="false">IF($I$3=0,$F52+NPV(Disc,$G52:Y52),$E52+NPV(Disc,$F52:Y52))</f>
        <v>-5713.49704257214</v>
      </c>
      <c r="Z54" s="217" t="n">
        <f aca="false">IF($I$3=0,$F52+NPV(Disc,$G52:Z52),$E52+NPV(Disc,$F52:Z52))</f>
        <v>-5695.95041349752</v>
      </c>
      <c r="AA54" s="217" t="n">
        <f aca="false">IF($I$3=0,$F52+NPV(Disc,$G52:AA52),$E52+NPV(Disc,$F52:AA52))</f>
        <v>-5677.82198428831</v>
      </c>
      <c r="AB54" s="640"/>
      <c r="AC54" s="574" t="n">
        <f aca="false">AC52</f>
        <v>-5677.82198428831</v>
      </c>
      <c r="AD54" s="668" t="n">
        <f aca="false">NPV(Disc,F53:AA53)+E53</f>
        <v>0</v>
      </c>
    </row>
    <row r="55" customFormat="false" ht="12.75" hidden="false" customHeight="false" outlineLevel="0" collapsed="false">
      <c r="A55" s="37"/>
      <c r="B55" s="38" t="s">
        <v>900</v>
      </c>
      <c r="E55" s="260" t="e">
        <f aca="false">IRR($E52:E52,-0.9)</f>
        <v>#N/A</v>
      </c>
      <c r="F55" s="260" t="e">
        <f aca="false">IRR($E52:F52,-0.9)</f>
        <v>#N/A</v>
      </c>
      <c r="G55" s="260" t="e">
        <f aca="false">IRR($E52:G52,-0.9)</f>
        <v>#N/A</v>
      </c>
      <c r="H55" s="260" t="e">
        <f aca="false">IRR($E52:H52,-0.9)</f>
        <v>#N/A</v>
      </c>
      <c r="I55" s="260" t="n">
        <f aca="false">IRR($E52:I52,-0.9)</f>
        <v>-0.561936928514344</v>
      </c>
      <c r="J55" s="260" t="n">
        <f aca="false">IRR($E52:J52,-0.9)</f>
        <v>-0.539724515110772</v>
      </c>
      <c r="K55" s="260" t="n">
        <f aca="false">IRR($E52:K52,-0.9)</f>
        <v>-0.383151522520305</v>
      </c>
      <c r="L55" s="260" t="e">
        <f aca="false">IRR($E52:L52,-0.9)</f>
        <v>#N/A</v>
      </c>
      <c r="M55" s="260" t="e">
        <f aca="false">IRR($E52:M52,-0.9)</f>
        <v>#N/A</v>
      </c>
      <c r="N55" s="260" t="e">
        <f aca="false">IRR($E52:N52,-0.9)</f>
        <v>#N/A</v>
      </c>
      <c r="O55" s="260" t="e">
        <f aca="false">IRR($E52:O52,-0.9)</f>
        <v>#N/A</v>
      </c>
      <c r="P55" s="260" t="e">
        <f aca="false">IRR($E52:P52,-0.9)</f>
        <v>#N/A</v>
      </c>
      <c r="Q55" s="260" t="e">
        <f aca="false">IRR($E52:Q52,-0.9)</f>
        <v>#N/A</v>
      </c>
      <c r="R55" s="260" t="e">
        <f aca="false">IRR($E52:R52,-0.9)</f>
        <v>#N/A</v>
      </c>
      <c r="S55" s="260" t="e">
        <f aca="false">IRR($E52:S52,-0.9)</f>
        <v>#N/A</v>
      </c>
      <c r="T55" s="260" t="e">
        <f aca="false">IRR($E52:T52,-0.9)</f>
        <v>#N/A</v>
      </c>
      <c r="U55" s="260" t="e">
        <f aca="false">IRR($E52:U52,-0.9)</f>
        <v>#N/A</v>
      </c>
      <c r="V55" s="260" t="e">
        <f aca="false">IRR($E52:V52,-0.9)</f>
        <v>#N/A</v>
      </c>
      <c r="W55" s="260" t="e">
        <f aca="false">IRR($E52:W52,-0.9)</f>
        <v>#N/A</v>
      </c>
      <c r="X55" s="260" t="e">
        <f aca="false">IRR($E52:X52,-0.9)</f>
        <v>#N/A</v>
      </c>
      <c r="Y55" s="260" t="e">
        <f aca="false">IRR($E52:Y52,-0.9)</f>
        <v>#N/A</v>
      </c>
      <c r="Z55" s="260" t="e">
        <f aca="false">IRR($E52:Z52,-0.9)</f>
        <v>#N/A</v>
      </c>
      <c r="AA55" s="260" t="e">
        <f aca="false">IRR($E52:AA52,-0.9)</f>
        <v>#N/A</v>
      </c>
      <c r="AB55" s="638"/>
      <c r="AC55" s="646" t="e">
        <f aca="false">IRR(E52:AA52,-0.9)</f>
        <v>#N/A</v>
      </c>
      <c r="AD55" s="670" t="str">
        <f aca="false">IF(ISERROR(IRR(E53:AA53,-0.9)),"Infinite",IRR(E53:AA53,-0.9))</f>
        <v>Infinite</v>
      </c>
    </row>
    <row r="56" customFormat="false" ht="12.75" hidden="false" customHeight="true" outlineLevel="0" collapsed="false">
      <c r="A56" s="37"/>
      <c r="C56" s="671" t="s">
        <v>908</v>
      </c>
      <c r="D56" s="671" t="s">
        <v>909</v>
      </c>
      <c r="E56" s="637"/>
      <c r="F56" s="637"/>
      <c r="G56" s="637"/>
      <c r="H56" s="637"/>
      <c r="I56" s="637"/>
      <c r="J56" s="637"/>
      <c r="K56" s="637"/>
      <c r="L56" s="637"/>
      <c r="M56" s="637"/>
      <c r="N56" s="637"/>
      <c r="O56" s="637"/>
      <c r="P56" s="637"/>
      <c r="Q56" s="637"/>
      <c r="R56" s="637"/>
      <c r="S56" s="637"/>
      <c r="T56" s="637"/>
      <c r="U56" s="637"/>
      <c r="V56" s="637"/>
      <c r="W56" s="637"/>
      <c r="X56" s="637"/>
      <c r="Y56" s="637"/>
      <c r="Z56" s="637"/>
      <c r="AA56" s="637"/>
      <c r="AB56" s="638"/>
      <c r="AC56" s="555"/>
    </row>
    <row r="57" customFormat="false" ht="12.75" hidden="false" customHeight="false" outlineLevel="0" collapsed="false">
      <c r="A57" s="37"/>
      <c r="B57" s="647" t="str">
        <f aca="false">CONCATENATE(Assm!$H$98," NPV @ ",TEXT(Disc,"0.0%"))</f>
        <v>New Investor Equity % (LJM) NPV @ 19.0%</v>
      </c>
      <c r="C57" s="672" t="n">
        <f aca="false">AC54</f>
        <v>-5677.82198428831</v>
      </c>
      <c r="D57" s="648" t="n">
        <f aca="false">AD54</f>
        <v>0</v>
      </c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49"/>
      <c r="Q57" s="649"/>
      <c r="R57" s="649"/>
      <c r="S57" s="649"/>
      <c r="T57" s="649"/>
      <c r="U57" s="649"/>
      <c r="V57" s="649"/>
      <c r="W57" s="649"/>
      <c r="X57" s="649"/>
      <c r="Y57" s="649"/>
      <c r="Z57" s="649"/>
      <c r="AA57" s="649"/>
      <c r="AB57" s="638"/>
      <c r="AC57" s="555"/>
    </row>
    <row r="58" customFormat="false" ht="13.5" hidden="false" customHeight="false" outlineLevel="0" collapsed="false">
      <c r="A58" s="70"/>
      <c r="B58" s="652" t="str">
        <f aca="false">CONCATENATE(Assm!$H$98," IRR")</f>
        <v>New Investor Equity % (LJM) IRR</v>
      </c>
      <c r="C58" s="673" t="e">
        <f aca="false">AC55</f>
        <v>#N/A</v>
      </c>
      <c r="D58" s="674" t="str">
        <f aca="false">AD55</f>
        <v>Infinite</v>
      </c>
      <c r="E58" s="71"/>
      <c r="F58" s="654"/>
      <c r="G58" s="654"/>
      <c r="H58" s="654"/>
      <c r="I58" s="654"/>
      <c r="J58" s="654"/>
      <c r="K58" s="654"/>
      <c r="L58" s="654"/>
      <c r="M58" s="654"/>
      <c r="N58" s="654"/>
      <c r="O58" s="654"/>
      <c r="P58" s="654"/>
      <c r="Q58" s="654"/>
      <c r="R58" s="654"/>
      <c r="S58" s="654"/>
      <c r="T58" s="654"/>
      <c r="U58" s="654"/>
      <c r="V58" s="654"/>
      <c r="W58" s="654"/>
      <c r="X58" s="654"/>
      <c r="Y58" s="654"/>
      <c r="Z58" s="654"/>
      <c r="AA58" s="654"/>
      <c r="AB58" s="655"/>
      <c r="AC58" s="611"/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3"/>
  <sheetViews>
    <sheetView showFormulas="false" showGridLines="false" showRowColHeaders="true" showZeros="true" rightToLeft="false" tabSelected="false" showOutlineSymbols="true" defaultGridColor="true" view="normal" topLeftCell="A7" colorId="64" zoomScale="75" zoomScaleNormal="75" zoomScalePageLayoutView="100" workbookViewId="0">
      <pane xSplit="0" ySplit="1" topLeftCell="BM8" activePane="bottomLeft" state="frozen"/>
      <selection pane="topLeft" activeCell="A7" activeCellId="0" sqref="A7"/>
      <selection pane="bottomLeft" activeCell="G16" activeCellId="0" sqref="G16:G2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8" width="8.7"/>
    <col collapsed="false" customWidth="true" hidden="false" outlineLevel="0" max="2" min="2" style="38" width="35.7"/>
    <col collapsed="false" customWidth="true" hidden="false" outlineLevel="0" max="3" min="3" style="38" width="11.99"/>
    <col collapsed="false" customWidth="true" hidden="false" outlineLevel="0" max="4" min="4" style="38" width="11.28"/>
    <col collapsed="false" customWidth="true" hidden="false" outlineLevel="0" max="6" min="5" style="38" width="9.7"/>
    <col collapsed="false" customWidth="true" hidden="false" outlineLevel="0" max="7" min="7" style="38" width="10.56"/>
    <col collapsed="false" customWidth="true" hidden="false" outlineLevel="0" max="27" min="8" style="38" width="9.7"/>
    <col collapsed="false" customWidth="true" hidden="false" outlineLevel="0" max="29" min="28" style="38" width="10.71"/>
    <col collapsed="false" customWidth="false" hidden="false" outlineLevel="0" max="30" min="30" style="38" width="9.14"/>
    <col collapsed="false" customWidth="false" hidden="false" outlineLevel="0" max="257" min="31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910</v>
      </c>
      <c r="B4" s="632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8"/>
      <c r="AB5" s="388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878</v>
      </c>
      <c r="B6" s="28"/>
      <c r="C6" s="28"/>
      <c r="D6" s="28"/>
      <c r="E6" s="28" t="n">
        <f aca="false">IF(E$7&lt;YEAR(Startops1),0,D6+1)</f>
        <v>0</v>
      </c>
      <c r="F6" s="28" t="n">
        <f aca="false">IF(F$7&lt;YEAR(Startops1),0,E6+1)</f>
        <v>0</v>
      </c>
      <c r="G6" s="28" t="n">
        <f aca="false">IF(G$7&lt;YEAR(Startops1),0,F6+1)</f>
        <v>1</v>
      </c>
      <c r="H6" s="28" t="n">
        <f aca="false">IF(H$7&lt;YEAR(Startops1),0,G6+1)</f>
        <v>2</v>
      </c>
      <c r="I6" s="28" t="n">
        <f aca="false">IF(I$7&lt;YEAR(Startops1),0,H6+1)</f>
        <v>3</v>
      </c>
      <c r="J6" s="28" t="n">
        <f aca="false">IF(J$7&lt;YEAR(Startops1),0,I6+1)</f>
        <v>4</v>
      </c>
      <c r="K6" s="28" t="n">
        <f aca="false">IF(K$7&lt;YEAR(Startops1),0,J6+1)</f>
        <v>5</v>
      </c>
      <c r="L6" s="28" t="n">
        <f aca="false">IF(L$7&lt;YEAR(Startops1),0,K6+1)</f>
        <v>6</v>
      </c>
      <c r="M6" s="28" t="n">
        <f aca="false">IF(M$7&lt;YEAR(Startops1),0,L6+1)</f>
        <v>7</v>
      </c>
      <c r="N6" s="28" t="n">
        <f aca="false">IF(N$7&lt;YEAR(Startops1),0,M6+1)</f>
        <v>8</v>
      </c>
      <c r="O6" s="28" t="n">
        <f aca="false">IF(O$7&lt;YEAR(Startops1),0,N6+1)</f>
        <v>9</v>
      </c>
      <c r="P6" s="28" t="n">
        <f aca="false">IF(P$7&lt;YEAR(Startops1),0,O6+1)</f>
        <v>10</v>
      </c>
      <c r="Q6" s="28" t="n">
        <f aca="false">IF(Q$7&lt;YEAR(Startops1),0,P6+1)</f>
        <v>11</v>
      </c>
      <c r="R6" s="28" t="n">
        <f aca="false">IF(R$7&lt;YEAR(Startops1),0,Q6+1)</f>
        <v>12</v>
      </c>
      <c r="S6" s="28" t="n">
        <f aca="false">IF(S$7&lt;YEAR(Startops1),0,R6+1)</f>
        <v>13</v>
      </c>
      <c r="T6" s="28" t="n">
        <f aca="false">IF(T$7&lt;YEAR(Startops1),0,S6+1)</f>
        <v>14</v>
      </c>
      <c r="U6" s="28" t="n">
        <f aca="false">IF(U$7&lt;YEAR(Startops1),0,T6+1)</f>
        <v>15</v>
      </c>
      <c r="V6" s="28" t="n">
        <f aca="false">IF(V$7&lt;YEAR(Startops1),0,U6+1)</f>
        <v>16</v>
      </c>
      <c r="W6" s="28" t="n">
        <f aca="false">IF(W$7&lt;YEAR(Startops1),0,V6+1)</f>
        <v>17</v>
      </c>
      <c r="X6" s="28" t="n">
        <f aca="false">IF(X$7&lt;YEAR(Startops1),0,W6+1)</f>
        <v>18</v>
      </c>
      <c r="Y6" s="28" t="n">
        <f aca="false">IF(Y$7&lt;YEAR(Startops1),0,X6+1)</f>
        <v>19</v>
      </c>
      <c r="Z6" s="28" t="n">
        <f aca="false">IF(Z$7&lt;YEAR(Startops1),0,Y6+1)</f>
        <v>20</v>
      </c>
      <c r="AA6" s="28" t="n">
        <f aca="false">IF(AA$7&lt;YEAR(Startops1),0,Z6+1)</f>
        <v>21</v>
      </c>
      <c r="AB6" s="539"/>
      <c r="AC6" s="633" t="s">
        <v>310</v>
      </c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634" t="s">
        <v>765</v>
      </c>
      <c r="B7" s="71"/>
      <c r="C7" s="71"/>
      <c r="D7" s="71"/>
      <c r="E7" s="372" t="n">
        <f aca="false">'Project &amp; Investor Returns'!E7</f>
        <v>1997</v>
      </c>
      <c r="F7" s="372" t="n">
        <f aca="false">'Project &amp; Investor Returns'!F7</f>
        <v>1998</v>
      </c>
      <c r="G7" s="372" t="n">
        <f aca="false">'Project &amp; Investor Returns'!G7</f>
        <v>1999</v>
      </c>
      <c r="H7" s="372" t="n">
        <f aca="false">'Project &amp; Investor Returns'!H7</f>
        <v>2000</v>
      </c>
      <c r="I7" s="372" t="n">
        <f aca="false">'Project &amp; Investor Returns'!I7</f>
        <v>2001</v>
      </c>
      <c r="J7" s="372" t="n">
        <f aca="false">'Project &amp; Investor Returns'!J7</f>
        <v>2002</v>
      </c>
      <c r="K7" s="372" t="n">
        <f aca="false">'Project &amp; Investor Returns'!K7</f>
        <v>2003</v>
      </c>
      <c r="L7" s="372" t="n">
        <f aca="false">'Project &amp; Investor Returns'!L7</f>
        <v>2004</v>
      </c>
      <c r="M7" s="372" t="n">
        <f aca="false">'Project &amp; Investor Returns'!M7</f>
        <v>2005</v>
      </c>
      <c r="N7" s="372" t="n">
        <f aca="false">'Project &amp; Investor Returns'!N7</f>
        <v>2006</v>
      </c>
      <c r="O7" s="372" t="n">
        <f aca="false">'Project &amp; Investor Returns'!O7</f>
        <v>2007</v>
      </c>
      <c r="P7" s="372" t="n">
        <f aca="false">'Project &amp; Investor Returns'!P7</f>
        <v>2008</v>
      </c>
      <c r="Q7" s="372" t="n">
        <f aca="false">'Project &amp; Investor Returns'!Q7</f>
        <v>2009</v>
      </c>
      <c r="R7" s="372" t="n">
        <f aca="false">'Project &amp; Investor Returns'!R7</f>
        <v>2010</v>
      </c>
      <c r="S7" s="372" t="n">
        <f aca="false">'Project &amp; Investor Returns'!S7</f>
        <v>2011</v>
      </c>
      <c r="T7" s="372" t="n">
        <f aca="false">'Project &amp; Investor Returns'!T7</f>
        <v>2012</v>
      </c>
      <c r="U7" s="372" t="n">
        <f aca="false">'Project &amp; Investor Returns'!U7</f>
        <v>2013</v>
      </c>
      <c r="V7" s="372" t="n">
        <f aca="false">'Project &amp; Investor Returns'!V7</f>
        <v>2014</v>
      </c>
      <c r="W7" s="372" t="n">
        <f aca="false">'Project &amp; Investor Returns'!W7</f>
        <v>2015</v>
      </c>
      <c r="X7" s="372" t="n">
        <f aca="false">'Project &amp; Investor Returns'!X7</f>
        <v>2016</v>
      </c>
      <c r="Y7" s="372" t="n">
        <f aca="false">'Project &amp; Investor Returns'!Y7</f>
        <v>2017</v>
      </c>
      <c r="Z7" s="372" t="n">
        <f aca="false">'Project &amp; Investor Returns'!Z7</f>
        <v>2018</v>
      </c>
      <c r="AA7" s="372" t="n">
        <f aca="false">'Project &amp; Investor Returns'!AA7</f>
        <v>2019</v>
      </c>
      <c r="AB7" s="544" t="s">
        <v>766</v>
      </c>
      <c r="AC7" s="544" t="s">
        <v>879</v>
      </c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23"/>
      <c r="AB8" s="555"/>
      <c r="AC8" s="555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</row>
    <row r="9" customFormat="false" ht="12.75" hidden="false" customHeight="false" outlineLevel="0" collapsed="false">
      <c r="A9" s="55" t="s">
        <v>911</v>
      </c>
      <c r="AB9" s="555"/>
      <c r="AC9" s="555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37"/>
      <c r="B10" s="38" t="s">
        <v>366</v>
      </c>
      <c r="E10" s="637" t="n">
        <f aca="false">IF(E$7&gt;=YEAR(Assm!$L$105),Assm!$L$109,Assm!$K$85)</f>
        <v>0.65625</v>
      </c>
      <c r="F10" s="637" t="n">
        <f aca="false">IF(F$7&gt;=YEAR(Assm!$L$105),Assm!$L$109,Assm!$K$85)</f>
        <v>0.65625</v>
      </c>
      <c r="G10" s="637" t="n">
        <f aca="false">IF(G$7&gt;=YEAR(Assm!$L$105),Assm!$L$109,Assm!$K$85)</f>
        <v>0.65625</v>
      </c>
      <c r="H10" s="637" t="n">
        <f aca="false">IF(H$7&gt;=YEAR(Assm!$L$105),Assm!$L$109,Assm!$K$85)</f>
        <v>0.52625</v>
      </c>
      <c r="I10" s="637" t="n">
        <f aca="false">IF(I$7&gt;=YEAR(Assm!$L$105),Assm!$L$109,Assm!$K$85)</f>
        <v>0.52625</v>
      </c>
      <c r="J10" s="637" t="n">
        <f aca="false">IF(J$7&gt;=YEAR(Assm!$L$105),Assm!$L$109,Assm!$K$85)</f>
        <v>0.52625</v>
      </c>
      <c r="K10" s="637" t="n">
        <f aca="false">IF(K$7&gt;=YEAR(Assm!$L$105),Assm!$L$109,Assm!$K$85)</f>
        <v>0.52625</v>
      </c>
      <c r="L10" s="637" t="n">
        <f aca="false">IF(L$7&gt;=YEAR(Assm!$L$105),Assm!$L$109,Assm!$K$85)</f>
        <v>0.52625</v>
      </c>
      <c r="M10" s="637" t="n">
        <f aca="false">IF(M$7&gt;=YEAR(Assm!$L$105),Assm!$L$109,Assm!$K$85)</f>
        <v>0.52625</v>
      </c>
      <c r="N10" s="637" t="n">
        <f aca="false">IF(N$7&gt;=YEAR(Assm!$L$105),Assm!$L$109,Assm!$K$85)</f>
        <v>0.52625</v>
      </c>
      <c r="O10" s="637" t="n">
        <f aca="false">IF(O$7&gt;=YEAR(Assm!$L$105),Assm!$L$109,Assm!$K$85)</f>
        <v>0.52625</v>
      </c>
      <c r="P10" s="637" t="n">
        <f aca="false">IF(P$7&gt;=YEAR(Assm!$L$105),Assm!$L$109,Assm!$K$85)</f>
        <v>0.52625</v>
      </c>
      <c r="Q10" s="637" t="n">
        <f aca="false">IF(Q$7&gt;=YEAR(Assm!$L$105),Assm!$L$109,Assm!$K$85)</f>
        <v>0.52625</v>
      </c>
      <c r="R10" s="637" t="n">
        <f aca="false">IF(R$7&gt;=YEAR(Assm!$L$105),Assm!$L$109,Assm!$K$85)</f>
        <v>0.52625</v>
      </c>
      <c r="S10" s="637" t="n">
        <f aca="false">IF(S$7&gt;=YEAR(Assm!$L$105),Assm!$L$109,Assm!$K$85)</f>
        <v>0.52625</v>
      </c>
      <c r="T10" s="637" t="n">
        <f aca="false">IF(T$7&gt;=YEAR(Assm!$L$105),Assm!$L$109,Assm!$K$85)</f>
        <v>0.52625</v>
      </c>
      <c r="U10" s="637" t="n">
        <f aca="false">IF(U$7&gt;=YEAR(Assm!$L$105),Assm!$L$109,Assm!$K$85)</f>
        <v>0.52625</v>
      </c>
      <c r="V10" s="637" t="n">
        <f aca="false">IF(V$7&gt;=YEAR(Assm!$L$105),Assm!$L$109,Assm!$K$85)</f>
        <v>0.52625</v>
      </c>
      <c r="W10" s="637" t="n">
        <f aca="false">IF(W$7&gt;=YEAR(Assm!$L$105),Assm!$L$109,Assm!$K$85)</f>
        <v>0.52625</v>
      </c>
      <c r="X10" s="637" t="n">
        <f aca="false">IF(X$7&gt;=YEAR(Assm!$L$105),Assm!$L$109,Assm!$K$85)</f>
        <v>0.52625</v>
      </c>
      <c r="Y10" s="637" t="n">
        <f aca="false">IF(Y$7&gt;=YEAR(Assm!$L$105),Assm!$L$109,Assm!$K$85)</f>
        <v>0.52625</v>
      </c>
      <c r="Z10" s="637" t="n">
        <f aca="false">IF(Z$7&gt;=YEAR(Assm!$L$105),Assm!$L$109,Assm!$K$85)</f>
        <v>0.52625</v>
      </c>
      <c r="AA10" s="637" t="n">
        <f aca="false">IF(AA$7&gt;=YEAR(Assm!$L$105),Assm!$L$109,Assm!$K$85)</f>
        <v>0.52625</v>
      </c>
      <c r="AB10" s="638"/>
      <c r="AC10" s="555"/>
    </row>
    <row r="11" customFormat="false" ht="12.75" hidden="false" customHeight="false" outlineLevel="0" collapsed="false">
      <c r="A11" s="37"/>
      <c r="B11" s="38" t="s">
        <v>912</v>
      </c>
      <c r="E11" s="637" t="n">
        <f aca="false">IF(E$7&gt;=YEAR(Assm!$L$105),Assm!$L$109,Assm!$L$85)</f>
        <v>0.65625</v>
      </c>
      <c r="F11" s="637" t="n">
        <f aca="false">IF(F$7&gt;=YEAR(Assm!$L$105),Assm!$L$109,Assm!$L$85)</f>
        <v>0.65625</v>
      </c>
      <c r="G11" s="637" t="n">
        <f aca="false">IF(G$7&gt;=YEAR(Assm!$L$105),Assm!$L$109,Assm!$L$85)</f>
        <v>0.65625</v>
      </c>
      <c r="H11" s="637" t="n">
        <f aca="false">IF(H$7&gt;=YEAR(Assm!$L$105),Assm!$L$109,Assm!$L$85)</f>
        <v>0.52625</v>
      </c>
      <c r="I11" s="637" t="n">
        <f aca="false">IF(I$7&gt;=YEAR(Assm!$L$105),Assm!$L$109,Assm!$L$85)</f>
        <v>0.52625</v>
      </c>
      <c r="J11" s="637" t="n">
        <f aca="false">IF(J$7&gt;=YEAR(Assm!$L$105),Assm!$L$109,Assm!$L$85)</f>
        <v>0.52625</v>
      </c>
      <c r="K11" s="637" t="n">
        <f aca="false">IF(K$7&gt;=YEAR(Assm!$L$105),Assm!$L$109,Assm!$L$85)</f>
        <v>0.52625</v>
      </c>
      <c r="L11" s="637" t="n">
        <f aca="false">IF(L$7&gt;=YEAR(Assm!$L$105),Assm!$L$109,Assm!$L$85)</f>
        <v>0.52625</v>
      </c>
      <c r="M11" s="637" t="n">
        <f aca="false">IF(M$7&gt;=YEAR(Assm!$L$105),Assm!$L$109,Assm!$L$85)</f>
        <v>0.52625</v>
      </c>
      <c r="N11" s="637" t="n">
        <f aca="false">IF(N$7&gt;=YEAR(Assm!$L$105),Assm!$L$109,Assm!$L$85)</f>
        <v>0.52625</v>
      </c>
      <c r="O11" s="637" t="n">
        <f aca="false">IF(O$7&gt;=YEAR(Assm!$L$105),Assm!$L$109,Assm!$L$85)</f>
        <v>0.52625</v>
      </c>
      <c r="P11" s="637" t="n">
        <f aca="false">IF(P$7&gt;=YEAR(Assm!$L$105),Assm!$L$109,Assm!$L$85)</f>
        <v>0.52625</v>
      </c>
      <c r="Q11" s="637" t="n">
        <f aca="false">IF(Q$7&gt;=YEAR(Assm!$L$105),Assm!$L$109,Assm!$L$85)</f>
        <v>0.52625</v>
      </c>
      <c r="R11" s="637" t="n">
        <f aca="false">IF(R$7&gt;=YEAR(Assm!$L$105),Assm!$L$109,Assm!$L$85)</f>
        <v>0.52625</v>
      </c>
      <c r="S11" s="637" t="n">
        <f aca="false">IF(S$7&gt;=YEAR(Assm!$L$105),Assm!$L$109,Assm!$L$85)</f>
        <v>0.52625</v>
      </c>
      <c r="T11" s="637" t="n">
        <f aca="false">IF(T$7&gt;=YEAR(Assm!$L$105),Assm!$L$109,Assm!$L$85)</f>
        <v>0.52625</v>
      </c>
      <c r="U11" s="637" t="n">
        <f aca="false">IF(U$7&gt;=YEAR(Assm!$L$105),Assm!$L$109,Assm!$L$85)</f>
        <v>0.52625</v>
      </c>
      <c r="V11" s="637" t="n">
        <f aca="false">IF(V$7&gt;=YEAR(Assm!$L$105),Assm!$L$109,Assm!$L$85)</f>
        <v>0.52625</v>
      </c>
      <c r="W11" s="637" t="n">
        <f aca="false">IF(W$7&gt;=YEAR(Assm!$L$105),Assm!$L$109,Assm!$L$85)</f>
        <v>0.52625</v>
      </c>
      <c r="X11" s="637" t="n">
        <f aca="false">IF(X$7&gt;=YEAR(Assm!$L$105),Assm!$L$109,Assm!$L$85)</f>
        <v>0.52625</v>
      </c>
      <c r="Y11" s="637" t="n">
        <f aca="false">IF(Y$7&gt;=YEAR(Assm!$L$105),Assm!$L$109,Assm!$L$85)</f>
        <v>0.52625</v>
      </c>
      <c r="Z11" s="637" t="n">
        <f aca="false">IF(Z$7&gt;=YEAR(Assm!$L$105),Assm!$L$109,Assm!$L$85)</f>
        <v>0.52625</v>
      </c>
      <c r="AA11" s="637" t="n">
        <f aca="false">IF(AA$7&gt;=YEAR(Assm!$L$105),Assm!$L$109,Assm!$L$85)</f>
        <v>0.52625</v>
      </c>
      <c r="AB11" s="638"/>
      <c r="AC11" s="555"/>
    </row>
    <row r="12" customFormat="false" ht="12.75" hidden="false" customHeight="false" outlineLevel="0" collapsed="false">
      <c r="A12" s="37"/>
      <c r="E12" s="637"/>
      <c r="F12" s="637"/>
      <c r="G12" s="637"/>
      <c r="H12" s="637"/>
      <c r="I12" s="637"/>
      <c r="J12" s="637"/>
      <c r="K12" s="637"/>
      <c r="L12" s="637"/>
      <c r="M12" s="637"/>
      <c r="N12" s="637"/>
      <c r="O12" s="637"/>
      <c r="P12" s="637"/>
      <c r="Q12" s="637"/>
      <c r="R12" s="637"/>
      <c r="S12" s="637"/>
      <c r="T12" s="637"/>
      <c r="U12" s="637"/>
      <c r="V12" s="637"/>
      <c r="W12" s="637"/>
      <c r="X12" s="637"/>
      <c r="Y12" s="637"/>
      <c r="Z12" s="637"/>
      <c r="AA12" s="637"/>
      <c r="AB12" s="638"/>
      <c r="AC12" s="555"/>
    </row>
    <row r="13" customFormat="false" ht="12.75" hidden="false" customHeight="false" outlineLevel="0" collapsed="false">
      <c r="A13" s="675"/>
      <c r="B13" s="676" t="s">
        <v>913</v>
      </c>
      <c r="C13" s="676"/>
      <c r="D13" s="676"/>
      <c r="E13" s="677" t="n">
        <f aca="false">'Project &amp; Investor Returns'!E13*E$10</f>
        <v>-0</v>
      </c>
      <c r="F13" s="677" t="n">
        <f aca="false">'Project &amp; Investor Returns'!F13*F$10</f>
        <v>-60895.7804469782</v>
      </c>
      <c r="G13" s="677" t="n">
        <f aca="false">'Project &amp; Investor Returns'!G13*G$10</f>
        <v>0</v>
      </c>
      <c r="H13" s="677" t="n">
        <f aca="false">'Project &amp; Investor Returns'!H13*H$10</f>
        <v>0</v>
      </c>
      <c r="I13" s="677" t="n">
        <f aca="false">'Project &amp; Investor Returns'!I13*I$10</f>
        <v>0</v>
      </c>
      <c r="J13" s="677" t="n">
        <f aca="false">'Project &amp; Investor Returns'!J13*J$10</f>
        <v>0</v>
      </c>
      <c r="K13" s="677" t="n">
        <f aca="false">'Project &amp; Investor Returns'!K13*K$10</f>
        <v>0</v>
      </c>
      <c r="L13" s="677" t="n">
        <f aca="false">'Project &amp; Investor Returns'!L13*L$10</f>
        <v>0</v>
      </c>
      <c r="M13" s="677" t="n">
        <f aca="false">'Project &amp; Investor Returns'!M13*M$10</f>
        <v>0</v>
      </c>
      <c r="N13" s="677" t="n">
        <f aca="false">'Project &amp; Investor Returns'!N13*N$10</f>
        <v>0</v>
      </c>
      <c r="O13" s="677" t="n">
        <f aca="false">'Project &amp; Investor Returns'!O13*O$10</f>
        <v>0</v>
      </c>
      <c r="P13" s="677" t="n">
        <f aca="false">'Project &amp; Investor Returns'!P13*P$10</f>
        <v>0</v>
      </c>
      <c r="Q13" s="677" t="n">
        <f aca="false">'Project &amp; Investor Returns'!Q13*Q$10</f>
        <v>0</v>
      </c>
      <c r="R13" s="677" t="n">
        <f aca="false">'Project &amp; Investor Returns'!R13*R$10</f>
        <v>0</v>
      </c>
      <c r="S13" s="677" t="n">
        <f aca="false">'Project &amp; Investor Returns'!S13*S$10</f>
        <v>0</v>
      </c>
      <c r="T13" s="677" t="n">
        <f aca="false">'Project &amp; Investor Returns'!T13*T$10</f>
        <v>0</v>
      </c>
      <c r="U13" s="677" t="n">
        <f aca="false">'Project &amp; Investor Returns'!U13*U$10</f>
        <v>0</v>
      </c>
      <c r="V13" s="677" t="n">
        <f aca="false">'Project &amp; Investor Returns'!V13*V$10</f>
        <v>0</v>
      </c>
      <c r="W13" s="677" t="n">
        <f aca="false">'Project &amp; Investor Returns'!W13*W$10</f>
        <v>0</v>
      </c>
      <c r="X13" s="677" t="n">
        <f aca="false">'Project &amp; Investor Returns'!X13*X$10</f>
        <v>0</v>
      </c>
      <c r="Y13" s="677" t="n">
        <f aca="false">'Project &amp; Investor Returns'!Y13*Y$10</f>
        <v>0</v>
      </c>
      <c r="Z13" s="677" t="n">
        <f aca="false">'Project &amp; Investor Returns'!Z13*Z$10</f>
        <v>0</v>
      </c>
      <c r="AA13" s="677" t="n">
        <f aca="false">'Project &amp; Investor Returns'!AA13*AA$10</f>
        <v>0</v>
      </c>
      <c r="AB13" s="678" t="n">
        <f aca="false">SUM(E13:AA13)</f>
        <v>-60895.7804469782</v>
      </c>
      <c r="AC13" s="679" t="n">
        <f aca="false">IF('Project &amp; Investor Returns'!$I$3=0,F13+NPV(Disc,G13:AA13),E13+NPV(Disc,F13:AA13))</f>
        <v>-60895.7804469782</v>
      </c>
      <c r="AD13" s="676"/>
      <c r="AE13" s="680"/>
      <c r="AF13" s="680"/>
      <c r="AG13" s="680"/>
      <c r="AH13" s="680"/>
      <c r="AI13" s="680"/>
      <c r="AJ13" s="680"/>
      <c r="AK13" s="680"/>
      <c r="AL13" s="680"/>
      <c r="AM13" s="680"/>
      <c r="AN13" s="680"/>
      <c r="AO13" s="680"/>
      <c r="AP13" s="680"/>
      <c r="AQ13" s="680"/>
      <c r="AR13" s="680"/>
      <c r="AS13" s="680"/>
      <c r="AT13" s="680"/>
      <c r="AU13" s="680"/>
      <c r="AV13" s="680"/>
      <c r="AW13" s="680"/>
      <c r="AX13" s="680"/>
      <c r="AY13" s="680"/>
      <c r="AZ13" s="680"/>
      <c r="BA13" s="680"/>
      <c r="BB13" s="680"/>
      <c r="BC13" s="680"/>
      <c r="BD13" s="680"/>
      <c r="BE13" s="680"/>
      <c r="BF13" s="680"/>
      <c r="BG13" s="680"/>
      <c r="BH13" s="680"/>
      <c r="BI13" s="680"/>
      <c r="BJ13" s="680"/>
      <c r="BK13" s="680"/>
      <c r="BL13" s="680"/>
      <c r="BM13" s="680"/>
      <c r="BN13" s="680"/>
      <c r="BO13" s="680"/>
      <c r="BP13" s="680"/>
      <c r="BQ13" s="680"/>
      <c r="BR13" s="680"/>
      <c r="BS13" s="680"/>
      <c r="BT13" s="680"/>
      <c r="BU13" s="680"/>
      <c r="BV13" s="680"/>
      <c r="BW13" s="680"/>
      <c r="BX13" s="680"/>
      <c r="BY13" s="680"/>
      <c r="BZ13" s="680"/>
      <c r="CA13" s="680"/>
      <c r="CB13" s="680"/>
      <c r="CC13" s="680"/>
      <c r="CD13" s="680"/>
      <c r="CE13" s="680"/>
      <c r="CF13" s="680"/>
      <c r="CG13" s="680"/>
      <c r="CH13" s="680"/>
      <c r="CI13" s="680"/>
      <c r="CJ13" s="680"/>
      <c r="CK13" s="680"/>
      <c r="CL13" s="680"/>
      <c r="CM13" s="680"/>
      <c r="CN13" s="680"/>
      <c r="CO13" s="680"/>
      <c r="CP13" s="680"/>
      <c r="CQ13" s="680"/>
      <c r="CR13" s="680"/>
      <c r="CS13" s="680"/>
      <c r="CT13" s="680"/>
      <c r="CU13" s="680"/>
      <c r="CV13" s="680"/>
      <c r="CW13" s="680"/>
      <c r="CX13" s="680"/>
      <c r="CY13" s="680"/>
      <c r="CZ13" s="680"/>
      <c r="DA13" s="680"/>
      <c r="DB13" s="680"/>
      <c r="DC13" s="680"/>
      <c r="DD13" s="680"/>
      <c r="DE13" s="680"/>
      <c r="DF13" s="680"/>
      <c r="DG13" s="680"/>
      <c r="DH13" s="680"/>
      <c r="DI13" s="680"/>
      <c r="DJ13" s="680"/>
      <c r="DK13" s="680"/>
      <c r="DL13" s="680"/>
      <c r="DM13" s="680"/>
      <c r="DN13" s="680"/>
      <c r="DO13" s="680"/>
      <c r="DP13" s="680"/>
      <c r="DQ13" s="680"/>
      <c r="DR13" s="680"/>
      <c r="DS13" s="680"/>
      <c r="DT13" s="680"/>
      <c r="DU13" s="680"/>
      <c r="DV13" s="680"/>
      <c r="DW13" s="680"/>
      <c r="DX13" s="680"/>
      <c r="DY13" s="680"/>
      <c r="DZ13" s="680"/>
      <c r="EA13" s="680"/>
      <c r="EB13" s="680"/>
      <c r="EC13" s="680"/>
      <c r="ED13" s="680"/>
      <c r="EE13" s="680"/>
      <c r="EF13" s="680"/>
      <c r="EG13" s="680"/>
      <c r="EH13" s="680"/>
      <c r="EI13" s="680"/>
      <c r="EJ13" s="680"/>
      <c r="EK13" s="680"/>
      <c r="EL13" s="680"/>
      <c r="EM13" s="680"/>
      <c r="EN13" s="680"/>
      <c r="EO13" s="680"/>
      <c r="EP13" s="680"/>
      <c r="EQ13" s="680"/>
      <c r="ER13" s="680"/>
      <c r="ES13" s="680"/>
      <c r="ET13" s="680"/>
      <c r="EU13" s="680"/>
      <c r="EV13" s="680"/>
      <c r="EW13" s="680"/>
      <c r="EX13" s="680"/>
      <c r="EY13" s="680"/>
      <c r="EZ13" s="680"/>
      <c r="FA13" s="680"/>
      <c r="FB13" s="680"/>
      <c r="FC13" s="680"/>
      <c r="FD13" s="680"/>
      <c r="FE13" s="680"/>
      <c r="FF13" s="680"/>
      <c r="FG13" s="680"/>
      <c r="FH13" s="680"/>
      <c r="FI13" s="680"/>
      <c r="FJ13" s="680"/>
      <c r="FK13" s="680"/>
      <c r="FL13" s="680"/>
      <c r="FM13" s="680"/>
      <c r="FN13" s="680"/>
      <c r="FO13" s="680"/>
      <c r="FP13" s="680"/>
      <c r="FQ13" s="680"/>
      <c r="FR13" s="680"/>
      <c r="FS13" s="680"/>
      <c r="FT13" s="680"/>
      <c r="FU13" s="680"/>
      <c r="FV13" s="680"/>
      <c r="FW13" s="680"/>
      <c r="FX13" s="680"/>
      <c r="FY13" s="680"/>
      <c r="FZ13" s="680"/>
      <c r="GA13" s="680"/>
      <c r="GB13" s="680"/>
      <c r="GC13" s="680"/>
      <c r="GD13" s="680"/>
      <c r="GE13" s="680"/>
      <c r="GF13" s="680"/>
      <c r="GG13" s="680"/>
      <c r="GH13" s="680"/>
      <c r="GI13" s="680"/>
      <c r="GJ13" s="680"/>
      <c r="GK13" s="680"/>
      <c r="GL13" s="680"/>
      <c r="GM13" s="680"/>
      <c r="GN13" s="680"/>
      <c r="GO13" s="680"/>
      <c r="GP13" s="680"/>
      <c r="GQ13" s="680"/>
      <c r="GR13" s="680"/>
      <c r="GS13" s="680"/>
      <c r="GT13" s="680"/>
      <c r="GU13" s="680"/>
      <c r="GV13" s="680"/>
      <c r="GW13" s="680"/>
      <c r="GX13" s="680"/>
      <c r="GY13" s="680"/>
      <c r="GZ13" s="680"/>
      <c r="HA13" s="680"/>
      <c r="HB13" s="680"/>
      <c r="HC13" s="680"/>
      <c r="HD13" s="680"/>
      <c r="HE13" s="680"/>
      <c r="HF13" s="680"/>
      <c r="HG13" s="680"/>
      <c r="HH13" s="680"/>
      <c r="HI13" s="680"/>
      <c r="HJ13" s="680"/>
      <c r="HK13" s="680"/>
      <c r="HL13" s="680"/>
      <c r="HM13" s="680"/>
      <c r="HN13" s="680"/>
      <c r="HO13" s="680"/>
      <c r="HP13" s="680"/>
      <c r="HQ13" s="680"/>
      <c r="HR13" s="680"/>
      <c r="HS13" s="680"/>
      <c r="HT13" s="680"/>
      <c r="HU13" s="680"/>
      <c r="HV13" s="680"/>
      <c r="HW13" s="680"/>
      <c r="HX13" s="680"/>
      <c r="HY13" s="680"/>
      <c r="HZ13" s="680"/>
      <c r="IA13" s="680"/>
      <c r="IB13" s="680"/>
      <c r="IC13" s="680"/>
      <c r="ID13" s="680"/>
      <c r="IE13" s="680"/>
      <c r="IF13" s="680"/>
      <c r="IG13" s="680"/>
      <c r="IH13" s="680"/>
      <c r="II13" s="680"/>
      <c r="IJ13" s="680"/>
      <c r="IK13" s="680"/>
      <c r="IL13" s="680"/>
      <c r="IM13" s="680"/>
      <c r="IN13" s="680"/>
      <c r="IO13" s="680"/>
      <c r="IP13" s="680"/>
      <c r="IQ13" s="680"/>
      <c r="IR13" s="680"/>
      <c r="IS13" s="680"/>
      <c r="IT13" s="680"/>
      <c r="IU13" s="680"/>
      <c r="IV13" s="680"/>
      <c r="IW13" s="680"/>
    </row>
    <row r="14" customFormat="false" ht="12.75" hidden="false" customHeight="false" outlineLevel="0" collapsed="false">
      <c r="A14" s="3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574"/>
      <c r="AC14" s="641"/>
    </row>
    <row r="15" customFormat="false" ht="12.75" hidden="false" customHeight="false" outlineLevel="0" collapsed="false">
      <c r="A15" s="675"/>
      <c r="B15" s="676" t="s">
        <v>914</v>
      </c>
      <c r="C15" s="676"/>
      <c r="D15" s="676"/>
      <c r="E15" s="677" t="n">
        <f aca="false">IF(E$7=YEAR(Assm!$L$102),Assm!$L$101,0)</f>
        <v>0</v>
      </c>
      <c r="F15" s="677" t="n">
        <f aca="false">IF(F$7=YEAR(Assm!$L$102),Assm!$L$101,0)</f>
        <v>0</v>
      </c>
      <c r="G15" s="677" t="n">
        <f aca="false">IF(G$7=YEAR(Assm!$L$102),Assm!$L$101,0)</f>
        <v>11300</v>
      </c>
      <c r="H15" s="677" t="n">
        <f aca="false">IF(H$7=YEAR(Assm!$L$102),Assm!$L$101,0)</f>
        <v>0</v>
      </c>
      <c r="I15" s="677" t="n">
        <f aca="false">IF(I$7=YEAR(Assm!$L$102),Assm!$L$101,0)</f>
        <v>0</v>
      </c>
      <c r="J15" s="677" t="n">
        <f aca="false">IF(J$7=YEAR(Assm!$L$102),Assm!$L$101,0)</f>
        <v>0</v>
      </c>
      <c r="K15" s="677" t="n">
        <f aca="false">IF(K$7=YEAR(Assm!$L$102),Assm!$L$101,0)</f>
        <v>0</v>
      </c>
      <c r="L15" s="677" t="n">
        <f aca="false">IF(L$7=YEAR(Assm!$L$102),Assm!$L$101,0)</f>
        <v>0</v>
      </c>
      <c r="M15" s="677" t="n">
        <f aca="false">IF(M$7=YEAR(Assm!$L$102),Assm!$L$101,0)</f>
        <v>0</v>
      </c>
      <c r="N15" s="677" t="n">
        <f aca="false">IF(N$7=YEAR(Assm!$L$102),Assm!$L$101,0)</f>
        <v>0</v>
      </c>
      <c r="O15" s="677" t="n">
        <f aca="false">IF(O$7=YEAR(Assm!$L$102),Assm!$L$101,0)</f>
        <v>0</v>
      </c>
      <c r="P15" s="677" t="n">
        <f aca="false">IF(P$7=YEAR(Assm!$L$102),Assm!$L$101,0)</f>
        <v>0</v>
      </c>
      <c r="Q15" s="677" t="n">
        <f aca="false">IF(Q$7=YEAR(Assm!$L$102),Assm!$L$101,0)</f>
        <v>0</v>
      </c>
      <c r="R15" s="677" t="n">
        <f aca="false">IF(R$7=YEAR(Assm!$L$102),Assm!$L$101,0)</f>
        <v>0</v>
      </c>
      <c r="S15" s="677" t="n">
        <f aca="false">IF(S$7=YEAR(Assm!$L$102),Assm!$L$101,0)</f>
        <v>0</v>
      </c>
      <c r="T15" s="677" t="n">
        <f aca="false">IF(T$7=YEAR(Assm!$L$102),Assm!$L$101,0)</f>
        <v>0</v>
      </c>
      <c r="U15" s="677" t="n">
        <f aca="false">IF(U$7=YEAR(Assm!$L$102),Assm!$L$101,0)</f>
        <v>0</v>
      </c>
      <c r="V15" s="677" t="n">
        <f aca="false">IF(V$7=YEAR(Assm!$L$102),Assm!$L$101,0)</f>
        <v>0</v>
      </c>
      <c r="W15" s="677" t="n">
        <f aca="false">IF(W$7=YEAR(Assm!$L$102),Assm!$L$101,0)</f>
        <v>0</v>
      </c>
      <c r="X15" s="677" t="n">
        <f aca="false">IF(X$7=YEAR(Assm!$L$102),Assm!$L$101,0)</f>
        <v>0</v>
      </c>
      <c r="Y15" s="677" t="n">
        <f aca="false">IF(Y$7=YEAR(Assm!$L$102),Assm!$L$101,0)</f>
        <v>0</v>
      </c>
      <c r="Z15" s="677" t="n">
        <f aca="false">IF(Z$7=YEAR(Assm!$L$102),Assm!$L$101,0)</f>
        <v>0</v>
      </c>
      <c r="AA15" s="677" t="n">
        <f aca="false">IF(AA$7=YEAR(Assm!$L$102),Assm!$L$101,0)</f>
        <v>0</v>
      </c>
      <c r="AB15" s="678" t="n">
        <f aca="false">SUM(E15:AA15)</f>
        <v>11300</v>
      </c>
      <c r="AC15" s="679" t="n">
        <f aca="false">IF('Project &amp; Investor Returns'!$I$3=0,F15+NPV(Disc,G15:AA15),E15+NPV(Disc,F15:AA15))</f>
        <v>9495.79831932773</v>
      </c>
      <c r="AD15" s="676"/>
      <c r="AE15" s="680"/>
      <c r="AF15" s="680"/>
      <c r="AG15" s="680"/>
      <c r="AH15" s="680"/>
      <c r="AI15" s="680"/>
      <c r="AJ15" s="680"/>
      <c r="AK15" s="680"/>
      <c r="AL15" s="680"/>
      <c r="AM15" s="680"/>
      <c r="AN15" s="680"/>
      <c r="AO15" s="680"/>
      <c r="AP15" s="680"/>
      <c r="AQ15" s="680"/>
      <c r="AR15" s="680"/>
      <c r="AS15" s="680"/>
      <c r="AT15" s="680"/>
      <c r="AU15" s="680"/>
      <c r="AV15" s="680"/>
      <c r="AW15" s="680"/>
      <c r="AX15" s="680"/>
      <c r="AY15" s="680"/>
      <c r="AZ15" s="680"/>
      <c r="BA15" s="680"/>
      <c r="BB15" s="680"/>
      <c r="BC15" s="680"/>
      <c r="BD15" s="680"/>
      <c r="BE15" s="680"/>
      <c r="BF15" s="680"/>
      <c r="BG15" s="680"/>
      <c r="BH15" s="680"/>
      <c r="BI15" s="680"/>
      <c r="BJ15" s="680"/>
      <c r="BK15" s="680"/>
      <c r="BL15" s="680"/>
      <c r="BM15" s="680"/>
      <c r="BN15" s="680"/>
      <c r="BO15" s="680"/>
      <c r="BP15" s="680"/>
      <c r="BQ15" s="680"/>
      <c r="BR15" s="680"/>
      <c r="BS15" s="680"/>
      <c r="BT15" s="680"/>
      <c r="BU15" s="680"/>
      <c r="BV15" s="680"/>
      <c r="BW15" s="680"/>
      <c r="BX15" s="680"/>
      <c r="BY15" s="680"/>
      <c r="BZ15" s="680"/>
      <c r="CA15" s="680"/>
      <c r="CB15" s="680"/>
      <c r="CC15" s="680"/>
      <c r="CD15" s="680"/>
      <c r="CE15" s="680"/>
      <c r="CF15" s="680"/>
      <c r="CG15" s="680"/>
      <c r="CH15" s="680"/>
      <c r="CI15" s="680"/>
      <c r="CJ15" s="680"/>
      <c r="CK15" s="680"/>
      <c r="CL15" s="680"/>
      <c r="CM15" s="680"/>
      <c r="CN15" s="680"/>
      <c r="CO15" s="680"/>
      <c r="CP15" s="680"/>
      <c r="CQ15" s="680"/>
      <c r="CR15" s="680"/>
      <c r="CS15" s="680"/>
      <c r="CT15" s="680"/>
      <c r="CU15" s="680"/>
      <c r="CV15" s="680"/>
      <c r="CW15" s="680"/>
      <c r="CX15" s="680"/>
      <c r="CY15" s="680"/>
      <c r="CZ15" s="680"/>
      <c r="DA15" s="680"/>
      <c r="DB15" s="680"/>
      <c r="DC15" s="680"/>
      <c r="DD15" s="680"/>
      <c r="DE15" s="680"/>
      <c r="DF15" s="680"/>
      <c r="DG15" s="680"/>
      <c r="DH15" s="680"/>
      <c r="DI15" s="680"/>
      <c r="DJ15" s="680"/>
      <c r="DK15" s="680"/>
      <c r="DL15" s="680"/>
      <c r="DM15" s="680"/>
      <c r="DN15" s="680"/>
      <c r="DO15" s="680"/>
      <c r="DP15" s="680"/>
      <c r="DQ15" s="680"/>
      <c r="DR15" s="680"/>
      <c r="DS15" s="680"/>
      <c r="DT15" s="680"/>
      <c r="DU15" s="680"/>
      <c r="DV15" s="680"/>
      <c r="DW15" s="680"/>
      <c r="DX15" s="680"/>
      <c r="DY15" s="680"/>
      <c r="DZ15" s="680"/>
      <c r="EA15" s="680"/>
      <c r="EB15" s="680"/>
      <c r="EC15" s="680"/>
      <c r="ED15" s="680"/>
      <c r="EE15" s="680"/>
      <c r="EF15" s="680"/>
      <c r="EG15" s="680"/>
      <c r="EH15" s="680"/>
      <c r="EI15" s="680"/>
      <c r="EJ15" s="680"/>
      <c r="EK15" s="680"/>
      <c r="EL15" s="680"/>
      <c r="EM15" s="680"/>
      <c r="EN15" s="680"/>
      <c r="EO15" s="680"/>
      <c r="EP15" s="680"/>
      <c r="EQ15" s="680"/>
      <c r="ER15" s="680"/>
      <c r="ES15" s="680"/>
      <c r="ET15" s="680"/>
      <c r="EU15" s="680"/>
      <c r="EV15" s="680"/>
      <c r="EW15" s="680"/>
      <c r="EX15" s="680"/>
      <c r="EY15" s="680"/>
      <c r="EZ15" s="680"/>
      <c r="FA15" s="680"/>
      <c r="FB15" s="680"/>
      <c r="FC15" s="680"/>
      <c r="FD15" s="680"/>
      <c r="FE15" s="680"/>
      <c r="FF15" s="680"/>
      <c r="FG15" s="680"/>
      <c r="FH15" s="680"/>
      <c r="FI15" s="680"/>
      <c r="FJ15" s="680"/>
      <c r="FK15" s="680"/>
      <c r="FL15" s="680"/>
      <c r="FM15" s="680"/>
      <c r="FN15" s="680"/>
      <c r="FO15" s="680"/>
      <c r="FP15" s="680"/>
      <c r="FQ15" s="680"/>
      <c r="FR15" s="680"/>
      <c r="FS15" s="680"/>
      <c r="FT15" s="680"/>
      <c r="FU15" s="680"/>
      <c r="FV15" s="680"/>
      <c r="FW15" s="680"/>
      <c r="FX15" s="680"/>
      <c r="FY15" s="680"/>
      <c r="FZ15" s="680"/>
      <c r="GA15" s="680"/>
      <c r="GB15" s="680"/>
      <c r="GC15" s="680"/>
      <c r="GD15" s="680"/>
      <c r="GE15" s="680"/>
      <c r="GF15" s="680"/>
      <c r="GG15" s="680"/>
      <c r="GH15" s="680"/>
      <c r="GI15" s="680"/>
      <c r="GJ15" s="680"/>
      <c r="GK15" s="680"/>
      <c r="GL15" s="680"/>
      <c r="GM15" s="680"/>
      <c r="GN15" s="680"/>
      <c r="GO15" s="680"/>
      <c r="GP15" s="680"/>
      <c r="GQ15" s="680"/>
      <c r="GR15" s="680"/>
      <c r="GS15" s="680"/>
      <c r="GT15" s="680"/>
      <c r="GU15" s="680"/>
      <c r="GV15" s="680"/>
      <c r="GW15" s="680"/>
      <c r="GX15" s="680"/>
      <c r="GY15" s="680"/>
      <c r="GZ15" s="680"/>
      <c r="HA15" s="680"/>
      <c r="HB15" s="680"/>
      <c r="HC15" s="680"/>
      <c r="HD15" s="680"/>
      <c r="HE15" s="680"/>
      <c r="HF15" s="680"/>
      <c r="HG15" s="680"/>
      <c r="HH15" s="680"/>
      <c r="HI15" s="680"/>
      <c r="HJ15" s="680"/>
      <c r="HK15" s="680"/>
      <c r="HL15" s="680"/>
      <c r="HM15" s="680"/>
      <c r="HN15" s="680"/>
      <c r="HO15" s="680"/>
      <c r="HP15" s="680"/>
      <c r="HQ15" s="680"/>
      <c r="HR15" s="680"/>
      <c r="HS15" s="680"/>
      <c r="HT15" s="680"/>
      <c r="HU15" s="680"/>
      <c r="HV15" s="680"/>
      <c r="HW15" s="680"/>
      <c r="HX15" s="680"/>
      <c r="HY15" s="680"/>
      <c r="HZ15" s="680"/>
      <c r="IA15" s="680"/>
      <c r="IB15" s="680"/>
      <c r="IC15" s="680"/>
      <c r="ID15" s="680"/>
      <c r="IE15" s="680"/>
      <c r="IF15" s="680"/>
      <c r="IG15" s="680"/>
      <c r="IH15" s="680"/>
      <c r="II15" s="680"/>
      <c r="IJ15" s="680"/>
      <c r="IK15" s="680"/>
      <c r="IL15" s="680"/>
      <c r="IM15" s="680"/>
      <c r="IN15" s="680"/>
      <c r="IO15" s="680"/>
      <c r="IP15" s="680"/>
      <c r="IQ15" s="680"/>
      <c r="IR15" s="680"/>
      <c r="IS15" s="680"/>
      <c r="IT15" s="680"/>
      <c r="IU15" s="680"/>
      <c r="IV15" s="680"/>
      <c r="IW15" s="680"/>
    </row>
    <row r="16" customFormat="false" ht="12.75" hidden="false" customHeight="false" outlineLevel="0" collapsed="false">
      <c r="A16" s="681"/>
      <c r="B16" s="682" t="s">
        <v>915</v>
      </c>
      <c r="C16" s="682"/>
      <c r="D16" s="682"/>
      <c r="E16" s="683" t="n">
        <f aca="false">IF(E$7=YEAR(Assm!$L$105),-Assm!$L$104,0)</f>
        <v>0</v>
      </c>
      <c r="F16" s="683" t="n">
        <f aca="false">IF(F$7=YEAR(Assm!$L$105),-Assm!$L$104,0)</f>
        <v>0</v>
      </c>
      <c r="G16" s="683" t="n">
        <f aca="false">IF(G$7=YEAR(Assm!$L$105),-Assm!$L$104,0)</f>
        <v>0</v>
      </c>
      <c r="H16" s="683" t="n">
        <f aca="false">IF(H$7=YEAR(Assm!$L$105),-Assm!$L$104,0)</f>
        <v>-611.74794520548</v>
      </c>
      <c r="I16" s="683" t="n">
        <f aca="false">IF(I$7=YEAR(Assm!$L$105),-Assm!$L$104,0)</f>
        <v>0</v>
      </c>
      <c r="J16" s="683" t="n">
        <f aca="false">IF(J$7=YEAR(Assm!$L$105),-Assm!$L$104,0)</f>
        <v>0</v>
      </c>
      <c r="K16" s="683" t="n">
        <f aca="false">IF(K$7=YEAR(Assm!$L$105),-Assm!$L$104,0)</f>
        <v>0</v>
      </c>
      <c r="L16" s="683" t="n">
        <f aca="false">IF(L$7=YEAR(Assm!$L$105),-Assm!$L$104,0)</f>
        <v>0</v>
      </c>
      <c r="M16" s="683" t="n">
        <f aca="false">IF(M$7=YEAR(Assm!$L$105),-Assm!$L$104,0)</f>
        <v>0</v>
      </c>
      <c r="N16" s="683" t="n">
        <f aca="false">IF(N$7=YEAR(Assm!$L$105),-Assm!$L$104,0)</f>
        <v>0</v>
      </c>
      <c r="O16" s="683" t="n">
        <f aca="false">IF(O$7=YEAR(Assm!$L$105),-Assm!$L$104,0)</f>
        <v>0</v>
      </c>
      <c r="P16" s="683" t="n">
        <f aca="false">IF(P$7=YEAR(Assm!$L$105),-Assm!$L$104,0)</f>
        <v>0</v>
      </c>
      <c r="Q16" s="683" t="n">
        <f aca="false">IF(Q$7=YEAR(Assm!$L$105),-Assm!$L$104,0)</f>
        <v>0</v>
      </c>
      <c r="R16" s="683" t="n">
        <f aca="false">IF(R$7=YEAR(Assm!$L$105),-Assm!$L$104,0)</f>
        <v>0</v>
      </c>
      <c r="S16" s="683" t="n">
        <f aca="false">IF(S$7=YEAR(Assm!$L$105),-Assm!$L$104,0)</f>
        <v>0</v>
      </c>
      <c r="T16" s="683" t="n">
        <f aca="false">IF(T$7=YEAR(Assm!$L$105),-Assm!$L$104,0)</f>
        <v>0</v>
      </c>
      <c r="U16" s="683" t="n">
        <f aca="false">IF(U$7=YEAR(Assm!$L$105),-Assm!$L$104,0)</f>
        <v>0</v>
      </c>
      <c r="V16" s="683" t="n">
        <f aca="false">IF(V$7=YEAR(Assm!$L$105),-Assm!$L$104,0)</f>
        <v>0</v>
      </c>
      <c r="W16" s="683" t="n">
        <f aca="false">IF(W$7=YEAR(Assm!$L$105),-Assm!$L$104,0)</f>
        <v>0</v>
      </c>
      <c r="X16" s="683" t="n">
        <f aca="false">IF(X$7=YEAR(Assm!$L$105),-Assm!$L$104,0)</f>
        <v>0</v>
      </c>
      <c r="Y16" s="683" t="n">
        <f aca="false">IF(Y$7=YEAR(Assm!$L$105),-Assm!$L$104,0)</f>
        <v>0</v>
      </c>
      <c r="Z16" s="683" t="n">
        <f aca="false">IF(Z$7=YEAR(Assm!$L$105),-Assm!$L$104,0)</f>
        <v>0</v>
      </c>
      <c r="AA16" s="683" t="n">
        <f aca="false">IF(AA$7=YEAR(Assm!$L$105),-Assm!$L$104,0)</f>
        <v>0</v>
      </c>
      <c r="AB16" s="684" t="n">
        <f aca="false">SUM(E16:AA16)</f>
        <v>-611.74794520548</v>
      </c>
      <c r="AC16" s="685" t="n">
        <f aca="false">IF('Project &amp; Investor Returns'!$I$3=0,F16+NPV(Disc,G16:AA16),E16+NPV(Disc,F16:AA16))</f>
        <v>-431.994876919342</v>
      </c>
      <c r="AD16" s="682"/>
      <c r="AE16" s="686"/>
      <c r="AF16" s="686"/>
      <c r="AG16" s="686"/>
      <c r="AH16" s="686"/>
      <c r="AI16" s="686"/>
      <c r="AJ16" s="686"/>
      <c r="AK16" s="686"/>
      <c r="AL16" s="686"/>
      <c r="AM16" s="686"/>
      <c r="AN16" s="686"/>
      <c r="AO16" s="686"/>
      <c r="AP16" s="686"/>
      <c r="AQ16" s="686"/>
      <c r="AR16" s="686"/>
      <c r="AS16" s="686"/>
      <c r="AT16" s="686"/>
      <c r="AU16" s="686"/>
      <c r="AV16" s="686"/>
      <c r="AW16" s="686"/>
      <c r="AX16" s="686"/>
      <c r="AY16" s="686"/>
      <c r="AZ16" s="686"/>
      <c r="BA16" s="686"/>
      <c r="BB16" s="686"/>
      <c r="BC16" s="686"/>
      <c r="BD16" s="686"/>
      <c r="BE16" s="686"/>
      <c r="BF16" s="686"/>
      <c r="BG16" s="686"/>
      <c r="BH16" s="686"/>
      <c r="BI16" s="686"/>
      <c r="BJ16" s="686"/>
      <c r="BK16" s="686"/>
      <c r="BL16" s="686"/>
      <c r="BM16" s="686"/>
      <c r="BN16" s="686"/>
      <c r="BO16" s="686"/>
      <c r="BP16" s="686"/>
      <c r="BQ16" s="686"/>
      <c r="BR16" s="686"/>
      <c r="BS16" s="686"/>
      <c r="BT16" s="686"/>
      <c r="BU16" s="686"/>
      <c r="BV16" s="686"/>
      <c r="BW16" s="686"/>
      <c r="BX16" s="686"/>
      <c r="BY16" s="686"/>
      <c r="BZ16" s="686"/>
      <c r="CA16" s="686"/>
      <c r="CB16" s="686"/>
      <c r="CC16" s="686"/>
      <c r="CD16" s="686"/>
      <c r="CE16" s="686"/>
      <c r="CF16" s="686"/>
      <c r="CG16" s="686"/>
      <c r="CH16" s="686"/>
      <c r="CI16" s="686"/>
      <c r="CJ16" s="686"/>
      <c r="CK16" s="686"/>
      <c r="CL16" s="686"/>
      <c r="CM16" s="686"/>
      <c r="CN16" s="686"/>
      <c r="CO16" s="686"/>
      <c r="CP16" s="686"/>
      <c r="CQ16" s="686"/>
      <c r="CR16" s="686"/>
      <c r="CS16" s="686"/>
      <c r="CT16" s="686"/>
      <c r="CU16" s="686"/>
      <c r="CV16" s="686"/>
      <c r="CW16" s="686"/>
      <c r="CX16" s="686"/>
      <c r="CY16" s="686"/>
      <c r="CZ16" s="686"/>
      <c r="DA16" s="686"/>
      <c r="DB16" s="686"/>
      <c r="DC16" s="686"/>
      <c r="DD16" s="686"/>
      <c r="DE16" s="686"/>
      <c r="DF16" s="686"/>
      <c r="DG16" s="686"/>
      <c r="DH16" s="686"/>
      <c r="DI16" s="686"/>
      <c r="DJ16" s="686"/>
      <c r="DK16" s="686"/>
      <c r="DL16" s="686"/>
      <c r="DM16" s="686"/>
      <c r="DN16" s="686"/>
      <c r="DO16" s="686"/>
      <c r="DP16" s="686"/>
      <c r="DQ16" s="686"/>
      <c r="DR16" s="686"/>
      <c r="DS16" s="686"/>
      <c r="DT16" s="686"/>
      <c r="DU16" s="686"/>
      <c r="DV16" s="686"/>
      <c r="DW16" s="686"/>
      <c r="DX16" s="686"/>
      <c r="DY16" s="686"/>
      <c r="DZ16" s="686"/>
      <c r="EA16" s="686"/>
      <c r="EB16" s="686"/>
      <c r="EC16" s="686"/>
      <c r="ED16" s="686"/>
      <c r="EE16" s="686"/>
      <c r="EF16" s="686"/>
      <c r="EG16" s="686"/>
      <c r="EH16" s="686"/>
      <c r="EI16" s="686"/>
      <c r="EJ16" s="686"/>
      <c r="EK16" s="686"/>
      <c r="EL16" s="686"/>
      <c r="EM16" s="686"/>
      <c r="EN16" s="686"/>
      <c r="EO16" s="686"/>
      <c r="EP16" s="686"/>
      <c r="EQ16" s="686"/>
      <c r="ER16" s="686"/>
      <c r="ES16" s="686"/>
      <c r="ET16" s="686"/>
      <c r="EU16" s="686"/>
      <c r="EV16" s="686"/>
      <c r="EW16" s="686"/>
      <c r="EX16" s="686"/>
      <c r="EY16" s="686"/>
      <c r="EZ16" s="686"/>
      <c r="FA16" s="686"/>
      <c r="FB16" s="686"/>
      <c r="FC16" s="686"/>
      <c r="FD16" s="686"/>
      <c r="FE16" s="686"/>
      <c r="FF16" s="686"/>
      <c r="FG16" s="686"/>
      <c r="FH16" s="686"/>
      <c r="FI16" s="686"/>
      <c r="FJ16" s="686"/>
      <c r="FK16" s="686"/>
      <c r="FL16" s="686"/>
      <c r="FM16" s="686"/>
      <c r="FN16" s="686"/>
      <c r="FO16" s="686"/>
      <c r="FP16" s="686"/>
      <c r="FQ16" s="686"/>
      <c r="FR16" s="686"/>
      <c r="FS16" s="686"/>
      <c r="FT16" s="686"/>
      <c r="FU16" s="686"/>
      <c r="FV16" s="686"/>
      <c r="FW16" s="686"/>
      <c r="FX16" s="686"/>
      <c r="FY16" s="686"/>
      <c r="FZ16" s="686"/>
      <c r="GA16" s="686"/>
      <c r="GB16" s="686"/>
      <c r="GC16" s="686"/>
      <c r="GD16" s="686"/>
      <c r="GE16" s="686"/>
      <c r="GF16" s="686"/>
      <c r="GG16" s="686"/>
      <c r="GH16" s="686"/>
      <c r="GI16" s="686"/>
      <c r="GJ16" s="686"/>
      <c r="GK16" s="686"/>
      <c r="GL16" s="686"/>
      <c r="GM16" s="686"/>
      <c r="GN16" s="686"/>
      <c r="GO16" s="686"/>
      <c r="GP16" s="686"/>
      <c r="GQ16" s="686"/>
      <c r="GR16" s="686"/>
      <c r="GS16" s="686"/>
      <c r="GT16" s="686"/>
      <c r="GU16" s="686"/>
      <c r="GV16" s="686"/>
      <c r="GW16" s="686"/>
      <c r="GX16" s="686"/>
      <c r="GY16" s="686"/>
      <c r="GZ16" s="686"/>
      <c r="HA16" s="686"/>
      <c r="HB16" s="686"/>
      <c r="HC16" s="686"/>
      <c r="HD16" s="686"/>
      <c r="HE16" s="686"/>
      <c r="HF16" s="686"/>
      <c r="HG16" s="686"/>
      <c r="HH16" s="686"/>
      <c r="HI16" s="686"/>
      <c r="HJ16" s="686"/>
      <c r="HK16" s="686"/>
      <c r="HL16" s="686"/>
      <c r="HM16" s="686"/>
      <c r="HN16" s="686"/>
      <c r="HO16" s="686"/>
      <c r="HP16" s="686"/>
      <c r="HQ16" s="686"/>
      <c r="HR16" s="686"/>
      <c r="HS16" s="686"/>
      <c r="HT16" s="686"/>
      <c r="HU16" s="686"/>
      <c r="HV16" s="686"/>
      <c r="HW16" s="686"/>
      <c r="HX16" s="686"/>
      <c r="HY16" s="686"/>
      <c r="HZ16" s="686"/>
      <c r="IA16" s="686"/>
      <c r="IB16" s="686"/>
      <c r="IC16" s="686"/>
      <c r="ID16" s="686"/>
      <c r="IE16" s="686"/>
      <c r="IF16" s="686"/>
      <c r="IG16" s="686"/>
      <c r="IH16" s="686"/>
      <c r="II16" s="686"/>
      <c r="IJ16" s="686"/>
      <c r="IK16" s="686"/>
      <c r="IL16" s="686"/>
      <c r="IM16" s="686"/>
      <c r="IN16" s="686"/>
      <c r="IO16" s="686"/>
      <c r="IP16" s="686"/>
      <c r="IQ16" s="686"/>
      <c r="IR16" s="686"/>
      <c r="IS16" s="686"/>
      <c r="IT16" s="686"/>
      <c r="IU16" s="686"/>
      <c r="IV16" s="686"/>
      <c r="IW16" s="686"/>
    </row>
    <row r="17" customFormat="false" ht="12.75" hidden="false" customHeight="false" outlineLevel="0" collapsed="false">
      <c r="A17" s="687"/>
      <c r="B17" s="682" t="s">
        <v>883</v>
      </c>
      <c r="C17" s="682"/>
      <c r="D17" s="682"/>
      <c r="E17" s="683" t="n">
        <f aca="false">'Project &amp; Investor Returns'!E14*E$11</f>
        <v>0</v>
      </c>
      <c r="F17" s="683" t="n">
        <f aca="false">'Project &amp; Investor Returns'!F14*F$11</f>
        <v>0</v>
      </c>
      <c r="G17" s="683" t="n">
        <f aca="false">'Project &amp; Investor Returns'!G14*G$11</f>
        <v>0</v>
      </c>
      <c r="H17" s="683" t="n">
        <f aca="false">'Project &amp; Investor Returns'!H14*H$11</f>
        <v>0</v>
      </c>
      <c r="I17" s="683" t="n">
        <f aca="false">'Project &amp; Investor Returns'!I14*I$11</f>
        <v>0</v>
      </c>
      <c r="J17" s="683" t="n">
        <f aca="false">'Project &amp; Investor Returns'!J14*J$11</f>
        <v>0</v>
      </c>
      <c r="K17" s="683" t="n">
        <f aca="false">'Project &amp; Investor Returns'!K14*K$11</f>
        <v>0</v>
      </c>
      <c r="L17" s="683" t="n">
        <f aca="false">'Project &amp; Investor Returns'!L14*L$11</f>
        <v>0</v>
      </c>
      <c r="M17" s="683" t="n">
        <f aca="false">'Project &amp; Investor Returns'!M14*M$11</f>
        <v>0</v>
      </c>
      <c r="N17" s="683" t="n">
        <f aca="false">'Project &amp; Investor Returns'!N14*N$11</f>
        <v>0</v>
      </c>
      <c r="O17" s="683" t="n">
        <f aca="false">'Project &amp; Investor Returns'!O14*O$11</f>
        <v>1208.82723158029</v>
      </c>
      <c r="P17" s="683" t="n">
        <f aca="false">'Project &amp; Investor Returns'!P14*P$11</f>
        <v>3128.44908262425</v>
      </c>
      <c r="Q17" s="683" t="n">
        <f aca="false">'Project &amp; Investor Returns'!Q14*Q$11</f>
        <v>3270.8606008922</v>
      </c>
      <c r="R17" s="683" t="n">
        <f aca="false">'Project &amp; Investor Returns'!R14*R$11</f>
        <v>3764.74749001609</v>
      </c>
      <c r="S17" s="683" t="n">
        <f aca="false">'Project &amp; Investor Returns'!S14*S$11</f>
        <v>4090.3428300682</v>
      </c>
      <c r="T17" s="683" t="n">
        <f aca="false">'Project &amp; Investor Returns'!T14*T$11</f>
        <v>2900.10484569653</v>
      </c>
      <c r="U17" s="683" t="n">
        <f aca="false">'Project &amp; Investor Returns'!U14*U$11</f>
        <v>3732.82937208115</v>
      </c>
      <c r="V17" s="683" t="n">
        <f aca="false">'Project &amp; Investor Returns'!V14*V$11</f>
        <v>1268.52821582692</v>
      </c>
      <c r="W17" s="683" t="n">
        <f aca="false">'Project &amp; Investor Returns'!W14*W$11</f>
        <v>0</v>
      </c>
      <c r="X17" s="683" t="n">
        <f aca="false">'Project &amp; Investor Returns'!X14*X$11</f>
        <v>0</v>
      </c>
      <c r="Y17" s="683" t="n">
        <f aca="false">'Project &amp; Investor Returns'!Y14*Y$11</f>
        <v>0</v>
      </c>
      <c r="Z17" s="683" t="n">
        <f aca="false">'Project &amp; Investor Returns'!Z14*Z$11</f>
        <v>0</v>
      </c>
      <c r="AA17" s="683" t="n">
        <f aca="false">'Project &amp; Investor Returns'!AA14*AA$11</f>
        <v>23480.3726244379</v>
      </c>
      <c r="AB17" s="684" t="n">
        <f aca="false">SUM(E17:AA17)</f>
        <v>46845.0622932236</v>
      </c>
      <c r="AC17" s="685" t="n">
        <f aca="false">IF('Project &amp; Investor Returns'!$I$3=0,F17+NPV(Disc,G17:AA17),E17+NPV(Disc,F17:AA17))</f>
        <v>3393.23455551241</v>
      </c>
      <c r="AD17" s="682"/>
      <c r="AE17" s="686"/>
      <c r="AF17" s="686"/>
      <c r="AG17" s="686"/>
      <c r="AH17" s="686"/>
      <c r="AI17" s="686"/>
      <c r="AJ17" s="686"/>
      <c r="AK17" s="686"/>
      <c r="AL17" s="686"/>
      <c r="AM17" s="686"/>
      <c r="AN17" s="686"/>
      <c r="AO17" s="686"/>
      <c r="AP17" s="686"/>
      <c r="AQ17" s="686"/>
      <c r="AR17" s="686"/>
      <c r="AS17" s="686"/>
      <c r="AT17" s="686"/>
      <c r="AU17" s="686"/>
      <c r="AV17" s="686"/>
      <c r="AW17" s="686"/>
      <c r="AX17" s="686"/>
      <c r="AY17" s="686"/>
      <c r="AZ17" s="686"/>
      <c r="BA17" s="686"/>
      <c r="BB17" s="686"/>
      <c r="BC17" s="686"/>
      <c r="BD17" s="686"/>
      <c r="BE17" s="686"/>
      <c r="BF17" s="686"/>
      <c r="BG17" s="686"/>
      <c r="BH17" s="686"/>
      <c r="BI17" s="686"/>
      <c r="BJ17" s="686"/>
      <c r="BK17" s="686"/>
      <c r="BL17" s="686"/>
      <c r="BM17" s="686"/>
      <c r="BN17" s="686"/>
      <c r="BO17" s="686"/>
      <c r="BP17" s="686"/>
      <c r="BQ17" s="686"/>
      <c r="BR17" s="686"/>
      <c r="BS17" s="686"/>
      <c r="BT17" s="686"/>
      <c r="BU17" s="686"/>
      <c r="BV17" s="686"/>
      <c r="BW17" s="686"/>
      <c r="BX17" s="686"/>
      <c r="BY17" s="686"/>
      <c r="BZ17" s="686"/>
      <c r="CA17" s="686"/>
      <c r="CB17" s="686"/>
      <c r="CC17" s="686"/>
      <c r="CD17" s="686"/>
      <c r="CE17" s="686"/>
      <c r="CF17" s="686"/>
      <c r="CG17" s="686"/>
      <c r="CH17" s="686"/>
      <c r="CI17" s="686"/>
      <c r="CJ17" s="686"/>
      <c r="CK17" s="686"/>
      <c r="CL17" s="686"/>
      <c r="CM17" s="686"/>
      <c r="CN17" s="686"/>
      <c r="CO17" s="686"/>
      <c r="CP17" s="686"/>
      <c r="CQ17" s="686"/>
      <c r="CR17" s="686"/>
      <c r="CS17" s="686"/>
      <c r="CT17" s="686"/>
      <c r="CU17" s="686"/>
      <c r="CV17" s="686"/>
      <c r="CW17" s="686"/>
      <c r="CX17" s="686"/>
      <c r="CY17" s="686"/>
      <c r="CZ17" s="686"/>
      <c r="DA17" s="686"/>
      <c r="DB17" s="686"/>
      <c r="DC17" s="686"/>
      <c r="DD17" s="686"/>
      <c r="DE17" s="686"/>
      <c r="DF17" s="686"/>
      <c r="DG17" s="686"/>
      <c r="DH17" s="686"/>
      <c r="DI17" s="686"/>
      <c r="DJ17" s="686"/>
      <c r="DK17" s="686"/>
      <c r="DL17" s="686"/>
      <c r="DM17" s="686"/>
      <c r="DN17" s="686"/>
      <c r="DO17" s="686"/>
      <c r="DP17" s="686"/>
      <c r="DQ17" s="686"/>
      <c r="DR17" s="686"/>
      <c r="DS17" s="686"/>
      <c r="DT17" s="686"/>
      <c r="DU17" s="686"/>
      <c r="DV17" s="686"/>
      <c r="DW17" s="686"/>
      <c r="DX17" s="686"/>
      <c r="DY17" s="686"/>
      <c r="DZ17" s="686"/>
      <c r="EA17" s="686"/>
      <c r="EB17" s="686"/>
      <c r="EC17" s="686"/>
      <c r="ED17" s="686"/>
      <c r="EE17" s="686"/>
      <c r="EF17" s="686"/>
      <c r="EG17" s="686"/>
      <c r="EH17" s="686"/>
      <c r="EI17" s="686"/>
      <c r="EJ17" s="686"/>
      <c r="EK17" s="686"/>
      <c r="EL17" s="686"/>
      <c r="EM17" s="686"/>
      <c r="EN17" s="686"/>
      <c r="EO17" s="686"/>
      <c r="EP17" s="686"/>
      <c r="EQ17" s="686"/>
      <c r="ER17" s="686"/>
      <c r="ES17" s="686"/>
      <c r="ET17" s="686"/>
      <c r="EU17" s="686"/>
      <c r="EV17" s="686"/>
      <c r="EW17" s="686"/>
      <c r="EX17" s="686"/>
      <c r="EY17" s="686"/>
      <c r="EZ17" s="686"/>
      <c r="FA17" s="686"/>
      <c r="FB17" s="686"/>
      <c r="FC17" s="686"/>
      <c r="FD17" s="686"/>
      <c r="FE17" s="686"/>
      <c r="FF17" s="686"/>
      <c r="FG17" s="686"/>
      <c r="FH17" s="686"/>
      <c r="FI17" s="686"/>
      <c r="FJ17" s="686"/>
      <c r="FK17" s="686"/>
      <c r="FL17" s="686"/>
      <c r="FM17" s="686"/>
      <c r="FN17" s="686"/>
      <c r="FO17" s="686"/>
      <c r="FP17" s="686"/>
      <c r="FQ17" s="686"/>
      <c r="FR17" s="686"/>
      <c r="FS17" s="686"/>
      <c r="FT17" s="686"/>
      <c r="FU17" s="686"/>
      <c r="FV17" s="686"/>
      <c r="FW17" s="686"/>
      <c r="FX17" s="686"/>
      <c r="FY17" s="686"/>
      <c r="FZ17" s="686"/>
      <c r="GA17" s="686"/>
      <c r="GB17" s="686"/>
      <c r="GC17" s="686"/>
      <c r="GD17" s="686"/>
      <c r="GE17" s="686"/>
      <c r="GF17" s="686"/>
      <c r="GG17" s="686"/>
      <c r="GH17" s="686"/>
      <c r="GI17" s="686"/>
      <c r="GJ17" s="686"/>
      <c r="GK17" s="686"/>
      <c r="GL17" s="686"/>
      <c r="GM17" s="686"/>
      <c r="GN17" s="686"/>
      <c r="GO17" s="686"/>
      <c r="GP17" s="686"/>
      <c r="GQ17" s="686"/>
      <c r="GR17" s="686"/>
      <c r="GS17" s="686"/>
      <c r="GT17" s="686"/>
      <c r="GU17" s="686"/>
      <c r="GV17" s="686"/>
      <c r="GW17" s="686"/>
      <c r="GX17" s="686"/>
      <c r="GY17" s="686"/>
      <c r="GZ17" s="686"/>
      <c r="HA17" s="686"/>
      <c r="HB17" s="686"/>
      <c r="HC17" s="686"/>
      <c r="HD17" s="686"/>
      <c r="HE17" s="686"/>
      <c r="HF17" s="686"/>
      <c r="HG17" s="686"/>
      <c r="HH17" s="686"/>
      <c r="HI17" s="686"/>
      <c r="HJ17" s="686"/>
      <c r="HK17" s="686"/>
      <c r="HL17" s="686"/>
      <c r="HM17" s="686"/>
      <c r="HN17" s="686"/>
      <c r="HO17" s="686"/>
      <c r="HP17" s="686"/>
      <c r="HQ17" s="686"/>
      <c r="HR17" s="686"/>
      <c r="HS17" s="686"/>
      <c r="HT17" s="686"/>
      <c r="HU17" s="686"/>
      <c r="HV17" s="686"/>
      <c r="HW17" s="686"/>
      <c r="HX17" s="686"/>
      <c r="HY17" s="686"/>
      <c r="HZ17" s="686"/>
      <c r="IA17" s="686"/>
      <c r="IB17" s="686"/>
      <c r="IC17" s="686"/>
      <c r="ID17" s="686"/>
      <c r="IE17" s="686"/>
      <c r="IF17" s="686"/>
      <c r="IG17" s="686"/>
      <c r="IH17" s="686"/>
      <c r="II17" s="686"/>
      <c r="IJ17" s="686"/>
      <c r="IK17" s="686"/>
      <c r="IL17" s="686"/>
      <c r="IM17" s="686"/>
      <c r="IN17" s="686"/>
      <c r="IO17" s="686"/>
      <c r="IP17" s="686"/>
      <c r="IQ17" s="686"/>
      <c r="IR17" s="686"/>
      <c r="IS17" s="686"/>
      <c r="IT17" s="686"/>
      <c r="IU17" s="686"/>
      <c r="IV17" s="686"/>
      <c r="IW17" s="686"/>
    </row>
    <row r="18" customFormat="false" ht="12.75" hidden="false" customHeight="false" outlineLevel="0" collapsed="false">
      <c r="A18" s="688"/>
      <c r="B18" s="682" t="s">
        <v>894</v>
      </c>
      <c r="C18" s="682"/>
      <c r="D18" s="682"/>
      <c r="E18" s="683" t="n">
        <f aca="false">'Project &amp; Investor Returns'!E15*E$11</f>
        <v>0</v>
      </c>
      <c r="F18" s="683" t="n">
        <f aca="false">'Project &amp; Investor Returns'!F15*F$11</f>
        <v>0</v>
      </c>
      <c r="G18" s="683" t="n">
        <f aca="false">'Project &amp; Investor Returns'!G15*G$11</f>
        <v>-1298.3959244023</v>
      </c>
      <c r="H18" s="683" t="n">
        <f aca="false">'Project &amp; Investor Returns'!H15*H$11</f>
        <v>1767.32579341436</v>
      </c>
      <c r="I18" s="683" t="n">
        <f aca="false">'Project &amp; Investor Returns'!I15*I$11</f>
        <v>8047.46725807546</v>
      </c>
      <c r="J18" s="683" t="n">
        <f aca="false">'Project &amp; Investor Returns'!J15*J$11</f>
        <v>928.474584333678</v>
      </c>
      <c r="K18" s="683" t="n">
        <f aca="false">'Project &amp; Investor Returns'!K15*K$11</f>
        <v>2421.52411257682</v>
      </c>
      <c r="L18" s="683" t="n">
        <f aca="false">'Project &amp; Investor Returns'!L15*L$11</f>
        <v>-3977.13265113085</v>
      </c>
      <c r="M18" s="683" t="n">
        <f aca="false">'Project &amp; Investor Returns'!M15*M$11</f>
        <v>3345.5173023387</v>
      </c>
      <c r="N18" s="683" t="n">
        <f aca="false">'Project &amp; Investor Returns'!N15*N$11</f>
        <v>3390.81519293177</v>
      </c>
      <c r="O18" s="683" t="n">
        <f aca="false">'Project &amp; Investor Returns'!O15*O$11</f>
        <v>946.675753720089</v>
      </c>
      <c r="P18" s="683" t="n">
        <f aca="false">'Project &amp; Investor Returns'!P15*P$11</f>
        <v>-1325.5272809466</v>
      </c>
      <c r="Q18" s="683" t="n">
        <f aca="false">'Project &amp; Investor Returns'!Q15*Q$11</f>
        <v>-602.757385073928</v>
      </c>
      <c r="R18" s="683" t="n">
        <f aca="false">'Project &amp; Investor Returns'!R15*R$11</f>
        <v>-1208.39833910267</v>
      </c>
      <c r="S18" s="683" t="n">
        <f aca="false">'Project &amp; Investor Returns'!S15*S$11</f>
        <v>-3954.18850956462</v>
      </c>
      <c r="T18" s="683" t="n">
        <f aca="false">'Project &amp; Investor Returns'!T15*T$11</f>
        <v>-2746.14809199469</v>
      </c>
      <c r="U18" s="683" t="n">
        <f aca="false">'Project &amp; Investor Returns'!U15*U$11</f>
        <v>3798.85449567004</v>
      </c>
      <c r="V18" s="683" t="n">
        <f aca="false">'Project &amp; Investor Returns'!V15*V$11</f>
        <v>1788.86237328253</v>
      </c>
      <c r="W18" s="683" t="n">
        <f aca="false">'Project &amp; Investor Returns'!W15*W$11</f>
        <v>-1046.92857731102</v>
      </c>
      <c r="X18" s="683" t="n">
        <f aca="false">'Project &amp; Investor Returns'!X15*X$11</f>
        <v>3202.5735565911</v>
      </c>
      <c r="Y18" s="683" t="n">
        <f aca="false">'Project &amp; Investor Returns'!Y15*Y$11</f>
        <v>2468.06705226517</v>
      </c>
      <c r="Z18" s="683" t="n">
        <f aca="false">'Project &amp; Investor Returns'!Z15*Z$11</f>
        <v>3275.69853523467</v>
      </c>
      <c r="AA18" s="683" t="n">
        <f aca="false">'Project &amp; Investor Returns'!AA15*AA$11</f>
        <v>-19479.5853006941</v>
      </c>
      <c r="AB18" s="684" t="n">
        <f aca="false">SUM(E18:AA18)</f>
        <v>-257.20604978636</v>
      </c>
      <c r="AC18" s="685" t="n">
        <f aca="false">IF('Project &amp; Investor Returns'!$I$3=0,F18+NPV(Disc,G18:AA18),E18+NPV(Disc,F18:AA18))</f>
        <v>6079.00250341523</v>
      </c>
      <c r="AD18" s="682"/>
      <c r="AE18" s="686"/>
      <c r="AF18" s="686"/>
      <c r="AG18" s="686"/>
      <c r="AH18" s="686"/>
      <c r="AI18" s="686"/>
      <c r="AJ18" s="686"/>
      <c r="AK18" s="686"/>
      <c r="AL18" s="686"/>
      <c r="AM18" s="686"/>
      <c r="AN18" s="686"/>
      <c r="AO18" s="686"/>
      <c r="AP18" s="686"/>
      <c r="AQ18" s="686"/>
      <c r="AR18" s="686"/>
      <c r="AS18" s="686"/>
      <c r="AT18" s="686"/>
      <c r="AU18" s="686"/>
      <c r="AV18" s="686"/>
      <c r="AW18" s="686"/>
      <c r="AX18" s="686"/>
      <c r="AY18" s="686"/>
      <c r="AZ18" s="686"/>
      <c r="BA18" s="686"/>
      <c r="BB18" s="686"/>
      <c r="BC18" s="686"/>
      <c r="BD18" s="686"/>
      <c r="BE18" s="686"/>
      <c r="BF18" s="686"/>
      <c r="BG18" s="686"/>
      <c r="BH18" s="686"/>
      <c r="BI18" s="686"/>
      <c r="BJ18" s="686"/>
      <c r="BK18" s="686"/>
      <c r="BL18" s="686"/>
      <c r="BM18" s="686"/>
      <c r="BN18" s="686"/>
      <c r="BO18" s="686"/>
      <c r="BP18" s="686"/>
      <c r="BQ18" s="686"/>
      <c r="BR18" s="686"/>
      <c r="BS18" s="686"/>
      <c r="BT18" s="686"/>
      <c r="BU18" s="686"/>
      <c r="BV18" s="686"/>
      <c r="BW18" s="686"/>
      <c r="BX18" s="686"/>
      <c r="BY18" s="686"/>
      <c r="BZ18" s="686"/>
      <c r="CA18" s="686"/>
      <c r="CB18" s="686"/>
      <c r="CC18" s="686"/>
      <c r="CD18" s="686"/>
      <c r="CE18" s="686"/>
      <c r="CF18" s="686"/>
      <c r="CG18" s="686"/>
      <c r="CH18" s="686"/>
      <c r="CI18" s="686"/>
      <c r="CJ18" s="686"/>
      <c r="CK18" s="686"/>
      <c r="CL18" s="686"/>
      <c r="CM18" s="686"/>
      <c r="CN18" s="686"/>
      <c r="CO18" s="686"/>
      <c r="CP18" s="686"/>
      <c r="CQ18" s="686"/>
      <c r="CR18" s="686"/>
      <c r="CS18" s="686"/>
      <c r="CT18" s="686"/>
      <c r="CU18" s="686"/>
      <c r="CV18" s="686"/>
      <c r="CW18" s="686"/>
      <c r="CX18" s="686"/>
      <c r="CY18" s="686"/>
      <c r="CZ18" s="686"/>
      <c r="DA18" s="686"/>
      <c r="DB18" s="686"/>
      <c r="DC18" s="686"/>
      <c r="DD18" s="686"/>
      <c r="DE18" s="686"/>
      <c r="DF18" s="686"/>
      <c r="DG18" s="686"/>
      <c r="DH18" s="686"/>
      <c r="DI18" s="686"/>
      <c r="DJ18" s="686"/>
      <c r="DK18" s="686"/>
      <c r="DL18" s="686"/>
      <c r="DM18" s="686"/>
      <c r="DN18" s="686"/>
      <c r="DO18" s="686"/>
      <c r="DP18" s="686"/>
      <c r="DQ18" s="686"/>
      <c r="DR18" s="686"/>
      <c r="DS18" s="686"/>
      <c r="DT18" s="686"/>
      <c r="DU18" s="686"/>
      <c r="DV18" s="686"/>
      <c r="DW18" s="686"/>
      <c r="DX18" s="686"/>
      <c r="DY18" s="686"/>
      <c r="DZ18" s="686"/>
      <c r="EA18" s="686"/>
      <c r="EB18" s="686"/>
      <c r="EC18" s="686"/>
      <c r="ED18" s="686"/>
      <c r="EE18" s="686"/>
      <c r="EF18" s="686"/>
      <c r="EG18" s="686"/>
      <c r="EH18" s="686"/>
      <c r="EI18" s="686"/>
      <c r="EJ18" s="686"/>
      <c r="EK18" s="686"/>
      <c r="EL18" s="686"/>
      <c r="EM18" s="686"/>
      <c r="EN18" s="686"/>
      <c r="EO18" s="686"/>
      <c r="EP18" s="686"/>
      <c r="EQ18" s="686"/>
      <c r="ER18" s="686"/>
      <c r="ES18" s="686"/>
      <c r="ET18" s="686"/>
      <c r="EU18" s="686"/>
      <c r="EV18" s="686"/>
      <c r="EW18" s="686"/>
      <c r="EX18" s="686"/>
      <c r="EY18" s="686"/>
      <c r="EZ18" s="686"/>
      <c r="FA18" s="686"/>
      <c r="FB18" s="686"/>
      <c r="FC18" s="686"/>
      <c r="FD18" s="686"/>
      <c r="FE18" s="686"/>
      <c r="FF18" s="686"/>
      <c r="FG18" s="686"/>
      <c r="FH18" s="686"/>
      <c r="FI18" s="686"/>
      <c r="FJ18" s="686"/>
      <c r="FK18" s="686"/>
      <c r="FL18" s="686"/>
      <c r="FM18" s="686"/>
      <c r="FN18" s="686"/>
      <c r="FO18" s="686"/>
      <c r="FP18" s="686"/>
      <c r="FQ18" s="686"/>
      <c r="FR18" s="686"/>
      <c r="FS18" s="686"/>
      <c r="FT18" s="686"/>
      <c r="FU18" s="686"/>
      <c r="FV18" s="686"/>
      <c r="FW18" s="686"/>
      <c r="FX18" s="686"/>
      <c r="FY18" s="686"/>
      <c r="FZ18" s="686"/>
      <c r="GA18" s="686"/>
      <c r="GB18" s="686"/>
      <c r="GC18" s="686"/>
      <c r="GD18" s="686"/>
      <c r="GE18" s="686"/>
      <c r="GF18" s="686"/>
      <c r="GG18" s="686"/>
      <c r="GH18" s="686"/>
      <c r="GI18" s="686"/>
      <c r="GJ18" s="686"/>
      <c r="GK18" s="686"/>
      <c r="GL18" s="686"/>
      <c r="GM18" s="686"/>
      <c r="GN18" s="686"/>
      <c r="GO18" s="686"/>
      <c r="GP18" s="686"/>
      <c r="GQ18" s="686"/>
      <c r="GR18" s="686"/>
      <c r="GS18" s="686"/>
      <c r="GT18" s="686"/>
      <c r="GU18" s="686"/>
      <c r="GV18" s="686"/>
      <c r="GW18" s="686"/>
      <c r="GX18" s="686"/>
      <c r="GY18" s="686"/>
      <c r="GZ18" s="686"/>
      <c r="HA18" s="686"/>
      <c r="HB18" s="686"/>
      <c r="HC18" s="686"/>
      <c r="HD18" s="686"/>
      <c r="HE18" s="686"/>
      <c r="HF18" s="686"/>
      <c r="HG18" s="686"/>
      <c r="HH18" s="686"/>
      <c r="HI18" s="686"/>
      <c r="HJ18" s="686"/>
      <c r="HK18" s="686"/>
      <c r="HL18" s="686"/>
      <c r="HM18" s="686"/>
      <c r="HN18" s="686"/>
      <c r="HO18" s="686"/>
      <c r="HP18" s="686"/>
      <c r="HQ18" s="686"/>
      <c r="HR18" s="686"/>
      <c r="HS18" s="686"/>
      <c r="HT18" s="686"/>
      <c r="HU18" s="686"/>
      <c r="HV18" s="686"/>
      <c r="HW18" s="686"/>
      <c r="HX18" s="686"/>
      <c r="HY18" s="686"/>
      <c r="HZ18" s="686"/>
      <c r="IA18" s="686"/>
      <c r="IB18" s="686"/>
      <c r="IC18" s="686"/>
      <c r="ID18" s="686"/>
      <c r="IE18" s="686"/>
      <c r="IF18" s="686"/>
      <c r="IG18" s="686"/>
      <c r="IH18" s="686"/>
      <c r="II18" s="686"/>
      <c r="IJ18" s="686"/>
      <c r="IK18" s="686"/>
      <c r="IL18" s="686"/>
      <c r="IM18" s="686"/>
      <c r="IN18" s="686"/>
      <c r="IO18" s="686"/>
      <c r="IP18" s="686"/>
      <c r="IQ18" s="686"/>
      <c r="IR18" s="686"/>
      <c r="IS18" s="686"/>
      <c r="IT18" s="686"/>
      <c r="IU18" s="686"/>
      <c r="IV18" s="686"/>
      <c r="IW18" s="686"/>
    </row>
    <row r="19" customFormat="false" ht="12.75" hidden="false" customHeight="false" outlineLevel="0" collapsed="false">
      <c r="A19" s="687"/>
      <c r="B19" s="682" t="s">
        <v>895</v>
      </c>
      <c r="C19" s="682"/>
      <c r="D19" s="689" t="s">
        <v>341</v>
      </c>
      <c r="E19" s="683" t="n">
        <f aca="false">-Trapped!E$40*'Project &amp; Investor Returns'!E$10*E$11</f>
        <v>-0</v>
      </c>
      <c r="F19" s="683" t="n">
        <f aca="false">-Trapped!F$40*'Project &amp; Investor Returns'!F$10*F$11</f>
        <v>-0</v>
      </c>
      <c r="G19" s="683" t="n">
        <f aca="false">-Trapped!G$40*'Project &amp; Investor Returns'!G$10*G$11</f>
        <v>-0</v>
      </c>
      <c r="H19" s="683" t="n">
        <f aca="false">-Trapped!H$40*'Project &amp; Investor Returns'!H$10*H$11</f>
        <v>-0</v>
      </c>
      <c r="I19" s="683" t="n">
        <f aca="false">-Trapped!I$40*'Project &amp; Investor Returns'!I$10*I$11</f>
        <v>-43.5681551279051</v>
      </c>
      <c r="J19" s="683" t="n">
        <f aca="false">-Trapped!J$40*'Project &amp; Investor Returns'!J$10*J$11</f>
        <v>-526.416190612433</v>
      </c>
      <c r="K19" s="683" t="n">
        <f aca="false">-Trapped!K$40*'Project &amp; Investor Returns'!K$10*K$11</f>
        <v>-582.124665672454</v>
      </c>
      <c r="L19" s="683" t="n">
        <f aca="false">-Trapped!L$40*'Project &amp; Investor Returns'!L$10*L$11</f>
        <v>-727.416112427063</v>
      </c>
      <c r="M19" s="683" t="n">
        <f aca="false">-Trapped!M$40*'Project &amp; Investor Returns'!M$10*M$11</f>
        <v>-727.416112427063</v>
      </c>
      <c r="N19" s="683" t="n">
        <f aca="false">-Trapped!N$40*'Project &amp; Investor Returns'!N$10*N$11</f>
        <v>-689.519191499534</v>
      </c>
      <c r="O19" s="683" t="n">
        <f aca="false">-Trapped!O$40*'Project &amp; Investor Returns'!O$10*O$11</f>
        <v>-892.96810307544</v>
      </c>
      <c r="P19" s="683" t="n">
        <f aca="false">-Trapped!P$40*'Project &amp; Investor Returns'!P$10*P$11</f>
        <v>-949.768648298646</v>
      </c>
      <c r="Q19" s="683" t="n">
        <f aca="false">-Trapped!Q$40*'Project &amp; Investor Returns'!Q$10*Q$11</f>
        <v>-949.768648298646</v>
      </c>
      <c r="R19" s="683" t="n">
        <f aca="false">-Trapped!R$40*'Project &amp; Investor Returns'!R$10*R$11</f>
        <v>-870.23701144185</v>
      </c>
      <c r="S19" s="683" t="n">
        <f aca="false">-Trapped!S$40*'Project &amp; Investor Returns'!S$10*S$11</f>
        <v>-834.071568337414</v>
      </c>
      <c r="T19" s="683" t="n">
        <f aca="false">-Trapped!T$40*'Project &amp; Investor Returns'!T$10*T$11</f>
        <v>-761.567667991254</v>
      </c>
      <c r="U19" s="683" t="n">
        <f aca="false">-Trapped!U$40*'Project &amp; Investor Returns'!U$10*U$11</f>
        <v>-524.316357417376</v>
      </c>
      <c r="V19" s="683" t="n">
        <f aca="false">-Trapped!V$40*'Project &amp; Investor Returns'!V$10*V$11</f>
        <v>-587.478741637898</v>
      </c>
      <c r="W19" s="683" t="n">
        <f aca="false">-Trapped!W$40*'Project &amp; Investor Returns'!W$10*W$11</f>
        <v>-694.81048403485</v>
      </c>
      <c r="X19" s="683" t="n">
        <f aca="false">-Trapped!X$40*'Project &amp; Investor Returns'!X$10*X$11</f>
        <v>-694.81048403485</v>
      </c>
      <c r="Y19" s="683" t="n">
        <f aca="false">-Trapped!Y$40*'Project &amp; Investor Returns'!Y$10*Y$11</f>
        <v>-824.149182791655</v>
      </c>
      <c r="Z19" s="683" t="n">
        <f aca="false">-Trapped!Z$40*'Project &amp; Investor Returns'!Z$10*Z$11</f>
        <v>-972.233205927565</v>
      </c>
      <c r="AA19" s="683" t="n">
        <f aca="false">-Trapped!AA$40*'Project &amp; Investor Returns'!AA$10*AA$11</f>
        <v>-1168.77511804164</v>
      </c>
      <c r="AB19" s="684" t="n">
        <f aca="false">SUM(E19:AA19)</f>
        <v>-14021.4156490955</v>
      </c>
      <c r="AC19" s="685" t="n">
        <f aca="false">IF('Project &amp; Investor Returns'!$I$3=0,F19+NPV(Disc,G19:AA19),E19+NPV(Disc,F19:AA19))</f>
        <v>-2162.08818276454</v>
      </c>
      <c r="AD19" s="682"/>
      <c r="AE19" s="686"/>
      <c r="AF19" s="686"/>
      <c r="AG19" s="690"/>
      <c r="AH19" s="686"/>
      <c r="AI19" s="686"/>
      <c r="AJ19" s="686"/>
      <c r="AK19" s="686"/>
      <c r="AL19" s="686"/>
      <c r="AM19" s="686"/>
      <c r="AN19" s="686"/>
      <c r="AO19" s="686"/>
      <c r="AP19" s="686"/>
      <c r="AQ19" s="686"/>
      <c r="AR19" s="686"/>
      <c r="AS19" s="686"/>
      <c r="AT19" s="686"/>
      <c r="AU19" s="686"/>
      <c r="AV19" s="686"/>
      <c r="AW19" s="686"/>
      <c r="AX19" s="686"/>
      <c r="AY19" s="686"/>
      <c r="AZ19" s="686"/>
      <c r="BA19" s="686"/>
      <c r="BB19" s="686"/>
      <c r="BC19" s="686"/>
      <c r="BD19" s="686"/>
      <c r="BE19" s="686"/>
      <c r="BF19" s="686"/>
      <c r="BG19" s="686"/>
      <c r="BH19" s="686"/>
      <c r="BI19" s="686"/>
      <c r="BJ19" s="686"/>
      <c r="BK19" s="686"/>
      <c r="BL19" s="686"/>
      <c r="BM19" s="686"/>
      <c r="BN19" s="686"/>
      <c r="BO19" s="686"/>
      <c r="BP19" s="686"/>
      <c r="BQ19" s="686"/>
      <c r="BR19" s="686"/>
      <c r="BS19" s="686"/>
      <c r="BT19" s="686"/>
      <c r="BU19" s="686"/>
      <c r="BV19" s="686"/>
      <c r="BW19" s="686"/>
      <c r="BX19" s="686"/>
      <c r="BY19" s="686"/>
      <c r="BZ19" s="686"/>
      <c r="CA19" s="686"/>
      <c r="CB19" s="686"/>
      <c r="CC19" s="686"/>
      <c r="CD19" s="686"/>
      <c r="CE19" s="686"/>
      <c r="CF19" s="686"/>
      <c r="CG19" s="686"/>
      <c r="CH19" s="686"/>
      <c r="CI19" s="686"/>
      <c r="CJ19" s="686"/>
      <c r="CK19" s="686"/>
      <c r="CL19" s="686"/>
      <c r="CM19" s="686"/>
      <c r="CN19" s="686"/>
      <c r="CO19" s="686"/>
      <c r="CP19" s="686"/>
      <c r="CQ19" s="686"/>
      <c r="CR19" s="686"/>
      <c r="CS19" s="686"/>
      <c r="CT19" s="686"/>
      <c r="CU19" s="686"/>
      <c r="CV19" s="686"/>
      <c r="CW19" s="686"/>
      <c r="CX19" s="686"/>
      <c r="CY19" s="686"/>
      <c r="CZ19" s="686"/>
      <c r="DA19" s="686"/>
      <c r="DB19" s="686"/>
      <c r="DC19" s="686"/>
      <c r="DD19" s="686"/>
      <c r="DE19" s="686"/>
      <c r="DF19" s="686"/>
      <c r="DG19" s="686"/>
      <c r="DH19" s="686"/>
      <c r="DI19" s="686"/>
      <c r="DJ19" s="686"/>
      <c r="DK19" s="686"/>
      <c r="DL19" s="686"/>
      <c r="DM19" s="686"/>
      <c r="DN19" s="686"/>
      <c r="DO19" s="686"/>
      <c r="DP19" s="686"/>
      <c r="DQ19" s="686"/>
      <c r="DR19" s="686"/>
      <c r="DS19" s="686"/>
      <c r="DT19" s="686"/>
      <c r="DU19" s="686"/>
      <c r="DV19" s="686"/>
      <c r="DW19" s="686"/>
      <c r="DX19" s="686"/>
      <c r="DY19" s="686"/>
      <c r="DZ19" s="686"/>
      <c r="EA19" s="686"/>
      <c r="EB19" s="686"/>
      <c r="EC19" s="686"/>
      <c r="ED19" s="686"/>
      <c r="EE19" s="686"/>
      <c r="EF19" s="686"/>
      <c r="EG19" s="686"/>
      <c r="EH19" s="686"/>
      <c r="EI19" s="686"/>
      <c r="EJ19" s="686"/>
      <c r="EK19" s="686"/>
      <c r="EL19" s="686"/>
      <c r="EM19" s="686"/>
      <c r="EN19" s="686"/>
      <c r="EO19" s="686"/>
      <c r="EP19" s="686"/>
      <c r="EQ19" s="686"/>
      <c r="ER19" s="686"/>
      <c r="ES19" s="686"/>
      <c r="ET19" s="686"/>
      <c r="EU19" s="686"/>
      <c r="EV19" s="686"/>
      <c r="EW19" s="686"/>
      <c r="EX19" s="686"/>
      <c r="EY19" s="686"/>
      <c r="EZ19" s="686"/>
      <c r="FA19" s="686"/>
      <c r="FB19" s="686"/>
      <c r="FC19" s="686"/>
      <c r="FD19" s="686"/>
      <c r="FE19" s="686"/>
      <c r="FF19" s="686"/>
      <c r="FG19" s="686"/>
      <c r="FH19" s="686"/>
      <c r="FI19" s="686"/>
      <c r="FJ19" s="686"/>
      <c r="FK19" s="686"/>
      <c r="FL19" s="686"/>
      <c r="FM19" s="686"/>
      <c r="FN19" s="686"/>
      <c r="FO19" s="686"/>
      <c r="FP19" s="686"/>
      <c r="FQ19" s="686"/>
      <c r="FR19" s="686"/>
      <c r="FS19" s="686"/>
      <c r="FT19" s="686"/>
      <c r="FU19" s="686"/>
      <c r="FV19" s="686"/>
      <c r="FW19" s="686"/>
      <c r="FX19" s="686"/>
      <c r="FY19" s="686"/>
      <c r="FZ19" s="686"/>
      <c r="GA19" s="686"/>
      <c r="GB19" s="686"/>
      <c r="GC19" s="686"/>
      <c r="GD19" s="686"/>
      <c r="GE19" s="686"/>
      <c r="GF19" s="686"/>
      <c r="GG19" s="686"/>
      <c r="GH19" s="686"/>
      <c r="GI19" s="686"/>
      <c r="GJ19" s="686"/>
      <c r="GK19" s="686"/>
      <c r="GL19" s="686"/>
      <c r="GM19" s="686"/>
      <c r="GN19" s="686"/>
      <c r="GO19" s="686"/>
      <c r="GP19" s="686"/>
      <c r="GQ19" s="686"/>
      <c r="GR19" s="686"/>
      <c r="GS19" s="686"/>
      <c r="GT19" s="686"/>
      <c r="GU19" s="686"/>
      <c r="GV19" s="686"/>
      <c r="GW19" s="686"/>
      <c r="GX19" s="686"/>
      <c r="GY19" s="686"/>
      <c r="GZ19" s="686"/>
      <c r="HA19" s="686"/>
      <c r="HB19" s="686"/>
      <c r="HC19" s="686"/>
      <c r="HD19" s="686"/>
      <c r="HE19" s="686"/>
      <c r="HF19" s="686"/>
      <c r="HG19" s="686"/>
      <c r="HH19" s="686"/>
      <c r="HI19" s="686"/>
      <c r="HJ19" s="686"/>
      <c r="HK19" s="686"/>
      <c r="HL19" s="686"/>
      <c r="HM19" s="686"/>
      <c r="HN19" s="686"/>
      <c r="HO19" s="686"/>
      <c r="HP19" s="686"/>
      <c r="HQ19" s="686"/>
      <c r="HR19" s="686"/>
      <c r="HS19" s="686"/>
      <c r="HT19" s="686"/>
      <c r="HU19" s="686"/>
      <c r="HV19" s="686"/>
      <c r="HW19" s="686"/>
      <c r="HX19" s="686"/>
      <c r="HY19" s="686"/>
      <c r="HZ19" s="686"/>
      <c r="IA19" s="686"/>
      <c r="IB19" s="686"/>
      <c r="IC19" s="686"/>
      <c r="ID19" s="686"/>
      <c r="IE19" s="686"/>
      <c r="IF19" s="686"/>
      <c r="IG19" s="686"/>
      <c r="IH19" s="686"/>
      <c r="II19" s="686"/>
      <c r="IJ19" s="686"/>
      <c r="IK19" s="686"/>
      <c r="IL19" s="686"/>
      <c r="IM19" s="686"/>
      <c r="IN19" s="686"/>
      <c r="IO19" s="686"/>
      <c r="IP19" s="686"/>
      <c r="IQ19" s="686"/>
      <c r="IR19" s="686"/>
      <c r="IS19" s="686"/>
      <c r="IT19" s="686"/>
      <c r="IU19" s="686"/>
      <c r="IV19" s="686"/>
      <c r="IW19" s="686"/>
    </row>
    <row r="20" customFormat="false" ht="12.75" hidden="false" customHeight="false" outlineLevel="0" collapsed="false">
      <c r="A20" s="687"/>
      <c r="B20" s="682" t="s">
        <v>885</v>
      </c>
      <c r="C20" s="682"/>
      <c r="D20" s="682"/>
      <c r="E20" s="683" t="n">
        <f aca="false">'Project &amp; Investor Returns'!E16*E$11</f>
        <v>0</v>
      </c>
      <c r="F20" s="683" t="n">
        <f aca="false">'Project &amp; Investor Returns'!F16*F$11</f>
        <v>0</v>
      </c>
      <c r="G20" s="683" t="n">
        <f aca="false">'Project &amp; Investor Returns'!G16*G$11</f>
        <v>0</v>
      </c>
      <c r="H20" s="683" t="n">
        <f aca="false">'Project &amp; Investor Returns'!H16*H$11</f>
        <v>0</v>
      </c>
      <c r="I20" s="683" t="n">
        <f aca="false">'Project &amp; Investor Returns'!I16*I$11</f>
        <v>0</v>
      </c>
      <c r="J20" s="683" t="n">
        <f aca="false">'Project &amp; Investor Returns'!J16*J$11</f>
        <v>0</v>
      </c>
      <c r="K20" s="683" t="n">
        <f aca="false">'Project &amp; Investor Returns'!K16*K$11</f>
        <v>1075.0718290604</v>
      </c>
      <c r="L20" s="683" t="n">
        <f aca="false">'Project &amp; Investor Returns'!L16*L$11</f>
        <v>0</v>
      </c>
      <c r="M20" s="683" t="n">
        <f aca="false">'Project &amp; Investor Returns'!M16*M$11</f>
        <v>4139.25704328246</v>
      </c>
      <c r="N20" s="683" t="n">
        <f aca="false">'Project &amp; Investor Returns'!N16*N$11</f>
        <v>4692.75118329329</v>
      </c>
      <c r="O20" s="683" t="n">
        <f aca="false">'Project &amp; Investor Returns'!O16*O$11</f>
        <v>4555.23965193297</v>
      </c>
      <c r="P20" s="683" t="n">
        <f aca="false">'Project &amp; Investor Returns'!P16*P$11</f>
        <v>4061.45369249679</v>
      </c>
      <c r="Q20" s="683" t="n">
        <f aca="false">'Project &amp; Investor Returns'!Q16*Q$11</f>
        <v>4246.81758372734</v>
      </c>
      <c r="R20" s="683" t="n">
        <f aca="false">'Project &amp; Investor Returns'!R16*R$11</f>
        <v>4883.26163203387</v>
      </c>
      <c r="S20" s="683" t="n">
        <f aca="false">'Project &amp; Investor Returns'!S16*S$11</f>
        <v>4883.26163203387</v>
      </c>
      <c r="T20" s="683" t="n">
        <f aca="false">'Project &amp; Investor Returns'!T16*T$11</f>
        <v>3765.14075695105</v>
      </c>
      <c r="U20" s="683" t="n">
        <f aca="false">'Project &amp; Investor Returns'!U16*U$11</f>
        <v>4883.26163203387</v>
      </c>
      <c r="V20" s="683" t="n">
        <f aca="false">'Project &amp; Investor Returns'!V16*V$11</f>
        <v>1886.56998807666</v>
      </c>
      <c r="W20" s="683" t="n">
        <f aca="false">'Project &amp; Investor Returns'!W16*W$11</f>
        <v>0</v>
      </c>
      <c r="X20" s="683" t="n">
        <f aca="false">'Project &amp; Investor Returns'!X16*X$11</f>
        <v>0</v>
      </c>
      <c r="Y20" s="683" t="n">
        <f aca="false">'Project &amp; Investor Returns'!Y16*Y$11</f>
        <v>0</v>
      </c>
      <c r="Z20" s="683" t="n">
        <f aca="false">'Project &amp; Investor Returns'!Z16*Z$11</f>
        <v>0</v>
      </c>
      <c r="AA20" s="683" t="n">
        <f aca="false">'Project &amp; Investor Returns'!AA16*AA$11</f>
        <v>0</v>
      </c>
      <c r="AB20" s="684" t="n">
        <f aca="false">SUM(E20:AA20)</f>
        <v>43072.0866249226</v>
      </c>
      <c r="AC20" s="685" t="n">
        <f aca="false">IF('Project &amp; Investor Returns'!$I$3=0,F20+NPV(Disc,G20:AA20),E20+NPV(Disc,F20:AA20))</f>
        <v>7054.224006461</v>
      </c>
      <c r="AD20" s="682"/>
      <c r="AE20" s="686"/>
      <c r="AF20" s="686"/>
      <c r="AG20" s="690"/>
      <c r="AH20" s="686"/>
      <c r="AI20" s="686"/>
      <c r="AJ20" s="686"/>
      <c r="AK20" s="686"/>
      <c r="AL20" s="686"/>
      <c r="AM20" s="686"/>
      <c r="AN20" s="686"/>
      <c r="AO20" s="686"/>
      <c r="AP20" s="686"/>
      <c r="AQ20" s="686"/>
      <c r="AR20" s="686"/>
      <c r="AS20" s="686"/>
      <c r="AT20" s="686"/>
      <c r="AU20" s="686"/>
      <c r="AV20" s="686"/>
      <c r="AW20" s="686"/>
      <c r="AX20" s="686"/>
      <c r="AY20" s="686"/>
      <c r="AZ20" s="686"/>
      <c r="BA20" s="686"/>
      <c r="BB20" s="686"/>
      <c r="BC20" s="686"/>
      <c r="BD20" s="686"/>
      <c r="BE20" s="686"/>
      <c r="BF20" s="686"/>
      <c r="BG20" s="686"/>
      <c r="BH20" s="686"/>
      <c r="BI20" s="686"/>
      <c r="BJ20" s="686"/>
      <c r="BK20" s="686"/>
      <c r="BL20" s="686"/>
      <c r="BM20" s="686"/>
      <c r="BN20" s="686"/>
      <c r="BO20" s="686"/>
      <c r="BP20" s="686"/>
      <c r="BQ20" s="686"/>
      <c r="BR20" s="686"/>
      <c r="BS20" s="686"/>
      <c r="BT20" s="686"/>
      <c r="BU20" s="686"/>
      <c r="BV20" s="686"/>
      <c r="BW20" s="686"/>
      <c r="BX20" s="686"/>
      <c r="BY20" s="686"/>
      <c r="BZ20" s="686"/>
      <c r="CA20" s="686"/>
      <c r="CB20" s="686"/>
      <c r="CC20" s="686"/>
      <c r="CD20" s="686"/>
      <c r="CE20" s="686"/>
      <c r="CF20" s="686"/>
      <c r="CG20" s="686"/>
      <c r="CH20" s="686"/>
      <c r="CI20" s="686"/>
      <c r="CJ20" s="686"/>
      <c r="CK20" s="686"/>
      <c r="CL20" s="686"/>
      <c r="CM20" s="686"/>
      <c r="CN20" s="686"/>
      <c r="CO20" s="686"/>
      <c r="CP20" s="686"/>
      <c r="CQ20" s="686"/>
      <c r="CR20" s="686"/>
      <c r="CS20" s="686"/>
      <c r="CT20" s="686"/>
      <c r="CU20" s="686"/>
      <c r="CV20" s="686"/>
      <c r="CW20" s="686"/>
      <c r="CX20" s="686"/>
      <c r="CY20" s="686"/>
      <c r="CZ20" s="686"/>
      <c r="DA20" s="686"/>
      <c r="DB20" s="686"/>
      <c r="DC20" s="686"/>
      <c r="DD20" s="686"/>
      <c r="DE20" s="686"/>
      <c r="DF20" s="686"/>
      <c r="DG20" s="686"/>
      <c r="DH20" s="686"/>
      <c r="DI20" s="686"/>
      <c r="DJ20" s="686"/>
      <c r="DK20" s="686"/>
      <c r="DL20" s="686"/>
      <c r="DM20" s="686"/>
      <c r="DN20" s="686"/>
      <c r="DO20" s="686"/>
      <c r="DP20" s="686"/>
      <c r="DQ20" s="686"/>
      <c r="DR20" s="686"/>
      <c r="DS20" s="686"/>
      <c r="DT20" s="686"/>
      <c r="DU20" s="686"/>
      <c r="DV20" s="686"/>
      <c r="DW20" s="686"/>
      <c r="DX20" s="686"/>
      <c r="DY20" s="686"/>
      <c r="DZ20" s="686"/>
      <c r="EA20" s="686"/>
      <c r="EB20" s="686"/>
      <c r="EC20" s="686"/>
      <c r="ED20" s="686"/>
      <c r="EE20" s="686"/>
      <c r="EF20" s="686"/>
      <c r="EG20" s="686"/>
      <c r="EH20" s="686"/>
      <c r="EI20" s="686"/>
      <c r="EJ20" s="686"/>
      <c r="EK20" s="686"/>
      <c r="EL20" s="686"/>
      <c r="EM20" s="686"/>
      <c r="EN20" s="686"/>
      <c r="EO20" s="686"/>
      <c r="EP20" s="686"/>
      <c r="EQ20" s="686"/>
      <c r="ER20" s="686"/>
      <c r="ES20" s="686"/>
      <c r="ET20" s="686"/>
      <c r="EU20" s="686"/>
      <c r="EV20" s="686"/>
      <c r="EW20" s="686"/>
      <c r="EX20" s="686"/>
      <c r="EY20" s="686"/>
      <c r="EZ20" s="686"/>
      <c r="FA20" s="686"/>
      <c r="FB20" s="686"/>
      <c r="FC20" s="686"/>
      <c r="FD20" s="686"/>
      <c r="FE20" s="686"/>
      <c r="FF20" s="686"/>
      <c r="FG20" s="686"/>
      <c r="FH20" s="686"/>
      <c r="FI20" s="686"/>
      <c r="FJ20" s="686"/>
      <c r="FK20" s="686"/>
      <c r="FL20" s="686"/>
      <c r="FM20" s="686"/>
      <c r="FN20" s="686"/>
      <c r="FO20" s="686"/>
      <c r="FP20" s="686"/>
      <c r="FQ20" s="686"/>
      <c r="FR20" s="686"/>
      <c r="FS20" s="686"/>
      <c r="FT20" s="686"/>
      <c r="FU20" s="686"/>
      <c r="FV20" s="686"/>
      <c r="FW20" s="686"/>
      <c r="FX20" s="686"/>
      <c r="FY20" s="686"/>
      <c r="FZ20" s="686"/>
      <c r="GA20" s="686"/>
      <c r="GB20" s="686"/>
      <c r="GC20" s="686"/>
      <c r="GD20" s="686"/>
      <c r="GE20" s="686"/>
      <c r="GF20" s="686"/>
      <c r="GG20" s="686"/>
      <c r="GH20" s="686"/>
      <c r="GI20" s="686"/>
      <c r="GJ20" s="686"/>
      <c r="GK20" s="686"/>
      <c r="GL20" s="686"/>
      <c r="GM20" s="686"/>
      <c r="GN20" s="686"/>
      <c r="GO20" s="686"/>
      <c r="GP20" s="686"/>
      <c r="GQ20" s="686"/>
      <c r="GR20" s="686"/>
      <c r="GS20" s="686"/>
      <c r="GT20" s="686"/>
      <c r="GU20" s="686"/>
      <c r="GV20" s="686"/>
      <c r="GW20" s="686"/>
      <c r="GX20" s="686"/>
      <c r="GY20" s="686"/>
      <c r="GZ20" s="686"/>
      <c r="HA20" s="686"/>
      <c r="HB20" s="686"/>
      <c r="HC20" s="686"/>
      <c r="HD20" s="686"/>
      <c r="HE20" s="686"/>
      <c r="HF20" s="686"/>
      <c r="HG20" s="686"/>
      <c r="HH20" s="686"/>
      <c r="HI20" s="686"/>
      <c r="HJ20" s="686"/>
      <c r="HK20" s="686"/>
      <c r="HL20" s="686"/>
      <c r="HM20" s="686"/>
      <c r="HN20" s="686"/>
      <c r="HO20" s="686"/>
      <c r="HP20" s="686"/>
      <c r="HQ20" s="686"/>
      <c r="HR20" s="686"/>
      <c r="HS20" s="686"/>
      <c r="HT20" s="686"/>
      <c r="HU20" s="686"/>
      <c r="HV20" s="686"/>
      <c r="HW20" s="686"/>
      <c r="HX20" s="686"/>
      <c r="HY20" s="686"/>
      <c r="HZ20" s="686"/>
      <c r="IA20" s="686"/>
      <c r="IB20" s="686"/>
      <c r="IC20" s="686"/>
      <c r="ID20" s="686"/>
      <c r="IE20" s="686"/>
      <c r="IF20" s="686"/>
      <c r="IG20" s="686"/>
      <c r="IH20" s="686"/>
      <c r="II20" s="686"/>
      <c r="IJ20" s="686"/>
      <c r="IK20" s="686"/>
      <c r="IL20" s="686"/>
      <c r="IM20" s="686"/>
      <c r="IN20" s="686"/>
      <c r="IO20" s="686"/>
      <c r="IP20" s="686"/>
      <c r="IQ20" s="686"/>
      <c r="IR20" s="686"/>
      <c r="IS20" s="686"/>
      <c r="IT20" s="686"/>
      <c r="IU20" s="686"/>
      <c r="IV20" s="686"/>
      <c r="IW20" s="686"/>
    </row>
    <row r="21" customFormat="false" ht="12.75" hidden="false" customHeight="false" outlineLevel="0" collapsed="false">
      <c r="A21" s="687"/>
      <c r="B21" s="682" t="s">
        <v>896</v>
      </c>
      <c r="C21" s="691" t="n">
        <f aca="false">Wh_Int</f>
        <v>0.15</v>
      </c>
      <c r="D21" s="682"/>
      <c r="E21" s="683" t="n">
        <f aca="false">-E20*$C21</f>
        <v>-0</v>
      </c>
      <c r="F21" s="683" t="n">
        <f aca="false">-F20*$C21</f>
        <v>-0</v>
      </c>
      <c r="G21" s="683" t="n">
        <f aca="false">-G20*$C21</f>
        <v>-0</v>
      </c>
      <c r="H21" s="683" t="n">
        <f aca="false">-H20*$C21</f>
        <v>-0</v>
      </c>
      <c r="I21" s="683" t="n">
        <f aca="false">-I20*$C21</f>
        <v>-0</v>
      </c>
      <c r="J21" s="683" t="n">
        <f aca="false">-J20*$C21</f>
        <v>-0</v>
      </c>
      <c r="K21" s="683" t="n">
        <f aca="false">-K20*$C21</f>
        <v>-161.26077435906</v>
      </c>
      <c r="L21" s="683" t="n">
        <f aca="false">-L20*$C21</f>
        <v>-0</v>
      </c>
      <c r="M21" s="683" t="n">
        <f aca="false">-M20*$C21</f>
        <v>-620.888556492369</v>
      </c>
      <c r="N21" s="683" t="n">
        <f aca="false">-N20*$C21</f>
        <v>-703.912677493993</v>
      </c>
      <c r="O21" s="683" t="n">
        <f aca="false">-O20*$C21</f>
        <v>-683.285947789946</v>
      </c>
      <c r="P21" s="683" t="n">
        <f aca="false">-P20*$C21</f>
        <v>-609.218053874519</v>
      </c>
      <c r="Q21" s="683" t="n">
        <f aca="false">-Q20*$C21</f>
        <v>-637.0226375591</v>
      </c>
      <c r="R21" s="683" t="n">
        <f aca="false">-R20*$C21</f>
        <v>-732.48924480508</v>
      </c>
      <c r="S21" s="683" t="n">
        <f aca="false">-S20*$C21</f>
        <v>-732.48924480508</v>
      </c>
      <c r="T21" s="683" t="n">
        <f aca="false">-T20*$C21</f>
        <v>-564.771113542658</v>
      </c>
      <c r="U21" s="683" t="n">
        <f aca="false">-U20*$C21</f>
        <v>-732.48924480508</v>
      </c>
      <c r="V21" s="683" t="n">
        <f aca="false">-V20*$C21</f>
        <v>-282.985498211499</v>
      </c>
      <c r="W21" s="683" t="n">
        <f aca="false">-W20*$C21</f>
        <v>-0</v>
      </c>
      <c r="X21" s="683" t="n">
        <f aca="false">-X20*$C21</f>
        <v>-0</v>
      </c>
      <c r="Y21" s="683" t="n">
        <f aca="false">-Y20*$C21</f>
        <v>-0</v>
      </c>
      <c r="Z21" s="683" t="n">
        <f aca="false">-Z20*$C21</f>
        <v>-0</v>
      </c>
      <c r="AA21" s="683" t="n">
        <f aca="false">-AA20*$C21</f>
        <v>-0</v>
      </c>
      <c r="AB21" s="684" t="n">
        <f aca="false">SUM(E21:AA21)</f>
        <v>-6460.81299373838</v>
      </c>
      <c r="AC21" s="685" t="n">
        <f aca="false">IF('Project &amp; Investor Returns'!$I$3=0,F21+NPV(Disc,G21:AA21),E21+NPV(Disc,F21:AA21))</f>
        <v>-1058.13360096915</v>
      </c>
      <c r="AD21" s="682"/>
      <c r="AE21" s="686"/>
      <c r="AF21" s="686"/>
      <c r="AG21" s="690"/>
      <c r="AH21" s="686"/>
      <c r="AI21" s="686"/>
      <c r="AJ21" s="686"/>
      <c r="AK21" s="686"/>
      <c r="AL21" s="686"/>
      <c r="AM21" s="686"/>
      <c r="AN21" s="686"/>
      <c r="AO21" s="686"/>
      <c r="AP21" s="686"/>
      <c r="AQ21" s="686"/>
      <c r="AR21" s="686"/>
      <c r="AS21" s="686"/>
      <c r="AT21" s="686"/>
      <c r="AU21" s="686"/>
      <c r="AV21" s="686"/>
      <c r="AW21" s="686"/>
      <c r="AX21" s="686"/>
      <c r="AY21" s="686"/>
      <c r="AZ21" s="686"/>
      <c r="BA21" s="686"/>
      <c r="BB21" s="686"/>
      <c r="BC21" s="686"/>
      <c r="BD21" s="686"/>
      <c r="BE21" s="686"/>
      <c r="BF21" s="686"/>
      <c r="BG21" s="686"/>
      <c r="BH21" s="686"/>
      <c r="BI21" s="686"/>
      <c r="BJ21" s="686"/>
      <c r="BK21" s="686"/>
      <c r="BL21" s="686"/>
      <c r="BM21" s="686"/>
      <c r="BN21" s="686"/>
      <c r="BO21" s="686"/>
      <c r="BP21" s="686"/>
      <c r="BQ21" s="686"/>
      <c r="BR21" s="686"/>
      <c r="BS21" s="686"/>
      <c r="BT21" s="686"/>
      <c r="BU21" s="686"/>
      <c r="BV21" s="686"/>
      <c r="BW21" s="686"/>
      <c r="BX21" s="686"/>
      <c r="BY21" s="686"/>
      <c r="BZ21" s="686"/>
      <c r="CA21" s="686"/>
      <c r="CB21" s="686"/>
      <c r="CC21" s="686"/>
      <c r="CD21" s="686"/>
      <c r="CE21" s="686"/>
      <c r="CF21" s="686"/>
      <c r="CG21" s="686"/>
      <c r="CH21" s="686"/>
      <c r="CI21" s="686"/>
      <c r="CJ21" s="686"/>
      <c r="CK21" s="686"/>
      <c r="CL21" s="686"/>
      <c r="CM21" s="686"/>
      <c r="CN21" s="686"/>
      <c r="CO21" s="686"/>
      <c r="CP21" s="686"/>
      <c r="CQ21" s="686"/>
      <c r="CR21" s="686"/>
      <c r="CS21" s="686"/>
      <c r="CT21" s="686"/>
      <c r="CU21" s="686"/>
      <c r="CV21" s="686"/>
      <c r="CW21" s="686"/>
      <c r="CX21" s="686"/>
      <c r="CY21" s="686"/>
      <c r="CZ21" s="686"/>
      <c r="DA21" s="686"/>
      <c r="DB21" s="686"/>
      <c r="DC21" s="686"/>
      <c r="DD21" s="686"/>
      <c r="DE21" s="686"/>
      <c r="DF21" s="686"/>
      <c r="DG21" s="686"/>
      <c r="DH21" s="686"/>
      <c r="DI21" s="686"/>
      <c r="DJ21" s="686"/>
      <c r="DK21" s="686"/>
      <c r="DL21" s="686"/>
      <c r="DM21" s="686"/>
      <c r="DN21" s="686"/>
      <c r="DO21" s="686"/>
      <c r="DP21" s="686"/>
      <c r="DQ21" s="686"/>
      <c r="DR21" s="686"/>
      <c r="DS21" s="686"/>
      <c r="DT21" s="686"/>
      <c r="DU21" s="686"/>
      <c r="DV21" s="686"/>
      <c r="DW21" s="686"/>
      <c r="DX21" s="686"/>
      <c r="DY21" s="686"/>
      <c r="DZ21" s="686"/>
      <c r="EA21" s="686"/>
      <c r="EB21" s="686"/>
      <c r="EC21" s="686"/>
      <c r="ED21" s="686"/>
      <c r="EE21" s="686"/>
      <c r="EF21" s="686"/>
      <c r="EG21" s="686"/>
      <c r="EH21" s="686"/>
      <c r="EI21" s="686"/>
      <c r="EJ21" s="686"/>
      <c r="EK21" s="686"/>
      <c r="EL21" s="686"/>
      <c r="EM21" s="686"/>
      <c r="EN21" s="686"/>
      <c r="EO21" s="686"/>
      <c r="EP21" s="686"/>
      <c r="EQ21" s="686"/>
      <c r="ER21" s="686"/>
      <c r="ES21" s="686"/>
      <c r="ET21" s="686"/>
      <c r="EU21" s="686"/>
      <c r="EV21" s="686"/>
      <c r="EW21" s="686"/>
      <c r="EX21" s="686"/>
      <c r="EY21" s="686"/>
      <c r="EZ21" s="686"/>
      <c r="FA21" s="686"/>
      <c r="FB21" s="686"/>
      <c r="FC21" s="686"/>
      <c r="FD21" s="686"/>
      <c r="FE21" s="686"/>
      <c r="FF21" s="686"/>
      <c r="FG21" s="686"/>
      <c r="FH21" s="686"/>
      <c r="FI21" s="686"/>
      <c r="FJ21" s="686"/>
      <c r="FK21" s="686"/>
      <c r="FL21" s="686"/>
      <c r="FM21" s="686"/>
      <c r="FN21" s="686"/>
      <c r="FO21" s="686"/>
      <c r="FP21" s="686"/>
      <c r="FQ21" s="686"/>
      <c r="FR21" s="686"/>
      <c r="FS21" s="686"/>
      <c r="FT21" s="686"/>
      <c r="FU21" s="686"/>
      <c r="FV21" s="686"/>
      <c r="FW21" s="686"/>
      <c r="FX21" s="686"/>
      <c r="FY21" s="686"/>
      <c r="FZ21" s="686"/>
      <c r="GA21" s="686"/>
      <c r="GB21" s="686"/>
      <c r="GC21" s="686"/>
      <c r="GD21" s="686"/>
      <c r="GE21" s="686"/>
      <c r="GF21" s="686"/>
      <c r="GG21" s="686"/>
      <c r="GH21" s="686"/>
      <c r="GI21" s="686"/>
      <c r="GJ21" s="686"/>
      <c r="GK21" s="686"/>
      <c r="GL21" s="686"/>
      <c r="GM21" s="686"/>
      <c r="GN21" s="686"/>
      <c r="GO21" s="686"/>
      <c r="GP21" s="686"/>
      <c r="GQ21" s="686"/>
      <c r="GR21" s="686"/>
      <c r="GS21" s="686"/>
      <c r="GT21" s="686"/>
      <c r="GU21" s="686"/>
      <c r="GV21" s="686"/>
      <c r="GW21" s="686"/>
      <c r="GX21" s="686"/>
      <c r="GY21" s="686"/>
      <c r="GZ21" s="686"/>
      <c r="HA21" s="686"/>
      <c r="HB21" s="686"/>
      <c r="HC21" s="686"/>
      <c r="HD21" s="686"/>
      <c r="HE21" s="686"/>
      <c r="HF21" s="686"/>
      <c r="HG21" s="686"/>
      <c r="HH21" s="686"/>
      <c r="HI21" s="686"/>
      <c r="HJ21" s="686"/>
      <c r="HK21" s="686"/>
      <c r="HL21" s="686"/>
      <c r="HM21" s="686"/>
      <c r="HN21" s="686"/>
      <c r="HO21" s="686"/>
      <c r="HP21" s="686"/>
      <c r="HQ21" s="686"/>
      <c r="HR21" s="686"/>
      <c r="HS21" s="686"/>
      <c r="HT21" s="686"/>
      <c r="HU21" s="686"/>
      <c r="HV21" s="686"/>
      <c r="HW21" s="686"/>
      <c r="HX21" s="686"/>
      <c r="HY21" s="686"/>
      <c r="HZ21" s="686"/>
      <c r="IA21" s="686"/>
      <c r="IB21" s="686"/>
      <c r="IC21" s="686"/>
      <c r="ID21" s="686"/>
      <c r="IE21" s="686"/>
      <c r="IF21" s="686"/>
      <c r="IG21" s="686"/>
      <c r="IH21" s="686"/>
      <c r="II21" s="686"/>
      <c r="IJ21" s="686"/>
      <c r="IK21" s="686"/>
      <c r="IL21" s="686"/>
      <c r="IM21" s="686"/>
      <c r="IN21" s="686"/>
      <c r="IO21" s="686"/>
      <c r="IP21" s="686"/>
      <c r="IQ21" s="686"/>
      <c r="IR21" s="686"/>
      <c r="IS21" s="686"/>
      <c r="IT21" s="686"/>
      <c r="IU21" s="686"/>
      <c r="IV21" s="686"/>
      <c r="IW21" s="686"/>
    </row>
    <row r="22" customFormat="false" ht="12.75" hidden="false" customHeight="false" outlineLevel="0" collapsed="false">
      <c r="A22" s="692"/>
      <c r="B22" s="682" t="s">
        <v>897</v>
      </c>
      <c r="C22" s="691" t="n">
        <f aca="false">USTax</f>
        <v>0.37</v>
      </c>
      <c r="D22" s="693"/>
      <c r="E22" s="694" t="n">
        <f aca="false">-E19*$C22</f>
        <v>0</v>
      </c>
      <c r="F22" s="694" t="n">
        <f aca="false">-F19*$C22</f>
        <v>0</v>
      </c>
      <c r="G22" s="694" t="n">
        <f aca="false">-G19*$C22</f>
        <v>0</v>
      </c>
      <c r="H22" s="694" t="n">
        <f aca="false">-H19*$C22</f>
        <v>0</v>
      </c>
      <c r="I22" s="694" t="n">
        <f aca="false">-I19*$C22</f>
        <v>16.1202173973249</v>
      </c>
      <c r="J22" s="694" t="n">
        <f aca="false">-J19*$C22</f>
        <v>194.7739905266</v>
      </c>
      <c r="K22" s="694" t="n">
        <f aca="false">-K19*$C22</f>
        <v>215.386126298808</v>
      </c>
      <c r="L22" s="694" t="n">
        <f aca="false">-L19*$C22</f>
        <v>269.143961598013</v>
      </c>
      <c r="M22" s="694" t="n">
        <f aca="false">-M19*$C22</f>
        <v>269.143961598013</v>
      </c>
      <c r="N22" s="694" t="n">
        <f aca="false">-N19*$C22</f>
        <v>255.122100854828</v>
      </c>
      <c r="O22" s="694" t="n">
        <f aca="false">-O19*$C22</f>
        <v>330.398198137913</v>
      </c>
      <c r="P22" s="694" t="n">
        <f aca="false">-P19*$C22</f>
        <v>351.414399870499</v>
      </c>
      <c r="Q22" s="694" t="n">
        <f aca="false">-Q19*$C22</f>
        <v>351.414399870499</v>
      </c>
      <c r="R22" s="694" t="n">
        <f aca="false">-R19*$C22</f>
        <v>321.987694233485</v>
      </c>
      <c r="S22" s="694" t="n">
        <f aca="false">-S19*$C22</f>
        <v>308.606480284843</v>
      </c>
      <c r="T22" s="694" t="n">
        <f aca="false">-T19*$C22</f>
        <v>281.780037156764</v>
      </c>
      <c r="U22" s="694" t="n">
        <f aca="false">-U19*$C22</f>
        <v>193.997052244429</v>
      </c>
      <c r="V22" s="694" t="n">
        <f aca="false">-V19*$C22</f>
        <v>217.367134406022</v>
      </c>
      <c r="W22" s="694" t="n">
        <f aca="false">-W19*$C22</f>
        <v>257.079879092894</v>
      </c>
      <c r="X22" s="694" t="n">
        <f aca="false">-X19*$C22</f>
        <v>257.079879092894</v>
      </c>
      <c r="Y22" s="694" t="n">
        <f aca="false">-Y19*$C22</f>
        <v>304.935197632912</v>
      </c>
      <c r="Z22" s="694" t="n">
        <f aca="false">-Z19*$C22</f>
        <v>359.726286193199</v>
      </c>
      <c r="AA22" s="694" t="n">
        <f aca="false">-AA19*$C22</f>
        <v>432.446793675409</v>
      </c>
      <c r="AB22" s="695" t="n">
        <f aca="false">SUM(E22:AA22)</f>
        <v>5187.92379016535</v>
      </c>
      <c r="AC22" s="696" t="n">
        <f aca="false">IF('Project &amp; Investor Returns'!$I$3=0,F22+NPV(Disc,G22:AA22),E22+NPV(Disc,F22:AA22))</f>
        <v>799.972627622878</v>
      </c>
      <c r="AD22" s="682"/>
      <c r="AE22" s="697"/>
      <c r="AF22" s="697"/>
      <c r="AG22" s="690"/>
      <c r="AH22" s="697"/>
      <c r="AI22" s="697"/>
      <c r="AJ22" s="697"/>
      <c r="AK22" s="697"/>
      <c r="AL22" s="697"/>
      <c r="AM22" s="697"/>
      <c r="AN22" s="697"/>
      <c r="AO22" s="697"/>
      <c r="AP22" s="697"/>
      <c r="AQ22" s="697"/>
      <c r="AR22" s="697"/>
      <c r="AS22" s="697"/>
      <c r="AT22" s="697"/>
      <c r="AU22" s="697"/>
      <c r="AV22" s="697"/>
      <c r="AW22" s="697"/>
      <c r="AX22" s="697"/>
      <c r="AY22" s="697"/>
      <c r="AZ22" s="697"/>
      <c r="BA22" s="697"/>
      <c r="BB22" s="697"/>
      <c r="BC22" s="697"/>
      <c r="BD22" s="697"/>
      <c r="BE22" s="697"/>
      <c r="BF22" s="697"/>
      <c r="BG22" s="697"/>
      <c r="BH22" s="697"/>
      <c r="BI22" s="697"/>
      <c r="BJ22" s="697"/>
      <c r="BK22" s="697"/>
      <c r="BL22" s="697"/>
      <c r="BM22" s="697"/>
      <c r="BN22" s="697"/>
      <c r="BO22" s="697"/>
      <c r="BP22" s="697"/>
      <c r="BQ22" s="697"/>
      <c r="BR22" s="697"/>
      <c r="BS22" s="697"/>
      <c r="BT22" s="697"/>
      <c r="BU22" s="697"/>
      <c r="BV22" s="697"/>
      <c r="BW22" s="697"/>
      <c r="BX22" s="697"/>
      <c r="BY22" s="697"/>
      <c r="BZ22" s="697"/>
      <c r="CA22" s="697"/>
      <c r="CB22" s="697"/>
      <c r="CC22" s="697"/>
      <c r="CD22" s="697"/>
      <c r="CE22" s="697"/>
      <c r="CF22" s="697"/>
      <c r="CG22" s="697"/>
      <c r="CH22" s="697"/>
      <c r="CI22" s="697"/>
      <c r="CJ22" s="697"/>
      <c r="CK22" s="697"/>
      <c r="CL22" s="697"/>
      <c r="CM22" s="697"/>
      <c r="CN22" s="697"/>
      <c r="CO22" s="697"/>
      <c r="CP22" s="697"/>
      <c r="CQ22" s="697"/>
      <c r="CR22" s="697"/>
      <c r="CS22" s="697"/>
      <c r="CT22" s="697"/>
      <c r="CU22" s="697"/>
      <c r="CV22" s="697"/>
      <c r="CW22" s="697"/>
      <c r="CX22" s="697"/>
      <c r="CY22" s="697"/>
      <c r="CZ22" s="697"/>
      <c r="DA22" s="697"/>
      <c r="DB22" s="697"/>
      <c r="DC22" s="697"/>
      <c r="DD22" s="697"/>
      <c r="DE22" s="697"/>
      <c r="DF22" s="697"/>
      <c r="DG22" s="697"/>
      <c r="DH22" s="697"/>
      <c r="DI22" s="697"/>
      <c r="DJ22" s="697"/>
      <c r="DK22" s="697"/>
      <c r="DL22" s="697"/>
      <c r="DM22" s="697"/>
      <c r="DN22" s="697"/>
      <c r="DO22" s="697"/>
      <c r="DP22" s="697"/>
      <c r="DQ22" s="697"/>
      <c r="DR22" s="697"/>
      <c r="DS22" s="697"/>
      <c r="DT22" s="697"/>
      <c r="DU22" s="697"/>
      <c r="DV22" s="697"/>
      <c r="DW22" s="697"/>
      <c r="DX22" s="697"/>
      <c r="DY22" s="697"/>
      <c r="DZ22" s="697"/>
      <c r="EA22" s="697"/>
      <c r="EB22" s="697"/>
      <c r="EC22" s="697"/>
      <c r="ED22" s="697"/>
      <c r="EE22" s="697"/>
      <c r="EF22" s="697"/>
      <c r="EG22" s="697"/>
      <c r="EH22" s="697"/>
      <c r="EI22" s="697"/>
      <c r="EJ22" s="697"/>
      <c r="EK22" s="697"/>
      <c r="EL22" s="697"/>
      <c r="EM22" s="697"/>
      <c r="EN22" s="697"/>
      <c r="EO22" s="697"/>
      <c r="EP22" s="697"/>
      <c r="EQ22" s="697"/>
      <c r="ER22" s="697"/>
      <c r="ES22" s="697"/>
      <c r="ET22" s="697"/>
      <c r="EU22" s="697"/>
      <c r="EV22" s="697"/>
      <c r="EW22" s="697"/>
      <c r="EX22" s="697"/>
      <c r="EY22" s="697"/>
      <c r="EZ22" s="697"/>
      <c r="FA22" s="697"/>
      <c r="FB22" s="697"/>
      <c r="FC22" s="697"/>
      <c r="FD22" s="697"/>
      <c r="FE22" s="697"/>
      <c r="FF22" s="697"/>
      <c r="FG22" s="697"/>
      <c r="FH22" s="697"/>
      <c r="FI22" s="697"/>
      <c r="FJ22" s="697"/>
      <c r="FK22" s="697"/>
      <c r="FL22" s="697"/>
      <c r="FM22" s="697"/>
      <c r="FN22" s="697"/>
      <c r="FO22" s="697"/>
      <c r="FP22" s="697"/>
      <c r="FQ22" s="697"/>
      <c r="FR22" s="697"/>
      <c r="FS22" s="697"/>
      <c r="FT22" s="697"/>
      <c r="FU22" s="697"/>
      <c r="FV22" s="697"/>
      <c r="FW22" s="697"/>
      <c r="FX22" s="697"/>
      <c r="FY22" s="697"/>
      <c r="FZ22" s="697"/>
      <c r="GA22" s="697"/>
      <c r="GB22" s="697"/>
      <c r="GC22" s="697"/>
      <c r="GD22" s="697"/>
      <c r="GE22" s="697"/>
      <c r="GF22" s="697"/>
      <c r="GG22" s="697"/>
      <c r="GH22" s="697"/>
      <c r="GI22" s="697"/>
      <c r="GJ22" s="697"/>
      <c r="GK22" s="697"/>
      <c r="GL22" s="697"/>
      <c r="GM22" s="697"/>
      <c r="GN22" s="697"/>
      <c r="GO22" s="697"/>
      <c r="GP22" s="697"/>
      <c r="GQ22" s="697"/>
      <c r="GR22" s="697"/>
      <c r="GS22" s="697"/>
      <c r="GT22" s="697"/>
      <c r="GU22" s="697"/>
      <c r="GV22" s="697"/>
      <c r="GW22" s="697"/>
      <c r="GX22" s="697"/>
      <c r="GY22" s="697"/>
      <c r="GZ22" s="697"/>
      <c r="HA22" s="697"/>
      <c r="HB22" s="697"/>
      <c r="HC22" s="697"/>
      <c r="HD22" s="697"/>
      <c r="HE22" s="697"/>
      <c r="HF22" s="697"/>
      <c r="HG22" s="697"/>
      <c r="HH22" s="697"/>
      <c r="HI22" s="697"/>
      <c r="HJ22" s="697"/>
      <c r="HK22" s="697"/>
      <c r="HL22" s="697"/>
      <c r="HM22" s="697"/>
      <c r="HN22" s="697"/>
      <c r="HO22" s="697"/>
      <c r="HP22" s="697"/>
      <c r="HQ22" s="697"/>
      <c r="HR22" s="697"/>
      <c r="HS22" s="697"/>
      <c r="HT22" s="697"/>
      <c r="HU22" s="697"/>
      <c r="HV22" s="697"/>
      <c r="HW22" s="697"/>
      <c r="HX22" s="697"/>
      <c r="HY22" s="697"/>
      <c r="HZ22" s="697"/>
      <c r="IA22" s="697"/>
      <c r="IB22" s="697"/>
      <c r="IC22" s="697"/>
      <c r="ID22" s="697"/>
      <c r="IE22" s="697"/>
      <c r="IF22" s="697"/>
      <c r="IG22" s="697"/>
      <c r="IH22" s="697"/>
      <c r="II22" s="697"/>
      <c r="IJ22" s="697"/>
      <c r="IK22" s="697"/>
      <c r="IL22" s="697"/>
      <c r="IM22" s="697"/>
      <c r="IN22" s="697"/>
      <c r="IO22" s="697"/>
      <c r="IP22" s="697"/>
      <c r="IQ22" s="697"/>
      <c r="IR22" s="697"/>
      <c r="IS22" s="697"/>
      <c r="IT22" s="697"/>
      <c r="IU22" s="697"/>
      <c r="IV22" s="697"/>
      <c r="IW22" s="697"/>
    </row>
    <row r="23" customFormat="false" ht="12.75" hidden="false" customHeight="false" outlineLevel="0" collapsed="false">
      <c r="A23" s="698"/>
      <c r="B23" s="38" t="s">
        <v>898</v>
      </c>
      <c r="E23" s="217" t="n">
        <f aca="false">SUM(E13:E22)</f>
        <v>0</v>
      </c>
      <c r="F23" s="217" t="n">
        <f aca="false">SUM(F13:F22)</f>
        <v>-60895.7804469782</v>
      </c>
      <c r="G23" s="217" t="n">
        <f aca="false">SUM(G13:G22)</f>
        <v>10001.6040755977</v>
      </c>
      <c r="H23" s="217" t="n">
        <f aca="false">SUM(H13:H22)</f>
        <v>1155.57784820888</v>
      </c>
      <c r="I23" s="217" t="n">
        <f aca="false">SUM(I13:I22)</f>
        <v>8020.01932034488</v>
      </c>
      <c r="J23" s="217" t="n">
        <f aca="false">SUM(J13:J22)</f>
        <v>596.832384247845</v>
      </c>
      <c r="K23" s="217" t="n">
        <f aca="false">SUM(K13:K22)</f>
        <v>2968.59662790452</v>
      </c>
      <c r="L23" s="217" t="n">
        <f aca="false">SUM(L13:L22)</f>
        <v>-4435.4048019599</v>
      </c>
      <c r="M23" s="217" t="n">
        <f aca="false">SUM(M13:M22)</f>
        <v>6405.61363829974</v>
      </c>
      <c r="N23" s="217" t="n">
        <f aca="false">SUM(N13:N22)</f>
        <v>6945.25660808636</v>
      </c>
      <c r="O23" s="217" t="n">
        <f aca="false">SUM(O13:O22)</f>
        <v>5464.88678450587</v>
      </c>
      <c r="P23" s="217" t="n">
        <f aca="false">SUM(P13:P22)</f>
        <v>4656.80319187178</v>
      </c>
      <c r="Q23" s="217" t="n">
        <f aca="false">SUM(Q13:Q22)</f>
        <v>5679.54391355836</v>
      </c>
      <c r="R23" s="217" t="n">
        <f aca="false">SUM(R13:R22)</f>
        <v>6158.87222093384</v>
      </c>
      <c r="S23" s="217" t="n">
        <f aca="false">SUM(S13:S22)</f>
        <v>3761.4616196798</v>
      </c>
      <c r="T23" s="217" t="n">
        <f aca="false">SUM(T13:T22)</f>
        <v>2874.53876627575</v>
      </c>
      <c r="U23" s="217" t="n">
        <f aca="false">SUM(U13:U22)</f>
        <v>11352.136949807</v>
      </c>
      <c r="V23" s="217" t="n">
        <f aca="false">SUM(V13:V22)</f>
        <v>4290.86347174274</v>
      </c>
      <c r="W23" s="217" t="n">
        <f aca="false">SUM(W13:W22)</f>
        <v>-1484.65918225298</v>
      </c>
      <c r="X23" s="217" t="n">
        <f aca="false">SUM(X13:X22)</f>
        <v>2764.84295164915</v>
      </c>
      <c r="Y23" s="217" t="n">
        <f aca="false">SUM(Y13:Y22)</f>
        <v>1948.85306710643</v>
      </c>
      <c r="Z23" s="217" t="n">
        <f aca="false">SUM(Z13:Z22)</f>
        <v>2663.1916155003</v>
      </c>
      <c r="AA23" s="217" t="n">
        <f aca="false">SUM(AA13:AA22)</f>
        <v>3264.45899937763</v>
      </c>
      <c r="AB23" s="574" t="n">
        <f aca="false">SUM(E23:AA23)</f>
        <v>24158.1096235076</v>
      </c>
      <c r="AC23" s="574" t="n">
        <f aca="false">SUM(AC13:AC22)</f>
        <v>-37725.7650952919</v>
      </c>
      <c r="AE23" s="666"/>
      <c r="AF23" s="666"/>
      <c r="AG23" s="666"/>
      <c r="AH23" s="666"/>
      <c r="AI23" s="666"/>
      <c r="AJ23" s="666"/>
      <c r="AK23" s="666"/>
      <c r="AL23" s="666"/>
      <c r="AM23" s="666"/>
      <c r="AN23" s="666"/>
      <c r="AO23" s="666"/>
      <c r="AP23" s="666"/>
      <c r="AQ23" s="666"/>
      <c r="AR23" s="666"/>
      <c r="AS23" s="666"/>
      <c r="AT23" s="666"/>
      <c r="AU23" s="666"/>
      <c r="AV23" s="666"/>
      <c r="AW23" s="666"/>
      <c r="AX23" s="666"/>
      <c r="AY23" s="666"/>
      <c r="AZ23" s="666"/>
      <c r="BA23" s="666"/>
      <c r="BB23" s="666"/>
      <c r="BC23" s="666"/>
      <c r="BD23" s="666"/>
      <c r="BE23" s="666"/>
      <c r="BF23" s="666"/>
      <c r="BG23" s="666"/>
      <c r="BH23" s="666"/>
      <c r="BI23" s="666"/>
      <c r="BJ23" s="666"/>
      <c r="BK23" s="666"/>
      <c r="BL23" s="666"/>
      <c r="BM23" s="666"/>
      <c r="BN23" s="666"/>
      <c r="BO23" s="666"/>
      <c r="BP23" s="666"/>
      <c r="BQ23" s="666"/>
      <c r="BR23" s="666"/>
      <c r="BS23" s="666"/>
      <c r="BT23" s="666"/>
      <c r="BU23" s="666"/>
      <c r="BV23" s="666"/>
      <c r="BW23" s="666"/>
      <c r="BX23" s="666"/>
      <c r="BY23" s="666"/>
      <c r="BZ23" s="666"/>
      <c r="CA23" s="666"/>
      <c r="CB23" s="666"/>
      <c r="CC23" s="666"/>
      <c r="CD23" s="666"/>
      <c r="CE23" s="666"/>
      <c r="CF23" s="666"/>
      <c r="CG23" s="666"/>
      <c r="CH23" s="666"/>
      <c r="CI23" s="666"/>
      <c r="CJ23" s="666"/>
      <c r="CK23" s="666"/>
      <c r="CL23" s="666"/>
      <c r="CM23" s="666"/>
      <c r="CN23" s="666"/>
      <c r="CO23" s="666"/>
      <c r="CP23" s="666"/>
      <c r="CQ23" s="666"/>
      <c r="CR23" s="666"/>
      <c r="CS23" s="666"/>
      <c r="CT23" s="666"/>
      <c r="CU23" s="666"/>
      <c r="CV23" s="666"/>
      <c r="CW23" s="666"/>
      <c r="CX23" s="666"/>
      <c r="CY23" s="666"/>
      <c r="CZ23" s="666"/>
      <c r="DA23" s="666"/>
      <c r="DB23" s="666"/>
      <c r="DC23" s="666"/>
      <c r="DD23" s="666"/>
      <c r="DE23" s="666"/>
      <c r="DF23" s="666"/>
      <c r="DG23" s="666"/>
      <c r="DH23" s="666"/>
      <c r="DI23" s="666"/>
      <c r="DJ23" s="666"/>
      <c r="DK23" s="666"/>
      <c r="DL23" s="666"/>
      <c r="DM23" s="666"/>
      <c r="DN23" s="666"/>
      <c r="DO23" s="666"/>
      <c r="DP23" s="666"/>
      <c r="DQ23" s="666"/>
      <c r="DR23" s="666"/>
      <c r="DS23" s="666"/>
      <c r="DT23" s="666"/>
      <c r="DU23" s="666"/>
      <c r="DV23" s="666"/>
      <c r="DW23" s="666"/>
      <c r="DX23" s="666"/>
      <c r="DY23" s="666"/>
      <c r="DZ23" s="666"/>
      <c r="EA23" s="666"/>
      <c r="EB23" s="666"/>
      <c r="EC23" s="666"/>
      <c r="ED23" s="666"/>
      <c r="EE23" s="666"/>
      <c r="EF23" s="666"/>
      <c r="EG23" s="666"/>
      <c r="EH23" s="666"/>
      <c r="EI23" s="666"/>
      <c r="EJ23" s="666"/>
      <c r="EK23" s="666"/>
      <c r="EL23" s="666"/>
      <c r="EM23" s="666"/>
      <c r="EN23" s="666"/>
      <c r="EO23" s="666"/>
      <c r="EP23" s="666"/>
      <c r="EQ23" s="666"/>
      <c r="ER23" s="666"/>
      <c r="ES23" s="666"/>
      <c r="ET23" s="666"/>
      <c r="EU23" s="666"/>
      <c r="EV23" s="666"/>
      <c r="EW23" s="666"/>
      <c r="EX23" s="666"/>
      <c r="EY23" s="666"/>
      <c r="EZ23" s="666"/>
      <c r="FA23" s="666"/>
      <c r="FB23" s="666"/>
      <c r="FC23" s="666"/>
      <c r="FD23" s="666"/>
      <c r="FE23" s="666"/>
      <c r="FF23" s="666"/>
      <c r="FG23" s="666"/>
      <c r="FH23" s="666"/>
      <c r="FI23" s="666"/>
      <c r="FJ23" s="666"/>
      <c r="FK23" s="666"/>
      <c r="FL23" s="666"/>
      <c r="FM23" s="666"/>
      <c r="FN23" s="666"/>
      <c r="FO23" s="666"/>
      <c r="FP23" s="666"/>
      <c r="FQ23" s="666"/>
      <c r="FR23" s="666"/>
      <c r="FS23" s="666"/>
      <c r="FT23" s="666"/>
      <c r="FU23" s="666"/>
      <c r="FV23" s="666"/>
      <c r="FW23" s="666"/>
      <c r="FX23" s="666"/>
      <c r="FY23" s="666"/>
      <c r="FZ23" s="666"/>
      <c r="GA23" s="666"/>
      <c r="GB23" s="666"/>
      <c r="GC23" s="666"/>
      <c r="GD23" s="666"/>
      <c r="GE23" s="666"/>
      <c r="GF23" s="666"/>
      <c r="GG23" s="666"/>
      <c r="GH23" s="666"/>
      <c r="GI23" s="666"/>
      <c r="GJ23" s="666"/>
      <c r="GK23" s="666"/>
      <c r="GL23" s="666"/>
      <c r="GM23" s="666"/>
      <c r="GN23" s="666"/>
      <c r="GO23" s="666"/>
      <c r="GP23" s="666"/>
      <c r="GQ23" s="666"/>
      <c r="GR23" s="666"/>
      <c r="GS23" s="666"/>
      <c r="GT23" s="666"/>
      <c r="GU23" s="666"/>
      <c r="GV23" s="666"/>
      <c r="GW23" s="666"/>
      <c r="GX23" s="666"/>
      <c r="GY23" s="666"/>
      <c r="GZ23" s="666"/>
      <c r="HA23" s="666"/>
      <c r="HB23" s="666"/>
      <c r="HC23" s="666"/>
      <c r="HD23" s="666"/>
      <c r="HE23" s="666"/>
      <c r="HF23" s="666"/>
      <c r="HG23" s="666"/>
      <c r="HH23" s="666"/>
      <c r="HI23" s="666"/>
      <c r="HJ23" s="666"/>
      <c r="HK23" s="666"/>
      <c r="HL23" s="666"/>
      <c r="HM23" s="666"/>
      <c r="HN23" s="666"/>
      <c r="HO23" s="666"/>
      <c r="HP23" s="666"/>
      <c r="HQ23" s="666"/>
      <c r="HR23" s="666"/>
      <c r="HS23" s="666"/>
      <c r="HT23" s="666"/>
      <c r="HU23" s="666"/>
      <c r="HV23" s="666"/>
      <c r="HW23" s="666"/>
      <c r="HX23" s="666"/>
      <c r="HY23" s="666"/>
      <c r="HZ23" s="666"/>
      <c r="IA23" s="666"/>
      <c r="IB23" s="666"/>
      <c r="IC23" s="666"/>
      <c r="ID23" s="666"/>
      <c r="IE23" s="666"/>
      <c r="IF23" s="666"/>
      <c r="IG23" s="666"/>
      <c r="IH23" s="666"/>
      <c r="II23" s="666"/>
      <c r="IJ23" s="666"/>
      <c r="IK23" s="666"/>
      <c r="IL23" s="666"/>
      <c r="IM23" s="666"/>
      <c r="IN23" s="666"/>
      <c r="IO23" s="666"/>
      <c r="IP23" s="666"/>
      <c r="IQ23" s="666"/>
      <c r="IR23" s="666"/>
      <c r="IS23" s="666"/>
      <c r="IT23" s="666"/>
      <c r="IU23" s="666"/>
      <c r="IV23" s="666"/>
      <c r="IW23" s="666"/>
    </row>
    <row r="24" customFormat="false" ht="12.75" hidden="false" customHeight="false" outlineLevel="0" collapsed="false">
      <c r="A24" s="698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574"/>
      <c r="AC24" s="574"/>
      <c r="AE24" s="666"/>
      <c r="AF24" s="666"/>
      <c r="AG24" s="666"/>
      <c r="AH24" s="666"/>
      <c r="AI24" s="666"/>
      <c r="AJ24" s="666"/>
      <c r="AK24" s="666"/>
      <c r="AL24" s="666"/>
      <c r="AM24" s="666"/>
      <c r="AN24" s="666"/>
      <c r="AO24" s="666"/>
      <c r="AP24" s="666"/>
      <c r="AQ24" s="666"/>
      <c r="AR24" s="666"/>
      <c r="AS24" s="666"/>
      <c r="AT24" s="666"/>
      <c r="AU24" s="666"/>
      <c r="AV24" s="666"/>
      <c r="AW24" s="666"/>
      <c r="AX24" s="666"/>
      <c r="AY24" s="666"/>
      <c r="AZ24" s="666"/>
      <c r="BA24" s="666"/>
      <c r="BB24" s="666"/>
      <c r="BC24" s="666"/>
      <c r="BD24" s="666"/>
      <c r="BE24" s="666"/>
      <c r="BF24" s="666"/>
      <c r="BG24" s="666"/>
      <c r="BH24" s="666"/>
      <c r="BI24" s="666"/>
      <c r="BJ24" s="666"/>
      <c r="BK24" s="666"/>
      <c r="BL24" s="666"/>
      <c r="BM24" s="666"/>
      <c r="BN24" s="666"/>
      <c r="BO24" s="666"/>
      <c r="BP24" s="666"/>
      <c r="BQ24" s="666"/>
      <c r="BR24" s="666"/>
      <c r="BS24" s="666"/>
      <c r="BT24" s="666"/>
      <c r="BU24" s="666"/>
      <c r="BV24" s="666"/>
      <c r="BW24" s="666"/>
      <c r="BX24" s="666"/>
      <c r="BY24" s="666"/>
      <c r="BZ24" s="666"/>
      <c r="CA24" s="666"/>
      <c r="CB24" s="666"/>
      <c r="CC24" s="666"/>
      <c r="CD24" s="666"/>
      <c r="CE24" s="666"/>
      <c r="CF24" s="666"/>
      <c r="CG24" s="666"/>
      <c r="CH24" s="666"/>
      <c r="CI24" s="666"/>
      <c r="CJ24" s="666"/>
      <c r="CK24" s="666"/>
      <c r="CL24" s="666"/>
      <c r="CM24" s="666"/>
      <c r="CN24" s="666"/>
      <c r="CO24" s="666"/>
      <c r="CP24" s="666"/>
      <c r="CQ24" s="666"/>
      <c r="CR24" s="666"/>
      <c r="CS24" s="666"/>
      <c r="CT24" s="666"/>
      <c r="CU24" s="666"/>
      <c r="CV24" s="666"/>
      <c r="CW24" s="666"/>
      <c r="CX24" s="666"/>
      <c r="CY24" s="666"/>
      <c r="CZ24" s="666"/>
      <c r="DA24" s="666"/>
      <c r="DB24" s="666"/>
      <c r="DC24" s="666"/>
      <c r="DD24" s="666"/>
      <c r="DE24" s="666"/>
      <c r="DF24" s="666"/>
      <c r="DG24" s="666"/>
      <c r="DH24" s="666"/>
      <c r="DI24" s="666"/>
      <c r="DJ24" s="666"/>
      <c r="DK24" s="666"/>
      <c r="DL24" s="666"/>
      <c r="DM24" s="666"/>
      <c r="DN24" s="666"/>
      <c r="DO24" s="666"/>
      <c r="DP24" s="666"/>
      <c r="DQ24" s="666"/>
      <c r="DR24" s="666"/>
      <c r="DS24" s="666"/>
      <c r="DT24" s="666"/>
      <c r="DU24" s="666"/>
      <c r="DV24" s="666"/>
      <c r="DW24" s="666"/>
      <c r="DX24" s="666"/>
      <c r="DY24" s="666"/>
      <c r="DZ24" s="666"/>
      <c r="EA24" s="666"/>
      <c r="EB24" s="666"/>
      <c r="EC24" s="666"/>
      <c r="ED24" s="666"/>
      <c r="EE24" s="666"/>
      <c r="EF24" s="666"/>
      <c r="EG24" s="666"/>
      <c r="EH24" s="666"/>
      <c r="EI24" s="666"/>
      <c r="EJ24" s="666"/>
      <c r="EK24" s="666"/>
      <c r="EL24" s="666"/>
      <c r="EM24" s="666"/>
      <c r="EN24" s="666"/>
      <c r="EO24" s="666"/>
      <c r="EP24" s="666"/>
      <c r="EQ24" s="666"/>
      <c r="ER24" s="666"/>
      <c r="ES24" s="666"/>
      <c r="ET24" s="666"/>
      <c r="EU24" s="666"/>
      <c r="EV24" s="666"/>
      <c r="EW24" s="666"/>
      <c r="EX24" s="666"/>
      <c r="EY24" s="666"/>
      <c r="EZ24" s="666"/>
      <c r="FA24" s="666"/>
      <c r="FB24" s="666"/>
      <c r="FC24" s="666"/>
      <c r="FD24" s="666"/>
      <c r="FE24" s="666"/>
      <c r="FF24" s="666"/>
      <c r="FG24" s="666"/>
      <c r="FH24" s="666"/>
      <c r="FI24" s="666"/>
      <c r="FJ24" s="666"/>
      <c r="FK24" s="666"/>
      <c r="FL24" s="666"/>
      <c r="FM24" s="666"/>
      <c r="FN24" s="666"/>
      <c r="FO24" s="666"/>
      <c r="FP24" s="666"/>
      <c r="FQ24" s="666"/>
      <c r="FR24" s="666"/>
      <c r="FS24" s="666"/>
      <c r="FT24" s="666"/>
      <c r="FU24" s="666"/>
      <c r="FV24" s="666"/>
      <c r="FW24" s="666"/>
      <c r="FX24" s="666"/>
      <c r="FY24" s="666"/>
      <c r="FZ24" s="666"/>
      <c r="GA24" s="666"/>
      <c r="GB24" s="666"/>
      <c r="GC24" s="666"/>
      <c r="GD24" s="666"/>
      <c r="GE24" s="666"/>
      <c r="GF24" s="666"/>
      <c r="GG24" s="666"/>
      <c r="GH24" s="666"/>
      <c r="GI24" s="666"/>
      <c r="GJ24" s="666"/>
      <c r="GK24" s="666"/>
      <c r="GL24" s="666"/>
      <c r="GM24" s="666"/>
      <c r="GN24" s="666"/>
      <c r="GO24" s="666"/>
      <c r="GP24" s="666"/>
      <c r="GQ24" s="666"/>
      <c r="GR24" s="666"/>
      <c r="GS24" s="666"/>
      <c r="GT24" s="666"/>
      <c r="GU24" s="666"/>
      <c r="GV24" s="666"/>
      <c r="GW24" s="666"/>
      <c r="GX24" s="666"/>
      <c r="GY24" s="666"/>
      <c r="GZ24" s="666"/>
      <c r="HA24" s="666"/>
      <c r="HB24" s="666"/>
      <c r="HC24" s="666"/>
      <c r="HD24" s="666"/>
      <c r="HE24" s="666"/>
      <c r="HF24" s="666"/>
      <c r="HG24" s="666"/>
      <c r="HH24" s="666"/>
      <c r="HI24" s="666"/>
      <c r="HJ24" s="666"/>
      <c r="HK24" s="666"/>
      <c r="HL24" s="666"/>
      <c r="HM24" s="666"/>
      <c r="HN24" s="666"/>
      <c r="HO24" s="666"/>
      <c r="HP24" s="666"/>
      <c r="HQ24" s="666"/>
      <c r="HR24" s="666"/>
      <c r="HS24" s="666"/>
      <c r="HT24" s="666"/>
      <c r="HU24" s="666"/>
      <c r="HV24" s="666"/>
      <c r="HW24" s="666"/>
      <c r="HX24" s="666"/>
      <c r="HY24" s="666"/>
      <c r="HZ24" s="666"/>
      <c r="IA24" s="666"/>
      <c r="IB24" s="666"/>
      <c r="IC24" s="666"/>
      <c r="ID24" s="666"/>
      <c r="IE24" s="666"/>
      <c r="IF24" s="666"/>
      <c r="IG24" s="666"/>
      <c r="IH24" s="666"/>
      <c r="II24" s="666"/>
      <c r="IJ24" s="666"/>
      <c r="IK24" s="666"/>
      <c r="IL24" s="666"/>
      <c r="IM24" s="666"/>
      <c r="IN24" s="666"/>
      <c r="IO24" s="666"/>
      <c r="IP24" s="666"/>
      <c r="IQ24" s="666"/>
      <c r="IR24" s="666"/>
      <c r="IS24" s="666"/>
      <c r="IT24" s="666"/>
      <c r="IU24" s="666"/>
      <c r="IV24" s="666"/>
      <c r="IW24" s="666"/>
    </row>
    <row r="25" customFormat="false" ht="12.75" hidden="false" customHeight="false" outlineLevel="0" collapsed="false">
      <c r="A25" s="37"/>
      <c r="B25" s="38" t="s">
        <v>899</v>
      </c>
      <c r="E25" s="645" t="n">
        <f aca="false">$E23</f>
        <v>0</v>
      </c>
      <c r="F25" s="645" t="n">
        <f aca="false">IF('Project &amp; Investor Returns'!$I$3=0,$F23,$E23+NPV(Disc,$F23:F23))</f>
        <v>-60895.7804469782</v>
      </c>
      <c r="G25" s="217" t="n">
        <f aca="false">IF('Project &amp; Investor Returns'!$I$3=0,$F23+NPV(Disc,$G23:G23),$E23+NPV(Disc,$F23:G23))</f>
        <v>-52491.0711397532</v>
      </c>
      <c r="H25" s="217" t="n">
        <f aca="false">IF('Project &amp; Investor Returns'!$I$3=0,$F23+NPV(Disc,$G23:H23),$E23+NPV(Disc,$F23:H23))</f>
        <v>-51675.0427178841</v>
      </c>
      <c r="I25" s="217" t="n">
        <f aca="false">IF('Project &amp; Investor Returns'!$I$3=0,$F23+NPV(Disc,$G23:I23),$E23+NPV(Disc,$F23:I23))</f>
        <v>-46915.8364231992</v>
      </c>
      <c r="J25" s="217" t="n">
        <f aca="false">IF('Project &amp; Investor Returns'!$I$3=0,$F23+NPV(Disc,$G23:J23),$E23+NPV(Disc,$F23:J23))</f>
        <v>-46618.2147633465</v>
      </c>
      <c r="K25" s="217" t="n">
        <f aca="false">IF('Project &amp; Investor Returns'!$I$3=0,$F23+NPV(Disc,$G23:K23),$E23+NPV(Disc,$F23:K23))</f>
        <v>-45374.2262138752</v>
      </c>
      <c r="L25" s="217" t="n">
        <f aca="false">IF('Project &amp; Investor Returns'!$I$3=0,$F23+NPV(Disc,$G23:L23),$E23+NPV(Disc,$F23:L23))</f>
        <v>-46936.1199887371</v>
      </c>
      <c r="M25" s="217" t="n">
        <f aca="false">IF('Project &amp; Investor Returns'!$I$3=0,$F23+NPV(Disc,$G23:M23),$E23+NPV(Disc,$F23:M23))</f>
        <v>-45040.5841045788</v>
      </c>
      <c r="N25" s="217" t="n">
        <f aca="false">IF('Project &amp; Investor Returns'!$I$3=0,$F23+NPV(Disc,$G23:N23),$E23+NPV(Disc,$F23:N23))</f>
        <v>-43313.5035070963</v>
      </c>
      <c r="O25" s="217" t="n">
        <f aca="false">IF('Project &amp; Investor Returns'!$I$3=0,$F23+NPV(Disc,$G23:O23),$E23+NPV(Disc,$F23:O23))</f>
        <v>-42171.5234581168</v>
      </c>
      <c r="P25" s="217" t="n">
        <f aca="false">IF('Project &amp; Investor Returns'!$I$3=0,$F23+NPV(Disc,$G23:P23),$E23+NPV(Disc,$F23:P23))</f>
        <v>-41353.7777564235</v>
      </c>
      <c r="Q25" s="217" t="n">
        <f aca="false">IF('Project &amp; Investor Returns'!$I$3=0,$F23+NPV(Disc,$G23:Q23),$E23+NPV(Disc,$F23:Q23))</f>
        <v>-40515.6757381758</v>
      </c>
      <c r="R25" s="217" t="n">
        <f aca="false">IF('Project &amp; Investor Returns'!$I$3=0,$F23+NPV(Disc,$G23:R23),$E23+NPV(Disc,$F23:R23))</f>
        <v>-39751.9495952285</v>
      </c>
      <c r="S25" s="217" t="n">
        <f aca="false">IF('Project &amp; Investor Returns'!$I$3=0,$F23+NPV(Disc,$G23:S23),$E23+NPV(Disc,$F23:S23))</f>
        <v>-39359.9856351918</v>
      </c>
      <c r="T25" s="217" t="n">
        <f aca="false">IF('Project &amp; Investor Returns'!$I$3=0,$F23+NPV(Disc,$G23:T23),$E23+NPV(Disc,$F23:T23))</f>
        <v>-39108.2696997188</v>
      </c>
      <c r="U25" s="217" t="n">
        <f aca="false">IF('Project &amp; Investor Returns'!$I$3=0,$F23+NPV(Disc,$G23:U23),$E23+NPV(Disc,$F23:U23))</f>
        <v>-38272.9106134436</v>
      </c>
      <c r="V25" s="217" t="n">
        <f aca="false">IF('Project &amp; Investor Returns'!$I$3=0,$F23+NPV(Disc,$G23:V23),$E23+NPV(Disc,$F23:V23))</f>
        <v>-38007.5763631214</v>
      </c>
      <c r="W25" s="217" t="n">
        <f aca="false">IF('Project &amp; Investor Returns'!$I$3=0,$F23+NPV(Disc,$G23:W23),$E23+NPV(Disc,$F23:W23))</f>
        <v>-38084.7250298335</v>
      </c>
      <c r="X25" s="217" t="n">
        <f aca="false">IF('Project &amp; Investor Returns'!$I$3=0,$F23+NPV(Disc,$G23:X23),$E23+NPV(Disc,$F23:X23))</f>
        <v>-37963.9922604853</v>
      </c>
      <c r="Y25" s="217" t="n">
        <f aca="false">IF('Project &amp; Investor Returns'!$I$3=0,$F23+NPV(Disc,$G23:Y23),$E23+NPV(Disc,$F23:Y23))</f>
        <v>-37892.4789586209</v>
      </c>
      <c r="Z25" s="217" t="n">
        <f aca="false">IF('Project &amp; Investor Returns'!$I$3=0,$F23+NPV(Disc,$G23:Z23),$E23+NPV(Disc,$F23:Z23))</f>
        <v>-37810.3562647651</v>
      </c>
      <c r="AA25" s="217" t="n">
        <f aca="false">IF('Project &amp; Investor Returns'!$I$3=0,$F23+NPV(Disc,$G23:AA23),$E23+NPV(Disc,$F23:AA23))</f>
        <v>-37725.7650952919</v>
      </c>
      <c r="AB25" s="640"/>
      <c r="AC25" s="574" t="n">
        <f aca="false">AC23</f>
        <v>-37725.7650952919</v>
      </c>
    </row>
    <row r="26" customFormat="false" ht="12.75" hidden="false" customHeight="false" outlineLevel="0" collapsed="false">
      <c r="A26" s="37"/>
      <c r="B26" s="38" t="s">
        <v>900</v>
      </c>
      <c r="E26" s="260" t="e">
        <f aca="false">IRR($E23:E23,-0.9)</f>
        <v>#N/A</v>
      </c>
      <c r="F26" s="260" t="e">
        <f aca="false">IRR($E23:F23,-0.9)</f>
        <v>#N/A</v>
      </c>
      <c r="G26" s="260" t="n">
        <f aca="false">IRR($E23:G23,-0.9)</f>
        <v>-0.835758668298772</v>
      </c>
      <c r="H26" s="260" t="n">
        <f aca="false">IRR($E23:H23,-0.9)</f>
        <v>-0.757504385102134</v>
      </c>
      <c r="I26" s="260" t="n">
        <f aca="false">IRR($E23:I23,-0.9)</f>
        <v>-0.416466108023269</v>
      </c>
      <c r="J26" s="260" t="n">
        <f aca="false">IRR($E23:J23,-0.9)</f>
        <v>-0.397155031894863</v>
      </c>
      <c r="K26" s="260" t="n">
        <f aca="false">IRR($E23:K23,-0.9)</f>
        <v>-0.302660466619256</v>
      </c>
      <c r="L26" s="260" t="e">
        <f aca="false">IRR($E23:L23,-0.9)</f>
        <v>#N/A</v>
      </c>
      <c r="M26" s="260" t="e">
        <f aca="false">IRR($E23:M23,-0.9)</f>
        <v>#N/A</v>
      </c>
      <c r="N26" s="260" t="e">
        <f aca="false">IRR($E23:N23,-0.9)</f>
        <v>#N/A</v>
      </c>
      <c r="O26" s="260" t="e">
        <f aca="false">IRR($E23:O23,-0.9)</f>
        <v>#N/A</v>
      </c>
      <c r="P26" s="260" t="e">
        <f aca="false">IRR($E23:P23,-0.9)</f>
        <v>#N/A</v>
      </c>
      <c r="Q26" s="260" t="e">
        <f aca="false">IRR($E23:Q23,-0.9)</f>
        <v>#N/A</v>
      </c>
      <c r="R26" s="260" t="e">
        <f aca="false">IRR($E23:R23,-0.9)</f>
        <v>#N/A</v>
      </c>
      <c r="S26" s="260" t="e">
        <f aca="false">IRR($E23:S23,-0.9)</f>
        <v>#N/A</v>
      </c>
      <c r="T26" s="260" t="e">
        <f aca="false">IRR($E23:T23,-0.9)</f>
        <v>#N/A</v>
      </c>
      <c r="U26" s="260" t="e">
        <f aca="false">IRR($E23:U23,-0.9)</f>
        <v>#N/A</v>
      </c>
      <c r="V26" s="260" t="e">
        <f aca="false">IRR($E23:V23,-0.9)</f>
        <v>#N/A</v>
      </c>
      <c r="W26" s="260" t="e">
        <f aca="false">IRR($E23:W23,-0.9)</f>
        <v>#N/A</v>
      </c>
      <c r="X26" s="260" t="e">
        <f aca="false">IRR($E23:X23,-0.9)</f>
        <v>#N/A</v>
      </c>
      <c r="Y26" s="260" t="e">
        <f aca="false">IRR($E23:Y23,-0.9)</f>
        <v>#N/A</v>
      </c>
      <c r="Z26" s="260" t="e">
        <f aca="false">IRR($E23:Z23,-0.9)</f>
        <v>#N/A</v>
      </c>
      <c r="AA26" s="260" t="e">
        <f aca="false">IRR($E23:AA23,-0.9)</f>
        <v>#N/A</v>
      </c>
      <c r="AB26" s="638"/>
      <c r="AC26" s="646" t="e">
        <f aca="false">IRR(E23:AA23,-0.9)</f>
        <v>#N/A</v>
      </c>
    </row>
    <row r="27" customFormat="false" ht="12.75" hidden="false" customHeight="true" outlineLevel="0" collapsed="false">
      <c r="A27" s="37"/>
      <c r="E27" s="637"/>
      <c r="F27" s="637"/>
      <c r="G27" s="637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  <c r="T27" s="637"/>
      <c r="U27" s="637"/>
      <c r="V27" s="637"/>
      <c r="W27" s="637"/>
      <c r="X27" s="637"/>
      <c r="Y27" s="637"/>
      <c r="Z27" s="637"/>
      <c r="AA27" s="637"/>
      <c r="AB27" s="638"/>
      <c r="AC27" s="555"/>
    </row>
    <row r="28" customFormat="false" ht="12.75" hidden="false" customHeight="false" outlineLevel="0" collapsed="false">
      <c r="A28" s="37"/>
      <c r="B28" s="647" t="str">
        <f aca="false">CONCATENATE("Enron NPV @ ",TEXT(Disc,"0.0%"))</f>
        <v>Enron NPV @ 19.0%</v>
      </c>
      <c r="C28" s="648" t="n">
        <f aca="false">AC25</f>
        <v>-37725.7650952919</v>
      </c>
      <c r="F28" s="649"/>
      <c r="G28" s="649"/>
      <c r="H28" s="649"/>
      <c r="I28" s="649"/>
      <c r="J28" s="649"/>
      <c r="K28" s="649"/>
      <c r="L28" s="649"/>
      <c r="M28" s="649"/>
      <c r="N28" s="649"/>
      <c r="O28" s="649"/>
      <c r="P28" s="649"/>
      <c r="Q28" s="649"/>
      <c r="R28" s="649"/>
      <c r="S28" s="649"/>
      <c r="T28" s="649"/>
      <c r="U28" s="649"/>
      <c r="V28" s="649"/>
      <c r="W28" s="649"/>
      <c r="X28" s="649"/>
      <c r="Y28" s="649"/>
      <c r="Z28" s="649"/>
      <c r="AA28" s="649"/>
      <c r="AB28" s="638"/>
      <c r="AC28" s="555"/>
    </row>
    <row r="29" customFormat="false" ht="12.75" hidden="false" customHeight="false" outlineLevel="0" collapsed="false">
      <c r="A29" s="37"/>
      <c r="B29" s="650" t="s">
        <v>916</v>
      </c>
      <c r="C29" s="651" t="e">
        <f aca="false">AC26</f>
        <v>#N/A</v>
      </c>
      <c r="F29" s="649"/>
      <c r="G29" s="649"/>
      <c r="H29" s="649"/>
      <c r="I29" s="649"/>
      <c r="J29" s="649"/>
      <c r="K29" s="649"/>
      <c r="L29" s="649"/>
      <c r="M29" s="649"/>
      <c r="N29" s="649"/>
      <c r="O29" s="649"/>
      <c r="P29" s="649"/>
      <c r="Q29" s="649"/>
      <c r="R29" s="649"/>
      <c r="S29" s="649"/>
      <c r="T29" s="649"/>
      <c r="U29" s="649"/>
      <c r="V29" s="649"/>
      <c r="W29" s="649"/>
      <c r="X29" s="649"/>
      <c r="Y29" s="649"/>
      <c r="Z29" s="649"/>
      <c r="AA29" s="649"/>
      <c r="AB29" s="638"/>
      <c r="AC29" s="555"/>
    </row>
    <row r="30" customFormat="false" ht="12.75" hidden="false" customHeight="false" outlineLevel="0" collapsed="false">
      <c r="A30" s="563"/>
      <c r="B30" s="662" t="s">
        <v>890</v>
      </c>
      <c r="C30" s="699" t="n">
        <f aca="false">MAX(E30:AA30)</f>
        <v>0</v>
      </c>
      <c r="D30" s="464"/>
      <c r="E30" s="700" t="n">
        <f aca="false">IF(AND(E25&gt;0,D25&lt;0),E$6,0)</f>
        <v>0</v>
      </c>
      <c r="F30" s="700" t="n">
        <f aca="false">IF(AND(F25&gt;0,E25&lt;0),F$6,0)</f>
        <v>0</v>
      </c>
      <c r="G30" s="700" t="n">
        <f aca="false">IF(AND(G25&gt;0,F25&lt;0),G$6,0)</f>
        <v>0</v>
      </c>
      <c r="H30" s="700" t="n">
        <f aca="false">IF(AND(H25&gt;0,G25&lt;0),H$6,0)</f>
        <v>0</v>
      </c>
      <c r="I30" s="700" t="n">
        <f aca="false">IF(AND(I25&gt;0,H25&lt;0),I$6,0)</f>
        <v>0</v>
      </c>
      <c r="J30" s="700" t="n">
        <f aca="false">IF(AND(J25&gt;0,I25&lt;0),J$6,0)</f>
        <v>0</v>
      </c>
      <c r="K30" s="700" t="n">
        <f aca="false">IF(AND(K25&gt;0,J25&lt;0),K$6,0)</f>
        <v>0</v>
      </c>
      <c r="L30" s="700" t="n">
        <f aca="false">IF(AND(L25&gt;0,K25&lt;0),L$6,0)</f>
        <v>0</v>
      </c>
      <c r="M30" s="700" t="n">
        <f aca="false">IF(AND(M25&gt;0,L25&lt;0),M$6,0)</f>
        <v>0</v>
      </c>
      <c r="N30" s="700" t="n">
        <f aca="false">IF(AND(N25&gt;0,M25&lt;0),N$6,0)</f>
        <v>0</v>
      </c>
      <c r="O30" s="700" t="n">
        <f aca="false">IF(AND(O25&gt;0,N25&lt;0),O$6,0)</f>
        <v>0</v>
      </c>
      <c r="P30" s="700" t="n">
        <f aca="false">IF(AND(P25&gt;0,O25&lt;0),P$6,0)</f>
        <v>0</v>
      </c>
      <c r="Q30" s="700" t="n">
        <f aca="false">IF(AND(Q25&gt;0,P25&lt;0),Q$6,0)</f>
        <v>0</v>
      </c>
      <c r="R30" s="700" t="n">
        <f aca="false">IF(AND(R25&gt;0,Q25&lt;0),R$6,0)</f>
        <v>0</v>
      </c>
      <c r="S30" s="700" t="n">
        <f aca="false">IF(AND(S25&gt;0,R25&lt;0),S$6,0)</f>
        <v>0</v>
      </c>
      <c r="T30" s="700" t="n">
        <f aca="false">IF(AND(T25&gt;0,S25&lt;0),T$6,0)</f>
        <v>0</v>
      </c>
      <c r="U30" s="700" t="n">
        <f aca="false">IF(AND(U25&gt;0,T25&lt;0),U$6,0)</f>
        <v>0</v>
      </c>
      <c r="V30" s="700" t="n">
        <f aca="false">IF(AND(V25&gt;0,U25&lt;0),V$6,0)</f>
        <v>0</v>
      </c>
      <c r="W30" s="700" t="n">
        <f aca="false">IF(AND(W25&gt;0,V25&lt;0),W$6,0)</f>
        <v>0</v>
      </c>
      <c r="X30" s="700" t="n">
        <f aca="false">IF(AND(X25&gt;0,W25&lt;0),X$6,0)</f>
        <v>0</v>
      </c>
      <c r="Y30" s="700" t="n">
        <f aca="false">IF(AND(Y25&gt;0,X25&lt;0),Y$6,0)</f>
        <v>0</v>
      </c>
      <c r="Z30" s="700" t="n">
        <f aca="false">IF(AND(Z25&gt;0,Y25&lt;0),Z$6,0)</f>
        <v>0</v>
      </c>
      <c r="AA30" s="700" t="n">
        <f aca="false">IF(AND(AA25&gt;0,Z25&lt;0),AA$6,0)</f>
        <v>0</v>
      </c>
      <c r="AB30" s="701"/>
      <c r="AC30" s="665"/>
    </row>
    <row r="31" customFormat="false" ht="12.75" hidden="false" customHeight="false" outlineLevel="0" collapsed="false">
      <c r="A31" s="37"/>
      <c r="E31" s="637"/>
      <c r="F31" s="637"/>
      <c r="G31" s="637"/>
      <c r="H31" s="637"/>
      <c r="I31" s="637"/>
      <c r="J31" s="637"/>
      <c r="K31" s="637"/>
      <c r="L31" s="637"/>
      <c r="M31" s="637"/>
      <c r="N31" s="637"/>
      <c r="O31" s="637"/>
      <c r="P31" s="637"/>
      <c r="Q31" s="637"/>
      <c r="R31" s="637"/>
      <c r="S31" s="637"/>
      <c r="T31" s="637"/>
      <c r="U31" s="637"/>
      <c r="V31" s="637"/>
      <c r="W31" s="637"/>
      <c r="X31" s="637"/>
      <c r="Y31" s="637"/>
      <c r="Z31" s="637"/>
      <c r="AA31" s="637"/>
      <c r="AB31" s="638"/>
      <c r="AC31" s="555"/>
    </row>
    <row r="32" customFormat="false" ht="12.75" hidden="false" customHeight="false" outlineLevel="0" collapsed="false">
      <c r="A32" s="698"/>
      <c r="B32" s="38" t="s">
        <v>917</v>
      </c>
      <c r="E32" s="217" t="n">
        <f aca="false">E23</f>
        <v>0</v>
      </c>
      <c r="F32" s="217" t="n">
        <f aca="false">F23</f>
        <v>-60895.7804469782</v>
      </c>
      <c r="G32" s="217" t="n">
        <f aca="false">G23</f>
        <v>10001.6040755977</v>
      </c>
      <c r="H32" s="217" t="n">
        <f aca="false">H23</f>
        <v>1155.57784820888</v>
      </c>
      <c r="I32" s="217" t="n">
        <f aca="false">I23</f>
        <v>8020.01932034488</v>
      </c>
      <c r="J32" s="217" t="n">
        <f aca="false">J23</f>
        <v>596.832384247845</v>
      </c>
      <c r="K32" s="217" t="n">
        <f aca="false">K23</f>
        <v>2968.59662790452</v>
      </c>
      <c r="L32" s="217" t="n">
        <f aca="false">L23</f>
        <v>-4435.4048019599</v>
      </c>
      <c r="M32" s="217" t="n">
        <f aca="false">M23</f>
        <v>6405.61363829974</v>
      </c>
      <c r="N32" s="217" t="n">
        <f aca="false">N23</f>
        <v>6945.25660808636</v>
      </c>
      <c r="O32" s="217" t="n">
        <f aca="false">O23</f>
        <v>5464.88678450587</v>
      </c>
      <c r="P32" s="217" t="n">
        <f aca="false">P23</f>
        <v>4656.80319187178</v>
      </c>
      <c r="Q32" s="217" t="n">
        <f aca="false">Q23</f>
        <v>5679.54391355836</v>
      </c>
      <c r="R32" s="217" t="n">
        <f aca="false">R23</f>
        <v>6158.87222093384</v>
      </c>
      <c r="S32" s="217" t="n">
        <f aca="false">S23</f>
        <v>3761.4616196798</v>
      </c>
      <c r="T32" s="217" t="n">
        <f aca="false">T23</f>
        <v>2874.53876627575</v>
      </c>
      <c r="U32" s="217" t="n">
        <f aca="false">U23</f>
        <v>11352.136949807</v>
      </c>
      <c r="V32" s="217" t="n">
        <f aca="false">V23</f>
        <v>4290.86347174274</v>
      </c>
      <c r="W32" s="217" t="n">
        <f aca="false">W23</f>
        <v>-1484.65918225298</v>
      </c>
      <c r="X32" s="217" t="n">
        <f aca="false">X23</f>
        <v>2764.84295164915</v>
      </c>
      <c r="Y32" s="217" t="n">
        <f aca="false">Y23</f>
        <v>1948.85306710643</v>
      </c>
      <c r="Z32" s="217" t="n">
        <f aca="false">Z23</f>
        <v>2663.1916155003</v>
      </c>
      <c r="AA32" s="217" t="n">
        <f aca="false">AA23</f>
        <v>3264.45899937763</v>
      </c>
      <c r="AB32" s="574" t="n">
        <f aca="false">SUM(E32:AA32)</f>
        <v>24158.1096235076</v>
      </c>
      <c r="AC32" s="641" t="n">
        <f aca="false">IF('Project &amp; Investor Returns'!$I$3=0,F32+NPV(Disc,G32:AA32),E32+NPV(Disc,F32:AA32))</f>
        <v>-37725.7650952919</v>
      </c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666"/>
      <c r="BH32" s="666"/>
      <c r="BI32" s="666"/>
      <c r="BJ32" s="666"/>
      <c r="BK32" s="666"/>
      <c r="BL32" s="666"/>
      <c r="BM32" s="666"/>
      <c r="BN32" s="666"/>
      <c r="BO32" s="666"/>
      <c r="BP32" s="666"/>
      <c r="BQ32" s="666"/>
      <c r="BR32" s="666"/>
      <c r="BS32" s="666"/>
      <c r="BT32" s="666"/>
      <c r="BU32" s="666"/>
      <c r="BV32" s="666"/>
      <c r="BW32" s="666"/>
      <c r="BX32" s="666"/>
      <c r="BY32" s="666"/>
      <c r="BZ32" s="666"/>
      <c r="CA32" s="666"/>
      <c r="CB32" s="666"/>
      <c r="CC32" s="666"/>
      <c r="CD32" s="666"/>
      <c r="CE32" s="666"/>
      <c r="CF32" s="666"/>
      <c r="CG32" s="666"/>
      <c r="CH32" s="666"/>
      <c r="CI32" s="666"/>
      <c r="CJ32" s="666"/>
      <c r="CK32" s="666"/>
      <c r="CL32" s="666"/>
      <c r="CM32" s="666"/>
      <c r="CN32" s="666"/>
      <c r="CO32" s="666"/>
      <c r="CP32" s="666"/>
      <c r="CQ32" s="666"/>
      <c r="CR32" s="666"/>
      <c r="CS32" s="666"/>
      <c r="CT32" s="666"/>
      <c r="CU32" s="666"/>
      <c r="CV32" s="666"/>
      <c r="CW32" s="666"/>
      <c r="CX32" s="666"/>
      <c r="CY32" s="666"/>
      <c r="CZ32" s="666"/>
      <c r="DA32" s="666"/>
      <c r="DB32" s="666"/>
      <c r="DC32" s="666"/>
      <c r="DD32" s="666"/>
      <c r="DE32" s="666"/>
      <c r="DF32" s="666"/>
      <c r="DG32" s="666"/>
      <c r="DH32" s="666"/>
      <c r="DI32" s="666"/>
      <c r="DJ32" s="666"/>
      <c r="DK32" s="666"/>
      <c r="DL32" s="666"/>
      <c r="DM32" s="666"/>
      <c r="DN32" s="666"/>
      <c r="DO32" s="666"/>
      <c r="DP32" s="666"/>
      <c r="DQ32" s="666"/>
      <c r="DR32" s="666"/>
      <c r="DS32" s="666"/>
      <c r="DT32" s="666"/>
      <c r="DU32" s="666"/>
      <c r="DV32" s="666"/>
      <c r="DW32" s="666"/>
      <c r="DX32" s="666"/>
      <c r="DY32" s="666"/>
      <c r="DZ32" s="666"/>
      <c r="EA32" s="666"/>
      <c r="EB32" s="666"/>
      <c r="EC32" s="666"/>
      <c r="ED32" s="666"/>
      <c r="EE32" s="666"/>
      <c r="EF32" s="666"/>
      <c r="EG32" s="666"/>
      <c r="EH32" s="666"/>
      <c r="EI32" s="666"/>
      <c r="EJ32" s="666"/>
      <c r="EK32" s="666"/>
      <c r="EL32" s="666"/>
      <c r="EM32" s="666"/>
      <c r="EN32" s="666"/>
      <c r="EO32" s="666"/>
      <c r="EP32" s="666"/>
      <c r="EQ32" s="666"/>
      <c r="ER32" s="666"/>
      <c r="ES32" s="666"/>
      <c r="ET32" s="666"/>
      <c r="EU32" s="666"/>
      <c r="EV32" s="666"/>
      <c r="EW32" s="666"/>
      <c r="EX32" s="666"/>
      <c r="EY32" s="666"/>
      <c r="EZ32" s="666"/>
      <c r="FA32" s="666"/>
      <c r="FB32" s="666"/>
      <c r="FC32" s="666"/>
      <c r="FD32" s="666"/>
      <c r="FE32" s="666"/>
      <c r="FF32" s="666"/>
      <c r="FG32" s="666"/>
      <c r="FH32" s="666"/>
      <c r="FI32" s="666"/>
      <c r="FJ32" s="666"/>
      <c r="FK32" s="666"/>
      <c r="FL32" s="666"/>
      <c r="FM32" s="666"/>
      <c r="FN32" s="666"/>
      <c r="FO32" s="666"/>
      <c r="FP32" s="666"/>
      <c r="FQ32" s="666"/>
      <c r="FR32" s="666"/>
      <c r="FS32" s="666"/>
      <c r="FT32" s="666"/>
      <c r="FU32" s="666"/>
      <c r="FV32" s="666"/>
      <c r="FW32" s="666"/>
      <c r="FX32" s="666"/>
      <c r="FY32" s="666"/>
      <c r="FZ32" s="666"/>
      <c r="GA32" s="666"/>
      <c r="GB32" s="666"/>
      <c r="GC32" s="666"/>
      <c r="GD32" s="666"/>
      <c r="GE32" s="666"/>
      <c r="GF32" s="666"/>
      <c r="GG32" s="666"/>
      <c r="GH32" s="666"/>
      <c r="GI32" s="666"/>
      <c r="GJ32" s="666"/>
      <c r="GK32" s="666"/>
      <c r="GL32" s="666"/>
      <c r="GM32" s="666"/>
      <c r="GN32" s="666"/>
      <c r="GO32" s="666"/>
      <c r="GP32" s="666"/>
      <c r="GQ32" s="666"/>
      <c r="GR32" s="666"/>
      <c r="GS32" s="666"/>
      <c r="GT32" s="666"/>
      <c r="GU32" s="666"/>
      <c r="GV32" s="666"/>
      <c r="GW32" s="666"/>
      <c r="GX32" s="666"/>
      <c r="GY32" s="666"/>
      <c r="GZ32" s="666"/>
      <c r="HA32" s="666"/>
      <c r="HB32" s="666"/>
      <c r="HC32" s="666"/>
      <c r="HD32" s="666"/>
      <c r="HE32" s="666"/>
      <c r="HF32" s="666"/>
      <c r="HG32" s="666"/>
      <c r="HH32" s="666"/>
      <c r="HI32" s="666"/>
      <c r="HJ32" s="666"/>
      <c r="HK32" s="666"/>
      <c r="HL32" s="666"/>
      <c r="HM32" s="666"/>
      <c r="HN32" s="666"/>
      <c r="HO32" s="666"/>
      <c r="HP32" s="666"/>
      <c r="HQ32" s="666"/>
      <c r="HR32" s="666"/>
      <c r="HS32" s="666"/>
      <c r="HT32" s="666"/>
      <c r="HU32" s="666"/>
      <c r="HV32" s="666"/>
      <c r="HW32" s="666"/>
      <c r="HX32" s="666"/>
      <c r="HY32" s="666"/>
      <c r="HZ32" s="666"/>
      <c r="IA32" s="666"/>
      <c r="IB32" s="666"/>
      <c r="IC32" s="666"/>
      <c r="ID32" s="666"/>
      <c r="IE32" s="666"/>
      <c r="IF32" s="666"/>
      <c r="IG32" s="666"/>
      <c r="IH32" s="666"/>
      <c r="II32" s="666"/>
      <c r="IJ32" s="666"/>
      <c r="IK32" s="666"/>
      <c r="IL32" s="666"/>
      <c r="IM32" s="666"/>
      <c r="IN32" s="666"/>
      <c r="IO32" s="666"/>
      <c r="IP32" s="666"/>
      <c r="IQ32" s="666"/>
      <c r="IR32" s="666"/>
      <c r="IS32" s="666"/>
      <c r="IT32" s="666"/>
      <c r="IU32" s="666"/>
      <c r="IV32" s="666"/>
      <c r="IW32" s="666"/>
    </row>
    <row r="33" customFormat="false" ht="12.75" hidden="false" customHeight="false" outlineLevel="0" collapsed="false">
      <c r="A33" s="687"/>
      <c r="B33" s="682" t="s">
        <v>918</v>
      </c>
      <c r="C33" s="682"/>
      <c r="D33" s="689" t="s">
        <v>341</v>
      </c>
      <c r="E33" s="683" t="n">
        <f aca="false">-PLRisk!E35</f>
        <v>-0</v>
      </c>
      <c r="F33" s="683" t="n">
        <f aca="false">-PLRisk!F35</f>
        <v>-405.971869646521</v>
      </c>
      <c r="G33" s="683" t="n">
        <f aca="false">-PLRisk!G35</f>
        <v>-594.824106750334</v>
      </c>
      <c r="H33" s="683" t="n">
        <f aca="false">-PLRisk!H35</f>
        <v>-448.797073859379</v>
      </c>
      <c r="I33" s="683" t="n">
        <f aca="false">-PLRisk!I35</f>
        <v>-432.459469877058</v>
      </c>
      <c r="J33" s="683" t="n">
        <f aca="false">-PLRisk!J35</f>
        <v>-418.996757787622</v>
      </c>
      <c r="K33" s="683" t="n">
        <f aca="false">-PLRisk!K35</f>
        <v>-419.237820527866</v>
      </c>
      <c r="L33" s="683" t="n">
        <f aca="false">-PLRisk!L35</f>
        <v>-467.202295732063</v>
      </c>
      <c r="M33" s="683" t="n">
        <f aca="false">-PLRisk!M35</f>
        <v>-513.649951595858</v>
      </c>
      <c r="N33" s="683" t="n">
        <f aca="false">-PLRisk!N35</f>
        <v>-552.005520978202</v>
      </c>
      <c r="O33" s="683" t="n">
        <f aca="false">-PLRisk!O35</f>
        <v>-586.8468583354</v>
      </c>
      <c r="P33" s="683" t="n">
        <f aca="false">-PLRisk!P35</f>
        <v>-597.675426877148</v>
      </c>
      <c r="Q33" s="683" t="n">
        <f aca="false">-PLRisk!Q35</f>
        <v>-597.675426877148</v>
      </c>
      <c r="R33" s="683" t="n">
        <f aca="false">-PLRisk!R35</f>
        <v>-597.675426877148</v>
      </c>
      <c r="S33" s="683" t="n">
        <f aca="false">-PLRisk!S35</f>
        <v>-597.675426877148</v>
      </c>
      <c r="T33" s="683" t="n">
        <f aca="false">-PLRisk!T35</f>
        <v>-597.675426877148</v>
      </c>
      <c r="U33" s="683" t="n">
        <f aca="false">-PLRisk!U35</f>
        <v>-597.675426877148</v>
      </c>
      <c r="V33" s="683" t="n">
        <f aca="false">-PLRisk!V35</f>
        <v>-597.675426877148</v>
      </c>
      <c r="W33" s="683" t="n">
        <f aca="false">-PLRisk!W35</f>
        <v>-584.527546859078</v>
      </c>
      <c r="X33" s="683" t="n">
        <f aca="false">-PLRisk!X35</f>
        <v>-537.684236805864</v>
      </c>
      <c r="Y33" s="683" t="n">
        <f aca="false">-PLRisk!Y35</f>
        <v>-473.593231740221</v>
      </c>
      <c r="Z33" s="683" t="n">
        <f aca="false">-PLRisk!Z35</f>
        <v>-413.60349625943</v>
      </c>
      <c r="AA33" s="683" t="n">
        <f aca="false">-PLRisk!AA35</f>
        <v>-303.000702367525</v>
      </c>
      <c r="AB33" s="684" t="n">
        <f aca="false">SUM(E33:AA33)</f>
        <v>-11336.1289272625</v>
      </c>
      <c r="AC33" s="685" t="n">
        <f aca="false">IF('Project &amp; Investor Returns'!$I$3=0,F33+NPV(Disc,G33:AA33),E33+NPV(Disc,F33:AA33))</f>
        <v>-2995.07582288789</v>
      </c>
      <c r="AD33" s="682"/>
      <c r="AE33" s="686"/>
      <c r="AF33" s="686"/>
      <c r="AG33" s="690"/>
      <c r="AH33" s="686"/>
      <c r="AI33" s="686"/>
      <c r="AJ33" s="686"/>
      <c r="AK33" s="686"/>
      <c r="AL33" s="686"/>
      <c r="AM33" s="686"/>
      <c r="AN33" s="686"/>
      <c r="AO33" s="686"/>
      <c r="AP33" s="686"/>
      <c r="AQ33" s="686"/>
      <c r="AR33" s="686"/>
      <c r="AS33" s="686"/>
      <c r="AT33" s="686"/>
      <c r="AU33" s="686"/>
      <c r="AV33" s="686"/>
      <c r="AW33" s="686"/>
      <c r="AX33" s="686"/>
      <c r="AY33" s="686"/>
      <c r="AZ33" s="686"/>
      <c r="BA33" s="686"/>
      <c r="BB33" s="686"/>
      <c r="BC33" s="686"/>
      <c r="BD33" s="686"/>
      <c r="BE33" s="686"/>
      <c r="BF33" s="686"/>
      <c r="BG33" s="686"/>
      <c r="BH33" s="686"/>
      <c r="BI33" s="686"/>
      <c r="BJ33" s="686"/>
      <c r="BK33" s="686"/>
      <c r="BL33" s="686"/>
      <c r="BM33" s="686"/>
      <c r="BN33" s="686"/>
      <c r="BO33" s="686"/>
      <c r="BP33" s="686"/>
      <c r="BQ33" s="686"/>
      <c r="BR33" s="686"/>
      <c r="BS33" s="686"/>
      <c r="BT33" s="686"/>
      <c r="BU33" s="686"/>
      <c r="BV33" s="686"/>
      <c r="BW33" s="686"/>
      <c r="BX33" s="686"/>
      <c r="BY33" s="686"/>
      <c r="BZ33" s="686"/>
      <c r="CA33" s="686"/>
      <c r="CB33" s="686"/>
      <c r="CC33" s="686"/>
      <c r="CD33" s="686"/>
      <c r="CE33" s="686"/>
      <c r="CF33" s="686"/>
      <c r="CG33" s="686"/>
      <c r="CH33" s="686"/>
      <c r="CI33" s="686"/>
      <c r="CJ33" s="686"/>
      <c r="CK33" s="686"/>
      <c r="CL33" s="686"/>
      <c r="CM33" s="686"/>
      <c r="CN33" s="686"/>
      <c r="CO33" s="686"/>
      <c r="CP33" s="686"/>
      <c r="CQ33" s="686"/>
      <c r="CR33" s="686"/>
      <c r="CS33" s="686"/>
      <c r="CT33" s="686"/>
      <c r="CU33" s="686"/>
      <c r="CV33" s="686"/>
      <c r="CW33" s="686"/>
      <c r="CX33" s="686"/>
      <c r="CY33" s="686"/>
      <c r="CZ33" s="686"/>
      <c r="DA33" s="686"/>
      <c r="DB33" s="686"/>
      <c r="DC33" s="686"/>
      <c r="DD33" s="686"/>
      <c r="DE33" s="686"/>
      <c r="DF33" s="686"/>
      <c r="DG33" s="686"/>
      <c r="DH33" s="686"/>
      <c r="DI33" s="686"/>
      <c r="DJ33" s="686"/>
      <c r="DK33" s="686"/>
      <c r="DL33" s="686"/>
      <c r="DM33" s="686"/>
      <c r="DN33" s="686"/>
      <c r="DO33" s="686"/>
      <c r="DP33" s="686"/>
      <c r="DQ33" s="686"/>
      <c r="DR33" s="686"/>
      <c r="DS33" s="686"/>
      <c r="DT33" s="686"/>
      <c r="DU33" s="686"/>
      <c r="DV33" s="686"/>
      <c r="DW33" s="686"/>
      <c r="DX33" s="686"/>
      <c r="DY33" s="686"/>
      <c r="DZ33" s="686"/>
      <c r="EA33" s="686"/>
      <c r="EB33" s="686"/>
      <c r="EC33" s="686"/>
      <c r="ED33" s="686"/>
      <c r="EE33" s="686"/>
      <c r="EF33" s="686"/>
      <c r="EG33" s="686"/>
      <c r="EH33" s="686"/>
      <c r="EI33" s="686"/>
      <c r="EJ33" s="686"/>
      <c r="EK33" s="686"/>
      <c r="EL33" s="686"/>
      <c r="EM33" s="686"/>
      <c r="EN33" s="686"/>
      <c r="EO33" s="686"/>
      <c r="EP33" s="686"/>
      <c r="EQ33" s="686"/>
      <c r="ER33" s="686"/>
      <c r="ES33" s="686"/>
      <c r="ET33" s="686"/>
      <c r="EU33" s="686"/>
      <c r="EV33" s="686"/>
      <c r="EW33" s="686"/>
      <c r="EX33" s="686"/>
      <c r="EY33" s="686"/>
      <c r="EZ33" s="686"/>
      <c r="FA33" s="686"/>
      <c r="FB33" s="686"/>
      <c r="FC33" s="686"/>
      <c r="FD33" s="686"/>
      <c r="FE33" s="686"/>
      <c r="FF33" s="686"/>
      <c r="FG33" s="686"/>
      <c r="FH33" s="686"/>
      <c r="FI33" s="686"/>
      <c r="FJ33" s="686"/>
      <c r="FK33" s="686"/>
      <c r="FL33" s="686"/>
      <c r="FM33" s="686"/>
      <c r="FN33" s="686"/>
      <c r="FO33" s="686"/>
      <c r="FP33" s="686"/>
      <c r="FQ33" s="686"/>
      <c r="FR33" s="686"/>
      <c r="FS33" s="686"/>
      <c r="FT33" s="686"/>
      <c r="FU33" s="686"/>
      <c r="FV33" s="686"/>
      <c r="FW33" s="686"/>
      <c r="FX33" s="686"/>
      <c r="FY33" s="686"/>
      <c r="FZ33" s="686"/>
      <c r="GA33" s="686"/>
      <c r="GB33" s="686"/>
      <c r="GC33" s="686"/>
      <c r="GD33" s="686"/>
      <c r="GE33" s="686"/>
      <c r="GF33" s="686"/>
      <c r="GG33" s="686"/>
      <c r="GH33" s="686"/>
      <c r="GI33" s="686"/>
      <c r="GJ33" s="686"/>
      <c r="GK33" s="686"/>
      <c r="GL33" s="686"/>
      <c r="GM33" s="686"/>
      <c r="GN33" s="686"/>
      <c r="GO33" s="686"/>
      <c r="GP33" s="686"/>
      <c r="GQ33" s="686"/>
      <c r="GR33" s="686"/>
      <c r="GS33" s="686"/>
      <c r="GT33" s="686"/>
      <c r="GU33" s="686"/>
      <c r="GV33" s="686"/>
      <c r="GW33" s="686"/>
      <c r="GX33" s="686"/>
      <c r="GY33" s="686"/>
      <c r="GZ33" s="686"/>
      <c r="HA33" s="686"/>
      <c r="HB33" s="686"/>
      <c r="HC33" s="686"/>
      <c r="HD33" s="686"/>
      <c r="HE33" s="686"/>
      <c r="HF33" s="686"/>
      <c r="HG33" s="686"/>
      <c r="HH33" s="686"/>
      <c r="HI33" s="686"/>
      <c r="HJ33" s="686"/>
      <c r="HK33" s="686"/>
      <c r="HL33" s="686"/>
      <c r="HM33" s="686"/>
      <c r="HN33" s="686"/>
      <c r="HO33" s="686"/>
      <c r="HP33" s="686"/>
      <c r="HQ33" s="686"/>
      <c r="HR33" s="686"/>
      <c r="HS33" s="686"/>
      <c r="HT33" s="686"/>
      <c r="HU33" s="686"/>
      <c r="HV33" s="686"/>
      <c r="HW33" s="686"/>
      <c r="HX33" s="686"/>
      <c r="HY33" s="686"/>
      <c r="HZ33" s="686"/>
      <c r="IA33" s="686"/>
      <c r="IB33" s="686"/>
      <c r="IC33" s="686"/>
      <c r="ID33" s="686"/>
      <c r="IE33" s="686"/>
      <c r="IF33" s="686"/>
      <c r="IG33" s="686"/>
      <c r="IH33" s="686"/>
      <c r="II33" s="686"/>
      <c r="IJ33" s="686"/>
      <c r="IK33" s="686"/>
      <c r="IL33" s="686"/>
      <c r="IM33" s="686"/>
      <c r="IN33" s="686"/>
      <c r="IO33" s="686"/>
      <c r="IP33" s="686"/>
      <c r="IQ33" s="686"/>
      <c r="IR33" s="686"/>
      <c r="IS33" s="686"/>
      <c r="IT33" s="686"/>
      <c r="IU33" s="686"/>
      <c r="IV33" s="686"/>
      <c r="IW33" s="686"/>
    </row>
    <row r="34" customFormat="false" ht="12.75" hidden="false" customHeight="false" outlineLevel="0" collapsed="false">
      <c r="A34" s="615"/>
      <c r="B34" s="702" t="s">
        <v>919</v>
      </c>
      <c r="C34" s="702"/>
      <c r="D34" s="703" t="s">
        <v>341</v>
      </c>
      <c r="E34" s="704" t="n">
        <v>0</v>
      </c>
      <c r="F34" s="705" t="n">
        <f aca="false">Turnkey!$K$33*HLOOKUP(DATE(F$7,12,31),Draw_Table,Drawdown!$BB$55)-SUM($D34:E34)</f>
        <v>4068.82439588868</v>
      </c>
      <c r="G34" s="705" t="n">
        <f aca="false">Turnkey!$K$33*HLOOKUP(DATE(G$7,12,31),Draw_Table,Drawdown!$BB$55)-SUM($D34:F34)</f>
        <v>2813.18760173776</v>
      </c>
      <c r="H34" s="705" t="n">
        <f aca="false">Turnkey!$K$33*HLOOKUP(DATE(H$7,12,31),Draw_Table,Drawdown!$BB$55)-SUM($D34:G34)</f>
        <v>999.122002373563</v>
      </c>
      <c r="I34" s="705" t="n">
        <f aca="false">Turnkey!$K$33*HLOOKUP(DATE(I$7,12,31),Draw_Table,Drawdown!$BB$55)-SUM($D34:H34)</f>
        <v>0</v>
      </c>
      <c r="J34" s="705" t="n">
        <f aca="false">Turnkey!$K$33*HLOOKUP(DATE(J$7,12,31),Draw_Table,Drawdown!$BB$55)-SUM($D34:I34)</f>
        <v>0</v>
      </c>
      <c r="K34" s="705" t="n">
        <f aca="false">Turnkey!$K$33*HLOOKUP(DATE(K$7,12,31),Draw_Table,Drawdown!$BB$55)-SUM($D34:J34)</f>
        <v>0</v>
      </c>
      <c r="L34" s="705" t="n">
        <f aca="false">Turnkey!$K$33*HLOOKUP(DATE(L$7,12,31),Draw_Table,Drawdown!$BB$55)-SUM($D34:K34)</f>
        <v>0</v>
      </c>
      <c r="M34" s="705" t="n">
        <f aca="false">Turnkey!$K$33*HLOOKUP(DATE(M$7,12,31),Draw_Table,Drawdown!$BB$55)-SUM($D34:L34)</f>
        <v>0</v>
      </c>
      <c r="N34" s="705" t="n">
        <f aca="false">Turnkey!$K$33*HLOOKUP(DATE(N$7,12,31),Draw_Table,Drawdown!$BB$55)-SUM($D34:M34)</f>
        <v>0</v>
      </c>
      <c r="O34" s="705" t="n">
        <f aca="false">Turnkey!$K$33*HLOOKUP(DATE(O$7,12,31),Draw_Table,Drawdown!$BB$55)-SUM($D34:N34)</f>
        <v>0</v>
      </c>
      <c r="P34" s="705" t="n">
        <f aca="false">Turnkey!$K$33*HLOOKUP(DATE(P$7,12,31),Draw_Table,Drawdown!$BB$55)-SUM($D34:O34)</f>
        <v>0</v>
      </c>
      <c r="Q34" s="705" t="n">
        <f aca="false">Turnkey!$K$33*HLOOKUP(DATE(Q$7,12,31),Draw_Table,Drawdown!$BB$55)-SUM($D34:P34)</f>
        <v>0</v>
      </c>
      <c r="R34" s="705" t="n">
        <f aca="false">Turnkey!$K$33*HLOOKUP(DATE(R$7,12,31),Draw_Table,Drawdown!$BB$55)-SUM($D34:Q34)</f>
        <v>0</v>
      </c>
      <c r="S34" s="705" t="n">
        <f aca="false">Turnkey!$K$33*HLOOKUP(DATE(S$7,12,31),Draw_Table,Drawdown!$BB$55)-SUM($D34:R34)</f>
        <v>0</v>
      </c>
      <c r="T34" s="705" t="n">
        <f aca="false">Turnkey!$K$33*HLOOKUP(DATE(T$7,12,31),Draw_Table,Drawdown!$BB$55)-SUM($D34:S34)</f>
        <v>0</v>
      </c>
      <c r="U34" s="705" t="n">
        <f aca="false">Turnkey!$K$33*HLOOKUP(DATE(U$7,12,31),Draw_Table,Drawdown!$BB$55)-SUM($D34:T34)</f>
        <v>0</v>
      </c>
      <c r="V34" s="705" t="n">
        <f aca="false">Turnkey!$K$33*HLOOKUP(DATE(V$7,12,31),Draw_Table,Drawdown!$BB$55)-SUM($D34:U34)</f>
        <v>0</v>
      </c>
      <c r="W34" s="705" t="n">
        <f aca="false">Turnkey!$K$33*HLOOKUP(DATE(W$7,12,31),Draw_Table,Drawdown!$BB$55)-SUM($D34:V34)</f>
        <v>0</v>
      </c>
      <c r="X34" s="705" t="n">
        <f aca="false">Turnkey!$K$33*HLOOKUP(DATE(X$7,12,31),Draw_Table,Drawdown!$BB$55)-SUM($D34:W34)</f>
        <v>0</v>
      </c>
      <c r="Y34" s="705" t="n">
        <f aca="false">Turnkey!$K$33*HLOOKUP(DATE(Y$7,12,31),Draw_Table,Drawdown!$BB$55)-SUM($D34:X34)</f>
        <v>0</v>
      </c>
      <c r="Z34" s="705" t="n">
        <f aca="false">Turnkey!$K$33*HLOOKUP(DATE(Z$7,12,31),Draw_Table,Drawdown!$BB$55)-SUM($D34:Y34)</f>
        <v>0</v>
      </c>
      <c r="AA34" s="705" t="n">
        <f aca="false">Turnkey!$K$33*HLOOKUP(DATE(AA$7,12,31),Draw_Table,Drawdown!$BB$55)-SUM($D34:Z34)</f>
        <v>0</v>
      </c>
      <c r="AB34" s="706" t="n">
        <f aca="false">SUM(E34:AA34)</f>
        <v>7881.134</v>
      </c>
      <c r="AC34" s="707" t="n">
        <f aca="false">IF('Project &amp; Investor Returns'!$I$3=0,F34+NPV(Disc,G34:AA34),E34+NPV(Disc,F34:AA34))</f>
        <v>7138.39239846017</v>
      </c>
      <c r="AD34" s="708"/>
      <c r="AE34" s="709"/>
      <c r="AF34" s="709"/>
      <c r="AG34" s="710"/>
      <c r="AH34" s="709"/>
      <c r="AI34" s="709"/>
      <c r="AJ34" s="709"/>
      <c r="AK34" s="709"/>
      <c r="AL34" s="709"/>
      <c r="AM34" s="709"/>
      <c r="AN34" s="709"/>
      <c r="AO34" s="709"/>
      <c r="AP34" s="709"/>
      <c r="AQ34" s="709"/>
      <c r="AR34" s="709"/>
      <c r="AS34" s="709"/>
      <c r="AT34" s="709"/>
      <c r="AU34" s="709"/>
      <c r="AV34" s="709"/>
      <c r="AW34" s="709"/>
      <c r="AX34" s="709"/>
      <c r="AY34" s="709"/>
      <c r="AZ34" s="709"/>
      <c r="BA34" s="709"/>
      <c r="BB34" s="709"/>
      <c r="BC34" s="709"/>
      <c r="BD34" s="709"/>
      <c r="BE34" s="709"/>
      <c r="BF34" s="709"/>
      <c r="BG34" s="709"/>
      <c r="BH34" s="709"/>
      <c r="BI34" s="709"/>
      <c r="BJ34" s="709"/>
      <c r="BK34" s="709"/>
      <c r="BL34" s="709"/>
      <c r="BM34" s="709"/>
      <c r="BN34" s="709"/>
      <c r="BO34" s="709"/>
      <c r="BP34" s="709"/>
      <c r="BQ34" s="709"/>
      <c r="BR34" s="709"/>
      <c r="BS34" s="709"/>
      <c r="BT34" s="709"/>
      <c r="BU34" s="709"/>
      <c r="BV34" s="709"/>
      <c r="BW34" s="709"/>
      <c r="BX34" s="709"/>
      <c r="BY34" s="709"/>
      <c r="BZ34" s="709"/>
      <c r="CA34" s="709"/>
      <c r="CB34" s="709"/>
      <c r="CC34" s="709"/>
      <c r="CD34" s="709"/>
      <c r="CE34" s="709"/>
      <c r="CF34" s="709"/>
      <c r="CG34" s="709"/>
      <c r="CH34" s="709"/>
      <c r="CI34" s="709"/>
      <c r="CJ34" s="709"/>
      <c r="CK34" s="709"/>
      <c r="CL34" s="709"/>
      <c r="CM34" s="709"/>
      <c r="CN34" s="709"/>
      <c r="CO34" s="709"/>
      <c r="CP34" s="709"/>
      <c r="CQ34" s="709"/>
      <c r="CR34" s="709"/>
      <c r="CS34" s="709"/>
      <c r="CT34" s="709"/>
      <c r="CU34" s="709"/>
      <c r="CV34" s="709"/>
      <c r="CW34" s="709"/>
      <c r="CX34" s="709"/>
      <c r="CY34" s="709"/>
      <c r="CZ34" s="709"/>
      <c r="DA34" s="709"/>
      <c r="DB34" s="709"/>
      <c r="DC34" s="709"/>
      <c r="DD34" s="709"/>
      <c r="DE34" s="709"/>
      <c r="DF34" s="709"/>
      <c r="DG34" s="709"/>
      <c r="DH34" s="709"/>
      <c r="DI34" s="709"/>
      <c r="DJ34" s="709"/>
      <c r="DK34" s="709"/>
      <c r="DL34" s="709"/>
      <c r="DM34" s="709"/>
      <c r="DN34" s="709"/>
      <c r="DO34" s="709"/>
      <c r="DP34" s="709"/>
      <c r="DQ34" s="709"/>
      <c r="DR34" s="709"/>
      <c r="DS34" s="709"/>
      <c r="DT34" s="709"/>
      <c r="DU34" s="709"/>
      <c r="DV34" s="709"/>
      <c r="DW34" s="709"/>
      <c r="DX34" s="709"/>
      <c r="DY34" s="709"/>
      <c r="DZ34" s="709"/>
      <c r="EA34" s="709"/>
      <c r="EB34" s="709"/>
      <c r="EC34" s="709"/>
      <c r="ED34" s="709"/>
      <c r="EE34" s="709"/>
      <c r="EF34" s="709"/>
      <c r="EG34" s="709"/>
      <c r="EH34" s="709"/>
      <c r="EI34" s="709"/>
      <c r="EJ34" s="709"/>
      <c r="EK34" s="709"/>
      <c r="EL34" s="709"/>
      <c r="EM34" s="709"/>
      <c r="EN34" s="709"/>
      <c r="EO34" s="709"/>
      <c r="EP34" s="709"/>
      <c r="EQ34" s="709"/>
      <c r="ER34" s="709"/>
      <c r="ES34" s="709"/>
      <c r="ET34" s="709"/>
      <c r="EU34" s="709"/>
      <c r="EV34" s="709"/>
      <c r="EW34" s="709"/>
      <c r="EX34" s="709"/>
      <c r="EY34" s="709"/>
      <c r="EZ34" s="709"/>
      <c r="FA34" s="709"/>
      <c r="FB34" s="709"/>
      <c r="FC34" s="709"/>
      <c r="FD34" s="709"/>
      <c r="FE34" s="709"/>
      <c r="FF34" s="709"/>
      <c r="FG34" s="709"/>
      <c r="FH34" s="709"/>
      <c r="FI34" s="709"/>
      <c r="FJ34" s="709"/>
      <c r="FK34" s="709"/>
      <c r="FL34" s="709"/>
      <c r="FM34" s="709"/>
      <c r="FN34" s="709"/>
      <c r="FO34" s="709"/>
      <c r="FP34" s="709"/>
      <c r="FQ34" s="709"/>
      <c r="FR34" s="709"/>
      <c r="FS34" s="709"/>
      <c r="FT34" s="709"/>
      <c r="FU34" s="709"/>
      <c r="FV34" s="709"/>
      <c r="FW34" s="709"/>
      <c r="FX34" s="709"/>
      <c r="FY34" s="709"/>
      <c r="FZ34" s="709"/>
      <c r="GA34" s="709"/>
      <c r="GB34" s="709"/>
      <c r="GC34" s="709"/>
      <c r="GD34" s="709"/>
      <c r="GE34" s="709"/>
      <c r="GF34" s="709"/>
      <c r="GG34" s="709"/>
      <c r="GH34" s="709"/>
      <c r="GI34" s="709"/>
      <c r="GJ34" s="709"/>
      <c r="GK34" s="709"/>
      <c r="GL34" s="709"/>
      <c r="GM34" s="709"/>
      <c r="GN34" s="709"/>
      <c r="GO34" s="709"/>
      <c r="GP34" s="709"/>
      <c r="GQ34" s="709"/>
      <c r="GR34" s="709"/>
      <c r="GS34" s="709"/>
      <c r="GT34" s="709"/>
      <c r="GU34" s="709"/>
      <c r="GV34" s="709"/>
      <c r="GW34" s="709"/>
      <c r="GX34" s="709"/>
      <c r="GY34" s="709"/>
      <c r="GZ34" s="709"/>
      <c r="HA34" s="709"/>
      <c r="HB34" s="709"/>
      <c r="HC34" s="709"/>
      <c r="HD34" s="709"/>
      <c r="HE34" s="709"/>
      <c r="HF34" s="709"/>
      <c r="HG34" s="709"/>
      <c r="HH34" s="709"/>
      <c r="HI34" s="709"/>
      <c r="HJ34" s="709"/>
      <c r="HK34" s="709"/>
      <c r="HL34" s="709"/>
      <c r="HM34" s="709"/>
      <c r="HN34" s="709"/>
      <c r="HO34" s="709"/>
      <c r="HP34" s="709"/>
      <c r="HQ34" s="709"/>
      <c r="HR34" s="709"/>
      <c r="HS34" s="709"/>
      <c r="HT34" s="709"/>
      <c r="HU34" s="709"/>
      <c r="HV34" s="709"/>
      <c r="HW34" s="709"/>
      <c r="HX34" s="709"/>
      <c r="HY34" s="709"/>
      <c r="HZ34" s="709"/>
      <c r="IA34" s="709"/>
      <c r="IB34" s="709"/>
      <c r="IC34" s="709"/>
      <c r="ID34" s="709"/>
      <c r="IE34" s="709"/>
      <c r="IF34" s="709"/>
      <c r="IG34" s="709"/>
      <c r="IH34" s="709"/>
      <c r="II34" s="709"/>
      <c r="IJ34" s="709"/>
      <c r="IK34" s="709"/>
      <c r="IL34" s="709"/>
      <c r="IM34" s="709"/>
      <c r="IN34" s="709"/>
      <c r="IO34" s="709"/>
      <c r="IP34" s="709"/>
      <c r="IQ34" s="709"/>
      <c r="IR34" s="709"/>
      <c r="IS34" s="709"/>
      <c r="IT34" s="709"/>
      <c r="IU34" s="709"/>
      <c r="IV34" s="709"/>
      <c r="IW34" s="709"/>
    </row>
    <row r="35" customFormat="false" ht="12.75" hidden="false" customHeight="false" outlineLevel="0" collapsed="false">
      <c r="A35" s="615"/>
      <c r="B35" s="702" t="s">
        <v>920</v>
      </c>
      <c r="C35" s="711" t="n">
        <f aca="false">Wh_Int*0+17.65%</f>
        <v>0.1765</v>
      </c>
      <c r="D35" s="703" t="s">
        <v>341</v>
      </c>
      <c r="E35" s="705" t="n">
        <f aca="false">-E34*$C35</f>
        <v>-0</v>
      </c>
      <c r="F35" s="705" t="n">
        <f aca="false">-F34*$C35</f>
        <v>-718.147505874351</v>
      </c>
      <c r="G35" s="705" t="n">
        <f aca="false">-G34*$C35</f>
        <v>-496.527611706715</v>
      </c>
      <c r="H35" s="705" t="n">
        <f aca="false">-H34*$C35</f>
        <v>-176.345033418934</v>
      </c>
      <c r="I35" s="705" t="n">
        <f aca="false">-I34*$C35</f>
        <v>-0</v>
      </c>
      <c r="J35" s="705" t="n">
        <f aca="false">-J34*$C35</f>
        <v>-0</v>
      </c>
      <c r="K35" s="705" t="n">
        <f aca="false">-K34*$C35</f>
        <v>-0</v>
      </c>
      <c r="L35" s="705" t="n">
        <f aca="false">-L34*$C35</f>
        <v>-0</v>
      </c>
      <c r="M35" s="705" t="n">
        <f aca="false">-M34*$C35</f>
        <v>-0</v>
      </c>
      <c r="N35" s="705" t="n">
        <f aca="false">-N34*$C35</f>
        <v>-0</v>
      </c>
      <c r="O35" s="705" t="n">
        <f aca="false">-O34*$C35</f>
        <v>-0</v>
      </c>
      <c r="P35" s="705" t="n">
        <f aca="false">-P34*$C35</f>
        <v>-0</v>
      </c>
      <c r="Q35" s="705" t="n">
        <f aca="false">-Q34*$C35</f>
        <v>-0</v>
      </c>
      <c r="R35" s="705" t="n">
        <f aca="false">-R34*$C35</f>
        <v>-0</v>
      </c>
      <c r="S35" s="705" t="n">
        <f aca="false">-S34*$C35</f>
        <v>-0</v>
      </c>
      <c r="T35" s="705" t="n">
        <f aca="false">-T34*$C35</f>
        <v>-0</v>
      </c>
      <c r="U35" s="705" t="n">
        <f aca="false">-U34*$C35</f>
        <v>-0</v>
      </c>
      <c r="V35" s="705" t="n">
        <f aca="false">-V34*$C35</f>
        <v>-0</v>
      </c>
      <c r="W35" s="705" t="n">
        <f aca="false">-W34*$C35</f>
        <v>-0</v>
      </c>
      <c r="X35" s="705" t="n">
        <f aca="false">-X34*$C35</f>
        <v>-0</v>
      </c>
      <c r="Y35" s="705" t="n">
        <f aca="false">-Y34*$C35</f>
        <v>-0</v>
      </c>
      <c r="Z35" s="705" t="n">
        <f aca="false">-Z34*$C35</f>
        <v>-0</v>
      </c>
      <c r="AA35" s="705" t="n">
        <f aca="false">-AA34*$C35</f>
        <v>-0</v>
      </c>
      <c r="AB35" s="706" t="n">
        <f aca="false">SUM(E35:AA35)</f>
        <v>-1391.020151</v>
      </c>
      <c r="AC35" s="707" t="n">
        <f aca="false">IF('Project &amp; Investor Returns'!$I$3=0,F35+NPV(Disc,G35:AA35),E35+NPV(Disc,F35:AA35))</f>
        <v>-1259.92625832822</v>
      </c>
      <c r="AD35" s="708"/>
      <c r="AE35" s="709"/>
      <c r="AF35" s="709"/>
      <c r="AG35" s="710"/>
      <c r="AH35" s="709"/>
      <c r="AI35" s="709"/>
      <c r="AJ35" s="709"/>
      <c r="AK35" s="709"/>
      <c r="AL35" s="709"/>
      <c r="AM35" s="709"/>
      <c r="AN35" s="709"/>
      <c r="AO35" s="709"/>
      <c r="AP35" s="709"/>
      <c r="AQ35" s="709"/>
      <c r="AR35" s="709"/>
      <c r="AS35" s="709"/>
      <c r="AT35" s="709"/>
      <c r="AU35" s="709"/>
      <c r="AV35" s="709"/>
      <c r="AW35" s="709"/>
      <c r="AX35" s="709"/>
      <c r="AY35" s="709"/>
      <c r="AZ35" s="709"/>
      <c r="BA35" s="709"/>
      <c r="BB35" s="709"/>
      <c r="BC35" s="709"/>
      <c r="BD35" s="709"/>
      <c r="BE35" s="709"/>
      <c r="BF35" s="709"/>
      <c r="BG35" s="709"/>
      <c r="BH35" s="709"/>
      <c r="BI35" s="709"/>
      <c r="BJ35" s="709"/>
      <c r="BK35" s="709"/>
      <c r="BL35" s="709"/>
      <c r="BM35" s="709"/>
      <c r="BN35" s="709"/>
      <c r="BO35" s="709"/>
      <c r="BP35" s="709"/>
      <c r="BQ35" s="709"/>
      <c r="BR35" s="709"/>
      <c r="BS35" s="709"/>
      <c r="BT35" s="709"/>
      <c r="BU35" s="709"/>
      <c r="BV35" s="709"/>
      <c r="BW35" s="709"/>
      <c r="BX35" s="709"/>
      <c r="BY35" s="709"/>
      <c r="BZ35" s="709"/>
      <c r="CA35" s="709"/>
      <c r="CB35" s="709"/>
      <c r="CC35" s="709"/>
      <c r="CD35" s="709"/>
      <c r="CE35" s="709"/>
      <c r="CF35" s="709"/>
      <c r="CG35" s="709"/>
      <c r="CH35" s="709"/>
      <c r="CI35" s="709"/>
      <c r="CJ35" s="709"/>
      <c r="CK35" s="709"/>
      <c r="CL35" s="709"/>
      <c r="CM35" s="709"/>
      <c r="CN35" s="709"/>
      <c r="CO35" s="709"/>
      <c r="CP35" s="709"/>
      <c r="CQ35" s="709"/>
      <c r="CR35" s="709"/>
      <c r="CS35" s="709"/>
      <c r="CT35" s="709"/>
      <c r="CU35" s="709"/>
      <c r="CV35" s="709"/>
      <c r="CW35" s="709"/>
      <c r="CX35" s="709"/>
      <c r="CY35" s="709"/>
      <c r="CZ35" s="709"/>
      <c r="DA35" s="709"/>
      <c r="DB35" s="709"/>
      <c r="DC35" s="709"/>
      <c r="DD35" s="709"/>
      <c r="DE35" s="709"/>
      <c r="DF35" s="709"/>
      <c r="DG35" s="709"/>
      <c r="DH35" s="709"/>
      <c r="DI35" s="709"/>
      <c r="DJ35" s="709"/>
      <c r="DK35" s="709"/>
      <c r="DL35" s="709"/>
      <c r="DM35" s="709"/>
      <c r="DN35" s="709"/>
      <c r="DO35" s="709"/>
      <c r="DP35" s="709"/>
      <c r="DQ35" s="709"/>
      <c r="DR35" s="709"/>
      <c r="DS35" s="709"/>
      <c r="DT35" s="709"/>
      <c r="DU35" s="709"/>
      <c r="DV35" s="709"/>
      <c r="DW35" s="709"/>
      <c r="DX35" s="709"/>
      <c r="DY35" s="709"/>
      <c r="DZ35" s="709"/>
      <c r="EA35" s="709"/>
      <c r="EB35" s="709"/>
      <c r="EC35" s="709"/>
      <c r="ED35" s="709"/>
      <c r="EE35" s="709"/>
      <c r="EF35" s="709"/>
      <c r="EG35" s="709"/>
      <c r="EH35" s="709"/>
      <c r="EI35" s="709"/>
      <c r="EJ35" s="709"/>
      <c r="EK35" s="709"/>
      <c r="EL35" s="709"/>
      <c r="EM35" s="709"/>
      <c r="EN35" s="709"/>
      <c r="EO35" s="709"/>
      <c r="EP35" s="709"/>
      <c r="EQ35" s="709"/>
      <c r="ER35" s="709"/>
      <c r="ES35" s="709"/>
      <c r="ET35" s="709"/>
      <c r="EU35" s="709"/>
      <c r="EV35" s="709"/>
      <c r="EW35" s="709"/>
      <c r="EX35" s="709"/>
      <c r="EY35" s="709"/>
      <c r="EZ35" s="709"/>
      <c r="FA35" s="709"/>
      <c r="FB35" s="709"/>
      <c r="FC35" s="709"/>
      <c r="FD35" s="709"/>
      <c r="FE35" s="709"/>
      <c r="FF35" s="709"/>
      <c r="FG35" s="709"/>
      <c r="FH35" s="709"/>
      <c r="FI35" s="709"/>
      <c r="FJ35" s="709"/>
      <c r="FK35" s="709"/>
      <c r="FL35" s="709"/>
      <c r="FM35" s="709"/>
      <c r="FN35" s="709"/>
      <c r="FO35" s="709"/>
      <c r="FP35" s="709"/>
      <c r="FQ35" s="709"/>
      <c r="FR35" s="709"/>
      <c r="FS35" s="709"/>
      <c r="FT35" s="709"/>
      <c r="FU35" s="709"/>
      <c r="FV35" s="709"/>
      <c r="FW35" s="709"/>
      <c r="FX35" s="709"/>
      <c r="FY35" s="709"/>
      <c r="FZ35" s="709"/>
      <c r="GA35" s="709"/>
      <c r="GB35" s="709"/>
      <c r="GC35" s="709"/>
      <c r="GD35" s="709"/>
      <c r="GE35" s="709"/>
      <c r="GF35" s="709"/>
      <c r="GG35" s="709"/>
      <c r="GH35" s="709"/>
      <c r="GI35" s="709"/>
      <c r="GJ35" s="709"/>
      <c r="GK35" s="709"/>
      <c r="GL35" s="709"/>
      <c r="GM35" s="709"/>
      <c r="GN35" s="709"/>
      <c r="GO35" s="709"/>
      <c r="GP35" s="709"/>
      <c r="GQ35" s="709"/>
      <c r="GR35" s="709"/>
      <c r="GS35" s="709"/>
      <c r="GT35" s="709"/>
      <c r="GU35" s="709"/>
      <c r="GV35" s="709"/>
      <c r="GW35" s="709"/>
      <c r="GX35" s="709"/>
      <c r="GY35" s="709"/>
      <c r="GZ35" s="709"/>
      <c r="HA35" s="709"/>
      <c r="HB35" s="709"/>
      <c r="HC35" s="709"/>
      <c r="HD35" s="709"/>
      <c r="HE35" s="709"/>
      <c r="HF35" s="709"/>
      <c r="HG35" s="709"/>
      <c r="HH35" s="709"/>
      <c r="HI35" s="709"/>
      <c r="HJ35" s="709"/>
      <c r="HK35" s="709"/>
      <c r="HL35" s="709"/>
      <c r="HM35" s="709"/>
      <c r="HN35" s="709"/>
      <c r="HO35" s="709"/>
      <c r="HP35" s="709"/>
      <c r="HQ35" s="709"/>
      <c r="HR35" s="709"/>
      <c r="HS35" s="709"/>
      <c r="HT35" s="709"/>
      <c r="HU35" s="709"/>
      <c r="HV35" s="709"/>
      <c r="HW35" s="709"/>
      <c r="HX35" s="709"/>
      <c r="HY35" s="709"/>
      <c r="HZ35" s="709"/>
      <c r="IA35" s="709"/>
      <c r="IB35" s="709"/>
      <c r="IC35" s="709"/>
      <c r="ID35" s="709"/>
      <c r="IE35" s="709"/>
      <c r="IF35" s="709"/>
      <c r="IG35" s="709"/>
      <c r="IH35" s="709"/>
      <c r="II35" s="709"/>
      <c r="IJ35" s="709"/>
      <c r="IK35" s="709"/>
      <c r="IL35" s="709"/>
      <c r="IM35" s="709"/>
      <c r="IN35" s="709"/>
      <c r="IO35" s="709"/>
      <c r="IP35" s="709"/>
      <c r="IQ35" s="709"/>
      <c r="IR35" s="709"/>
      <c r="IS35" s="709"/>
      <c r="IT35" s="709"/>
      <c r="IU35" s="709"/>
      <c r="IV35" s="709"/>
      <c r="IW35" s="709"/>
    </row>
    <row r="36" customFormat="false" ht="12.75" hidden="false" customHeight="true" outlineLevel="0" collapsed="false">
      <c r="A36" s="615"/>
      <c r="B36" s="702" t="s">
        <v>921</v>
      </c>
      <c r="C36" s="702"/>
      <c r="D36" s="703" t="s">
        <v>341</v>
      </c>
      <c r="E36" s="712" t="n">
        <f aca="false">IF(E$7&lt;YEAR(Startops1),0,HLOOKUP(E$7,Rev_Exp_Table,Rev_Exp!$AA$81))</f>
        <v>0</v>
      </c>
      <c r="F36" s="712" t="n">
        <f aca="false">IF(F$7&lt;YEAR(Startops1),0,HLOOKUP(F$7,Rev_Exp_Table,Rev_Exp!$AA$81))</f>
        <v>0</v>
      </c>
      <c r="G36" s="712" t="n">
        <f aca="false">IF(G$7&lt;YEAR(Startops1),0,HLOOKUP(G$7,Rev_Exp_Table,Rev_Exp!$AA$81))</f>
        <v>350.140449438202</v>
      </c>
      <c r="H36" s="712" t="n">
        <f aca="false">IF(H$7&lt;YEAR(Startops1),0,HLOOKUP(H$7,Rev_Exp_Table,Rev_Exp!$AA$81))</f>
        <v>477.935997765286</v>
      </c>
      <c r="I36" s="712" t="n">
        <f aca="false">IF(I$7&lt;YEAR(Startops1),0,HLOOKUP(I$7,Rev_Exp_Table,Rev_Exp!$AA$81))</f>
        <v>987.462555731407</v>
      </c>
      <c r="J36" s="712" t="n">
        <f aca="false">IF(J$7&lt;YEAR(Startops1),0,HLOOKUP(J$7,Rev_Exp_Table,Rev_Exp!$AA$81))</f>
        <v>1018.97160015453</v>
      </c>
      <c r="K36" s="712" t="n">
        <f aca="false">IF(K$7&lt;YEAR(Startops1),0,HLOOKUP(K$7,Rev_Exp_Table,Rev_Exp!$AA$81))</f>
        <v>1049.65834133496</v>
      </c>
      <c r="L36" s="712" t="n">
        <f aca="false">IF(L$7&lt;YEAR(Startops1),0,HLOOKUP(L$7,Rev_Exp_Table,Rev_Exp!$AA$81))</f>
        <v>1080.31440086159</v>
      </c>
      <c r="M36" s="712" t="n">
        <f aca="false">IF(M$7&lt;YEAR(Startops1),0,HLOOKUP(M$7,Rev_Exp_Table,Rev_Exp!$AA$81))</f>
        <v>1111.1606493837</v>
      </c>
      <c r="N36" s="712" t="n">
        <f aca="false">IF(N$7&lt;YEAR(Startops1),0,HLOOKUP(N$7,Rev_Exp_Table,Rev_Exp!$AA$81))</f>
        <v>1142.27186065919</v>
      </c>
      <c r="O36" s="712" t="n">
        <f aca="false">IF(O$7&lt;YEAR(Startops1),0,HLOOKUP(O$7,Rev_Exp_Table,Rev_Exp!$AA$81))</f>
        <v>1173.50691849613</v>
      </c>
      <c r="P36" s="712" t="n">
        <f aca="false">IF(P$7&lt;YEAR(Startops1),0,HLOOKUP(P$7,Rev_Exp_Table,Rev_Exp!$AA$81))</f>
        <v>1204.90180253021</v>
      </c>
      <c r="Q36" s="712" t="n">
        <f aca="false">IF(Q$7&lt;YEAR(Startops1),0,HLOOKUP(Q$7,Rev_Exp_Table,Rev_Exp!$AA$81))</f>
        <v>1236.5559130443</v>
      </c>
      <c r="R36" s="712" t="n">
        <f aca="false">IF(R$7&lt;YEAR(Startops1),0,HLOOKUP(R$7,Rev_Exp_Table,Rev_Exp!$AA$81))</f>
        <v>1268.50921928296</v>
      </c>
      <c r="S36" s="712" t="n">
        <f aca="false">IF(S$7&lt;YEAR(Startops1),0,HLOOKUP(S$7,Rev_Exp_Table,Rev_Exp!$AA$81))</f>
        <v>1300.82663724103</v>
      </c>
      <c r="T36" s="712" t="n">
        <f aca="false">IF(T$7&lt;YEAR(Startops1),0,HLOOKUP(T$7,Rev_Exp_Table,Rev_Exp!$AA$81))</f>
        <v>1333.62774945987</v>
      </c>
      <c r="U36" s="712" t="n">
        <f aca="false">IF(U$7&lt;YEAR(Startops1),0,HLOOKUP(U$7,Rev_Exp_Table,Rev_Exp!$AA$81))</f>
        <v>1367.1096380039</v>
      </c>
      <c r="V36" s="712" t="n">
        <f aca="false">IF(V$7&lt;YEAR(Startops1),0,HLOOKUP(V$7,Rev_Exp_Table,Rev_Exp!$AA$81))</f>
        <v>1401.65804838683</v>
      </c>
      <c r="W36" s="712" t="n">
        <f aca="false">IF(W$7&lt;YEAR(Startops1),0,HLOOKUP(W$7,Rev_Exp_Table,Rev_Exp!$AA$81))</f>
        <v>1437.59735841736</v>
      </c>
      <c r="X36" s="712" t="n">
        <f aca="false">IF(X$7&lt;YEAR(Startops1),0,HLOOKUP(X$7,Rev_Exp_Table,Rev_Exp!$AA$81))</f>
        <v>1475.08510007695</v>
      </c>
      <c r="Y36" s="712" t="n">
        <f aca="false">IF(Y$7&lt;YEAR(Startops1),0,HLOOKUP(Y$7,Rev_Exp_Table,Rev_Exp!$AA$81))</f>
        <v>1514.29202886253</v>
      </c>
      <c r="Z36" s="712" t="n">
        <f aca="false">IF(Z$7&lt;YEAR(Startops1),0,HLOOKUP(Z$7,Rev_Exp_Table,Rev_Exp!$AA$81))</f>
        <v>1555.21199460318</v>
      </c>
      <c r="AA36" s="712" t="n">
        <f aca="false">IF(AA$7&lt;YEAR(Startops1),0,HLOOKUP(AA$7,Rev_Exp_Table,Rev_Exp!$AA$81))</f>
        <v>532.630718731894</v>
      </c>
      <c r="AB36" s="706" t="n">
        <f aca="false">SUM(E36:AA36)</f>
        <v>24019.428982466</v>
      </c>
      <c r="AC36" s="707" t="n">
        <f aca="false">IF('Project &amp; Investor Returns'!$I$3=0,F36+NPV(Disc,G36:AA36),E36+NPV(Disc,F36:AA36))</f>
        <v>4651.6193315858</v>
      </c>
      <c r="AD36" s="702"/>
      <c r="AE36" s="709"/>
      <c r="AF36" s="709"/>
      <c r="AG36" s="710"/>
      <c r="AH36" s="709"/>
      <c r="AI36" s="709"/>
      <c r="AJ36" s="709"/>
      <c r="AK36" s="709"/>
      <c r="AL36" s="709"/>
      <c r="AM36" s="709"/>
      <c r="AN36" s="709"/>
      <c r="AO36" s="709"/>
      <c r="AP36" s="709"/>
      <c r="AQ36" s="709"/>
      <c r="AR36" s="709"/>
      <c r="AS36" s="709"/>
      <c r="AT36" s="709"/>
      <c r="AU36" s="709"/>
      <c r="AV36" s="709"/>
      <c r="AW36" s="709"/>
      <c r="AX36" s="709"/>
      <c r="AY36" s="709"/>
      <c r="AZ36" s="709"/>
      <c r="BA36" s="709"/>
      <c r="BB36" s="709"/>
      <c r="BC36" s="709"/>
      <c r="BD36" s="709"/>
      <c r="BE36" s="709"/>
      <c r="BF36" s="709"/>
      <c r="BG36" s="709"/>
      <c r="BH36" s="709"/>
      <c r="BI36" s="709"/>
      <c r="BJ36" s="709"/>
      <c r="BK36" s="709"/>
      <c r="BL36" s="709"/>
      <c r="BM36" s="709"/>
      <c r="BN36" s="709"/>
      <c r="BO36" s="709"/>
      <c r="BP36" s="709"/>
      <c r="BQ36" s="709"/>
      <c r="BR36" s="709"/>
      <c r="BS36" s="709"/>
      <c r="BT36" s="709"/>
      <c r="BU36" s="709"/>
      <c r="BV36" s="709"/>
      <c r="BW36" s="709"/>
      <c r="BX36" s="709"/>
      <c r="BY36" s="709"/>
      <c r="BZ36" s="709"/>
      <c r="CA36" s="709"/>
      <c r="CB36" s="709"/>
      <c r="CC36" s="709"/>
      <c r="CD36" s="709"/>
      <c r="CE36" s="709"/>
      <c r="CF36" s="709"/>
      <c r="CG36" s="709"/>
      <c r="CH36" s="709"/>
      <c r="CI36" s="709"/>
      <c r="CJ36" s="709"/>
      <c r="CK36" s="709"/>
      <c r="CL36" s="709"/>
      <c r="CM36" s="709"/>
      <c r="CN36" s="709"/>
      <c r="CO36" s="709"/>
      <c r="CP36" s="709"/>
      <c r="CQ36" s="709"/>
      <c r="CR36" s="709"/>
      <c r="CS36" s="709"/>
      <c r="CT36" s="709"/>
      <c r="CU36" s="709"/>
      <c r="CV36" s="709"/>
      <c r="CW36" s="709"/>
      <c r="CX36" s="709"/>
      <c r="CY36" s="709"/>
      <c r="CZ36" s="709"/>
      <c r="DA36" s="709"/>
      <c r="DB36" s="709"/>
      <c r="DC36" s="709"/>
      <c r="DD36" s="709"/>
      <c r="DE36" s="709"/>
      <c r="DF36" s="709"/>
      <c r="DG36" s="709"/>
      <c r="DH36" s="709"/>
      <c r="DI36" s="709"/>
      <c r="DJ36" s="709"/>
      <c r="DK36" s="709"/>
      <c r="DL36" s="709"/>
      <c r="DM36" s="709"/>
      <c r="DN36" s="709"/>
      <c r="DO36" s="709"/>
      <c r="DP36" s="709"/>
      <c r="DQ36" s="709"/>
      <c r="DR36" s="709"/>
      <c r="DS36" s="709"/>
      <c r="DT36" s="709"/>
      <c r="DU36" s="709"/>
      <c r="DV36" s="709"/>
      <c r="DW36" s="709"/>
      <c r="DX36" s="709"/>
      <c r="DY36" s="709"/>
      <c r="DZ36" s="709"/>
      <c r="EA36" s="709"/>
      <c r="EB36" s="709"/>
      <c r="EC36" s="709"/>
      <c r="ED36" s="709"/>
      <c r="EE36" s="709"/>
      <c r="EF36" s="709"/>
      <c r="EG36" s="709"/>
      <c r="EH36" s="709"/>
      <c r="EI36" s="709"/>
      <c r="EJ36" s="709"/>
      <c r="EK36" s="709"/>
      <c r="EL36" s="709"/>
      <c r="EM36" s="709"/>
      <c r="EN36" s="709"/>
      <c r="EO36" s="709"/>
      <c r="EP36" s="709"/>
      <c r="EQ36" s="709"/>
      <c r="ER36" s="709"/>
      <c r="ES36" s="709"/>
      <c r="ET36" s="709"/>
      <c r="EU36" s="709"/>
      <c r="EV36" s="709"/>
      <c r="EW36" s="709"/>
      <c r="EX36" s="709"/>
      <c r="EY36" s="709"/>
      <c r="EZ36" s="709"/>
      <c r="FA36" s="709"/>
      <c r="FB36" s="709"/>
      <c r="FC36" s="709"/>
      <c r="FD36" s="709"/>
      <c r="FE36" s="709"/>
      <c r="FF36" s="709"/>
      <c r="FG36" s="709"/>
      <c r="FH36" s="709"/>
      <c r="FI36" s="709"/>
      <c r="FJ36" s="709"/>
      <c r="FK36" s="709"/>
      <c r="FL36" s="709"/>
      <c r="FM36" s="709"/>
      <c r="FN36" s="709"/>
      <c r="FO36" s="709"/>
      <c r="FP36" s="709"/>
      <c r="FQ36" s="709"/>
      <c r="FR36" s="709"/>
      <c r="FS36" s="709"/>
      <c r="FT36" s="709"/>
      <c r="FU36" s="709"/>
      <c r="FV36" s="709"/>
      <c r="FW36" s="709"/>
      <c r="FX36" s="709"/>
      <c r="FY36" s="709"/>
      <c r="FZ36" s="709"/>
      <c r="GA36" s="709"/>
      <c r="GB36" s="709"/>
      <c r="GC36" s="709"/>
      <c r="GD36" s="709"/>
      <c r="GE36" s="709"/>
      <c r="GF36" s="709"/>
      <c r="GG36" s="709"/>
      <c r="GH36" s="709"/>
      <c r="GI36" s="709"/>
      <c r="GJ36" s="709"/>
      <c r="GK36" s="709"/>
      <c r="GL36" s="709"/>
      <c r="GM36" s="709"/>
      <c r="GN36" s="709"/>
      <c r="GO36" s="709"/>
      <c r="GP36" s="709"/>
      <c r="GQ36" s="709"/>
      <c r="GR36" s="709"/>
      <c r="GS36" s="709"/>
      <c r="GT36" s="709"/>
      <c r="GU36" s="709"/>
      <c r="GV36" s="709"/>
      <c r="GW36" s="709"/>
      <c r="GX36" s="709"/>
      <c r="GY36" s="709"/>
      <c r="GZ36" s="709"/>
      <c r="HA36" s="709"/>
      <c r="HB36" s="709"/>
      <c r="HC36" s="709"/>
      <c r="HD36" s="709"/>
      <c r="HE36" s="709"/>
      <c r="HF36" s="709"/>
      <c r="HG36" s="709"/>
      <c r="HH36" s="709"/>
      <c r="HI36" s="709"/>
      <c r="HJ36" s="709"/>
      <c r="HK36" s="709"/>
      <c r="HL36" s="709"/>
      <c r="HM36" s="709"/>
      <c r="HN36" s="709"/>
      <c r="HO36" s="709"/>
      <c r="HP36" s="709"/>
      <c r="HQ36" s="709"/>
      <c r="HR36" s="709"/>
      <c r="HS36" s="709"/>
      <c r="HT36" s="709"/>
      <c r="HU36" s="709"/>
      <c r="HV36" s="709"/>
      <c r="HW36" s="709"/>
      <c r="HX36" s="709"/>
      <c r="HY36" s="709"/>
      <c r="HZ36" s="709"/>
      <c r="IA36" s="709"/>
      <c r="IB36" s="709"/>
      <c r="IC36" s="709"/>
      <c r="ID36" s="709"/>
      <c r="IE36" s="709"/>
      <c r="IF36" s="709"/>
      <c r="IG36" s="709"/>
      <c r="IH36" s="709"/>
      <c r="II36" s="709"/>
      <c r="IJ36" s="709"/>
      <c r="IK36" s="709"/>
      <c r="IL36" s="709"/>
      <c r="IM36" s="709"/>
      <c r="IN36" s="709"/>
      <c r="IO36" s="709"/>
      <c r="IP36" s="709"/>
      <c r="IQ36" s="709"/>
      <c r="IR36" s="709"/>
      <c r="IS36" s="709"/>
      <c r="IT36" s="709"/>
      <c r="IU36" s="709"/>
      <c r="IV36" s="709"/>
      <c r="IW36" s="709"/>
    </row>
    <row r="37" customFormat="false" ht="12.75" hidden="false" customHeight="true" outlineLevel="0" collapsed="false">
      <c r="A37" s="615"/>
      <c r="B37" s="702" t="s">
        <v>368</v>
      </c>
      <c r="C37" s="702"/>
      <c r="D37" s="703" t="s">
        <v>341</v>
      </c>
      <c r="E37" s="712" t="n">
        <f aca="false">-EINC!E38+IF(E$7=YEAR(Startops1),-Assm!$V$107,0)</f>
        <v>0</v>
      </c>
      <c r="F37" s="712" t="n">
        <f aca="false">-EINC!F38+IF(F$7=YEAR(Startops1),-Assm!$V$107,0)</f>
        <v>0</v>
      </c>
      <c r="G37" s="712" t="n">
        <f aca="false">-EINC!G38+IF(G$7=YEAR(Startops1),-Assm!$V$107,0)</f>
        <v>-473.838950681294</v>
      </c>
      <c r="H37" s="712" t="n">
        <f aca="false">-EINC!H38+IF(H$7=YEAR(Startops1),-Assm!$V$107,0)</f>
        <v>24.5089112421359</v>
      </c>
      <c r="I37" s="712" t="n">
        <f aca="false">-EINC!I38+IF(I$7=YEAR(Startops1),-Assm!$V$107,0)</f>
        <v>24.5089112421359</v>
      </c>
      <c r="J37" s="712" t="n">
        <f aca="false">-EINC!J38+IF(J$7=YEAR(Startops1),-Assm!$V$107,0)</f>
        <v>24.5089112421359</v>
      </c>
      <c r="K37" s="712" t="n">
        <f aca="false">-EINC!K38+IF(K$7=YEAR(Startops1),-Assm!$V$107,0)</f>
        <v>24.5089112421359</v>
      </c>
      <c r="L37" s="712" t="n">
        <f aca="false">-EINC!L38+IF(L$7=YEAR(Startops1),-Assm!$V$107,0)</f>
        <v>24.5089112421359</v>
      </c>
      <c r="M37" s="712" t="n">
        <f aca="false">-EINC!M38+IF(M$7=YEAR(Startops1),-Assm!$V$107,0)</f>
        <v>24.5089112421359</v>
      </c>
      <c r="N37" s="712" t="n">
        <f aca="false">-EINC!N38+IF(N$7=YEAR(Startops1),-Assm!$V$107,0)</f>
        <v>24.5089112421359</v>
      </c>
      <c r="O37" s="712" t="n">
        <f aca="false">-EINC!O38+IF(O$7=YEAR(Startops1),-Assm!$V$107,0)</f>
        <v>24.5089112421359</v>
      </c>
      <c r="P37" s="712" t="n">
        <f aca="false">-EINC!P38+IF(P$7=YEAR(Startops1),-Assm!$V$107,0)</f>
        <v>24.5089112421359</v>
      </c>
      <c r="Q37" s="712" t="n">
        <f aca="false">-EINC!Q38+IF(Q$7=YEAR(Startops1),-Assm!$V$107,0)</f>
        <v>24.5089112421359</v>
      </c>
      <c r="R37" s="712" t="n">
        <f aca="false">-EINC!R38+IF(R$7=YEAR(Startops1),-Assm!$V$107,0)</f>
        <v>24.5089112421359</v>
      </c>
      <c r="S37" s="712" t="n">
        <f aca="false">-EINC!S38+IF(S$7=YEAR(Startops1),-Assm!$V$107,0)</f>
        <v>24.5089112421359</v>
      </c>
      <c r="T37" s="712" t="n">
        <f aca="false">-EINC!T38+IF(T$7=YEAR(Startops1),-Assm!$V$107,0)</f>
        <v>24.5089112421359</v>
      </c>
      <c r="U37" s="712" t="n">
        <f aca="false">-EINC!U38+IF(U$7=YEAR(Startops1),-Assm!$V$107,0)</f>
        <v>24.5089112421359</v>
      </c>
      <c r="V37" s="712" t="n">
        <f aca="false">-EINC!V38+IF(V$7=YEAR(Startops1),-Assm!$V$107,0)</f>
        <v>24.5089112421359</v>
      </c>
      <c r="W37" s="712" t="n">
        <f aca="false">-EINC!W38+IF(W$7=YEAR(Startops1),-Assm!$V$107,0)</f>
        <v>24.5089112421359</v>
      </c>
      <c r="X37" s="712" t="n">
        <f aca="false">-EINC!X38+IF(X$7=YEAR(Startops1),-Assm!$V$107,0)</f>
        <v>24.5089112421359</v>
      </c>
      <c r="Y37" s="712" t="n">
        <f aca="false">-EINC!Y38+IF(Y$7=YEAR(Startops1),-Assm!$V$107,0)</f>
        <v>24.5089112421359</v>
      </c>
      <c r="Z37" s="712" t="n">
        <f aca="false">-EINC!Z38+IF(Z$7=YEAR(Startops1),-Assm!$V$107,0)</f>
        <v>24.5089112421359</v>
      </c>
      <c r="AA37" s="712" t="n">
        <f aca="false">-EINC!AA38+IF(AA$7=YEAR(Startops1),-Assm!$V$107,0)</f>
        <v>8.16963708071197</v>
      </c>
      <c r="AB37" s="706" t="n">
        <f aca="false">SUM(E37:AA37)</f>
        <v>0</v>
      </c>
      <c r="AC37" s="707" t="n">
        <f aca="false">IF('Project &amp; Investor Returns'!$I$3=0,F37+NPV(Disc,G37:AA37),E37+NPV(Disc,F37:AA37))</f>
        <v>-293.551440645753</v>
      </c>
      <c r="AD37" s="702"/>
      <c r="AE37" s="709"/>
      <c r="AF37" s="709"/>
      <c r="AG37" s="710"/>
      <c r="AH37" s="709"/>
      <c r="AI37" s="709"/>
      <c r="AJ37" s="709"/>
      <c r="AK37" s="709"/>
      <c r="AL37" s="709"/>
      <c r="AM37" s="709"/>
      <c r="AN37" s="709"/>
      <c r="AO37" s="709"/>
      <c r="AP37" s="709"/>
      <c r="AQ37" s="709"/>
      <c r="AR37" s="709"/>
      <c r="AS37" s="709"/>
      <c r="AT37" s="709"/>
      <c r="AU37" s="709"/>
      <c r="AV37" s="709"/>
      <c r="AW37" s="709"/>
      <c r="AX37" s="709"/>
      <c r="AY37" s="709"/>
      <c r="AZ37" s="709"/>
      <c r="BA37" s="709"/>
      <c r="BB37" s="709"/>
      <c r="BC37" s="709"/>
      <c r="BD37" s="709"/>
      <c r="BE37" s="709"/>
      <c r="BF37" s="709"/>
      <c r="BG37" s="709"/>
      <c r="BH37" s="709"/>
      <c r="BI37" s="709"/>
      <c r="BJ37" s="709"/>
      <c r="BK37" s="709"/>
      <c r="BL37" s="709"/>
      <c r="BM37" s="709"/>
      <c r="BN37" s="709"/>
      <c r="BO37" s="709"/>
      <c r="BP37" s="709"/>
      <c r="BQ37" s="709"/>
      <c r="BR37" s="709"/>
      <c r="BS37" s="709"/>
      <c r="BT37" s="709"/>
      <c r="BU37" s="709"/>
      <c r="BV37" s="709"/>
      <c r="BW37" s="709"/>
      <c r="BX37" s="709"/>
      <c r="BY37" s="709"/>
      <c r="BZ37" s="709"/>
      <c r="CA37" s="709"/>
      <c r="CB37" s="709"/>
      <c r="CC37" s="709"/>
      <c r="CD37" s="709"/>
      <c r="CE37" s="709"/>
      <c r="CF37" s="709"/>
      <c r="CG37" s="709"/>
      <c r="CH37" s="709"/>
      <c r="CI37" s="709"/>
      <c r="CJ37" s="709"/>
      <c r="CK37" s="709"/>
      <c r="CL37" s="709"/>
      <c r="CM37" s="709"/>
      <c r="CN37" s="709"/>
      <c r="CO37" s="709"/>
      <c r="CP37" s="709"/>
      <c r="CQ37" s="709"/>
      <c r="CR37" s="709"/>
      <c r="CS37" s="709"/>
      <c r="CT37" s="709"/>
      <c r="CU37" s="709"/>
      <c r="CV37" s="709"/>
      <c r="CW37" s="709"/>
      <c r="CX37" s="709"/>
      <c r="CY37" s="709"/>
      <c r="CZ37" s="709"/>
      <c r="DA37" s="709"/>
      <c r="DB37" s="709"/>
      <c r="DC37" s="709"/>
      <c r="DD37" s="709"/>
      <c r="DE37" s="709"/>
      <c r="DF37" s="709"/>
      <c r="DG37" s="709"/>
      <c r="DH37" s="709"/>
      <c r="DI37" s="709"/>
      <c r="DJ37" s="709"/>
      <c r="DK37" s="709"/>
      <c r="DL37" s="709"/>
      <c r="DM37" s="709"/>
      <c r="DN37" s="709"/>
      <c r="DO37" s="709"/>
      <c r="DP37" s="709"/>
      <c r="DQ37" s="709"/>
      <c r="DR37" s="709"/>
      <c r="DS37" s="709"/>
      <c r="DT37" s="709"/>
      <c r="DU37" s="709"/>
      <c r="DV37" s="709"/>
      <c r="DW37" s="709"/>
      <c r="DX37" s="709"/>
      <c r="DY37" s="709"/>
      <c r="DZ37" s="709"/>
      <c r="EA37" s="709"/>
      <c r="EB37" s="709"/>
      <c r="EC37" s="709"/>
      <c r="ED37" s="709"/>
      <c r="EE37" s="709"/>
      <c r="EF37" s="709"/>
      <c r="EG37" s="709"/>
      <c r="EH37" s="709"/>
      <c r="EI37" s="709"/>
      <c r="EJ37" s="709"/>
      <c r="EK37" s="709"/>
      <c r="EL37" s="709"/>
      <c r="EM37" s="709"/>
      <c r="EN37" s="709"/>
      <c r="EO37" s="709"/>
      <c r="EP37" s="709"/>
      <c r="EQ37" s="709"/>
      <c r="ER37" s="709"/>
      <c r="ES37" s="709"/>
      <c r="ET37" s="709"/>
      <c r="EU37" s="709"/>
      <c r="EV37" s="709"/>
      <c r="EW37" s="709"/>
      <c r="EX37" s="709"/>
      <c r="EY37" s="709"/>
      <c r="EZ37" s="709"/>
      <c r="FA37" s="709"/>
      <c r="FB37" s="709"/>
      <c r="FC37" s="709"/>
      <c r="FD37" s="709"/>
      <c r="FE37" s="709"/>
      <c r="FF37" s="709"/>
      <c r="FG37" s="709"/>
      <c r="FH37" s="709"/>
      <c r="FI37" s="709"/>
      <c r="FJ37" s="709"/>
      <c r="FK37" s="709"/>
      <c r="FL37" s="709"/>
      <c r="FM37" s="709"/>
      <c r="FN37" s="709"/>
      <c r="FO37" s="709"/>
      <c r="FP37" s="709"/>
      <c r="FQ37" s="709"/>
      <c r="FR37" s="709"/>
      <c r="FS37" s="709"/>
      <c r="FT37" s="709"/>
      <c r="FU37" s="709"/>
      <c r="FV37" s="709"/>
      <c r="FW37" s="709"/>
      <c r="FX37" s="709"/>
      <c r="FY37" s="709"/>
      <c r="FZ37" s="709"/>
      <c r="GA37" s="709"/>
      <c r="GB37" s="709"/>
      <c r="GC37" s="709"/>
      <c r="GD37" s="709"/>
      <c r="GE37" s="709"/>
      <c r="GF37" s="709"/>
      <c r="GG37" s="709"/>
      <c r="GH37" s="709"/>
      <c r="GI37" s="709"/>
      <c r="GJ37" s="709"/>
      <c r="GK37" s="709"/>
      <c r="GL37" s="709"/>
      <c r="GM37" s="709"/>
      <c r="GN37" s="709"/>
      <c r="GO37" s="709"/>
      <c r="GP37" s="709"/>
      <c r="GQ37" s="709"/>
      <c r="GR37" s="709"/>
      <c r="GS37" s="709"/>
      <c r="GT37" s="709"/>
      <c r="GU37" s="709"/>
      <c r="GV37" s="709"/>
      <c r="GW37" s="709"/>
      <c r="GX37" s="709"/>
      <c r="GY37" s="709"/>
      <c r="GZ37" s="709"/>
      <c r="HA37" s="709"/>
      <c r="HB37" s="709"/>
      <c r="HC37" s="709"/>
      <c r="HD37" s="709"/>
      <c r="HE37" s="709"/>
      <c r="HF37" s="709"/>
      <c r="HG37" s="709"/>
      <c r="HH37" s="709"/>
      <c r="HI37" s="709"/>
      <c r="HJ37" s="709"/>
      <c r="HK37" s="709"/>
      <c r="HL37" s="709"/>
      <c r="HM37" s="709"/>
      <c r="HN37" s="709"/>
      <c r="HO37" s="709"/>
      <c r="HP37" s="709"/>
      <c r="HQ37" s="709"/>
      <c r="HR37" s="709"/>
      <c r="HS37" s="709"/>
      <c r="HT37" s="709"/>
      <c r="HU37" s="709"/>
      <c r="HV37" s="709"/>
      <c r="HW37" s="709"/>
      <c r="HX37" s="709"/>
      <c r="HY37" s="709"/>
      <c r="HZ37" s="709"/>
      <c r="IA37" s="709"/>
      <c r="IB37" s="709"/>
      <c r="IC37" s="709"/>
      <c r="ID37" s="709"/>
      <c r="IE37" s="709"/>
      <c r="IF37" s="709"/>
      <c r="IG37" s="709"/>
      <c r="IH37" s="709"/>
      <c r="II37" s="709"/>
      <c r="IJ37" s="709"/>
      <c r="IK37" s="709"/>
      <c r="IL37" s="709"/>
      <c r="IM37" s="709"/>
      <c r="IN37" s="709"/>
      <c r="IO37" s="709"/>
      <c r="IP37" s="709"/>
      <c r="IQ37" s="709"/>
      <c r="IR37" s="709"/>
      <c r="IS37" s="709"/>
      <c r="IT37" s="709"/>
      <c r="IU37" s="709"/>
      <c r="IV37" s="709"/>
      <c r="IW37" s="709"/>
    </row>
    <row r="38" customFormat="false" ht="12.75" hidden="false" customHeight="true" outlineLevel="0" collapsed="false">
      <c r="A38" s="615"/>
      <c r="B38" s="702" t="s">
        <v>373</v>
      </c>
      <c r="C38" s="702"/>
      <c r="D38" s="703" t="s">
        <v>341</v>
      </c>
      <c r="E38" s="712" t="n">
        <f aca="false">-EINC!E39+IF(E$7=YEAR(Startops1),-Assm!$V$108,0)</f>
        <v>0</v>
      </c>
      <c r="F38" s="712" t="n">
        <f aca="false">-EINC!F39+IF(F$7=YEAR(Startops1),-Assm!$V$108,0)</f>
        <v>0</v>
      </c>
      <c r="G38" s="712" t="n">
        <f aca="false">-EINC!G39+IF(G$7=YEAR(Startops1),-Assm!$V$108,0)</f>
        <v>-2174.63900414938</v>
      </c>
      <c r="H38" s="712" t="n">
        <f aca="false">-EINC!H39+IF(H$7=YEAR(Startops1),-Assm!$V$108,0)</f>
        <v>112.48132780083</v>
      </c>
      <c r="I38" s="712" t="n">
        <f aca="false">-EINC!I39+IF(I$7=YEAR(Startops1),-Assm!$V$108,0)</f>
        <v>112.48132780083</v>
      </c>
      <c r="J38" s="712" t="n">
        <f aca="false">-EINC!J39+IF(J$7=YEAR(Startops1),-Assm!$V$108,0)</f>
        <v>112.48132780083</v>
      </c>
      <c r="K38" s="712" t="n">
        <f aca="false">-EINC!K39+IF(K$7=YEAR(Startops1),-Assm!$V$108,0)</f>
        <v>112.48132780083</v>
      </c>
      <c r="L38" s="712" t="n">
        <f aca="false">-EINC!L39+IF(L$7=YEAR(Startops1),-Assm!$V$108,0)</f>
        <v>112.48132780083</v>
      </c>
      <c r="M38" s="712" t="n">
        <f aca="false">-EINC!M39+IF(M$7=YEAR(Startops1),-Assm!$V$108,0)</f>
        <v>112.48132780083</v>
      </c>
      <c r="N38" s="712" t="n">
        <f aca="false">-EINC!N39+IF(N$7=YEAR(Startops1),-Assm!$V$108,0)</f>
        <v>112.48132780083</v>
      </c>
      <c r="O38" s="712" t="n">
        <f aca="false">-EINC!O39+IF(O$7=YEAR(Startops1),-Assm!$V$108,0)</f>
        <v>112.48132780083</v>
      </c>
      <c r="P38" s="712" t="n">
        <f aca="false">-EINC!P39+IF(P$7=YEAR(Startops1),-Assm!$V$108,0)</f>
        <v>112.48132780083</v>
      </c>
      <c r="Q38" s="712" t="n">
        <f aca="false">-EINC!Q39+IF(Q$7=YEAR(Startops1),-Assm!$V$108,0)</f>
        <v>112.48132780083</v>
      </c>
      <c r="R38" s="712" t="n">
        <f aca="false">-EINC!R39+IF(R$7=YEAR(Startops1),-Assm!$V$108,0)</f>
        <v>112.48132780083</v>
      </c>
      <c r="S38" s="712" t="n">
        <f aca="false">-EINC!S39+IF(S$7=YEAR(Startops1),-Assm!$V$108,0)</f>
        <v>112.48132780083</v>
      </c>
      <c r="T38" s="712" t="n">
        <f aca="false">-EINC!T39+IF(T$7=YEAR(Startops1),-Assm!$V$108,0)</f>
        <v>112.48132780083</v>
      </c>
      <c r="U38" s="712" t="n">
        <f aca="false">-EINC!U39+IF(U$7=YEAR(Startops1),-Assm!$V$108,0)</f>
        <v>112.48132780083</v>
      </c>
      <c r="V38" s="712" t="n">
        <f aca="false">-EINC!V39+IF(V$7=YEAR(Startops1),-Assm!$V$108,0)</f>
        <v>112.48132780083</v>
      </c>
      <c r="W38" s="712" t="n">
        <f aca="false">-EINC!W39+IF(W$7=YEAR(Startops1),-Assm!$V$108,0)</f>
        <v>112.48132780083</v>
      </c>
      <c r="X38" s="712" t="n">
        <f aca="false">-EINC!X39+IF(X$7=YEAR(Startops1),-Assm!$V$108,0)</f>
        <v>112.48132780083</v>
      </c>
      <c r="Y38" s="712" t="n">
        <f aca="false">-EINC!Y39+IF(Y$7=YEAR(Startops1),-Assm!$V$108,0)</f>
        <v>112.48132780083</v>
      </c>
      <c r="Z38" s="712" t="n">
        <f aca="false">-EINC!Z39+IF(Z$7=YEAR(Startops1),-Assm!$V$108,0)</f>
        <v>112.48132780083</v>
      </c>
      <c r="AA38" s="712" t="n">
        <f aca="false">-EINC!AA39+IF(AA$7=YEAR(Startops1),-Assm!$V$108,0)</f>
        <v>37.49377593361</v>
      </c>
      <c r="AB38" s="706" t="n">
        <f aca="false">SUM(E38:AA38)</f>
        <v>0</v>
      </c>
      <c r="AC38" s="707" t="n">
        <f aca="false">IF('Project &amp; Investor Returns'!$I$3=0,F38+NPV(Disc,G38:AA38),E38+NPV(Disc,F38:AA38))</f>
        <v>-1347.22654529485</v>
      </c>
      <c r="AD38" s="702"/>
      <c r="AE38" s="709"/>
      <c r="AF38" s="709"/>
      <c r="AG38" s="710"/>
      <c r="AH38" s="709"/>
      <c r="AI38" s="709"/>
      <c r="AJ38" s="709"/>
      <c r="AK38" s="709"/>
      <c r="AL38" s="709"/>
      <c r="AM38" s="709"/>
      <c r="AN38" s="709"/>
      <c r="AO38" s="709"/>
      <c r="AP38" s="709"/>
      <c r="AQ38" s="709"/>
      <c r="AR38" s="709"/>
      <c r="AS38" s="709"/>
      <c r="AT38" s="709"/>
      <c r="AU38" s="709"/>
      <c r="AV38" s="709"/>
      <c r="AW38" s="709"/>
      <c r="AX38" s="709"/>
      <c r="AY38" s="709"/>
      <c r="AZ38" s="709"/>
      <c r="BA38" s="709"/>
      <c r="BB38" s="709"/>
      <c r="BC38" s="709"/>
      <c r="BD38" s="709"/>
      <c r="BE38" s="709"/>
      <c r="BF38" s="709"/>
      <c r="BG38" s="709"/>
      <c r="BH38" s="709"/>
      <c r="BI38" s="709"/>
      <c r="BJ38" s="709"/>
      <c r="BK38" s="709"/>
      <c r="BL38" s="709"/>
      <c r="BM38" s="709"/>
      <c r="BN38" s="709"/>
      <c r="BO38" s="709"/>
      <c r="BP38" s="709"/>
      <c r="BQ38" s="709"/>
      <c r="BR38" s="709"/>
      <c r="BS38" s="709"/>
      <c r="BT38" s="709"/>
      <c r="BU38" s="709"/>
      <c r="BV38" s="709"/>
      <c r="BW38" s="709"/>
      <c r="BX38" s="709"/>
      <c r="BY38" s="709"/>
      <c r="BZ38" s="709"/>
      <c r="CA38" s="709"/>
      <c r="CB38" s="709"/>
      <c r="CC38" s="709"/>
      <c r="CD38" s="709"/>
      <c r="CE38" s="709"/>
      <c r="CF38" s="709"/>
      <c r="CG38" s="709"/>
      <c r="CH38" s="709"/>
      <c r="CI38" s="709"/>
      <c r="CJ38" s="709"/>
      <c r="CK38" s="709"/>
      <c r="CL38" s="709"/>
      <c r="CM38" s="709"/>
      <c r="CN38" s="709"/>
      <c r="CO38" s="709"/>
      <c r="CP38" s="709"/>
      <c r="CQ38" s="709"/>
      <c r="CR38" s="709"/>
      <c r="CS38" s="709"/>
      <c r="CT38" s="709"/>
      <c r="CU38" s="709"/>
      <c r="CV38" s="709"/>
      <c r="CW38" s="709"/>
      <c r="CX38" s="709"/>
      <c r="CY38" s="709"/>
      <c r="CZ38" s="709"/>
      <c r="DA38" s="709"/>
      <c r="DB38" s="709"/>
      <c r="DC38" s="709"/>
      <c r="DD38" s="709"/>
      <c r="DE38" s="709"/>
      <c r="DF38" s="709"/>
      <c r="DG38" s="709"/>
      <c r="DH38" s="709"/>
      <c r="DI38" s="709"/>
      <c r="DJ38" s="709"/>
      <c r="DK38" s="709"/>
      <c r="DL38" s="709"/>
      <c r="DM38" s="709"/>
      <c r="DN38" s="709"/>
      <c r="DO38" s="709"/>
      <c r="DP38" s="709"/>
      <c r="DQ38" s="709"/>
      <c r="DR38" s="709"/>
      <c r="DS38" s="709"/>
      <c r="DT38" s="709"/>
      <c r="DU38" s="709"/>
      <c r="DV38" s="709"/>
      <c r="DW38" s="709"/>
      <c r="DX38" s="709"/>
      <c r="DY38" s="709"/>
      <c r="DZ38" s="709"/>
      <c r="EA38" s="709"/>
      <c r="EB38" s="709"/>
      <c r="EC38" s="709"/>
      <c r="ED38" s="709"/>
      <c r="EE38" s="709"/>
      <c r="EF38" s="709"/>
      <c r="EG38" s="709"/>
      <c r="EH38" s="709"/>
      <c r="EI38" s="709"/>
      <c r="EJ38" s="709"/>
      <c r="EK38" s="709"/>
      <c r="EL38" s="709"/>
      <c r="EM38" s="709"/>
      <c r="EN38" s="709"/>
      <c r="EO38" s="709"/>
      <c r="EP38" s="709"/>
      <c r="EQ38" s="709"/>
      <c r="ER38" s="709"/>
      <c r="ES38" s="709"/>
      <c r="ET38" s="709"/>
      <c r="EU38" s="709"/>
      <c r="EV38" s="709"/>
      <c r="EW38" s="709"/>
      <c r="EX38" s="709"/>
      <c r="EY38" s="709"/>
      <c r="EZ38" s="709"/>
      <c r="FA38" s="709"/>
      <c r="FB38" s="709"/>
      <c r="FC38" s="709"/>
      <c r="FD38" s="709"/>
      <c r="FE38" s="709"/>
      <c r="FF38" s="709"/>
      <c r="FG38" s="709"/>
      <c r="FH38" s="709"/>
      <c r="FI38" s="709"/>
      <c r="FJ38" s="709"/>
      <c r="FK38" s="709"/>
      <c r="FL38" s="709"/>
      <c r="FM38" s="709"/>
      <c r="FN38" s="709"/>
      <c r="FO38" s="709"/>
      <c r="FP38" s="709"/>
      <c r="FQ38" s="709"/>
      <c r="FR38" s="709"/>
      <c r="FS38" s="709"/>
      <c r="FT38" s="709"/>
      <c r="FU38" s="709"/>
      <c r="FV38" s="709"/>
      <c r="FW38" s="709"/>
      <c r="FX38" s="709"/>
      <c r="FY38" s="709"/>
      <c r="FZ38" s="709"/>
      <c r="GA38" s="709"/>
      <c r="GB38" s="709"/>
      <c r="GC38" s="709"/>
      <c r="GD38" s="709"/>
      <c r="GE38" s="709"/>
      <c r="GF38" s="709"/>
      <c r="GG38" s="709"/>
      <c r="GH38" s="709"/>
      <c r="GI38" s="709"/>
      <c r="GJ38" s="709"/>
      <c r="GK38" s="709"/>
      <c r="GL38" s="709"/>
      <c r="GM38" s="709"/>
      <c r="GN38" s="709"/>
      <c r="GO38" s="709"/>
      <c r="GP38" s="709"/>
      <c r="GQ38" s="709"/>
      <c r="GR38" s="709"/>
      <c r="GS38" s="709"/>
      <c r="GT38" s="709"/>
      <c r="GU38" s="709"/>
      <c r="GV38" s="709"/>
      <c r="GW38" s="709"/>
      <c r="GX38" s="709"/>
      <c r="GY38" s="709"/>
      <c r="GZ38" s="709"/>
      <c r="HA38" s="709"/>
      <c r="HB38" s="709"/>
      <c r="HC38" s="709"/>
      <c r="HD38" s="709"/>
      <c r="HE38" s="709"/>
      <c r="HF38" s="709"/>
      <c r="HG38" s="709"/>
      <c r="HH38" s="709"/>
      <c r="HI38" s="709"/>
      <c r="HJ38" s="709"/>
      <c r="HK38" s="709"/>
      <c r="HL38" s="709"/>
      <c r="HM38" s="709"/>
      <c r="HN38" s="709"/>
      <c r="HO38" s="709"/>
      <c r="HP38" s="709"/>
      <c r="HQ38" s="709"/>
      <c r="HR38" s="709"/>
      <c r="HS38" s="709"/>
      <c r="HT38" s="709"/>
      <c r="HU38" s="709"/>
      <c r="HV38" s="709"/>
      <c r="HW38" s="709"/>
      <c r="HX38" s="709"/>
      <c r="HY38" s="709"/>
      <c r="HZ38" s="709"/>
      <c r="IA38" s="709"/>
      <c r="IB38" s="709"/>
      <c r="IC38" s="709"/>
      <c r="ID38" s="709"/>
      <c r="IE38" s="709"/>
      <c r="IF38" s="709"/>
      <c r="IG38" s="709"/>
      <c r="IH38" s="709"/>
      <c r="II38" s="709"/>
      <c r="IJ38" s="709"/>
      <c r="IK38" s="709"/>
      <c r="IL38" s="709"/>
      <c r="IM38" s="709"/>
      <c r="IN38" s="709"/>
      <c r="IO38" s="709"/>
      <c r="IP38" s="709"/>
      <c r="IQ38" s="709"/>
      <c r="IR38" s="709"/>
      <c r="IS38" s="709"/>
      <c r="IT38" s="709"/>
      <c r="IU38" s="709"/>
      <c r="IV38" s="709"/>
      <c r="IW38" s="709"/>
    </row>
    <row r="39" customFormat="false" ht="12.75" hidden="false" customHeight="false" outlineLevel="0" collapsed="false">
      <c r="A39" s="692"/>
      <c r="B39" s="682" t="s">
        <v>897</v>
      </c>
      <c r="C39" s="691" t="n">
        <f aca="false">USTax</f>
        <v>0.37</v>
      </c>
      <c r="D39" s="693"/>
      <c r="E39" s="694" t="n">
        <f aca="false">-SUM(E33:E38)*USTax</f>
        <v>-0</v>
      </c>
      <c r="F39" s="694" t="n">
        <f aca="false">-SUM(F33:F38)*USTax</f>
        <v>-1089.54085753609</v>
      </c>
      <c r="G39" s="694" t="n">
        <f aca="false">-SUM(G33:G38)*USTax</f>
        <v>213.305600181351</v>
      </c>
      <c r="H39" s="694" t="n">
        <f aca="false">-SUM(H33:H38)*USTax</f>
        <v>-365.895268804296</v>
      </c>
      <c r="I39" s="694" t="n">
        <f aca="false">-SUM(I33:I38)*USTax</f>
        <v>-256.037530212007</v>
      </c>
      <c r="J39" s="694" t="n">
        <f aca="false">-SUM(J33:J38)*USTax</f>
        <v>-272.677080121653</v>
      </c>
      <c r="K39" s="694" t="n">
        <f aca="false">-SUM(K33:K38)*USTax</f>
        <v>-283.941981144522</v>
      </c>
      <c r="L39" s="694" t="n">
        <f aca="false">-SUM(L33:L38)*USTax</f>
        <v>-277.53786734382</v>
      </c>
      <c r="M39" s="694" t="n">
        <f aca="false">-SUM(M33:M38)*USTax</f>
        <v>-271.765346627398</v>
      </c>
      <c r="N39" s="694" t="n">
        <f aca="false">-SUM(N33:N38)*USTax</f>
        <v>-269.084934127863</v>
      </c>
      <c r="O39" s="694" t="n">
        <f aca="false">-SUM(O33:O38)*USTax</f>
        <v>-267.750610705369</v>
      </c>
      <c r="P39" s="694" t="n">
        <f aca="false">-SUM(P33:P38)*USTax</f>
        <v>-275.360147437532</v>
      </c>
      <c r="Q39" s="694" t="n">
        <f aca="false">-SUM(Q33:Q38)*USTax</f>
        <v>-287.072168327744</v>
      </c>
      <c r="R39" s="694" t="n">
        <f aca="false">-SUM(R33:R38)*USTax</f>
        <v>-298.894891636048</v>
      </c>
      <c r="S39" s="694" t="n">
        <f aca="false">-SUM(S33:S38)*USTax</f>
        <v>-310.852336280532</v>
      </c>
      <c r="T39" s="694" t="n">
        <f aca="false">-SUM(T33:T38)*USTax</f>
        <v>-322.988747801506</v>
      </c>
      <c r="U39" s="694" t="n">
        <f aca="false">-SUM(U33:U38)*USTax</f>
        <v>-335.377046562796</v>
      </c>
      <c r="V39" s="694" t="n">
        <f aca="false">-SUM(V33:V38)*USTax</f>
        <v>-348.159958404478</v>
      </c>
      <c r="W39" s="694" t="n">
        <f aca="false">-SUM(W33:W38)*USTax</f>
        <v>-366.322218722461</v>
      </c>
      <c r="X39" s="694" t="n">
        <f aca="false">-SUM(X33:X38)*USTax</f>
        <v>-397.524707856199</v>
      </c>
      <c r="Y39" s="694" t="n">
        <f aca="false">-SUM(Y33:Y38)*USTax</f>
        <v>-435.744943381153</v>
      </c>
      <c r="Z39" s="694" t="n">
        <f aca="false">-SUM(Z33:Z38)*USTax</f>
        <v>-473.081532833085</v>
      </c>
      <c r="AA39" s="694" t="n">
        <f aca="false">-SUM(AA33:AA38)*USTax</f>
        <v>-101.858568870115</v>
      </c>
      <c r="AB39" s="695" t="n">
        <f aca="false">SUM(E39:AA39)</f>
        <v>-7094.16314455531</v>
      </c>
      <c r="AC39" s="696" t="n">
        <f aca="false">IF('Project &amp; Investor Returns'!$I$3=0,F39+NPV(Disc,G39:AA39),E39+NPV(Disc,F39:AA39))</f>
        <v>-2180.86571526903</v>
      </c>
      <c r="AD39" s="682"/>
      <c r="AE39" s="697"/>
      <c r="AF39" s="697"/>
      <c r="AG39" s="690"/>
      <c r="AH39" s="697"/>
      <c r="AI39" s="697"/>
      <c r="AJ39" s="697"/>
      <c r="AK39" s="697"/>
      <c r="AL39" s="697"/>
      <c r="AM39" s="697"/>
      <c r="AN39" s="697"/>
      <c r="AO39" s="697"/>
      <c r="AP39" s="697"/>
      <c r="AQ39" s="697"/>
      <c r="AR39" s="697"/>
      <c r="AS39" s="697"/>
      <c r="AT39" s="697"/>
      <c r="AU39" s="697"/>
      <c r="AV39" s="697"/>
      <c r="AW39" s="697"/>
      <c r="AX39" s="697"/>
      <c r="AY39" s="697"/>
      <c r="AZ39" s="697"/>
      <c r="BA39" s="697"/>
      <c r="BB39" s="697"/>
      <c r="BC39" s="697"/>
      <c r="BD39" s="697"/>
      <c r="BE39" s="697"/>
      <c r="BF39" s="697"/>
      <c r="BG39" s="697"/>
      <c r="BH39" s="697"/>
      <c r="BI39" s="697"/>
      <c r="BJ39" s="697"/>
      <c r="BK39" s="697"/>
      <c r="BL39" s="697"/>
      <c r="BM39" s="697"/>
      <c r="BN39" s="697"/>
      <c r="BO39" s="697"/>
      <c r="BP39" s="697"/>
      <c r="BQ39" s="697"/>
      <c r="BR39" s="697"/>
      <c r="BS39" s="697"/>
      <c r="BT39" s="697"/>
      <c r="BU39" s="697"/>
      <c r="BV39" s="697"/>
      <c r="BW39" s="697"/>
      <c r="BX39" s="697"/>
      <c r="BY39" s="697"/>
      <c r="BZ39" s="697"/>
      <c r="CA39" s="697"/>
      <c r="CB39" s="697"/>
      <c r="CC39" s="697"/>
      <c r="CD39" s="697"/>
      <c r="CE39" s="697"/>
      <c r="CF39" s="697"/>
      <c r="CG39" s="697"/>
      <c r="CH39" s="697"/>
      <c r="CI39" s="697"/>
      <c r="CJ39" s="697"/>
      <c r="CK39" s="697"/>
      <c r="CL39" s="697"/>
      <c r="CM39" s="697"/>
      <c r="CN39" s="697"/>
      <c r="CO39" s="697"/>
      <c r="CP39" s="697"/>
      <c r="CQ39" s="697"/>
      <c r="CR39" s="697"/>
      <c r="CS39" s="697"/>
      <c r="CT39" s="697"/>
      <c r="CU39" s="697"/>
      <c r="CV39" s="697"/>
      <c r="CW39" s="697"/>
      <c r="CX39" s="697"/>
      <c r="CY39" s="697"/>
      <c r="CZ39" s="697"/>
      <c r="DA39" s="697"/>
      <c r="DB39" s="697"/>
      <c r="DC39" s="697"/>
      <c r="DD39" s="697"/>
      <c r="DE39" s="697"/>
      <c r="DF39" s="697"/>
      <c r="DG39" s="697"/>
      <c r="DH39" s="697"/>
      <c r="DI39" s="697"/>
      <c r="DJ39" s="697"/>
      <c r="DK39" s="697"/>
      <c r="DL39" s="697"/>
      <c r="DM39" s="697"/>
      <c r="DN39" s="697"/>
      <c r="DO39" s="697"/>
      <c r="DP39" s="697"/>
      <c r="DQ39" s="697"/>
      <c r="DR39" s="697"/>
      <c r="DS39" s="697"/>
      <c r="DT39" s="697"/>
      <c r="DU39" s="697"/>
      <c r="DV39" s="697"/>
      <c r="DW39" s="697"/>
      <c r="DX39" s="697"/>
      <c r="DY39" s="697"/>
      <c r="DZ39" s="697"/>
      <c r="EA39" s="697"/>
      <c r="EB39" s="697"/>
      <c r="EC39" s="697"/>
      <c r="ED39" s="697"/>
      <c r="EE39" s="697"/>
      <c r="EF39" s="697"/>
      <c r="EG39" s="697"/>
      <c r="EH39" s="697"/>
      <c r="EI39" s="697"/>
      <c r="EJ39" s="697"/>
      <c r="EK39" s="697"/>
      <c r="EL39" s="697"/>
      <c r="EM39" s="697"/>
      <c r="EN39" s="697"/>
      <c r="EO39" s="697"/>
      <c r="EP39" s="697"/>
      <c r="EQ39" s="697"/>
      <c r="ER39" s="697"/>
      <c r="ES39" s="697"/>
      <c r="ET39" s="697"/>
      <c r="EU39" s="697"/>
      <c r="EV39" s="697"/>
      <c r="EW39" s="697"/>
      <c r="EX39" s="697"/>
      <c r="EY39" s="697"/>
      <c r="EZ39" s="697"/>
      <c r="FA39" s="697"/>
      <c r="FB39" s="697"/>
      <c r="FC39" s="697"/>
      <c r="FD39" s="697"/>
      <c r="FE39" s="697"/>
      <c r="FF39" s="697"/>
      <c r="FG39" s="697"/>
      <c r="FH39" s="697"/>
      <c r="FI39" s="697"/>
      <c r="FJ39" s="697"/>
      <c r="FK39" s="697"/>
      <c r="FL39" s="697"/>
      <c r="FM39" s="697"/>
      <c r="FN39" s="697"/>
      <c r="FO39" s="697"/>
      <c r="FP39" s="697"/>
      <c r="FQ39" s="697"/>
      <c r="FR39" s="697"/>
      <c r="FS39" s="697"/>
      <c r="FT39" s="697"/>
      <c r="FU39" s="697"/>
      <c r="FV39" s="697"/>
      <c r="FW39" s="697"/>
      <c r="FX39" s="697"/>
      <c r="FY39" s="697"/>
      <c r="FZ39" s="697"/>
      <c r="GA39" s="697"/>
      <c r="GB39" s="697"/>
      <c r="GC39" s="697"/>
      <c r="GD39" s="697"/>
      <c r="GE39" s="697"/>
      <c r="GF39" s="697"/>
      <c r="GG39" s="697"/>
      <c r="GH39" s="697"/>
      <c r="GI39" s="697"/>
      <c r="GJ39" s="697"/>
      <c r="GK39" s="697"/>
      <c r="GL39" s="697"/>
      <c r="GM39" s="697"/>
      <c r="GN39" s="697"/>
      <c r="GO39" s="697"/>
      <c r="GP39" s="697"/>
      <c r="GQ39" s="697"/>
      <c r="GR39" s="697"/>
      <c r="GS39" s="697"/>
      <c r="GT39" s="697"/>
      <c r="GU39" s="697"/>
      <c r="GV39" s="697"/>
      <c r="GW39" s="697"/>
      <c r="GX39" s="697"/>
      <c r="GY39" s="697"/>
      <c r="GZ39" s="697"/>
      <c r="HA39" s="697"/>
      <c r="HB39" s="697"/>
      <c r="HC39" s="697"/>
      <c r="HD39" s="697"/>
      <c r="HE39" s="697"/>
      <c r="HF39" s="697"/>
      <c r="HG39" s="697"/>
      <c r="HH39" s="697"/>
      <c r="HI39" s="697"/>
      <c r="HJ39" s="697"/>
      <c r="HK39" s="697"/>
      <c r="HL39" s="697"/>
      <c r="HM39" s="697"/>
      <c r="HN39" s="697"/>
      <c r="HO39" s="697"/>
      <c r="HP39" s="697"/>
      <c r="HQ39" s="697"/>
      <c r="HR39" s="697"/>
      <c r="HS39" s="697"/>
      <c r="HT39" s="697"/>
      <c r="HU39" s="697"/>
      <c r="HV39" s="697"/>
      <c r="HW39" s="697"/>
      <c r="HX39" s="697"/>
      <c r="HY39" s="697"/>
      <c r="HZ39" s="697"/>
      <c r="IA39" s="697"/>
      <c r="IB39" s="697"/>
      <c r="IC39" s="697"/>
      <c r="ID39" s="697"/>
      <c r="IE39" s="697"/>
      <c r="IF39" s="697"/>
      <c r="IG39" s="697"/>
      <c r="IH39" s="697"/>
      <c r="II39" s="697"/>
      <c r="IJ39" s="697"/>
      <c r="IK39" s="697"/>
      <c r="IL39" s="697"/>
      <c r="IM39" s="697"/>
      <c r="IN39" s="697"/>
      <c r="IO39" s="697"/>
      <c r="IP39" s="697"/>
      <c r="IQ39" s="697"/>
      <c r="IR39" s="697"/>
      <c r="IS39" s="697"/>
      <c r="IT39" s="697"/>
      <c r="IU39" s="697"/>
      <c r="IV39" s="697"/>
      <c r="IW39" s="697"/>
    </row>
    <row r="40" customFormat="false" ht="12.75" hidden="false" customHeight="false" outlineLevel="0" collapsed="false">
      <c r="A40" s="698"/>
      <c r="B40" s="38" t="s">
        <v>898</v>
      </c>
      <c r="E40" s="217" t="n">
        <f aca="false">SUM(E32:E39)</f>
        <v>0</v>
      </c>
      <c r="F40" s="217" t="n">
        <f aca="false">SUM(F32:F39)</f>
        <v>-59040.6162841464</v>
      </c>
      <c r="G40" s="217" t="n">
        <f aca="false">SUM(G32:G39)</f>
        <v>9638.40805366729</v>
      </c>
      <c r="H40" s="217" t="n">
        <f aca="false">SUM(H32:H39)</f>
        <v>1778.58871130808</v>
      </c>
      <c r="I40" s="217" t="n">
        <f aca="false">SUM(I32:I39)</f>
        <v>8455.97511503019</v>
      </c>
      <c r="J40" s="217" t="n">
        <f aca="false">SUM(J32:J39)</f>
        <v>1061.12038553607</v>
      </c>
      <c r="K40" s="217" t="n">
        <f aca="false">SUM(K32:K39)</f>
        <v>3452.06540661006</v>
      </c>
      <c r="L40" s="217" t="n">
        <f aca="false">SUM(L32:L39)</f>
        <v>-3962.84032513123</v>
      </c>
      <c r="M40" s="217" t="n">
        <f aca="false">SUM(M32:M39)</f>
        <v>6868.34922850315</v>
      </c>
      <c r="N40" s="217" t="n">
        <f aca="false">SUM(N32:N39)</f>
        <v>7403.42825268245</v>
      </c>
      <c r="O40" s="217" t="n">
        <f aca="false">SUM(O32:O39)</f>
        <v>5920.7864730042</v>
      </c>
      <c r="P40" s="217" t="n">
        <f aca="false">SUM(P32:P39)</f>
        <v>5125.65965913028</v>
      </c>
      <c r="Q40" s="217" t="n">
        <f aca="false">SUM(Q32:Q39)</f>
        <v>6168.34247044073</v>
      </c>
      <c r="R40" s="217" t="n">
        <f aca="false">SUM(R32:R39)</f>
        <v>6667.80136074657</v>
      </c>
      <c r="S40" s="217" t="n">
        <f aca="false">SUM(S32:S39)</f>
        <v>4290.75073280611</v>
      </c>
      <c r="T40" s="217" t="n">
        <f aca="false">SUM(T32:T39)</f>
        <v>3424.49258009993</v>
      </c>
      <c r="U40" s="217" t="n">
        <f aca="false">SUM(U32:U39)</f>
        <v>11923.184353414</v>
      </c>
      <c r="V40" s="217" t="n">
        <f aca="false">SUM(V32:V39)</f>
        <v>4883.6763738909</v>
      </c>
      <c r="W40" s="217" t="n">
        <f aca="false">SUM(W32:W39)</f>
        <v>-860.921350374191</v>
      </c>
      <c r="X40" s="217" t="n">
        <f aca="false">SUM(X32:X39)</f>
        <v>3441.709346107</v>
      </c>
      <c r="Y40" s="217" t="n">
        <f aca="false">SUM(Y32:Y39)</f>
        <v>2690.79715989055</v>
      </c>
      <c r="Z40" s="217" t="n">
        <f aca="false">SUM(Z32:Z39)</f>
        <v>3468.70882005393</v>
      </c>
      <c r="AA40" s="217" t="n">
        <f aca="false">SUM(AA32:AA39)</f>
        <v>3437.89385988621</v>
      </c>
      <c r="AB40" s="574" t="n">
        <f aca="false">SUM(E40:AA40)</f>
        <v>36237.3603831558</v>
      </c>
      <c r="AC40" s="574" t="n">
        <f aca="false">SUM(AC32:AC39)</f>
        <v>-34012.3991476717</v>
      </c>
      <c r="AE40" s="666"/>
      <c r="AF40" s="666"/>
      <c r="AG40" s="666"/>
      <c r="AH40" s="666"/>
      <c r="AI40" s="666"/>
      <c r="AJ40" s="666"/>
      <c r="AK40" s="666"/>
      <c r="AL40" s="666"/>
      <c r="AM40" s="666"/>
      <c r="AN40" s="666"/>
      <c r="AO40" s="666"/>
      <c r="AP40" s="666"/>
      <c r="AQ40" s="666"/>
      <c r="AR40" s="666"/>
      <c r="AS40" s="666"/>
      <c r="AT40" s="666"/>
      <c r="AU40" s="666"/>
      <c r="AV40" s="666"/>
      <c r="AW40" s="666"/>
      <c r="AX40" s="666"/>
      <c r="AY40" s="666"/>
      <c r="AZ40" s="666"/>
      <c r="BA40" s="666"/>
      <c r="BB40" s="666"/>
      <c r="BC40" s="666"/>
      <c r="BD40" s="666"/>
      <c r="BE40" s="666"/>
      <c r="BF40" s="666"/>
      <c r="BG40" s="666"/>
      <c r="BH40" s="666"/>
      <c r="BI40" s="666"/>
      <c r="BJ40" s="666"/>
      <c r="BK40" s="666"/>
      <c r="BL40" s="666"/>
      <c r="BM40" s="666"/>
      <c r="BN40" s="666"/>
      <c r="BO40" s="666"/>
      <c r="BP40" s="666"/>
      <c r="BQ40" s="666"/>
      <c r="BR40" s="666"/>
      <c r="BS40" s="666"/>
      <c r="BT40" s="666"/>
      <c r="BU40" s="666"/>
      <c r="BV40" s="666"/>
      <c r="BW40" s="666"/>
      <c r="BX40" s="666"/>
      <c r="BY40" s="666"/>
      <c r="BZ40" s="666"/>
      <c r="CA40" s="666"/>
      <c r="CB40" s="666"/>
      <c r="CC40" s="666"/>
      <c r="CD40" s="666"/>
      <c r="CE40" s="666"/>
      <c r="CF40" s="666"/>
      <c r="CG40" s="666"/>
      <c r="CH40" s="666"/>
      <c r="CI40" s="666"/>
      <c r="CJ40" s="666"/>
      <c r="CK40" s="666"/>
      <c r="CL40" s="666"/>
      <c r="CM40" s="666"/>
      <c r="CN40" s="666"/>
      <c r="CO40" s="666"/>
      <c r="CP40" s="666"/>
      <c r="CQ40" s="666"/>
      <c r="CR40" s="666"/>
      <c r="CS40" s="666"/>
      <c r="CT40" s="666"/>
      <c r="CU40" s="666"/>
      <c r="CV40" s="666"/>
      <c r="CW40" s="666"/>
      <c r="CX40" s="666"/>
      <c r="CY40" s="666"/>
      <c r="CZ40" s="666"/>
      <c r="DA40" s="666"/>
      <c r="DB40" s="666"/>
      <c r="DC40" s="666"/>
      <c r="DD40" s="666"/>
      <c r="DE40" s="666"/>
      <c r="DF40" s="666"/>
      <c r="DG40" s="666"/>
      <c r="DH40" s="666"/>
      <c r="DI40" s="666"/>
      <c r="DJ40" s="666"/>
      <c r="DK40" s="666"/>
      <c r="DL40" s="666"/>
      <c r="DM40" s="666"/>
      <c r="DN40" s="666"/>
      <c r="DO40" s="666"/>
      <c r="DP40" s="666"/>
      <c r="DQ40" s="666"/>
      <c r="DR40" s="666"/>
      <c r="DS40" s="666"/>
      <c r="DT40" s="666"/>
      <c r="DU40" s="666"/>
      <c r="DV40" s="666"/>
      <c r="DW40" s="666"/>
      <c r="DX40" s="666"/>
      <c r="DY40" s="666"/>
      <c r="DZ40" s="666"/>
      <c r="EA40" s="666"/>
      <c r="EB40" s="666"/>
      <c r="EC40" s="666"/>
      <c r="ED40" s="666"/>
      <c r="EE40" s="666"/>
      <c r="EF40" s="666"/>
      <c r="EG40" s="666"/>
      <c r="EH40" s="666"/>
      <c r="EI40" s="666"/>
      <c r="EJ40" s="666"/>
      <c r="EK40" s="666"/>
      <c r="EL40" s="666"/>
      <c r="EM40" s="666"/>
      <c r="EN40" s="666"/>
      <c r="EO40" s="666"/>
      <c r="EP40" s="666"/>
      <c r="EQ40" s="666"/>
      <c r="ER40" s="666"/>
      <c r="ES40" s="666"/>
      <c r="ET40" s="666"/>
      <c r="EU40" s="666"/>
      <c r="EV40" s="666"/>
      <c r="EW40" s="666"/>
      <c r="EX40" s="666"/>
      <c r="EY40" s="666"/>
      <c r="EZ40" s="666"/>
      <c r="FA40" s="666"/>
      <c r="FB40" s="666"/>
      <c r="FC40" s="666"/>
      <c r="FD40" s="666"/>
      <c r="FE40" s="666"/>
      <c r="FF40" s="666"/>
      <c r="FG40" s="666"/>
      <c r="FH40" s="666"/>
      <c r="FI40" s="666"/>
      <c r="FJ40" s="666"/>
      <c r="FK40" s="666"/>
      <c r="FL40" s="666"/>
      <c r="FM40" s="666"/>
      <c r="FN40" s="666"/>
      <c r="FO40" s="666"/>
      <c r="FP40" s="666"/>
      <c r="FQ40" s="666"/>
      <c r="FR40" s="666"/>
      <c r="FS40" s="666"/>
      <c r="FT40" s="666"/>
      <c r="FU40" s="666"/>
      <c r="FV40" s="666"/>
      <c r="FW40" s="666"/>
      <c r="FX40" s="666"/>
      <c r="FY40" s="666"/>
      <c r="FZ40" s="666"/>
      <c r="GA40" s="666"/>
      <c r="GB40" s="666"/>
      <c r="GC40" s="666"/>
      <c r="GD40" s="666"/>
      <c r="GE40" s="666"/>
      <c r="GF40" s="666"/>
      <c r="GG40" s="666"/>
      <c r="GH40" s="666"/>
      <c r="GI40" s="666"/>
      <c r="GJ40" s="666"/>
      <c r="GK40" s="666"/>
      <c r="GL40" s="666"/>
      <c r="GM40" s="666"/>
      <c r="GN40" s="666"/>
      <c r="GO40" s="666"/>
      <c r="GP40" s="666"/>
      <c r="GQ40" s="666"/>
      <c r="GR40" s="666"/>
      <c r="GS40" s="666"/>
      <c r="GT40" s="666"/>
      <c r="GU40" s="666"/>
      <c r="GV40" s="666"/>
      <c r="GW40" s="666"/>
      <c r="GX40" s="666"/>
      <c r="GY40" s="666"/>
      <c r="GZ40" s="666"/>
      <c r="HA40" s="666"/>
      <c r="HB40" s="666"/>
      <c r="HC40" s="666"/>
      <c r="HD40" s="666"/>
      <c r="HE40" s="666"/>
      <c r="HF40" s="666"/>
      <c r="HG40" s="666"/>
      <c r="HH40" s="666"/>
      <c r="HI40" s="666"/>
      <c r="HJ40" s="666"/>
      <c r="HK40" s="666"/>
      <c r="HL40" s="666"/>
      <c r="HM40" s="666"/>
      <c r="HN40" s="666"/>
      <c r="HO40" s="666"/>
      <c r="HP40" s="666"/>
      <c r="HQ40" s="666"/>
      <c r="HR40" s="666"/>
      <c r="HS40" s="666"/>
      <c r="HT40" s="666"/>
      <c r="HU40" s="666"/>
      <c r="HV40" s="666"/>
      <c r="HW40" s="666"/>
      <c r="HX40" s="666"/>
      <c r="HY40" s="666"/>
      <c r="HZ40" s="666"/>
      <c r="IA40" s="666"/>
      <c r="IB40" s="666"/>
      <c r="IC40" s="666"/>
      <c r="ID40" s="666"/>
      <c r="IE40" s="666"/>
      <c r="IF40" s="666"/>
      <c r="IG40" s="666"/>
      <c r="IH40" s="666"/>
      <c r="II40" s="666"/>
      <c r="IJ40" s="666"/>
      <c r="IK40" s="666"/>
      <c r="IL40" s="666"/>
      <c r="IM40" s="666"/>
      <c r="IN40" s="666"/>
      <c r="IO40" s="666"/>
      <c r="IP40" s="666"/>
      <c r="IQ40" s="666"/>
      <c r="IR40" s="666"/>
      <c r="IS40" s="666"/>
      <c r="IT40" s="666"/>
      <c r="IU40" s="666"/>
      <c r="IV40" s="666"/>
      <c r="IW40" s="666"/>
    </row>
    <row r="41" customFormat="false" ht="12.75" hidden="false" customHeight="false" outlineLevel="0" collapsed="false">
      <c r="A41" s="698"/>
      <c r="E41" s="668" t="n">
        <f aca="false">SUM(E33:E39)</f>
        <v>0</v>
      </c>
      <c r="F41" s="668" t="n">
        <f aca="false">SUM(F33:F39)</f>
        <v>1855.16416283172</v>
      </c>
      <c r="G41" s="668" t="n">
        <f aca="false">SUM(G33:G39)</f>
        <v>-363.196021930408</v>
      </c>
      <c r="H41" s="668" t="n">
        <f aca="false">SUM(H33:H39)</f>
        <v>623.010863099206</v>
      </c>
      <c r="I41" s="668" t="n">
        <f aca="false">SUM(I33:I39)</f>
        <v>435.955794685308</v>
      </c>
      <c r="J41" s="668" t="n">
        <f aca="false">SUM(J33:J39)</f>
        <v>464.28800128822</v>
      </c>
      <c r="K41" s="668" t="n">
        <f aca="false">SUM(K33:K39)</f>
        <v>483.468778705538</v>
      </c>
      <c r="L41" s="668" t="n">
        <f aca="false">SUM(L33:L39)</f>
        <v>472.564476828667</v>
      </c>
      <c r="M41" s="668" t="n">
        <f aca="false">SUM(M33:M39)</f>
        <v>462.735590203407</v>
      </c>
      <c r="N41" s="668" t="n">
        <f aca="false">SUM(N33:N39)</f>
        <v>458.171644596091</v>
      </c>
      <c r="O41" s="668" t="n">
        <f aca="false">SUM(O33:O39)</f>
        <v>455.899688498331</v>
      </c>
      <c r="P41" s="668" t="n">
        <f aca="false">SUM(P33:P39)</f>
        <v>468.8564672585</v>
      </c>
      <c r="Q41" s="668" t="n">
        <f aca="false">SUM(Q33:Q39)</f>
        <v>488.798556882375</v>
      </c>
      <c r="R41" s="668" t="n">
        <f aca="false">SUM(R33:R39)</f>
        <v>508.929139812731</v>
      </c>
      <c r="S41" s="668" t="n">
        <f aca="false">SUM(S33:S39)</f>
        <v>529.289113126312</v>
      </c>
      <c r="T41" s="668" t="n">
        <f aca="false">SUM(T33:T39)</f>
        <v>549.953813824186</v>
      </c>
      <c r="U41" s="668" t="n">
        <f aca="false">SUM(U33:U39)</f>
        <v>571.047403606923</v>
      </c>
      <c r="V41" s="668" t="n">
        <f aca="false">SUM(V33:V39)</f>
        <v>592.812902148166</v>
      </c>
      <c r="W41" s="668" t="n">
        <f aca="false">SUM(W33:W39)</f>
        <v>623.737831878784</v>
      </c>
      <c r="X41" s="668" t="n">
        <f aca="false">SUM(X33:X39)</f>
        <v>676.866394457852</v>
      </c>
      <c r="Y41" s="668" t="n">
        <f aca="false">SUM(Y33:Y39)</f>
        <v>741.944092784126</v>
      </c>
      <c r="Z41" s="668" t="n">
        <f aca="false">SUM(Z33:Z39)</f>
        <v>805.517204553631</v>
      </c>
      <c r="AA41" s="668" t="n">
        <f aca="false">SUM(AA33:AA39)</f>
        <v>173.434860508575</v>
      </c>
      <c r="AB41" s="669" t="n">
        <f aca="false">SUM(AB33:AB39)</f>
        <v>12079.2507596482</v>
      </c>
      <c r="AC41" s="669" t="n">
        <f aca="false">SUM(AC33:AC39)</f>
        <v>3713.36594762023</v>
      </c>
      <c r="AE41" s="666"/>
      <c r="AF41" s="666"/>
      <c r="AG41" s="666"/>
      <c r="AH41" s="666"/>
      <c r="AI41" s="666"/>
      <c r="AJ41" s="666"/>
      <c r="AK41" s="666"/>
      <c r="AL41" s="666"/>
      <c r="AM41" s="666"/>
      <c r="AN41" s="666"/>
      <c r="AO41" s="666"/>
      <c r="AP41" s="666"/>
      <c r="AQ41" s="666"/>
      <c r="AR41" s="666"/>
      <c r="AS41" s="666"/>
      <c r="AT41" s="666"/>
      <c r="AU41" s="666"/>
      <c r="AV41" s="666"/>
      <c r="AW41" s="666"/>
      <c r="AX41" s="666"/>
      <c r="AY41" s="666"/>
      <c r="AZ41" s="666"/>
      <c r="BA41" s="666"/>
      <c r="BB41" s="666"/>
      <c r="BC41" s="666"/>
      <c r="BD41" s="666"/>
      <c r="BE41" s="666"/>
      <c r="BF41" s="666"/>
      <c r="BG41" s="666"/>
      <c r="BH41" s="666"/>
      <c r="BI41" s="666"/>
      <c r="BJ41" s="666"/>
      <c r="BK41" s="666"/>
      <c r="BL41" s="666"/>
      <c r="BM41" s="666"/>
      <c r="BN41" s="666"/>
      <c r="BO41" s="666"/>
      <c r="BP41" s="666"/>
      <c r="BQ41" s="666"/>
      <c r="BR41" s="666"/>
      <c r="BS41" s="666"/>
      <c r="BT41" s="666"/>
      <c r="BU41" s="666"/>
      <c r="BV41" s="666"/>
      <c r="BW41" s="666"/>
      <c r="BX41" s="666"/>
      <c r="BY41" s="666"/>
      <c r="BZ41" s="666"/>
      <c r="CA41" s="666"/>
      <c r="CB41" s="666"/>
      <c r="CC41" s="666"/>
      <c r="CD41" s="666"/>
      <c r="CE41" s="666"/>
      <c r="CF41" s="666"/>
      <c r="CG41" s="666"/>
      <c r="CH41" s="666"/>
      <c r="CI41" s="666"/>
      <c r="CJ41" s="666"/>
      <c r="CK41" s="666"/>
      <c r="CL41" s="666"/>
      <c r="CM41" s="666"/>
      <c r="CN41" s="666"/>
      <c r="CO41" s="666"/>
      <c r="CP41" s="666"/>
      <c r="CQ41" s="666"/>
      <c r="CR41" s="666"/>
      <c r="CS41" s="666"/>
      <c r="CT41" s="666"/>
      <c r="CU41" s="666"/>
      <c r="CV41" s="666"/>
      <c r="CW41" s="666"/>
      <c r="CX41" s="666"/>
      <c r="CY41" s="666"/>
      <c r="CZ41" s="666"/>
      <c r="DA41" s="666"/>
      <c r="DB41" s="666"/>
      <c r="DC41" s="666"/>
      <c r="DD41" s="666"/>
      <c r="DE41" s="666"/>
      <c r="DF41" s="666"/>
      <c r="DG41" s="666"/>
      <c r="DH41" s="666"/>
      <c r="DI41" s="666"/>
      <c r="DJ41" s="666"/>
      <c r="DK41" s="666"/>
      <c r="DL41" s="666"/>
      <c r="DM41" s="666"/>
      <c r="DN41" s="666"/>
      <c r="DO41" s="666"/>
      <c r="DP41" s="666"/>
      <c r="DQ41" s="666"/>
      <c r="DR41" s="666"/>
      <c r="DS41" s="666"/>
      <c r="DT41" s="666"/>
      <c r="DU41" s="666"/>
      <c r="DV41" s="666"/>
      <c r="DW41" s="666"/>
      <c r="DX41" s="666"/>
      <c r="DY41" s="666"/>
      <c r="DZ41" s="666"/>
      <c r="EA41" s="666"/>
      <c r="EB41" s="666"/>
      <c r="EC41" s="666"/>
      <c r="ED41" s="666"/>
      <c r="EE41" s="666"/>
      <c r="EF41" s="666"/>
      <c r="EG41" s="666"/>
      <c r="EH41" s="666"/>
      <c r="EI41" s="666"/>
      <c r="EJ41" s="666"/>
      <c r="EK41" s="666"/>
      <c r="EL41" s="666"/>
      <c r="EM41" s="666"/>
      <c r="EN41" s="666"/>
      <c r="EO41" s="666"/>
      <c r="EP41" s="666"/>
      <c r="EQ41" s="666"/>
      <c r="ER41" s="666"/>
      <c r="ES41" s="666"/>
      <c r="ET41" s="666"/>
      <c r="EU41" s="666"/>
      <c r="EV41" s="666"/>
      <c r="EW41" s="666"/>
      <c r="EX41" s="666"/>
      <c r="EY41" s="666"/>
      <c r="EZ41" s="666"/>
      <c r="FA41" s="666"/>
      <c r="FB41" s="666"/>
      <c r="FC41" s="666"/>
      <c r="FD41" s="666"/>
      <c r="FE41" s="666"/>
      <c r="FF41" s="666"/>
      <c r="FG41" s="666"/>
      <c r="FH41" s="666"/>
      <c r="FI41" s="666"/>
      <c r="FJ41" s="666"/>
      <c r="FK41" s="666"/>
      <c r="FL41" s="666"/>
      <c r="FM41" s="666"/>
      <c r="FN41" s="666"/>
      <c r="FO41" s="666"/>
      <c r="FP41" s="666"/>
      <c r="FQ41" s="666"/>
      <c r="FR41" s="666"/>
      <c r="FS41" s="666"/>
      <c r="FT41" s="666"/>
      <c r="FU41" s="666"/>
      <c r="FV41" s="666"/>
      <c r="FW41" s="666"/>
      <c r="FX41" s="666"/>
      <c r="FY41" s="666"/>
      <c r="FZ41" s="666"/>
      <c r="GA41" s="666"/>
      <c r="GB41" s="666"/>
      <c r="GC41" s="666"/>
      <c r="GD41" s="666"/>
      <c r="GE41" s="666"/>
      <c r="GF41" s="666"/>
      <c r="GG41" s="666"/>
      <c r="GH41" s="666"/>
      <c r="GI41" s="666"/>
      <c r="GJ41" s="666"/>
      <c r="GK41" s="666"/>
      <c r="GL41" s="666"/>
      <c r="GM41" s="666"/>
      <c r="GN41" s="666"/>
      <c r="GO41" s="666"/>
      <c r="GP41" s="666"/>
      <c r="GQ41" s="666"/>
      <c r="GR41" s="666"/>
      <c r="GS41" s="666"/>
      <c r="GT41" s="666"/>
      <c r="GU41" s="666"/>
      <c r="GV41" s="666"/>
      <c r="GW41" s="666"/>
      <c r="GX41" s="666"/>
      <c r="GY41" s="666"/>
      <c r="GZ41" s="666"/>
      <c r="HA41" s="666"/>
      <c r="HB41" s="666"/>
      <c r="HC41" s="666"/>
      <c r="HD41" s="666"/>
      <c r="HE41" s="666"/>
      <c r="HF41" s="666"/>
      <c r="HG41" s="666"/>
      <c r="HH41" s="666"/>
      <c r="HI41" s="666"/>
      <c r="HJ41" s="666"/>
      <c r="HK41" s="666"/>
      <c r="HL41" s="666"/>
      <c r="HM41" s="666"/>
      <c r="HN41" s="666"/>
      <c r="HO41" s="666"/>
      <c r="HP41" s="666"/>
      <c r="HQ41" s="666"/>
      <c r="HR41" s="666"/>
      <c r="HS41" s="666"/>
      <c r="HT41" s="666"/>
      <c r="HU41" s="666"/>
      <c r="HV41" s="666"/>
      <c r="HW41" s="666"/>
      <c r="HX41" s="666"/>
      <c r="HY41" s="666"/>
      <c r="HZ41" s="666"/>
      <c r="IA41" s="666"/>
      <c r="IB41" s="666"/>
      <c r="IC41" s="666"/>
      <c r="ID41" s="666"/>
      <c r="IE41" s="666"/>
      <c r="IF41" s="666"/>
      <c r="IG41" s="666"/>
      <c r="IH41" s="666"/>
      <c r="II41" s="666"/>
      <c r="IJ41" s="666"/>
      <c r="IK41" s="666"/>
      <c r="IL41" s="666"/>
      <c r="IM41" s="666"/>
      <c r="IN41" s="666"/>
      <c r="IO41" s="666"/>
      <c r="IP41" s="666"/>
      <c r="IQ41" s="666"/>
      <c r="IR41" s="666"/>
      <c r="IS41" s="666"/>
      <c r="IT41" s="666"/>
      <c r="IU41" s="666"/>
      <c r="IV41" s="666"/>
      <c r="IW41" s="666"/>
    </row>
    <row r="42" customFormat="false" ht="12.75" hidden="false" customHeight="false" outlineLevel="0" collapsed="false">
      <c r="A42" s="37"/>
      <c r="B42" s="38" t="s">
        <v>899</v>
      </c>
      <c r="C42" s="702"/>
      <c r="E42" s="645" t="n">
        <f aca="false">$E40</f>
        <v>0</v>
      </c>
      <c r="F42" s="645" t="n">
        <f aca="false">IF($I$3=0,$F40,$E40+NPV(Disc,$F40:F40))</f>
        <v>-59040.6162841464</v>
      </c>
      <c r="G42" s="217" t="n">
        <f aca="false">IF($I$3=0,$F40+NPV(Disc,$G40:G40),$E40+NPV(Disc,$F40:G40))</f>
        <v>-50941.1137180395</v>
      </c>
      <c r="H42" s="217" t="n">
        <f aca="false">IF($I$3=0,$F40+NPV(Disc,$G40:H40),$E40+NPV(Disc,$F40:H40))</f>
        <v>-49685.1369428766</v>
      </c>
      <c r="I42" s="217" t="n">
        <f aca="false">IF($I$3=0,$F40+NPV(Disc,$G40:I40),$E40+NPV(Disc,$F40:I40))</f>
        <v>-44667.2275853441</v>
      </c>
      <c r="J42" s="217" t="n">
        <f aca="false">IF($I$3=0,$F40+NPV(Disc,$G40:J40),$E40+NPV(Disc,$F40:J40))</f>
        <v>-44138.0800075954</v>
      </c>
      <c r="K42" s="217" t="n">
        <f aca="false">IF($I$3=0,$F40+NPV(Disc,$G40:K40),$E40+NPV(Disc,$F40:K40))</f>
        <v>-42691.4941705427</v>
      </c>
      <c r="L42" s="217" t="n">
        <f aca="false">IF($I$3=0,$F40+NPV(Disc,$G40:L40),$E40+NPV(Disc,$F40:L40))</f>
        <v>-44086.9779901614</v>
      </c>
      <c r="M42" s="217" t="n">
        <f aca="false">IF($I$3=0,$F40+NPV(Disc,$G40:M40),$E40+NPV(Disc,$F40:M40))</f>
        <v>-42054.5103511962</v>
      </c>
      <c r="N42" s="217" t="n">
        <f aca="false">IF($I$3=0,$F40+NPV(Disc,$G40:N40),$E40+NPV(Disc,$F40:N40))</f>
        <v>-40213.4959709392</v>
      </c>
      <c r="O42" s="217" t="n">
        <f aca="false">IF($I$3=0,$F40+NPV(Disc,$G40:O40),$E40+NPV(Disc,$F40:O40))</f>
        <v>-38976.2480108152</v>
      </c>
      <c r="P42" s="217" t="n">
        <f aca="false">IF($I$3=0,$F40+NPV(Disc,$G40:P40),$E40+NPV(Disc,$F40:P40))</f>
        <v>-38076.169999807</v>
      </c>
      <c r="Q42" s="217" t="n">
        <f aca="false">IF($I$3=0,$F40+NPV(Disc,$G40:Q40),$E40+NPV(Disc,$F40:Q40))</f>
        <v>-37165.9384121301</v>
      </c>
      <c r="R42" s="217" t="n">
        <f aca="false">IF($I$3=0,$F40+NPV(Disc,$G40:R40),$E40+NPV(Disc,$F40:R40))</f>
        <v>-36339.1029084038</v>
      </c>
      <c r="S42" s="217" t="n">
        <f aca="false">IF($I$3=0,$F40+NPV(Disc,$G40:S40),$E40+NPV(Disc,$F40:S40))</f>
        <v>-35891.9842564515</v>
      </c>
      <c r="T42" s="217" t="n">
        <f aca="false">IF($I$3=0,$F40+NPV(Disc,$G40:T40),$E40+NPV(Disc,$F40:T40))</f>
        <v>-35592.1102859095</v>
      </c>
      <c r="U42" s="217" t="n">
        <f aca="false">IF($I$3=0,$F40+NPV(Disc,$G40:U40),$E40+NPV(Disc,$F40:U40))</f>
        <v>-34714.7300683349</v>
      </c>
      <c r="V42" s="217" t="n">
        <f aca="false">IF($I$3=0,$F40+NPV(Disc,$G40:V40),$E40+NPV(Disc,$F40:V40))</f>
        <v>-34412.7380291997</v>
      </c>
      <c r="W42" s="217" t="n">
        <f aca="false">IF($I$3=0,$F40+NPV(Disc,$G40:W40),$E40+NPV(Disc,$F40:W40))</f>
        <v>-34457.4748517103</v>
      </c>
      <c r="X42" s="217" t="n">
        <f aca="false">IF($I$3=0,$F40+NPV(Disc,$G40:X40),$E40+NPV(Disc,$F40:X40))</f>
        <v>-34307.1852664016</v>
      </c>
      <c r="Y42" s="217" t="n">
        <f aca="false">IF($I$3=0,$F40+NPV(Disc,$G40:Y40),$E40+NPV(Disc,$F40:Y40))</f>
        <v>-34208.446273299</v>
      </c>
      <c r="Z42" s="217" t="n">
        <f aca="false">IF($I$3=0,$F40+NPV(Disc,$G40:Z40),$E40+NPV(Disc,$F40:Z40))</f>
        <v>-34101.4844944896</v>
      </c>
      <c r="AA42" s="217" t="n">
        <f aca="false">IF($I$3=0,$F40+NPV(Disc,$G40:AA40),$E40+NPV(Disc,$F40:AA40))</f>
        <v>-34012.3991476717</v>
      </c>
      <c r="AB42" s="640"/>
      <c r="AC42" s="574" t="n">
        <f aca="false">AC40</f>
        <v>-34012.3991476717</v>
      </c>
      <c r="AD42" s="668" t="n">
        <f aca="false">NPV(Disc,F41:AA41)+E41</f>
        <v>3120.47558623549</v>
      </c>
    </row>
    <row r="43" customFormat="false" ht="12.75" hidden="false" customHeight="false" outlineLevel="0" collapsed="false">
      <c r="A43" s="37"/>
      <c r="B43" s="38" t="s">
        <v>900</v>
      </c>
      <c r="E43" s="260" t="e">
        <f aca="false">IRR($E40:E40,-0.9)</f>
        <v>#N/A</v>
      </c>
      <c r="F43" s="260" t="e">
        <f aca="false">IRR($E40:F40,-0.9)</f>
        <v>#N/A</v>
      </c>
      <c r="G43" s="260" t="n">
        <f aca="false">IRR($E40:G40,-0.9)</f>
        <v>-0.836749535145772</v>
      </c>
      <c r="H43" s="260" t="n">
        <f aca="false">IRR($E40:H40,-0.9)</f>
        <v>-0.726574059382159</v>
      </c>
      <c r="I43" s="260" t="n">
        <f aca="false">IRR($E40:I40,-0.9)</f>
        <v>-0.395279133440239</v>
      </c>
      <c r="J43" s="260" t="n">
        <f aca="false">IRR($E40:J40,-0.9)</f>
        <v>-0.364572905457058</v>
      </c>
      <c r="K43" s="260" t="n">
        <f aca="false">IRR($E40:K40,-0.9)</f>
        <v>-0.271484101837672</v>
      </c>
      <c r="L43" s="260" t="e">
        <f aca="false">IRR($E40:L40,-0.9)</f>
        <v>#N/A</v>
      </c>
      <c r="M43" s="260" t="e">
        <f aca="false">IRR($E40:M40,-0.9)</f>
        <v>#N/A</v>
      </c>
      <c r="N43" s="260" t="e">
        <f aca="false">IRR($E40:N40,-0.9)</f>
        <v>#N/A</v>
      </c>
      <c r="O43" s="260" t="e">
        <f aca="false">IRR($E40:O40,-0.9)</f>
        <v>#N/A</v>
      </c>
      <c r="P43" s="260" t="e">
        <f aca="false">IRR($E40:P40,-0.9)</f>
        <v>#N/A</v>
      </c>
      <c r="Q43" s="260" t="e">
        <f aca="false">IRR($E40:Q40,-0.9)</f>
        <v>#N/A</v>
      </c>
      <c r="R43" s="260" t="e">
        <f aca="false">IRR($E40:R40,-0.9)</f>
        <v>#N/A</v>
      </c>
      <c r="S43" s="260" t="e">
        <f aca="false">IRR($E40:S40,-0.9)</f>
        <v>#N/A</v>
      </c>
      <c r="T43" s="260" t="e">
        <f aca="false">IRR($E40:T40,-0.9)</f>
        <v>#N/A</v>
      </c>
      <c r="U43" s="260" t="e">
        <f aca="false">IRR($E40:U40,-0.9)</f>
        <v>#N/A</v>
      </c>
      <c r="V43" s="260" t="e">
        <f aca="false">IRR($E40:V40,-0.9)</f>
        <v>#N/A</v>
      </c>
      <c r="W43" s="260" t="n">
        <f aca="false">IRR($E40:W40,-0.9)</f>
        <v>-0.868115789981626</v>
      </c>
      <c r="X43" s="260" t="e">
        <f aca="false">IRR($E40:X40,-0.9)</f>
        <v>#N/A</v>
      </c>
      <c r="Y43" s="260" t="e">
        <f aca="false">IRR($E40:Y40,-0.9)</f>
        <v>#N/A</v>
      </c>
      <c r="Z43" s="260" t="e">
        <f aca="false">IRR($E40:Z40,-0.9)</f>
        <v>#N/A</v>
      </c>
      <c r="AA43" s="260" t="e">
        <f aca="false">IRR($E40:AA40,-0.9)</f>
        <v>#N/A</v>
      </c>
      <c r="AB43" s="638"/>
      <c r="AC43" s="646" t="e">
        <f aca="false">IRR(E40:AA40,-0.9)</f>
        <v>#N/A</v>
      </c>
      <c r="AD43" s="670" t="str">
        <f aca="false">IF(ISERROR(IRR(E41:AA41,-0.9)),"Infinite",IRR(E41:AA41,-0.9))</f>
        <v>Infinite</v>
      </c>
    </row>
    <row r="44" customFormat="false" ht="12.75" hidden="false" customHeight="true" outlineLevel="0" collapsed="false">
      <c r="A44" s="37"/>
      <c r="C44" s="671" t="s">
        <v>908</v>
      </c>
      <c r="D44" s="671" t="s">
        <v>909</v>
      </c>
      <c r="E44" s="637"/>
      <c r="F44" s="637"/>
      <c r="G44" s="637"/>
      <c r="H44" s="637"/>
      <c r="I44" s="637"/>
      <c r="J44" s="637"/>
      <c r="K44" s="637"/>
      <c r="L44" s="637"/>
      <c r="M44" s="637"/>
      <c r="N44" s="637"/>
      <c r="O44" s="637"/>
      <c r="P44" s="637"/>
      <c r="Q44" s="637"/>
      <c r="R44" s="637"/>
      <c r="S44" s="637"/>
      <c r="T44" s="637"/>
      <c r="U44" s="637"/>
      <c r="V44" s="637"/>
      <c r="W44" s="637"/>
      <c r="X44" s="637"/>
      <c r="Y44" s="637"/>
      <c r="Z44" s="637"/>
      <c r="AA44" s="637"/>
      <c r="AB44" s="638"/>
      <c r="AC44" s="555"/>
    </row>
    <row r="45" customFormat="false" ht="12.75" hidden="false" customHeight="false" outlineLevel="0" collapsed="false">
      <c r="A45" s="37"/>
      <c r="B45" s="647" t="str">
        <f aca="false">CONCATENATE("Enron NPV @ ",TEXT(Disc,"0.0%"))</f>
        <v>Enron NPV @ 19.0%</v>
      </c>
      <c r="C45" s="672" t="n">
        <f aca="false">AC42</f>
        <v>-34012.3991476717</v>
      </c>
      <c r="D45" s="648" t="n">
        <f aca="false">AD42</f>
        <v>3120.47558623549</v>
      </c>
      <c r="F45" s="649"/>
      <c r="G45" s="649"/>
      <c r="H45" s="649"/>
      <c r="I45" s="649"/>
      <c r="J45" s="649"/>
      <c r="K45" s="649"/>
      <c r="L45" s="649"/>
      <c r="M45" s="649"/>
      <c r="N45" s="649"/>
      <c r="O45" s="649"/>
      <c r="P45" s="649"/>
      <c r="Q45" s="649"/>
      <c r="R45" s="649"/>
      <c r="S45" s="649"/>
      <c r="T45" s="649"/>
      <c r="U45" s="649"/>
      <c r="V45" s="649"/>
      <c r="W45" s="649"/>
      <c r="X45" s="649"/>
      <c r="Y45" s="649"/>
      <c r="Z45" s="649"/>
      <c r="AA45" s="649"/>
      <c r="AB45" s="638"/>
      <c r="AC45" s="555"/>
    </row>
    <row r="46" customFormat="false" ht="12.75" hidden="false" customHeight="false" outlineLevel="0" collapsed="false">
      <c r="A46" s="37"/>
      <c r="B46" s="650" t="s">
        <v>916</v>
      </c>
      <c r="C46" s="713" t="e">
        <f aca="false">AC43</f>
        <v>#N/A</v>
      </c>
      <c r="D46" s="714" t="str">
        <f aca="false">AD43</f>
        <v>Infinite</v>
      </c>
      <c r="F46" s="649"/>
      <c r="G46" s="649"/>
      <c r="H46" s="649"/>
      <c r="I46" s="649"/>
      <c r="J46" s="649"/>
      <c r="K46" s="649"/>
      <c r="L46" s="649"/>
      <c r="M46" s="649"/>
      <c r="N46" s="649"/>
      <c r="O46" s="649"/>
      <c r="P46" s="649"/>
      <c r="Q46" s="649"/>
      <c r="R46" s="649"/>
      <c r="S46" s="649"/>
      <c r="T46" s="649"/>
      <c r="U46" s="649"/>
      <c r="V46" s="649"/>
      <c r="W46" s="649"/>
      <c r="X46" s="649"/>
      <c r="Y46" s="649"/>
      <c r="Z46" s="649"/>
      <c r="AA46" s="649"/>
      <c r="AB46" s="638"/>
      <c r="AC46" s="555"/>
    </row>
    <row r="47" customFormat="false" ht="12.75" hidden="false" customHeight="false" outlineLevel="0" collapsed="false">
      <c r="A47" s="563"/>
      <c r="B47" s="662" t="s">
        <v>890</v>
      </c>
      <c r="C47" s="715" t="n">
        <f aca="false">MAX(E47:AA47)</f>
        <v>0</v>
      </c>
      <c r="D47" s="716"/>
      <c r="E47" s="700" t="n">
        <f aca="false">IF(AND(E42&gt;0,D42&lt;0),E$6,0)</f>
        <v>0</v>
      </c>
      <c r="F47" s="700" t="n">
        <f aca="false">IF(AND(F42&gt;0,E42&lt;0),F$6,0)</f>
        <v>0</v>
      </c>
      <c r="G47" s="700" t="n">
        <f aca="false">IF(AND(G42&gt;0,F42&lt;0),G$6,0)</f>
        <v>0</v>
      </c>
      <c r="H47" s="700" t="n">
        <f aca="false">IF(AND(H42&gt;0,G42&lt;0),H$6,0)</f>
        <v>0</v>
      </c>
      <c r="I47" s="700" t="n">
        <f aca="false">IF(AND(I42&gt;0,H42&lt;0),I$6,0)</f>
        <v>0</v>
      </c>
      <c r="J47" s="700" t="n">
        <f aca="false">IF(AND(J42&gt;0,I42&lt;0),J$6,0)</f>
        <v>0</v>
      </c>
      <c r="K47" s="700" t="n">
        <f aca="false">IF(AND(K42&gt;0,J42&lt;0),K$6,0)</f>
        <v>0</v>
      </c>
      <c r="L47" s="700" t="n">
        <f aca="false">IF(AND(L42&gt;0,K42&lt;0),L$6,0)</f>
        <v>0</v>
      </c>
      <c r="M47" s="700" t="n">
        <f aca="false">IF(AND(M42&gt;0,L42&lt;0),M$6,0)</f>
        <v>0</v>
      </c>
      <c r="N47" s="700" t="n">
        <f aca="false">IF(AND(N42&gt;0,M42&lt;0),N$6,0)</f>
        <v>0</v>
      </c>
      <c r="O47" s="700" t="n">
        <f aca="false">IF(AND(O42&gt;0,N42&lt;0),O$6,0)</f>
        <v>0</v>
      </c>
      <c r="P47" s="700" t="n">
        <f aca="false">IF(AND(P42&gt;0,O42&lt;0),P$6,0)</f>
        <v>0</v>
      </c>
      <c r="Q47" s="700" t="n">
        <f aca="false">IF(AND(Q42&gt;0,P42&lt;0),Q$6,0)</f>
        <v>0</v>
      </c>
      <c r="R47" s="700" t="n">
        <f aca="false">IF(AND(R42&gt;0,Q42&lt;0),R$6,0)</f>
        <v>0</v>
      </c>
      <c r="S47" s="700" t="n">
        <f aca="false">IF(AND(S42&gt;0,R42&lt;0),S$6,0)</f>
        <v>0</v>
      </c>
      <c r="T47" s="700" t="n">
        <f aca="false">IF(AND(T42&gt;0,S42&lt;0),T$6,0)</f>
        <v>0</v>
      </c>
      <c r="U47" s="700" t="n">
        <f aca="false">IF(AND(U42&gt;0,T42&lt;0),U$6,0)</f>
        <v>0</v>
      </c>
      <c r="V47" s="700" t="n">
        <f aca="false">IF(AND(V42&gt;0,U42&lt;0),V$6,0)</f>
        <v>0</v>
      </c>
      <c r="W47" s="700" t="n">
        <f aca="false">IF(AND(W42&gt;0,V42&lt;0),W$6,0)</f>
        <v>0</v>
      </c>
      <c r="X47" s="700" t="n">
        <f aca="false">IF(AND(X42&gt;0,W42&lt;0),X$6,0)</f>
        <v>0</v>
      </c>
      <c r="Y47" s="700" t="n">
        <f aca="false">IF(AND(Y42&gt;0,X42&lt;0),Y$6,0)</f>
        <v>0</v>
      </c>
      <c r="Z47" s="700" t="n">
        <f aca="false">IF(AND(Z42&gt;0,Y42&lt;0),Z$6,0)</f>
        <v>0</v>
      </c>
      <c r="AA47" s="700" t="n">
        <f aca="false">IF(AND(AA42&gt;0,Z42&lt;0),AA$6,0)</f>
        <v>0</v>
      </c>
      <c r="AB47" s="701"/>
      <c r="AC47" s="665"/>
    </row>
    <row r="48" customFormat="false" ht="12.75" hidden="false" customHeight="false" outlineLevel="0" collapsed="false">
      <c r="A48" s="37"/>
      <c r="AB48" s="555"/>
      <c r="AC48" s="555"/>
    </row>
    <row r="49" customFormat="false" ht="12.75" hidden="false" customHeight="false" outlineLevel="0" collapsed="false">
      <c r="A49" s="698"/>
      <c r="B49" s="38" t="s">
        <v>922</v>
      </c>
      <c r="E49" s="217" t="n">
        <f aca="false">E40</f>
        <v>0</v>
      </c>
      <c r="F49" s="217" t="n">
        <f aca="false">F40</f>
        <v>-59040.6162841464</v>
      </c>
      <c r="G49" s="217" t="n">
        <f aca="false">G40</f>
        <v>9638.40805366729</v>
      </c>
      <c r="H49" s="217" t="n">
        <f aca="false">H40</f>
        <v>1778.58871130808</v>
      </c>
      <c r="I49" s="217" t="n">
        <f aca="false">I40</f>
        <v>8455.97511503019</v>
      </c>
      <c r="J49" s="217" t="n">
        <f aca="false">J40</f>
        <v>1061.12038553607</v>
      </c>
      <c r="K49" s="217" t="n">
        <f aca="false">K40</f>
        <v>3452.06540661006</v>
      </c>
      <c r="L49" s="217" t="n">
        <f aca="false">L40</f>
        <v>-3962.84032513123</v>
      </c>
      <c r="M49" s="217" t="n">
        <f aca="false">M40</f>
        <v>6868.34922850315</v>
      </c>
      <c r="N49" s="217" t="n">
        <f aca="false">N40</f>
        <v>7403.42825268245</v>
      </c>
      <c r="O49" s="217" t="n">
        <f aca="false">O40</f>
        <v>5920.7864730042</v>
      </c>
      <c r="P49" s="217" t="n">
        <f aca="false">P40</f>
        <v>5125.65965913028</v>
      </c>
      <c r="Q49" s="217" t="n">
        <f aca="false">Q40</f>
        <v>6168.34247044073</v>
      </c>
      <c r="R49" s="217" t="n">
        <f aca="false">R40</f>
        <v>6667.80136074657</v>
      </c>
      <c r="S49" s="217" t="n">
        <f aca="false">S40</f>
        <v>4290.75073280611</v>
      </c>
      <c r="T49" s="217" t="n">
        <f aca="false">T40</f>
        <v>3424.49258009993</v>
      </c>
      <c r="U49" s="217" t="n">
        <f aca="false">U40</f>
        <v>11923.184353414</v>
      </c>
      <c r="V49" s="217" t="n">
        <f aca="false">V40</f>
        <v>4883.6763738909</v>
      </c>
      <c r="W49" s="217" t="n">
        <f aca="false">W40</f>
        <v>-860.921350374191</v>
      </c>
      <c r="X49" s="217" t="n">
        <f aca="false">X40</f>
        <v>3441.709346107</v>
      </c>
      <c r="Y49" s="217" t="n">
        <f aca="false">Y40</f>
        <v>2690.79715989055</v>
      </c>
      <c r="Z49" s="217" t="n">
        <f aca="false">Z40</f>
        <v>3468.70882005393</v>
      </c>
      <c r="AA49" s="217" t="n">
        <f aca="false">AA40</f>
        <v>3437.89385988621</v>
      </c>
      <c r="AB49" s="574" t="n">
        <f aca="false">SUM(E49:AA49)</f>
        <v>36237.3603831558</v>
      </c>
      <c r="AC49" s="641" t="n">
        <f aca="false">IF('Project &amp; Investor Returns'!$I$3=0,F49+NPV(Disc,G49:AA49),E49+NPV(Disc,F49:AA49))</f>
        <v>-34012.3991476717</v>
      </c>
      <c r="AE49" s="666"/>
      <c r="AF49" s="666"/>
      <c r="AG49" s="666"/>
      <c r="AH49" s="666"/>
      <c r="AI49" s="666"/>
      <c r="AJ49" s="666"/>
      <c r="AK49" s="666"/>
      <c r="AL49" s="666"/>
      <c r="AM49" s="666"/>
      <c r="AN49" s="666"/>
      <c r="AO49" s="666"/>
      <c r="AP49" s="666"/>
      <c r="AQ49" s="666"/>
      <c r="AR49" s="666"/>
      <c r="AS49" s="666"/>
      <c r="AT49" s="666"/>
      <c r="AU49" s="666"/>
      <c r="AV49" s="666"/>
      <c r="AW49" s="666"/>
      <c r="AX49" s="666"/>
      <c r="AY49" s="666"/>
      <c r="AZ49" s="666"/>
      <c r="BA49" s="666"/>
      <c r="BB49" s="666"/>
      <c r="BC49" s="666"/>
      <c r="BD49" s="666"/>
      <c r="BE49" s="666"/>
      <c r="BF49" s="666"/>
      <c r="BG49" s="666"/>
      <c r="BH49" s="666"/>
      <c r="BI49" s="666"/>
      <c r="BJ49" s="666"/>
      <c r="BK49" s="666"/>
      <c r="BL49" s="666"/>
      <c r="BM49" s="666"/>
      <c r="BN49" s="666"/>
      <c r="BO49" s="666"/>
      <c r="BP49" s="666"/>
      <c r="BQ49" s="666"/>
      <c r="BR49" s="666"/>
      <c r="BS49" s="666"/>
      <c r="BT49" s="666"/>
      <c r="BU49" s="666"/>
      <c r="BV49" s="666"/>
      <c r="BW49" s="666"/>
      <c r="BX49" s="666"/>
      <c r="BY49" s="666"/>
      <c r="BZ49" s="666"/>
      <c r="CA49" s="666"/>
      <c r="CB49" s="666"/>
      <c r="CC49" s="666"/>
      <c r="CD49" s="666"/>
      <c r="CE49" s="666"/>
      <c r="CF49" s="666"/>
      <c r="CG49" s="666"/>
      <c r="CH49" s="666"/>
      <c r="CI49" s="666"/>
      <c r="CJ49" s="666"/>
      <c r="CK49" s="666"/>
      <c r="CL49" s="666"/>
      <c r="CM49" s="666"/>
      <c r="CN49" s="666"/>
      <c r="CO49" s="666"/>
      <c r="CP49" s="666"/>
      <c r="CQ49" s="666"/>
      <c r="CR49" s="666"/>
      <c r="CS49" s="666"/>
      <c r="CT49" s="666"/>
      <c r="CU49" s="666"/>
      <c r="CV49" s="666"/>
      <c r="CW49" s="666"/>
      <c r="CX49" s="666"/>
      <c r="CY49" s="666"/>
      <c r="CZ49" s="666"/>
      <c r="DA49" s="666"/>
      <c r="DB49" s="666"/>
      <c r="DC49" s="666"/>
      <c r="DD49" s="666"/>
      <c r="DE49" s="666"/>
      <c r="DF49" s="666"/>
      <c r="DG49" s="666"/>
      <c r="DH49" s="666"/>
      <c r="DI49" s="666"/>
      <c r="DJ49" s="666"/>
      <c r="DK49" s="666"/>
      <c r="DL49" s="666"/>
      <c r="DM49" s="666"/>
      <c r="DN49" s="666"/>
      <c r="DO49" s="666"/>
      <c r="DP49" s="666"/>
      <c r="DQ49" s="666"/>
      <c r="DR49" s="666"/>
      <c r="DS49" s="666"/>
      <c r="DT49" s="666"/>
      <c r="DU49" s="666"/>
      <c r="DV49" s="666"/>
      <c r="DW49" s="666"/>
      <c r="DX49" s="666"/>
      <c r="DY49" s="666"/>
      <c r="DZ49" s="666"/>
      <c r="EA49" s="666"/>
      <c r="EB49" s="666"/>
      <c r="EC49" s="666"/>
      <c r="ED49" s="666"/>
      <c r="EE49" s="666"/>
      <c r="EF49" s="666"/>
      <c r="EG49" s="666"/>
      <c r="EH49" s="666"/>
      <c r="EI49" s="666"/>
      <c r="EJ49" s="666"/>
      <c r="EK49" s="666"/>
      <c r="EL49" s="666"/>
      <c r="EM49" s="666"/>
      <c r="EN49" s="666"/>
      <c r="EO49" s="666"/>
      <c r="EP49" s="666"/>
      <c r="EQ49" s="666"/>
      <c r="ER49" s="666"/>
      <c r="ES49" s="666"/>
      <c r="ET49" s="666"/>
      <c r="EU49" s="666"/>
      <c r="EV49" s="666"/>
      <c r="EW49" s="666"/>
      <c r="EX49" s="666"/>
      <c r="EY49" s="666"/>
      <c r="EZ49" s="666"/>
      <c r="FA49" s="666"/>
      <c r="FB49" s="666"/>
      <c r="FC49" s="666"/>
      <c r="FD49" s="666"/>
      <c r="FE49" s="666"/>
      <c r="FF49" s="666"/>
      <c r="FG49" s="666"/>
      <c r="FH49" s="666"/>
      <c r="FI49" s="666"/>
      <c r="FJ49" s="666"/>
      <c r="FK49" s="666"/>
      <c r="FL49" s="666"/>
      <c r="FM49" s="666"/>
      <c r="FN49" s="666"/>
      <c r="FO49" s="666"/>
      <c r="FP49" s="666"/>
      <c r="FQ49" s="666"/>
      <c r="FR49" s="666"/>
      <c r="FS49" s="666"/>
      <c r="FT49" s="666"/>
      <c r="FU49" s="666"/>
      <c r="FV49" s="666"/>
      <c r="FW49" s="666"/>
      <c r="FX49" s="666"/>
      <c r="FY49" s="666"/>
      <c r="FZ49" s="666"/>
      <c r="GA49" s="666"/>
      <c r="GB49" s="666"/>
      <c r="GC49" s="666"/>
      <c r="GD49" s="666"/>
      <c r="GE49" s="666"/>
      <c r="GF49" s="666"/>
      <c r="GG49" s="666"/>
      <c r="GH49" s="666"/>
      <c r="GI49" s="666"/>
      <c r="GJ49" s="666"/>
      <c r="GK49" s="666"/>
      <c r="GL49" s="666"/>
      <c r="GM49" s="666"/>
      <c r="GN49" s="666"/>
      <c r="GO49" s="666"/>
      <c r="GP49" s="666"/>
      <c r="GQ49" s="666"/>
      <c r="GR49" s="666"/>
      <c r="GS49" s="666"/>
      <c r="GT49" s="666"/>
      <c r="GU49" s="666"/>
      <c r="GV49" s="666"/>
      <c r="GW49" s="666"/>
      <c r="GX49" s="666"/>
      <c r="GY49" s="666"/>
      <c r="GZ49" s="666"/>
      <c r="HA49" s="666"/>
      <c r="HB49" s="666"/>
      <c r="HC49" s="666"/>
      <c r="HD49" s="666"/>
      <c r="HE49" s="666"/>
      <c r="HF49" s="666"/>
      <c r="HG49" s="666"/>
      <c r="HH49" s="666"/>
      <c r="HI49" s="666"/>
      <c r="HJ49" s="666"/>
      <c r="HK49" s="666"/>
      <c r="HL49" s="666"/>
      <c r="HM49" s="666"/>
      <c r="HN49" s="666"/>
      <c r="HO49" s="666"/>
      <c r="HP49" s="666"/>
      <c r="HQ49" s="666"/>
      <c r="HR49" s="666"/>
      <c r="HS49" s="666"/>
      <c r="HT49" s="666"/>
      <c r="HU49" s="666"/>
      <c r="HV49" s="666"/>
      <c r="HW49" s="666"/>
      <c r="HX49" s="666"/>
      <c r="HY49" s="666"/>
      <c r="HZ49" s="666"/>
      <c r="IA49" s="666"/>
      <c r="IB49" s="666"/>
      <c r="IC49" s="666"/>
      <c r="ID49" s="666"/>
      <c r="IE49" s="666"/>
      <c r="IF49" s="666"/>
      <c r="IG49" s="666"/>
      <c r="IH49" s="666"/>
      <c r="II49" s="666"/>
      <c r="IJ49" s="666"/>
      <c r="IK49" s="666"/>
      <c r="IL49" s="666"/>
      <c r="IM49" s="666"/>
      <c r="IN49" s="666"/>
      <c r="IO49" s="666"/>
      <c r="IP49" s="666"/>
      <c r="IQ49" s="666"/>
      <c r="IR49" s="666"/>
      <c r="IS49" s="666"/>
      <c r="IT49" s="666"/>
      <c r="IU49" s="666"/>
      <c r="IV49" s="666"/>
      <c r="IW49" s="666"/>
    </row>
    <row r="50" customFormat="false" ht="12.75" hidden="false" customHeight="false" outlineLevel="0" collapsed="false">
      <c r="A50" s="717" t="n">
        <f aca="false">Assm!$K$85</f>
        <v>0.65625</v>
      </c>
      <c r="B50" s="718" t="s">
        <v>923</v>
      </c>
      <c r="C50" s="718"/>
      <c r="D50" s="718"/>
      <c r="E50" s="719" t="n">
        <f aca="false">-HLOOKUP(DATE(E$7,12,31),Idc_Table,IDC!$BB$89)*$A50-SUM($D50:D50)</f>
        <v>-0</v>
      </c>
      <c r="F50" s="719" t="n">
        <f aca="false">-HLOOKUP(DATE(F$7,12,31),Idc_Table,IDC!$BB$89)*$A50-SUM($D50:E50)</f>
        <v>-17275.7008908428</v>
      </c>
      <c r="G50" s="719" t="n">
        <f aca="false">-HLOOKUP(DATE(G$7,12,31),Idc_Table,IDC!$BB$89)*$A50-SUM($D50:F50)</f>
        <v>-36106.8195538513</v>
      </c>
      <c r="H50" s="719" t="n">
        <f aca="false">-HLOOKUP(DATE(H$7,12,31),Idc_Table,IDC!$BB$89)*$A50-SUM($D50:G50)</f>
        <v>-26214.1337253238</v>
      </c>
      <c r="I50" s="719" t="n">
        <f aca="false">-HLOOKUP(DATE(I$7,12,31),Idc_Table,IDC!$BB$89)*$A50-SUM($D50:H50)</f>
        <v>0</v>
      </c>
      <c r="J50" s="719" t="n">
        <f aca="false">-HLOOKUP(DATE(J$7,12,31),Idc_Table,IDC!$BB$89)*$A50-SUM($D50:I50)</f>
        <v>0</v>
      </c>
      <c r="K50" s="719" t="n">
        <f aca="false">-HLOOKUP(DATE(K$7,12,31),Idc_Table,IDC!$BB$89)*$A50-SUM($D50:J50)</f>
        <v>0</v>
      </c>
      <c r="L50" s="719" t="n">
        <f aca="false">-HLOOKUP(DATE(L$7,12,31),Idc_Table,IDC!$BB$89)*$A50-SUM($D50:K50)</f>
        <v>0</v>
      </c>
      <c r="M50" s="719" t="n">
        <f aca="false">-HLOOKUP(DATE(M$7,12,31),Idc_Table,IDC!$BB$89)*$A50-SUM($D50:L50)</f>
        <v>0</v>
      </c>
      <c r="N50" s="719" t="n">
        <f aca="false">-HLOOKUP(DATE(N$7,12,31),Idc_Table,IDC!$BB$89)*$A50-SUM($D50:M50)</f>
        <v>0</v>
      </c>
      <c r="O50" s="719" t="n">
        <f aca="false">-HLOOKUP(DATE(O$7,12,31),Idc_Table,IDC!$BB$89)*$A50-SUM($D50:N50)</f>
        <v>0</v>
      </c>
      <c r="P50" s="719" t="n">
        <f aca="false">-HLOOKUP(DATE(P$7,12,31),Idc_Table,IDC!$BB$89)*$A50-SUM($D50:O50)</f>
        <v>0</v>
      </c>
      <c r="Q50" s="719" t="n">
        <f aca="false">-HLOOKUP(DATE(Q$7,12,31),Idc_Table,IDC!$BB$89)*$A50-SUM($D50:P50)</f>
        <v>0</v>
      </c>
      <c r="R50" s="719" t="n">
        <f aca="false">-HLOOKUP(DATE(R$7,12,31),Idc_Table,IDC!$BB$89)*$A50-SUM($D50:Q50)</f>
        <v>0</v>
      </c>
      <c r="S50" s="719" t="n">
        <f aca="false">-HLOOKUP(DATE(S$7,12,31),Idc_Table,IDC!$BB$89)*$A50-SUM($D50:R50)</f>
        <v>0</v>
      </c>
      <c r="T50" s="719" t="n">
        <f aca="false">-HLOOKUP(DATE(T$7,12,31),Idc_Table,IDC!$BB$89)*$A50-SUM($D50:S50)</f>
        <v>0</v>
      </c>
      <c r="U50" s="719" t="n">
        <f aca="false">-HLOOKUP(DATE(U$7,12,31),Idc_Table,IDC!$BB$89)*$A50-SUM($D50:T50)</f>
        <v>0</v>
      </c>
      <c r="V50" s="719" t="n">
        <f aca="false">-HLOOKUP(DATE(V$7,12,31),Idc_Table,IDC!$BB$89)*$A50-SUM($D50:U50)</f>
        <v>0</v>
      </c>
      <c r="W50" s="719" t="n">
        <f aca="false">-HLOOKUP(DATE(W$7,12,31),Idc_Table,IDC!$BB$89)*$A50-SUM($D50:V50)</f>
        <v>0</v>
      </c>
      <c r="X50" s="719" t="n">
        <f aca="false">-HLOOKUP(DATE(X$7,12,31),Idc_Table,IDC!$BB$89)*$A50-SUM($D50:W50)</f>
        <v>0</v>
      </c>
      <c r="Y50" s="719" t="n">
        <f aca="false">-HLOOKUP(DATE(Y$7,12,31),Idc_Table,IDC!$BB$89)*$A50-SUM($D50:X50)</f>
        <v>0</v>
      </c>
      <c r="Z50" s="719" t="n">
        <f aca="false">-HLOOKUP(DATE(Z$7,12,31),Idc_Table,IDC!$BB$89)*$A50-SUM($D50:Y50)</f>
        <v>0</v>
      </c>
      <c r="AA50" s="719" t="n">
        <f aca="false">-HLOOKUP(DATE(AA$7,12,31),Idc_Table,IDC!$BB$89)*$A50-SUM($D50:Z50)</f>
        <v>0</v>
      </c>
      <c r="AB50" s="720" t="n">
        <f aca="false">SUM(E50:AA50)</f>
        <v>-79596.6541700179</v>
      </c>
      <c r="AC50" s="721" t="n">
        <f aca="false">IF('Project &amp; Investor Returns'!$I$3=0,F50+NPV(Disc,G50:AA50),E50+NPV(Disc,F50:AA50))</f>
        <v>-66129.0650560902</v>
      </c>
      <c r="AD50" s="718"/>
      <c r="AE50" s="722"/>
      <c r="AF50" s="722"/>
      <c r="AG50" s="722"/>
      <c r="AH50" s="722"/>
      <c r="AI50" s="722"/>
      <c r="AJ50" s="722"/>
      <c r="AK50" s="722"/>
      <c r="AL50" s="722"/>
      <c r="AM50" s="722"/>
      <c r="AN50" s="722"/>
      <c r="AO50" s="722"/>
      <c r="AP50" s="722"/>
      <c r="AQ50" s="722"/>
      <c r="AR50" s="722"/>
      <c r="AS50" s="722"/>
      <c r="AT50" s="722"/>
      <c r="AU50" s="722"/>
      <c r="AV50" s="722"/>
      <c r="AW50" s="722"/>
      <c r="AX50" s="722"/>
      <c r="AY50" s="722"/>
      <c r="AZ50" s="722"/>
      <c r="BA50" s="722"/>
      <c r="BB50" s="722"/>
      <c r="BC50" s="722"/>
      <c r="BD50" s="722"/>
      <c r="BE50" s="722"/>
      <c r="BF50" s="722"/>
      <c r="BG50" s="722"/>
      <c r="BH50" s="722"/>
      <c r="BI50" s="722"/>
      <c r="BJ50" s="722"/>
      <c r="BK50" s="722"/>
      <c r="BL50" s="722"/>
      <c r="BM50" s="722"/>
      <c r="BN50" s="722"/>
      <c r="BO50" s="722"/>
      <c r="BP50" s="722"/>
      <c r="BQ50" s="722"/>
      <c r="BR50" s="722"/>
      <c r="BS50" s="722"/>
      <c r="BT50" s="722"/>
      <c r="BU50" s="722"/>
      <c r="BV50" s="722"/>
      <c r="BW50" s="722"/>
      <c r="BX50" s="722"/>
      <c r="BY50" s="722"/>
      <c r="BZ50" s="722"/>
      <c r="CA50" s="722"/>
      <c r="CB50" s="722"/>
      <c r="CC50" s="722"/>
      <c r="CD50" s="722"/>
      <c r="CE50" s="722"/>
      <c r="CF50" s="722"/>
      <c r="CG50" s="722"/>
      <c r="CH50" s="722"/>
      <c r="CI50" s="722"/>
      <c r="CJ50" s="722"/>
      <c r="CK50" s="722"/>
      <c r="CL50" s="722"/>
      <c r="CM50" s="722"/>
      <c r="CN50" s="722"/>
      <c r="CO50" s="722"/>
      <c r="CP50" s="722"/>
      <c r="CQ50" s="722"/>
      <c r="CR50" s="722"/>
      <c r="CS50" s="722"/>
      <c r="CT50" s="722"/>
      <c r="CU50" s="722"/>
      <c r="CV50" s="722"/>
      <c r="CW50" s="722"/>
      <c r="CX50" s="722"/>
      <c r="CY50" s="722"/>
      <c r="CZ50" s="722"/>
      <c r="DA50" s="722"/>
      <c r="DB50" s="722"/>
      <c r="DC50" s="722"/>
      <c r="DD50" s="722"/>
      <c r="DE50" s="722"/>
      <c r="DF50" s="722"/>
      <c r="DG50" s="722"/>
      <c r="DH50" s="722"/>
      <c r="DI50" s="722"/>
      <c r="DJ50" s="722"/>
      <c r="DK50" s="722"/>
      <c r="DL50" s="722"/>
      <c r="DM50" s="722"/>
      <c r="DN50" s="722"/>
      <c r="DO50" s="722"/>
      <c r="DP50" s="722"/>
      <c r="DQ50" s="722"/>
      <c r="DR50" s="722"/>
      <c r="DS50" s="722"/>
      <c r="DT50" s="722"/>
      <c r="DU50" s="722"/>
      <c r="DV50" s="722"/>
      <c r="DW50" s="722"/>
      <c r="DX50" s="722"/>
      <c r="DY50" s="722"/>
      <c r="DZ50" s="722"/>
      <c r="EA50" s="722"/>
      <c r="EB50" s="722"/>
      <c r="EC50" s="722"/>
      <c r="ED50" s="722"/>
      <c r="EE50" s="722"/>
      <c r="EF50" s="722"/>
      <c r="EG50" s="722"/>
      <c r="EH50" s="722"/>
      <c r="EI50" s="722"/>
      <c r="EJ50" s="722"/>
      <c r="EK50" s="722"/>
      <c r="EL50" s="722"/>
      <c r="EM50" s="722"/>
      <c r="EN50" s="722"/>
      <c r="EO50" s="722"/>
      <c r="EP50" s="722"/>
      <c r="EQ50" s="722"/>
      <c r="ER50" s="722"/>
      <c r="ES50" s="722"/>
      <c r="ET50" s="722"/>
      <c r="EU50" s="722"/>
      <c r="EV50" s="722"/>
      <c r="EW50" s="722"/>
      <c r="EX50" s="722"/>
      <c r="EY50" s="722"/>
      <c r="EZ50" s="722"/>
      <c r="FA50" s="722"/>
      <c r="FB50" s="722"/>
      <c r="FC50" s="722"/>
      <c r="FD50" s="722"/>
      <c r="FE50" s="722"/>
      <c r="FF50" s="722"/>
      <c r="FG50" s="722"/>
      <c r="FH50" s="722"/>
      <c r="FI50" s="722"/>
      <c r="FJ50" s="722"/>
      <c r="FK50" s="722"/>
      <c r="FL50" s="722"/>
      <c r="FM50" s="722"/>
      <c r="FN50" s="722"/>
      <c r="FO50" s="722"/>
      <c r="FP50" s="722"/>
      <c r="FQ50" s="722"/>
      <c r="FR50" s="722"/>
      <c r="FS50" s="722"/>
      <c r="FT50" s="722"/>
      <c r="FU50" s="722"/>
      <c r="FV50" s="722"/>
      <c r="FW50" s="722"/>
      <c r="FX50" s="722"/>
      <c r="FY50" s="722"/>
      <c r="FZ50" s="722"/>
      <c r="GA50" s="722"/>
      <c r="GB50" s="722"/>
      <c r="GC50" s="722"/>
      <c r="GD50" s="722"/>
      <c r="GE50" s="722"/>
      <c r="GF50" s="722"/>
      <c r="GG50" s="722"/>
      <c r="GH50" s="722"/>
      <c r="GI50" s="722"/>
      <c r="GJ50" s="722"/>
      <c r="GK50" s="722"/>
      <c r="GL50" s="722"/>
      <c r="GM50" s="722"/>
      <c r="GN50" s="722"/>
      <c r="GO50" s="722"/>
      <c r="GP50" s="722"/>
      <c r="GQ50" s="722"/>
      <c r="GR50" s="722"/>
      <c r="GS50" s="722"/>
      <c r="GT50" s="722"/>
      <c r="GU50" s="722"/>
      <c r="GV50" s="722"/>
      <c r="GW50" s="722"/>
      <c r="GX50" s="722"/>
      <c r="GY50" s="722"/>
      <c r="GZ50" s="722"/>
      <c r="HA50" s="722"/>
      <c r="HB50" s="722"/>
      <c r="HC50" s="722"/>
      <c r="HD50" s="722"/>
      <c r="HE50" s="722"/>
      <c r="HF50" s="722"/>
      <c r="HG50" s="722"/>
      <c r="HH50" s="722"/>
      <c r="HI50" s="722"/>
      <c r="HJ50" s="722"/>
      <c r="HK50" s="722"/>
      <c r="HL50" s="722"/>
      <c r="HM50" s="722"/>
      <c r="HN50" s="722"/>
      <c r="HO50" s="722"/>
      <c r="HP50" s="722"/>
      <c r="HQ50" s="722"/>
      <c r="HR50" s="722"/>
      <c r="HS50" s="722"/>
      <c r="HT50" s="722"/>
      <c r="HU50" s="722"/>
      <c r="HV50" s="722"/>
      <c r="HW50" s="722"/>
      <c r="HX50" s="722"/>
      <c r="HY50" s="722"/>
      <c r="HZ50" s="722"/>
      <c r="IA50" s="722"/>
      <c r="IB50" s="722"/>
      <c r="IC50" s="722"/>
      <c r="ID50" s="722"/>
      <c r="IE50" s="722"/>
      <c r="IF50" s="722"/>
      <c r="IG50" s="722"/>
      <c r="IH50" s="722"/>
      <c r="II50" s="722"/>
      <c r="IJ50" s="722"/>
      <c r="IK50" s="722"/>
      <c r="IL50" s="722"/>
      <c r="IM50" s="722"/>
      <c r="IN50" s="722"/>
      <c r="IO50" s="722"/>
      <c r="IP50" s="722"/>
      <c r="IQ50" s="722"/>
      <c r="IR50" s="722"/>
      <c r="IS50" s="722"/>
      <c r="IT50" s="722"/>
      <c r="IU50" s="722"/>
      <c r="IV50" s="722"/>
      <c r="IW50" s="722"/>
    </row>
    <row r="51" customFormat="false" ht="12.75" hidden="false" customHeight="false" outlineLevel="0" collapsed="false">
      <c r="A51" s="688"/>
      <c r="B51" s="682" t="s">
        <v>924</v>
      </c>
      <c r="C51" s="682"/>
      <c r="D51" s="682"/>
      <c r="E51" s="683" t="n">
        <f aca="false">IF(E$7=YEAR(Fin_Close),-SUM($D50:E50),0)</f>
        <v>0</v>
      </c>
      <c r="F51" s="683" t="n">
        <f aca="false">IF(F$7=YEAR(Fin_Close),-SUM($D50:F50),0)</f>
        <v>0</v>
      </c>
      <c r="G51" s="683" t="n">
        <f aca="false">IF(G$7=YEAR(Fin_Close),-SUM($D50:G50),0)</f>
        <v>0</v>
      </c>
      <c r="H51" s="683" t="n">
        <f aca="false">IF(H$7=YEAR(Fin_Close),-SUM($D50:H50),0)</f>
        <v>79596.6541700179</v>
      </c>
      <c r="I51" s="683" t="n">
        <f aca="false">IF(I$7=YEAR(Fin_Close),-SUM($D50:I50),0)</f>
        <v>0</v>
      </c>
      <c r="J51" s="683" t="n">
        <f aca="false">IF(J$7=YEAR(Fin_Close),-SUM($D50:J50),0)</f>
        <v>0</v>
      </c>
      <c r="K51" s="683" t="n">
        <f aca="false">IF(K$7=YEAR(Fin_Close),-SUM($D50:K50),0)</f>
        <v>0</v>
      </c>
      <c r="L51" s="683" t="n">
        <f aca="false">IF(L$7=YEAR(Fin_Close),-SUM($D50:L50),0)</f>
        <v>0</v>
      </c>
      <c r="M51" s="683" t="n">
        <f aca="false">IF(M$7=YEAR(Fin_Close),-SUM($D50:M50),0)</f>
        <v>0</v>
      </c>
      <c r="N51" s="683" t="n">
        <f aca="false">IF(N$7=YEAR(Fin_Close),-SUM($D50:N50),0)</f>
        <v>0</v>
      </c>
      <c r="O51" s="683" t="n">
        <f aca="false">IF(O$7=YEAR(Fin_Close),-SUM($D50:O50),0)</f>
        <v>0</v>
      </c>
      <c r="P51" s="683" t="n">
        <f aca="false">IF(P$7=YEAR(Fin_Close),-SUM($D50:P50),0)</f>
        <v>0</v>
      </c>
      <c r="Q51" s="683" t="n">
        <f aca="false">IF(Q$7=YEAR(Fin_Close),-SUM($D50:Q50),0)</f>
        <v>0</v>
      </c>
      <c r="R51" s="683" t="n">
        <f aca="false">IF(R$7=YEAR(Fin_Close),-SUM($D50:R50),0)</f>
        <v>0</v>
      </c>
      <c r="S51" s="683" t="n">
        <f aca="false">IF(S$7=YEAR(Fin_Close),-SUM($D50:S50),0)</f>
        <v>0</v>
      </c>
      <c r="T51" s="683" t="n">
        <f aca="false">IF(T$7=YEAR(Fin_Close),-SUM($D50:T50),0)</f>
        <v>0</v>
      </c>
      <c r="U51" s="683" t="n">
        <f aca="false">IF(U$7=YEAR(Fin_Close),-SUM($D50:U50),0)</f>
        <v>0</v>
      </c>
      <c r="V51" s="683" t="n">
        <f aca="false">IF(V$7=YEAR(Fin_Close),-SUM($D50:V50),0)</f>
        <v>0</v>
      </c>
      <c r="W51" s="683" t="n">
        <f aca="false">IF(W$7=YEAR(Fin_Close),-SUM($D50:W50),0)</f>
        <v>0</v>
      </c>
      <c r="X51" s="683" t="n">
        <f aca="false">IF(X$7=YEAR(Fin_Close),-SUM($D50:X50),0)</f>
        <v>0</v>
      </c>
      <c r="Y51" s="683" t="n">
        <f aca="false">IF(Y$7=YEAR(Fin_Close),-SUM($D50:Y50),0)</f>
        <v>0</v>
      </c>
      <c r="Z51" s="683" t="n">
        <f aca="false">IF(Z$7=YEAR(Fin_Close),-SUM($D50:Z50),0)</f>
        <v>0</v>
      </c>
      <c r="AA51" s="683" t="n">
        <f aca="false">IF(AA$7=YEAR(Fin_Close),-SUM($D50:AA50),0)</f>
        <v>0</v>
      </c>
      <c r="AB51" s="684" t="n">
        <f aca="false">SUM(E51:AA51)</f>
        <v>79596.6541700179</v>
      </c>
      <c r="AC51" s="685" t="n">
        <f aca="false">IF('Project &amp; Investor Returns'!$I$3=0,F51+NPV(Disc,G51:AA51),E51+NPV(Disc,F51:AA51))</f>
        <v>56208.3568745272</v>
      </c>
      <c r="AD51" s="682"/>
      <c r="AE51" s="686"/>
      <c r="AF51" s="686"/>
      <c r="AG51" s="686"/>
      <c r="AH51" s="686"/>
      <c r="AI51" s="686"/>
      <c r="AJ51" s="686"/>
      <c r="AK51" s="686"/>
      <c r="AL51" s="686"/>
      <c r="AM51" s="686"/>
      <c r="AN51" s="686"/>
      <c r="AO51" s="686"/>
      <c r="AP51" s="686"/>
      <c r="AQ51" s="686"/>
      <c r="AR51" s="686"/>
      <c r="AS51" s="686"/>
      <c r="AT51" s="686"/>
      <c r="AU51" s="686"/>
      <c r="AV51" s="686"/>
      <c r="AW51" s="686"/>
      <c r="AX51" s="686"/>
      <c r="AY51" s="686"/>
      <c r="AZ51" s="686"/>
      <c r="BA51" s="686"/>
      <c r="BB51" s="686"/>
      <c r="BC51" s="686"/>
      <c r="BD51" s="686"/>
      <c r="BE51" s="686"/>
      <c r="BF51" s="686"/>
      <c r="BG51" s="686"/>
      <c r="BH51" s="686"/>
      <c r="BI51" s="686"/>
      <c r="BJ51" s="686"/>
      <c r="BK51" s="686"/>
      <c r="BL51" s="686"/>
      <c r="BM51" s="686"/>
      <c r="BN51" s="686"/>
      <c r="BO51" s="686"/>
      <c r="BP51" s="686"/>
      <c r="BQ51" s="686"/>
      <c r="BR51" s="686"/>
      <c r="BS51" s="686"/>
      <c r="BT51" s="686"/>
      <c r="BU51" s="686"/>
      <c r="BV51" s="686"/>
      <c r="BW51" s="686"/>
      <c r="BX51" s="686"/>
      <c r="BY51" s="686"/>
      <c r="BZ51" s="686"/>
      <c r="CA51" s="686"/>
      <c r="CB51" s="686"/>
      <c r="CC51" s="686"/>
      <c r="CD51" s="686"/>
      <c r="CE51" s="686"/>
      <c r="CF51" s="686"/>
      <c r="CG51" s="686"/>
      <c r="CH51" s="686"/>
      <c r="CI51" s="686"/>
      <c r="CJ51" s="686"/>
      <c r="CK51" s="686"/>
      <c r="CL51" s="686"/>
      <c r="CM51" s="686"/>
      <c r="CN51" s="686"/>
      <c r="CO51" s="686"/>
      <c r="CP51" s="686"/>
      <c r="CQ51" s="686"/>
      <c r="CR51" s="686"/>
      <c r="CS51" s="686"/>
      <c r="CT51" s="686"/>
      <c r="CU51" s="686"/>
      <c r="CV51" s="686"/>
      <c r="CW51" s="686"/>
      <c r="CX51" s="686"/>
      <c r="CY51" s="686"/>
      <c r="CZ51" s="686"/>
      <c r="DA51" s="686"/>
      <c r="DB51" s="686"/>
      <c r="DC51" s="686"/>
      <c r="DD51" s="686"/>
      <c r="DE51" s="686"/>
      <c r="DF51" s="686"/>
      <c r="DG51" s="686"/>
      <c r="DH51" s="686"/>
      <c r="DI51" s="686"/>
      <c r="DJ51" s="686"/>
      <c r="DK51" s="686"/>
      <c r="DL51" s="686"/>
      <c r="DM51" s="686"/>
      <c r="DN51" s="686"/>
      <c r="DO51" s="686"/>
      <c r="DP51" s="686"/>
      <c r="DQ51" s="686"/>
      <c r="DR51" s="686"/>
      <c r="DS51" s="686"/>
      <c r="DT51" s="686"/>
      <c r="DU51" s="686"/>
      <c r="DV51" s="686"/>
      <c r="DW51" s="686"/>
      <c r="DX51" s="686"/>
      <c r="DY51" s="686"/>
      <c r="DZ51" s="686"/>
      <c r="EA51" s="686"/>
      <c r="EB51" s="686"/>
      <c r="EC51" s="686"/>
      <c r="ED51" s="686"/>
      <c r="EE51" s="686"/>
      <c r="EF51" s="686"/>
      <c r="EG51" s="686"/>
      <c r="EH51" s="686"/>
      <c r="EI51" s="686"/>
      <c r="EJ51" s="686"/>
      <c r="EK51" s="686"/>
      <c r="EL51" s="686"/>
      <c r="EM51" s="686"/>
      <c r="EN51" s="686"/>
      <c r="EO51" s="686"/>
      <c r="EP51" s="686"/>
      <c r="EQ51" s="686"/>
      <c r="ER51" s="686"/>
      <c r="ES51" s="686"/>
      <c r="ET51" s="686"/>
      <c r="EU51" s="686"/>
      <c r="EV51" s="686"/>
      <c r="EW51" s="686"/>
      <c r="EX51" s="686"/>
      <c r="EY51" s="686"/>
      <c r="EZ51" s="686"/>
      <c r="FA51" s="686"/>
      <c r="FB51" s="686"/>
      <c r="FC51" s="686"/>
      <c r="FD51" s="686"/>
      <c r="FE51" s="686"/>
      <c r="FF51" s="686"/>
      <c r="FG51" s="686"/>
      <c r="FH51" s="686"/>
      <c r="FI51" s="686"/>
      <c r="FJ51" s="686"/>
      <c r="FK51" s="686"/>
      <c r="FL51" s="686"/>
      <c r="FM51" s="686"/>
      <c r="FN51" s="686"/>
      <c r="FO51" s="686"/>
      <c r="FP51" s="686"/>
      <c r="FQ51" s="686"/>
      <c r="FR51" s="686"/>
      <c r="FS51" s="686"/>
      <c r="FT51" s="686"/>
      <c r="FU51" s="686"/>
      <c r="FV51" s="686"/>
      <c r="FW51" s="686"/>
      <c r="FX51" s="686"/>
      <c r="FY51" s="686"/>
      <c r="FZ51" s="686"/>
      <c r="GA51" s="686"/>
      <c r="GB51" s="686"/>
      <c r="GC51" s="686"/>
      <c r="GD51" s="686"/>
      <c r="GE51" s="686"/>
      <c r="GF51" s="686"/>
      <c r="GG51" s="686"/>
      <c r="GH51" s="686"/>
      <c r="GI51" s="686"/>
      <c r="GJ51" s="686"/>
      <c r="GK51" s="686"/>
      <c r="GL51" s="686"/>
      <c r="GM51" s="686"/>
      <c r="GN51" s="686"/>
      <c r="GO51" s="686"/>
      <c r="GP51" s="686"/>
      <c r="GQ51" s="686"/>
      <c r="GR51" s="686"/>
      <c r="GS51" s="686"/>
      <c r="GT51" s="686"/>
      <c r="GU51" s="686"/>
      <c r="GV51" s="686"/>
      <c r="GW51" s="686"/>
      <c r="GX51" s="686"/>
      <c r="GY51" s="686"/>
      <c r="GZ51" s="686"/>
      <c r="HA51" s="686"/>
      <c r="HB51" s="686"/>
      <c r="HC51" s="686"/>
      <c r="HD51" s="686"/>
      <c r="HE51" s="686"/>
      <c r="HF51" s="686"/>
      <c r="HG51" s="686"/>
      <c r="HH51" s="686"/>
      <c r="HI51" s="686"/>
      <c r="HJ51" s="686"/>
      <c r="HK51" s="686"/>
      <c r="HL51" s="686"/>
      <c r="HM51" s="686"/>
      <c r="HN51" s="686"/>
      <c r="HO51" s="686"/>
      <c r="HP51" s="686"/>
      <c r="HQ51" s="686"/>
      <c r="HR51" s="686"/>
      <c r="HS51" s="686"/>
      <c r="HT51" s="686"/>
      <c r="HU51" s="686"/>
      <c r="HV51" s="686"/>
      <c r="HW51" s="686"/>
      <c r="HX51" s="686"/>
      <c r="HY51" s="686"/>
      <c r="HZ51" s="686"/>
      <c r="IA51" s="686"/>
      <c r="IB51" s="686"/>
      <c r="IC51" s="686"/>
      <c r="ID51" s="686"/>
      <c r="IE51" s="686"/>
      <c r="IF51" s="686"/>
      <c r="IG51" s="686"/>
      <c r="IH51" s="686"/>
      <c r="II51" s="686"/>
      <c r="IJ51" s="686"/>
      <c r="IK51" s="686"/>
      <c r="IL51" s="686"/>
      <c r="IM51" s="686"/>
      <c r="IN51" s="686"/>
      <c r="IO51" s="686"/>
      <c r="IP51" s="686"/>
      <c r="IQ51" s="686"/>
      <c r="IR51" s="686"/>
      <c r="IS51" s="686"/>
      <c r="IT51" s="686"/>
      <c r="IU51" s="686"/>
      <c r="IV51" s="686"/>
      <c r="IW51" s="686"/>
    </row>
    <row r="52" customFormat="false" ht="12.75" hidden="false" customHeight="false" outlineLevel="0" collapsed="false">
      <c r="A52" s="687"/>
      <c r="B52" s="682" t="s">
        <v>391</v>
      </c>
      <c r="C52" s="682"/>
      <c r="D52" s="689" t="s">
        <v>392</v>
      </c>
      <c r="E52" s="683" t="n">
        <f aca="false">HLOOKUP(DATE(E$7,12,31),Idc_Table,IDC!$BB$90)*$A50-SUM($D52:D52)</f>
        <v>0</v>
      </c>
      <c r="F52" s="683" t="n">
        <f aca="false">HLOOKUP(DATE(F$7,12,31),Idc_Table,IDC!$BB$90)*$A50-SUM($D52:E52)</f>
        <v>90.7705236934696</v>
      </c>
      <c r="G52" s="683" t="n">
        <f aca="false">HLOOKUP(DATE(G$7,12,31),Idc_Table,IDC!$BB$90)*$A50-SUM($D52:F52)</f>
        <v>2440.47669194356</v>
      </c>
      <c r="H52" s="683" t="n">
        <f aca="false">HLOOKUP(DATE(H$7,12,31),Idc_Table,IDC!$BB$90)*$A50-SUM($D52:G52)</f>
        <v>2577.38338793371</v>
      </c>
      <c r="I52" s="683" t="n">
        <f aca="false">HLOOKUP(DATE(I$7,12,31),Idc_Table,IDC!$BB$90)*$A50-SUM($D52:H52)</f>
        <v>0</v>
      </c>
      <c r="J52" s="683" t="n">
        <f aca="false">HLOOKUP(DATE(J$7,12,31),Idc_Table,IDC!$BB$90)*$A50-SUM($D52:I52)</f>
        <v>0</v>
      </c>
      <c r="K52" s="683" t="n">
        <f aca="false">HLOOKUP(DATE(K$7,12,31),Idc_Table,IDC!$BB$90)*$A50-SUM($D52:J52)</f>
        <v>0</v>
      </c>
      <c r="L52" s="683" t="n">
        <f aca="false">HLOOKUP(DATE(L$7,12,31),Idc_Table,IDC!$BB$90)*$A50-SUM($D52:K52)</f>
        <v>0</v>
      </c>
      <c r="M52" s="683" t="n">
        <f aca="false">HLOOKUP(DATE(M$7,12,31),Idc_Table,IDC!$BB$90)*$A50-SUM($D52:L52)</f>
        <v>0</v>
      </c>
      <c r="N52" s="683" t="n">
        <f aca="false">HLOOKUP(DATE(N$7,12,31),Idc_Table,IDC!$BB$90)*$A50-SUM($D52:M52)</f>
        <v>0</v>
      </c>
      <c r="O52" s="683" t="n">
        <f aca="false">HLOOKUP(DATE(O$7,12,31),Idc_Table,IDC!$BB$90)*$A50-SUM($D52:N52)</f>
        <v>0</v>
      </c>
      <c r="P52" s="683" t="n">
        <f aca="false">HLOOKUP(DATE(P$7,12,31),Idc_Table,IDC!$BB$90)*$A50-SUM($D52:O52)</f>
        <v>0</v>
      </c>
      <c r="Q52" s="683" t="n">
        <f aca="false">HLOOKUP(DATE(Q$7,12,31),Idc_Table,IDC!$BB$90)*$A50-SUM($D52:P52)</f>
        <v>0</v>
      </c>
      <c r="R52" s="683" t="n">
        <f aca="false">HLOOKUP(DATE(R$7,12,31),Idc_Table,IDC!$BB$90)*$A50-SUM($D52:Q52)</f>
        <v>0</v>
      </c>
      <c r="S52" s="683" t="n">
        <f aca="false">HLOOKUP(DATE(S$7,12,31),Idc_Table,IDC!$BB$90)*$A50-SUM($D52:R52)</f>
        <v>0</v>
      </c>
      <c r="T52" s="683" t="n">
        <f aca="false">HLOOKUP(DATE(T$7,12,31),Idc_Table,IDC!$BB$90)*$A50-SUM($D52:S52)</f>
        <v>0</v>
      </c>
      <c r="U52" s="683" t="n">
        <f aca="false">HLOOKUP(DATE(U$7,12,31),Idc_Table,IDC!$BB$90)*$A50-SUM($D52:T52)</f>
        <v>0</v>
      </c>
      <c r="V52" s="683" t="n">
        <f aca="false">HLOOKUP(DATE(V$7,12,31),Idc_Table,IDC!$BB$90)*$A50-SUM($D52:U52)</f>
        <v>0</v>
      </c>
      <c r="W52" s="683" t="n">
        <f aca="false">HLOOKUP(DATE(W$7,12,31),Idc_Table,IDC!$BB$90)*$A50-SUM($D52:V52)</f>
        <v>0</v>
      </c>
      <c r="X52" s="683" t="n">
        <f aca="false">HLOOKUP(DATE(X$7,12,31),Idc_Table,IDC!$BB$90)*$A50-SUM($D52:W52)</f>
        <v>0</v>
      </c>
      <c r="Y52" s="683" t="n">
        <f aca="false">HLOOKUP(DATE(Y$7,12,31),Idc_Table,IDC!$BB$90)*$A50-SUM($D52:X52)</f>
        <v>0</v>
      </c>
      <c r="Z52" s="683" t="n">
        <f aca="false">HLOOKUP(DATE(Z$7,12,31),Idc_Table,IDC!$BB$90)*$A50-SUM($D52:Y52)</f>
        <v>0</v>
      </c>
      <c r="AA52" s="683" t="n">
        <f aca="false">HLOOKUP(DATE(AA$7,12,31),Idc_Table,IDC!$BB$90)*$A50-SUM($D52:Z52)</f>
        <v>0</v>
      </c>
      <c r="AB52" s="684" t="n">
        <f aca="false">SUM(E52:AA52)</f>
        <v>5108.63060357073</v>
      </c>
      <c r="AC52" s="685" t="n">
        <f aca="false">IF('Project &amp; Investor Returns'!$I$3=0,F52+NPV(Disc,G52:AA52),E52+NPV(Disc,F52:AA52))</f>
        <v>3961.64874652133</v>
      </c>
      <c r="AD52" s="682"/>
      <c r="AE52" s="686"/>
      <c r="AF52" s="686"/>
      <c r="AG52" s="690"/>
      <c r="AH52" s="686"/>
      <c r="AI52" s="686"/>
      <c r="AJ52" s="686"/>
      <c r="AK52" s="686"/>
      <c r="AL52" s="686"/>
      <c r="AM52" s="686"/>
      <c r="AN52" s="686"/>
      <c r="AO52" s="686"/>
      <c r="AP52" s="686"/>
      <c r="AQ52" s="686"/>
      <c r="AR52" s="686"/>
      <c r="AS52" s="686"/>
      <c r="AT52" s="686"/>
      <c r="AU52" s="686"/>
      <c r="AV52" s="686"/>
      <c r="AW52" s="686"/>
      <c r="AX52" s="686"/>
      <c r="AY52" s="686"/>
      <c r="AZ52" s="686"/>
      <c r="BA52" s="686"/>
      <c r="BB52" s="686"/>
      <c r="BC52" s="686"/>
      <c r="BD52" s="686"/>
      <c r="BE52" s="686"/>
      <c r="BF52" s="686"/>
      <c r="BG52" s="686"/>
      <c r="BH52" s="686"/>
      <c r="BI52" s="686"/>
      <c r="BJ52" s="686"/>
      <c r="BK52" s="686"/>
      <c r="BL52" s="686"/>
      <c r="BM52" s="686"/>
      <c r="BN52" s="686"/>
      <c r="BO52" s="686"/>
      <c r="BP52" s="686"/>
      <c r="BQ52" s="686"/>
      <c r="BR52" s="686"/>
      <c r="BS52" s="686"/>
      <c r="BT52" s="686"/>
      <c r="BU52" s="686"/>
      <c r="BV52" s="686"/>
      <c r="BW52" s="686"/>
      <c r="BX52" s="686"/>
      <c r="BY52" s="686"/>
      <c r="BZ52" s="686"/>
      <c r="CA52" s="686"/>
      <c r="CB52" s="686"/>
      <c r="CC52" s="686"/>
      <c r="CD52" s="686"/>
      <c r="CE52" s="686"/>
      <c r="CF52" s="686"/>
      <c r="CG52" s="686"/>
      <c r="CH52" s="686"/>
      <c r="CI52" s="686"/>
      <c r="CJ52" s="686"/>
      <c r="CK52" s="686"/>
      <c r="CL52" s="686"/>
      <c r="CM52" s="686"/>
      <c r="CN52" s="686"/>
      <c r="CO52" s="686"/>
      <c r="CP52" s="686"/>
      <c r="CQ52" s="686"/>
      <c r="CR52" s="686"/>
      <c r="CS52" s="686"/>
      <c r="CT52" s="686"/>
      <c r="CU52" s="686"/>
      <c r="CV52" s="686"/>
      <c r="CW52" s="686"/>
      <c r="CX52" s="686"/>
      <c r="CY52" s="686"/>
      <c r="CZ52" s="686"/>
      <c r="DA52" s="686"/>
      <c r="DB52" s="686"/>
      <c r="DC52" s="686"/>
      <c r="DD52" s="686"/>
      <c r="DE52" s="686"/>
      <c r="DF52" s="686"/>
      <c r="DG52" s="686"/>
      <c r="DH52" s="686"/>
      <c r="DI52" s="686"/>
      <c r="DJ52" s="686"/>
      <c r="DK52" s="686"/>
      <c r="DL52" s="686"/>
      <c r="DM52" s="686"/>
      <c r="DN52" s="686"/>
      <c r="DO52" s="686"/>
      <c r="DP52" s="686"/>
      <c r="DQ52" s="686"/>
      <c r="DR52" s="686"/>
      <c r="DS52" s="686"/>
      <c r="DT52" s="686"/>
      <c r="DU52" s="686"/>
      <c r="DV52" s="686"/>
      <c r="DW52" s="686"/>
      <c r="DX52" s="686"/>
      <c r="DY52" s="686"/>
      <c r="DZ52" s="686"/>
      <c r="EA52" s="686"/>
      <c r="EB52" s="686"/>
      <c r="EC52" s="686"/>
      <c r="ED52" s="686"/>
      <c r="EE52" s="686"/>
      <c r="EF52" s="686"/>
      <c r="EG52" s="686"/>
      <c r="EH52" s="686"/>
      <c r="EI52" s="686"/>
      <c r="EJ52" s="686"/>
      <c r="EK52" s="686"/>
      <c r="EL52" s="686"/>
      <c r="EM52" s="686"/>
      <c r="EN52" s="686"/>
      <c r="EO52" s="686"/>
      <c r="EP52" s="686"/>
      <c r="EQ52" s="686"/>
      <c r="ER52" s="686"/>
      <c r="ES52" s="686"/>
      <c r="ET52" s="686"/>
      <c r="EU52" s="686"/>
      <c r="EV52" s="686"/>
      <c r="EW52" s="686"/>
      <c r="EX52" s="686"/>
      <c r="EY52" s="686"/>
      <c r="EZ52" s="686"/>
      <c r="FA52" s="686"/>
      <c r="FB52" s="686"/>
      <c r="FC52" s="686"/>
      <c r="FD52" s="686"/>
      <c r="FE52" s="686"/>
      <c r="FF52" s="686"/>
      <c r="FG52" s="686"/>
      <c r="FH52" s="686"/>
      <c r="FI52" s="686"/>
      <c r="FJ52" s="686"/>
      <c r="FK52" s="686"/>
      <c r="FL52" s="686"/>
      <c r="FM52" s="686"/>
      <c r="FN52" s="686"/>
      <c r="FO52" s="686"/>
      <c r="FP52" s="686"/>
      <c r="FQ52" s="686"/>
      <c r="FR52" s="686"/>
      <c r="FS52" s="686"/>
      <c r="FT52" s="686"/>
      <c r="FU52" s="686"/>
      <c r="FV52" s="686"/>
      <c r="FW52" s="686"/>
      <c r="FX52" s="686"/>
      <c r="FY52" s="686"/>
      <c r="FZ52" s="686"/>
      <c r="GA52" s="686"/>
      <c r="GB52" s="686"/>
      <c r="GC52" s="686"/>
      <c r="GD52" s="686"/>
      <c r="GE52" s="686"/>
      <c r="GF52" s="686"/>
      <c r="GG52" s="686"/>
      <c r="GH52" s="686"/>
      <c r="GI52" s="686"/>
      <c r="GJ52" s="686"/>
      <c r="GK52" s="686"/>
      <c r="GL52" s="686"/>
      <c r="GM52" s="686"/>
      <c r="GN52" s="686"/>
      <c r="GO52" s="686"/>
      <c r="GP52" s="686"/>
      <c r="GQ52" s="686"/>
      <c r="GR52" s="686"/>
      <c r="GS52" s="686"/>
      <c r="GT52" s="686"/>
      <c r="GU52" s="686"/>
      <c r="GV52" s="686"/>
      <c r="GW52" s="686"/>
      <c r="GX52" s="686"/>
      <c r="GY52" s="686"/>
      <c r="GZ52" s="686"/>
      <c r="HA52" s="686"/>
      <c r="HB52" s="686"/>
      <c r="HC52" s="686"/>
      <c r="HD52" s="686"/>
      <c r="HE52" s="686"/>
      <c r="HF52" s="686"/>
      <c r="HG52" s="686"/>
      <c r="HH52" s="686"/>
      <c r="HI52" s="686"/>
      <c r="HJ52" s="686"/>
      <c r="HK52" s="686"/>
      <c r="HL52" s="686"/>
      <c r="HM52" s="686"/>
      <c r="HN52" s="686"/>
      <c r="HO52" s="686"/>
      <c r="HP52" s="686"/>
      <c r="HQ52" s="686"/>
      <c r="HR52" s="686"/>
      <c r="HS52" s="686"/>
      <c r="HT52" s="686"/>
      <c r="HU52" s="686"/>
      <c r="HV52" s="686"/>
      <c r="HW52" s="686"/>
      <c r="HX52" s="686"/>
      <c r="HY52" s="686"/>
      <c r="HZ52" s="686"/>
      <c r="IA52" s="686"/>
      <c r="IB52" s="686"/>
      <c r="IC52" s="686"/>
      <c r="ID52" s="686"/>
      <c r="IE52" s="686"/>
      <c r="IF52" s="686"/>
      <c r="IG52" s="686"/>
      <c r="IH52" s="686"/>
      <c r="II52" s="686"/>
      <c r="IJ52" s="686"/>
      <c r="IK52" s="686"/>
      <c r="IL52" s="686"/>
      <c r="IM52" s="686"/>
      <c r="IN52" s="686"/>
      <c r="IO52" s="686"/>
      <c r="IP52" s="686"/>
      <c r="IQ52" s="686"/>
      <c r="IR52" s="686"/>
      <c r="IS52" s="686"/>
      <c r="IT52" s="686"/>
      <c r="IU52" s="686"/>
      <c r="IV52" s="686"/>
      <c r="IW52" s="686"/>
    </row>
    <row r="53" customFormat="false" ht="12.75" hidden="false" customHeight="false" outlineLevel="0" collapsed="false">
      <c r="A53" s="687"/>
      <c r="B53" s="682" t="s">
        <v>925</v>
      </c>
      <c r="C53" s="691" t="n">
        <f aca="false">Wh_Int_2</f>
        <v>0.25</v>
      </c>
      <c r="D53" s="689" t="s">
        <v>392</v>
      </c>
      <c r="E53" s="683" t="n">
        <f aca="false">$C$53*-E52</f>
        <v>-0</v>
      </c>
      <c r="F53" s="683" t="n">
        <f aca="false">$C$53*-F52</f>
        <v>-22.6926309233674</v>
      </c>
      <c r="G53" s="683" t="n">
        <f aca="false">$C$53*-G52</f>
        <v>-610.119172985889</v>
      </c>
      <c r="H53" s="683" t="n">
        <f aca="false">$C$53*-H52</f>
        <v>-644.345846983427</v>
      </c>
      <c r="I53" s="683" t="n">
        <f aca="false">$C$53*-I52</f>
        <v>-0</v>
      </c>
      <c r="J53" s="683" t="n">
        <f aca="false">$C$53*-J52</f>
        <v>-0</v>
      </c>
      <c r="K53" s="683" t="n">
        <f aca="false">$C$53*-K52</f>
        <v>-0</v>
      </c>
      <c r="L53" s="683" t="n">
        <f aca="false">$C$53*-L52</f>
        <v>-0</v>
      </c>
      <c r="M53" s="683" t="n">
        <f aca="false">$C$53*-M52</f>
        <v>-0</v>
      </c>
      <c r="N53" s="683" t="n">
        <f aca="false">$C$53*-N52</f>
        <v>-0</v>
      </c>
      <c r="O53" s="683" t="n">
        <f aca="false">$C$53*-O52</f>
        <v>-0</v>
      </c>
      <c r="P53" s="683" t="n">
        <f aca="false">$C$53*-P52</f>
        <v>-0</v>
      </c>
      <c r="Q53" s="683" t="n">
        <f aca="false">$C$53*-Q52</f>
        <v>-0</v>
      </c>
      <c r="R53" s="683" t="n">
        <f aca="false">$C$53*-R52</f>
        <v>-0</v>
      </c>
      <c r="S53" s="683" t="n">
        <f aca="false">$C$53*-S52</f>
        <v>-0</v>
      </c>
      <c r="T53" s="683" t="n">
        <f aca="false">$C$53*-T52</f>
        <v>-0</v>
      </c>
      <c r="U53" s="683" t="n">
        <f aca="false">$C$53*-U52</f>
        <v>-0</v>
      </c>
      <c r="V53" s="683" t="n">
        <f aca="false">$C$53*-V52</f>
        <v>-0</v>
      </c>
      <c r="W53" s="683" t="n">
        <f aca="false">$C$53*-W52</f>
        <v>-0</v>
      </c>
      <c r="X53" s="683" t="n">
        <f aca="false">$C$53*-X52</f>
        <v>-0</v>
      </c>
      <c r="Y53" s="683" t="n">
        <f aca="false">$C$53*-Y52</f>
        <v>-0</v>
      </c>
      <c r="Z53" s="683" t="n">
        <f aca="false">$C$53*-Z52</f>
        <v>-0</v>
      </c>
      <c r="AA53" s="683" t="n">
        <f aca="false">$C$53*-AA52</f>
        <v>-0</v>
      </c>
      <c r="AB53" s="684" t="n">
        <f aca="false">SUM(E53:AA53)</f>
        <v>-1277.15765089268</v>
      </c>
      <c r="AC53" s="685" t="n">
        <f aca="false">IF('Project &amp; Investor Returns'!$I$3=0,F53+NPV(Disc,G53:AA53),E53+NPV(Disc,F53:AA53))</f>
        <v>-990.412186630333</v>
      </c>
      <c r="AD53" s="682"/>
      <c r="AE53" s="686"/>
      <c r="AF53" s="686"/>
      <c r="AG53" s="690"/>
      <c r="AH53" s="686"/>
      <c r="AI53" s="686"/>
      <c r="AJ53" s="686"/>
      <c r="AK53" s="686"/>
      <c r="AL53" s="686"/>
      <c r="AM53" s="686"/>
      <c r="AN53" s="686"/>
      <c r="AO53" s="686"/>
      <c r="AP53" s="686"/>
      <c r="AQ53" s="686"/>
      <c r="AR53" s="686"/>
      <c r="AS53" s="686"/>
      <c r="AT53" s="686"/>
      <c r="AU53" s="686"/>
      <c r="AV53" s="686"/>
      <c r="AW53" s="686"/>
      <c r="AX53" s="686"/>
      <c r="AY53" s="686"/>
      <c r="AZ53" s="686"/>
      <c r="BA53" s="686"/>
      <c r="BB53" s="686"/>
      <c r="BC53" s="686"/>
      <c r="BD53" s="686"/>
      <c r="BE53" s="686"/>
      <c r="BF53" s="686"/>
      <c r="BG53" s="686"/>
      <c r="BH53" s="686"/>
      <c r="BI53" s="686"/>
      <c r="BJ53" s="686"/>
      <c r="BK53" s="686"/>
      <c r="BL53" s="686"/>
      <c r="BM53" s="686"/>
      <c r="BN53" s="686"/>
      <c r="BO53" s="686"/>
      <c r="BP53" s="686"/>
      <c r="BQ53" s="686"/>
      <c r="BR53" s="686"/>
      <c r="BS53" s="686"/>
      <c r="BT53" s="686"/>
      <c r="BU53" s="686"/>
      <c r="BV53" s="686"/>
      <c r="BW53" s="686"/>
      <c r="BX53" s="686"/>
      <c r="BY53" s="686"/>
      <c r="BZ53" s="686"/>
      <c r="CA53" s="686"/>
      <c r="CB53" s="686"/>
      <c r="CC53" s="686"/>
      <c r="CD53" s="686"/>
      <c r="CE53" s="686"/>
      <c r="CF53" s="686"/>
      <c r="CG53" s="686"/>
      <c r="CH53" s="686"/>
      <c r="CI53" s="686"/>
      <c r="CJ53" s="686"/>
      <c r="CK53" s="686"/>
      <c r="CL53" s="686"/>
      <c r="CM53" s="686"/>
      <c r="CN53" s="686"/>
      <c r="CO53" s="686"/>
      <c r="CP53" s="686"/>
      <c r="CQ53" s="686"/>
      <c r="CR53" s="686"/>
      <c r="CS53" s="686"/>
      <c r="CT53" s="686"/>
      <c r="CU53" s="686"/>
      <c r="CV53" s="686"/>
      <c r="CW53" s="686"/>
      <c r="CX53" s="686"/>
      <c r="CY53" s="686"/>
      <c r="CZ53" s="686"/>
      <c r="DA53" s="686"/>
      <c r="DB53" s="686"/>
      <c r="DC53" s="686"/>
      <c r="DD53" s="686"/>
      <c r="DE53" s="686"/>
      <c r="DF53" s="686"/>
      <c r="DG53" s="686"/>
      <c r="DH53" s="686"/>
      <c r="DI53" s="686"/>
      <c r="DJ53" s="686"/>
      <c r="DK53" s="686"/>
      <c r="DL53" s="686"/>
      <c r="DM53" s="686"/>
      <c r="DN53" s="686"/>
      <c r="DO53" s="686"/>
      <c r="DP53" s="686"/>
      <c r="DQ53" s="686"/>
      <c r="DR53" s="686"/>
      <c r="DS53" s="686"/>
      <c r="DT53" s="686"/>
      <c r="DU53" s="686"/>
      <c r="DV53" s="686"/>
      <c r="DW53" s="686"/>
      <c r="DX53" s="686"/>
      <c r="DY53" s="686"/>
      <c r="DZ53" s="686"/>
      <c r="EA53" s="686"/>
      <c r="EB53" s="686"/>
      <c r="EC53" s="686"/>
      <c r="ED53" s="686"/>
      <c r="EE53" s="686"/>
      <c r="EF53" s="686"/>
      <c r="EG53" s="686"/>
      <c r="EH53" s="686"/>
      <c r="EI53" s="686"/>
      <c r="EJ53" s="686"/>
      <c r="EK53" s="686"/>
      <c r="EL53" s="686"/>
      <c r="EM53" s="686"/>
      <c r="EN53" s="686"/>
      <c r="EO53" s="686"/>
      <c r="EP53" s="686"/>
      <c r="EQ53" s="686"/>
      <c r="ER53" s="686"/>
      <c r="ES53" s="686"/>
      <c r="ET53" s="686"/>
      <c r="EU53" s="686"/>
      <c r="EV53" s="686"/>
      <c r="EW53" s="686"/>
      <c r="EX53" s="686"/>
      <c r="EY53" s="686"/>
      <c r="EZ53" s="686"/>
      <c r="FA53" s="686"/>
      <c r="FB53" s="686"/>
      <c r="FC53" s="686"/>
      <c r="FD53" s="686"/>
      <c r="FE53" s="686"/>
      <c r="FF53" s="686"/>
      <c r="FG53" s="686"/>
      <c r="FH53" s="686"/>
      <c r="FI53" s="686"/>
      <c r="FJ53" s="686"/>
      <c r="FK53" s="686"/>
      <c r="FL53" s="686"/>
      <c r="FM53" s="686"/>
      <c r="FN53" s="686"/>
      <c r="FO53" s="686"/>
      <c r="FP53" s="686"/>
      <c r="FQ53" s="686"/>
      <c r="FR53" s="686"/>
      <c r="FS53" s="686"/>
      <c r="FT53" s="686"/>
      <c r="FU53" s="686"/>
      <c r="FV53" s="686"/>
      <c r="FW53" s="686"/>
      <c r="FX53" s="686"/>
      <c r="FY53" s="686"/>
      <c r="FZ53" s="686"/>
      <c r="GA53" s="686"/>
      <c r="GB53" s="686"/>
      <c r="GC53" s="686"/>
      <c r="GD53" s="686"/>
      <c r="GE53" s="686"/>
      <c r="GF53" s="686"/>
      <c r="GG53" s="686"/>
      <c r="GH53" s="686"/>
      <c r="GI53" s="686"/>
      <c r="GJ53" s="686"/>
      <c r="GK53" s="686"/>
      <c r="GL53" s="686"/>
      <c r="GM53" s="686"/>
      <c r="GN53" s="686"/>
      <c r="GO53" s="686"/>
      <c r="GP53" s="686"/>
      <c r="GQ53" s="686"/>
      <c r="GR53" s="686"/>
      <c r="GS53" s="686"/>
      <c r="GT53" s="686"/>
      <c r="GU53" s="686"/>
      <c r="GV53" s="686"/>
      <c r="GW53" s="686"/>
      <c r="GX53" s="686"/>
      <c r="GY53" s="686"/>
      <c r="GZ53" s="686"/>
      <c r="HA53" s="686"/>
      <c r="HB53" s="686"/>
      <c r="HC53" s="686"/>
      <c r="HD53" s="686"/>
      <c r="HE53" s="686"/>
      <c r="HF53" s="686"/>
      <c r="HG53" s="686"/>
      <c r="HH53" s="686"/>
      <c r="HI53" s="686"/>
      <c r="HJ53" s="686"/>
      <c r="HK53" s="686"/>
      <c r="HL53" s="686"/>
      <c r="HM53" s="686"/>
      <c r="HN53" s="686"/>
      <c r="HO53" s="686"/>
      <c r="HP53" s="686"/>
      <c r="HQ53" s="686"/>
      <c r="HR53" s="686"/>
      <c r="HS53" s="686"/>
      <c r="HT53" s="686"/>
      <c r="HU53" s="686"/>
      <c r="HV53" s="686"/>
      <c r="HW53" s="686"/>
      <c r="HX53" s="686"/>
      <c r="HY53" s="686"/>
      <c r="HZ53" s="686"/>
      <c r="IA53" s="686"/>
      <c r="IB53" s="686"/>
      <c r="IC53" s="686"/>
      <c r="ID53" s="686"/>
      <c r="IE53" s="686"/>
      <c r="IF53" s="686"/>
      <c r="IG53" s="686"/>
      <c r="IH53" s="686"/>
      <c r="II53" s="686"/>
      <c r="IJ53" s="686"/>
      <c r="IK53" s="686"/>
      <c r="IL53" s="686"/>
      <c r="IM53" s="686"/>
      <c r="IN53" s="686"/>
      <c r="IO53" s="686"/>
      <c r="IP53" s="686"/>
      <c r="IQ53" s="686"/>
      <c r="IR53" s="686"/>
      <c r="IS53" s="686"/>
      <c r="IT53" s="686"/>
      <c r="IU53" s="686"/>
      <c r="IV53" s="686"/>
      <c r="IW53" s="686"/>
    </row>
    <row r="54" customFormat="false" ht="12.75" hidden="false" customHeight="false" outlineLevel="0" collapsed="false">
      <c r="A54" s="687"/>
      <c r="B54" s="682" t="s">
        <v>395</v>
      </c>
      <c r="C54" s="682"/>
      <c r="D54" s="689" t="s">
        <v>392</v>
      </c>
      <c r="E54" s="683" t="n">
        <f aca="false">-PLRisk!E67</f>
        <v>0</v>
      </c>
      <c r="F54" s="683" t="n">
        <f aca="false">-PLRisk!F67</f>
        <v>-115.171339272285</v>
      </c>
      <c r="G54" s="683" t="n">
        <f aca="false">-PLRisk!G67</f>
        <v>-413.469139267437</v>
      </c>
      <c r="H54" s="683" t="n">
        <f aca="false">-PLRisk!H67</f>
        <v>-355.883469631294</v>
      </c>
      <c r="I54" s="683" t="n">
        <f aca="false">-PLRisk!I67</f>
        <v>0</v>
      </c>
      <c r="J54" s="683" t="n">
        <f aca="false">-PLRisk!J67</f>
        <v>0</v>
      </c>
      <c r="K54" s="683" t="n">
        <f aca="false">-PLRisk!K67</f>
        <v>0</v>
      </c>
      <c r="L54" s="683" t="n">
        <f aca="false">-PLRisk!L67</f>
        <v>0</v>
      </c>
      <c r="M54" s="683" t="n">
        <f aca="false">-PLRisk!M67</f>
        <v>0</v>
      </c>
      <c r="N54" s="683" t="n">
        <f aca="false">-PLRisk!N67</f>
        <v>0</v>
      </c>
      <c r="O54" s="683" t="n">
        <f aca="false">-PLRisk!O67</f>
        <v>0</v>
      </c>
      <c r="P54" s="683" t="n">
        <f aca="false">-PLRisk!P67</f>
        <v>0</v>
      </c>
      <c r="Q54" s="683" t="n">
        <f aca="false">-PLRisk!Q67</f>
        <v>0</v>
      </c>
      <c r="R54" s="683" t="n">
        <f aca="false">-PLRisk!R67</f>
        <v>0</v>
      </c>
      <c r="S54" s="683" t="n">
        <f aca="false">-PLRisk!S67</f>
        <v>0</v>
      </c>
      <c r="T54" s="683" t="n">
        <f aca="false">-PLRisk!T67</f>
        <v>0</v>
      </c>
      <c r="U54" s="683" t="n">
        <f aca="false">-PLRisk!U67</f>
        <v>0</v>
      </c>
      <c r="V54" s="683" t="n">
        <f aca="false">-PLRisk!V67</f>
        <v>0</v>
      </c>
      <c r="W54" s="683" t="n">
        <f aca="false">-PLRisk!W67</f>
        <v>0</v>
      </c>
      <c r="X54" s="683" t="n">
        <f aca="false">-PLRisk!X67</f>
        <v>0</v>
      </c>
      <c r="Y54" s="683" t="n">
        <f aca="false">-PLRisk!Y67</f>
        <v>0</v>
      </c>
      <c r="Z54" s="683" t="n">
        <f aca="false">-PLRisk!Z67</f>
        <v>0</v>
      </c>
      <c r="AA54" s="683" t="n">
        <f aca="false">-PLRisk!AA67</f>
        <v>0</v>
      </c>
      <c r="AB54" s="684" t="n">
        <f aca="false">SUM(E54:AA54)</f>
        <v>-884.523948171016</v>
      </c>
      <c r="AC54" s="685" t="n">
        <f aca="false">IF('Project &amp; Investor Returns'!$I$3=0,F54+NPV(Disc,G54:AA54),E54+NPV(Disc,F54:AA54))</f>
        <v>-713.936783350771</v>
      </c>
      <c r="AD54" s="682"/>
      <c r="AE54" s="686"/>
      <c r="AF54" s="686"/>
      <c r="AG54" s="690"/>
      <c r="AH54" s="686"/>
      <c r="AI54" s="686"/>
      <c r="AJ54" s="686"/>
      <c r="AK54" s="686"/>
      <c r="AL54" s="686"/>
      <c r="AM54" s="686"/>
      <c r="AN54" s="686"/>
      <c r="AO54" s="686"/>
      <c r="AP54" s="686"/>
      <c r="AQ54" s="686"/>
      <c r="AR54" s="686"/>
      <c r="AS54" s="686"/>
      <c r="AT54" s="686"/>
      <c r="AU54" s="686"/>
      <c r="AV54" s="686"/>
      <c r="AW54" s="686"/>
      <c r="AX54" s="686"/>
      <c r="AY54" s="686"/>
      <c r="AZ54" s="686"/>
      <c r="BA54" s="686"/>
      <c r="BB54" s="686"/>
      <c r="BC54" s="686"/>
      <c r="BD54" s="686"/>
      <c r="BE54" s="686"/>
      <c r="BF54" s="686"/>
      <c r="BG54" s="686"/>
      <c r="BH54" s="686"/>
      <c r="BI54" s="686"/>
      <c r="BJ54" s="686"/>
      <c r="BK54" s="686"/>
      <c r="BL54" s="686"/>
      <c r="BM54" s="686"/>
      <c r="BN54" s="686"/>
      <c r="BO54" s="686"/>
      <c r="BP54" s="686"/>
      <c r="BQ54" s="686"/>
      <c r="BR54" s="686"/>
      <c r="BS54" s="686"/>
      <c r="BT54" s="686"/>
      <c r="BU54" s="686"/>
      <c r="BV54" s="686"/>
      <c r="BW54" s="686"/>
      <c r="BX54" s="686"/>
      <c r="BY54" s="686"/>
      <c r="BZ54" s="686"/>
      <c r="CA54" s="686"/>
      <c r="CB54" s="686"/>
      <c r="CC54" s="686"/>
      <c r="CD54" s="686"/>
      <c r="CE54" s="686"/>
      <c r="CF54" s="686"/>
      <c r="CG54" s="686"/>
      <c r="CH54" s="686"/>
      <c r="CI54" s="686"/>
      <c r="CJ54" s="686"/>
      <c r="CK54" s="686"/>
      <c r="CL54" s="686"/>
      <c r="CM54" s="686"/>
      <c r="CN54" s="686"/>
      <c r="CO54" s="686"/>
      <c r="CP54" s="686"/>
      <c r="CQ54" s="686"/>
      <c r="CR54" s="686"/>
      <c r="CS54" s="686"/>
      <c r="CT54" s="686"/>
      <c r="CU54" s="686"/>
      <c r="CV54" s="686"/>
      <c r="CW54" s="686"/>
      <c r="CX54" s="686"/>
      <c r="CY54" s="686"/>
      <c r="CZ54" s="686"/>
      <c r="DA54" s="686"/>
      <c r="DB54" s="686"/>
      <c r="DC54" s="686"/>
      <c r="DD54" s="686"/>
      <c r="DE54" s="686"/>
      <c r="DF54" s="686"/>
      <c r="DG54" s="686"/>
      <c r="DH54" s="686"/>
      <c r="DI54" s="686"/>
      <c r="DJ54" s="686"/>
      <c r="DK54" s="686"/>
      <c r="DL54" s="686"/>
      <c r="DM54" s="686"/>
      <c r="DN54" s="686"/>
      <c r="DO54" s="686"/>
      <c r="DP54" s="686"/>
      <c r="DQ54" s="686"/>
      <c r="DR54" s="686"/>
      <c r="DS54" s="686"/>
      <c r="DT54" s="686"/>
      <c r="DU54" s="686"/>
      <c r="DV54" s="686"/>
      <c r="DW54" s="686"/>
      <c r="DX54" s="686"/>
      <c r="DY54" s="686"/>
      <c r="DZ54" s="686"/>
      <c r="EA54" s="686"/>
      <c r="EB54" s="686"/>
      <c r="EC54" s="686"/>
      <c r="ED54" s="686"/>
      <c r="EE54" s="686"/>
      <c r="EF54" s="686"/>
      <c r="EG54" s="686"/>
      <c r="EH54" s="686"/>
      <c r="EI54" s="686"/>
      <c r="EJ54" s="686"/>
      <c r="EK54" s="686"/>
      <c r="EL54" s="686"/>
      <c r="EM54" s="686"/>
      <c r="EN54" s="686"/>
      <c r="EO54" s="686"/>
      <c r="EP54" s="686"/>
      <c r="EQ54" s="686"/>
      <c r="ER54" s="686"/>
      <c r="ES54" s="686"/>
      <c r="ET54" s="686"/>
      <c r="EU54" s="686"/>
      <c r="EV54" s="686"/>
      <c r="EW54" s="686"/>
      <c r="EX54" s="686"/>
      <c r="EY54" s="686"/>
      <c r="EZ54" s="686"/>
      <c r="FA54" s="686"/>
      <c r="FB54" s="686"/>
      <c r="FC54" s="686"/>
      <c r="FD54" s="686"/>
      <c r="FE54" s="686"/>
      <c r="FF54" s="686"/>
      <c r="FG54" s="686"/>
      <c r="FH54" s="686"/>
      <c r="FI54" s="686"/>
      <c r="FJ54" s="686"/>
      <c r="FK54" s="686"/>
      <c r="FL54" s="686"/>
      <c r="FM54" s="686"/>
      <c r="FN54" s="686"/>
      <c r="FO54" s="686"/>
      <c r="FP54" s="686"/>
      <c r="FQ54" s="686"/>
      <c r="FR54" s="686"/>
      <c r="FS54" s="686"/>
      <c r="FT54" s="686"/>
      <c r="FU54" s="686"/>
      <c r="FV54" s="686"/>
      <c r="FW54" s="686"/>
      <c r="FX54" s="686"/>
      <c r="FY54" s="686"/>
      <c r="FZ54" s="686"/>
      <c r="GA54" s="686"/>
      <c r="GB54" s="686"/>
      <c r="GC54" s="686"/>
      <c r="GD54" s="686"/>
      <c r="GE54" s="686"/>
      <c r="GF54" s="686"/>
      <c r="GG54" s="686"/>
      <c r="GH54" s="686"/>
      <c r="GI54" s="686"/>
      <c r="GJ54" s="686"/>
      <c r="GK54" s="686"/>
      <c r="GL54" s="686"/>
      <c r="GM54" s="686"/>
      <c r="GN54" s="686"/>
      <c r="GO54" s="686"/>
      <c r="GP54" s="686"/>
      <c r="GQ54" s="686"/>
      <c r="GR54" s="686"/>
      <c r="GS54" s="686"/>
      <c r="GT54" s="686"/>
      <c r="GU54" s="686"/>
      <c r="GV54" s="686"/>
      <c r="GW54" s="686"/>
      <c r="GX54" s="686"/>
      <c r="GY54" s="686"/>
      <c r="GZ54" s="686"/>
      <c r="HA54" s="686"/>
      <c r="HB54" s="686"/>
      <c r="HC54" s="686"/>
      <c r="HD54" s="686"/>
      <c r="HE54" s="686"/>
      <c r="HF54" s="686"/>
      <c r="HG54" s="686"/>
      <c r="HH54" s="686"/>
      <c r="HI54" s="686"/>
      <c r="HJ54" s="686"/>
      <c r="HK54" s="686"/>
      <c r="HL54" s="686"/>
      <c r="HM54" s="686"/>
      <c r="HN54" s="686"/>
      <c r="HO54" s="686"/>
      <c r="HP54" s="686"/>
      <c r="HQ54" s="686"/>
      <c r="HR54" s="686"/>
      <c r="HS54" s="686"/>
      <c r="HT54" s="686"/>
      <c r="HU54" s="686"/>
      <c r="HV54" s="686"/>
      <c r="HW54" s="686"/>
      <c r="HX54" s="686"/>
      <c r="HY54" s="686"/>
      <c r="HZ54" s="686"/>
      <c r="IA54" s="686"/>
      <c r="IB54" s="686"/>
      <c r="IC54" s="686"/>
      <c r="ID54" s="686"/>
      <c r="IE54" s="686"/>
      <c r="IF54" s="686"/>
      <c r="IG54" s="686"/>
      <c r="IH54" s="686"/>
      <c r="II54" s="686"/>
      <c r="IJ54" s="686"/>
      <c r="IK54" s="686"/>
      <c r="IL54" s="686"/>
      <c r="IM54" s="686"/>
      <c r="IN54" s="686"/>
      <c r="IO54" s="686"/>
      <c r="IP54" s="686"/>
      <c r="IQ54" s="686"/>
      <c r="IR54" s="686"/>
      <c r="IS54" s="686"/>
      <c r="IT54" s="686"/>
      <c r="IU54" s="686"/>
      <c r="IV54" s="686"/>
      <c r="IW54" s="686"/>
    </row>
    <row r="55" customFormat="false" ht="12.75" hidden="false" customHeight="false" outlineLevel="0" collapsed="false">
      <c r="A55" s="692"/>
      <c r="B55" s="682" t="s">
        <v>926</v>
      </c>
      <c r="C55" s="691" t="n">
        <f aca="false">USTax</f>
        <v>0.37</v>
      </c>
      <c r="D55" s="693"/>
      <c r="E55" s="694" t="n">
        <f aca="false">-SUM(E52:E54)*USTax</f>
        <v>-0</v>
      </c>
      <c r="F55" s="694" t="n">
        <f aca="false">-SUM(F52:F54)*USTax</f>
        <v>17.4245752058078</v>
      </c>
      <c r="G55" s="694" t="n">
        <f aca="false">-SUM(G52:G54)*USTax</f>
        <v>-524.248700485385</v>
      </c>
      <c r="H55" s="694" t="n">
        <f aca="false">-SUM(H52:H54)*USTax</f>
        <v>-583.547006388025</v>
      </c>
      <c r="I55" s="694" t="n">
        <f aca="false">-SUM(I52:I54)*USTax</f>
        <v>-0</v>
      </c>
      <c r="J55" s="694" t="n">
        <f aca="false">-SUM(J52:J54)*USTax</f>
        <v>-0</v>
      </c>
      <c r="K55" s="694" t="n">
        <f aca="false">-SUM(K52:K54)*USTax</f>
        <v>-0</v>
      </c>
      <c r="L55" s="694" t="n">
        <f aca="false">-SUM(L52:L54)*USTax</f>
        <v>-0</v>
      </c>
      <c r="M55" s="694" t="n">
        <f aca="false">-SUM(M52:M54)*USTax</f>
        <v>-0</v>
      </c>
      <c r="N55" s="694" t="n">
        <f aca="false">-SUM(N52:N54)*USTax</f>
        <v>-0</v>
      </c>
      <c r="O55" s="694" t="n">
        <f aca="false">-SUM(O52:O54)*USTax</f>
        <v>-0</v>
      </c>
      <c r="P55" s="694" t="n">
        <f aca="false">-SUM(P52:P54)*USTax</f>
        <v>-0</v>
      </c>
      <c r="Q55" s="694" t="n">
        <f aca="false">-SUM(Q52:Q54)*USTax</f>
        <v>-0</v>
      </c>
      <c r="R55" s="694" t="n">
        <f aca="false">-SUM(R52:R54)*USTax</f>
        <v>-0</v>
      </c>
      <c r="S55" s="694" t="n">
        <f aca="false">-SUM(S52:S54)*USTax</f>
        <v>-0</v>
      </c>
      <c r="T55" s="694" t="n">
        <f aca="false">-SUM(T52:T54)*USTax</f>
        <v>-0</v>
      </c>
      <c r="U55" s="694" t="n">
        <f aca="false">-SUM(U52:U54)*USTax</f>
        <v>-0</v>
      </c>
      <c r="V55" s="694" t="n">
        <f aca="false">-SUM(V52:V54)*USTax</f>
        <v>-0</v>
      </c>
      <c r="W55" s="694" t="n">
        <f aca="false">-SUM(W52:W54)*USTax</f>
        <v>-0</v>
      </c>
      <c r="X55" s="694" t="n">
        <f aca="false">-SUM(X52:X54)*USTax</f>
        <v>-0</v>
      </c>
      <c r="Y55" s="694" t="n">
        <f aca="false">-SUM(Y52:Y54)*USTax</f>
        <v>-0</v>
      </c>
      <c r="Z55" s="694" t="n">
        <f aca="false">-SUM(Z52:Z54)*USTax</f>
        <v>-0</v>
      </c>
      <c r="AA55" s="694" t="n">
        <f aca="false">-SUM(AA52:AA54)*USTax</f>
        <v>-0</v>
      </c>
      <c r="AB55" s="695" t="n">
        <f aca="false">SUM(E55:AA55)</f>
        <v>-1090.3711316676</v>
      </c>
      <c r="AC55" s="696" t="n">
        <f aca="false">IF('Project &amp; Investor Returns'!$I$3=0,F55+NPV(Disc,G55:AA55),E55+NPV(Disc,F55:AA55))</f>
        <v>-835.200917319885</v>
      </c>
      <c r="AD55" s="682"/>
      <c r="AE55" s="697"/>
      <c r="AF55" s="697"/>
      <c r="AG55" s="690"/>
      <c r="AH55" s="697"/>
      <c r="AI55" s="697"/>
      <c r="AJ55" s="697"/>
      <c r="AK55" s="697"/>
      <c r="AL55" s="697"/>
      <c r="AM55" s="697"/>
      <c r="AN55" s="697"/>
      <c r="AO55" s="697"/>
      <c r="AP55" s="697"/>
      <c r="AQ55" s="697"/>
      <c r="AR55" s="697"/>
      <c r="AS55" s="697"/>
      <c r="AT55" s="697"/>
      <c r="AU55" s="697"/>
      <c r="AV55" s="697"/>
      <c r="AW55" s="697"/>
      <c r="AX55" s="697"/>
      <c r="AY55" s="697"/>
      <c r="AZ55" s="697"/>
      <c r="BA55" s="697"/>
      <c r="BB55" s="697"/>
      <c r="BC55" s="697"/>
      <c r="BD55" s="697"/>
      <c r="BE55" s="697"/>
      <c r="BF55" s="697"/>
      <c r="BG55" s="697"/>
      <c r="BH55" s="697"/>
      <c r="BI55" s="697"/>
      <c r="BJ55" s="697"/>
      <c r="BK55" s="697"/>
      <c r="BL55" s="697"/>
      <c r="BM55" s="697"/>
      <c r="BN55" s="697"/>
      <c r="BO55" s="697"/>
      <c r="BP55" s="697"/>
      <c r="BQ55" s="697"/>
      <c r="BR55" s="697"/>
      <c r="BS55" s="697"/>
      <c r="BT55" s="697"/>
      <c r="BU55" s="697"/>
      <c r="BV55" s="697"/>
      <c r="BW55" s="697"/>
      <c r="BX55" s="697"/>
      <c r="BY55" s="697"/>
      <c r="BZ55" s="697"/>
      <c r="CA55" s="697"/>
      <c r="CB55" s="697"/>
      <c r="CC55" s="697"/>
      <c r="CD55" s="697"/>
      <c r="CE55" s="697"/>
      <c r="CF55" s="697"/>
      <c r="CG55" s="697"/>
      <c r="CH55" s="697"/>
      <c r="CI55" s="697"/>
      <c r="CJ55" s="697"/>
      <c r="CK55" s="697"/>
      <c r="CL55" s="697"/>
      <c r="CM55" s="697"/>
      <c r="CN55" s="697"/>
      <c r="CO55" s="697"/>
      <c r="CP55" s="697"/>
      <c r="CQ55" s="697"/>
      <c r="CR55" s="697"/>
      <c r="CS55" s="697"/>
      <c r="CT55" s="697"/>
      <c r="CU55" s="697"/>
      <c r="CV55" s="697"/>
      <c r="CW55" s="697"/>
      <c r="CX55" s="697"/>
      <c r="CY55" s="697"/>
      <c r="CZ55" s="697"/>
      <c r="DA55" s="697"/>
      <c r="DB55" s="697"/>
      <c r="DC55" s="697"/>
      <c r="DD55" s="697"/>
      <c r="DE55" s="697"/>
      <c r="DF55" s="697"/>
      <c r="DG55" s="697"/>
      <c r="DH55" s="697"/>
      <c r="DI55" s="697"/>
      <c r="DJ55" s="697"/>
      <c r="DK55" s="697"/>
      <c r="DL55" s="697"/>
      <c r="DM55" s="697"/>
      <c r="DN55" s="697"/>
      <c r="DO55" s="697"/>
      <c r="DP55" s="697"/>
      <c r="DQ55" s="697"/>
      <c r="DR55" s="697"/>
      <c r="DS55" s="697"/>
      <c r="DT55" s="697"/>
      <c r="DU55" s="697"/>
      <c r="DV55" s="697"/>
      <c r="DW55" s="697"/>
      <c r="DX55" s="697"/>
      <c r="DY55" s="697"/>
      <c r="DZ55" s="697"/>
      <c r="EA55" s="697"/>
      <c r="EB55" s="697"/>
      <c r="EC55" s="697"/>
      <c r="ED55" s="697"/>
      <c r="EE55" s="697"/>
      <c r="EF55" s="697"/>
      <c r="EG55" s="697"/>
      <c r="EH55" s="697"/>
      <c r="EI55" s="697"/>
      <c r="EJ55" s="697"/>
      <c r="EK55" s="697"/>
      <c r="EL55" s="697"/>
      <c r="EM55" s="697"/>
      <c r="EN55" s="697"/>
      <c r="EO55" s="697"/>
      <c r="EP55" s="697"/>
      <c r="EQ55" s="697"/>
      <c r="ER55" s="697"/>
      <c r="ES55" s="697"/>
      <c r="ET55" s="697"/>
      <c r="EU55" s="697"/>
      <c r="EV55" s="697"/>
      <c r="EW55" s="697"/>
      <c r="EX55" s="697"/>
      <c r="EY55" s="697"/>
      <c r="EZ55" s="697"/>
      <c r="FA55" s="697"/>
      <c r="FB55" s="697"/>
      <c r="FC55" s="697"/>
      <c r="FD55" s="697"/>
      <c r="FE55" s="697"/>
      <c r="FF55" s="697"/>
      <c r="FG55" s="697"/>
      <c r="FH55" s="697"/>
      <c r="FI55" s="697"/>
      <c r="FJ55" s="697"/>
      <c r="FK55" s="697"/>
      <c r="FL55" s="697"/>
      <c r="FM55" s="697"/>
      <c r="FN55" s="697"/>
      <c r="FO55" s="697"/>
      <c r="FP55" s="697"/>
      <c r="FQ55" s="697"/>
      <c r="FR55" s="697"/>
      <c r="FS55" s="697"/>
      <c r="FT55" s="697"/>
      <c r="FU55" s="697"/>
      <c r="FV55" s="697"/>
      <c r="FW55" s="697"/>
      <c r="FX55" s="697"/>
      <c r="FY55" s="697"/>
      <c r="FZ55" s="697"/>
      <c r="GA55" s="697"/>
      <c r="GB55" s="697"/>
      <c r="GC55" s="697"/>
      <c r="GD55" s="697"/>
      <c r="GE55" s="697"/>
      <c r="GF55" s="697"/>
      <c r="GG55" s="697"/>
      <c r="GH55" s="697"/>
      <c r="GI55" s="697"/>
      <c r="GJ55" s="697"/>
      <c r="GK55" s="697"/>
      <c r="GL55" s="697"/>
      <c r="GM55" s="697"/>
      <c r="GN55" s="697"/>
      <c r="GO55" s="697"/>
      <c r="GP55" s="697"/>
      <c r="GQ55" s="697"/>
      <c r="GR55" s="697"/>
      <c r="GS55" s="697"/>
      <c r="GT55" s="697"/>
      <c r="GU55" s="697"/>
      <c r="GV55" s="697"/>
      <c r="GW55" s="697"/>
      <c r="GX55" s="697"/>
      <c r="GY55" s="697"/>
      <c r="GZ55" s="697"/>
      <c r="HA55" s="697"/>
      <c r="HB55" s="697"/>
      <c r="HC55" s="697"/>
      <c r="HD55" s="697"/>
      <c r="HE55" s="697"/>
      <c r="HF55" s="697"/>
      <c r="HG55" s="697"/>
      <c r="HH55" s="697"/>
      <c r="HI55" s="697"/>
      <c r="HJ55" s="697"/>
      <c r="HK55" s="697"/>
      <c r="HL55" s="697"/>
      <c r="HM55" s="697"/>
      <c r="HN55" s="697"/>
      <c r="HO55" s="697"/>
      <c r="HP55" s="697"/>
      <c r="HQ55" s="697"/>
      <c r="HR55" s="697"/>
      <c r="HS55" s="697"/>
      <c r="HT55" s="697"/>
      <c r="HU55" s="697"/>
      <c r="HV55" s="697"/>
      <c r="HW55" s="697"/>
      <c r="HX55" s="697"/>
      <c r="HY55" s="697"/>
      <c r="HZ55" s="697"/>
      <c r="IA55" s="697"/>
      <c r="IB55" s="697"/>
      <c r="IC55" s="697"/>
      <c r="ID55" s="697"/>
      <c r="IE55" s="697"/>
      <c r="IF55" s="697"/>
      <c r="IG55" s="697"/>
      <c r="IH55" s="697"/>
      <c r="II55" s="697"/>
      <c r="IJ55" s="697"/>
      <c r="IK55" s="697"/>
      <c r="IL55" s="697"/>
      <c r="IM55" s="697"/>
      <c r="IN55" s="697"/>
      <c r="IO55" s="697"/>
      <c r="IP55" s="697"/>
      <c r="IQ55" s="697"/>
      <c r="IR55" s="697"/>
      <c r="IS55" s="697"/>
      <c r="IT55" s="697"/>
      <c r="IU55" s="697"/>
      <c r="IV55" s="697"/>
      <c r="IW55" s="697"/>
    </row>
    <row r="56" customFormat="false" ht="12.75" hidden="false" customHeight="false" outlineLevel="0" collapsed="false">
      <c r="A56" s="698"/>
      <c r="B56" s="38" t="s">
        <v>927</v>
      </c>
      <c r="E56" s="217" t="n">
        <f aca="false">SUM(E49:E55)</f>
        <v>0</v>
      </c>
      <c r="F56" s="217" t="n">
        <f aca="false">SUM(F49:F55)</f>
        <v>-76345.9860462856</v>
      </c>
      <c r="G56" s="217" t="n">
        <f aca="false">SUM(G49:G55)</f>
        <v>-25575.7718209792</v>
      </c>
      <c r="H56" s="217" t="n">
        <f aca="false">SUM(H49:H55)</f>
        <v>56154.7162209332</v>
      </c>
      <c r="I56" s="217" t="n">
        <f aca="false">SUM(I49:I55)</f>
        <v>8455.97511503019</v>
      </c>
      <c r="J56" s="217" t="n">
        <f aca="false">SUM(J49:J55)</f>
        <v>1061.12038553607</v>
      </c>
      <c r="K56" s="217" t="n">
        <f aca="false">SUM(K49:K55)</f>
        <v>3452.06540661006</v>
      </c>
      <c r="L56" s="217" t="n">
        <f aca="false">SUM(L49:L55)</f>
        <v>-3962.84032513123</v>
      </c>
      <c r="M56" s="217" t="n">
        <f aca="false">SUM(M49:M55)</f>
        <v>6868.34922850315</v>
      </c>
      <c r="N56" s="217" t="n">
        <f aca="false">SUM(N49:N55)</f>
        <v>7403.42825268245</v>
      </c>
      <c r="O56" s="217" t="n">
        <f aca="false">SUM(O49:O55)</f>
        <v>5920.7864730042</v>
      </c>
      <c r="P56" s="217" t="n">
        <f aca="false">SUM(P49:P55)</f>
        <v>5125.65965913028</v>
      </c>
      <c r="Q56" s="217" t="n">
        <f aca="false">SUM(Q49:Q55)</f>
        <v>6168.34247044073</v>
      </c>
      <c r="R56" s="217" t="n">
        <f aca="false">SUM(R49:R55)</f>
        <v>6667.80136074657</v>
      </c>
      <c r="S56" s="217" t="n">
        <f aca="false">SUM(S49:S55)</f>
        <v>4290.75073280611</v>
      </c>
      <c r="T56" s="217" t="n">
        <f aca="false">SUM(T49:T55)</f>
        <v>3424.49258009993</v>
      </c>
      <c r="U56" s="217" t="n">
        <f aca="false">SUM(U49:U55)</f>
        <v>11923.184353414</v>
      </c>
      <c r="V56" s="217" t="n">
        <f aca="false">SUM(V49:V55)</f>
        <v>4883.6763738909</v>
      </c>
      <c r="W56" s="217" t="n">
        <f aca="false">SUM(W49:W55)</f>
        <v>-860.921350374191</v>
      </c>
      <c r="X56" s="217" t="n">
        <f aca="false">SUM(X49:X55)</f>
        <v>3441.709346107</v>
      </c>
      <c r="Y56" s="217" t="n">
        <f aca="false">SUM(Y49:Y55)</f>
        <v>2690.79715989055</v>
      </c>
      <c r="Z56" s="217" t="n">
        <f aca="false">SUM(Z49:Z55)</f>
        <v>3468.70882005393</v>
      </c>
      <c r="AA56" s="217" t="n">
        <f aca="false">SUM(AA49:AA55)</f>
        <v>3437.89385988621</v>
      </c>
      <c r="AB56" s="574" t="n">
        <f aca="false">SUM(E56:AA56)</f>
        <v>38093.9382559952</v>
      </c>
      <c r="AC56" s="574" t="n">
        <f aca="false">SUM(AC49:AC55)</f>
        <v>-42511.0084700144</v>
      </c>
      <c r="AE56" s="666"/>
      <c r="AF56" s="666"/>
      <c r="AG56" s="666"/>
      <c r="AH56" s="666"/>
      <c r="AI56" s="666"/>
      <c r="AJ56" s="666"/>
      <c r="AK56" s="666"/>
      <c r="AL56" s="666"/>
      <c r="AM56" s="666"/>
      <c r="AN56" s="666"/>
      <c r="AO56" s="666"/>
      <c r="AP56" s="666"/>
      <c r="AQ56" s="666"/>
      <c r="AR56" s="666"/>
      <c r="AS56" s="666"/>
      <c r="AT56" s="666"/>
      <c r="AU56" s="666"/>
      <c r="AV56" s="666"/>
      <c r="AW56" s="666"/>
      <c r="AX56" s="666"/>
      <c r="AY56" s="666"/>
      <c r="AZ56" s="666"/>
      <c r="BA56" s="666"/>
      <c r="BB56" s="666"/>
      <c r="BC56" s="666"/>
      <c r="BD56" s="666"/>
      <c r="BE56" s="666"/>
      <c r="BF56" s="666"/>
      <c r="BG56" s="666"/>
      <c r="BH56" s="666"/>
      <c r="BI56" s="666"/>
      <c r="BJ56" s="666"/>
      <c r="BK56" s="666"/>
      <c r="BL56" s="666"/>
      <c r="BM56" s="666"/>
      <c r="BN56" s="666"/>
      <c r="BO56" s="666"/>
      <c r="BP56" s="666"/>
      <c r="BQ56" s="666"/>
      <c r="BR56" s="666"/>
      <c r="BS56" s="666"/>
      <c r="BT56" s="666"/>
      <c r="BU56" s="666"/>
      <c r="BV56" s="666"/>
      <c r="BW56" s="666"/>
      <c r="BX56" s="666"/>
      <c r="BY56" s="666"/>
      <c r="BZ56" s="666"/>
      <c r="CA56" s="666"/>
      <c r="CB56" s="666"/>
      <c r="CC56" s="666"/>
      <c r="CD56" s="666"/>
      <c r="CE56" s="666"/>
      <c r="CF56" s="666"/>
      <c r="CG56" s="666"/>
      <c r="CH56" s="666"/>
      <c r="CI56" s="666"/>
      <c r="CJ56" s="666"/>
      <c r="CK56" s="666"/>
      <c r="CL56" s="666"/>
      <c r="CM56" s="666"/>
      <c r="CN56" s="666"/>
      <c r="CO56" s="666"/>
      <c r="CP56" s="666"/>
      <c r="CQ56" s="666"/>
      <c r="CR56" s="666"/>
      <c r="CS56" s="666"/>
      <c r="CT56" s="666"/>
      <c r="CU56" s="666"/>
      <c r="CV56" s="666"/>
      <c r="CW56" s="666"/>
      <c r="CX56" s="666"/>
      <c r="CY56" s="666"/>
      <c r="CZ56" s="666"/>
      <c r="DA56" s="666"/>
      <c r="DB56" s="666"/>
      <c r="DC56" s="666"/>
      <c r="DD56" s="666"/>
      <c r="DE56" s="666"/>
      <c r="DF56" s="666"/>
      <c r="DG56" s="666"/>
      <c r="DH56" s="666"/>
      <c r="DI56" s="666"/>
      <c r="DJ56" s="666"/>
      <c r="DK56" s="666"/>
      <c r="DL56" s="666"/>
      <c r="DM56" s="666"/>
      <c r="DN56" s="666"/>
      <c r="DO56" s="666"/>
      <c r="DP56" s="666"/>
      <c r="DQ56" s="666"/>
      <c r="DR56" s="666"/>
      <c r="DS56" s="666"/>
      <c r="DT56" s="666"/>
      <c r="DU56" s="666"/>
      <c r="DV56" s="666"/>
      <c r="DW56" s="666"/>
      <c r="DX56" s="666"/>
      <c r="DY56" s="666"/>
      <c r="DZ56" s="666"/>
      <c r="EA56" s="666"/>
      <c r="EB56" s="666"/>
      <c r="EC56" s="666"/>
      <c r="ED56" s="666"/>
      <c r="EE56" s="666"/>
      <c r="EF56" s="666"/>
      <c r="EG56" s="666"/>
      <c r="EH56" s="666"/>
      <c r="EI56" s="666"/>
      <c r="EJ56" s="666"/>
      <c r="EK56" s="666"/>
      <c r="EL56" s="666"/>
      <c r="EM56" s="666"/>
      <c r="EN56" s="666"/>
      <c r="EO56" s="666"/>
      <c r="EP56" s="666"/>
      <c r="EQ56" s="666"/>
      <c r="ER56" s="666"/>
      <c r="ES56" s="666"/>
      <c r="ET56" s="666"/>
      <c r="EU56" s="666"/>
      <c r="EV56" s="666"/>
      <c r="EW56" s="666"/>
      <c r="EX56" s="666"/>
      <c r="EY56" s="666"/>
      <c r="EZ56" s="666"/>
      <c r="FA56" s="666"/>
      <c r="FB56" s="666"/>
      <c r="FC56" s="666"/>
      <c r="FD56" s="666"/>
      <c r="FE56" s="666"/>
      <c r="FF56" s="666"/>
      <c r="FG56" s="666"/>
      <c r="FH56" s="666"/>
      <c r="FI56" s="666"/>
      <c r="FJ56" s="666"/>
      <c r="FK56" s="666"/>
      <c r="FL56" s="666"/>
      <c r="FM56" s="666"/>
      <c r="FN56" s="666"/>
      <c r="FO56" s="666"/>
      <c r="FP56" s="666"/>
      <c r="FQ56" s="666"/>
      <c r="FR56" s="666"/>
      <c r="FS56" s="666"/>
      <c r="FT56" s="666"/>
      <c r="FU56" s="666"/>
      <c r="FV56" s="666"/>
      <c r="FW56" s="666"/>
      <c r="FX56" s="666"/>
      <c r="FY56" s="666"/>
      <c r="FZ56" s="666"/>
      <c r="GA56" s="666"/>
      <c r="GB56" s="666"/>
      <c r="GC56" s="666"/>
      <c r="GD56" s="666"/>
      <c r="GE56" s="666"/>
      <c r="GF56" s="666"/>
      <c r="GG56" s="666"/>
      <c r="GH56" s="666"/>
      <c r="GI56" s="666"/>
      <c r="GJ56" s="666"/>
      <c r="GK56" s="666"/>
      <c r="GL56" s="666"/>
      <c r="GM56" s="666"/>
      <c r="GN56" s="666"/>
      <c r="GO56" s="666"/>
      <c r="GP56" s="666"/>
      <c r="GQ56" s="666"/>
      <c r="GR56" s="666"/>
      <c r="GS56" s="666"/>
      <c r="GT56" s="666"/>
      <c r="GU56" s="666"/>
      <c r="GV56" s="666"/>
      <c r="GW56" s="666"/>
      <c r="GX56" s="666"/>
      <c r="GY56" s="666"/>
      <c r="GZ56" s="666"/>
      <c r="HA56" s="666"/>
      <c r="HB56" s="666"/>
      <c r="HC56" s="666"/>
      <c r="HD56" s="666"/>
      <c r="HE56" s="666"/>
      <c r="HF56" s="666"/>
      <c r="HG56" s="666"/>
      <c r="HH56" s="666"/>
      <c r="HI56" s="666"/>
      <c r="HJ56" s="666"/>
      <c r="HK56" s="666"/>
      <c r="HL56" s="666"/>
      <c r="HM56" s="666"/>
      <c r="HN56" s="666"/>
      <c r="HO56" s="666"/>
      <c r="HP56" s="666"/>
      <c r="HQ56" s="666"/>
      <c r="HR56" s="666"/>
      <c r="HS56" s="666"/>
      <c r="HT56" s="666"/>
      <c r="HU56" s="666"/>
      <c r="HV56" s="666"/>
      <c r="HW56" s="666"/>
      <c r="HX56" s="666"/>
      <c r="HY56" s="666"/>
      <c r="HZ56" s="666"/>
      <c r="IA56" s="666"/>
      <c r="IB56" s="666"/>
      <c r="IC56" s="666"/>
      <c r="ID56" s="666"/>
      <c r="IE56" s="666"/>
      <c r="IF56" s="666"/>
      <c r="IG56" s="666"/>
      <c r="IH56" s="666"/>
      <c r="II56" s="666"/>
      <c r="IJ56" s="666"/>
      <c r="IK56" s="666"/>
      <c r="IL56" s="666"/>
      <c r="IM56" s="666"/>
      <c r="IN56" s="666"/>
      <c r="IO56" s="666"/>
      <c r="IP56" s="666"/>
      <c r="IQ56" s="666"/>
      <c r="IR56" s="666"/>
      <c r="IS56" s="666"/>
      <c r="IT56" s="666"/>
      <c r="IU56" s="666"/>
      <c r="IV56" s="666"/>
      <c r="IW56" s="666"/>
    </row>
    <row r="57" customFormat="false" ht="12.75" hidden="false" customHeight="false" outlineLevel="0" collapsed="false">
      <c r="A57" s="698"/>
      <c r="E57" s="668" t="n">
        <f aca="false">SUM(E50:E55)</f>
        <v>0</v>
      </c>
      <c r="F57" s="668" t="n">
        <f aca="false">SUM(F50:F55)</f>
        <v>-17305.3697621392</v>
      </c>
      <c r="G57" s="668" t="n">
        <f aca="false">SUM(G50:G55)</f>
        <v>-35214.1798746465</v>
      </c>
      <c r="H57" s="668" t="n">
        <f aca="false">SUM(H50:H55)</f>
        <v>54376.1275096251</v>
      </c>
      <c r="I57" s="668" t="n">
        <f aca="false">SUM(I50:I55)</f>
        <v>0</v>
      </c>
      <c r="J57" s="668" t="n">
        <f aca="false">SUM(J50:J55)</f>
        <v>0</v>
      </c>
      <c r="K57" s="668" t="n">
        <f aca="false">SUM(K50:K55)</f>
        <v>0</v>
      </c>
      <c r="L57" s="668" t="n">
        <f aca="false">SUM(L50:L55)</f>
        <v>0</v>
      </c>
      <c r="M57" s="668" t="n">
        <f aca="false">SUM(M50:M55)</f>
        <v>0</v>
      </c>
      <c r="N57" s="668" t="n">
        <f aca="false">SUM(N50:N55)</f>
        <v>0</v>
      </c>
      <c r="O57" s="668" t="n">
        <f aca="false">SUM(O50:O55)</f>
        <v>0</v>
      </c>
      <c r="P57" s="668" t="n">
        <f aca="false">SUM(P50:P55)</f>
        <v>0</v>
      </c>
      <c r="Q57" s="668" t="n">
        <f aca="false">SUM(Q50:Q55)</f>
        <v>0</v>
      </c>
      <c r="R57" s="668" t="n">
        <f aca="false">SUM(R50:R55)</f>
        <v>0</v>
      </c>
      <c r="S57" s="668" t="n">
        <f aca="false">SUM(S50:S55)</f>
        <v>0</v>
      </c>
      <c r="T57" s="668" t="n">
        <f aca="false">SUM(T50:T55)</f>
        <v>0</v>
      </c>
      <c r="U57" s="668" t="n">
        <f aca="false">SUM(U50:U55)</f>
        <v>0</v>
      </c>
      <c r="V57" s="668" t="n">
        <f aca="false">SUM(V50:V55)</f>
        <v>0</v>
      </c>
      <c r="W57" s="668" t="n">
        <f aca="false">SUM(W50:W55)</f>
        <v>0</v>
      </c>
      <c r="X57" s="668" t="n">
        <f aca="false">SUM(X50:X55)</f>
        <v>0</v>
      </c>
      <c r="Y57" s="668" t="n">
        <f aca="false">SUM(Y50:Y55)</f>
        <v>0</v>
      </c>
      <c r="Z57" s="668" t="n">
        <f aca="false">SUM(Z50:Z55)</f>
        <v>0</v>
      </c>
      <c r="AA57" s="668" t="n">
        <f aca="false">SUM(AA50:AA55)</f>
        <v>0</v>
      </c>
      <c r="AB57" s="669" t="n">
        <f aca="false">SUM(AB50:AB55)</f>
        <v>1856.57787283943</v>
      </c>
      <c r="AC57" s="669" t="n">
        <f aca="false">SUM(AC50:AC55)</f>
        <v>-8498.60932234271</v>
      </c>
      <c r="AE57" s="666"/>
      <c r="AF57" s="666"/>
      <c r="AG57" s="666"/>
      <c r="AH57" s="666"/>
      <c r="AI57" s="666"/>
      <c r="AJ57" s="666"/>
      <c r="AK57" s="666"/>
      <c r="AL57" s="666"/>
      <c r="AM57" s="666"/>
      <c r="AN57" s="666"/>
      <c r="AO57" s="666"/>
      <c r="AP57" s="666"/>
      <c r="AQ57" s="666"/>
      <c r="AR57" s="666"/>
      <c r="AS57" s="666"/>
      <c r="AT57" s="666"/>
      <c r="AU57" s="666"/>
      <c r="AV57" s="666"/>
      <c r="AW57" s="666"/>
      <c r="AX57" s="666"/>
      <c r="AY57" s="666"/>
      <c r="AZ57" s="666"/>
      <c r="BA57" s="666"/>
      <c r="BB57" s="666"/>
      <c r="BC57" s="666"/>
      <c r="BD57" s="666"/>
      <c r="BE57" s="666"/>
      <c r="BF57" s="666"/>
      <c r="BG57" s="666"/>
      <c r="BH57" s="666"/>
      <c r="BI57" s="666"/>
      <c r="BJ57" s="666"/>
      <c r="BK57" s="666"/>
      <c r="BL57" s="666"/>
      <c r="BM57" s="666"/>
      <c r="BN57" s="666"/>
      <c r="BO57" s="666"/>
      <c r="BP57" s="666"/>
      <c r="BQ57" s="666"/>
      <c r="BR57" s="666"/>
      <c r="BS57" s="666"/>
      <c r="BT57" s="666"/>
      <c r="BU57" s="666"/>
      <c r="BV57" s="666"/>
      <c r="BW57" s="666"/>
      <c r="BX57" s="666"/>
      <c r="BY57" s="666"/>
      <c r="BZ57" s="666"/>
      <c r="CA57" s="666"/>
      <c r="CB57" s="666"/>
      <c r="CC57" s="666"/>
      <c r="CD57" s="666"/>
      <c r="CE57" s="666"/>
      <c r="CF57" s="666"/>
      <c r="CG57" s="666"/>
      <c r="CH57" s="666"/>
      <c r="CI57" s="666"/>
      <c r="CJ57" s="666"/>
      <c r="CK57" s="666"/>
      <c r="CL57" s="666"/>
      <c r="CM57" s="666"/>
      <c r="CN57" s="666"/>
      <c r="CO57" s="666"/>
      <c r="CP57" s="666"/>
      <c r="CQ57" s="666"/>
      <c r="CR57" s="666"/>
      <c r="CS57" s="666"/>
      <c r="CT57" s="666"/>
      <c r="CU57" s="666"/>
      <c r="CV57" s="666"/>
      <c r="CW57" s="666"/>
      <c r="CX57" s="666"/>
      <c r="CY57" s="666"/>
      <c r="CZ57" s="666"/>
      <c r="DA57" s="666"/>
      <c r="DB57" s="666"/>
      <c r="DC57" s="666"/>
      <c r="DD57" s="666"/>
      <c r="DE57" s="666"/>
      <c r="DF57" s="666"/>
      <c r="DG57" s="666"/>
      <c r="DH57" s="666"/>
      <c r="DI57" s="666"/>
      <c r="DJ57" s="666"/>
      <c r="DK57" s="666"/>
      <c r="DL57" s="666"/>
      <c r="DM57" s="666"/>
      <c r="DN57" s="666"/>
      <c r="DO57" s="666"/>
      <c r="DP57" s="666"/>
      <c r="DQ57" s="666"/>
      <c r="DR57" s="666"/>
      <c r="DS57" s="666"/>
      <c r="DT57" s="666"/>
      <c r="DU57" s="666"/>
      <c r="DV57" s="666"/>
      <c r="DW57" s="666"/>
      <c r="DX57" s="666"/>
      <c r="DY57" s="666"/>
      <c r="DZ57" s="666"/>
      <c r="EA57" s="666"/>
      <c r="EB57" s="666"/>
      <c r="EC57" s="666"/>
      <c r="ED57" s="666"/>
      <c r="EE57" s="666"/>
      <c r="EF57" s="666"/>
      <c r="EG57" s="666"/>
      <c r="EH57" s="666"/>
      <c r="EI57" s="666"/>
      <c r="EJ57" s="666"/>
      <c r="EK57" s="666"/>
      <c r="EL57" s="666"/>
      <c r="EM57" s="666"/>
      <c r="EN57" s="666"/>
      <c r="EO57" s="666"/>
      <c r="EP57" s="666"/>
      <c r="EQ57" s="666"/>
      <c r="ER57" s="666"/>
      <c r="ES57" s="666"/>
      <c r="ET57" s="666"/>
      <c r="EU57" s="666"/>
      <c r="EV57" s="666"/>
      <c r="EW57" s="666"/>
      <c r="EX57" s="666"/>
      <c r="EY57" s="666"/>
      <c r="EZ57" s="666"/>
      <c r="FA57" s="666"/>
      <c r="FB57" s="666"/>
      <c r="FC57" s="666"/>
      <c r="FD57" s="666"/>
      <c r="FE57" s="666"/>
      <c r="FF57" s="666"/>
      <c r="FG57" s="666"/>
      <c r="FH57" s="666"/>
      <c r="FI57" s="666"/>
      <c r="FJ57" s="666"/>
      <c r="FK57" s="666"/>
      <c r="FL57" s="666"/>
      <c r="FM57" s="666"/>
      <c r="FN57" s="666"/>
      <c r="FO57" s="666"/>
      <c r="FP57" s="666"/>
      <c r="FQ57" s="666"/>
      <c r="FR57" s="666"/>
      <c r="FS57" s="666"/>
      <c r="FT57" s="666"/>
      <c r="FU57" s="666"/>
      <c r="FV57" s="666"/>
      <c r="FW57" s="666"/>
      <c r="FX57" s="666"/>
      <c r="FY57" s="666"/>
      <c r="FZ57" s="666"/>
      <c r="GA57" s="666"/>
      <c r="GB57" s="666"/>
      <c r="GC57" s="666"/>
      <c r="GD57" s="666"/>
      <c r="GE57" s="666"/>
      <c r="GF57" s="666"/>
      <c r="GG57" s="666"/>
      <c r="GH57" s="666"/>
      <c r="GI57" s="666"/>
      <c r="GJ57" s="666"/>
      <c r="GK57" s="666"/>
      <c r="GL57" s="666"/>
      <c r="GM57" s="666"/>
      <c r="GN57" s="666"/>
      <c r="GO57" s="666"/>
      <c r="GP57" s="666"/>
      <c r="GQ57" s="666"/>
      <c r="GR57" s="666"/>
      <c r="GS57" s="666"/>
      <c r="GT57" s="666"/>
      <c r="GU57" s="666"/>
      <c r="GV57" s="666"/>
      <c r="GW57" s="666"/>
      <c r="GX57" s="666"/>
      <c r="GY57" s="666"/>
      <c r="GZ57" s="666"/>
      <c r="HA57" s="666"/>
      <c r="HB57" s="666"/>
      <c r="HC57" s="666"/>
      <c r="HD57" s="666"/>
      <c r="HE57" s="666"/>
      <c r="HF57" s="666"/>
      <c r="HG57" s="666"/>
      <c r="HH57" s="666"/>
      <c r="HI57" s="666"/>
      <c r="HJ57" s="666"/>
      <c r="HK57" s="666"/>
      <c r="HL57" s="666"/>
      <c r="HM57" s="666"/>
      <c r="HN57" s="666"/>
      <c r="HO57" s="666"/>
      <c r="HP57" s="666"/>
      <c r="HQ57" s="666"/>
      <c r="HR57" s="666"/>
      <c r="HS57" s="666"/>
      <c r="HT57" s="666"/>
      <c r="HU57" s="666"/>
      <c r="HV57" s="666"/>
      <c r="HW57" s="666"/>
      <c r="HX57" s="666"/>
      <c r="HY57" s="666"/>
      <c r="HZ57" s="666"/>
      <c r="IA57" s="666"/>
      <c r="IB57" s="666"/>
      <c r="IC57" s="666"/>
      <c r="ID57" s="666"/>
      <c r="IE57" s="666"/>
      <c r="IF57" s="666"/>
      <c r="IG57" s="666"/>
      <c r="IH57" s="666"/>
      <c r="II57" s="666"/>
      <c r="IJ57" s="666"/>
      <c r="IK57" s="666"/>
      <c r="IL57" s="666"/>
      <c r="IM57" s="666"/>
      <c r="IN57" s="666"/>
      <c r="IO57" s="666"/>
      <c r="IP57" s="666"/>
      <c r="IQ57" s="666"/>
      <c r="IR57" s="666"/>
      <c r="IS57" s="666"/>
      <c r="IT57" s="666"/>
      <c r="IU57" s="666"/>
      <c r="IV57" s="666"/>
      <c r="IW57" s="666"/>
    </row>
    <row r="58" customFormat="false" ht="12.75" hidden="false" customHeight="false" outlineLevel="0" collapsed="false">
      <c r="A58" s="37"/>
      <c r="B58" s="38" t="s">
        <v>899</v>
      </c>
      <c r="E58" s="645" t="n">
        <f aca="false">$E56</f>
        <v>0</v>
      </c>
      <c r="F58" s="645" t="n">
        <f aca="false">IF($I$3=0,$F56,$E56+NPV(Disc,$F56:F56))</f>
        <v>-76345.9860462856</v>
      </c>
      <c r="G58" s="217" t="n">
        <f aca="false">IF($I$3=0,$F56+NPV(Disc,$G56:G56),$E56+NPV(Disc,$F56:G56))</f>
        <v>-97838.2312739992</v>
      </c>
      <c r="H58" s="217" t="n">
        <f aca="false">IF($I$3=0,$F56+NPV(Disc,$G56:H56),$E56+NPV(Disc,$F56:H56))</f>
        <v>-58183.7462652194</v>
      </c>
      <c r="I58" s="217" t="n">
        <f aca="false">IF($I$3=0,$F56+NPV(Disc,$G56:I56),$E56+NPV(Disc,$F56:I56))</f>
        <v>-53165.8369076868</v>
      </c>
      <c r="J58" s="217" t="n">
        <f aca="false">IF($I$3=0,$F56+NPV(Disc,$G56:J56),$E56+NPV(Disc,$F56:J56))</f>
        <v>-52636.6893299381</v>
      </c>
      <c r="K58" s="217" t="n">
        <f aca="false">IF($I$3=0,$F56+NPV(Disc,$G56:K56),$E56+NPV(Disc,$F56:K56))</f>
        <v>-51190.1034928854</v>
      </c>
      <c r="L58" s="217" t="n">
        <f aca="false">IF($I$3=0,$F56+NPV(Disc,$G56:L56),$E56+NPV(Disc,$F56:L56))</f>
        <v>-52585.5873125042</v>
      </c>
      <c r="M58" s="217" t="n">
        <f aca="false">IF($I$3=0,$F56+NPV(Disc,$G56:M56),$E56+NPV(Disc,$F56:M56))</f>
        <v>-50553.1196735389</v>
      </c>
      <c r="N58" s="217" t="n">
        <f aca="false">IF($I$3=0,$F56+NPV(Disc,$G56:N56),$E56+NPV(Disc,$F56:N56))</f>
        <v>-48712.1052932819</v>
      </c>
      <c r="O58" s="217" t="n">
        <f aca="false">IF($I$3=0,$F56+NPV(Disc,$G56:O56),$E56+NPV(Disc,$F56:O56))</f>
        <v>-47474.8573331579</v>
      </c>
      <c r="P58" s="217" t="n">
        <f aca="false">IF($I$3=0,$F56+NPV(Disc,$G56:P56),$E56+NPV(Disc,$F56:P56))</f>
        <v>-46574.7793221497</v>
      </c>
      <c r="Q58" s="217" t="n">
        <f aca="false">IF($I$3=0,$F56+NPV(Disc,$G56:Q56),$E56+NPV(Disc,$F56:Q56))</f>
        <v>-45664.5477344728</v>
      </c>
      <c r="R58" s="217" t="n">
        <f aca="false">IF($I$3=0,$F56+NPV(Disc,$G56:R56),$E56+NPV(Disc,$F56:R56))</f>
        <v>-44837.7122307465</v>
      </c>
      <c r="S58" s="217" t="n">
        <f aca="false">IF($I$3=0,$F56+NPV(Disc,$G56:S56),$E56+NPV(Disc,$F56:S56))</f>
        <v>-44390.5935787942</v>
      </c>
      <c r="T58" s="217" t="n">
        <f aca="false">IF($I$3=0,$F56+NPV(Disc,$G56:T56),$E56+NPV(Disc,$F56:T56))</f>
        <v>-44090.7196082522</v>
      </c>
      <c r="U58" s="217" t="n">
        <f aca="false">IF($I$3=0,$F56+NPV(Disc,$G56:U56),$E56+NPV(Disc,$F56:U56))</f>
        <v>-43213.3393906776</v>
      </c>
      <c r="V58" s="217" t="n">
        <f aca="false">IF($I$3=0,$F56+NPV(Disc,$G56:V56),$E56+NPV(Disc,$F56:V56))</f>
        <v>-42911.3473515424</v>
      </c>
      <c r="W58" s="217" t="n">
        <f aca="false">IF($I$3=0,$F56+NPV(Disc,$G56:W56),$E56+NPV(Disc,$F56:W56))</f>
        <v>-42956.084174053</v>
      </c>
      <c r="X58" s="217" t="n">
        <f aca="false">IF($I$3=0,$F56+NPV(Disc,$G56:X56),$E56+NPV(Disc,$F56:X56))</f>
        <v>-42805.7945887443</v>
      </c>
      <c r="Y58" s="217" t="n">
        <f aca="false">IF($I$3=0,$F56+NPV(Disc,$G56:Y56),$E56+NPV(Disc,$F56:Y56))</f>
        <v>-42707.0555956417</v>
      </c>
      <c r="Z58" s="217" t="n">
        <f aca="false">IF($I$3=0,$F56+NPV(Disc,$G56:Z56),$E56+NPV(Disc,$F56:Z56))</f>
        <v>-42600.0938168323</v>
      </c>
      <c r="AA58" s="217" t="n">
        <f aca="false">IF($I$3=0,$F56+NPV(Disc,$G56:AA56),$E56+NPV(Disc,$F56:AA56))</f>
        <v>-42511.0084700144</v>
      </c>
      <c r="AB58" s="640"/>
      <c r="AC58" s="574" t="n">
        <f aca="false">AC56</f>
        <v>-42511.0084700144</v>
      </c>
      <c r="AD58" s="668" t="n">
        <f aca="false">NPV(Disc,F57:AA57)+E57</f>
        <v>-7141.68850617035</v>
      </c>
    </row>
    <row r="59" customFormat="false" ht="12.75" hidden="false" customHeight="false" outlineLevel="0" collapsed="false">
      <c r="A59" s="37"/>
      <c r="B59" s="38" t="s">
        <v>900</v>
      </c>
      <c r="E59" s="260" t="e">
        <f aca="false">IRR($E56:E56,-0.9)</f>
        <v>#N/A</v>
      </c>
      <c r="F59" s="260" t="e">
        <f aca="false">IRR($E56:F56,-0.9)</f>
        <v>#N/A</v>
      </c>
      <c r="G59" s="260" t="e">
        <f aca="false">IRR($E56:G56,-0.9)</f>
        <v>#N/A</v>
      </c>
      <c r="H59" s="260" t="n">
        <f aca="false">IRR($E56:H56,-0.9)</f>
        <v>-0.293665421318611</v>
      </c>
      <c r="I59" s="260" t="n">
        <f aca="false">IRR($E56:I56,-0.9)</f>
        <v>-0.216235960656033</v>
      </c>
      <c r="J59" s="260" t="n">
        <f aca="false">IRR($E56:J56,-0.9)</f>
        <v>-0.20570032274754</v>
      </c>
      <c r="K59" s="260" t="n">
        <f aca="false">IRR($E56:K56,-0.9)</f>
        <v>-0.169486446347536</v>
      </c>
      <c r="L59" s="260" t="n">
        <f aca="false">IRR($E56:L56,-0.9)</f>
        <v>-0.53618376162463</v>
      </c>
      <c r="M59" s="260" t="e">
        <f aca="false">IRR($E56:M56,-0.9)</f>
        <v>#N/A</v>
      </c>
      <c r="N59" s="260" t="e">
        <f aca="false">IRR($E56:N56,-0.9)</f>
        <v>#N/A</v>
      </c>
      <c r="O59" s="260" t="e">
        <f aca="false">IRR($E56:O56,-0.9)</f>
        <v>#N/A</v>
      </c>
      <c r="P59" s="260" t="e">
        <f aca="false">IRR($E56:P56,-0.9)</f>
        <v>#N/A</v>
      </c>
      <c r="Q59" s="260" t="e">
        <f aca="false">IRR($E56:Q56,-0.9)</f>
        <v>#N/A</v>
      </c>
      <c r="R59" s="260" t="e">
        <f aca="false">IRR($E56:R56,-0.9)</f>
        <v>#N/A</v>
      </c>
      <c r="S59" s="260" t="e">
        <f aca="false">IRR($E56:S56,-0.9)</f>
        <v>#N/A</v>
      </c>
      <c r="T59" s="260" t="e">
        <f aca="false">IRR($E56:T56,-0.9)</f>
        <v>#N/A</v>
      </c>
      <c r="U59" s="260" t="e">
        <f aca="false">IRR($E56:U56,-0.9)</f>
        <v>#N/A</v>
      </c>
      <c r="V59" s="260" t="e">
        <f aca="false">IRR($E56:V56,-0.9)</f>
        <v>#N/A</v>
      </c>
      <c r="W59" s="260" t="n">
        <f aca="false">IRR($E56:W56,-0.9)</f>
        <v>-0.868115789982006</v>
      </c>
      <c r="X59" s="260" t="e">
        <f aca="false">IRR($E56:X56,-0.9)</f>
        <v>#N/A</v>
      </c>
      <c r="Y59" s="260" t="e">
        <f aca="false">IRR($E56:Y56,-0.9)</f>
        <v>#N/A</v>
      </c>
      <c r="Z59" s="260" t="e">
        <f aca="false">IRR($E56:Z56,-0.9)</f>
        <v>#N/A</v>
      </c>
      <c r="AA59" s="260" t="e">
        <f aca="false">IRR($E56:AA56,-0.9)</f>
        <v>#N/A</v>
      </c>
      <c r="AB59" s="638"/>
      <c r="AC59" s="646" t="e">
        <f aca="false">IRR(E56:AA56,-0.9)</f>
        <v>#N/A</v>
      </c>
      <c r="AD59" s="670" t="n">
        <f aca="false">IF(ISERROR(IRR(E57:AA57,-0.9)),"Infinite",IRR(E57:AA57,-0.9))</f>
        <v>0.026416099343527</v>
      </c>
    </row>
    <row r="60" customFormat="false" ht="12.75" hidden="false" customHeight="true" outlineLevel="0" collapsed="false">
      <c r="A60" s="37"/>
      <c r="C60" s="671" t="s">
        <v>908</v>
      </c>
      <c r="D60" s="671" t="s">
        <v>909</v>
      </c>
      <c r="E60" s="637"/>
      <c r="F60" s="637"/>
      <c r="G60" s="637"/>
      <c r="H60" s="637"/>
      <c r="I60" s="637"/>
      <c r="J60" s="637"/>
      <c r="K60" s="637"/>
      <c r="L60" s="637"/>
      <c r="M60" s="637"/>
      <c r="N60" s="637"/>
      <c r="O60" s="637"/>
      <c r="P60" s="637"/>
      <c r="Q60" s="637"/>
      <c r="R60" s="637"/>
      <c r="S60" s="637"/>
      <c r="T60" s="637"/>
      <c r="U60" s="637"/>
      <c r="V60" s="637"/>
      <c r="W60" s="637"/>
      <c r="X60" s="637"/>
      <c r="Y60" s="637"/>
      <c r="Z60" s="637"/>
      <c r="AA60" s="637"/>
      <c r="AB60" s="638"/>
      <c r="AC60" s="555"/>
    </row>
    <row r="61" customFormat="false" ht="12.75" hidden="false" customHeight="false" outlineLevel="0" collapsed="false">
      <c r="A61" s="37"/>
      <c r="B61" s="647" t="str">
        <f aca="false">CONCATENATE("Enron NPV (w/ Bridge Loan) @ ",TEXT(Disc,"0.0%"))</f>
        <v>Enron NPV (w/ Bridge Loan) @ 19.0%</v>
      </c>
      <c r="C61" s="672" t="n">
        <f aca="false">AC58</f>
        <v>-42511.0084700144</v>
      </c>
      <c r="D61" s="648" t="n">
        <f aca="false">AD58</f>
        <v>-7141.68850617035</v>
      </c>
      <c r="F61" s="649"/>
      <c r="G61" s="649"/>
      <c r="H61" s="649"/>
      <c r="I61" s="649"/>
      <c r="J61" s="649"/>
      <c r="K61" s="649"/>
      <c r="L61" s="649"/>
      <c r="M61" s="649"/>
      <c r="N61" s="649"/>
      <c r="O61" s="649"/>
      <c r="P61" s="649"/>
      <c r="Q61" s="649"/>
      <c r="R61" s="649"/>
      <c r="S61" s="649"/>
      <c r="T61" s="649"/>
      <c r="U61" s="649"/>
      <c r="V61" s="649"/>
      <c r="W61" s="649"/>
      <c r="X61" s="649"/>
      <c r="Y61" s="649"/>
      <c r="Z61" s="649"/>
      <c r="AA61" s="649"/>
      <c r="AB61" s="638"/>
      <c r="AC61" s="555"/>
    </row>
    <row r="62" customFormat="false" ht="12.75" hidden="false" customHeight="false" outlineLevel="0" collapsed="false">
      <c r="A62" s="563"/>
      <c r="B62" s="662" t="s">
        <v>928</v>
      </c>
      <c r="C62" s="723" t="e">
        <f aca="false">AC59</f>
        <v>#N/A</v>
      </c>
      <c r="D62" s="724" t="n">
        <f aca="false">AD59</f>
        <v>0.026416099343527</v>
      </c>
      <c r="E62" s="700"/>
      <c r="F62" s="700"/>
      <c r="G62" s="700"/>
      <c r="H62" s="700"/>
      <c r="I62" s="700"/>
      <c r="J62" s="700"/>
      <c r="K62" s="700"/>
      <c r="L62" s="700"/>
      <c r="M62" s="700"/>
      <c r="N62" s="700"/>
      <c r="O62" s="700"/>
      <c r="P62" s="700"/>
      <c r="Q62" s="700"/>
      <c r="R62" s="700"/>
      <c r="S62" s="700"/>
      <c r="T62" s="700"/>
      <c r="U62" s="700"/>
      <c r="V62" s="700"/>
      <c r="W62" s="700"/>
      <c r="X62" s="700"/>
      <c r="Y62" s="700"/>
      <c r="Z62" s="700"/>
      <c r="AA62" s="700"/>
      <c r="AB62" s="701"/>
      <c r="AC62" s="665"/>
    </row>
    <row r="63" customFormat="false" ht="12.75" hidden="false" customHeight="false" outlineLevel="0" collapsed="false">
      <c r="A63" s="37"/>
      <c r="AB63" s="555"/>
      <c r="AC63" s="555"/>
    </row>
    <row r="64" customFormat="false" ht="12.75" hidden="false" customHeight="false" outlineLevel="0" collapsed="false">
      <c r="A64" s="698"/>
      <c r="B64" s="38" t="s">
        <v>901</v>
      </c>
      <c r="E64" s="217" t="n">
        <f aca="false">E56</f>
        <v>0</v>
      </c>
      <c r="F64" s="217" t="n">
        <f aca="false">F56</f>
        <v>-76345.9860462856</v>
      </c>
      <c r="G64" s="217" t="n">
        <f aca="false">G56</f>
        <v>-25575.7718209792</v>
      </c>
      <c r="H64" s="217" t="n">
        <f aca="false">H56</f>
        <v>56154.7162209332</v>
      </c>
      <c r="I64" s="217" t="n">
        <f aca="false">I56</f>
        <v>8455.97511503019</v>
      </c>
      <c r="J64" s="217" t="n">
        <f aca="false">J56</f>
        <v>1061.12038553607</v>
      </c>
      <c r="K64" s="217" t="n">
        <f aca="false">K56</f>
        <v>3452.06540661006</v>
      </c>
      <c r="L64" s="217" t="n">
        <f aca="false">L56</f>
        <v>-3962.84032513123</v>
      </c>
      <c r="M64" s="217" t="n">
        <f aca="false">M56</f>
        <v>6868.34922850315</v>
      </c>
      <c r="N64" s="217" t="n">
        <f aca="false">N56</f>
        <v>7403.42825268245</v>
      </c>
      <c r="O64" s="217" t="n">
        <f aca="false">O56</f>
        <v>5920.7864730042</v>
      </c>
      <c r="P64" s="217" t="n">
        <f aca="false">P56</f>
        <v>5125.65965913028</v>
      </c>
      <c r="Q64" s="217" t="n">
        <f aca="false">Q56</f>
        <v>6168.34247044073</v>
      </c>
      <c r="R64" s="217" t="n">
        <f aca="false">R56</f>
        <v>6667.80136074657</v>
      </c>
      <c r="S64" s="217" t="n">
        <f aca="false">S56</f>
        <v>4290.75073280611</v>
      </c>
      <c r="T64" s="217" t="n">
        <f aca="false">T56</f>
        <v>3424.49258009993</v>
      </c>
      <c r="U64" s="217" t="n">
        <f aca="false">U56</f>
        <v>11923.184353414</v>
      </c>
      <c r="V64" s="217" t="n">
        <f aca="false">V56</f>
        <v>4883.6763738909</v>
      </c>
      <c r="W64" s="217" t="n">
        <f aca="false">W56</f>
        <v>-860.921350374191</v>
      </c>
      <c r="X64" s="217" t="n">
        <f aca="false">X56</f>
        <v>3441.709346107</v>
      </c>
      <c r="Y64" s="217" t="n">
        <f aca="false">Y56</f>
        <v>2690.79715989055</v>
      </c>
      <c r="Z64" s="217" t="n">
        <f aca="false">Z56</f>
        <v>3468.70882005393</v>
      </c>
      <c r="AA64" s="217" t="n">
        <f aca="false">AA56</f>
        <v>3437.89385988621</v>
      </c>
      <c r="AB64" s="574" t="n">
        <f aca="false">SUM(E64:AA64)</f>
        <v>38093.9382559952</v>
      </c>
      <c r="AC64" s="641" t="n">
        <f aca="false">IF('Project &amp; Investor Returns'!$I$3=0,F64+NPV(Disc,G64:AA64),E64+NPV(Disc,F64:AA64))</f>
        <v>-42511.0084700144</v>
      </c>
      <c r="AE64" s="666"/>
      <c r="AF64" s="666"/>
      <c r="AG64" s="666"/>
      <c r="AH64" s="666"/>
      <c r="AI64" s="666"/>
      <c r="AJ64" s="666"/>
      <c r="AK64" s="666"/>
      <c r="AL64" s="666"/>
      <c r="AM64" s="666"/>
      <c r="AN64" s="666"/>
      <c r="AO64" s="666"/>
      <c r="AP64" s="666"/>
      <c r="AQ64" s="666"/>
      <c r="AR64" s="666"/>
      <c r="AS64" s="666"/>
      <c r="AT64" s="666"/>
      <c r="AU64" s="666"/>
      <c r="AV64" s="666"/>
      <c r="AW64" s="666"/>
      <c r="AX64" s="666"/>
      <c r="AY64" s="666"/>
      <c r="AZ64" s="666"/>
      <c r="BA64" s="666"/>
      <c r="BB64" s="666"/>
      <c r="BC64" s="666"/>
      <c r="BD64" s="666"/>
      <c r="BE64" s="666"/>
      <c r="BF64" s="666"/>
      <c r="BG64" s="666"/>
      <c r="BH64" s="666"/>
      <c r="BI64" s="666"/>
      <c r="BJ64" s="666"/>
      <c r="BK64" s="666"/>
      <c r="BL64" s="666"/>
      <c r="BM64" s="666"/>
      <c r="BN64" s="666"/>
      <c r="BO64" s="666"/>
      <c r="BP64" s="666"/>
      <c r="BQ64" s="666"/>
      <c r="BR64" s="666"/>
      <c r="BS64" s="666"/>
      <c r="BT64" s="666"/>
      <c r="BU64" s="666"/>
      <c r="BV64" s="666"/>
      <c r="BW64" s="666"/>
      <c r="BX64" s="666"/>
      <c r="BY64" s="666"/>
      <c r="BZ64" s="666"/>
      <c r="CA64" s="666"/>
      <c r="CB64" s="666"/>
      <c r="CC64" s="666"/>
      <c r="CD64" s="666"/>
      <c r="CE64" s="666"/>
      <c r="CF64" s="666"/>
      <c r="CG64" s="666"/>
      <c r="CH64" s="666"/>
      <c r="CI64" s="666"/>
      <c r="CJ64" s="666"/>
      <c r="CK64" s="666"/>
      <c r="CL64" s="666"/>
      <c r="CM64" s="666"/>
      <c r="CN64" s="666"/>
      <c r="CO64" s="666"/>
      <c r="CP64" s="666"/>
      <c r="CQ64" s="666"/>
      <c r="CR64" s="666"/>
      <c r="CS64" s="666"/>
      <c r="CT64" s="666"/>
      <c r="CU64" s="666"/>
      <c r="CV64" s="666"/>
      <c r="CW64" s="666"/>
      <c r="CX64" s="666"/>
      <c r="CY64" s="666"/>
      <c r="CZ64" s="666"/>
      <c r="DA64" s="666"/>
      <c r="DB64" s="666"/>
      <c r="DC64" s="666"/>
      <c r="DD64" s="666"/>
      <c r="DE64" s="666"/>
      <c r="DF64" s="666"/>
      <c r="DG64" s="666"/>
      <c r="DH64" s="666"/>
      <c r="DI64" s="666"/>
      <c r="DJ64" s="666"/>
      <c r="DK64" s="666"/>
      <c r="DL64" s="666"/>
      <c r="DM64" s="666"/>
      <c r="DN64" s="666"/>
      <c r="DO64" s="666"/>
      <c r="DP64" s="666"/>
      <c r="DQ64" s="666"/>
      <c r="DR64" s="666"/>
      <c r="DS64" s="666"/>
      <c r="DT64" s="666"/>
      <c r="DU64" s="666"/>
      <c r="DV64" s="666"/>
      <c r="DW64" s="666"/>
      <c r="DX64" s="666"/>
      <c r="DY64" s="666"/>
      <c r="DZ64" s="666"/>
      <c r="EA64" s="666"/>
      <c r="EB64" s="666"/>
      <c r="EC64" s="666"/>
      <c r="ED64" s="666"/>
      <c r="EE64" s="666"/>
      <c r="EF64" s="666"/>
      <c r="EG64" s="666"/>
      <c r="EH64" s="666"/>
      <c r="EI64" s="666"/>
      <c r="EJ64" s="666"/>
      <c r="EK64" s="666"/>
      <c r="EL64" s="666"/>
      <c r="EM64" s="666"/>
      <c r="EN64" s="666"/>
      <c r="EO64" s="666"/>
      <c r="EP64" s="666"/>
      <c r="EQ64" s="666"/>
      <c r="ER64" s="666"/>
      <c r="ES64" s="666"/>
      <c r="ET64" s="666"/>
      <c r="EU64" s="666"/>
      <c r="EV64" s="666"/>
      <c r="EW64" s="666"/>
      <c r="EX64" s="666"/>
      <c r="EY64" s="666"/>
      <c r="EZ64" s="666"/>
      <c r="FA64" s="666"/>
      <c r="FB64" s="666"/>
      <c r="FC64" s="666"/>
      <c r="FD64" s="666"/>
      <c r="FE64" s="666"/>
      <c r="FF64" s="666"/>
      <c r="FG64" s="666"/>
      <c r="FH64" s="666"/>
      <c r="FI64" s="666"/>
      <c r="FJ64" s="666"/>
      <c r="FK64" s="666"/>
      <c r="FL64" s="666"/>
      <c r="FM64" s="666"/>
      <c r="FN64" s="666"/>
      <c r="FO64" s="666"/>
      <c r="FP64" s="666"/>
      <c r="FQ64" s="666"/>
      <c r="FR64" s="666"/>
      <c r="FS64" s="666"/>
      <c r="FT64" s="666"/>
      <c r="FU64" s="666"/>
      <c r="FV64" s="666"/>
      <c r="FW64" s="666"/>
      <c r="FX64" s="666"/>
      <c r="FY64" s="666"/>
      <c r="FZ64" s="666"/>
      <c r="GA64" s="666"/>
      <c r="GB64" s="666"/>
      <c r="GC64" s="666"/>
      <c r="GD64" s="666"/>
      <c r="GE64" s="666"/>
      <c r="GF64" s="666"/>
      <c r="GG64" s="666"/>
      <c r="GH64" s="666"/>
      <c r="GI64" s="666"/>
      <c r="GJ64" s="666"/>
      <c r="GK64" s="666"/>
      <c r="GL64" s="666"/>
      <c r="GM64" s="666"/>
      <c r="GN64" s="666"/>
      <c r="GO64" s="666"/>
      <c r="GP64" s="666"/>
      <c r="GQ64" s="666"/>
      <c r="GR64" s="666"/>
      <c r="GS64" s="666"/>
      <c r="GT64" s="666"/>
      <c r="GU64" s="666"/>
      <c r="GV64" s="666"/>
      <c r="GW64" s="666"/>
      <c r="GX64" s="666"/>
      <c r="GY64" s="666"/>
      <c r="GZ64" s="666"/>
      <c r="HA64" s="666"/>
      <c r="HB64" s="666"/>
      <c r="HC64" s="666"/>
      <c r="HD64" s="666"/>
      <c r="HE64" s="666"/>
      <c r="HF64" s="666"/>
      <c r="HG64" s="666"/>
      <c r="HH64" s="666"/>
      <c r="HI64" s="666"/>
      <c r="HJ64" s="666"/>
      <c r="HK64" s="666"/>
      <c r="HL64" s="666"/>
      <c r="HM64" s="666"/>
      <c r="HN64" s="666"/>
      <c r="HO64" s="666"/>
      <c r="HP64" s="666"/>
      <c r="HQ64" s="666"/>
      <c r="HR64" s="666"/>
      <c r="HS64" s="666"/>
      <c r="HT64" s="666"/>
      <c r="HU64" s="666"/>
      <c r="HV64" s="666"/>
      <c r="HW64" s="666"/>
      <c r="HX64" s="666"/>
      <c r="HY64" s="666"/>
      <c r="HZ64" s="666"/>
      <c r="IA64" s="666"/>
      <c r="IB64" s="666"/>
      <c r="IC64" s="666"/>
      <c r="ID64" s="666"/>
      <c r="IE64" s="666"/>
      <c r="IF64" s="666"/>
      <c r="IG64" s="666"/>
      <c r="IH64" s="666"/>
      <c r="II64" s="666"/>
      <c r="IJ64" s="666"/>
      <c r="IK64" s="666"/>
      <c r="IL64" s="666"/>
      <c r="IM64" s="666"/>
      <c r="IN64" s="666"/>
      <c r="IO64" s="666"/>
      <c r="IP64" s="666"/>
      <c r="IQ64" s="666"/>
      <c r="IR64" s="666"/>
      <c r="IS64" s="666"/>
      <c r="IT64" s="666"/>
      <c r="IU64" s="666"/>
      <c r="IV64" s="666"/>
      <c r="IW64" s="666"/>
    </row>
    <row r="65" customFormat="false" ht="12.75" hidden="false" customHeight="false" outlineLevel="0" collapsed="false">
      <c r="A65" s="717" t="n">
        <f aca="false">A50</f>
        <v>0.65625</v>
      </c>
      <c r="B65" s="718" t="s">
        <v>929</v>
      </c>
      <c r="C65" s="718"/>
      <c r="D65" s="718"/>
      <c r="E65" s="719" t="n">
        <f aca="false">-HLOOKUP(DATE(E$7,12,31),Idc_Table,IDC!$BB$49)*$A65-SUM($D65:D65)</f>
        <v>-0</v>
      </c>
      <c r="F65" s="719" t="n">
        <f aca="false">-HLOOKUP(DATE(F$7,12,31),Idc_Table,IDC!$BB$49)*$A65-SUM($D65:E65)</f>
        <v>-0</v>
      </c>
      <c r="G65" s="719" t="n">
        <f aca="false">-HLOOKUP(DATE(G$7,12,31),Idc_Table,IDC!$BB$49)*$A65-SUM($D65:F65)</f>
        <v>-0</v>
      </c>
      <c r="H65" s="719" t="n">
        <f aca="false">-HLOOKUP(DATE(H$7,12,31),Idc_Table,IDC!$BB$49)*$A65-SUM($D65:G65)</f>
        <v>-24523.2484262774</v>
      </c>
      <c r="I65" s="719" t="n">
        <f aca="false">-HLOOKUP(DATE(I$7,12,31),Idc_Table,IDC!$BB$49)*$A65-SUM($D65:H65)</f>
        <v>-8125.06640272044</v>
      </c>
      <c r="J65" s="719" t="n">
        <f aca="false">-HLOOKUP(DATE(J$7,12,31),Idc_Table,IDC!$BB$49)*$A65-SUM($D65:I65)</f>
        <v>0</v>
      </c>
      <c r="K65" s="719" t="n">
        <f aca="false">-HLOOKUP(DATE(K$7,12,31),Idc_Table,IDC!$BB$49)*$A65-SUM($D65:J65)</f>
        <v>0</v>
      </c>
      <c r="L65" s="719" t="n">
        <f aca="false">-HLOOKUP(DATE(L$7,12,31),Idc_Table,IDC!$BB$49)*$A65-SUM($D65:K65)</f>
        <v>0</v>
      </c>
      <c r="M65" s="719" t="n">
        <f aca="false">-HLOOKUP(DATE(M$7,12,31),Idc_Table,IDC!$BB$49)*$A65-SUM($D65:L65)</f>
        <v>0</v>
      </c>
      <c r="N65" s="719" t="n">
        <f aca="false">-HLOOKUP(DATE(N$7,12,31),Idc_Table,IDC!$BB$49)*$A65-SUM($D65:M65)</f>
        <v>0</v>
      </c>
      <c r="O65" s="719" t="n">
        <f aca="false">-HLOOKUP(DATE(O$7,12,31),Idc_Table,IDC!$BB$49)*$A65-SUM($D65:N65)</f>
        <v>0</v>
      </c>
      <c r="P65" s="719" t="n">
        <f aca="false">-HLOOKUP(DATE(P$7,12,31),Idc_Table,IDC!$BB$49)*$A65-SUM($D65:O65)</f>
        <v>0</v>
      </c>
      <c r="Q65" s="719" t="n">
        <f aca="false">-HLOOKUP(DATE(Q$7,12,31),Idc_Table,IDC!$BB$49)*$A65-SUM($D65:P65)</f>
        <v>0</v>
      </c>
      <c r="R65" s="719" t="n">
        <f aca="false">-HLOOKUP(DATE(R$7,12,31),Idc_Table,IDC!$BB$49)*$A65-SUM($D65:Q65)</f>
        <v>0</v>
      </c>
      <c r="S65" s="719" t="n">
        <f aca="false">-HLOOKUP(DATE(S$7,12,31),Idc_Table,IDC!$BB$49)*$A65-SUM($D65:R65)</f>
        <v>0</v>
      </c>
      <c r="T65" s="719" t="n">
        <f aca="false">-HLOOKUP(DATE(T$7,12,31),Idc_Table,IDC!$BB$49)*$A65-SUM($D65:S65)</f>
        <v>0</v>
      </c>
      <c r="U65" s="719" t="n">
        <f aca="false">-HLOOKUP(DATE(U$7,12,31),Idc_Table,IDC!$BB$49)*$A65-SUM($D65:T65)</f>
        <v>0</v>
      </c>
      <c r="V65" s="719" t="n">
        <f aca="false">-HLOOKUP(DATE(V$7,12,31),Idc_Table,IDC!$BB$49)*$A65-SUM($D65:U65)</f>
        <v>0</v>
      </c>
      <c r="W65" s="719" t="n">
        <f aca="false">-HLOOKUP(DATE(W$7,12,31),Idc_Table,IDC!$BB$49)*$A65-SUM($D65:V65)</f>
        <v>0</v>
      </c>
      <c r="X65" s="719" t="n">
        <f aca="false">-HLOOKUP(DATE(X$7,12,31),Idc_Table,IDC!$BB$49)*$A65-SUM($D65:W65)</f>
        <v>0</v>
      </c>
      <c r="Y65" s="719" t="n">
        <f aca="false">-HLOOKUP(DATE(Y$7,12,31),Idc_Table,IDC!$BB$49)*$A65-SUM($D65:X65)</f>
        <v>0</v>
      </c>
      <c r="Z65" s="719" t="n">
        <f aca="false">-HLOOKUP(DATE(Z$7,12,31),Idc_Table,IDC!$BB$49)*$A65-SUM($D65:Y65)</f>
        <v>0</v>
      </c>
      <c r="AA65" s="719" t="n">
        <f aca="false">-HLOOKUP(DATE(AA$7,12,31),Idc_Table,IDC!$BB$49)*$A65-SUM($D65:Z65)</f>
        <v>0</v>
      </c>
      <c r="AB65" s="720" t="n">
        <f aca="false">SUM(E65:AA65)</f>
        <v>-32648.3148289979</v>
      </c>
      <c r="AC65" s="721" t="n">
        <f aca="false">IF('Project &amp; Investor Returns'!$I$3=0,F65+NPV(Disc,G65:AA65),E65+NPV(Disc,F65:AA65))</f>
        <v>-22138.9981776145</v>
      </c>
      <c r="AD65" s="718"/>
      <c r="AE65" s="722"/>
      <c r="AF65" s="722"/>
      <c r="AG65" s="722"/>
      <c r="AH65" s="722"/>
      <c r="AI65" s="722"/>
      <c r="AJ65" s="722"/>
      <c r="AK65" s="722"/>
      <c r="AL65" s="722"/>
      <c r="AM65" s="722"/>
      <c r="AN65" s="722"/>
      <c r="AO65" s="722"/>
      <c r="AP65" s="722"/>
      <c r="AQ65" s="722"/>
      <c r="AR65" s="722"/>
      <c r="AS65" s="722"/>
      <c r="AT65" s="722"/>
      <c r="AU65" s="722"/>
      <c r="AV65" s="722"/>
      <c r="AW65" s="722"/>
      <c r="AX65" s="722"/>
      <c r="AY65" s="722"/>
      <c r="AZ65" s="722"/>
      <c r="BA65" s="722"/>
      <c r="BB65" s="722"/>
      <c r="BC65" s="722"/>
      <c r="BD65" s="722"/>
      <c r="BE65" s="722"/>
      <c r="BF65" s="722"/>
      <c r="BG65" s="722"/>
      <c r="BH65" s="722"/>
      <c r="BI65" s="722"/>
      <c r="BJ65" s="722"/>
      <c r="BK65" s="722"/>
      <c r="BL65" s="722"/>
      <c r="BM65" s="722"/>
      <c r="BN65" s="722"/>
      <c r="BO65" s="722"/>
      <c r="BP65" s="722"/>
      <c r="BQ65" s="722"/>
      <c r="BR65" s="722"/>
      <c r="BS65" s="722"/>
      <c r="BT65" s="722"/>
      <c r="BU65" s="722"/>
      <c r="BV65" s="722"/>
      <c r="BW65" s="722"/>
      <c r="BX65" s="722"/>
      <c r="BY65" s="722"/>
      <c r="BZ65" s="722"/>
      <c r="CA65" s="722"/>
      <c r="CB65" s="722"/>
      <c r="CC65" s="722"/>
      <c r="CD65" s="722"/>
      <c r="CE65" s="722"/>
      <c r="CF65" s="722"/>
      <c r="CG65" s="722"/>
      <c r="CH65" s="722"/>
      <c r="CI65" s="722"/>
      <c r="CJ65" s="722"/>
      <c r="CK65" s="722"/>
      <c r="CL65" s="722"/>
      <c r="CM65" s="722"/>
      <c r="CN65" s="722"/>
      <c r="CO65" s="722"/>
      <c r="CP65" s="722"/>
      <c r="CQ65" s="722"/>
      <c r="CR65" s="722"/>
      <c r="CS65" s="722"/>
      <c r="CT65" s="722"/>
      <c r="CU65" s="722"/>
      <c r="CV65" s="722"/>
      <c r="CW65" s="722"/>
      <c r="CX65" s="722"/>
      <c r="CY65" s="722"/>
      <c r="CZ65" s="722"/>
      <c r="DA65" s="722"/>
      <c r="DB65" s="722"/>
      <c r="DC65" s="722"/>
      <c r="DD65" s="722"/>
      <c r="DE65" s="722"/>
      <c r="DF65" s="722"/>
      <c r="DG65" s="722"/>
      <c r="DH65" s="722"/>
      <c r="DI65" s="722"/>
      <c r="DJ65" s="722"/>
      <c r="DK65" s="722"/>
      <c r="DL65" s="722"/>
      <c r="DM65" s="722"/>
      <c r="DN65" s="722"/>
      <c r="DO65" s="722"/>
      <c r="DP65" s="722"/>
      <c r="DQ65" s="722"/>
      <c r="DR65" s="722"/>
      <c r="DS65" s="722"/>
      <c r="DT65" s="722"/>
      <c r="DU65" s="722"/>
      <c r="DV65" s="722"/>
      <c r="DW65" s="722"/>
      <c r="DX65" s="722"/>
      <c r="DY65" s="722"/>
      <c r="DZ65" s="722"/>
      <c r="EA65" s="722"/>
      <c r="EB65" s="722"/>
      <c r="EC65" s="722"/>
      <c r="ED65" s="722"/>
      <c r="EE65" s="722"/>
      <c r="EF65" s="722"/>
      <c r="EG65" s="722"/>
      <c r="EH65" s="722"/>
      <c r="EI65" s="722"/>
      <c r="EJ65" s="722"/>
      <c r="EK65" s="722"/>
      <c r="EL65" s="722"/>
      <c r="EM65" s="722"/>
      <c r="EN65" s="722"/>
      <c r="EO65" s="722"/>
      <c r="EP65" s="722"/>
      <c r="EQ65" s="722"/>
      <c r="ER65" s="722"/>
      <c r="ES65" s="722"/>
      <c r="ET65" s="722"/>
      <c r="EU65" s="722"/>
      <c r="EV65" s="722"/>
      <c r="EW65" s="722"/>
      <c r="EX65" s="722"/>
      <c r="EY65" s="722"/>
      <c r="EZ65" s="722"/>
      <c r="FA65" s="722"/>
      <c r="FB65" s="722"/>
      <c r="FC65" s="722"/>
      <c r="FD65" s="722"/>
      <c r="FE65" s="722"/>
      <c r="FF65" s="722"/>
      <c r="FG65" s="722"/>
      <c r="FH65" s="722"/>
      <c r="FI65" s="722"/>
      <c r="FJ65" s="722"/>
      <c r="FK65" s="722"/>
      <c r="FL65" s="722"/>
      <c r="FM65" s="722"/>
      <c r="FN65" s="722"/>
      <c r="FO65" s="722"/>
      <c r="FP65" s="722"/>
      <c r="FQ65" s="722"/>
      <c r="FR65" s="722"/>
      <c r="FS65" s="722"/>
      <c r="FT65" s="722"/>
      <c r="FU65" s="722"/>
      <c r="FV65" s="722"/>
      <c r="FW65" s="722"/>
      <c r="FX65" s="722"/>
      <c r="FY65" s="722"/>
      <c r="FZ65" s="722"/>
      <c r="GA65" s="722"/>
      <c r="GB65" s="722"/>
      <c r="GC65" s="722"/>
      <c r="GD65" s="722"/>
      <c r="GE65" s="722"/>
      <c r="GF65" s="722"/>
      <c r="GG65" s="722"/>
      <c r="GH65" s="722"/>
      <c r="GI65" s="722"/>
      <c r="GJ65" s="722"/>
      <c r="GK65" s="722"/>
      <c r="GL65" s="722"/>
      <c r="GM65" s="722"/>
      <c r="GN65" s="722"/>
      <c r="GO65" s="722"/>
      <c r="GP65" s="722"/>
      <c r="GQ65" s="722"/>
      <c r="GR65" s="722"/>
      <c r="GS65" s="722"/>
      <c r="GT65" s="722"/>
      <c r="GU65" s="722"/>
      <c r="GV65" s="722"/>
      <c r="GW65" s="722"/>
      <c r="GX65" s="722"/>
      <c r="GY65" s="722"/>
      <c r="GZ65" s="722"/>
      <c r="HA65" s="722"/>
      <c r="HB65" s="722"/>
      <c r="HC65" s="722"/>
      <c r="HD65" s="722"/>
      <c r="HE65" s="722"/>
      <c r="HF65" s="722"/>
      <c r="HG65" s="722"/>
      <c r="HH65" s="722"/>
      <c r="HI65" s="722"/>
      <c r="HJ65" s="722"/>
      <c r="HK65" s="722"/>
      <c r="HL65" s="722"/>
      <c r="HM65" s="722"/>
      <c r="HN65" s="722"/>
      <c r="HO65" s="722"/>
      <c r="HP65" s="722"/>
      <c r="HQ65" s="722"/>
      <c r="HR65" s="722"/>
      <c r="HS65" s="722"/>
      <c r="HT65" s="722"/>
      <c r="HU65" s="722"/>
      <c r="HV65" s="722"/>
      <c r="HW65" s="722"/>
      <c r="HX65" s="722"/>
      <c r="HY65" s="722"/>
      <c r="HZ65" s="722"/>
      <c r="IA65" s="722"/>
      <c r="IB65" s="722"/>
      <c r="IC65" s="722"/>
      <c r="ID65" s="722"/>
      <c r="IE65" s="722"/>
      <c r="IF65" s="722"/>
      <c r="IG65" s="722"/>
      <c r="IH65" s="722"/>
      <c r="II65" s="722"/>
      <c r="IJ65" s="722"/>
      <c r="IK65" s="722"/>
      <c r="IL65" s="722"/>
      <c r="IM65" s="722"/>
      <c r="IN65" s="722"/>
      <c r="IO65" s="722"/>
      <c r="IP65" s="722"/>
      <c r="IQ65" s="722"/>
      <c r="IR65" s="722"/>
      <c r="IS65" s="722"/>
      <c r="IT65" s="722"/>
      <c r="IU65" s="722"/>
      <c r="IV65" s="722"/>
      <c r="IW65" s="722"/>
    </row>
    <row r="66" customFormat="false" ht="12.75" hidden="false" customHeight="false" outlineLevel="0" collapsed="false">
      <c r="A66" s="688" t="n">
        <f aca="false">IF(Assm!$L$110=0,0,Assm!$L$108)</f>
        <v>0</v>
      </c>
      <c r="B66" s="682" t="s">
        <v>930</v>
      </c>
      <c r="C66" s="682"/>
      <c r="D66" s="682"/>
      <c r="E66" s="683" t="n">
        <f aca="false">IF(AND(E$7=YEAR(Assm!$L$105),Assm!$L$110=1),Assm!$L$111,0)</f>
        <v>0</v>
      </c>
      <c r="F66" s="683" t="n">
        <f aca="false">IF(AND(F$7=YEAR(Assm!$L$105),Assm!$L$110=1),Assm!$L$111,0)</f>
        <v>0</v>
      </c>
      <c r="G66" s="683" t="n">
        <f aca="false">IF(AND(G$7=YEAR(Assm!$L$105),Assm!$L$110=1),Assm!$L$111,0)</f>
        <v>0</v>
      </c>
      <c r="H66" s="683" t="n">
        <f aca="false">IF(AND(H$7=YEAR(Assm!$L$105),Assm!$L$110=1),Assm!$L$111,0)</f>
        <v>0</v>
      </c>
      <c r="I66" s="683" t="n">
        <f aca="false">IF(AND(I$7=YEAR(Assm!$L$105),Assm!$L$110=1),Assm!$L$111,0)</f>
        <v>0</v>
      </c>
      <c r="J66" s="683" t="n">
        <f aca="false">IF(AND(J$7=YEAR(Assm!$L$105),Assm!$L$110=1),Assm!$L$111,0)</f>
        <v>0</v>
      </c>
      <c r="K66" s="683" t="n">
        <f aca="false">IF(AND(K$7=YEAR(Assm!$L$105),Assm!$L$110=1),Assm!$L$111,0)</f>
        <v>0</v>
      </c>
      <c r="L66" s="683" t="n">
        <f aca="false">IF(AND(L$7=YEAR(Assm!$L$105),Assm!$L$110=1),Assm!$L$111,0)</f>
        <v>0</v>
      </c>
      <c r="M66" s="683" t="n">
        <f aca="false">IF(AND(M$7=YEAR(Assm!$L$105),Assm!$L$110=1),Assm!$L$111,0)</f>
        <v>0</v>
      </c>
      <c r="N66" s="683" t="n">
        <f aca="false">IF(AND(N$7=YEAR(Assm!$L$105),Assm!$L$110=1),Assm!$L$111,0)</f>
        <v>0</v>
      </c>
      <c r="O66" s="683" t="n">
        <f aca="false">IF(AND(O$7=YEAR(Assm!$L$105),Assm!$L$110=1),Assm!$L$111,0)</f>
        <v>0</v>
      </c>
      <c r="P66" s="683" t="n">
        <f aca="false">IF(AND(P$7=YEAR(Assm!$L$105),Assm!$L$110=1),Assm!$L$111,0)</f>
        <v>0</v>
      </c>
      <c r="Q66" s="683" t="n">
        <f aca="false">IF(AND(Q$7=YEAR(Assm!$L$105),Assm!$L$110=1),Assm!$L$111,0)</f>
        <v>0</v>
      </c>
      <c r="R66" s="683" t="n">
        <f aca="false">IF(AND(R$7=YEAR(Assm!$L$105),Assm!$L$110=1),Assm!$L$111,0)</f>
        <v>0</v>
      </c>
      <c r="S66" s="683" t="n">
        <f aca="false">IF(AND(S$7=YEAR(Assm!$L$105),Assm!$L$110=1),Assm!$L$111,0)</f>
        <v>0</v>
      </c>
      <c r="T66" s="683" t="n">
        <f aca="false">IF(AND(T$7=YEAR(Assm!$L$105),Assm!$L$110=1),Assm!$L$111,0)</f>
        <v>0</v>
      </c>
      <c r="U66" s="683" t="n">
        <f aca="false">IF(AND(U$7=YEAR(Assm!$L$105),Assm!$L$110=1),Assm!$L$111,0)</f>
        <v>0</v>
      </c>
      <c r="V66" s="683" t="n">
        <f aca="false">IF(AND(V$7=YEAR(Assm!$L$105),Assm!$L$110=1),Assm!$L$111,0)</f>
        <v>0</v>
      </c>
      <c r="W66" s="683" t="n">
        <f aca="false">IF(AND(W$7=YEAR(Assm!$L$105),Assm!$L$110=1),Assm!$L$111,0)</f>
        <v>0</v>
      </c>
      <c r="X66" s="683" t="n">
        <f aca="false">IF(AND(X$7=YEAR(Assm!$L$105),Assm!$L$110=1),Assm!$L$111,0)</f>
        <v>0</v>
      </c>
      <c r="Y66" s="683" t="n">
        <f aca="false">IF(AND(Y$7=YEAR(Assm!$L$105),Assm!$L$110=1),Assm!$L$111,0)</f>
        <v>0</v>
      </c>
      <c r="Z66" s="683" t="n">
        <f aca="false">IF(AND(Z$7=YEAR(Assm!$L$105),Assm!$L$110=1),Assm!$L$111,0)</f>
        <v>0</v>
      </c>
      <c r="AA66" s="683" t="n">
        <f aca="false">IF(AND(AA$7=YEAR(Assm!$L$105),Assm!$L$110=1),Assm!$L$111,0)</f>
        <v>0</v>
      </c>
      <c r="AB66" s="684" t="n">
        <f aca="false">SUM(E66:AA66)</f>
        <v>0</v>
      </c>
      <c r="AC66" s="685" t="n">
        <f aca="false">IF('Project &amp; Investor Returns'!$I$3=0,F66+NPV(Disc,G66:AA66),E66+NPV(Disc,F66:AA66))</f>
        <v>0</v>
      </c>
      <c r="AD66" s="682"/>
      <c r="AE66" s="686"/>
      <c r="AF66" s="686"/>
      <c r="AG66" s="686"/>
      <c r="AH66" s="686"/>
      <c r="AI66" s="686"/>
      <c r="AJ66" s="686"/>
      <c r="AK66" s="686"/>
      <c r="AL66" s="686"/>
      <c r="AM66" s="686"/>
      <c r="AN66" s="686"/>
      <c r="AO66" s="686"/>
      <c r="AP66" s="686"/>
      <c r="AQ66" s="686"/>
      <c r="AR66" s="686"/>
      <c r="AS66" s="686"/>
      <c r="AT66" s="686"/>
      <c r="AU66" s="686"/>
      <c r="AV66" s="686"/>
      <c r="AW66" s="686"/>
      <c r="AX66" s="686"/>
      <c r="AY66" s="686"/>
      <c r="AZ66" s="686"/>
      <c r="BA66" s="686"/>
      <c r="BB66" s="686"/>
      <c r="BC66" s="686"/>
      <c r="BD66" s="686"/>
      <c r="BE66" s="686"/>
      <c r="BF66" s="686"/>
      <c r="BG66" s="686"/>
      <c r="BH66" s="686"/>
      <c r="BI66" s="686"/>
      <c r="BJ66" s="686"/>
      <c r="BK66" s="686"/>
      <c r="BL66" s="686"/>
      <c r="BM66" s="686"/>
      <c r="BN66" s="686"/>
      <c r="BO66" s="686"/>
      <c r="BP66" s="686"/>
      <c r="BQ66" s="686"/>
      <c r="BR66" s="686"/>
      <c r="BS66" s="686"/>
      <c r="BT66" s="686"/>
      <c r="BU66" s="686"/>
      <c r="BV66" s="686"/>
      <c r="BW66" s="686"/>
      <c r="BX66" s="686"/>
      <c r="BY66" s="686"/>
      <c r="BZ66" s="686"/>
      <c r="CA66" s="686"/>
      <c r="CB66" s="686"/>
      <c r="CC66" s="686"/>
      <c r="CD66" s="686"/>
      <c r="CE66" s="686"/>
      <c r="CF66" s="686"/>
      <c r="CG66" s="686"/>
      <c r="CH66" s="686"/>
      <c r="CI66" s="686"/>
      <c r="CJ66" s="686"/>
      <c r="CK66" s="686"/>
      <c r="CL66" s="686"/>
      <c r="CM66" s="686"/>
      <c r="CN66" s="686"/>
      <c r="CO66" s="686"/>
      <c r="CP66" s="686"/>
      <c r="CQ66" s="686"/>
      <c r="CR66" s="686"/>
      <c r="CS66" s="686"/>
      <c r="CT66" s="686"/>
      <c r="CU66" s="686"/>
      <c r="CV66" s="686"/>
      <c r="CW66" s="686"/>
      <c r="CX66" s="686"/>
      <c r="CY66" s="686"/>
      <c r="CZ66" s="686"/>
      <c r="DA66" s="686"/>
      <c r="DB66" s="686"/>
      <c r="DC66" s="686"/>
      <c r="DD66" s="686"/>
      <c r="DE66" s="686"/>
      <c r="DF66" s="686"/>
      <c r="DG66" s="686"/>
      <c r="DH66" s="686"/>
      <c r="DI66" s="686"/>
      <c r="DJ66" s="686"/>
      <c r="DK66" s="686"/>
      <c r="DL66" s="686"/>
      <c r="DM66" s="686"/>
      <c r="DN66" s="686"/>
      <c r="DO66" s="686"/>
      <c r="DP66" s="686"/>
      <c r="DQ66" s="686"/>
      <c r="DR66" s="686"/>
      <c r="DS66" s="686"/>
      <c r="DT66" s="686"/>
      <c r="DU66" s="686"/>
      <c r="DV66" s="686"/>
      <c r="DW66" s="686"/>
      <c r="DX66" s="686"/>
      <c r="DY66" s="686"/>
      <c r="DZ66" s="686"/>
      <c r="EA66" s="686"/>
      <c r="EB66" s="686"/>
      <c r="EC66" s="686"/>
      <c r="ED66" s="686"/>
      <c r="EE66" s="686"/>
      <c r="EF66" s="686"/>
      <c r="EG66" s="686"/>
      <c r="EH66" s="686"/>
      <c r="EI66" s="686"/>
      <c r="EJ66" s="686"/>
      <c r="EK66" s="686"/>
      <c r="EL66" s="686"/>
      <c r="EM66" s="686"/>
      <c r="EN66" s="686"/>
      <c r="EO66" s="686"/>
      <c r="EP66" s="686"/>
      <c r="EQ66" s="686"/>
      <c r="ER66" s="686"/>
      <c r="ES66" s="686"/>
      <c r="ET66" s="686"/>
      <c r="EU66" s="686"/>
      <c r="EV66" s="686"/>
      <c r="EW66" s="686"/>
      <c r="EX66" s="686"/>
      <c r="EY66" s="686"/>
      <c r="EZ66" s="686"/>
      <c r="FA66" s="686"/>
      <c r="FB66" s="686"/>
      <c r="FC66" s="686"/>
      <c r="FD66" s="686"/>
      <c r="FE66" s="686"/>
      <c r="FF66" s="686"/>
      <c r="FG66" s="686"/>
      <c r="FH66" s="686"/>
      <c r="FI66" s="686"/>
      <c r="FJ66" s="686"/>
      <c r="FK66" s="686"/>
      <c r="FL66" s="686"/>
      <c r="FM66" s="686"/>
      <c r="FN66" s="686"/>
      <c r="FO66" s="686"/>
      <c r="FP66" s="686"/>
      <c r="FQ66" s="686"/>
      <c r="FR66" s="686"/>
      <c r="FS66" s="686"/>
      <c r="FT66" s="686"/>
      <c r="FU66" s="686"/>
      <c r="FV66" s="686"/>
      <c r="FW66" s="686"/>
      <c r="FX66" s="686"/>
      <c r="FY66" s="686"/>
      <c r="FZ66" s="686"/>
      <c r="GA66" s="686"/>
      <c r="GB66" s="686"/>
      <c r="GC66" s="686"/>
      <c r="GD66" s="686"/>
      <c r="GE66" s="686"/>
      <c r="GF66" s="686"/>
      <c r="GG66" s="686"/>
      <c r="GH66" s="686"/>
      <c r="GI66" s="686"/>
      <c r="GJ66" s="686"/>
      <c r="GK66" s="686"/>
      <c r="GL66" s="686"/>
      <c r="GM66" s="686"/>
      <c r="GN66" s="686"/>
      <c r="GO66" s="686"/>
      <c r="GP66" s="686"/>
      <c r="GQ66" s="686"/>
      <c r="GR66" s="686"/>
      <c r="GS66" s="686"/>
      <c r="GT66" s="686"/>
      <c r="GU66" s="686"/>
      <c r="GV66" s="686"/>
      <c r="GW66" s="686"/>
      <c r="GX66" s="686"/>
      <c r="GY66" s="686"/>
      <c r="GZ66" s="686"/>
      <c r="HA66" s="686"/>
      <c r="HB66" s="686"/>
      <c r="HC66" s="686"/>
      <c r="HD66" s="686"/>
      <c r="HE66" s="686"/>
      <c r="HF66" s="686"/>
      <c r="HG66" s="686"/>
      <c r="HH66" s="686"/>
      <c r="HI66" s="686"/>
      <c r="HJ66" s="686"/>
      <c r="HK66" s="686"/>
      <c r="HL66" s="686"/>
      <c r="HM66" s="686"/>
      <c r="HN66" s="686"/>
      <c r="HO66" s="686"/>
      <c r="HP66" s="686"/>
      <c r="HQ66" s="686"/>
      <c r="HR66" s="686"/>
      <c r="HS66" s="686"/>
      <c r="HT66" s="686"/>
      <c r="HU66" s="686"/>
      <c r="HV66" s="686"/>
      <c r="HW66" s="686"/>
      <c r="HX66" s="686"/>
      <c r="HY66" s="686"/>
      <c r="HZ66" s="686"/>
      <c r="IA66" s="686"/>
      <c r="IB66" s="686"/>
      <c r="IC66" s="686"/>
      <c r="ID66" s="686"/>
      <c r="IE66" s="686"/>
      <c r="IF66" s="686"/>
      <c r="IG66" s="686"/>
      <c r="IH66" s="686"/>
      <c r="II66" s="686"/>
      <c r="IJ66" s="686"/>
      <c r="IK66" s="686"/>
      <c r="IL66" s="686"/>
      <c r="IM66" s="686"/>
      <c r="IN66" s="686"/>
      <c r="IO66" s="686"/>
      <c r="IP66" s="686"/>
      <c r="IQ66" s="686"/>
      <c r="IR66" s="686"/>
      <c r="IS66" s="686"/>
      <c r="IT66" s="686"/>
      <c r="IU66" s="686"/>
      <c r="IV66" s="686"/>
      <c r="IW66" s="686"/>
    </row>
    <row r="67" customFormat="false" ht="12.75" hidden="false" customHeight="false" outlineLevel="0" collapsed="false">
      <c r="A67" s="688"/>
      <c r="B67" s="682" t="s">
        <v>903</v>
      </c>
      <c r="C67" s="682"/>
      <c r="D67" s="682"/>
      <c r="E67" s="725" t="n">
        <f aca="false">IF(E$7&lt;YEAR(Startops1),0,-HLOOKUP(E$7,CF_Table,CF!$AB$71)*($A65-$A66))</f>
        <v>0</v>
      </c>
      <c r="F67" s="725" t="n">
        <f aca="false">IF(F$7&lt;YEAR(Startops1),0,-HLOOKUP(F$7,CF_Table,CF!$AB$71)*($A65-$A66))</f>
        <v>0</v>
      </c>
      <c r="G67" s="725" t="n">
        <f aca="false">IF(G$7&lt;YEAR(Startops1),0,-HLOOKUP(G$7,CF_Table,CF!$AB$71)*($A65-$A66))</f>
        <v>0</v>
      </c>
      <c r="H67" s="725" t="n">
        <f aca="false">IF(H$7&lt;YEAR(Startops1),0,-HLOOKUP(H$7,CF_Table,CF!$AB$71)*($A65-$A66))</f>
        <v>0</v>
      </c>
      <c r="I67" s="725" t="n">
        <f aca="false">IF(I$7&lt;YEAR(Startops1),0,-HLOOKUP(I$7,CF_Table,CF!$AB$71)*($A65-$A66))</f>
        <v>0</v>
      </c>
      <c r="J67" s="725" t="n">
        <f aca="false">IF(J$7&lt;YEAR(Startops1),0,-HLOOKUP(J$7,CF_Table,CF!$AB$71)*($A65-$A66))</f>
        <v>1462.39431769968</v>
      </c>
      <c r="K67" s="725" t="n">
        <f aca="false">IF(K$7&lt;YEAR(Startops1),0,-HLOOKUP(K$7,CF_Table,CF!$AB$71)*($A65-$A66))</f>
        <v>1658.68419499292</v>
      </c>
      <c r="L67" s="725" t="n">
        <f aca="false">IF(L$7&lt;YEAR(Startops1),0,-HLOOKUP(L$7,CF_Table,CF!$AB$71)*($A65-$A66))</f>
        <v>1881.32108106584</v>
      </c>
      <c r="M67" s="725" t="n">
        <f aca="false">IF(M$7&lt;YEAR(Startops1),0,-HLOOKUP(M$7,CF_Table,CF!$AB$71)*($A65-$A66))</f>
        <v>2133.8414031719</v>
      </c>
      <c r="N67" s="725" t="n">
        <f aca="false">IF(N$7&lt;YEAR(Startops1),0,-HLOOKUP(N$7,CF_Table,CF!$AB$71)*($A65-$A66))</f>
        <v>2420.25626551265</v>
      </c>
      <c r="O67" s="725" t="n">
        <f aca="false">IF(O$7&lt;YEAR(Startops1),0,-HLOOKUP(O$7,CF_Table,CF!$AB$71)*($A65-$A66))</f>
        <v>2745.11516275109</v>
      </c>
      <c r="P67" s="725" t="n">
        <f aca="false">IF(P$7&lt;YEAR(Startops1),0,-HLOOKUP(P$7,CF_Table,CF!$AB$71)*($A65-$A66))</f>
        <v>3113.57824547135</v>
      </c>
      <c r="Q67" s="725" t="n">
        <f aca="false">IF(Q$7&lt;YEAR(Startops1),0,-HLOOKUP(Q$7,CF_Table,CF!$AB$71)*($A65-$A66))</f>
        <v>3531.49828546975</v>
      </c>
      <c r="R67" s="725" t="n">
        <f aca="false">IF(R$7&lt;YEAR(Startops1),0,-HLOOKUP(R$7,CF_Table,CF!$AB$71)*($A65-$A66))</f>
        <v>4005.51364283692</v>
      </c>
      <c r="S67" s="725" t="n">
        <f aca="false">IF(S$7&lt;YEAR(Startops1),0,-HLOOKUP(S$7,CF_Table,CF!$AB$71)*($A65-$A66))</f>
        <v>4543.15371154671</v>
      </c>
      <c r="T67" s="725" t="n">
        <f aca="false">IF(T$7&lt;YEAR(Startops1),0,-HLOOKUP(T$7,CF_Table,CF!$AB$71)*($A65-$A66))</f>
        <v>5152.95851847907</v>
      </c>
      <c r="U67" s="725" t="n">
        <f aca="false">IF(U$7&lt;YEAR(Startops1),0,-HLOOKUP(U$7,CF_Table,CF!$AB$71)*($A65-$A66))</f>
        <v>0</v>
      </c>
      <c r="V67" s="725" t="n">
        <f aca="false">IF(V$7&lt;YEAR(Startops1),0,-HLOOKUP(V$7,CF_Table,CF!$AB$71)*($A65-$A66))</f>
        <v>0</v>
      </c>
      <c r="W67" s="725" t="n">
        <f aca="false">IF(W$7&lt;YEAR(Startops1),0,-HLOOKUP(W$7,CF_Table,CF!$AB$71)*($A65-$A66))</f>
        <v>0</v>
      </c>
      <c r="X67" s="725" t="n">
        <f aca="false">IF(X$7&lt;YEAR(Startops1),0,-HLOOKUP(X$7,CF_Table,CF!$AB$71)*($A65-$A66))</f>
        <v>0</v>
      </c>
      <c r="Y67" s="725" t="n">
        <f aca="false">IF(Y$7&lt;YEAR(Startops1),0,-HLOOKUP(Y$7,CF_Table,CF!$AB$71)*($A65-$A66))</f>
        <v>0</v>
      </c>
      <c r="Z67" s="725" t="n">
        <f aca="false">IF(Z$7&lt;YEAR(Startops1),0,-HLOOKUP(Z$7,CF_Table,CF!$AB$71)*($A65-$A66))</f>
        <v>0</v>
      </c>
      <c r="AA67" s="725" t="n">
        <f aca="false">IF(AA$7&lt;YEAR(Startops1),0,-HLOOKUP(AA$7,CF_Table,CF!$AB$71)*($A65-$A66))</f>
        <v>0</v>
      </c>
      <c r="AB67" s="684" t="n">
        <f aca="false">SUM(E67:AA67)</f>
        <v>32648.3148289979</v>
      </c>
      <c r="AC67" s="685" t="n">
        <f aca="false">IF('Project &amp; Investor Returns'!$I$3=0,F67+NPV(Disc,G67:AA67),E67+NPV(Disc,F67:AA67))</f>
        <v>6382.96959461922</v>
      </c>
      <c r="AD67" s="682"/>
      <c r="AE67" s="686"/>
      <c r="AF67" s="686"/>
      <c r="AG67" s="686"/>
      <c r="AH67" s="686"/>
      <c r="AI67" s="686"/>
      <c r="AJ67" s="686"/>
      <c r="AK67" s="686"/>
      <c r="AL67" s="686"/>
      <c r="AM67" s="686"/>
      <c r="AN67" s="686"/>
      <c r="AO67" s="686"/>
      <c r="AP67" s="686"/>
      <c r="AQ67" s="686"/>
      <c r="AR67" s="686"/>
      <c r="AS67" s="686"/>
      <c r="AT67" s="686"/>
      <c r="AU67" s="686"/>
      <c r="AV67" s="686"/>
      <c r="AW67" s="686"/>
      <c r="AX67" s="686"/>
      <c r="AY67" s="686"/>
      <c r="AZ67" s="686"/>
      <c r="BA67" s="686"/>
      <c r="BB67" s="686"/>
      <c r="BC67" s="686"/>
      <c r="BD67" s="686"/>
      <c r="BE67" s="686"/>
      <c r="BF67" s="686"/>
      <c r="BG67" s="686"/>
      <c r="BH67" s="686"/>
      <c r="BI67" s="686"/>
      <c r="BJ67" s="686"/>
      <c r="BK67" s="686"/>
      <c r="BL67" s="686"/>
      <c r="BM67" s="686"/>
      <c r="BN67" s="686"/>
      <c r="BO67" s="686"/>
      <c r="BP67" s="686"/>
      <c r="BQ67" s="686"/>
      <c r="BR67" s="686"/>
      <c r="BS67" s="686"/>
      <c r="BT67" s="686"/>
      <c r="BU67" s="686"/>
      <c r="BV67" s="686"/>
      <c r="BW67" s="686"/>
      <c r="BX67" s="686"/>
      <c r="BY67" s="686"/>
      <c r="BZ67" s="686"/>
      <c r="CA67" s="686"/>
      <c r="CB67" s="686"/>
      <c r="CC67" s="686"/>
      <c r="CD67" s="686"/>
      <c r="CE67" s="686"/>
      <c r="CF67" s="686"/>
      <c r="CG67" s="686"/>
      <c r="CH67" s="686"/>
      <c r="CI67" s="686"/>
      <c r="CJ67" s="686"/>
      <c r="CK67" s="686"/>
      <c r="CL67" s="686"/>
      <c r="CM67" s="686"/>
      <c r="CN67" s="686"/>
      <c r="CO67" s="686"/>
      <c r="CP67" s="686"/>
      <c r="CQ67" s="686"/>
      <c r="CR67" s="686"/>
      <c r="CS67" s="686"/>
      <c r="CT67" s="686"/>
      <c r="CU67" s="686"/>
      <c r="CV67" s="686"/>
      <c r="CW67" s="686"/>
      <c r="CX67" s="686"/>
      <c r="CY67" s="686"/>
      <c r="CZ67" s="686"/>
      <c r="DA67" s="686"/>
      <c r="DB67" s="686"/>
      <c r="DC67" s="686"/>
      <c r="DD67" s="686"/>
      <c r="DE67" s="686"/>
      <c r="DF67" s="686"/>
      <c r="DG67" s="686"/>
      <c r="DH67" s="686"/>
      <c r="DI67" s="686"/>
      <c r="DJ67" s="686"/>
      <c r="DK67" s="686"/>
      <c r="DL67" s="686"/>
      <c r="DM67" s="686"/>
      <c r="DN67" s="686"/>
      <c r="DO67" s="686"/>
      <c r="DP67" s="686"/>
      <c r="DQ67" s="686"/>
      <c r="DR67" s="686"/>
      <c r="DS67" s="686"/>
      <c r="DT67" s="686"/>
      <c r="DU67" s="686"/>
      <c r="DV67" s="686"/>
      <c r="DW67" s="686"/>
      <c r="DX67" s="686"/>
      <c r="DY67" s="686"/>
      <c r="DZ67" s="686"/>
      <c r="EA67" s="686"/>
      <c r="EB67" s="686"/>
      <c r="EC67" s="686"/>
      <c r="ED67" s="686"/>
      <c r="EE67" s="686"/>
      <c r="EF67" s="686"/>
      <c r="EG67" s="686"/>
      <c r="EH67" s="686"/>
      <c r="EI67" s="686"/>
      <c r="EJ67" s="686"/>
      <c r="EK67" s="686"/>
      <c r="EL67" s="686"/>
      <c r="EM67" s="686"/>
      <c r="EN67" s="686"/>
      <c r="EO67" s="686"/>
      <c r="EP67" s="686"/>
      <c r="EQ67" s="686"/>
      <c r="ER67" s="686"/>
      <c r="ES67" s="686"/>
      <c r="ET67" s="686"/>
      <c r="EU67" s="686"/>
      <c r="EV67" s="686"/>
      <c r="EW67" s="686"/>
      <c r="EX67" s="686"/>
      <c r="EY67" s="686"/>
      <c r="EZ67" s="686"/>
      <c r="FA67" s="686"/>
      <c r="FB67" s="686"/>
      <c r="FC67" s="686"/>
      <c r="FD67" s="686"/>
      <c r="FE67" s="686"/>
      <c r="FF67" s="686"/>
      <c r="FG67" s="686"/>
      <c r="FH67" s="686"/>
      <c r="FI67" s="686"/>
      <c r="FJ67" s="686"/>
      <c r="FK67" s="686"/>
      <c r="FL67" s="686"/>
      <c r="FM67" s="686"/>
      <c r="FN67" s="686"/>
      <c r="FO67" s="686"/>
      <c r="FP67" s="686"/>
      <c r="FQ67" s="686"/>
      <c r="FR67" s="686"/>
      <c r="FS67" s="686"/>
      <c r="FT67" s="686"/>
      <c r="FU67" s="686"/>
      <c r="FV67" s="686"/>
      <c r="FW67" s="686"/>
      <c r="FX67" s="686"/>
      <c r="FY67" s="686"/>
      <c r="FZ67" s="686"/>
      <c r="GA67" s="686"/>
      <c r="GB67" s="686"/>
      <c r="GC67" s="686"/>
      <c r="GD67" s="686"/>
      <c r="GE67" s="686"/>
      <c r="GF67" s="686"/>
      <c r="GG67" s="686"/>
      <c r="GH67" s="686"/>
      <c r="GI67" s="686"/>
      <c r="GJ67" s="686"/>
      <c r="GK67" s="686"/>
      <c r="GL67" s="686"/>
      <c r="GM67" s="686"/>
      <c r="GN67" s="686"/>
      <c r="GO67" s="686"/>
      <c r="GP67" s="686"/>
      <c r="GQ67" s="686"/>
      <c r="GR67" s="686"/>
      <c r="GS67" s="686"/>
      <c r="GT67" s="686"/>
      <c r="GU67" s="686"/>
      <c r="GV67" s="686"/>
      <c r="GW67" s="686"/>
      <c r="GX67" s="686"/>
      <c r="GY67" s="686"/>
      <c r="GZ67" s="686"/>
      <c r="HA67" s="686"/>
      <c r="HB67" s="686"/>
      <c r="HC67" s="686"/>
      <c r="HD67" s="686"/>
      <c r="HE67" s="686"/>
      <c r="HF67" s="686"/>
      <c r="HG67" s="686"/>
      <c r="HH67" s="686"/>
      <c r="HI67" s="686"/>
      <c r="HJ67" s="686"/>
      <c r="HK67" s="686"/>
      <c r="HL67" s="686"/>
      <c r="HM67" s="686"/>
      <c r="HN67" s="686"/>
      <c r="HO67" s="686"/>
      <c r="HP67" s="686"/>
      <c r="HQ67" s="686"/>
      <c r="HR67" s="686"/>
      <c r="HS67" s="686"/>
      <c r="HT67" s="686"/>
      <c r="HU67" s="686"/>
      <c r="HV67" s="686"/>
      <c r="HW67" s="686"/>
      <c r="HX67" s="686"/>
      <c r="HY67" s="686"/>
      <c r="HZ67" s="686"/>
      <c r="IA67" s="686"/>
      <c r="IB67" s="686"/>
      <c r="IC67" s="686"/>
      <c r="ID67" s="686"/>
      <c r="IE67" s="686"/>
      <c r="IF67" s="686"/>
      <c r="IG67" s="686"/>
      <c r="IH67" s="686"/>
      <c r="II67" s="686"/>
      <c r="IJ67" s="686"/>
      <c r="IK67" s="686"/>
      <c r="IL67" s="686"/>
      <c r="IM67" s="686"/>
      <c r="IN67" s="686"/>
      <c r="IO67" s="686"/>
      <c r="IP67" s="686"/>
      <c r="IQ67" s="686"/>
      <c r="IR67" s="686"/>
      <c r="IS67" s="686"/>
      <c r="IT67" s="686"/>
      <c r="IU67" s="686"/>
      <c r="IV67" s="686"/>
      <c r="IW67" s="686"/>
    </row>
    <row r="68" customFormat="false" ht="12.75" hidden="false" customHeight="false" outlineLevel="0" collapsed="false">
      <c r="A68" s="687"/>
      <c r="B68" s="682" t="s">
        <v>904</v>
      </c>
      <c r="C68" s="682"/>
      <c r="D68" s="689" t="s">
        <v>407</v>
      </c>
      <c r="E68" s="725" t="n">
        <f aca="false">IF(E$7&lt;YEAR(Startops1),0,-HLOOKUP(E$7,CF_Table,CF!$AB$45)*($A65-$A66))</f>
        <v>0</v>
      </c>
      <c r="F68" s="725" t="n">
        <f aca="false">IF(F$7&lt;YEAR(Startops1),0,-HLOOKUP(F$7,CF_Table,CF!$AB$45)*($A65-$A66))</f>
        <v>0</v>
      </c>
      <c r="G68" s="725" t="n">
        <f aca="false">IF(G$7&lt;YEAR(Startops1),0,-HLOOKUP(G$7,CF_Table,CF!$AB$45)*($A65-$A66))</f>
        <v>0</v>
      </c>
      <c r="H68" s="725" t="n">
        <f aca="false">IF(H$7&lt;YEAR(Startops1),0,-HLOOKUP(H$7,CF_Table,CF!$AB$45)*($A65-$A66))</f>
        <v>0</v>
      </c>
      <c r="I68" s="725" t="n">
        <f aca="false">IF(I$7&lt;YEAR(Startops1),0,-HLOOKUP(I$7,CF_Table,CF!$AB$45)*($A65-$A66))</f>
        <v>1768.45038657072</v>
      </c>
      <c r="J68" s="725" t="n">
        <f aca="false">IF(J$7&lt;YEAR(Startops1),0,-HLOOKUP(J$7,CF_Table,CF!$AB$45)*($A65-$A66))</f>
        <v>4198.2491453724</v>
      </c>
      <c r="K68" s="725" t="n">
        <f aca="false">IF(K$7&lt;YEAR(Startops1),0,-HLOOKUP(K$7,CF_Table,CF!$AB$45)*($A65-$A66))</f>
        <v>4001.95926807916</v>
      </c>
      <c r="L68" s="725" t="n">
        <f aca="false">IF(L$7&lt;YEAR(Startops1),0,-HLOOKUP(L$7,CF_Table,CF!$AB$45)*($A65-$A66))</f>
        <v>3779.32238200623</v>
      </c>
      <c r="M68" s="725" t="n">
        <f aca="false">IF(M$7&lt;YEAR(Startops1),0,-HLOOKUP(M$7,CF_Table,CF!$AB$45)*($A65-$A66))</f>
        <v>3526.80205990017</v>
      </c>
      <c r="N68" s="725" t="n">
        <f aca="false">IF(N$7&lt;YEAR(Startops1),0,-HLOOKUP(N$7,CF_Table,CF!$AB$45)*($A65-$A66))</f>
        <v>3240.38719755942</v>
      </c>
      <c r="O68" s="725" t="n">
        <f aca="false">IF(O$7&lt;YEAR(Startops1),0,-HLOOKUP(O$7,CF_Table,CF!$AB$45)*($A65-$A66))</f>
        <v>2915.52830032099</v>
      </c>
      <c r="P68" s="725" t="n">
        <f aca="false">IF(P$7&lt;YEAR(Startops1),0,-HLOOKUP(P$7,CF_Table,CF!$AB$45)*($A65-$A66))</f>
        <v>2547.06521760072</v>
      </c>
      <c r="Q68" s="725" t="n">
        <f aca="false">IF(Q$7&lt;YEAR(Startops1),0,-HLOOKUP(Q$7,CF_Table,CF!$AB$45)*($A65-$A66))</f>
        <v>2129.14517760233</v>
      </c>
      <c r="R68" s="725" t="n">
        <f aca="false">IF(R$7&lt;YEAR(Startops1),0,-HLOOKUP(R$7,CF_Table,CF!$AB$45)*($A65-$A66))</f>
        <v>1655.12982023515</v>
      </c>
      <c r="S68" s="725" t="n">
        <f aca="false">IF(S$7&lt;YEAR(Startops1),0,-HLOOKUP(S$7,CF_Table,CF!$AB$45)*($A65-$A66))</f>
        <v>1117.48975152537</v>
      </c>
      <c r="T68" s="725" t="n">
        <f aca="false">IF(T$7&lt;YEAR(Startops1),0,-HLOOKUP(T$7,CF_Table,CF!$AB$45)*($A65-$A66))</f>
        <v>507.68494459301</v>
      </c>
      <c r="U68" s="725" t="n">
        <f aca="false">IF(U$7&lt;YEAR(Startops1),0,-HLOOKUP(U$7,CF_Table,CF!$AB$45)*($A65-$A66))</f>
        <v>0</v>
      </c>
      <c r="V68" s="725" t="n">
        <f aca="false">IF(V$7&lt;YEAR(Startops1),0,-HLOOKUP(V$7,CF_Table,CF!$AB$45)*($A65-$A66))</f>
        <v>0</v>
      </c>
      <c r="W68" s="725" t="n">
        <f aca="false">IF(W$7&lt;YEAR(Startops1),0,-HLOOKUP(W$7,CF_Table,CF!$AB$45)*($A65-$A66))</f>
        <v>0</v>
      </c>
      <c r="X68" s="725" t="n">
        <f aca="false">IF(X$7&lt;YEAR(Startops1),0,-HLOOKUP(X$7,CF_Table,CF!$AB$45)*($A65-$A66))</f>
        <v>0</v>
      </c>
      <c r="Y68" s="725" t="n">
        <f aca="false">IF(Y$7&lt;YEAR(Startops1),0,-HLOOKUP(Y$7,CF_Table,CF!$AB$45)*($A65-$A66))</f>
        <v>0</v>
      </c>
      <c r="Z68" s="725" t="n">
        <f aca="false">IF(Z$7&lt;YEAR(Startops1),0,-HLOOKUP(Z$7,CF_Table,CF!$AB$45)*($A65-$A66))</f>
        <v>0</v>
      </c>
      <c r="AA68" s="725" t="n">
        <f aca="false">IF(AA$7&lt;YEAR(Startops1),0,-HLOOKUP(AA$7,CF_Table,CF!$AB$45)*($A65-$A66))</f>
        <v>0</v>
      </c>
      <c r="AB68" s="684" t="n">
        <f aca="false">SUM(E68:AA68)</f>
        <v>31387.2136513657</v>
      </c>
      <c r="AC68" s="685" t="n">
        <f aca="false">IF('Project &amp; Investor Returns'!$I$3=0,F68+NPV(Disc,G68:AA68),E68+NPV(Disc,F68:AA68))</f>
        <v>9737.12747087511</v>
      </c>
      <c r="AD68" s="682"/>
      <c r="AE68" s="686"/>
      <c r="AF68" s="686"/>
      <c r="AG68" s="690"/>
      <c r="AH68" s="686"/>
      <c r="AI68" s="686"/>
      <c r="AJ68" s="686"/>
      <c r="AK68" s="686"/>
      <c r="AL68" s="686"/>
      <c r="AM68" s="686"/>
      <c r="AN68" s="686"/>
      <c r="AO68" s="686"/>
      <c r="AP68" s="686"/>
      <c r="AQ68" s="686"/>
      <c r="AR68" s="686"/>
      <c r="AS68" s="686"/>
      <c r="AT68" s="686"/>
      <c r="AU68" s="686"/>
      <c r="AV68" s="686"/>
      <c r="AW68" s="686"/>
      <c r="AX68" s="686"/>
      <c r="AY68" s="686"/>
      <c r="AZ68" s="686"/>
      <c r="BA68" s="686"/>
      <c r="BB68" s="686"/>
      <c r="BC68" s="686"/>
      <c r="BD68" s="686"/>
      <c r="BE68" s="686"/>
      <c r="BF68" s="686"/>
      <c r="BG68" s="686"/>
      <c r="BH68" s="686"/>
      <c r="BI68" s="686"/>
      <c r="BJ68" s="686"/>
      <c r="BK68" s="686"/>
      <c r="BL68" s="686"/>
      <c r="BM68" s="686"/>
      <c r="BN68" s="686"/>
      <c r="BO68" s="686"/>
      <c r="BP68" s="686"/>
      <c r="BQ68" s="686"/>
      <c r="BR68" s="686"/>
      <c r="BS68" s="686"/>
      <c r="BT68" s="686"/>
      <c r="BU68" s="686"/>
      <c r="BV68" s="686"/>
      <c r="BW68" s="686"/>
      <c r="BX68" s="686"/>
      <c r="BY68" s="686"/>
      <c r="BZ68" s="686"/>
      <c r="CA68" s="686"/>
      <c r="CB68" s="686"/>
      <c r="CC68" s="686"/>
      <c r="CD68" s="686"/>
      <c r="CE68" s="686"/>
      <c r="CF68" s="686"/>
      <c r="CG68" s="686"/>
      <c r="CH68" s="686"/>
      <c r="CI68" s="686"/>
      <c r="CJ68" s="686"/>
      <c r="CK68" s="686"/>
      <c r="CL68" s="686"/>
      <c r="CM68" s="686"/>
      <c r="CN68" s="686"/>
      <c r="CO68" s="686"/>
      <c r="CP68" s="686"/>
      <c r="CQ68" s="686"/>
      <c r="CR68" s="686"/>
      <c r="CS68" s="686"/>
      <c r="CT68" s="686"/>
      <c r="CU68" s="686"/>
      <c r="CV68" s="686"/>
      <c r="CW68" s="686"/>
      <c r="CX68" s="686"/>
      <c r="CY68" s="686"/>
      <c r="CZ68" s="686"/>
      <c r="DA68" s="686"/>
      <c r="DB68" s="686"/>
      <c r="DC68" s="686"/>
      <c r="DD68" s="686"/>
      <c r="DE68" s="686"/>
      <c r="DF68" s="686"/>
      <c r="DG68" s="686"/>
      <c r="DH68" s="686"/>
      <c r="DI68" s="686"/>
      <c r="DJ68" s="686"/>
      <c r="DK68" s="686"/>
      <c r="DL68" s="686"/>
      <c r="DM68" s="686"/>
      <c r="DN68" s="686"/>
      <c r="DO68" s="686"/>
      <c r="DP68" s="686"/>
      <c r="DQ68" s="686"/>
      <c r="DR68" s="686"/>
      <c r="DS68" s="686"/>
      <c r="DT68" s="686"/>
      <c r="DU68" s="686"/>
      <c r="DV68" s="686"/>
      <c r="DW68" s="686"/>
      <c r="DX68" s="686"/>
      <c r="DY68" s="686"/>
      <c r="DZ68" s="686"/>
      <c r="EA68" s="686"/>
      <c r="EB68" s="686"/>
      <c r="EC68" s="686"/>
      <c r="ED68" s="686"/>
      <c r="EE68" s="686"/>
      <c r="EF68" s="686"/>
      <c r="EG68" s="686"/>
      <c r="EH68" s="686"/>
      <c r="EI68" s="686"/>
      <c r="EJ68" s="686"/>
      <c r="EK68" s="686"/>
      <c r="EL68" s="686"/>
      <c r="EM68" s="686"/>
      <c r="EN68" s="686"/>
      <c r="EO68" s="686"/>
      <c r="EP68" s="686"/>
      <c r="EQ68" s="686"/>
      <c r="ER68" s="686"/>
      <c r="ES68" s="686"/>
      <c r="ET68" s="686"/>
      <c r="EU68" s="686"/>
      <c r="EV68" s="686"/>
      <c r="EW68" s="686"/>
      <c r="EX68" s="686"/>
      <c r="EY68" s="686"/>
      <c r="EZ68" s="686"/>
      <c r="FA68" s="686"/>
      <c r="FB68" s="686"/>
      <c r="FC68" s="686"/>
      <c r="FD68" s="686"/>
      <c r="FE68" s="686"/>
      <c r="FF68" s="686"/>
      <c r="FG68" s="686"/>
      <c r="FH68" s="686"/>
      <c r="FI68" s="686"/>
      <c r="FJ68" s="686"/>
      <c r="FK68" s="686"/>
      <c r="FL68" s="686"/>
      <c r="FM68" s="686"/>
      <c r="FN68" s="686"/>
      <c r="FO68" s="686"/>
      <c r="FP68" s="686"/>
      <c r="FQ68" s="686"/>
      <c r="FR68" s="686"/>
      <c r="FS68" s="686"/>
      <c r="FT68" s="686"/>
      <c r="FU68" s="686"/>
      <c r="FV68" s="686"/>
      <c r="FW68" s="686"/>
      <c r="FX68" s="686"/>
      <c r="FY68" s="686"/>
      <c r="FZ68" s="686"/>
      <c r="GA68" s="686"/>
      <c r="GB68" s="686"/>
      <c r="GC68" s="686"/>
      <c r="GD68" s="686"/>
      <c r="GE68" s="686"/>
      <c r="GF68" s="686"/>
      <c r="GG68" s="686"/>
      <c r="GH68" s="686"/>
      <c r="GI68" s="686"/>
      <c r="GJ68" s="686"/>
      <c r="GK68" s="686"/>
      <c r="GL68" s="686"/>
      <c r="GM68" s="686"/>
      <c r="GN68" s="686"/>
      <c r="GO68" s="686"/>
      <c r="GP68" s="686"/>
      <c r="GQ68" s="686"/>
      <c r="GR68" s="686"/>
      <c r="GS68" s="686"/>
      <c r="GT68" s="686"/>
      <c r="GU68" s="686"/>
      <c r="GV68" s="686"/>
      <c r="GW68" s="686"/>
      <c r="GX68" s="686"/>
      <c r="GY68" s="686"/>
      <c r="GZ68" s="686"/>
      <c r="HA68" s="686"/>
      <c r="HB68" s="686"/>
      <c r="HC68" s="686"/>
      <c r="HD68" s="686"/>
      <c r="HE68" s="686"/>
      <c r="HF68" s="686"/>
      <c r="HG68" s="686"/>
      <c r="HH68" s="686"/>
      <c r="HI68" s="686"/>
      <c r="HJ68" s="686"/>
      <c r="HK68" s="686"/>
      <c r="HL68" s="686"/>
      <c r="HM68" s="686"/>
      <c r="HN68" s="686"/>
      <c r="HO68" s="686"/>
      <c r="HP68" s="686"/>
      <c r="HQ68" s="686"/>
      <c r="HR68" s="686"/>
      <c r="HS68" s="686"/>
      <c r="HT68" s="686"/>
      <c r="HU68" s="686"/>
      <c r="HV68" s="686"/>
      <c r="HW68" s="686"/>
      <c r="HX68" s="686"/>
      <c r="HY68" s="686"/>
      <c r="HZ68" s="686"/>
      <c r="IA68" s="686"/>
      <c r="IB68" s="686"/>
      <c r="IC68" s="686"/>
      <c r="ID68" s="686"/>
      <c r="IE68" s="686"/>
      <c r="IF68" s="686"/>
      <c r="IG68" s="686"/>
      <c r="IH68" s="686"/>
      <c r="II68" s="686"/>
      <c r="IJ68" s="686"/>
      <c r="IK68" s="686"/>
      <c r="IL68" s="686"/>
      <c r="IM68" s="686"/>
      <c r="IN68" s="686"/>
      <c r="IO68" s="686"/>
      <c r="IP68" s="686"/>
      <c r="IQ68" s="686"/>
      <c r="IR68" s="686"/>
      <c r="IS68" s="686"/>
      <c r="IT68" s="686"/>
      <c r="IU68" s="686"/>
      <c r="IV68" s="686"/>
      <c r="IW68" s="686"/>
    </row>
    <row r="69" customFormat="false" ht="12.75" hidden="false" customHeight="false" outlineLevel="0" collapsed="false">
      <c r="A69" s="687"/>
      <c r="B69" s="682" t="s">
        <v>931</v>
      </c>
      <c r="C69" s="691" t="n">
        <f aca="false">Wh_Int</f>
        <v>0.15</v>
      </c>
      <c r="D69" s="689" t="s">
        <v>407</v>
      </c>
      <c r="E69" s="725" t="n">
        <f aca="false">$C$69*-E68</f>
        <v>-0</v>
      </c>
      <c r="F69" s="725" t="n">
        <f aca="false">$C$69*-F68</f>
        <v>-0</v>
      </c>
      <c r="G69" s="725" t="n">
        <f aca="false">$C$69*-G68</f>
        <v>-0</v>
      </c>
      <c r="H69" s="725" t="n">
        <f aca="false">$C$69*-H68</f>
        <v>-0</v>
      </c>
      <c r="I69" s="725" t="n">
        <f aca="false">$C$69*-I68</f>
        <v>-265.267557985608</v>
      </c>
      <c r="J69" s="725" t="n">
        <f aca="false">$C$69*-J68</f>
        <v>-629.73737180586</v>
      </c>
      <c r="K69" s="725" t="n">
        <f aca="false">$C$69*-K68</f>
        <v>-600.293890211874</v>
      </c>
      <c r="L69" s="725" t="n">
        <f aca="false">$C$69*-L68</f>
        <v>-566.898357300935</v>
      </c>
      <c r="M69" s="725" t="n">
        <f aca="false">$C$69*-M68</f>
        <v>-529.020308985026</v>
      </c>
      <c r="N69" s="725" t="n">
        <f aca="false">$C$69*-N68</f>
        <v>-486.058079633913</v>
      </c>
      <c r="O69" s="725" t="n">
        <f aca="false">$C$69*-O68</f>
        <v>-437.329245048148</v>
      </c>
      <c r="P69" s="725" t="n">
        <f aca="false">$C$69*-P68</f>
        <v>-382.059782640108</v>
      </c>
      <c r="Q69" s="725" t="n">
        <f aca="false">$C$69*-Q68</f>
        <v>-319.371776640349</v>
      </c>
      <c r="R69" s="725" t="n">
        <f aca="false">$C$69*-R68</f>
        <v>-248.269473035273</v>
      </c>
      <c r="S69" s="725" t="n">
        <f aca="false">$C$69*-S68</f>
        <v>-167.623462728805</v>
      </c>
      <c r="T69" s="725" t="n">
        <f aca="false">$C$69*-T68</f>
        <v>-76.1527416889515</v>
      </c>
      <c r="U69" s="725" t="n">
        <f aca="false">$C$69*-U68</f>
        <v>-0</v>
      </c>
      <c r="V69" s="725" t="n">
        <f aca="false">$C$69*-V68</f>
        <v>-0</v>
      </c>
      <c r="W69" s="725" t="n">
        <f aca="false">$C$69*-W68</f>
        <v>-0</v>
      </c>
      <c r="X69" s="725" t="n">
        <f aca="false">$C$69*-X68</f>
        <v>-0</v>
      </c>
      <c r="Y69" s="725" t="n">
        <f aca="false">$C$69*-Y68</f>
        <v>-0</v>
      </c>
      <c r="Z69" s="725" t="n">
        <f aca="false">$C$69*-Z68</f>
        <v>-0</v>
      </c>
      <c r="AA69" s="725" t="n">
        <f aca="false">$C$69*-AA68</f>
        <v>-0</v>
      </c>
      <c r="AB69" s="684" t="n">
        <f aca="false">SUM(E69:AA69)</f>
        <v>-4708.08204770485</v>
      </c>
      <c r="AC69" s="685" t="n">
        <f aca="false">IF('Project &amp; Investor Returns'!$I$3=0,F69+NPV(Disc,G69:AA69),E69+NPV(Disc,F69:AA69))</f>
        <v>-1460.56912063127</v>
      </c>
      <c r="AD69" s="682"/>
      <c r="AE69" s="686"/>
      <c r="AF69" s="686"/>
      <c r="AG69" s="690"/>
      <c r="AH69" s="686"/>
      <c r="AI69" s="686"/>
      <c r="AJ69" s="686"/>
      <c r="AK69" s="686"/>
      <c r="AL69" s="686"/>
      <c r="AM69" s="686"/>
      <c r="AN69" s="686"/>
      <c r="AO69" s="686"/>
      <c r="AP69" s="686"/>
      <c r="AQ69" s="686"/>
      <c r="AR69" s="686"/>
      <c r="AS69" s="686"/>
      <c r="AT69" s="686"/>
      <c r="AU69" s="686"/>
      <c r="AV69" s="686"/>
      <c r="AW69" s="686"/>
      <c r="AX69" s="686"/>
      <c r="AY69" s="686"/>
      <c r="AZ69" s="686"/>
      <c r="BA69" s="686"/>
      <c r="BB69" s="686"/>
      <c r="BC69" s="686"/>
      <c r="BD69" s="686"/>
      <c r="BE69" s="686"/>
      <c r="BF69" s="686"/>
      <c r="BG69" s="686"/>
      <c r="BH69" s="686"/>
      <c r="BI69" s="686"/>
      <c r="BJ69" s="686"/>
      <c r="BK69" s="686"/>
      <c r="BL69" s="686"/>
      <c r="BM69" s="686"/>
      <c r="BN69" s="686"/>
      <c r="BO69" s="686"/>
      <c r="BP69" s="686"/>
      <c r="BQ69" s="686"/>
      <c r="BR69" s="686"/>
      <c r="BS69" s="686"/>
      <c r="BT69" s="686"/>
      <c r="BU69" s="686"/>
      <c r="BV69" s="686"/>
      <c r="BW69" s="686"/>
      <c r="BX69" s="686"/>
      <c r="BY69" s="686"/>
      <c r="BZ69" s="686"/>
      <c r="CA69" s="686"/>
      <c r="CB69" s="686"/>
      <c r="CC69" s="686"/>
      <c r="CD69" s="686"/>
      <c r="CE69" s="686"/>
      <c r="CF69" s="686"/>
      <c r="CG69" s="686"/>
      <c r="CH69" s="686"/>
      <c r="CI69" s="686"/>
      <c r="CJ69" s="686"/>
      <c r="CK69" s="686"/>
      <c r="CL69" s="686"/>
      <c r="CM69" s="686"/>
      <c r="CN69" s="686"/>
      <c r="CO69" s="686"/>
      <c r="CP69" s="686"/>
      <c r="CQ69" s="686"/>
      <c r="CR69" s="686"/>
      <c r="CS69" s="686"/>
      <c r="CT69" s="686"/>
      <c r="CU69" s="686"/>
      <c r="CV69" s="686"/>
      <c r="CW69" s="686"/>
      <c r="CX69" s="686"/>
      <c r="CY69" s="686"/>
      <c r="CZ69" s="686"/>
      <c r="DA69" s="686"/>
      <c r="DB69" s="686"/>
      <c r="DC69" s="686"/>
      <c r="DD69" s="686"/>
      <c r="DE69" s="686"/>
      <c r="DF69" s="686"/>
      <c r="DG69" s="686"/>
      <c r="DH69" s="686"/>
      <c r="DI69" s="686"/>
      <c r="DJ69" s="686"/>
      <c r="DK69" s="686"/>
      <c r="DL69" s="686"/>
      <c r="DM69" s="686"/>
      <c r="DN69" s="686"/>
      <c r="DO69" s="686"/>
      <c r="DP69" s="686"/>
      <c r="DQ69" s="686"/>
      <c r="DR69" s="686"/>
      <c r="DS69" s="686"/>
      <c r="DT69" s="686"/>
      <c r="DU69" s="686"/>
      <c r="DV69" s="686"/>
      <c r="DW69" s="686"/>
      <c r="DX69" s="686"/>
      <c r="DY69" s="686"/>
      <c r="DZ69" s="686"/>
      <c r="EA69" s="686"/>
      <c r="EB69" s="686"/>
      <c r="EC69" s="686"/>
      <c r="ED69" s="686"/>
      <c r="EE69" s="686"/>
      <c r="EF69" s="686"/>
      <c r="EG69" s="686"/>
      <c r="EH69" s="686"/>
      <c r="EI69" s="686"/>
      <c r="EJ69" s="686"/>
      <c r="EK69" s="686"/>
      <c r="EL69" s="686"/>
      <c r="EM69" s="686"/>
      <c r="EN69" s="686"/>
      <c r="EO69" s="686"/>
      <c r="EP69" s="686"/>
      <c r="EQ69" s="686"/>
      <c r="ER69" s="686"/>
      <c r="ES69" s="686"/>
      <c r="ET69" s="686"/>
      <c r="EU69" s="686"/>
      <c r="EV69" s="686"/>
      <c r="EW69" s="686"/>
      <c r="EX69" s="686"/>
      <c r="EY69" s="686"/>
      <c r="EZ69" s="686"/>
      <c r="FA69" s="686"/>
      <c r="FB69" s="686"/>
      <c r="FC69" s="686"/>
      <c r="FD69" s="686"/>
      <c r="FE69" s="686"/>
      <c r="FF69" s="686"/>
      <c r="FG69" s="686"/>
      <c r="FH69" s="686"/>
      <c r="FI69" s="686"/>
      <c r="FJ69" s="686"/>
      <c r="FK69" s="686"/>
      <c r="FL69" s="686"/>
      <c r="FM69" s="686"/>
      <c r="FN69" s="686"/>
      <c r="FO69" s="686"/>
      <c r="FP69" s="686"/>
      <c r="FQ69" s="686"/>
      <c r="FR69" s="686"/>
      <c r="FS69" s="686"/>
      <c r="FT69" s="686"/>
      <c r="FU69" s="686"/>
      <c r="FV69" s="686"/>
      <c r="FW69" s="686"/>
      <c r="FX69" s="686"/>
      <c r="FY69" s="686"/>
      <c r="FZ69" s="686"/>
      <c r="GA69" s="686"/>
      <c r="GB69" s="686"/>
      <c r="GC69" s="686"/>
      <c r="GD69" s="686"/>
      <c r="GE69" s="686"/>
      <c r="GF69" s="686"/>
      <c r="GG69" s="686"/>
      <c r="GH69" s="686"/>
      <c r="GI69" s="686"/>
      <c r="GJ69" s="686"/>
      <c r="GK69" s="686"/>
      <c r="GL69" s="686"/>
      <c r="GM69" s="686"/>
      <c r="GN69" s="686"/>
      <c r="GO69" s="686"/>
      <c r="GP69" s="686"/>
      <c r="GQ69" s="686"/>
      <c r="GR69" s="686"/>
      <c r="GS69" s="686"/>
      <c r="GT69" s="686"/>
      <c r="GU69" s="686"/>
      <c r="GV69" s="686"/>
      <c r="GW69" s="686"/>
      <c r="GX69" s="686"/>
      <c r="GY69" s="686"/>
      <c r="GZ69" s="686"/>
      <c r="HA69" s="686"/>
      <c r="HB69" s="686"/>
      <c r="HC69" s="686"/>
      <c r="HD69" s="686"/>
      <c r="HE69" s="686"/>
      <c r="HF69" s="686"/>
      <c r="HG69" s="686"/>
      <c r="HH69" s="686"/>
      <c r="HI69" s="686"/>
      <c r="HJ69" s="686"/>
      <c r="HK69" s="686"/>
      <c r="HL69" s="686"/>
      <c r="HM69" s="686"/>
      <c r="HN69" s="686"/>
      <c r="HO69" s="686"/>
      <c r="HP69" s="686"/>
      <c r="HQ69" s="686"/>
      <c r="HR69" s="686"/>
      <c r="HS69" s="686"/>
      <c r="HT69" s="686"/>
      <c r="HU69" s="686"/>
      <c r="HV69" s="686"/>
      <c r="HW69" s="686"/>
      <c r="HX69" s="686"/>
      <c r="HY69" s="686"/>
      <c r="HZ69" s="686"/>
      <c r="IA69" s="686"/>
      <c r="IB69" s="686"/>
      <c r="IC69" s="686"/>
      <c r="ID69" s="686"/>
      <c r="IE69" s="686"/>
      <c r="IF69" s="686"/>
      <c r="IG69" s="686"/>
      <c r="IH69" s="686"/>
      <c r="II69" s="686"/>
      <c r="IJ69" s="686"/>
      <c r="IK69" s="686"/>
      <c r="IL69" s="686"/>
      <c r="IM69" s="686"/>
      <c r="IN69" s="686"/>
      <c r="IO69" s="686"/>
      <c r="IP69" s="686"/>
      <c r="IQ69" s="686"/>
      <c r="IR69" s="686"/>
      <c r="IS69" s="686"/>
      <c r="IT69" s="686"/>
      <c r="IU69" s="686"/>
      <c r="IV69" s="686"/>
      <c r="IW69" s="686"/>
    </row>
    <row r="70" customFormat="false" ht="12.75" hidden="false" customHeight="false" outlineLevel="0" collapsed="false">
      <c r="A70" s="687"/>
      <c r="B70" s="682" t="s">
        <v>410</v>
      </c>
      <c r="C70" s="682"/>
      <c r="D70" s="689" t="s">
        <v>407</v>
      </c>
      <c r="E70" s="683" t="n">
        <f aca="false">-PLRisk!E78</f>
        <v>-0</v>
      </c>
      <c r="F70" s="683" t="n">
        <f aca="false">-PLRisk!F78</f>
        <v>-0</v>
      </c>
      <c r="G70" s="683" t="n">
        <f aca="false">-PLRisk!G78</f>
        <v>-0</v>
      </c>
      <c r="H70" s="683" t="n">
        <f aca="false">-PLRisk!H78</f>
        <v>-163.48832284185</v>
      </c>
      <c r="I70" s="683" t="n">
        <f aca="false">-PLRisk!I78</f>
        <v>-299.399593614244</v>
      </c>
      <c r="J70" s="683" t="n">
        <f aca="false">-PLRisk!J78</f>
        <v>-326.483148289979</v>
      </c>
      <c r="K70" s="683" t="n">
        <f aca="false">-PLRisk!K78</f>
        <v>-311.859205112982</v>
      </c>
      <c r="L70" s="683" t="n">
        <f aca="false">-PLRisk!L78</f>
        <v>-295.272363163053</v>
      </c>
      <c r="M70" s="683" t="n">
        <f aca="false">-PLRisk!M78</f>
        <v>-276.459152352395</v>
      </c>
      <c r="N70" s="683" t="n">
        <f aca="false">-PLRisk!N78</f>
        <v>-255.120738320675</v>
      </c>
      <c r="O70" s="683" t="n">
        <f aca="false">-PLRisk!O78</f>
        <v>-230.918175665549</v>
      </c>
      <c r="P70" s="683" t="n">
        <f aca="false">-PLRisk!P78</f>
        <v>-203.467024038038</v>
      </c>
      <c r="Q70" s="683" t="n">
        <f aca="false">-PLRisk!Q78</f>
        <v>-172.331241583324</v>
      </c>
      <c r="R70" s="683" t="n">
        <f aca="false">-PLRisk!R78</f>
        <v>-137.016258728627</v>
      </c>
      <c r="S70" s="683" t="n">
        <f aca="false">-PLRisk!S78</f>
        <v>-96.9611223002578</v>
      </c>
      <c r="T70" s="683" t="n">
        <f aca="false">-PLRisk!T78</f>
        <v>-51.5295851847907</v>
      </c>
      <c r="U70" s="683" t="n">
        <f aca="false">-PLRisk!U78</f>
        <v>-0</v>
      </c>
      <c r="V70" s="683" t="n">
        <f aca="false">-PLRisk!V78</f>
        <v>-0</v>
      </c>
      <c r="W70" s="683" t="n">
        <f aca="false">-PLRisk!W78</f>
        <v>-0</v>
      </c>
      <c r="X70" s="683" t="n">
        <f aca="false">-PLRisk!X78</f>
        <v>-0</v>
      </c>
      <c r="Y70" s="683" t="n">
        <f aca="false">-PLRisk!Y78</f>
        <v>-0</v>
      </c>
      <c r="Z70" s="683" t="n">
        <f aca="false">-PLRisk!Z78</f>
        <v>-0</v>
      </c>
      <c r="AA70" s="683" t="n">
        <f aca="false">-PLRisk!AA78</f>
        <v>-0</v>
      </c>
      <c r="AB70" s="684" t="n">
        <f aca="false">SUM(E70:AA70)</f>
        <v>-2820.30593119576</v>
      </c>
      <c r="AC70" s="685" t="n">
        <f aca="false">IF('Project &amp; Investor Returns'!$I$3=0,F70+NPV(Disc,G70:AA70),E70+NPV(Disc,F70:AA70))</f>
        <v>-976.857983447004</v>
      </c>
      <c r="AD70" s="682"/>
      <c r="AE70" s="686"/>
      <c r="AF70" s="686"/>
      <c r="AG70" s="690"/>
      <c r="AH70" s="686"/>
      <c r="AI70" s="686"/>
      <c r="AJ70" s="686"/>
      <c r="AK70" s="686"/>
      <c r="AL70" s="686"/>
      <c r="AM70" s="686"/>
      <c r="AN70" s="686"/>
      <c r="AO70" s="686"/>
      <c r="AP70" s="686"/>
      <c r="AQ70" s="686"/>
      <c r="AR70" s="686"/>
      <c r="AS70" s="686"/>
      <c r="AT70" s="686"/>
      <c r="AU70" s="686"/>
      <c r="AV70" s="686"/>
      <c r="AW70" s="686"/>
      <c r="AX70" s="686"/>
      <c r="AY70" s="686"/>
      <c r="AZ70" s="686"/>
      <c r="BA70" s="686"/>
      <c r="BB70" s="686"/>
      <c r="BC70" s="686"/>
      <c r="BD70" s="686"/>
      <c r="BE70" s="686"/>
      <c r="BF70" s="686"/>
      <c r="BG70" s="686"/>
      <c r="BH70" s="686"/>
      <c r="BI70" s="686"/>
      <c r="BJ70" s="686"/>
      <c r="BK70" s="686"/>
      <c r="BL70" s="686"/>
      <c r="BM70" s="686"/>
      <c r="BN70" s="686"/>
      <c r="BO70" s="686"/>
      <c r="BP70" s="686"/>
      <c r="BQ70" s="686"/>
      <c r="BR70" s="686"/>
      <c r="BS70" s="686"/>
      <c r="BT70" s="686"/>
      <c r="BU70" s="686"/>
      <c r="BV70" s="686"/>
      <c r="BW70" s="686"/>
      <c r="BX70" s="686"/>
      <c r="BY70" s="686"/>
      <c r="BZ70" s="686"/>
      <c r="CA70" s="686"/>
      <c r="CB70" s="686"/>
      <c r="CC70" s="686"/>
      <c r="CD70" s="686"/>
      <c r="CE70" s="686"/>
      <c r="CF70" s="686"/>
      <c r="CG70" s="686"/>
      <c r="CH70" s="686"/>
      <c r="CI70" s="686"/>
      <c r="CJ70" s="686"/>
      <c r="CK70" s="686"/>
      <c r="CL70" s="686"/>
      <c r="CM70" s="686"/>
      <c r="CN70" s="686"/>
      <c r="CO70" s="686"/>
      <c r="CP70" s="686"/>
      <c r="CQ70" s="686"/>
      <c r="CR70" s="686"/>
      <c r="CS70" s="686"/>
      <c r="CT70" s="686"/>
      <c r="CU70" s="686"/>
      <c r="CV70" s="686"/>
      <c r="CW70" s="686"/>
      <c r="CX70" s="686"/>
      <c r="CY70" s="686"/>
      <c r="CZ70" s="686"/>
      <c r="DA70" s="686"/>
      <c r="DB70" s="686"/>
      <c r="DC70" s="686"/>
      <c r="DD70" s="686"/>
      <c r="DE70" s="686"/>
      <c r="DF70" s="686"/>
      <c r="DG70" s="686"/>
      <c r="DH70" s="686"/>
      <c r="DI70" s="686"/>
      <c r="DJ70" s="686"/>
      <c r="DK70" s="686"/>
      <c r="DL70" s="686"/>
      <c r="DM70" s="686"/>
      <c r="DN70" s="686"/>
      <c r="DO70" s="686"/>
      <c r="DP70" s="686"/>
      <c r="DQ70" s="686"/>
      <c r="DR70" s="686"/>
      <c r="DS70" s="686"/>
      <c r="DT70" s="686"/>
      <c r="DU70" s="686"/>
      <c r="DV70" s="686"/>
      <c r="DW70" s="686"/>
      <c r="DX70" s="686"/>
      <c r="DY70" s="686"/>
      <c r="DZ70" s="686"/>
      <c r="EA70" s="686"/>
      <c r="EB70" s="686"/>
      <c r="EC70" s="686"/>
      <c r="ED70" s="686"/>
      <c r="EE70" s="686"/>
      <c r="EF70" s="686"/>
      <c r="EG70" s="686"/>
      <c r="EH70" s="686"/>
      <c r="EI70" s="686"/>
      <c r="EJ70" s="686"/>
      <c r="EK70" s="686"/>
      <c r="EL70" s="686"/>
      <c r="EM70" s="686"/>
      <c r="EN70" s="686"/>
      <c r="EO70" s="686"/>
      <c r="EP70" s="686"/>
      <c r="EQ70" s="686"/>
      <c r="ER70" s="686"/>
      <c r="ES70" s="686"/>
      <c r="ET70" s="686"/>
      <c r="EU70" s="686"/>
      <c r="EV70" s="686"/>
      <c r="EW70" s="686"/>
      <c r="EX70" s="686"/>
      <c r="EY70" s="686"/>
      <c r="EZ70" s="686"/>
      <c r="FA70" s="686"/>
      <c r="FB70" s="686"/>
      <c r="FC70" s="686"/>
      <c r="FD70" s="686"/>
      <c r="FE70" s="686"/>
      <c r="FF70" s="686"/>
      <c r="FG70" s="686"/>
      <c r="FH70" s="686"/>
      <c r="FI70" s="686"/>
      <c r="FJ70" s="686"/>
      <c r="FK70" s="686"/>
      <c r="FL70" s="686"/>
      <c r="FM70" s="686"/>
      <c r="FN70" s="686"/>
      <c r="FO70" s="686"/>
      <c r="FP70" s="686"/>
      <c r="FQ70" s="686"/>
      <c r="FR70" s="686"/>
      <c r="FS70" s="686"/>
      <c r="FT70" s="686"/>
      <c r="FU70" s="686"/>
      <c r="FV70" s="686"/>
      <c r="FW70" s="686"/>
      <c r="FX70" s="686"/>
      <c r="FY70" s="686"/>
      <c r="FZ70" s="686"/>
      <c r="GA70" s="686"/>
      <c r="GB70" s="686"/>
      <c r="GC70" s="686"/>
      <c r="GD70" s="686"/>
      <c r="GE70" s="686"/>
      <c r="GF70" s="686"/>
      <c r="GG70" s="686"/>
      <c r="GH70" s="686"/>
      <c r="GI70" s="686"/>
      <c r="GJ70" s="686"/>
      <c r="GK70" s="686"/>
      <c r="GL70" s="686"/>
      <c r="GM70" s="686"/>
      <c r="GN70" s="686"/>
      <c r="GO70" s="686"/>
      <c r="GP70" s="686"/>
      <c r="GQ70" s="686"/>
      <c r="GR70" s="686"/>
      <c r="GS70" s="686"/>
      <c r="GT70" s="686"/>
      <c r="GU70" s="686"/>
      <c r="GV70" s="686"/>
      <c r="GW70" s="686"/>
      <c r="GX70" s="686"/>
      <c r="GY70" s="686"/>
      <c r="GZ70" s="686"/>
      <c r="HA70" s="686"/>
      <c r="HB70" s="686"/>
      <c r="HC70" s="686"/>
      <c r="HD70" s="686"/>
      <c r="HE70" s="686"/>
      <c r="HF70" s="686"/>
      <c r="HG70" s="686"/>
      <c r="HH70" s="686"/>
      <c r="HI70" s="686"/>
      <c r="HJ70" s="686"/>
      <c r="HK70" s="686"/>
      <c r="HL70" s="686"/>
      <c r="HM70" s="686"/>
      <c r="HN70" s="686"/>
      <c r="HO70" s="686"/>
      <c r="HP70" s="686"/>
      <c r="HQ70" s="686"/>
      <c r="HR70" s="686"/>
      <c r="HS70" s="686"/>
      <c r="HT70" s="686"/>
      <c r="HU70" s="686"/>
      <c r="HV70" s="686"/>
      <c r="HW70" s="686"/>
      <c r="HX70" s="686"/>
      <c r="HY70" s="686"/>
      <c r="HZ70" s="686"/>
      <c r="IA70" s="686"/>
      <c r="IB70" s="686"/>
      <c r="IC70" s="686"/>
      <c r="ID70" s="686"/>
      <c r="IE70" s="686"/>
      <c r="IF70" s="686"/>
      <c r="IG70" s="686"/>
      <c r="IH70" s="686"/>
      <c r="II70" s="686"/>
      <c r="IJ70" s="686"/>
      <c r="IK70" s="686"/>
      <c r="IL70" s="686"/>
      <c r="IM70" s="686"/>
      <c r="IN70" s="686"/>
      <c r="IO70" s="686"/>
      <c r="IP70" s="686"/>
      <c r="IQ70" s="686"/>
      <c r="IR70" s="686"/>
      <c r="IS70" s="686"/>
      <c r="IT70" s="686"/>
      <c r="IU70" s="686"/>
      <c r="IV70" s="686"/>
      <c r="IW70" s="686"/>
    </row>
    <row r="71" customFormat="false" ht="12.75" hidden="false" customHeight="false" outlineLevel="0" collapsed="false">
      <c r="A71" s="687"/>
      <c r="B71" s="682" t="s">
        <v>905</v>
      </c>
      <c r="C71" s="682"/>
      <c r="D71" s="689"/>
      <c r="E71" s="683" t="n">
        <f aca="false">IF(E7=YEAR(Assm!$AB$94),-Assm!$AB$99,0)</f>
        <v>0</v>
      </c>
      <c r="F71" s="683" t="n">
        <f aca="false">IF(F7=YEAR(Assm!$AB$94),-Assm!$AB$99,0)</f>
        <v>0</v>
      </c>
      <c r="G71" s="683" t="n">
        <f aca="false">IF(G7=YEAR(Assm!$AB$94),-Assm!$AB$99,0)</f>
        <v>0</v>
      </c>
      <c r="H71" s="683" t="n">
        <f aca="false">IF(H7=YEAR(Assm!$AB$94),-Assm!$AB$99,0)</f>
        <v>0</v>
      </c>
      <c r="I71" s="683" t="n">
        <f aca="false">IF(I7=YEAR(Assm!$AB$94),-Assm!$AB$99,0)</f>
        <v>-0</v>
      </c>
      <c r="J71" s="683" t="n">
        <f aca="false">IF(J7=YEAR(Assm!$AB$94),-Assm!$AB$99,0)</f>
        <v>0</v>
      </c>
      <c r="K71" s="683" t="n">
        <f aca="false">IF(K7=YEAR(Assm!$AB$94),-Assm!$AB$99,0)</f>
        <v>0</v>
      </c>
      <c r="L71" s="683" t="n">
        <f aca="false">IF(L7=YEAR(Assm!$AB$94),-Assm!$AB$99,0)</f>
        <v>0</v>
      </c>
      <c r="M71" s="683" t="n">
        <f aca="false">IF(M7=YEAR(Assm!$AB$94),-Assm!$AB$99,0)</f>
        <v>0</v>
      </c>
      <c r="N71" s="683" t="n">
        <f aca="false">IF(N7=YEAR(Assm!$AB$94),-Assm!$AB$99,0)</f>
        <v>0</v>
      </c>
      <c r="O71" s="683" t="n">
        <f aca="false">IF(O7=YEAR(Assm!$AB$94),-Assm!$AB$99,0)</f>
        <v>0</v>
      </c>
      <c r="P71" s="683" t="n">
        <f aca="false">IF(P7=YEAR(Assm!$AB$94),-Assm!$AB$99,0)</f>
        <v>0</v>
      </c>
      <c r="Q71" s="683" t="n">
        <f aca="false">IF(Q7=YEAR(Assm!$AB$94),-Assm!$AB$99,0)</f>
        <v>0</v>
      </c>
      <c r="R71" s="683" t="n">
        <f aca="false">IF(R7=YEAR(Assm!$AB$94),-Assm!$AB$99,0)</f>
        <v>0</v>
      </c>
      <c r="S71" s="683" t="n">
        <f aca="false">IF(S7=YEAR(Assm!$AB$94),-Assm!$AB$99,0)</f>
        <v>0</v>
      </c>
      <c r="T71" s="683" t="n">
        <f aca="false">IF(T7=YEAR(Assm!$AB$94),-Assm!$AB$99,0)</f>
        <v>0</v>
      </c>
      <c r="U71" s="683" t="n">
        <f aca="false">IF(U7=YEAR(Assm!$AB$94),-Assm!$AB$99,0)</f>
        <v>0</v>
      </c>
      <c r="V71" s="683" t="n">
        <f aca="false">IF(V7=YEAR(Assm!$AB$94),-Assm!$AB$99,0)</f>
        <v>0</v>
      </c>
      <c r="W71" s="683" t="n">
        <f aca="false">IF(W7=YEAR(Assm!$AB$94),-Assm!$AB$99,0)</f>
        <v>0</v>
      </c>
      <c r="X71" s="683" t="n">
        <f aca="false">IF(X7=YEAR(Assm!$AB$94),-Assm!$AB$99,0)</f>
        <v>0</v>
      </c>
      <c r="Y71" s="683" t="n">
        <f aca="false">IF(Y7=YEAR(Assm!$AB$94),-Assm!$AB$99,0)</f>
        <v>0</v>
      </c>
      <c r="Z71" s="683" t="n">
        <f aca="false">IF(Z7=YEAR(Assm!$AB$94),-Assm!$AB$99,0)</f>
        <v>0</v>
      </c>
      <c r="AA71" s="683" t="n">
        <f aca="false">IF(AA7=YEAR(Assm!$AB$94),-Assm!$AB$99,0)</f>
        <v>0</v>
      </c>
      <c r="AB71" s="684" t="n">
        <f aca="false">SUM(E71:AA71)</f>
        <v>0</v>
      </c>
      <c r="AC71" s="685" t="n">
        <f aca="false">IF('Project &amp; Investor Returns'!$I$3=0,F71+NPV(Disc,G71:AA71),E71+NPV(Disc,F71:AA71))</f>
        <v>0</v>
      </c>
      <c r="AD71" s="682"/>
      <c r="AE71" s="686"/>
      <c r="AF71" s="686"/>
      <c r="AG71" s="690"/>
      <c r="AH71" s="686"/>
      <c r="AI71" s="686"/>
      <c r="AJ71" s="686"/>
      <c r="AK71" s="686"/>
      <c r="AL71" s="686"/>
      <c r="AM71" s="686"/>
      <c r="AN71" s="686"/>
      <c r="AO71" s="686"/>
      <c r="AP71" s="686"/>
      <c r="AQ71" s="686"/>
      <c r="AR71" s="686"/>
      <c r="AS71" s="686"/>
      <c r="AT71" s="686"/>
      <c r="AU71" s="686"/>
      <c r="AV71" s="686"/>
      <c r="AW71" s="686"/>
      <c r="AX71" s="686"/>
      <c r="AY71" s="686"/>
      <c r="AZ71" s="686"/>
      <c r="BA71" s="686"/>
      <c r="BB71" s="686"/>
      <c r="BC71" s="686"/>
      <c r="BD71" s="686"/>
      <c r="BE71" s="686"/>
      <c r="BF71" s="686"/>
      <c r="BG71" s="686"/>
      <c r="BH71" s="686"/>
      <c r="BI71" s="686"/>
      <c r="BJ71" s="686"/>
      <c r="BK71" s="686"/>
      <c r="BL71" s="686"/>
      <c r="BM71" s="686"/>
      <c r="BN71" s="686"/>
      <c r="BO71" s="686"/>
      <c r="BP71" s="686"/>
      <c r="BQ71" s="686"/>
      <c r="BR71" s="686"/>
      <c r="BS71" s="686"/>
      <c r="BT71" s="686"/>
      <c r="BU71" s="686"/>
      <c r="BV71" s="686"/>
      <c r="BW71" s="686"/>
      <c r="BX71" s="686"/>
      <c r="BY71" s="686"/>
      <c r="BZ71" s="686"/>
      <c r="CA71" s="686"/>
      <c r="CB71" s="686"/>
      <c r="CC71" s="686"/>
      <c r="CD71" s="686"/>
      <c r="CE71" s="686"/>
      <c r="CF71" s="686"/>
      <c r="CG71" s="686"/>
      <c r="CH71" s="686"/>
      <c r="CI71" s="686"/>
      <c r="CJ71" s="686"/>
      <c r="CK71" s="686"/>
      <c r="CL71" s="686"/>
      <c r="CM71" s="686"/>
      <c r="CN71" s="686"/>
      <c r="CO71" s="686"/>
      <c r="CP71" s="686"/>
      <c r="CQ71" s="686"/>
      <c r="CR71" s="686"/>
      <c r="CS71" s="686"/>
      <c r="CT71" s="686"/>
      <c r="CU71" s="686"/>
      <c r="CV71" s="686"/>
      <c r="CW71" s="686"/>
      <c r="CX71" s="686"/>
      <c r="CY71" s="686"/>
      <c r="CZ71" s="686"/>
      <c r="DA71" s="686"/>
      <c r="DB71" s="686"/>
      <c r="DC71" s="686"/>
      <c r="DD71" s="686"/>
      <c r="DE71" s="686"/>
      <c r="DF71" s="686"/>
      <c r="DG71" s="686"/>
      <c r="DH71" s="686"/>
      <c r="DI71" s="686"/>
      <c r="DJ71" s="686"/>
      <c r="DK71" s="686"/>
      <c r="DL71" s="686"/>
      <c r="DM71" s="686"/>
      <c r="DN71" s="686"/>
      <c r="DO71" s="686"/>
      <c r="DP71" s="686"/>
      <c r="DQ71" s="686"/>
      <c r="DR71" s="686"/>
      <c r="DS71" s="686"/>
      <c r="DT71" s="686"/>
      <c r="DU71" s="686"/>
      <c r="DV71" s="686"/>
      <c r="DW71" s="686"/>
      <c r="DX71" s="686"/>
      <c r="DY71" s="686"/>
      <c r="DZ71" s="686"/>
      <c r="EA71" s="686"/>
      <c r="EB71" s="686"/>
      <c r="EC71" s="686"/>
      <c r="ED71" s="686"/>
      <c r="EE71" s="686"/>
      <c r="EF71" s="686"/>
      <c r="EG71" s="686"/>
      <c r="EH71" s="686"/>
      <c r="EI71" s="686"/>
      <c r="EJ71" s="686"/>
      <c r="EK71" s="686"/>
      <c r="EL71" s="686"/>
      <c r="EM71" s="686"/>
      <c r="EN71" s="686"/>
      <c r="EO71" s="686"/>
      <c r="EP71" s="686"/>
      <c r="EQ71" s="686"/>
      <c r="ER71" s="686"/>
      <c r="ES71" s="686"/>
      <c r="ET71" s="686"/>
      <c r="EU71" s="686"/>
      <c r="EV71" s="686"/>
      <c r="EW71" s="686"/>
      <c r="EX71" s="686"/>
      <c r="EY71" s="686"/>
      <c r="EZ71" s="686"/>
      <c r="FA71" s="686"/>
      <c r="FB71" s="686"/>
      <c r="FC71" s="686"/>
      <c r="FD71" s="686"/>
      <c r="FE71" s="686"/>
      <c r="FF71" s="686"/>
      <c r="FG71" s="686"/>
      <c r="FH71" s="686"/>
      <c r="FI71" s="686"/>
      <c r="FJ71" s="686"/>
      <c r="FK71" s="686"/>
      <c r="FL71" s="686"/>
      <c r="FM71" s="686"/>
      <c r="FN71" s="686"/>
      <c r="FO71" s="686"/>
      <c r="FP71" s="686"/>
      <c r="FQ71" s="686"/>
      <c r="FR71" s="686"/>
      <c r="FS71" s="686"/>
      <c r="FT71" s="686"/>
      <c r="FU71" s="686"/>
      <c r="FV71" s="686"/>
      <c r="FW71" s="686"/>
      <c r="FX71" s="686"/>
      <c r="FY71" s="686"/>
      <c r="FZ71" s="686"/>
      <c r="GA71" s="686"/>
      <c r="GB71" s="686"/>
      <c r="GC71" s="686"/>
      <c r="GD71" s="686"/>
      <c r="GE71" s="686"/>
      <c r="GF71" s="686"/>
      <c r="GG71" s="686"/>
      <c r="GH71" s="686"/>
      <c r="GI71" s="686"/>
      <c r="GJ71" s="686"/>
      <c r="GK71" s="686"/>
      <c r="GL71" s="686"/>
      <c r="GM71" s="686"/>
      <c r="GN71" s="686"/>
      <c r="GO71" s="686"/>
      <c r="GP71" s="686"/>
      <c r="GQ71" s="686"/>
      <c r="GR71" s="686"/>
      <c r="GS71" s="686"/>
      <c r="GT71" s="686"/>
      <c r="GU71" s="686"/>
      <c r="GV71" s="686"/>
      <c r="GW71" s="686"/>
      <c r="GX71" s="686"/>
      <c r="GY71" s="686"/>
      <c r="GZ71" s="686"/>
      <c r="HA71" s="686"/>
      <c r="HB71" s="686"/>
      <c r="HC71" s="686"/>
      <c r="HD71" s="686"/>
      <c r="HE71" s="686"/>
      <c r="HF71" s="686"/>
      <c r="HG71" s="686"/>
      <c r="HH71" s="686"/>
      <c r="HI71" s="686"/>
      <c r="HJ71" s="686"/>
      <c r="HK71" s="686"/>
      <c r="HL71" s="686"/>
      <c r="HM71" s="686"/>
      <c r="HN71" s="686"/>
      <c r="HO71" s="686"/>
      <c r="HP71" s="686"/>
      <c r="HQ71" s="686"/>
      <c r="HR71" s="686"/>
      <c r="HS71" s="686"/>
      <c r="HT71" s="686"/>
      <c r="HU71" s="686"/>
      <c r="HV71" s="686"/>
      <c r="HW71" s="686"/>
      <c r="HX71" s="686"/>
      <c r="HY71" s="686"/>
      <c r="HZ71" s="686"/>
      <c r="IA71" s="686"/>
      <c r="IB71" s="686"/>
      <c r="IC71" s="686"/>
      <c r="ID71" s="686"/>
      <c r="IE71" s="686"/>
      <c r="IF71" s="686"/>
      <c r="IG71" s="686"/>
      <c r="IH71" s="686"/>
      <c r="II71" s="686"/>
      <c r="IJ71" s="686"/>
      <c r="IK71" s="686"/>
      <c r="IL71" s="686"/>
      <c r="IM71" s="686"/>
      <c r="IN71" s="686"/>
      <c r="IO71" s="686"/>
      <c r="IP71" s="686"/>
      <c r="IQ71" s="686"/>
      <c r="IR71" s="686"/>
      <c r="IS71" s="686"/>
      <c r="IT71" s="686"/>
      <c r="IU71" s="686"/>
      <c r="IV71" s="686"/>
      <c r="IW71" s="686"/>
    </row>
    <row r="72" customFormat="false" ht="12.75" hidden="false" customHeight="false" outlineLevel="0" collapsed="false">
      <c r="A72" s="687"/>
      <c r="B72" s="682" t="s">
        <v>932</v>
      </c>
      <c r="C72" s="682"/>
      <c r="D72" s="689" t="s">
        <v>425</v>
      </c>
      <c r="E72" s="683" t="n">
        <f aca="false">-PLRisk!E56</f>
        <v>-0</v>
      </c>
      <c r="F72" s="683" t="n">
        <f aca="false">-PLRisk!F56</f>
        <v>-0</v>
      </c>
      <c r="G72" s="683" t="n">
        <f aca="false">-PLRisk!G56</f>
        <v>-0</v>
      </c>
      <c r="H72" s="683" t="n">
        <f aca="false">-PLRisk!H56</f>
        <v>-0</v>
      </c>
      <c r="I72" s="683" t="n">
        <f aca="false">-PLRisk!I56</f>
        <v>-0</v>
      </c>
      <c r="J72" s="683" t="n">
        <f aca="false">-PLRisk!J56</f>
        <v>-0</v>
      </c>
      <c r="K72" s="683" t="n">
        <f aca="false">-PLRisk!K56</f>
        <v>-0</v>
      </c>
      <c r="L72" s="683" t="n">
        <f aca="false">-PLRisk!L56</f>
        <v>-0</v>
      </c>
      <c r="M72" s="683" t="n">
        <f aca="false">-PLRisk!M56</f>
        <v>-0</v>
      </c>
      <c r="N72" s="683" t="n">
        <f aca="false">-PLRisk!N56</f>
        <v>-0</v>
      </c>
      <c r="O72" s="683" t="n">
        <f aca="false">-PLRisk!O56</f>
        <v>-0</v>
      </c>
      <c r="P72" s="683" t="n">
        <f aca="false">-PLRisk!P56</f>
        <v>-0</v>
      </c>
      <c r="Q72" s="683" t="n">
        <f aca="false">-PLRisk!Q56</f>
        <v>-0</v>
      </c>
      <c r="R72" s="683" t="n">
        <f aca="false">-PLRisk!R56</f>
        <v>-0</v>
      </c>
      <c r="S72" s="683" t="n">
        <f aca="false">-PLRisk!S56</f>
        <v>-0</v>
      </c>
      <c r="T72" s="683" t="n">
        <f aca="false">-PLRisk!T56</f>
        <v>-0</v>
      </c>
      <c r="U72" s="683" t="n">
        <f aca="false">-PLRisk!U56</f>
        <v>-0</v>
      </c>
      <c r="V72" s="683" t="n">
        <f aca="false">-PLRisk!V56</f>
        <v>-0</v>
      </c>
      <c r="W72" s="683" t="n">
        <f aca="false">-PLRisk!W56</f>
        <v>-0</v>
      </c>
      <c r="X72" s="683" t="n">
        <f aca="false">-PLRisk!X56</f>
        <v>-0</v>
      </c>
      <c r="Y72" s="683" t="n">
        <f aca="false">-PLRisk!Y56</f>
        <v>-0</v>
      </c>
      <c r="Z72" s="683" t="n">
        <f aca="false">-PLRisk!Z56</f>
        <v>-0</v>
      </c>
      <c r="AA72" s="683" t="n">
        <f aca="false">-PLRisk!AA56</f>
        <v>-0</v>
      </c>
      <c r="AB72" s="684" t="n">
        <f aca="false">SUM(E72:AA72)</f>
        <v>0</v>
      </c>
      <c r="AC72" s="685" t="n">
        <f aca="false">IF('Project &amp; Investor Returns'!$I$3=0,F72+NPV(Disc,G72:AA72),E72+NPV(Disc,F72:AA72))</f>
        <v>0</v>
      </c>
      <c r="AD72" s="682"/>
      <c r="AE72" s="686"/>
      <c r="AF72" s="686"/>
      <c r="AG72" s="690"/>
      <c r="AH72" s="686"/>
      <c r="AI72" s="686"/>
      <c r="AJ72" s="686"/>
      <c r="AK72" s="686"/>
      <c r="AL72" s="686"/>
      <c r="AM72" s="686"/>
      <c r="AN72" s="686"/>
      <c r="AO72" s="686"/>
      <c r="AP72" s="686"/>
      <c r="AQ72" s="686"/>
      <c r="AR72" s="686"/>
      <c r="AS72" s="686"/>
      <c r="AT72" s="686"/>
      <c r="AU72" s="686"/>
      <c r="AV72" s="686"/>
      <c r="AW72" s="686"/>
      <c r="AX72" s="686"/>
      <c r="AY72" s="686"/>
      <c r="AZ72" s="686"/>
      <c r="BA72" s="686"/>
      <c r="BB72" s="686"/>
      <c r="BC72" s="686"/>
      <c r="BD72" s="686"/>
      <c r="BE72" s="686"/>
      <c r="BF72" s="686"/>
      <c r="BG72" s="686"/>
      <c r="BH72" s="686"/>
      <c r="BI72" s="686"/>
      <c r="BJ72" s="686"/>
      <c r="BK72" s="686"/>
      <c r="BL72" s="686"/>
      <c r="BM72" s="686"/>
      <c r="BN72" s="686"/>
      <c r="BO72" s="686"/>
      <c r="BP72" s="686"/>
      <c r="BQ72" s="686"/>
      <c r="BR72" s="686"/>
      <c r="BS72" s="686"/>
      <c r="BT72" s="686"/>
      <c r="BU72" s="686"/>
      <c r="BV72" s="686"/>
      <c r="BW72" s="686"/>
      <c r="BX72" s="686"/>
      <c r="BY72" s="686"/>
      <c r="BZ72" s="686"/>
      <c r="CA72" s="686"/>
      <c r="CB72" s="686"/>
      <c r="CC72" s="686"/>
      <c r="CD72" s="686"/>
      <c r="CE72" s="686"/>
      <c r="CF72" s="686"/>
      <c r="CG72" s="686"/>
      <c r="CH72" s="686"/>
      <c r="CI72" s="686"/>
      <c r="CJ72" s="686"/>
      <c r="CK72" s="686"/>
      <c r="CL72" s="686"/>
      <c r="CM72" s="686"/>
      <c r="CN72" s="686"/>
      <c r="CO72" s="686"/>
      <c r="CP72" s="686"/>
      <c r="CQ72" s="686"/>
      <c r="CR72" s="686"/>
      <c r="CS72" s="686"/>
      <c r="CT72" s="686"/>
      <c r="CU72" s="686"/>
      <c r="CV72" s="686"/>
      <c r="CW72" s="686"/>
      <c r="CX72" s="686"/>
      <c r="CY72" s="686"/>
      <c r="CZ72" s="686"/>
      <c r="DA72" s="686"/>
      <c r="DB72" s="686"/>
      <c r="DC72" s="686"/>
      <c r="DD72" s="686"/>
      <c r="DE72" s="686"/>
      <c r="DF72" s="686"/>
      <c r="DG72" s="686"/>
      <c r="DH72" s="686"/>
      <c r="DI72" s="686"/>
      <c r="DJ72" s="686"/>
      <c r="DK72" s="686"/>
      <c r="DL72" s="686"/>
      <c r="DM72" s="686"/>
      <c r="DN72" s="686"/>
      <c r="DO72" s="686"/>
      <c r="DP72" s="686"/>
      <c r="DQ72" s="686"/>
      <c r="DR72" s="686"/>
      <c r="DS72" s="686"/>
      <c r="DT72" s="686"/>
      <c r="DU72" s="686"/>
      <c r="DV72" s="686"/>
      <c r="DW72" s="686"/>
      <c r="DX72" s="686"/>
      <c r="DY72" s="686"/>
      <c r="DZ72" s="686"/>
      <c r="EA72" s="686"/>
      <c r="EB72" s="686"/>
      <c r="EC72" s="686"/>
      <c r="ED72" s="686"/>
      <c r="EE72" s="686"/>
      <c r="EF72" s="686"/>
      <c r="EG72" s="686"/>
      <c r="EH72" s="686"/>
      <c r="EI72" s="686"/>
      <c r="EJ72" s="686"/>
      <c r="EK72" s="686"/>
      <c r="EL72" s="686"/>
      <c r="EM72" s="686"/>
      <c r="EN72" s="686"/>
      <c r="EO72" s="686"/>
      <c r="EP72" s="686"/>
      <c r="EQ72" s="686"/>
      <c r="ER72" s="686"/>
      <c r="ES72" s="686"/>
      <c r="ET72" s="686"/>
      <c r="EU72" s="686"/>
      <c r="EV72" s="686"/>
      <c r="EW72" s="686"/>
      <c r="EX72" s="686"/>
      <c r="EY72" s="686"/>
      <c r="EZ72" s="686"/>
      <c r="FA72" s="686"/>
      <c r="FB72" s="686"/>
      <c r="FC72" s="686"/>
      <c r="FD72" s="686"/>
      <c r="FE72" s="686"/>
      <c r="FF72" s="686"/>
      <c r="FG72" s="686"/>
      <c r="FH72" s="686"/>
      <c r="FI72" s="686"/>
      <c r="FJ72" s="686"/>
      <c r="FK72" s="686"/>
      <c r="FL72" s="686"/>
      <c r="FM72" s="686"/>
      <c r="FN72" s="686"/>
      <c r="FO72" s="686"/>
      <c r="FP72" s="686"/>
      <c r="FQ72" s="686"/>
      <c r="FR72" s="686"/>
      <c r="FS72" s="686"/>
      <c r="FT72" s="686"/>
      <c r="FU72" s="686"/>
      <c r="FV72" s="686"/>
      <c r="FW72" s="686"/>
      <c r="FX72" s="686"/>
      <c r="FY72" s="686"/>
      <c r="FZ72" s="686"/>
      <c r="GA72" s="686"/>
      <c r="GB72" s="686"/>
      <c r="GC72" s="686"/>
      <c r="GD72" s="686"/>
      <c r="GE72" s="686"/>
      <c r="GF72" s="686"/>
      <c r="GG72" s="686"/>
      <c r="GH72" s="686"/>
      <c r="GI72" s="686"/>
      <c r="GJ72" s="686"/>
      <c r="GK72" s="686"/>
      <c r="GL72" s="686"/>
      <c r="GM72" s="686"/>
      <c r="GN72" s="686"/>
      <c r="GO72" s="686"/>
      <c r="GP72" s="686"/>
      <c r="GQ72" s="686"/>
      <c r="GR72" s="686"/>
      <c r="GS72" s="686"/>
      <c r="GT72" s="686"/>
      <c r="GU72" s="686"/>
      <c r="GV72" s="686"/>
      <c r="GW72" s="686"/>
      <c r="GX72" s="686"/>
      <c r="GY72" s="686"/>
      <c r="GZ72" s="686"/>
      <c r="HA72" s="686"/>
      <c r="HB72" s="686"/>
      <c r="HC72" s="686"/>
      <c r="HD72" s="686"/>
      <c r="HE72" s="686"/>
      <c r="HF72" s="686"/>
      <c r="HG72" s="686"/>
      <c r="HH72" s="686"/>
      <c r="HI72" s="686"/>
      <c r="HJ72" s="686"/>
      <c r="HK72" s="686"/>
      <c r="HL72" s="686"/>
      <c r="HM72" s="686"/>
      <c r="HN72" s="686"/>
      <c r="HO72" s="686"/>
      <c r="HP72" s="686"/>
      <c r="HQ72" s="686"/>
      <c r="HR72" s="686"/>
      <c r="HS72" s="686"/>
      <c r="HT72" s="686"/>
      <c r="HU72" s="686"/>
      <c r="HV72" s="686"/>
      <c r="HW72" s="686"/>
      <c r="HX72" s="686"/>
      <c r="HY72" s="686"/>
      <c r="HZ72" s="686"/>
      <c r="IA72" s="686"/>
      <c r="IB72" s="686"/>
      <c r="IC72" s="686"/>
      <c r="ID72" s="686"/>
      <c r="IE72" s="686"/>
      <c r="IF72" s="686"/>
      <c r="IG72" s="686"/>
      <c r="IH72" s="686"/>
      <c r="II72" s="686"/>
      <c r="IJ72" s="686"/>
      <c r="IK72" s="686"/>
      <c r="IL72" s="686"/>
      <c r="IM72" s="686"/>
      <c r="IN72" s="686"/>
      <c r="IO72" s="686"/>
      <c r="IP72" s="686"/>
      <c r="IQ72" s="686"/>
      <c r="IR72" s="686"/>
      <c r="IS72" s="686"/>
      <c r="IT72" s="686"/>
      <c r="IU72" s="686"/>
      <c r="IV72" s="686"/>
      <c r="IW72" s="686"/>
    </row>
    <row r="73" customFormat="false" ht="12.75" hidden="false" customHeight="false" outlineLevel="0" collapsed="false">
      <c r="A73" s="692"/>
      <c r="B73" s="682" t="s">
        <v>906</v>
      </c>
      <c r="C73" s="691" t="n">
        <f aca="false">USTax</f>
        <v>0.37</v>
      </c>
      <c r="D73" s="693"/>
      <c r="E73" s="683" t="n">
        <f aca="false">-SUM(E68:E70)*USTax</f>
        <v>-0</v>
      </c>
      <c r="F73" s="683" t="n">
        <f aca="false">-SUM(F68:F70)*USTax</f>
        <v>-0</v>
      </c>
      <c r="G73" s="683" t="n">
        <f aca="false">-SUM(G68:G70)*USTax</f>
        <v>-0</v>
      </c>
      <c r="H73" s="683" t="n">
        <f aca="false">-SUM(H68:H70)*USTax</f>
        <v>60.4906794514844</v>
      </c>
      <c r="I73" s="683" t="n">
        <f aca="false">-SUM(I68:I70)*USTax</f>
        <v>-445.399796939221</v>
      </c>
      <c r="J73" s="683" t="n">
        <f aca="false">-SUM(J68:J70)*USTax</f>
        <v>-1199.55059135233</v>
      </c>
      <c r="K73" s="683" t="n">
        <f aca="false">-SUM(K68:K70)*USTax</f>
        <v>-1143.22828391909</v>
      </c>
      <c r="L73" s="683" t="n">
        <f aca="false">-SUM(L68:L70)*USTax</f>
        <v>-1079.34611477063</v>
      </c>
      <c r="M73" s="683" t="n">
        <f aca="false">-SUM(M68:M70)*USTax</f>
        <v>-1006.88936146822</v>
      </c>
      <c r="N73" s="683" t="n">
        <f aca="false">-SUM(N68:N70)*USTax</f>
        <v>-924.707100453789</v>
      </c>
      <c r="O73" s="683" t="n">
        <f aca="false">-SUM(O68:O70)*USTax</f>
        <v>-831.493925454697</v>
      </c>
      <c r="P73" s="683" t="n">
        <f aca="false">-SUM(P68:P70)*USTax</f>
        <v>-725.769212041353</v>
      </c>
      <c r="Q73" s="683" t="n">
        <f aca="false">-SUM(Q68:Q70)*USTax</f>
        <v>-605.853598970103</v>
      </c>
      <c r="R73" s="683" t="n">
        <f aca="false">-SUM(R68:R70)*USTax</f>
        <v>-469.842312734364</v>
      </c>
      <c r="S73" s="683" t="n">
        <f aca="false">-SUM(S68:S70)*USTax</f>
        <v>-315.574911603633</v>
      </c>
      <c r="T73" s="683" t="n">
        <f aca="false">-SUM(T68:T70)*USTax</f>
        <v>-140.600968556129</v>
      </c>
      <c r="U73" s="683" t="n">
        <f aca="false">-SUM(U68:U70)*USTax</f>
        <v>-0</v>
      </c>
      <c r="V73" s="683" t="n">
        <f aca="false">-SUM(V68:V70)*USTax</f>
        <v>-0</v>
      </c>
      <c r="W73" s="683" t="n">
        <f aca="false">-SUM(W68:W70)*USTax</f>
        <v>-0</v>
      </c>
      <c r="X73" s="683" t="n">
        <f aca="false">-SUM(X68:X70)*USTax</f>
        <v>-0</v>
      </c>
      <c r="Y73" s="683" t="n">
        <f aca="false">-SUM(Y68:Y70)*USTax</f>
        <v>-0</v>
      </c>
      <c r="Z73" s="683" t="n">
        <f aca="false">-SUM(Z68:Z70)*USTax</f>
        <v>-0</v>
      </c>
      <c r="AA73" s="683" t="n">
        <f aca="false">-SUM(AA68:AA70)*USTax</f>
        <v>-0</v>
      </c>
      <c r="AB73" s="684" t="n">
        <f aca="false">SUM(E73:AA73)</f>
        <v>-8827.76549881207</v>
      </c>
      <c r="AC73" s="685" t="n">
        <f aca="false">IF('Project &amp; Investor Returns'!$I$3=0,F73+NPV(Disc,G73:AA73),E73+NPV(Disc,F73:AA73))</f>
        <v>-2700.88913571483</v>
      </c>
      <c r="AD73" s="682"/>
      <c r="AE73" s="697"/>
      <c r="AF73" s="697"/>
      <c r="AG73" s="690"/>
      <c r="AH73" s="697"/>
      <c r="AI73" s="697"/>
      <c r="AJ73" s="697"/>
      <c r="AK73" s="697"/>
      <c r="AL73" s="697"/>
      <c r="AM73" s="697"/>
      <c r="AN73" s="697"/>
      <c r="AO73" s="697"/>
      <c r="AP73" s="697"/>
      <c r="AQ73" s="697"/>
      <c r="AR73" s="697"/>
      <c r="AS73" s="697"/>
      <c r="AT73" s="697"/>
      <c r="AU73" s="697"/>
      <c r="AV73" s="697"/>
      <c r="AW73" s="697"/>
      <c r="AX73" s="697"/>
      <c r="AY73" s="697"/>
      <c r="AZ73" s="697"/>
      <c r="BA73" s="697"/>
      <c r="BB73" s="697"/>
      <c r="BC73" s="697"/>
      <c r="BD73" s="697"/>
      <c r="BE73" s="697"/>
      <c r="BF73" s="697"/>
      <c r="BG73" s="697"/>
      <c r="BH73" s="697"/>
      <c r="BI73" s="697"/>
      <c r="BJ73" s="697"/>
      <c r="BK73" s="697"/>
      <c r="BL73" s="697"/>
      <c r="BM73" s="697"/>
      <c r="BN73" s="697"/>
      <c r="BO73" s="697"/>
      <c r="BP73" s="697"/>
      <c r="BQ73" s="697"/>
      <c r="BR73" s="697"/>
      <c r="BS73" s="697"/>
      <c r="BT73" s="697"/>
      <c r="BU73" s="697"/>
      <c r="BV73" s="697"/>
      <c r="BW73" s="697"/>
      <c r="BX73" s="697"/>
      <c r="BY73" s="697"/>
      <c r="BZ73" s="697"/>
      <c r="CA73" s="697"/>
      <c r="CB73" s="697"/>
      <c r="CC73" s="697"/>
      <c r="CD73" s="697"/>
      <c r="CE73" s="697"/>
      <c r="CF73" s="697"/>
      <c r="CG73" s="697"/>
      <c r="CH73" s="697"/>
      <c r="CI73" s="697"/>
      <c r="CJ73" s="697"/>
      <c r="CK73" s="697"/>
      <c r="CL73" s="697"/>
      <c r="CM73" s="697"/>
      <c r="CN73" s="697"/>
      <c r="CO73" s="697"/>
      <c r="CP73" s="697"/>
      <c r="CQ73" s="697"/>
      <c r="CR73" s="697"/>
      <c r="CS73" s="697"/>
      <c r="CT73" s="697"/>
      <c r="CU73" s="697"/>
      <c r="CV73" s="697"/>
      <c r="CW73" s="697"/>
      <c r="CX73" s="697"/>
      <c r="CY73" s="697"/>
      <c r="CZ73" s="697"/>
      <c r="DA73" s="697"/>
      <c r="DB73" s="697"/>
      <c r="DC73" s="697"/>
      <c r="DD73" s="697"/>
      <c r="DE73" s="697"/>
      <c r="DF73" s="697"/>
      <c r="DG73" s="697"/>
      <c r="DH73" s="697"/>
      <c r="DI73" s="697"/>
      <c r="DJ73" s="697"/>
      <c r="DK73" s="697"/>
      <c r="DL73" s="697"/>
      <c r="DM73" s="697"/>
      <c r="DN73" s="697"/>
      <c r="DO73" s="697"/>
      <c r="DP73" s="697"/>
      <c r="DQ73" s="697"/>
      <c r="DR73" s="697"/>
      <c r="DS73" s="697"/>
      <c r="DT73" s="697"/>
      <c r="DU73" s="697"/>
      <c r="DV73" s="697"/>
      <c r="DW73" s="697"/>
      <c r="DX73" s="697"/>
      <c r="DY73" s="697"/>
      <c r="DZ73" s="697"/>
      <c r="EA73" s="697"/>
      <c r="EB73" s="697"/>
      <c r="EC73" s="697"/>
      <c r="ED73" s="697"/>
      <c r="EE73" s="697"/>
      <c r="EF73" s="697"/>
      <c r="EG73" s="697"/>
      <c r="EH73" s="697"/>
      <c r="EI73" s="697"/>
      <c r="EJ73" s="697"/>
      <c r="EK73" s="697"/>
      <c r="EL73" s="697"/>
      <c r="EM73" s="697"/>
      <c r="EN73" s="697"/>
      <c r="EO73" s="697"/>
      <c r="EP73" s="697"/>
      <c r="EQ73" s="697"/>
      <c r="ER73" s="697"/>
      <c r="ES73" s="697"/>
      <c r="ET73" s="697"/>
      <c r="EU73" s="697"/>
      <c r="EV73" s="697"/>
      <c r="EW73" s="697"/>
      <c r="EX73" s="697"/>
      <c r="EY73" s="697"/>
      <c r="EZ73" s="697"/>
      <c r="FA73" s="697"/>
      <c r="FB73" s="697"/>
      <c r="FC73" s="697"/>
      <c r="FD73" s="697"/>
      <c r="FE73" s="697"/>
      <c r="FF73" s="697"/>
      <c r="FG73" s="697"/>
      <c r="FH73" s="697"/>
      <c r="FI73" s="697"/>
      <c r="FJ73" s="697"/>
      <c r="FK73" s="697"/>
      <c r="FL73" s="697"/>
      <c r="FM73" s="697"/>
      <c r="FN73" s="697"/>
      <c r="FO73" s="697"/>
      <c r="FP73" s="697"/>
      <c r="FQ73" s="697"/>
      <c r="FR73" s="697"/>
      <c r="FS73" s="697"/>
      <c r="FT73" s="697"/>
      <c r="FU73" s="697"/>
      <c r="FV73" s="697"/>
      <c r="FW73" s="697"/>
      <c r="FX73" s="697"/>
      <c r="FY73" s="697"/>
      <c r="FZ73" s="697"/>
      <c r="GA73" s="697"/>
      <c r="GB73" s="697"/>
      <c r="GC73" s="697"/>
      <c r="GD73" s="697"/>
      <c r="GE73" s="697"/>
      <c r="GF73" s="697"/>
      <c r="GG73" s="697"/>
      <c r="GH73" s="697"/>
      <c r="GI73" s="697"/>
      <c r="GJ73" s="697"/>
      <c r="GK73" s="697"/>
      <c r="GL73" s="697"/>
      <c r="GM73" s="697"/>
      <c r="GN73" s="697"/>
      <c r="GO73" s="697"/>
      <c r="GP73" s="697"/>
      <c r="GQ73" s="697"/>
      <c r="GR73" s="697"/>
      <c r="GS73" s="697"/>
      <c r="GT73" s="697"/>
      <c r="GU73" s="697"/>
      <c r="GV73" s="697"/>
      <c r="GW73" s="697"/>
      <c r="GX73" s="697"/>
      <c r="GY73" s="697"/>
      <c r="GZ73" s="697"/>
      <c r="HA73" s="697"/>
      <c r="HB73" s="697"/>
      <c r="HC73" s="697"/>
      <c r="HD73" s="697"/>
      <c r="HE73" s="697"/>
      <c r="HF73" s="697"/>
      <c r="HG73" s="697"/>
      <c r="HH73" s="697"/>
      <c r="HI73" s="697"/>
      <c r="HJ73" s="697"/>
      <c r="HK73" s="697"/>
      <c r="HL73" s="697"/>
      <c r="HM73" s="697"/>
      <c r="HN73" s="697"/>
      <c r="HO73" s="697"/>
      <c r="HP73" s="697"/>
      <c r="HQ73" s="697"/>
      <c r="HR73" s="697"/>
      <c r="HS73" s="697"/>
      <c r="HT73" s="697"/>
      <c r="HU73" s="697"/>
      <c r="HV73" s="697"/>
      <c r="HW73" s="697"/>
      <c r="HX73" s="697"/>
      <c r="HY73" s="697"/>
      <c r="HZ73" s="697"/>
      <c r="IA73" s="697"/>
      <c r="IB73" s="697"/>
      <c r="IC73" s="697"/>
      <c r="ID73" s="697"/>
      <c r="IE73" s="697"/>
      <c r="IF73" s="697"/>
      <c r="IG73" s="697"/>
      <c r="IH73" s="697"/>
      <c r="II73" s="697"/>
      <c r="IJ73" s="697"/>
      <c r="IK73" s="697"/>
      <c r="IL73" s="697"/>
      <c r="IM73" s="697"/>
      <c r="IN73" s="697"/>
      <c r="IO73" s="697"/>
      <c r="IP73" s="697"/>
      <c r="IQ73" s="697"/>
      <c r="IR73" s="697"/>
      <c r="IS73" s="697"/>
      <c r="IT73" s="697"/>
      <c r="IU73" s="697"/>
      <c r="IV73" s="697"/>
      <c r="IW73" s="697"/>
    </row>
    <row r="74" customFormat="false" ht="12.75" hidden="false" customHeight="false" outlineLevel="0" collapsed="false">
      <c r="A74" s="692"/>
      <c r="B74" s="682" t="s">
        <v>933</v>
      </c>
      <c r="C74" s="691" t="n">
        <f aca="false">USTax</f>
        <v>0.37</v>
      </c>
      <c r="D74" s="693"/>
      <c r="E74" s="683" t="n">
        <f aca="false">-E72*USTax</f>
        <v>0</v>
      </c>
      <c r="F74" s="683" t="n">
        <f aca="false">-F72*USTax</f>
        <v>0</v>
      </c>
      <c r="G74" s="683" t="n">
        <f aca="false">-G72*USTax</f>
        <v>0</v>
      </c>
      <c r="H74" s="683" t="n">
        <f aca="false">-H72*USTax</f>
        <v>0</v>
      </c>
      <c r="I74" s="683" t="n">
        <f aca="false">-I72*USTax</f>
        <v>0</v>
      </c>
      <c r="J74" s="683" t="n">
        <f aca="false">-J72*USTax</f>
        <v>0</v>
      </c>
      <c r="K74" s="683" t="n">
        <f aca="false">-K72*USTax</f>
        <v>0</v>
      </c>
      <c r="L74" s="683" t="n">
        <f aca="false">-L72*USTax</f>
        <v>0</v>
      </c>
      <c r="M74" s="683" t="n">
        <f aca="false">-M72*USTax</f>
        <v>0</v>
      </c>
      <c r="N74" s="683" t="n">
        <f aca="false">-N72*USTax</f>
        <v>0</v>
      </c>
      <c r="O74" s="683" t="n">
        <f aca="false">-O72*USTax</f>
        <v>0</v>
      </c>
      <c r="P74" s="683" t="n">
        <f aca="false">-P72*USTax</f>
        <v>0</v>
      </c>
      <c r="Q74" s="683" t="n">
        <f aca="false">-Q72*USTax</f>
        <v>0</v>
      </c>
      <c r="R74" s="683" t="n">
        <f aca="false">-R72*USTax</f>
        <v>0</v>
      </c>
      <c r="S74" s="683" t="n">
        <f aca="false">-S72*USTax</f>
        <v>0</v>
      </c>
      <c r="T74" s="683" t="n">
        <f aca="false">-T72*USTax</f>
        <v>0</v>
      </c>
      <c r="U74" s="683" t="n">
        <f aca="false">-U72*USTax</f>
        <v>0</v>
      </c>
      <c r="V74" s="683" t="n">
        <f aca="false">-V72*USTax</f>
        <v>0</v>
      </c>
      <c r="W74" s="683" t="n">
        <f aca="false">-W72*USTax</f>
        <v>0</v>
      </c>
      <c r="X74" s="683" t="n">
        <f aca="false">-X72*USTax</f>
        <v>0</v>
      </c>
      <c r="Y74" s="683" t="n">
        <f aca="false">-Y72*USTax</f>
        <v>0</v>
      </c>
      <c r="Z74" s="683" t="n">
        <f aca="false">-Z72*USTax</f>
        <v>0</v>
      </c>
      <c r="AA74" s="683" t="n">
        <f aca="false">-AA72*USTax</f>
        <v>0</v>
      </c>
      <c r="AB74" s="695" t="n">
        <f aca="false">SUM(E74:AA74)</f>
        <v>0</v>
      </c>
      <c r="AC74" s="696" t="n">
        <f aca="false">IF('Project &amp; Investor Returns'!$I$3=0,F74+NPV(Disc,G74:AA74),E74+NPV(Disc,F74:AA74))</f>
        <v>0</v>
      </c>
      <c r="AD74" s="682"/>
      <c r="AE74" s="697"/>
      <c r="AF74" s="697"/>
      <c r="AG74" s="690"/>
      <c r="AH74" s="697"/>
      <c r="AI74" s="697"/>
      <c r="AJ74" s="697"/>
      <c r="AK74" s="697"/>
      <c r="AL74" s="697"/>
      <c r="AM74" s="697"/>
      <c r="AN74" s="697"/>
      <c r="AO74" s="697"/>
      <c r="AP74" s="697"/>
      <c r="AQ74" s="697"/>
      <c r="AR74" s="697"/>
      <c r="AS74" s="697"/>
      <c r="AT74" s="697"/>
      <c r="AU74" s="697"/>
      <c r="AV74" s="697"/>
      <c r="AW74" s="697"/>
      <c r="AX74" s="697"/>
      <c r="AY74" s="697"/>
      <c r="AZ74" s="697"/>
      <c r="BA74" s="697"/>
      <c r="BB74" s="697"/>
      <c r="BC74" s="697"/>
      <c r="BD74" s="697"/>
      <c r="BE74" s="697"/>
      <c r="BF74" s="697"/>
      <c r="BG74" s="697"/>
      <c r="BH74" s="697"/>
      <c r="BI74" s="697"/>
      <c r="BJ74" s="697"/>
      <c r="BK74" s="697"/>
      <c r="BL74" s="697"/>
      <c r="BM74" s="697"/>
      <c r="BN74" s="697"/>
      <c r="BO74" s="697"/>
      <c r="BP74" s="697"/>
      <c r="BQ74" s="697"/>
      <c r="BR74" s="697"/>
      <c r="BS74" s="697"/>
      <c r="BT74" s="697"/>
      <c r="BU74" s="697"/>
      <c r="BV74" s="697"/>
      <c r="BW74" s="697"/>
      <c r="BX74" s="697"/>
      <c r="BY74" s="697"/>
      <c r="BZ74" s="697"/>
      <c r="CA74" s="697"/>
      <c r="CB74" s="697"/>
      <c r="CC74" s="697"/>
      <c r="CD74" s="697"/>
      <c r="CE74" s="697"/>
      <c r="CF74" s="697"/>
      <c r="CG74" s="697"/>
      <c r="CH74" s="697"/>
      <c r="CI74" s="697"/>
      <c r="CJ74" s="697"/>
      <c r="CK74" s="697"/>
      <c r="CL74" s="697"/>
      <c r="CM74" s="697"/>
      <c r="CN74" s="697"/>
      <c r="CO74" s="697"/>
      <c r="CP74" s="697"/>
      <c r="CQ74" s="697"/>
      <c r="CR74" s="697"/>
      <c r="CS74" s="697"/>
      <c r="CT74" s="697"/>
      <c r="CU74" s="697"/>
      <c r="CV74" s="697"/>
      <c r="CW74" s="697"/>
      <c r="CX74" s="697"/>
      <c r="CY74" s="697"/>
      <c r="CZ74" s="697"/>
      <c r="DA74" s="697"/>
      <c r="DB74" s="697"/>
      <c r="DC74" s="697"/>
      <c r="DD74" s="697"/>
      <c r="DE74" s="697"/>
      <c r="DF74" s="697"/>
      <c r="DG74" s="697"/>
      <c r="DH74" s="697"/>
      <c r="DI74" s="697"/>
      <c r="DJ74" s="697"/>
      <c r="DK74" s="697"/>
      <c r="DL74" s="697"/>
      <c r="DM74" s="697"/>
      <c r="DN74" s="697"/>
      <c r="DO74" s="697"/>
      <c r="DP74" s="697"/>
      <c r="DQ74" s="697"/>
      <c r="DR74" s="697"/>
      <c r="DS74" s="697"/>
      <c r="DT74" s="697"/>
      <c r="DU74" s="697"/>
      <c r="DV74" s="697"/>
      <c r="DW74" s="697"/>
      <c r="DX74" s="697"/>
      <c r="DY74" s="697"/>
      <c r="DZ74" s="697"/>
      <c r="EA74" s="697"/>
      <c r="EB74" s="697"/>
      <c r="EC74" s="697"/>
      <c r="ED74" s="697"/>
      <c r="EE74" s="697"/>
      <c r="EF74" s="697"/>
      <c r="EG74" s="697"/>
      <c r="EH74" s="697"/>
      <c r="EI74" s="697"/>
      <c r="EJ74" s="697"/>
      <c r="EK74" s="697"/>
      <c r="EL74" s="697"/>
      <c r="EM74" s="697"/>
      <c r="EN74" s="697"/>
      <c r="EO74" s="697"/>
      <c r="EP74" s="697"/>
      <c r="EQ74" s="697"/>
      <c r="ER74" s="697"/>
      <c r="ES74" s="697"/>
      <c r="ET74" s="697"/>
      <c r="EU74" s="697"/>
      <c r="EV74" s="697"/>
      <c r="EW74" s="697"/>
      <c r="EX74" s="697"/>
      <c r="EY74" s="697"/>
      <c r="EZ74" s="697"/>
      <c r="FA74" s="697"/>
      <c r="FB74" s="697"/>
      <c r="FC74" s="697"/>
      <c r="FD74" s="697"/>
      <c r="FE74" s="697"/>
      <c r="FF74" s="697"/>
      <c r="FG74" s="697"/>
      <c r="FH74" s="697"/>
      <c r="FI74" s="697"/>
      <c r="FJ74" s="697"/>
      <c r="FK74" s="697"/>
      <c r="FL74" s="697"/>
      <c r="FM74" s="697"/>
      <c r="FN74" s="697"/>
      <c r="FO74" s="697"/>
      <c r="FP74" s="697"/>
      <c r="FQ74" s="697"/>
      <c r="FR74" s="697"/>
      <c r="FS74" s="697"/>
      <c r="FT74" s="697"/>
      <c r="FU74" s="697"/>
      <c r="FV74" s="697"/>
      <c r="FW74" s="697"/>
      <c r="FX74" s="697"/>
      <c r="FY74" s="697"/>
      <c r="FZ74" s="697"/>
      <c r="GA74" s="697"/>
      <c r="GB74" s="697"/>
      <c r="GC74" s="697"/>
      <c r="GD74" s="697"/>
      <c r="GE74" s="697"/>
      <c r="GF74" s="697"/>
      <c r="GG74" s="697"/>
      <c r="GH74" s="697"/>
      <c r="GI74" s="697"/>
      <c r="GJ74" s="697"/>
      <c r="GK74" s="697"/>
      <c r="GL74" s="697"/>
      <c r="GM74" s="697"/>
      <c r="GN74" s="697"/>
      <c r="GO74" s="697"/>
      <c r="GP74" s="697"/>
      <c r="GQ74" s="697"/>
      <c r="GR74" s="697"/>
      <c r="GS74" s="697"/>
      <c r="GT74" s="697"/>
      <c r="GU74" s="697"/>
      <c r="GV74" s="697"/>
      <c r="GW74" s="697"/>
      <c r="GX74" s="697"/>
      <c r="GY74" s="697"/>
      <c r="GZ74" s="697"/>
      <c r="HA74" s="697"/>
      <c r="HB74" s="697"/>
      <c r="HC74" s="697"/>
      <c r="HD74" s="697"/>
      <c r="HE74" s="697"/>
      <c r="HF74" s="697"/>
      <c r="HG74" s="697"/>
      <c r="HH74" s="697"/>
      <c r="HI74" s="697"/>
      <c r="HJ74" s="697"/>
      <c r="HK74" s="697"/>
      <c r="HL74" s="697"/>
      <c r="HM74" s="697"/>
      <c r="HN74" s="697"/>
      <c r="HO74" s="697"/>
      <c r="HP74" s="697"/>
      <c r="HQ74" s="697"/>
      <c r="HR74" s="697"/>
      <c r="HS74" s="697"/>
      <c r="HT74" s="697"/>
      <c r="HU74" s="697"/>
      <c r="HV74" s="697"/>
      <c r="HW74" s="697"/>
      <c r="HX74" s="697"/>
      <c r="HY74" s="697"/>
      <c r="HZ74" s="697"/>
      <c r="IA74" s="697"/>
      <c r="IB74" s="697"/>
      <c r="IC74" s="697"/>
      <c r="ID74" s="697"/>
      <c r="IE74" s="697"/>
      <c r="IF74" s="697"/>
      <c r="IG74" s="697"/>
      <c r="IH74" s="697"/>
      <c r="II74" s="697"/>
      <c r="IJ74" s="697"/>
      <c r="IK74" s="697"/>
      <c r="IL74" s="697"/>
      <c r="IM74" s="697"/>
      <c r="IN74" s="697"/>
      <c r="IO74" s="697"/>
      <c r="IP74" s="697"/>
      <c r="IQ74" s="697"/>
      <c r="IR74" s="697"/>
      <c r="IS74" s="697"/>
      <c r="IT74" s="697"/>
      <c r="IU74" s="697"/>
      <c r="IV74" s="697"/>
      <c r="IW74" s="697"/>
    </row>
    <row r="75" customFormat="false" ht="12.75" hidden="false" customHeight="false" outlineLevel="0" collapsed="false">
      <c r="A75" s="726"/>
      <c r="B75" s="172" t="s">
        <v>907</v>
      </c>
      <c r="C75" s="172"/>
      <c r="D75" s="172"/>
      <c r="E75" s="727" t="n">
        <f aca="false">SUM(E64:E74)</f>
        <v>0</v>
      </c>
      <c r="F75" s="727" t="n">
        <f aca="false">SUM(F64:F74)</f>
        <v>-76345.9860462856</v>
      </c>
      <c r="G75" s="727" t="n">
        <f aca="false">SUM(G64:G74)</f>
        <v>-25575.7718209792</v>
      </c>
      <c r="H75" s="727" t="n">
        <f aca="false">SUM(H64:H74)</f>
        <v>31528.4701512654</v>
      </c>
      <c r="I75" s="727" t="n">
        <f aca="false">SUM(I64:I74)</f>
        <v>1089.2921503414</v>
      </c>
      <c r="J75" s="727" t="n">
        <f aca="false">SUM(J64:J74)</f>
        <v>4565.99273715998</v>
      </c>
      <c r="K75" s="727" t="n">
        <f aca="false">SUM(K64:K74)</f>
        <v>7057.32749043818</v>
      </c>
      <c r="L75" s="727" t="n">
        <f aca="false">SUM(L64:L74)</f>
        <v>-243.713697293776</v>
      </c>
      <c r="M75" s="727" t="n">
        <f aca="false">SUM(M64:M74)</f>
        <v>10716.6238687696</v>
      </c>
      <c r="N75" s="727" t="n">
        <f aca="false">SUM(N64:N74)</f>
        <v>11398.1857973461</v>
      </c>
      <c r="O75" s="727" t="n">
        <f aca="false">SUM(O64:O74)</f>
        <v>10081.6885899079</v>
      </c>
      <c r="P75" s="727" t="n">
        <f aca="false">SUM(P64:P74)</f>
        <v>9475.00710348286</v>
      </c>
      <c r="Q75" s="727" t="n">
        <f aca="false">SUM(Q64:Q74)</f>
        <v>10731.429316319</v>
      </c>
      <c r="R75" s="727" t="n">
        <f aca="false">SUM(R64:R74)</f>
        <v>11473.3167793204</v>
      </c>
      <c r="S75" s="727" t="n">
        <f aca="false">SUM(S64:S74)</f>
        <v>9371.23469924549</v>
      </c>
      <c r="T75" s="727" t="n">
        <f aca="false">SUM(T64:T74)</f>
        <v>8816.85274774213</v>
      </c>
      <c r="U75" s="727" t="n">
        <f aca="false">SUM(U64:U74)</f>
        <v>11923.184353414</v>
      </c>
      <c r="V75" s="727" t="n">
        <f aca="false">SUM(V64:V74)</f>
        <v>4883.6763738909</v>
      </c>
      <c r="W75" s="727" t="n">
        <f aca="false">SUM(W64:W74)</f>
        <v>-860.921350374191</v>
      </c>
      <c r="X75" s="727" t="n">
        <f aca="false">SUM(X64:X74)</f>
        <v>3441.709346107</v>
      </c>
      <c r="Y75" s="727" t="n">
        <f aca="false">SUM(Y64:Y74)</f>
        <v>2690.79715989055</v>
      </c>
      <c r="Z75" s="727" t="n">
        <f aca="false">SUM(Z64:Z74)</f>
        <v>3468.70882005393</v>
      </c>
      <c r="AA75" s="727" t="n">
        <f aca="false">SUM(AA64:AA74)</f>
        <v>3437.89385988621</v>
      </c>
      <c r="AB75" s="728" t="n">
        <f aca="false">SUM(E75:AA75)</f>
        <v>53124.9984296482</v>
      </c>
      <c r="AC75" s="728" t="n">
        <f aca="false">SUM(AC64:AC74)</f>
        <v>-53668.2258219276</v>
      </c>
      <c r="AD75" s="172"/>
      <c r="AE75" s="729"/>
      <c r="AF75" s="729"/>
      <c r="AG75" s="729"/>
      <c r="AH75" s="729"/>
      <c r="AI75" s="729"/>
      <c r="AJ75" s="729"/>
      <c r="AK75" s="729"/>
      <c r="AL75" s="729"/>
      <c r="AM75" s="729"/>
      <c r="AN75" s="729"/>
      <c r="AO75" s="729"/>
      <c r="AP75" s="729"/>
      <c r="AQ75" s="729"/>
      <c r="AR75" s="729"/>
      <c r="AS75" s="729"/>
      <c r="AT75" s="729"/>
      <c r="AU75" s="729"/>
      <c r="AV75" s="729"/>
      <c r="AW75" s="729"/>
      <c r="AX75" s="729"/>
      <c r="AY75" s="729"/>
      <c r="AZ75" s="729"/>
      <c r="BA75" s="729"/>
      <c r="BB75" s="729"/>
      <c r="BC75" s="729"/>
      <c r="BD75" s="729"/>
      <c r="BE75" s="729"/>
      <c r="BF75" s="729"/>
      <c r="BG75" s="729"/>
      <c r="BH75" s="729"/>
      <c r="BI75" s="729"/>
      <c r="BJ75" s="729"/>
      <c r="BK75" s="729"/>
      <c r="BL75" s="729"/>
      <c r="BM75" s="729"/>
      <c r="BN75" s="729"/>
      <c r="BO75" s="729"/>
      <c r="BP75" s="729"/>
      <c r="BQ75" s="729"/>
      <c r="BR75" s="729"/>
      <c r="BS75" s="729"/>
      <c r="BT75" s="729"/>
      <c r="BU75" s="729"/>
      <c r="BV75" s="729"/>
      <c r="BW75" s="729"/>
      <c r="BX75" s="729"/>
      <c r="BY75" s="729"/>
      <c r="BZ75" s="729"/>
      <c r="CA75" s="729"/>
      <c r="CB75" s="729"/>
      <c r="CC75" s="729"/>
      <c r="CD75" s="729"/>
      <c r="CE75" s="729"/>
      <c r="CF75" s="729"/>
      <c r="CG75" s="729"/>
      <c r="CH75" s="729"/>
      <c r="CI75" s="729"/>
      <c r="CJ75" s="729"/>
      <c r="CK75" s="729"/>
      <c r="CL75" s="729"/>
      <c r="CM75" s="729"/>
      <c r="CN75" s="729"/>
      <c r="CO75" s="729"/>
      <c r="CP75" s="729"/>
      <c r="CQ75" s="729"/>
      <c r="CR75" s="729"/>
      <c r="CS75" s="729"/>
      <c r="CT75" s="729"/>
      <c r="CU75" s="729"/>
      <c r="CV75" s="729"/>
      <c r="CW75" s="729"/>
      <c r="CX75" s="729"/>
      <c r="CY75" s="729"/>
      <c r="CZ75" s="729"/>
      <c r="DA75" s="729"/>
      <c r="DB75" s="729"/>
      <c r="DC75" s="729"/>
      <c r="DD75" s="729"/>
      <c r="DE75" s="729"/>
      <c r="DF75" s="72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729"/>
      <c r="GG75" s="729"/>
      <c r="GH75" s="729"/>
      <c r="GI75" s="729"/>
      <c r="GJ75" s="729"/>
      <c r="GK75" s="729"/>
      <c r="GL75" s="729"/>
      <c r="GM75" s="729"/>
      <c r="GN75" s="729"/>
      <c r="GO75" s="729"/>
      <c r="GP75" s="729"/>
      <c r="GQ75" s="729"/>
      <c r="GR75" s="729"/>
      <c r="GS75" s="729"/>
      <c r="GT75" s="729"/>
      <c r="GU75" s="729"/>
      <c r="GV75" s="729"/>
      <c r="GW75" s="729"/>
      <c r="GX75" s="729"/>
      <c r="GY75" s="729"/>
      <c r="GZ75" s="729"/>
      <c r="HA75" s="729"/>
      <c r="HB75" s="729"/>
      <c r="HC75" s="729"/>
      <c r="HD75" s="729"/>
      <c r="HE75" s="729"/>
      <c r="HF75" s="729"/>
      <c r="HG75" s="729"/>
      <c r="HH75" s="729"/>
      <c r="HI75" s="729"/>
      <c r="HJ75" s="729"/>
      <c r="HK75" s="729"/>
      <c r="HL75" s="729"/>
      <c r="HM75" s="729"/>
      <c r="HN75" s="729"/>
      <c r="HO75" s="729"/>
      <c r="HP75" s="729"/>
      <c r="HQ75" s="729"/>
      <c r="HR75" s="729"/>
      <c r="HS75" s="729"/>
      <c r="HT75" s="729"/>
      <c r="HU75" s="729"/>
      <c r="HV75" s="729"/>
      <c r="HW75" s="729"/>
      <c r="HX75" s="729"/>
      <c r="HY75" s="729"/>
      <c r="HZ75" s="729"/>
      <c r="IA75" s="729"/>
      <c r="IB75" s="729"/>
      <c r="IC75" s="729"/>
      <c r="ID75" s="729"/>
      <c r="IE75" s="729"/>
      <c r="IF75" s="729"/>
      <c r="IG75" s="729"/>
      <c r="IH75" s="729"/>
      <c r="II75" s="729"/>
      <c r="IJ75" s="729"/>
      <c r="IK75" s="729"/>
      <c r="IL75" s="729"/>
      <c r="IM75" s="729"/>
      <c r="IN75" s="729"/>
      <c r="IO75" s="729"/>
      <c r="IP75" s="729"/>
      <c r="IQ75" s="729"/>
      <c r="IR75" s="729"/>
      <c r="IS75" s="729"/>
      <c r="IT75" s="729"/>
      <c r="IU75" s="729"/>
      <c r="IV75" s="729"/>
      <c r="IW75" s="729"/>
    </row>
    <row r="76" customFormat="false" ht="12.75" hidden="false" customHeight="false" outlineLevel="0" collapsed="false">
      <c r="A76" s="730"/>
      <c r="B76" s="731"/>
      <c r="C76" s="731"/>
      <c r="D76" s="731"/>
      <c r="E76" s="668" t="n">
        <f aca="false">SUM(E65:E73)</f>
        <v>0</v>
      </c>
      <c r="F76" s="668" t="n">
        <f aca="false">SUM(F65:F73)</f>
        <v>0</v>
      </c>
      <c r="G76" s="668" t="n">
        <f aca="false">SUM(G65:G73)</f>
        <v>0</v>
      </c>
      <c r="H76" s="668" t="n">
        <f aca="false">SUM(H65:H73)</f>
        <v>-24626.2460696678</v>
      </c>
      <c r="I76" s="668" t="n">
        <f aca="false">SUM(I65:I73)</f>
        <v>-7366.68296468879</v>
      </c>
      <c r="J76" s="668" t="n">
        <f aca="false">SUM(J65:J73)</f>
        <v>3504.87235162391</v>
      </c>
      <c r="K76" s="668" t="n">
        <f aca="false">SUM(K65:K73)</f>
        <v>3605.26208382813</v>
      </c>
      <c r="L76" s="668" t="n">
        <f aca="false">SUM(L65:L73)</f>
        <v>3719.12662783746</v>
      </c>
      <c r="M76" s="668" t="n">
        <f aca="false">SUM(M65:M73)</f>
        <v>3848.27464026644</v>
      </c>
      <c r="N76" s="668" t="n">
        <f aca="false">SUM(N65:N73)</f>
        <v>3994.7575446637</v>
      </c>
      <c r="O76" s="668" t="n">
        <f aca="false">SUM(O65:O73)</f>
        <v>4160.90211690368</v>
      </c>
      <c r="P76" s="668" t="n">
        <f aca="false">SUM(P65:P73)</f>
        <v>4349.34744435258</v>
      </c>
      <c r="Q76" s="668" t="n">
        <f aca="false">SUM(Q65:Q73)</f>
        <v>4563.0868458783</v>
      </c>
      <c r="R76" s="668" t="n">
        <f aca="false">SUM(R65:R73)</f>
        <v>4805.51541857381</v>
      </c>
      <c r="S76" s="668" t="n">
        <f aca="false">SUM(S65:S73)</f>
        <v>5080.48396643938</v>
      </c>
      <c r="T76" s="668" t="n">
        <f aca="false">SUM(T65:T73)</f>
        <v>5392.3601676422</v>
      </c>
      <c r="U76" s="668" t="n">
        <f aca="false">SUM(U65:U73)</f>
        <v>0</v>
      </c>
      <c r="V76" s="668" t="n">
        <f aca="false">SUM(V65:V73)</f>
        <v>0</v>
      </c>
      <c r="W76" s="668" t="n">
        <f aca="false">SUM(W65:W73)</f>
        <v>0</v>
      </c>
      <c r="X76" s="668" t="n">
        <f aca="false">SUM(X65:X73)</f>
        <v>0</v>
      </c>
      <c r="Y76" s="668" t="n">
        <f aca="false">SUM(Y65:Y73)</f>
        <v>0</v>
      </c>
      <c r="Z76" s="668" t="n">
        <f aca="false">SUM(Z65:Z73)</f>
        <v>0</v>
      </c>
      <c r="AA76" s="668" t="n">
        <f aca="false">SUM(AA65:AA73)</f>
        <v>0</v>
      </c>
      <c r="AB76" s="669" t="n">
        <f aca="false">SUM(AB65:AB73)</f>
        <v>15031.060173653</v>
      </c>
      <c r="AC76" s="669" t="n">
        <f aca="false">SUM(AC65:AC73)</f>
        <v>-11157.2173519132</v>
      </c>
      <c r="AD76" s="731"/>
      <c r="AE76" s="732"/>
      <c r="AF76" s="732"/>
      <c r="AG76" s="732"/>
      <c r="AH76" s="732"/>
      <c r="AI76" s="732"/>
      <c r="AJ76" s="732"/>
      <c r="AK76" s="732"/>
      <c r="AL76" s="732"/>
      <c r="AM76" s="732"/>
      <c r="AN76" s="732"/>
      <c r="AO76" s="732"/>
      <c r="AP76" s="732"/>
      <c r="AQ76" s="732"/>
      <c r="AR76" s="732"/>
      <c r="AS76" s="732"/>
      <c r="AT76" s="732"/>
      <c r="AU76" s="732"/>
      <c r="AV76" s="732"/>
      <c r="AW76" s="732"/>
      <c r="AX76" s="732"/>
      <c r="AY76" s="732"/>
      <c r="AZ76" s="732"/>
      <c r="BA76" s="732"/>
      <c r="BB76" s="732"/>
      <c r="BC76" s="732"/>
      <c r="BD76" s="732"/>
      <c r="BE76" s="732"/>
      <c r="BF76" s="732"/>
      <c r="BG76" s="732"/>
      <c r="BH76" s="732"/>
      <c r="BI76" s="732"/>
      <c r="BJ76" s="732"/>
      <c r="BK76" s="732"/>
      <c r="BL76" s="732"/>
      <c r="BM76" s="732"/>
      <c r="BN76" s="732"/>
      <c r="BO76" s="732"/>
      <c r="BP76" s="732"/>
      <c r="BQ76" s="732"/>
      <c r="BR76" s="732"/>
      <c r="BS76" s="732"/>
      <c r="BT76" s="732"/>
      <c r="BU76" s="732"/>
      <c r="BV76" s="732"/>
      <c r="BW76" s="732"/>
      <c r="BX76" s="732"/>
      <c r="BY76" s="732"/>
      <c r="BZ76" s="732"/>
      <c r="CA76" s="732"/>
      <c r="CB76" s="732"/>
      <c r="CC76" s="732"/>
      <c r="CD76" s="732"/>
      <c r="CE76" s="732"/>
      <c r="CF76" s="732"/>
      <c r="CG76" s="732"/>
      <c r="CH76" s="732"/>
      <c r="CI76" s="732"/>
      <c r="CJ76" s="732"/>
      <c r="CK76" s="732"/>
      <c r="CL76" s="732"/>
      <c r="CM76" s="732"/>
      <c r="CN76" s="732"/>
      <c r="CO76" s="732"/>
      <c r="CP76" s="732"/>
      <c r="CQ76" s="732"/>
      <c r="CR76" s="732"/>
      <c r="CS76" s="732"/>
      <c r="CT76" s="732"/>
      <c r="CU76" s="732"/>
      <c r="CV76" s="732"/>
      <c r="CW76" s="732"/>
      <c r="CX76" s="732"/>
      <c r="CY76" s="732"/>
      <c r="CZ76" s="732"/>
      <c r="DA76" s="732"/>
      <c r="DB76" s="732"/>
      <c r="DC76" s="732"/>
      <c r="DD76" s="732"/>
      <c r="DE76" s="732"/>
      <c r="DF76" s="732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  <c r="FS76" s="732"/>
      <c r="FT76" s="732"/>
      <c r="FU76" s="732"/>
      <c r="FV76" s="732"/>
      <c r="FW76" s="732"/>
      <c r="FX76" s="732"/>
      <c r="FY76" s="732"/>
      <c r="FZ76" s="732"/>
      <c r="GA76" s="732"/>
      <c r="GB76" s="732"/>
      <c r="GC76" s="732"/>
      <c r="GD76" s="732"/>
      <c r="GE76" s="732"/>
      <c r="GF76" s="732"/>
      <c r="GG76" s="732"/>
      <c r="GH76" s="732"/>
      <c r="GI76" s="732"/>
      <c r="GJ76" s="732"/>
      <c r="GK76" s="732"/>
      <c r="GL76" s="732"/>
      <c r="GM76" s="732"/>
      <c r="GN76" s="732"/>
      <c r="GO76" s="732"/>
      <c r="GP76" s="732"/>
      <c r="GQ76" s="732"/>
      <c r="GR76" s="732"/>
      <c r="GS76" s="732"/>
      <c r="GT76" s="732"/>
      <c r="GU76" s="732"/>
      <c r="GV76" s="732"/>
      <c r="GW76" s="732"/>
      <c r="GX76" s="732"/>
      <c r="GY76" s="732"/>
      <c r="GZ76" s="732"/>
      <c r="HA76" s="732"/>
      <c r="HB76" s="732"/>
      <c r="HC76" s="732"/>
      <c r="HD76" s="732"/>
      <c r="HE76" s="732"/>
      <c r="HF76" s="732"/>
      <c r="HG76" s="732"/>
      <c r="HH76" s="732"/>
      <c r="HI76" s="732"/>
      <c r="HJ76" s="732"/>
      <c r="HK76" s="732"/>
      <c r="HL76" s="732"/>
      <c r="HM76" s="732"/>
      <c r="HN76" s="732"/>
      <c r="HO76" s="732"/>
      <c r="HP76" s="732"/>
      <c r="HQ76" s="732"/>
      <c r="HR76" s="732"/>
      <c r="HS76" s="732"/>
      <c r="HT76" s="732"/>
      <c r="HU76" s="732"/>
      <c r="HV76" s="732"/>
      <c r="HW76" s="732"/>
      <c r="HX76" s="732"/>
      <c r="HY76" s="732"/>
      <c r="HZ76" s="732"/>
      <c r="IA76" s="732"/>
      <c r="IB76" s="732"/>
      <c r="IC76" s="732"/>
      <c r="ID76" s="732"/>
      <c r="IE76" s="732"/>
      <c r="IF76" s="732"/>
      <c r="IG76" s="732"/>
      <c r="IH76" s="732"/>
      <c r="II76" s="732"/>
      <c r="IJ76" s="732"/>
      <c r="IK76" s="732"/>
      <c r="IL76" s="732"/>
      <c r="IM76" s="732"/>
      <c r="IN76" s="732"/>
      <c r="IO76" s="732"/>
      <c r="IP76" s="732"/>
      <c r="IQ76" s="732"/>
      <c r="IR76" s="732"/>
      <c r="IS76" s="732"/>
      <c r="IT76" s="732"/>
      <c r="IU76" s="732"/>
      <c r="IV76" s="732"/>
      <c r="IW76" s="732"/>
    </row>
    <row r="77" customFormat="false" ht="12.75" hidden="false" customHeight="false" outlineLevel="0" collapsed="false">
      <c r="A77" s="37"/>
      <c r="B77" s="38" t="s">
        <v>899</v>
      </c>
      <c r="E77" s="645" t="n">
        <f aca="false">$E75</f>
        <v>0</v>
      </c>
      <c r="F77" s="645" t="n">
        <f aca="false">IF($I$3=0,$F75,$E75+NPV(Disc,$F75:F75))</f>
        <v>-76345.9860462856</v>
      </c>
      <c r="G77" s="217" t="n">
        <f aca="false">IF($I$3=0,$F75+NPV(Disc,$G75:G75),$E75+NPV(Disc,$F75:G75))</f>
        <v>-97838.2312739992</v>
      </c>
      <c r="H77" s="217" t="n">
        <f aca="false">IF($I$3=0,$F75+NPV(Disc,$G75:H75),$E75+NPV(Disc,$F75:H75))</f>
        <v>-75573.934860423</v>
      </c>
      <c r="I77" s="217" t="n">
        <f aca="false">IF($I$3=0,$F75+NPV(Disc,$G75:I75),$E75+NPV(Disc,$F75:I75))</f>
        <v>-74927.5316721532</v>
      </c>
      <c r="J77" s="217" t="n">
        <f aca="false">IF($I$3=0,$F75+NPV(Disc,$G75:J75),$E75+NPV(Disc,$F75:J75))</f>
        <v>-72650.6137749761</v>
      </c>
      <c r="K77" s="217" t="n">
        <f aca="false">IF($I$3=0,$F75+NPV(Disc,$G75:K75),$E75+NPV(Disc,$F75:K75))</f>
        <v>-69693.2451296539</v>
      </c>
      <c r="L77" s="217" t="n">
        <f aca="false">IF($I$3=0,$F75+NPV(Disc,$G75:L75),$E75+NPV(Disc,$F75:L75))</f>
        <v>-69779.0670385096</v>
      </c>
      <c r="M77" s="217" t="n">
        <f aca="false">IF($I$3=0,$F75+NPV(Disc,$G75:M75),$E75+NPV(Disc,$F75:M75))</f>
        <v>-66607.8259603992</v>
      </c>
      <c r="N77" s="217" t="n">
        <f aca="false">IF($I$3=0,$F75+NPV(Disc,$G75:N75),$E75+NPV(Disc,$F75:N75))</f>
        <v>-63773.433129733</v>
      </c>
      <c r="O77" s="217" t="n">
        <f aca="false">IF($I$3=0,$F75+NPV(Disc,$G75:O75),$E75+NPV(Disc,$F75:O75))</f>
        <v>-61666.6946585278</v>
      </c>
      <c r="P77" s="217" t="n">
        <f aca="false">IF($I$3=0,$F75+NPV(Disc,$G75:P75),$E75+NPV(Disc,$F75:P75))</f>
        <v>-60002.8609053834</v>
      </c>
      <c r="Q77" s="217" t="n">
        <f aca="false">IF($I$3=0,$F75+NPV(Disc,$G75:Q75),$E75+NPV(Disc,$F75:Q75))</f>
        <v>-58419.2773103665</v>
      </c>
      <c r="R77" s="217" t="n">
        <f aca="false">IF($I$3=0,$F75+NPV(Disc,$G75:R75),$E75+NPV(Disc,$F75:R75))</f>
        <v>-56996.5376177164</v>
      </c>
      <c r="S77" s="217" t="n">
        <f aca="false">IF($I$3=0,$F75+NPV(Disc,$G75:S75),$E75+NPV(Disc,$F75:S75))</f>
        <v>-56020.0059833294</v>
      </c>
      <c r="T77" s="217" t="n">
        <f aca="false">IF($I$3=0,$F75+NPV(Disc,$G75:T75),$E75+NPV(Disc,$F75:T75))</f>
        <v>-55247.9369601655</v>
      </c>
      <c r="U77" s="217" t="n">
        <f aca="false">IF($I$3=0,$F75+NPV(Disc,$G75:U75),$E75+NPV(Disc,$F75:U75))</f>
        <v>-54370.5567425908</v>
      </c>
      <c r="V77" s="217" t="n">
        <f aca="false">IF($I$3=0,$F75+NPV(Disc,$G75:V75),$E75+NPV(Disc,$F75:V75))</f>
        <v>-54068.5647034556</v>
      </c>
      <c r="W77" s="217" t="n">
        <f aca="false">IF($I$3=0,$F75+NPV(Disc,$G75:W75),$E75+NPV(Disc,$F75:W75))</f>
        <v>-54113.3015259663</v>
      </c>
      <c r="X77" s="217" t="n">
        <f aca="false">IF($I$3=0,$F75+NPV(Disc,$G75:X75),$E75+NPV(Disc,$F75:X75))</f>
        <v>-53963.0119406576</v>
      </c>
      <c r="Y77" s="217" t="n">
        <f aca="false">IF($I$3=0,$F75+NPV(Disc,$G75:Y75),$E75+NPV(Disc,$F75:Y75))</f>
        <v>-53864.2729475549</v>
      </c>
      <c r="Z77" s="217" t="n">
        <f aca="false">IF($I$3=0,$F75+NPV(Disc,$G75:Z75),$E75+NPV(Disc,$F75:Z75))</f>
        <v>-53757.3111687455</v>
      </c>
      <c r="AA77" s="217" t="n">
        <f aca="false">IF($I$3=0,$F75+NPV(Disc,$G75:AA75),$E75+NPV(Disc,$F75:AA75))</f>
        <v>-53668.2258219276</v>
      </c>
      <c r="AB77" s="640"/>
      <c r="AC77" s="574" t="n">
        <f aca="false">AC75</f>
        <v>-53668.2258219276</v>
      </c>
      <c r="AD77" s="668" t="n">
        <f aca="false">NPV(Disc,F76:AA76)+E76</f>
        <v>-9375.81290076742</v>
      </c>
    </row>
    <row r="78" customFormat="false" ht="12.75" hidden="false" customHeight="false" outlineLevel="0" collapsed="false">
      <c r="A78" s="37"/>
      <c r="B78" s="38" t="s">
        <v>900</v>
      </c>
      <c r="E78" s="260" t="e">
        <f aca="false">IRR($E75:E75,-0.9)</f>
        <v>#N/A</v>
      </c>
      <c r="F78" s="260" t="e">
        <f aca="false">IRR($E75:F75,-0.9)</f>
        <v>#N/A</v>
      </c>
      <c r="G78" s="260" t="e">
        <f aca="false">IRR($E75:G75,-0.9)</f>
        <v>#N/A</v>
      </c>
      <c r="H78" s="260" t="n">
        <f aca="false">IRR($E75:H75,-0.9)</f>
        <v>-0.503402572460051</v>
      </c>
      <c r="I78" s="260" t="n">
        <f aca="false">IRR($E75:I75,-0.9)</f>
        <v>-0.482941969558715</v>
      </c>
      <c r="J78" s="260" t="n">
        <f aca="false">IRR($E75:J75,-0.9)</f>
        <v>-0.380252475108175</v>
      </c>
      <c r="K78" s="260" t="n">
        <f aca="false">IRR($E75:K75,-0.9)</f>
        <v>-0.268415762089724</v>
      </c>
      <c r="L78" s="260" t="n">
        <f aca="false">IRR($E75:L75,-0.9)</f>
        <v>-0.272075191115929</v>
      </c>
      <c r="M78" s="260" t="e">
        <f aca="false">IRR($E75:M75,-0.9)</f>
        <v>#N/A</v>
      </c>
      <c r="N78" s="260" t="e">
        <f aca="false">IRR($E75:N75,-0.9)</f>
        <v>#N/A</v>
      </c>
      <c r="O78" s="260" t="e">
        <f aca="false">IRR($E75:O75,-0.9)</f>
        <v>#N/A</v>
      </c>
      <c r="P78" s="260" t="e">
        <f aca="false">IRR($E75:P75,-0.9)</f>
        <v>#N/A</v>
      </c>
      <c r="Q78" s="260" t="e">
        <f aca="false">IRR($E75:Q75,-0.9)</f>
        <v>#N/A</v>
      </c>
      <c r="R78" s="260" t="e">
        <f aca="false">IRR($E75:R75,-0.9)</f>
        <v>#N/A</v>
      </c>
      <c r="S78" s="260" t="e">
        <f aca="false">IRR($E75:S75,-0.9)</f>
        <v>#N/A</v>
      </c>
      <c r="T78" s="260" t="e">
        <f aca="false">IRR($E75:T75,-0.9)</f>
        <v>#N/A</v>
      </c>
      <c r="U78" s="260" t="e">
        <f aca="false">IRR($E75:U75,-0.9)</f>
        <v>#N/A</v>
      </c>
      <c r="V78" s="260" t="e">
        <f aca="false">IRR($E75:V75,-0.9)</f>
        <v>#N/A</v>
      </c>
      <c r="W78" s="260" t="n">
        <f aca="false">IRR($E75:W75,-0.9)</f>
        <v>-0.869764558285351</v>
      </c>
      <c r="X78" s="260" t="e">
        <f aca="false">IRR($E75:X75,-0.9)</f>
        <v>#N/A</v>
      </c>
      <c r="Y78" s="260" t="e">
        <f aca="false">IRR($E75:Y75,-0.9)</f>
        <v>#N/A</v>
      </c>
      <c r="Z78" s="260" t="e">
        <f aca="false">IRR($E75:Z75,-0.9)</f>
        <v>#N/A</v>
      </c>
      <c r="AA78" s="260" t="e">
        <f aca="false">IRR($E75:AA75,-0.9)</f>
        <v>#N/A</v>
      </c>
      <c r="AB78" s="638"/>
      <c r="AC78" s="646" t="e">
        <f aca="false">IRR(E75:AA75,-0.9)</f>
        <v>#N/A</v>
      </c>
      <c r="AD78" s="670" t="str">
        <f aca="false">IF(ISERROR(IRR(E76:AA76,-0.9)),"Infinite",IRR(E76:AA76,-0.9))</f>
        <v>Infinite</v>
      </c>
    </row>
    <row r="79" customFormat="false" ht="12.75" hidden="false" customHeight="true" outlineLevel="0" collapsed="false">
      <c r="A79" s="37"/>
      <c r="C79" s="671" t="s">
        <v>908</v>
      </c>
      <c r="D79" s="671" t="s">
        <v>909</v>
      </c>
      <c r="E79" s="637"/>
      <c r="F79" s="637"/>
      <c r="G79" s="637"/>
      <c r="H79" s="637"/>
      <c r="I79" s="637"/>
      <c r="J79" s="637"/>
      <c r="K79" s="637"/>
      <c r="L79" s="637"/>
      <c r="M79" s="637"/>
      <c r="N79" s="637"/>
      <c r="O79" s="637"/>
      <c r="P79" s="637"/>
      <c r="Q79" s="637"/>
      <c r="R79" s="637"/>
      <c r="S79" s="637"/>
      <c r="T79" s="637"/>
      <c r="U79" s="637"/>
      <c r="V79" s="637"/>
      <c r="W79" s="637"/>
      <c r="X79" s="637"/>
      <c r="Y79" s="637"/>
      <c r="Z79" s="637"/>
      <c r="AA79" s="637"/>
      <c r="AB79" s="638"/>
      <c r="AC79" s="555"/>
    </row>
    <row r="80" customFormat="false" ht="12.75" hidden="false" customHeight="false" outlineLevel="0" collapsed="false">
      <c r="A80" s="37"/>
      <c r="B80" s="647" t="str">
        <f aca="false">CONCATENATE("Enron NPV (w/ Subdebt) @ ",TEXT(Disc,"0.0%"))</f>
        <v>Enron NPV (w/ Subdebt) @ 19.0%</v>
      </c>
      <c r="C80" s="672" t="n">
        <f aca="false">AC77</f>
        <v>-53668.2258219276</v>
      </c>
      <c r="D80" s="648" t="n">
        <f aca="false">AD77</f>
        <v>-9375.81290076742</v>
      </c>
      <c r="F80" s="649"/>
      <c r="G80" s="649"/>
      <c r="H80" s="649"/>
      <c r="I80" s="649"/>
      <c r="J80" s="649"/>
      <c r="K80" s="649"/>
      <c r="L80" s="649"/>
      <c r="M80" s="649"/>
      <c r="N80" s="649"/>
      <c r="O80" s="649"/>
      <c r="P80" s="649"/>
      <c r="Q80" s="649"/>
      <c r="R80" s="649"/>
      <c r="S80" s="649"/>
      <c r="T80" s="649"/>
      <c r="U80" s="649"/>
      <c r="V80" s="649"/>
      <c r="W80" s="649"/>
      <c r="X80" s="649"/>
      <c r="Y80" s="649"/>
      <c r="Z80" s="649"/>
      <c r="AA80" s="649"/>
      <c r="AB80" s="638"/>
      <c r="AC80" s="555"/>
    </row>
    <row r="81" customFormat="false" ht="13.5" hidden="false" customHeight="false" outlineLevel="0" collapsed="false">
      <c r="A81" s="70"/>
      <c r="B81" s="652" t="s">
        <v>934</v>
      </c>
      <c r="C81" s="673" t="e">
        <f aca="false">AC78</f>
        <v>#N/A</v>
      </c>
      <c r="D81" s="674" t="str">
        <f aca="false">AD78</f>
        <v>Infinite</v>
      </c>
      <c r="E81" s="71"/>
      <c r="F81" s="654"/>
      <c r="G81" s="654"/>
      <c r="H81" s="654"/>
      <c r="I81" s="654"/>
      <c r="J81" s="654"/>
      <c r="K81" s="654"/>
      <c r="L81" s="654"/>
      <c r="M81" s="654"/>
      <c r="N81" s="654"/>
      <c r="O81" s="654"/>
      <c r="P81" s="654"/>
      <c r="Q81" s="654"/>
      <c r="R81" s="654"/>
      <c r="S81" s="654"/>
      <c r="T81" s="654"/>
      <c r="U81" s="654"/>
      <c r="V81" s="654"/>
      <c r="W81" s="654"/>
      <c r="X81" s="654"/>
      <c r="Y81" s="654"/>
      <c r="Z81" s="654"/>
      <c r="AA81" s="654"/>
      <c r="AB81" s="655"/>
      <c r="AC81" s="611"/>
    </row>
    <row r="83" customFormat="false" ht="12.75" hidden="false" customHeight="false" outlineLevel="0" collapsed="false">
      <c r="F83" s="217" t="n">
        <f aca="false">F75-RAROC!C33</f>
        <v>0</v>
      </c>
      <c r="G83" s="217" t="n">
        <f aca="false">G75-RAROC!D33</f>
        <v>0</v>
      </c>
      <c r="H83" s="217" t="n">
        <f aca="false">H75-RAROC!E33</f>
        <v>0</v>
      </c>
      <c r="I83" s="217" t="n">
        <f aca="false">I75-RAROC!F33</f>
        <v>0</v>
      </c>
      <c r="J83" s="217" t="n">
        <f aca="false">J75-RAROC!G33</f>
        <v>0</v>
      </c>
      <c r="K83" s="217" t="n">
        <f aca="false">K75-RAROC!H33</f>
        <v>0</v>
      </c>
      <c r="L83" s="217" t="n">
        <f aca="false">L75-RAROC!I33</f>
        <v>1.13686837721616E-012</v>
      </c>
      <c r="M83" s="217" t="n">
        <f aca="false">M75-RAROC!J33</f>
        <v>0</v>
      </c>
      <c r="N83" s="217" t="n">
        <f aca="false">N75-RAROC!K33</f>
        <v>0</v>
      </c>
      <c r="O83" s="217" t="n">
        <f aca="false">O75-RAROC!L33</f>
        <v>0</v>
      </c>
      <c r="P83" s="217" t="n">
        <f aca="false">P75-RAROC!M33</f>
        <v>0</v>
      </c>
      <c r="Q83" s="217" t="n">
        <f aca="false">Q75-RAROC!N33</f>
        <v>0</v>
      </c>
      <c r="R83" s="217" t="n">
        <f aca="false">R75-RAROC!O33</f>
        <v>0</v>
      </c>
      <c r="S83" s="217" t="n">
        <f aca="false">S75-RAROC!P33</f>
        <v>0</v>
      </c>
      <c r="T83" s="217" t="n">
        <f aca="false">T75-RAROC!Q33</f>
        <v>0</v>
      </c>
      <c r="U83" s="217" t="n">
        <f aca="false">U75-RAROC!R33</f>
        <v>0</v>
      </c>
      <c r="V83" s="217" t="n">
        <f aca="false">V75-RAROC!S33</f>
        <v>0</v>
      </c>
      <c r="W83" s="217" t="n">
        <f aca="false">W75-RAROC!T33</f>
        <v>0</v>
      </c>
      <c r="X83" s="217" t="n">
        <f aca="false">X75-RAROC!U33</f>
        <v>0</v>
      </c>
      <c r="Y83" s="217" t="n">
        <f aca="false">Y75-RAROC!V33</f>
        <v>0</v>
      </c>
      <c r="Z83" s="217" t="n">
        <f aca="false">Z75-RAROC!W33</f>
        <v>0</v>
      </c>
      <c r="AA83" s="217" t="n">
        <f aca="false">AA75-RAROC!X33</f>
        <v>0</v>
      </c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7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8" width="8.7"/>
    <col collapsed="false" customWidth="true" hidden="false" outlineLevel="0" max="2" min="2" style="38" width="35.7"/>
    <col collapsed="false" customWidth="true" hidden="false" outlineLevel="0" max="27" min="3" style="38" width="9.7"/>
    <col collapsed="false" customWidth="true" hidden="false" outlineLevel="0" max="29" min="28" style="38" width="10.71"/>
    <col collapsed="false" customWidth="false" hidden="false" outlineLevel="0" max="30" min="30" style="38" width="9.14"/>
    <col collapsed="false" customWidth="false" hidden="false" outlineLevel="0" max="257" min="31" style="1" width="9.14"/>
  </cols>
  <sheetData>
    <row r="1" customFormat="false" ht="15.75" hidden="false" customHeight="false" outlineLevel="0" collapsed="false">
      <c r="A1" s="18" t="str">
        <f aca="false">CONCATENATE(TOC!B2," ",TOC!B6)</f>
        <v>EMPRESSA PRODUTORA DE ENERGÍA LTDA (EPE) *** DRAFT COPY ***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  <c r="HO1" s="388"/>
      <c r="HP1" s="388"/>
      <c r="HQ1" s="388"/>
      <c r="HR1" s="388"/>
      <c r="HS1" s="388"/>
      <c r="HT1" s="388"/>
      <c r="HU1" s="388"/>
      <c r="HV1" s="388"/>
      <c r="HW1" s="388"/>
      <c r="HX1" s="388"/>
      <c r="HY1" s="388"/>
      <c r="HZ1" s="388"/>
      <c r="IA1" s="388"/>
      <c r="IB1" s="388"/>
      <c r="IC1" s="388"/>
      <c r="ID1" s="388"/>
      <c r="IE1" s="388"/>
      <c r="IF1" s="388"/>
      <c r="IG1" s="388"/>
      <c r="IH1" s="388"/>
      <c r="II1" s="388"/>
      <c r="IJ1" s="388"/>
      <c r="IK1" s="388"/>
      <c r="IL1" s="388"/>
      <c r="IM1" s="388"/>
      <c r="IN1" s="388"/>
      <c r="IO1" s="388"/>
      <c r="IP1" s="388"/>
      <c r="IQ1" s="388"/>
      <c r="IR1" s="388"/>
      <c r="IS1" s="388"/>
      <c r="IT1" s="388"/>
      <c r="IU1" s="388"/>
      <c r="IV1" s="388"/>
      <c r="IW1" s="388"/>
    </row>
    <row r="2" customFormat="false" ht="15.75" hidden="false" customHeight="false" outlineLevel="0" collapsed="false">
      <c r="A2" s="18" t="str">
        <f aca="false">TOC!B3</f>
        <v>480 MW POWER PLANT (CUIABA, BRAZIL)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388"/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88"/>
      <c r="BH2" s="388"/>
      <c r="BI2" s="388"/>
      <c r="BJ2" s="388"/>
      <c r="BK2" s="388"/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/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88"/>
      <c r="CR2" s="388"/>
      <c r="CS2" s="388"/>
      <c r="CT2" s="388"/>
      <c r="CU2" s="388"/>
      <c r="CV2" s="388"/>
      <c r="CW2" s="388"/>
      <c r="CX2" s="388"/>
      <c r="CY2" s="388"/>
      <c r="CZ2" s="388"/>
      <c r="DA2" s="388"/>
      <c r="DB2" s="388"/>
      <c r="DC2" s="388"/>
      <c r="DD2" s="388"/>
      <c r="DE2" s="388"/>
      <c r="DF2" s="388"/>
      <c r="DG2" s="388"/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/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/>
      <c r="GN2" s="388"/>
      <c r="GO2" s="388"/>
      <c r="GP2" s="388"/>
      <c r="GQ2" s="388"/>
      <c r="GR2" s="388"/>
      <c r="GS2" s="388"/>
      <c r="GT2" s="388"/>
      <c r="GU2" s="388"/>
      <c r="GV2" s="388"/>
      <c r="GW2" s="388"/>
      <c r="GX2" s="388"/>
      <c r="GY2" s="388"/>
      <c r="GZ2" s="388"/>
      <c r="HA2" s="388"/>
      <c r="HB2" s="388"/>
      <c r="HC2" s="388"/>
      <c r="HD2" s="388"/>
      <c r="HE2" s="388"/>
      <c r="HF2" s="388"/>
      <c r="HG2" s="388"/>
      <c r="HH2" s="388"/>
      <c r="HI2" s="388"/>
      <c r="HJ2" s="388"/>
      <c r="HK2" s="388"/>
      <c r="HL2" s="388"/>
      <c r="HM2" s="388"/>
      <c r="HN2" s="388"/>
      <c r="HO2" s="388"/>
      <c r="HP2" s="388"/>
      <c r="HQ2" s="388"/>
      <c r="HR2" s="388"/>
      <c r="HS2" s="388"/>
      <c r="HT2" s="388"/>
      <c r="HU2" s="388"/>
      <c r="HV2" s="388"/>
      <c r="HW2" s="388"/>
      <c r="HX2" s="388"/>
      <c r="HY2" s="388"/>
      <c r="HZ2" s="388"/>
      <c r="IA2" s="388"/>
      <c r="IB2" s="388"/>
      <c r="IC2" s="388"/>
      <c r="ID2" s="388"/>
      <c r="IE2" s="388"/>
      <c r="IF2" s="388"/>
      <c r="IG2" s="388"/>
      <c r="IH2" s="388"/>
      <c r="II2" s="388"/>
      <c r="IJ2" s="388"/>
      <c r="IK2" s="388"/>
      <c r="IL2" s="388"/>
      <c r="IM2" s="388"/>
      <c r="IN2" s="388"/>
      <c r="IO2" s="388"/>
      <c r="IP2" s="388"/>
      <c r="IQ2" s="388"/>
      <c r="IR2" s="388"/>
      <c r="IS2" s="388"/>
      <c r="IT2" s="388"/>
      <c r="IU2" s="388"/>
      <c r="IV2" s="388"/>
      <c r="IW2" s="388"/>
    </row>
    <row r="3" customFormat="false" ht="15" hidden="false" customHeight="false" outlineLevel="0" collapsed="false">
      <c r="A3" s="19" t="str">
        <f aca="false">TOC!B4</f>
        <v>ENRON INTERNATIONAL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388"/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388"/>
      <c r="CF3" s="388"/>
      <c r="CG3" s="388"/>
      <c r="CH3" s="388"/>
      <c r="CI3" s="388"/>
      <c r="CJ3" s="388"/>
      <c r="CK3" s="388"/>
      <c r="CL3" s="388"/>
      <c r="CM3" s="388"/>
      <c r="CN3" s="388"/>
      <c r="CO3" s="388"/>
      <c r="CP3" s="388"/>
      <c r="CQ3" s="388"/>
      <c r="CR3" s="388"/>
      <c r="CS3" s="388"/>
      <c r="CT3" s="388"/>
      <c r="CU3" s="388"/>
      <c r="CV3" s="388"/>
      <c r="CW3" s="388"/>
      <c r="CX3" s="388"/>
      <c r="CY3" s="388"/>
      <c r="CZ3" s="388"/>
      <c r="DA3" s="388"/>
      <c r="DB3" s="388"/>
      <c r="DC3" s="388"/>
      <c r="DD3" s="388"/>
      <c r="DE3" s="388"/>
      <c r="DF3" s="388"/>
      <c r="DG3" s="388"/>
      <c r="DH3" s="388"/>
      <c r="DI3" s="388"/>
      <c r="DJ3" s="388"/>
      <c r="DK3" s="388"/>
      <c r="DL3" s="388"/>
      <c r="DM3" s="388"/>
      <c r="DN3" s="388"/>
      <c r="DO3" s="388"/>
      <c r="DP3" s="388"/>
      <c r="DQ3" s="388"/>
      <c r="DR3" s="388"/>
      <c r="DS3" s="388"/>
      <c r="DT3" s="388"/>
      <c r="DU3" s="388"/>
      <c r="DV3" s="388"/>
      <c r="DW3" s="388"/>
      <c r="DX3" s="388"/>
      <c r="DY3" s="388"/>
      <c r="DZ3" s="388"/>
      <c r="EA3" s="388"/>
      <c r="EB3" s="388"/>
      <c r="EC3" s="388"/>
      <c r="ED3" s="388"/>
      <c r="EE3" s="388"/>
      <c r="EF3" s="388"/>
      <c r="EG3" s="388"/>
      <c r="EH3" s="388"/>
      <c r="EI3" s="388"/>
      <c r="EJ3" s="388"/>
      <c r="EK3" s="388"/>
      <c r="EL3" s="388"/>
      <c r="EM3" s="388"/>
      <c r="EN3" s="388"/>
      <c r="EO3" s="388"/>
      <c r="EP3" s="388"/>
      <c r="EQ3" s="388"/>
      <c r="ER3" s="388"/>
      <c r="ES3" s="388"/>
      <c r="ET3" s="388"/>
      <c r="EU3" s="388"/>
      <c r="EV3" s="388"/>
      <c r="EW3" s="388"/>
      <c r="EX3" s="388"/>
      <c r="EY3" s="388"/>
      <c r="EZ3" s="388"/>
      <c r="FA3" s="388"/>
      <c r="FB3" s="388"/>
      <c r="FC3" s="388"/>
      <c r="FD3" s="388"/>
      <c r="FE3" s="388"/>
      <c r="FF3" s="388"/>
      <c r="FG3" s="388"/>
      <c r="FH3" s="388"/>
      <c r="FI3" s="388"/>
      <c r="FJ3" s="388"/>
      <c r="FK3" s="388"/>
      <c r="FL3" s="388"/>
      <c r="FM3" s="388"/>
      <c r="FN3" s="388"/>
      <c r="FO3" s="388"/>
      <c r="FP3" s="388"/>
      <c r="FQ3" s="388"/>
      <c r="FR3" s="388"/>
      <c r="FS3" s="388"/>
      <c r="FT3" s="388"/>
      <c r="FU3" s="388"/>
      <c r="FV3" s="388"/>
      <c r="FW3" s="388"/>
      <c r="FX3" s="388"/>
      <c r="FY3" s="388"/>
      <c r="FZ3" s="388"/>
      <c r="GA3" s="388"/>
      <c r="GB3" s="388"/>
      <c r="GC3" s="388"/>
      <c r="GD3" s="388"/>
      <c r="GE3" s="388"/>
      <c r="GF3" s="388"/>
      <c r="GG3" s="388"/>
      <c r="GH3" s="388"/>
      <c r="GI3" s="388"/>
      <c r="GJ3" s="388"/>
      <c r="GK3" s="388"/>
      <c r="GL3" s="388"/>
      <c r="GM3" s="388"/>
      <c r="GN3" s="388"/>
      <c r="GO3" s="388"/>
      <c r="GP3" s="388"/>
      <c r="GQ3" s="388"/>
      <c r="GR3" s="388"/>
      <c r="GS3" s="388"/>
      <c r="GT3" s="388"/>
      <c r="GU3" s="388"/>
      <c r="GV3" s="388"/>
      <c r="GW3" s="388"/>
      <c r="GX3" s="388"/>
      <c r="GY3" s="388"/>
      <c r="GZ3" s="388"/>
      <c r="HA3" s="388"/>
      <c r="HB3" s="388"/>
      <c r="HC3" s="388"/>
      <c r="HD3" s="388"/>
      <c r="HE3" s="388"/>
      <c r="HF3" s="388"/>
      <c r="HG3" s="388"/>
      <c r="HH3" s="388"/>
      <c r="HI3" s="388"/>
      <c r="HJ3" s="388"/>
      <c r="HK3" s="388"/>
      <c r="HL3" s="388"/>
      <c r="HM3" s="388"/>
      <c r="HN3" s="388"/>
      <c r="HO3" s="388"/>
      <c r="HP3" s="388"/>
      <c r="HQ3" s="388"/>
      <c r="HR3" s="388"/>
      <c r="HS3" s="388"/>
      <c r="HT3" s="388"/>
      <c r="HU3" s="388"/>
      <c r="HV3" s="388"/>
      <c r="HW3" s="388"/>
      <c r="HX3" s="388"/>
      <c r="HY3" s="388"/>
      <c r="HZ3" s="388"/>
      <c r="IA3" s="388"/>
      <c r="IB3" s="388"/>
      <c r="IC3" s="388"/>
      <c r="ID3" s="388"/>
      <c r="IE3" s="388"/>
      <c r="IF3" s="388"/>
      <c r="IG3" s="388"/>
      <c r="IH3" s="388"/>
      <c r="II3" s="388"/>
      <c r="IJ3" s="388"/>
      <c r="IK3" s="388"/>
      <c r="IL3" s="388"/>
      <c r="IM3" s="388"/>
      <c r="IN3" s="388"/>
      <c r="IO3" s="388"/>
      <c r="IP3" s="388"/>
      <c r="IQ3" s="388"/>
      <c r="IR3" s="388"/>
      <c r="IS3" s="388"/>
      <c r="IT3" s="388"/>
      <c r="IU3" s="388"/>
      <c r="IV3" s="388"/>
      <c r="IW3" s="388"/>
    </row>
    <row r="4" customFormat="false" ht="15" hidden="false" customHeight="false" outlineLevel="0" collapsed="false">
      <c r="A4" s="21" t="s">
        <v>935</v>
      </c>
      <c r="B4" s="632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8"/>
      <c r="CF4" s="388"/>
      <c r="CG4" s="388"/>
      <c r="CH4" s="388"/>
      <c r="CI4" s="388"/>
      <c r="CJ4" s="388"/>
      <c r="CK4" s="388"/>
      <c r="CL4" s="388"/>
      <c r="CM4" s="388"/>
      <c r="CN4" s="388"/>
      <c r="CO4" s="388"/>
      <c r="CP4" s="388"/>
      <c r="CQ4" s="388"/>
      <c r="CR4" s="388"/>
      <c r="CS4" s="388"/>
      <c r="CT4" s="388"/>
      <c r="CU4" s="388"/>
      <c r="CV4" s="388"/>
      <c r="CW4" s="388"/>
      <c r="CX4" s="388"/>
      <c r="CY4" s="388"/>
      <c r="CZ4" s="388"/>
      <c r="DA4" s="388"/>
      <c r="DB4" s="388"/>
      <c r="DC4" s="388"/>
      <c r="DD4" s="388"/>
      <c r="DE4" s="388"/>
      <c r="DF4" s="388"/>
      <c r="DG4" s="388"/>
      <c r="DH4" s="388"/>
      <c r="DI4" s="388"/>
      <c r="DJ4" s="388"/>
      <c r="DK4" s="388"/>
      <c r="DL4" s="388"/>
      <c r="DM4" s="388"/>
      <c r="DN4" s="388"/>
      <c r="DO4" s="388"/>
      <c r="DP4" s="388"/>
      <c r="DQ4" s="388"/>
      <c r="DR4" s="388"/>
      <c r="DS4" s="388"/>
      <c r="DT4" s="388"/>
      <c r="DU4" s="388"/>
      <c r="DV4" s="388"/>
      <c r="DW4" s="388"/>
      <c r="DX4" s="388"/>
      <c r="DY4" s="388"/>
      <c r="DZ4" s="388"/>
      <c r="EA4" s="388"/>
      <c r="EB4" s="388"/>
      <c r="EC4" s="388"/>
      <c r="ED4" s="388"/>
      <c r="EE4" s="388"/>
      <c r="EF4" s="388"/>
      <c r="EG4" s="388"/>
      <c r="EH4" s="388"/>
      <c r="EI4" s="388"/>
      <c r="EJ4" s="388"/>
      <c r="EK4" s="388"/>
      <c r="EL4" s="388"/>
      <c r="EM4" s="388"/>
      <c r="EN4" s="388"/>
      <c r="EO4" s="388"/>
      <c r="EP4" s="388"/>
      <c r="EQ4" s="388"/>
      <c r="ER4" s="388"/>
      <c r="ES4" s="388"/>
      <c r="ET4" s="388"/>
      <c r="EU4" s="388"/>
      <c r="EV4" s="388"/>
      <c r="EW4" s="388"/>
      <c r="EX4" s="388"/>
      <c r="EY4" s="388"/>
      <c r="EZ4" s="388"/>
      <c r="FA4" s="388"/>
      <c r="FB4" s="388"/>
      <c r="FC4" s="388"/>
      <c r="FD4" s="388"/>
      <c r="FE4" s="388"/>
      <c r="FF4" s="388"/>
      <c r="FG4" s="388"/>
      <c r="FH4" s="388"/>
      <c r="FI4" s="388"/>
      <c r="FJ4" s="388"/>
      <c r="FK4" s="388"/>
      <c r="FL4" s="388"/>
      <c r="FM4" s="388"/>
      <c r="FN4" s="388"/>
      <c r="FO4" s="388"/>
      <c r="FP4" s="388"/>
      <c r="FQ4" s="388"/>
      <c r="FR4" s="388"/>
      <c r="FS4" s="388"/>
      <c r="FT4" s="388"/>
      <c r="FU4" s="388"/>
      <c r="FV4" s="388"/>
      <c r="FW4" s="388"/>
      <c r="FX4" s="388"/>
      <c r="FY4" s="388"/>
      <c r="FZ4" s="388"/>
      <c r="GA4" s="388"/>
      <c r="GB4" s="388"/>
      <c r="GC4" s="388"/>
      <c r="GD4" s="388"/>
      <c r="GE4" s="388"/>
      <c r="GF4" s="388"/>
      <c r="GG4" s="388"/>
      <c r="GH4" s="388"/>
      <c r="GI4" s="388"/>
      <c r="GJ4" s="388"/>
      <c r="GK4" s="388"/>
      <c r="GL4" s="388"/>
      <c r="GM4" s="388"/>
      <c r="GN4" s="388"/>
      <c r="GO4" s="388"/>
      <c r="GP4" s="388"/>
      <c r="GQ4" s="388"/>
      <c r="GR4" s="388"/>
      <c r="GS4" s="388"/>
      <c r="GT4" s="388"/>
      <c r="GU4" s="388"/>
      <c r="GV4" s="388"/>
      <c r="GW4" s="388"/>
      <c r="GX4" s="388"/>
      <c r="GY4" s="388"/>
      <c r="GZ4" s="388"/>
      <c r="HA4" s="388"/>
      <c r="HB4" s="388"/>
      <c r="HC4" s="388"/>
      <c r="HD4" s="388"/>
      <c r="HE4" s="388"/>
      <c r="HF4" s="388"/>
      <c r="HG4" s="388"/>
      <c r="HH4" s="388"/>
      <c r="HI4" s="388"/>
      <c r="HJ4" s="388"/>
      <c r="HK4" s="388"/>
      <c r="HL4" s="388"/>
      <c r="HM4" s="388"/>
      <c r="HN4" s="388"/>
      <c r="HO4" s="388"/>
      <c r="HP4" s="388"/>
      <c r="HQ4" s="388"/>
      <c r="HR4" s="388"/>
      <c r="HS4" s="388"/>
      <c r="HT4" s="388"/>
      <c r="HU4" s="388"/>
      <c r="HV4" s="388"/>
      <c r="HW4" s="388"/>
      <c r="HX4" s="388"/>
      <c r="HY4" s="388"/>
      <c r="HZ4" s="388"/>
      <c r="IA4" s="388"/>
      <c r="IB4" s="388"/>
      <c r="IC4" s="388"/>
      <c r="ID4" s="388"/>
      <c r="IE4" s="388"/>
      <c r="IF4" s="388"/>
      <c r="IG4" s="388"/>
      <c r="IH4" s="388"/>
      <c r="II4" s="388"/>
      <c r="IJ4" s="388"/>
      <c r="IK4" s="388"/>
      <c r="IL4" s="388"/>
      <c r="IM4" s="388"/>
      <c r="IN4" s="388"/>
      <c r="IO4" s="388"/>
      <c r="IP4" s="388"/>
      <c r="IQ4" s="388"/>
      <c r="IR4" s="388"/>
      <c r="IS4" s="388"/>
      <c r="IT4" s="388"/>
      <c r="IU4" s="388"/>
      <c r="IV4" s="388"/>
      <c r="IW4" s="388"/>
    </row>
    <row r="5" customFormat="false" ht="13.5" hidden="false" customHeight="false" outlineLevel="0" collapsed="false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  <c r="Z5" s="388"/>
      <c r="AA5" s="388"/>
      <c r="AB5" s="388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523" t="s">
        <v>878</v>
      </c>
      <c r="B6" s="28"/>
      <c r="C6" s="28"/>
      <c r="D6" s="28"/>
      <c r="E6" s="28" t="n">
        <f aca="false">IF(E$7&lt;YEAR(Startops1),0,D6+1)</f>
        <v>0</v>
      </c>
      <c r="F6" s="28" t="n">
        <f aca="false">IF(F$7&lt;YEAR(Startops1),0,E6+1)</f>
        <v>0</v>
      </c>
      <c r="G6" s="28" t="n">
        <f aca="false">IF(G$7&lt;YEAR(Startops1),0,F6+1)</f>
        <v>1</v>
      </c>
      <c r="H6" s="28" t="n">
        <f aca="false">IF(H$7&lt;YEAR(Startops1),0,G6+1)</f>
        <v>2</v>
      </c>
      <c r="I6" s="28" t="n">
        <f aca="false">IF(I$7&lt;YEAR(Startops1),0,H6+1)</f>
        <v>3</v>
      </c>
      <c r="J6" s="28" t="n">
        <f aca="false">IF(J$7&lt;YEAR(Startops1),0,I6+1)</f>
        <v>4</v>
      </c>
      <c r="K6" s="28" t="n">
        <f aca="false">IF(K$7&lt;YEAR(Startops1),0,J6+1)</f>
        <v>5</v>
      </c>
      <c r="L6" s="28" t="n">
        <f aca="false">IF(L$7&lt;YEAR(Startops1),0,K6+1)</f>
        <v>6</v>
      </c>
      <c r="M6" s="28" t="n">
        <f aca="false">IF(M$7&lt;YEAR(Startops1),0,L6+1)</f>
        <v>7</v>
      </c>
      <c r="N6" s="28" t="n">
        <f aca="false">IF(N$7&lt;YEAR(Startops1),0,M6+1)</f>
        <v>8</v>
      </c>
      <c r="O6" s="28" t="n">
        <f aca="false">IF(O$7&lt;YEAR(Startops1),0,N6+1)</f>
        <v>9</v>
      </c>
      <c r="P6" s="28" t="n">
        <f aca="false">IF(P$7&lt;YEAR(Startops1),0,O6+1)</f>
        <v>10</v>
      </c>
      <c r="Q6" s="28" t="n">
        <f aca="false">IF(Q$7&lt;YEAR(Startops1),0,P6+1)</f>
        <v>11</v>
      </c>
      <c r="R6" s="28" t="n">
        <f aca="false">IF(R$7&lt;YEAR(Startops1),0,Q6+1)</f>
        <v>12</v>
      </c>
      <c r="S6" s="28" t="n">
        <f aca="false">IF(S$7&lt;YEAR(Startops1),0,R6+1)</f>
        <v>13</v>
      </c>
      <c r="T6" s="28" t="n">
        <f aca="false">IF(T$7&lt;YEAR(Startops1),0,S6+1)</f>
        <v>14</v>
      </c>
      <c r="U6" s="28" t="n">
        <f aca="false">IF(U$7&lt;YEAR(Startops1),0,T6+1)</f>
        <v>15</v>
      </c>
      <c r="V6" s="28" t="n">
        <f aca="false">IF(V$7&lt;YEAR(Startops1),0,U6+1)</f>
        <v>16</v>
      </c>
      <c r="W6" s="28" t="n">
        <f aca="false">IF(W$7&lt;YEAR(Startops1),0,V6+1)</f>
        <v>17</v>
      </c>
      <c r="X6" s="28" t="n">
        <f aca="false">IF(X$7&lt;YEAR(Startops1),0,W6+1)</f>
        <v>18</v>
      </c>
      <c r="Y6" s="28" t="n">
        <f aca="false">IF(Y$7&lt;YEAR(Startops1),0,X6+1)</f>
        <v>19</v>
      </c>
      <c r="Z6" s="28" t="n">
        <f aca="false">IF(Z$7&lt;YEAR(Startops1),0,Y6+1)</f>
        <v>20</v>
      </c>
      <c r="AA6" s="28" t="n">
        <f aca="false">IF(AA$7&lt;YEAR(Startops1),0,Z6+1)</f>
        <v>21</v>
      </c>
      <c r="AB6" s="539"/>
      <c r="AC6" s="633" t="s">
        <v>310</v>
      </c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</row>
    <row r="7" customFormat="false" ht="13.5" hidden="false" customHeight="false" outlineLevel="0" collapsed="false">
      <c r="A7" s="634" t="s">
        <v>765</v>
      </c>
      <c r="B7" s="71"/>
      <c r="C7" s="71"/>
      <c r="D7" s="71"/>
      <c r="E7" s="372" t="n">
        <f aca="false">'Project &amp; Investor Returns'!E7</f>
        <v>1997</v>
      </c>
      <c r="F7" s="372" t="n">
        <f aca="false">'Project &amp; Investor Returns'!F7</f>
        <v>1998</v>
      </c>
      <c r="G7" s="372" t="n">
        <f aca="false">'Project &amp; Investor Returns'!G7</f>
        <v>1999</v>
      </c>
      <c r="H7" s="372" t="n">
        <f aca="false">'Project &amp; Investor Returns'!H7</f>
        <v>2000</v>
      </c>
      <c r="I7" s="372" t="n">
        <f aca="false">'Project &amp; Investor Returns'!I7</f>
        <v>2001</v>
      </c>
      <c r="J7" s="372" t="n">
        <f aca="false">'Project &amp; Investor Returns'!J7</f>
        <v>2002</v>
      </c>
      <c r="K7" s="372" t="n">
        <f aca="false">'Project &amp; Investor Returns'!K7</f>
        <v>2003</v>
      </c>
      <c r="L7" s="372" t="n">
        <f aca="false">'Project &amp; Investor Returns'!L7</f>
        <v>2004</v>
      </c>
      <c r="M7" s="372" t="n">
        <f aca="false">'Project &amp; Investor Returns'!M7</f>
        <v>2005</v>
      </c>
      <c r="N7" s="372" t="n">
        <f aca="false">'Project &amp; Investor Returns'!N7</f>
        <v>2006</v>
      </c>
      <c r="O7" s="372" t="n">
        <f aca="false">'Project &amp; Investor Returns'!O7</f>
        <v>2007</v>
      </c>
      <c r="P7" s="372" t="n">
        <f aca="false">'Project &amp; Investor Returns'!P7</f>
        <v>2008</v>
      </c>
      <c r="Q7" s="372" t="n">
        <f aca="false">'Project &amp; Investor Returns'!Q7</f>
        <v>2009</v>
      </c>
      <c r="R7" s="372" t="n">
        <f aca="false">'Project &amp; Investor Returns'!R7</f>
        <v>2010</v>
      </c>
      <c r="S7" s="372" t="n">
        <f aca="false">'Project &amp; Investor Returns'!S7</f>
        <v>2011</v>
      </c>
      <c r="T7" s="372" t="n">
        <f aca="false">'Project &amp; Investor Returns'!T7</f>
        <v>2012</v>
      </c>
      <c r="U7" s="372" t="n">
        <f aca="false">'Project &amp; Investor Returns'!U7</f>
        <v>2013</v>
      </c>
      <c r="V7" s="372" t="n">
        <f aca="false">'Project &amp; Investor Returns'!V7</f>
        <v>2014</v>
      </c>
      <c r="W7" s="372" t="n">
        <f aca="false">'Project &amp; Investor Returns'!W7</f>
        <v>2015</v>
      </c>
      <c r="X7" s="372" t="n">
        <f aca="false">'Project &amp; Investor Returns'!X7</f>
        <v>2016</v>
      </c>
      <c r="Y7" s="372" t="n">
        <f aca="false">'Project &amp; Investor Returns'!Y7</f>
        <v>2017</v>
      </c>
      <c r="Z7" s="372" t="n">
        <f aca="false">'Project &amp; Investor Returns'!Z7</f>
        <v>2018</v>
      </c>
      <c r="AA7" s="372" t="n">
        <f aca="false">'Project &amp; Investor Returns'!AA7</f>
        <v>2019</v>
      </c>
      <c r="AB7" s="544" t="s">
        <v>766</v>
      </c>
      <c r="AC7" s="544" t="s">
        <v>879</v>
      </c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</row>
    <row r="8" customFormat="false" ht="12.75" hidden="false" customHeight="false" outlineLevel="0" collapsed="false">
      <c r="A8" s="523"/>
      <c r="AB8" s="555"/>
      <c r="AC8" s="555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</row>
    <row r="9" customFormat="false" ht="12.75" hidden="false" customHeight="false" outlineLevel="0" collapsed="false">
      <c r="A9" s="733" t="str">
        <f aca="false">CONCATENATE(Assm!$H$86," Returns")</f>
        <v>Shell Returns</v>
      </c>
      <c r="D9" s="62"/>
      <c r="AB9" s="555"/>
      <c r="AC9" s="557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</row>
    <row r="10" customFormat="false" ht="12.75" hidden="false" customHeight="false" outlineLevel="0" collapsed="false">
      <c r="A10" s="659" t="n">
        <f aca="false">Assm!$K$86</f>
        <v>0.21875</v>
      </c>
      <c r="B10" s="38" t="s">
        <v>317</v>
      </c>
      <c r="E10" s="217" t="n">
        <f aca="false">'Project &amp; Investor Returns'!E13*$A$10</f>
        <v>-0</v>
      </c>
      <c r="F10" s="217" t="n">
        <f aca="false">'Project &amp; Investor Returns'!F13*$A$10</f>
        <v>-20298.5934823261</v>
      </c>
      <c r="G10" s="217" t="n">
        <f aca="false">'Project &amp; Investor Returns'!G13*$A$10</f>
        <v>0</v>
      </c>
      <c r="H10" s="217" t="n">
        <f aca="false">'Project &amp; Investor Returns'!H13*$A$10</f>
        <v>0</v>
      </c>
      <c r="I10" s="217" t="n">
        <f aca="false">'Project &amp; Investor Returns'!I13*$A$10</f>
        <v>0</v>
      </c>
      <c r="J10" s="217" t="n">
        <f aca="false">'Project &amp; Investor Returns'!J13*$A$10</f>
        <v>0</v>
      </c>
      <c r="K10" s="217" t="n">
        <f aca="false">'Project &amp; Investor Returns'!K13*$A$10</f>
        <v>0</v>
      </c>
      <c r="L10" s="217" t="n">
        <f aca="false">'Project &amp; Investor Returns'!L13*$A$10</f>
        <v>0</v>
      </c>
      <c r="M10" s="217" t="n">
        <f aca="false">'Project &amp; Investor Returns'!M13*$A$10</f>
        <v>0</v>
      </c>
      <c r="N10" s="217" t="n">
        <f aca="false">'Project &amp; Investor Returns'!N13*$A$10</f>
        <v>0</v>
      </c>
      <c r="O10" s="217" t="n">
        <f aca="false">'Project &amp; Investor Returns'!O13*$A$10</f>
        <v>0</v>
      </c>
      <c r="P10" s="217" t="n">
        <f aca="false">'Project &amp; Investor Returns'!P13*$A$10</f>
        <v>0</v>
      </c>
      <c r="Q10" s="217" t="n">
        <f aca="false">'Project &amp; Investor Returns'!Q13*$A$10</f>
        <v>0</v>
      </c>
      <c r="R10" s="217" t="n">
        <f aca="false">'Project &amp; Investor Returns'!R13*$A$10</f>
        <v>0</v>
      </c>
      <c r="S10" s="217" t="n">
        <f aca="false">'Project &amp; Investor Returns'!S13*$A$10</f>
        <v>0</v>
      </c>
      <c r="T10" s="217" t="n">
        <f aca="false">'Project &amp; Investor Returns'!T13*$A$10</f>
        <v>0</v>
      </c>
      <c r="U10" s="217" t="n">
        <f aca="false">'Project &amp; Investor Returns'!U13*$A$10</f>
        <v>0</v>
      </c>
      <c r="V10" s="217" t="n">
        <f aca="false">'Project &amp; Investor Returns'!V13*$A$10</f>
        <v>0</v>
      </c>
      <c r="W10" s="217" t="n">
        <f aca="false">'Project &amp; Investor Returns'!W13*$A$10</f>
        <v>0</v>
      </c>
      <c r="X10" s="217" t="n">
        <f aca="false">'Project &amp; Investor Returns'!X13*$A$10</f>
        <v>0</v>
      </c>
      <c r="Y10" s="217" t="n">
        <f aca="false">'Project &amp; Investor Returns'!Y13*$A$10</f>
        <v>0</v>
      </c>
      <c r="Z10" s="217" t="n">
        <f aca="false">'Project &amp; Investor Returns'!Z13*$A$10</f>
        <v>0</v>
      </c>
      <c r="AA10" s="217" t="n">
        <f aca="false">'Project &amp; Investor Returns'!AA13*$A$10</f>
        <v>0</v>
      </c>
      <c r="AB10" s="574" t="n">
        <f aca="false">SUM(E10:AA10)</f>
        <v>-20298.5934823261</v>
      </c>
      <c r="AC10" s="641" t="n">
        <f aca="false">IF('Project &amp; Investor Returns'!$I$3=0,F10+NPV(Disc,G10:AA10),E10+NPV(Disc,F10:AA10))</f>
        <v>-20298.5934823261</v>
      </c>
    </row>
    <row r="11" customFormat="false" ht="12.75" hidden="false" customHeight="false" outlineLevel="0" collapsed="false">
      <c r="A11" s="659" t="n">
        <f aca="false">Assm!$L$86</f>
        <v>0.21875</v>
      </c>
      <c r="B11" s="38" t="s">
        <v>883</v>
      </c>
      <c r="E11" s="217" t="n">
        <f aca="false">'Project &amp; Investor Returns'!E14*$A$11</f>
        <v>0</v>
      </c>
      <c r="F11" s="217" t="n">
        <f aca="false">'Project &amp; Investor Returns'!F14*$A$11</f>
        <v>0</v>
      </c>
      <c r="G11" s="217" t="n">
        <f aca="false">'Project &amp; Investor Returns'!G14*$A$11</f>
        <v>0</v>
      </c>
      <c r="H11" s="217" t="n">
        <f aca="false">'Project &amp; Investor Returns'!H14*$A$11</f>
        <v>0</v>
      </c>
      <c r="I11" s="217" t="n">
        <f aca="false">'Project &amp; Investor Returns'!I14*$A$11</f>
        <v>0</v>
      </c>
      <c r="J11" s="217" t="n">
        <f aca="false">'Project &amp; Investor Returns'!J14*$A$11</f>
        <v>0</v>
      </c>
      <c r="K11" s="217" t="n">
        <f aca="false">'Project &amp; Investor Returns'!K14*$A$11</f>
        <v>0</v>
      </c>
      <c r="L11" s="217" t="n">
        <f aca="false">'Project &amp; Investor Returns'!L14*$A$11</f>
        <v>0</v>
      </c>
      <c r="M11" s="217" t="n">
        <f aca="false">'Project &amp; Investor Returns'!M14*$A$11</f>
        <v>0</v>
      </c>
      <c r="N11" s="217" t="n">
        <f aca="false">'Project &amp; Investor Returns'!N14*$A$11</f>
        <v>0</v>
      </c>
      <c r="O11" s="217" t="n">
        <f aca="false">'Project &amp; Investor Returns'!O14*$A$11</f>
        <v>502.481628329098</v>
      </c>
      <c r="P11" s="217" t="n">
        <f aca="false">'Project &amp; Investor Returns'!P14*$A$11</f>
        <v>1300.42420299108</v>
      </c>
      <c r="Q11" s="217" t="n">
        <f aca="false">'Project &amp; Investor Returns'!Q14*$A$11</f>
        <v>1359.62138991956</v>
      </c>
      <c r="R11" s="217" t="n">
        <f aca="false">'Project &amp; Investor Returns'!R14*$A$11</f>
        <v>1564.91879038674</v>
      </c>
      <c r="S11" s="217" t="n">
        <f aca="false">'Project &amp; Investor Returns'!S14*$A$11</f>
        <v>1700.26127140602</v>
      </c>
      <c r="T11" s="217" t="n">
        <f aca="false">'Project &amp; Investor Returns'!T14*$A$11</f>
        <v>1205.50676483822</v>
      </c>
      <c r="U11" s="217" t="n">
        <f aca="false">'Project &amp; Investor Returns'!U14*$A$11</f>
        <v>1551.65116416675</v>
      </c>
      <c r="V11" s="217" t="n">
        <f aca="false">'Project &amp; Investor Returns'!V14*$A$11</f>
        <v>527.297951947058</v>
      </c>
      <c r="W11" s="217" t="n">
        <f aca="false">'Project &amp; Investor Returns'!W14*$A$11</f>
        <v>0</v>
      </c>
      <c r="X11" s="217" t="n">
        <f aca="false">'Project &amp; Investor Returns'!X14*$A$11</f>
        <v>0</v>
      </c>
      <c r="Y11" s="217" t="n">
        <f aca="false">'Project &amp; Investor Returns'!Y14*$A$11</f>
        <v>0</v>
      </c>
      <c r="Z11" s="217" t="n">
        <f aca="false">'Project &amp; Investor Returns'!Z14*$A$11</f>
        <v>0</v>
      </c>
      <c r="AA11" s="217" t="n">
        <f aca="false">'Project &amp; Investor Returns'!AA14*$A$11</f>
        <v>9760.24990326993</v>
      </c>
      <c r="AB11" s="574" t="n">
        <f aca="false">SUM(E11:AA11)</f>
        <v>19472.4130672545</v>
      </c>
      <c r="AC11" s="641" t="n">
        <f aca="false">IF('Project &amp; Investor Returns'!$I$3=0,F11+NPV(Disc,G11:AA11),E11+NPV(Disc,F11:AA11))</f>
        <v>1410.48942331276</v>
      </c>
    </row>
    <row r="12" customFormat="false" ht="12.75" hidden="false" customHeight="false" outlineLevel="0" collapsed="false">
      <c r="A12" s="659"/>
      <c r="B12" s="38" t="s">
        <v>894</v>
      </c>
      <c r="E12" s="217" t="n">
        <f aca="false">'Project &amp; Investor Returns'!E15*$A$11</f>
        <v>0</v>
      </c>
      <c r="F12" s="217" t="n">
        <f aca="false">'Project &amp; Investor Returns'!F15*$A$11</f>
        <v>0</v>
      </c>
      <c r="G12" s="217" t="n">
        <f aca="false">'Project &amp; Investor Returns'!G15*$A$11</f>
        <v>-432.798641467433</v>
      </c>
      <c r="H12" s="217" t="n">
        <f aca="false">'Project &amp; Investor Returns'!H15*$A$11</f>
        <v>734.6366124644</v>
      </c>
      <c r="I12" s="217" t="n">
        <f aca="false">'Project &amp; Investor Returns'!I15*$A$11</f>
        <v>3345.14672247793</v>
      </c>
      <c r="J12" s="217" t="n">
        <f aca="false">'Project &amp; Investor Returns'!J15*$A$11</f>
        <v>385.945492300222</v>
      </c>
      <c r="K12" s="217" t="n">
        <f aca="false">'Project &amp; Investor Returns'!K15*$A$11</f>
        <v>1006.57178076234</v>
      </c>
      <c r="L12" s="217" t="n">
        <f aca="false">'Project &amp; Investor Returns'!L15*$A$11</f>
        <v>-1653.20240842731</v>
      </c>
      <c r="M12" s="217" t="n">
        <f aca="false">'Project &amp; Investor Returns'!M15*$A$11</f>
        <v>1390.6544605921</v>
      </c>
      <c r="N12" s="217" t="n">
        <f aca="false">'Project &amp; Investor Returns'!N15*$A$11</f>
        <v>1409.48375003102</v>
      </c>
      <c r="O12" s="217" t="n">
        <f aca="false">'Project &amp; Investor Returns'!O15*$A$11</f>
        <v>393.511299052293</v>
      </c>
      <c r="P12" s="217" t="n">
        <f aca="false">'Project &amp; Investor Returns'!P15*$A$11</f>
        <v>-550.991150037183</v>
      </c>
      <c r="Q12" s="217" t="n">
        <f aca="false">'Project &amp; Investor Returns'!Q15*$A$11</f>
        <v>-250.552357216003</v>
      </c>
      <c r="R12" s="217" t="n">
        <f aca="false">'Project &amp; Investor Returns'!R15*$A$11</f>
        <v>-502.303347608</v>
      </c>
      <c r="S12" s="217" t="n">
        <f aca="false">'Project &amp; Investor Returns'!S15*$A$11</f>
        <v>-1643.66505741997</v>
      </c>
      <c r="T12" s="217" t="n">
        <f aca="false">'Project &amp; Investor Returns'!T15*$A$11</f>
        <v>-1141.51048954649</v>
      </c>
      <c r="U12" s="217" t="n">
        <f aca="false">'Project &amp; Investor Returns'!U15*$A$11</f>
        <v>1579.09628679871</v>
      </c>
      <c r="V12" s="217" t="n">
        <f aca="false">'Project &amp; Investor Returns'!V15*$A$11</f>
        <v>743.588872504616</v>
      </c>
      <c r="W12" s="217" t="n">
        <f aca="false">'Project &amp; Investor Returns'!W15*$A$11</f>
        <v>-435.184087955887</v>
      </c>
      <c r="X12" s="217" t="n">
        <f aca="false">'Project &amp; Investor Returns'!X15*$A$11</f>
        <v>1331.23603896305</v>
      </c>
      <c r="Y12" s="217" t="n">
        <f aca="false">'Project &amp; Investor Returns'!Y15*$A$11</f>
        <v>1025.91860842376</v>
      </c>
      <c r="Z12" s="217" t="n">
        <f aca="false">'Project &amp; Investor Returns'!Z15*$A$11</f>
        <v>1361.63240775788</v>
      </c>
      <c r="AA12" s="217" t="n">
        <f aca="false">'Project &amp; Investor Returns'!AA15*$A$11</f>
        <v>-8097.21479245003</v>
      </c>
      <c r="AB12" s="574" t="n">
        <f aca="false">SUM(E12:AA12)</f>
        <v>0</v>
      </c>
      <c r="AC12" s="641" t="n">
        <f aca="false">IF('Project &amp; Investor Returns'!$I$3=0,F12+NPV(Disc,G12:AA12),E12+NPV(Disc,F12:AA12))</f>
        <v>2616.74550399975</v>
      </c>
    </row>
    <row r="13" customFormat="false" ht="12.75" hidden="false" customHeight="false" outlineLevel="0" collapsed="false">
      <c r="A13" s="734"/>
      <c r="B13" s="38" t="s">
        <v>895</v>
      </c>
      <c r="D13" s="263" t="s">
        <v>341</v>
      </c>
      <c r="E13" s="217" t="n">
        <f aca="false">-Trapped!E40*'Project &amp; Investor Returns'!E$10*$A$11</f>
        <v>-0</v>
      </c>
      <c r="F13" s="217" t="n">
        <f aca="false">-Trapped!F40*'Project &amp; Investor Returns'!F$10*$A$11</f>
        <v>-0</v>
      </c>
      <c r="G13" s="217" t="n">
        <f aca="false">-Trapped!G40*'Project &amp; Investor Returns'!G$10*$A$11</f>
        <v>-0</v>
      </c>
      <c r="H13" s="217" t="n">
        <f aca="false">-Trapped!H40*'Project &amp; Investor Returns'!H$10*$A$11</f>
        <v>-0</v>
      </c>
      <c r="I13" s="217" t="n">
        <f aca="false">-Trapped!I40*'Project &amp; Investor Returns'!I$10*$A$11</f>
        <v>-18.110278259818</v>
      </c>
      <c r="J13" s="217" t="n">
        <f aca="false">-Trapped!J40*'Project &amp; Investor Returns'!J$10*$A$11</f>
        <v>-218.819081608494</v>
      </c>
      <c r="K13" s="217" t="n">
        <f aca="false">-Trapped!K40*'Project &amp; Investor Returns'!K$10*$A$11</f>
        <v>-241.975811146507</v>
      </c>
      <c r="L13" s="217" t="n">
        <f aca="false">-Trapped!L40*'Project &amp; Investor Returns'!L$10*$A$11</f>
        <v>-302.370117992247</v>
      </c>
      <c r="M13" s="217" t="n">
        <f aca="false">-Trapped!M40*'Project &amp; Investor Returns'!M$10*$A$11</f>
        <v>-302.370117992247</v>
      </c>
      <c r="N13" s="217" t="n">
        <f aca="false">-Trapped!N40*'Project &amp; Investor Returns'!N$10*$A$11</f>
        <v>-286.617241122134</v>
      </c>
      <c r="O13" s="217" t="n">
        <f aca="false">-Trapped!O40*'Project &amp; Investor Returns'!O$10*$A$11</f>
        <v>-371.186266123995</v>
      </c>
      <c r="P13" s="217" t="n">
        <f aca="false">-Trapped!P40*'Project &amp; Investor Returns'!P$10*$A$11</f>
        <v>-394.796944067133</v>
      </c>
      <c r="Q13" s="217" t="n">
        <f aca="false">-Trapped!Q40*'Project &amp; Investor Returns'!Q$10*$A$11</f>
        <v>-394.796944067133</v>
      </c>
      <c r="R13" s="217" t="n">
        <f aca="false">-Trapped!R40*'Project &amp; Investor Returns'!R$10*$A$11</f>
        <v>-361.737475064902</v>
      </c>
      <c r="S13" s="217" t="n">
        <f aca="false">-Trapped!S40*'Project &amp; Investor Returns'!S$10*$A$11</f>
        <v>-346.704333631942</v>
      </c>
      <c r="T13" s="217" t="n">
        <f aca="false">-Trapped!T40*'Project &amp; Investor Returns'!T$10*$A$11</f>
        <v>-316.566132775462</v>
      </c>
      <c r="U13" s="217" t="n">
        <f aca="false">-Trapped!U40*'Project &amp; Investor Returns'!U$10*$A$11</f>
        <v>-217.946229330263</v>
      </c>
      <c r="V13" s="217" t="n">
        <f aca="false">-Trapped!V40*'Project &amp; Investor Returns'!V$10*$A$11</f>
        <v>-244.201377165397</v>
      </c>
      <c r="W13" s="217" t="n">
        <f aca="false">-Trapped!W40*'Project &amp; Investor Returns'!W$10*$A$11</f>
        <v>-288.816709515674</v>
      </c>
      <c r="X13" s="217" t="n">
        <f aca="false">-Trapped!X40*'Project &amp; Investor Returns'!X$10*$A$11</f>
        <v>-288.816709515674</v>
      </c>
      <c r="Y13" s="217" t="n">
        <f aca="false">-Trapped!Y40*'Project &amp; Investor Returns'!Y$10*$A$11</f>
        <v>-342.579826576103</v>
      </c>
      <c r="Z13" s="217" t="n">
        <f aca="false">-Trapped!Z40*'Project &amp; Investor Returns'!Z$10*$A$11</f>
        <v>-404.134943081529</v>
      </c>
      <c r="AA13" s="217" t="n">
        <f aca="false">-Trapped!AA40*'Project &amp; Investor Returns'!AA$10*$A$11</f>
        <v>-485.832887547002</v>
      </c>
      <c r="AB13" s="574" t="n">
        <f aca="false">SUM(E13:AA13)</f>
        <v>-5828.37942658366</v>
      </c>
      <c r="AC13" s="641" t="n">
        <f aca="false">IF('Project &amp; Investor Returns'!$I$3=0,F13+NPV(Disc,G13:AA13),E13+NPV(Disc,F13:AA13))</f>
        <v>-898.73024224179</v>
      </c>
      <c r="AE13" s="414"/>
      <c r="AF13" s="414"/>
      <c r="AG13" s="667"/>
      <c r="AH13" s="414"/>
      <c r="AI13" s="414"/>
      <c r="AJ13" s="414"/>
      <c r="AK13" s="414"/>
      <c r="AL13" s="414"/>
      <c r="AM13" s="414"/>
      <c r="AN13" s="414"/>
      <c r="AO13" s="414"/>
      <c r="AP13" s="414"/>
      <c r="AQ13" s="414"/>
      <c r="AR13" s="414"/>
      <c r="AS13" s="414"/>
      <c r="AT13" s="414"/>
      <c r="AU13" s="414"/>
      <c r="AV13" s="414"/>
      <c r="AW13" s="414"/>
      <c r="AX13" s="414"/>
      <c r="AY13" s="414"/>
      <c r="AZ13" s="414"/>
      <c r="BA13" s="414"/>
      <c r="BB13" s="414"/>
      <c r="BC13" s="414"/>
      <c r="BD13" s="414"/>
      <c r="BE13" s="414"/>
      <c r="BF13" s="414"/>
      <c r="BG13" s="414"/>
      <c r="BH13" s="414"/>
      <c r="BI13" s="414"/>
      <c r="BJ13" s="414"/>
      <c r="BK13" s="414"/>
      <c r="BL13" s="414"/>
      <c r="BM13" s="414"/>
      <c r="BN13" s="414"/>
      <c r="BO13" s="414"/>
      <c r="BP13" s="414"/>
      <c r="BQ13" s="414"/>
      <c r="BR13" s="414"/>
      <c r="BS13" s="414"/>
      <c r="BT13" s="414"/>
      <c r="BU13" s="414"/>
      <c r="BV13" s="414"/>
      <c r="BW13" s="414"/>
      <c r="BX13" s="414"/>
      <c r="BY13" s="414"/>
      <c r="BZ13" s="414"/>
      <c r="CA13" s="414"/>
      <c r="CB13" s="414"/>
      <c r="CC13" s="414"/>
      <c r="CD13" s="414"/>
      <c r="CE13" s="414"/>
      <c r="CF13" s="414"/>
      <c r="CG13" s="414"/>
      <c r="CH13" s="414"/>
      <c r="CI13" s="414"/>
      <c r="CJ13" s="414"/>
      <c r="CK13" s="414"/>
      <c r="CL13" s="414"/>
      <c r="CM13" s="414"/>
      <c r="CN13" s="414"/>
      <c r="CO13" s="414"/>
      <c r="CP13" s="414"/>
      <c r="CQ13" s="414"/>
      <c r="CR13" s="414"/>
      <c r="CS13" s="414"/>
      <c r="CT13" s="414"/>
      <c r="CU13" s="414"/>
      <c r="CV13" s="414"/>
      <c r="CW13" s="414"/>
      <c r="CX13" s="414"/>
      <c r="CY13" s="414"/>
      <c r="CZ13" s="414"/>
      <c r="DA13" s="414"/>
      <c r="DB13" s="414"/>
      <c r="DC13" s="414"/>
      <c r="DD13" s="414"/>
      <c r="DE13" s="414"/>
      <c r="DF13" s="414"/>
      <c r="DG13" s="414"/>
      <c r="DH13" s="414"/>
      <c r="DI13" s="414"/>
      <c r="DJ13" s="414"/>
      <c r="DK13" s="414"/>
      <c r="DL13" s="414"/>
      <c r="DM13" s="414"/>
      <c r="DN13" s="414"/>
      <c r="DO13" s="414"/>
      <c r="DP13" s="414"/>
      <c r="DQ13" s="414"/>
      <c r="DR13" s="414"/>
      <c r="DS13" s="414"/>
      <c r="DT13" s="414"/>
      <c r="DU13" s="414"/>
      <c r="DV13" s="414"/>
      <c r="DW13" s="414"/>
      <c r="DX13" s="414"/>
      <c r="DY13" s="414"/>
      <c r="DZ13" s="414"/>
      <c r="EA13" s="414"/>
      <c r="EB13" s="414"/>
      <c r="EC13" s="414"/>
      <c r="ED13" s="414"/>
      <c r="EE13" s="414"/>
      <c r="EF13" s="414"/>
      <c r="EG13" s="414"/>
      <c r="EH13" s="414"/>
      <c r="EI13" s="414"/>
      <c r="EJ13" s="414"/>
      <c r="EK13" s="414"/>
      <c r="EL13" s="414"/>
      <c r="EM13" s="414"/>
      <c r="EN13" s="414"/>
      <c r="EO13" s="414"/>
      <c r="EP13" s="414"/>
      <c r="EQ13" s="414"/>
      <c r="ER13" s="414"/>
      <c r="ES13" s="414"/>
      <c r="ET13" s="414"/>
      <c r="EU13" s="414"/>
      <c r="EV13" s="414"/>
      <c r="EW13" s="414"/>
      <c r="EX13" s="414"/>
      <c r="EY13" s="414"/>
      <c r="EZ13" s="414"/>
      <c r="FA13" s="414"/>
      <c r="FB13" s="414"/>
      <c r="FC13" s="414"/>
      <c r="FD13" s="414"/>
      <c r="FE13" s="414"/>
      <c r="FF13" s="414"/>
      <c r="FG13" s="414"/>
      <c r="FH13" s="414"/>
      <c r="FI13" s="414"/>
      <c r="FJ13" s="414"/>
      <c r="FK13" s="414"/>
      <c r="FL13" s="414"/>
      <c r="FM13" s="414"/>
      <c r="FN13" s="414"/>
      <c r="FO13" s="414"/>
      <c r="FP13" s="414"/>
      <c r="FQ13" s="414"/>
      <c r="FR13" s="414"/>
      <c r="FS13" s="414"/>
      <c r="FT13" s="414"/>
      <c r="FU13" s="414"/>
      <c r="FV13" s="414"/>
      <c r="FW13" s="414"/>
      <c r="FX13" s="414"/>
      <c r="FY13" s="414"/>
      <c r="FZ13" s="414"/>
      <c r="GA13" s="414"/>
      <c r="GB13" s="414"/>
      <c r="GC13" s="414"/>
      <c r="GD13" s="414"/>
      <c r="GE13" s="414"/>
      <c r="GF13" s="414"/>
      <c r="GG13" s="414"/>
      <c r="GH13" s="414"/>
      <c r="GI13" s="414"/>
      <c r="GJ13" s="414"/>
      <c r="GK13" s="414"/>
      <c r="GL13" s="414"/>
      <c r="GM13" s="414"/>
      <c r="GN13" s="414"/>
      <c r="GO13" s="414"/>
      <c r="GP13" s="414"/>
      <c r="GQ13" s="414"/>
      <c r="GR13" s="414"/>
      <c r="GS13" s="414"/>
      <c r="GT13" s="414"/>
      <c r="GU13" s="414"/>
      <c r="GV13" s="414"/>
      <c r="GW13" s="414"/>
      <c r="GX13" s="414"/>
      <c r="GY13" s="414"/>
      <c r="GZ13" s="414"/>
      <c r="HA13" s="414"/>
      <c r="HB13" s="414"/>
      <c r="HC13" s="414"/>
      <c r="HD13" s="414"/>
      <c r="HE13" s="414"/>
      <c r="HF13" s="414"/>
      <c r="HG13" s="414"/>
      <c r="HH13" s="414"/>
      <c r="HI13" s="414"/>
      <c r="HJ13" s="414"/>
      <c r="HK13" s="414"/>
      <c r="HL13" s="414"/>
      <c r="HM13" s="414"/>
      <c r="HN13" s="414"/>
      <c r="HO13" s="414"/>
      <c r="HP13" s="414"/>
      <c r="HQ13" s="414"/>
      <c r="HR13" s="414"/>
      <c r="HS13" s="414"/>
      <c r="HT13" s="414"/>
      <c r="HU13" s="414"/>
      <c r="HV13" s="414"/>
      <c r="HW13" s="414"/>
      <c r="HX13" s="414"/>
      <c r="HY13" s="414"/>
      <c r="HZ13" s="414"/>
      <c r="IA13" s="414"/>
      <c r="IB13" s="414"/>
      <c r="IC13" s="414"/>
      <c r="ID13" s="414"/>
      <c r="IE13" s="414"/>
      <c r="IF13" s="414"/>
      <c r="IG13" s="414"/>
      <c r="IH13" s="414"/>
      <c r="II13" s="414"/>
      <c r="IJ13" s="414"/>
      <c r="IK13" s="414"/>
      <c r="IL13" s="414"/>
      <c r="IM13" s="414"/>
      <c r="IN13" s="414"/>
      <c r="IO13" s="414"/>
      <c r="IP13" s="414"/>
      <c r="IQ13" s="414"/>
      <c r="IR13" s="414"/>
      <c r="IS13" s="414"/>
      <c r="IT13" s="414"/>
      <c r="IU13" s="414"/>
      <c r="IV13" s="414"/>
      <c r="IW13" s="414"/>
    </row>
    <row r="14" customFormat="false" ht="12.75" hidden="false" customHeight="false" outlineLevel="0" collapsed="false">
      <c r="A14" s="734"/>
      <c r="B14" s="38" t="s">
        <v>885</v>
      </c>
      <c r="E14" s="217" t="n">
        <f aca="false">'Project &amp; Investor Returns'!E16*$A$11</f>
        <v>0</v>
      </c>
      <c r="F14" s="217" t="n">
        <f aca="false">'Project &amp; Investor Returns'!F16*$A$11</f>
        <v>0</v>
      </c>
      <c r="G14" s="217" t="n">
        <f aca="false">'Project &amp; Investor Returns'!G16*$A$11</f>
        <v>0</v>
      </c>
      <c r="H14" s="217" t="n">
        <f aca="false">'Project &amp; Investor Returns'!H16*$A$11</f>
        <v>0</v>
      </c>
      <c r="I14" s="217" t="n">
        <f aca="false">'Project &amp; Investor Returns'!I16*$A$11</f>
        <v>0</v>
      </c>
      <c r="J14" s="217" t="n">
        <f aca="false">'Project &amp; Investor Returns'!J16*$A$11</f>
        <v>0</v>
      </c>
      <c r="K14" s="217" t="n">
        <f aca="false">'Project &amp; Investor Returns'!K16*$A$11</f>
        <v>446.88258927689</v>
      </c>
      <c r="L14" s="217" t="n">
        <f aca="false">'Project &amp; Investor Returns'!L16*$A$11</f>
        <v>0</v>
      </c>
      <c r="M14" s="217" t="n">
        <f aca="false">'Project &amp; Investor Returns'!M16*$A$11</f>
        <v>1720.59378283713</v>
      </c>
      <c r="N14" s="217" t="n">
        <f aca="false">'Project &amp; Investor Returns'!N16*$A$11</f>
        <v>1950.66854412429</v>
      </c>
      <c r="O14" s="217" t="n">
        <f aca="false">'Project &amp; Investor Returns'!O16*$A$11</f>
        <v>1893.50816885575</v>
      </c>
      <c r="P14" s="217" t="n">
        <f aca="false">'Project &amp; Investor Returns'!P16*$A$11</f>
        <v>1688.2527225343</v>
      </c>
      <c r="Q14" s="217" t="n">
        <f aca="false">'Project &amp; Investor Returns'!Q16*$A$11</f>
        <v>1765.30422126433</v>
      </c>
      <c r="R14" s="217" t="n">
        <f aca="false">'Project &amp; Investor Returns'!R16*$A$11</f>
        <v>2029.85934823261</v>
      </c>
      <c r="S14" s="217" t="n">
        <f aca="false">'Project &amp; Investor Returns'!S16*$A$11</f>
        <v>2029.85934823261</v>
      </c>
      <c r="T14" s="217" t="n">
        <f aca="false">'Project &amp; Investor Returns'!T16*$A$11</f>
        <v>1565.08226239058</v>
      </c>
      <c r="U14" s="217" t="n">
        <f aca="false">'Project &amp; Investor Returns'!U16*$A$11</f>
        <v>2029.85934823261</v>
      </c>
      <c r="V14" s="217" t="n">
        <f aca="false">'Project &amp; Investor Returns'!V16*$A$11</f>
        <v>784.203676753955</v>
      </c>
      <c r="W14" s="217" t="n">
        <f aca="false">'Project &amp; Investor Returns'!W16*$A$11</f>
        <v>0</v>
      </c>
      <c r="X14" s="217" t="n">
        <f aca="false">'Project &amp; Investor Returns'!X16*$A$11</f>
        <v>0</v>
      </c>
      <c r="Y14" s="217" t="n">
        <f aca="false">'Project &amp; Investor Returns'!Y16*$A$11</f>
        <v>0</v>
      </c>
      <c r="Z14" s="217" t="n">
        <f aca="false">'Project &amp; Investor Returns'!Z16*$A$11</f>
        <v>0</v>
      </c>
      <c r="AA14" s="217" t="n">
        <f aca="false">'Project &amp; Investor Returns'!AA16*$A$11</f>
        <v>0</v>
      </c>
      <c r="AB14" s="574" t="n">
        <f aca="false">SUM(E14:AA14)</f>
        <v>17904.074012735</v>
      </c>
      <c r="AC14" s="641" t="n">
        <f aca="false">IF('Project &amp; Investor Returns'!$I$3=0,F14+NPV(Disc,G14:AA14),E14+NPV(Disc,F14:AA14))</f>
        <v>2932.27838748379</v>
      </c>
      <c r="AE14" s="414"/>
      <c r="AF14" s="414"/>
      <c r="AG14" s="667"/>
      <c r="AH14" s="414"/>
      <c r="AI14" s="414"/>
      <c r="AJ14" s="414"/>
      <c r="AK14" s="414"/>
      <c r="AL14" s="414"/>
      <c r="AM14" s="414"/>
      <c r="AN14" s="414"/>
      <c r="AO14" s="414"/>
      <c r="AP14" s="414"/>
      <c r="AQ14" s="414"/>
      <c r="AR14" s="414"/>
      <c r="AS14" s="414"/>
      <c r="AT14" s="414"/>
      <c r="AU14" s="414"/>
      <c r="AV14" s="414"/>
      <c r="AW14" s="414"/>
      <c r="AX14" s="414"/>
      <c r="AY14" s="414"/>
      <c r="AZ14" s="414"/>
      <c r="BA14" s="414"/>
      <c r="BB14" s="414"/>
      <c r="BC14" s="414"/>
      <c r="BD14" s="414"/>
      <c r="BE14" s="414"/>
      <c r="BF14" s="414"/>
      <c r="BG14" s="414"/>
      <c r="BH14" s="414"/>
      <c r="BI14" s="414"/>
      <c r="BJ14" s="414"/>
      <c r="BK14" s="414"/>
      <c r="BL14" s="414"/>
      <c r="BM14" s="414"/>
      <c r="BN14" s="414"/>
      <c r="BO14" s="414"/>
      <c r="BP14" s="414"/>
      <c r="BQ14" s="414"/>
      <c r="BR14" s="414"/>
      <c r="BS14" s="414"/>
      <c r="BT14" s="414"/>
      <c r="BU14" s="414"/>
      <c r="BV14" s="414"/>
      <c r="BW14" s="414"/>
      <c r="BX14" s="414"/>
      <c r="BY14" s="414"/>
      <c r="BZ14" s="414"/>
      <c r="CA14" s="414"/>
      <c r="CB14" s="414"/>
      <c r="CC14" s="414"/>
      <c r="CD14" s="414"/>
      <c r="CE14" s="414"/>
      <c r="CF14" s="414"/>
      <c r="CG14" s="414"/>
      <c r="CH14" s="414"/>
      <c r="CI14" s="414"/>
      <c r="CJ14" s="414"/>
      <c r="CK14" s="414"/>
      <c r="CL14" s="414"/>
      <c r="CM14" s="414"/>
      <c r="CN14" s="414"/>
      <c r="CO14" s="414"/>
      <c r="CP14" s="414"/>
      <c r="CQ14" s="414"/>
      <c r="CR14" s="414"/>
      <c r="CS14" s="414"/>
      <c r="CT14" s="414"/>
      <c r="CU14" s="414"/>
      <c r="CV14" s="414"/>
      <c r="CW14" s="414"/>
      <c r="CX14" s="414"/>
      <c r="CY14" s="414"/>
      <c r="CZ14" s="414"/>
      <c r="DA14" s="414"/>
      <c r="DB14" s="414"/>
      <c r="DC14" s="414"/>
      <c r="DD14" s="414"/>
      <c r="DE14" s="414"/>
      <c r="DF14" s="414"/>
      <c r="DG14" s="414"/>
      <c r="DH14" s="414"/>
      <c r="DI14" s="414"/>
      <c r="DJ14" s="414"/>
      <c r="DK14" s="414"/>
      <c r="DL14" s="414"/>
      <c r="DM14" s="414"/>
      <c r="DN14" s="414"/>
      <c r="DO14" s="414"/>
      <c r="DP14" s="414"/>
      <c r="DQ14" s="414"/>
      <c r="DR14" s="414"/>
      <c r="DS14" s="414"/>
      <c r="DT14" s="414"/>
      <c r="DU14" s="414"/>
      <c r="DV14" s="414"/>
      <c r="DW14" s="414"/>
      <c r="DX14" s="414"/>
      <c r="DY14" s="414"/>
      <c r="DZ14" s="414"/>
      <c r="EA14" s="414"/>
      <c r="EB14" s="414"/>
      <c r="EC14" s="414"/>
      <c r="ED14" s="414"/>
      <c r="EE14" s="414"/>
      <c r="EF14" s="414"/>
      <c r="EG14" s="414"/>
      <c r="EH14" s="414"/>
      <c r="EI14" s="414"/>
      <c r="EJ14" s="414"/>
      <c r="EK14" s="414"/>
      <c r="EL14" s="414"/>
      <c r="EM14" s="414"/>
      <c r="EN14" s="414"/>
      <c r="EO14" s="414"/>
      <c r="EP14" s="414"/>
      <c r="EQ14" s="414"/>
      <c r="ER14" s="414"/>
      <c r="ES14" s="414"/>
      <c r="ET14" s="414"/>
      <c r="EU14" s="414"/>
      <c r="EV14" s="414"/>
      <c r="EW14" s="414"/>
      <c r="EX14" s="414"/>
      <c r="EY14" s="414"/>
      <c r="EZ14" s="414"/>
      <c r="FA14" s="414"/>
      <c r="FB14" s="414"/>
      <c r="FC14" s="414"/>
      <c r="FD14" s="414"/>
      <c r="FE14" s="414"/>
      <c r="FF14" s="414"/>
      <c r="FG14" s="414"/>
      <c r="FH14" s="414"/>
      <c r="FI14" s="414"/>
      <c r="FJ14" s="414"/>
      <c r="FK14" s="414"/>
      <c r="FL14" s="414"/>
      <c r="FM14" s="414"/>
      <c r="FN14" s="414"/>
      <c r="FO14" s="414"/>
      <c r="FP14" s="414"/>
      <c r="FQ14" s="414"/>
      <c r="FR14" s="414"/>
      <c r="FS14" s="414"/>
      <c r="FT14" s="414"/>
      <c r="FU14" s="414"/>
      <c r="FV14" s="414"/>
      <c r="FW14" s="414"/>
      <c r="FX14" s="414"/>
      <c r="FY14" s="414"/>
      <c r="FZ14" s="414"/>
      <c r="GA14" s="414"/>
      <c r="GB14" s="414"/>
      <c r="GC14" s="414"/>
      <c r="GD14" s="414"/>
      <c r="GE14" s="414"/>
      <c r="GF14" s="414"/>
      <c r="GG14" s="414"/>
      <c r="GH14" s="414"/>
      <c r="GI14" s="414"/>
      <c r="GJ14" s="414"/>
      <c r="GK14" s="414"/>
      <c r="GL14" s="414"/>
      <c r="GM14" s="414"/>
      <c r="GN14" s="414"/>
      <c r="GO14" s="414"/>
      <c r="GP14" s="414"/>
      <c r="GQ14" s="414"/>
      <c r="GR14" s="414"/>
      <c r="GS14" s="414"/>
      <c r="GT14" s="414"/>
      <c r="GU14" s="414"/>
      <c r="GV14" s="414"/>
      <c r="GW14" s="414"/>
      <c r="GX14" s="414"/>
      <c r="GY14" s="414"/>
      <c r="GZ14" s="414"/>
      <c r="HA14" s="414"/>
      <c r="HB14" s="414"/>
      <c r="HC14" s="414"/>
      <c r="HD14" s="414"/>
      <c r="HE14" s="414"/>
      <c r="HF14" s="414"/>
      <c r="HG14" s="414"/>
      <c r="HH14" s="414"/>
      <c r="HI14" s="414"/>
      <c r="HJ14" s="414"/>
      <c r="HK14" s="414"/>
      <c r="HL14" s="414"/>
      <c r="HM14" s="414"/>
      <c r="HN14" s="414"/>
      <c r="HO14" s="414"/>
      <c r="HP14" s="414"/>
      <c r="HQ14" s="414"/>
      <c r="HR14" s="414"/>
      <c r="HS14" s="414"/>
      <c r="HT14" s="414"/>
      <c r="HU14" s="414"/>
      <c r="HV14" s="414"/>
      <c r="HW14" s="414"/>
      <c r="HX14" s="414"/>
      <c r="HY14" s="414"/>
      <c r="HZ14" s="414"/>
      <c r="IA14" s="414"/>
      <c r="IB14" s="414"/>
      <c r="IC14" s="414"/>
      <c r="ID14" s="414"/>
      <c r="IE14" s="414"/>
      <c r="IF14" s="414"/>
      <c r="IG14" s="414"/>
      <c r="IH14" s="414"/>
      <c r="II14" s="414"/>
      <c r="IJ14" s="414"/>
      <c r="IK14" s="414"/>
      <c r="IL14" s="414"/>
      <c r="IM14" s="414"/>
      <c r="IN14" s="414"/>
      <c r="IO14" s="414"/>
      <c r="IP14" s="414"/>
      <c r="IQ14" s="414"/>
      <c r="IR14" s="414"/>
      <c r="IS14" s="414"/>
      <c r="IT14" s="414"/>
      <c r="IU14" s="414"/>
      <c r="IV14" s="414"/>
      <c r="IW14" s="414"/>
    </row>
    <row r="15" customFormat="false" ht="12.75" hidden="false" customHeight="false" outlineLevel="0" collapsed="false">
      <c r="A15" s="734"/>
      <c r="B15" s="38" t="s">
        <v>896</v>
      </c>
      <c r="C15" s="306" t="n">
        <f aca="false">Wh_Int</f>
        <v>0.15</v>
      </c>
      <c r="E15" s="217" t="n">
        <f aca="false">-E14*$C15</f>
        <v>-0</v>
      </c>
      <c r="F15" s="217" t="n">
        <f aca="false">-F14*$C15</f>
        <v>-0</v>
      </c>
      <c r="G15" s="217" t="n">
        <f aca="false">-G14*$C15</f>
        <v>-0</v>
      </c>
      <c r="H15" s="217" t="n">
        <f aca="false">-H14*$C15</f>
        <v>-0</v>
      </c>
      <c r="I15" s="217" t="n">
        <f aca="false">-I14*$C15</f>
        <v>-0</v>
      </c>
      <c r="J15" s="217" t="n">
        <f aca="false">-J14*$C15</f>
        <v>-0</v>
      </c>
      <c r="K15" s="217" t="n">
        <f aca="false">-K14*$C15</f>
        <v>-67.0323883915334</v>
      </c>
      <c r="L15" s="217" t="n">
        <f aca="false">-L14*$C15</f>
        <v>-0</v>
      </c>
      <c r="M15" s="217" t="n">
        <f aca="false">-M14*$C15</f>
        <v>-258.089067425569</v>
      </c>
      <c r="N15" s="217" t="n">
        <f aca="false">-N14*$C15</f>
        <v>-292.600281618643</v>
      </c>
      <c r="O15" s="217" t="n">
        <f aca="false">-O14*$C15</f>
        <v>-284.026225328362</v>
      </c>
      <c r="P15" s="217" t="n">
        <f aca="false">-P14*$C15</f>
        <v>-253.237908380144</v>
      </c>
      <c r="Q15" s="217" t="n">
        <f aca="false">-Q14*$C15</f>
        <v>-264.79563318965</v>
      </c>
      <c r="R15" s="217" t="n">
        <f aca="false">-R14*$C15</f>
        <v>-304.478902234891</v>
      </c>
      <c r="S15" s="217" t="n">
        <f aca="false">-S14*$C15</f>
        <v>-304.478902234891</v>
      </c>
      <c r="T15" s="217" t="n">
        <f aca="false">-T14*$C15</f>
        <v>-234.762339358587</v>
      </c>
      <c r="U15" s="217" t="n">
        <f aca="false">-U14*$C15</f>
        <v>-304.478902234891</v>
      </c>
      <c r="V15" s="217" t="n">
        <f aca="false">-V14*$C15</f>
        <v>-117.630551513093</v>
      </c>
      <c r="W15" s="217" t="n">
        <f aca="false">-W14*$C15</f>
        <v>-0</v>
      </c>
      <c r="X15" s="217" t="n">
        <f aca="false">-X14*$C15</f>
        <v>-0</v>
      </c>
      <c r="Y15" s="217" t="n">
        <f aca="false">-Y14*$C15</f>
        <v>-0</v>
      </c>
      <c r="Z15" s="217" t="n">
        <f aca="false">-Z14*$C15</f>
        <v>-0</v>
      </c>
      <c r="AA15" s="217" t="n">
        <f aca="false">-AA14*$C15</f>
        <v>-0</v>
      </c>
      <c r="AB15" s="574" t="n">
        <f aca="false">SUM(E15:AA15)</f>
        <v>-2685.61110191025</v>
      </c>
      <c r="AC15" s="641" t="n">
        <f aca="false">IF('Project &amp; Investor Returns'!$I$3=0,F15+NPV(Disc,G15:AA15),E15+NPV(Disc,F15:AA15))</f>
        <v>-439.841758122568</v>
      </c>
      <c r="AE15" s="414"/>
      <c r="AF15" s="414"/>
      <c r="AG15" s="667"/>
      <c r="AH15" s="414"/>
      <c r="AI15" s="414"/>
      <c r="AJ15" s="414"/>
      <c r="AK15" s="414"/>
      <c r="AL15" s="414"/>
      <c r="AM15" s="414"/>
      <c r="AN15" s="414"/>
      <c r="AO15" s="414"/>
      <c r="AP15" s="414"/>
      <c r="AQ15" s="414"/>
      <c r="AR15" s="414"/>
      <c r="AS15" s="414"/>
      <c r="AT15" s="414"/>
      <c r="AU15" s="414"/>
      <c r="AV15" s="414"/>
      <c r="AW15" s="414"/>
      <c r="AX15" s="414"/>
      <c r="AY15" s="414"/>
      <c r="AZ15" s="414"/>
      <c r="BA15" s="414"/>
      <c r="BB15" s="414"/>
      <c r="BC15" s="414"/>
      <c r="BD15" s="414"/>
      <c r="BE15" s="414"/>
      <c r="BF15" s="414"/>
      <c r="BG15" s="414"/>
      <c r="BH15" s="414"/>
      <c r="BI15" s="414"/>
      <c r="BJ15" s="414"/>
      <c r="BK15" s="414"/>
      <c r="BL15" s="414"/>
      <c r="BM15" s="414"/>
      <c r="BN15" s="414"/>
      <c r="BO15" s="414"/>
      <c r="BP15" s="414"/>
      <c r="BQ15" s="414"/>
      <c r="BR15" s="414"/>
      <c r="BS15" s="414"/>
      <c r="BT15" s="414"/>
      <c r="BU15" s="414"/>
      <c r="BV15" s="414"/>
      <c r="BW15" s="414"/>
      <c r="BX15" s="414"/>
      <c r="BY15" s="414"/>
      <c r="BZ15" s="414"/>
      <c r="CA15" s="414"/>
      <c r="CB15" s="414"/>
      <c r="CC15" s="414"/>
      <c r="CD15" s="414"/>
      <c r="CE15" s="414"/>
      <c r="CF15" s="414"/>
      <c r="CG15" s="414"/>
      <c r="CH15" s="414"/>
      <c r="CI15" s="414"/>
      <c r="CJ15" s="414"/>
      <c r="CK15" s="414"/>
      <c r="CL15" s="414"/>
      <c r="CM15" s="414"/>
      <c r="CN15" s="414"/>
      <c r="CO15" s="414"/>
      <c r="CP15" s="414"/>
      <c r="CQ15" s="414"/>
      <c r="CR15" s="414"/>
      <c r="CS15" s="414"/>
      <c r="CT15" s="414"/>
      <c r="CU15" s="414"/>
      <c r="CV15" s="414"/>
      <c r="CW15" s="414"/>
      <c r="CX15" s="414"/>
      <c r="CY15" s="414"/>
      <c r="CZ15" s="414"/>
      <c r="DA15" s="414"/>
      <c r="DB15" s="414"/>
      <c r="DC15" s="414"/>
      <c r="DD15" s="414"/>
      <c r="DE15" s="414"/>
      <c r="DF15" s="414"/>
      <c r="DG15" s="414"/>
      <c r="DH15" s="414"/>
      <c r="DI15" s="414"/>
      <c r="DJ15" s="414"/>
      <c r="DK15" s="414"/>
      <c r="DL15" s="414"/>
      <c r="DM15" s="414"/>
      <c r="DN15" s="414"/>
      <c r="DO15" s="414"/>
      <c r="DP15" s="414"/>
      <c r="DQ15" s="414"/>
      <c r="DR15" s="414"/>
      <c r="DS15" s="414"/>
      <c r="DT15" s="414"/>
      <c r="DU15" s="414"/>
      <c r="DV15" s="414"/>
      <c r="DW15" s="414"/>
      <c r="DX15" s="414"/>
      <c r="DY15" s="414"/>
      <c r="DZ15" s="414"/>
      <c r="EA15" s="414"/>
      <c r="EB15" s="414"/>
      <c r="EC15" s="414"/>
      <c r="ED15" s="414"/>
      <c r="EE15" s="414"/>
      <c r="EF15" s="414"/>
      <c r="EG15" s="414"/>
      <c r="EH15" s="414"/>
      <c r="EI15" s="414"/>
      <c r="EJ15" s="414"/>
      <c r="EK15" s="414"/>
      <c r="EL15" s="414"/>
      <c r="EM15" s="414"/>
      <c r="EN15" s="414"/>
      <c r="EO15" s="414"/>
      <c r="EP15" s="414"/>
      <c r="EQ15" s="414"/>
      <c r="ER15" s="414"/>
      <c r="ES15" s="414"/>
      <c r="ET15" s="414"/>
      <c r="EU15" s="414"/>
      <c r="EV15" s="414"/>
      <c r="EW15" s="414"/>
      <c r="EX15" s="414"/>
      <c r="EY15" s="414"/>
      <c r="EZ15" s="414"/>
      <c r="FA15" s="414"/>
      <c r="FB15" s="414"/>
      <c r="FC15" s="414"/>
      <c r="FD15" s="414"/>
      <c r="FE15" s="414"/>
      <c r="FF15" s="414"/>
      <c r="FG15" s="414"/>
      <c r="FH15" s="414"/>
      <c r="FI15" s="414"/>
      <c r="FJ15" s="414"/>
      <c r="FK15" s="414"/>
      <c r="FL15" s="414"/>
      <c r="FM15" s="414"/>
      <c r="FN15" s="414"/>
      <c r="FO15" s="414"/>
      <c r="FP15" s="414"/>
      <c r="FQ15" s="414"/>
      <c r="FR15" s="414"/>
      <c r="FS15" s="414"/>
      <c r="FT15" s="414"/>
      <c r="FU15" s="414"/>
      <c r="FV15" s="414"/>
      <c r="FW15" s="414"/>
      <c r="FX15" s="414"/>
      <c r="FY15" s="414"/>
      <c r="FZ15" s="414"/>
      <c r="GA15" s="414"/>
      <c r="GB15" s="414"/>
      <c r="GC15" s="414"/>
      <c r="GD15" s="414"/>
      <c r="GE15" s="414"/>
      <c r="GF15" s="414"/>
      <c r="GG15" s="414"/>
      <c r="GH15" s="414"/>
      <c r="GI15" s="414"/>
      <c r="GJ15" s="414"/>
      <c r="GK15" s="414"/>
      <c r="GL15" s="414"/>
      <c r="GM15" s="414"/>
      <c r="GN15" s="414"/>
      <c r="GO15" s="414"/>
      <c r="GP15" s="414"/>
      <c r="GQ15" s="414"/>
      <c r="GR15" s="414"/>
      <c r="GS15" s="414"/>
      <c r="GT15" s="414"/>
      <c r="GU15" s="414"/>
      <c r="GV15" s="414"/>
      <c r="GW15" s="414"/>
      <c r="GX15" s="414"/>
      <c r="GY15" s="414"/>
      <c r="GZ15" s="414"/>
      <c r="HA15" s="414"/>
      <c r="HB15" s="414"/>
      <c r="HC15" s="414"/>
      <c r="HD15" s="414"/>
      <c r="HE15" s="414"/>
      <c r="HF15" s="414"/>
      <c r="HG15" s="414"/>
      <c r="HH15" s="414"/>
      <c r="HI15" s="414"/>
      <c r="HJ15" s="414"/>
      <c r="HK15" s="414"/>
      <c r="HL15" s="414"/>
      <c r="HM15" s="414"/>
      <c r="HN15" s="414"/>
      <c r="HO15" s="414"/>
      <c r="HP15" s="414"/>
      <c r="HQ15" s="414"/>
      <c r="HR15" s="414"/>
      <c r="HS15" s="414"/>
      <c r="HT15" s="414"/>
      <c r="HU15" s="414"/>
      <c r="HV15" s="414"/>
      <c r="HW15" s="414"/>
      <c r="HX15" s="414"/>
      <c r="HY15" s="414"/>
      <c r="HZ15" s="414"/>
      <c r="IA15" s="414"/>
      <c r="IB15" s="414"/>
      <c r="IC15" s="414"/>
      <c r="ID15" s="414"/>
      <c r="IE15" s="414"/>
      <c r="IF15" s="414"/>
      <c r="IG15" s="414"/>
      <c r="IH15" s="414"/>
      <c r="II15" s="414"/>
      <c r="IJ15" s="414"/>
      <c r="IK15" s="414"/>
      <c r="IL15" s="414"/>
      <c r="IM15" s="414"/>
      <c r="IN15" s="414"/>
      <c r="IO15" s="414"/>
      <c r="IP15" s="414"/>
      <c r="IQ15" s="414"/>
      <c r="IR15" s="414"/>
      <c r="IS15" s="414"/>
      <c r="IT15" s="414"/>
      <c r="IU15" s="414"/>
      <c r="IV15" s="414"/>
      <c r="IW15" s="414"/>
    </row>
    <row r="16" customFormat="false" ht="12.75" hidden="false" customHeight="false" outlineLevel="0" collapsed="false">
      <c r="A16" s="734"/>
      <c r="B16" s="38" t="s">
        <v>897</v>
      </c>
      <c r="C16" s="306" t="n">
        <f aca="false">USTax</f>
        <v>0.37</v>
      </c>
      <c r="E16" s="220" t="n">
        <f aca="false">-SUM(E13)*USTax</f>
        <v>-0</v>
      </c>
      <c r="F16" s="220" t="n">
        <f aca="false">-SUM(F13)*USTax</f>
        <v>-0</v>
      </c>
      <c r="G16" s="220" t="n">
        <f aca="false">-SUM(G13)*USTax</f>
        <v>-0</v>
      </c>
      <c r="H16" s="220" t="n">
        <f aca="false">-SUM(H13)*USTax</f>
        <v>-0</v>
      </c>
      <c r="I16" s="220" t="n">
        <f aca="false">-SUM(I13)*USTax</f>
        <v>6.70080295613268</v>
      </c>
      <c r="J16" s="220" t="n">
        <f aca="false">-SUM(J13)*USTax</f>
        <v>80.9630601951426</v>
      </c>
      <c r="K16" s="220" t="n">
        <f aca="false">-SUM(K13)*USTax</f>
        <v>89.5310501242075</v>
      </c>
      <c r="L16" s="220" t="n">
        <f aca="false">-SUM(L13)*USTax</f>
        <v>111.876943657131</v>
      </c>
      <c r="M16" s="220" t="n">
        <f aca="false">-SUM(M13)*USTax</f>
        <v>111.876943657131</v>
      </c>
      <c r="N16" s="220" t="n">
        <f aca="false">-SUM(N13)*USTax</f>
        <v>106.04837921519</v>
      </c>
      <c r="O16" s="220" t="n">
        <f aca="false">-SUM(O13)*USTax</f>
        <v>137.338918465878</v>
      </c>
      <c r="P16" s="220" t="n">
        <f aca="false">-SUM(P13)*USTax</f>
        <v>146.074869304839</v>
      </c>
      <c r="Q16" s="220" t="n">
        <f aca="false">-SUM(Q13)*USTax</f>
        <v>146.074869304839</v>
      </c>
      <c r="R16" s="220" t="n">
        <f aca="false">-SUM(R13)*USTax</f>
        <v>133.842865774014</v>
      </c>
      <c r="S16" s="220" t="n">
        <f aca="false">-SUM(S13)*USTax</f>
        <v>128.280603443818</v>
      </c>
      <c r="T16" s="220" t="n">
        <f aca="false">-SUM(T13)*USTax</f>
        <v>117.129469126921</v>
      </c>
      <c r="U16" s="220" t="n">
        <f aca="false">-SUM(U13)*USTax</f>
        <v>80.6401048521974</v>
      </c>
      <c r="V16" s="220" t="n">
        <f aca="false">-SUM(V13)*USTax</f>
        <v>90.3545095511968</v>
      </c>
      <c r="W16" s="220" t="n">
        <f aca="false">-SUM(W13)*USTax</f>
        <v>106.862182520799</v>
      </c>
      <c r="X16" s="220" t="n">
        <f aca="false">-SUM(X13)*USTax</f>
        <v>106.862182520799</v>
      </c>
      <c r="Y16" s="220" t="n">
        <f aca="false">-SUM(Y13)*USTax</f>
        <v>126.754535833158</v>
      </c>
      <c r="Z16" s="220" t="n">
        <f aca="false">-SUM(Z13)*USTax</f>
        <v>149.529928940166</v>
      </c>
      <c r="AA16" s="220" t="n">
        <f aca="false">-SUM(AA13)*USTax</f>
        <v>179.758168392391</v>
      </c>
      <c r="AB16" s="576" t="n">
        <f aca="false">SUM(E16:AA16)</f>
        <v>2156.50038783595</v>
      </c>
      <c r="AC16" s="643" t="n">
        <f aca="false">IF('Project &amp; Investor Returns'!$I$3=0,F16+NPV(Disc,G16:AA16),E16+NPV(Disc,F16:AA16))</f>
        <v>332.530189629462</v>
      </c>
      <c r="AE16" s="414"/>
      <c r="AF16" s="414"/>
      <c r="AG16" s="667"/>
      <c r="AH16" s="414"/>
      <c r="AI16" s="414"/>
      <c r="AJ16" s="414"/>
      <c r="AK16" s="414"/>
      <c r="AL16" s="414"/>
      <c r="AM16" s="414"/>
      <c r="AN16" s="414"/>
      <c r="AO16" s="414"/>
      <c r="AP16" s="414"/>
      <c r="AQ16" s="414"/>
      <c r="AR16" s="414"/>
      <c r="AS16" s="414"/>
      <c r="AT16" s="414"/>
      <c r="AU16" s="414"/>
      <c r="AV16" s="414"/>
      <c r="AW16" s="414"/>
      <c r="AX16" s="414"/>
      <c r="AY16" s="414"/>
      <c r="AZ16" s="414"/>
      <c r="BA16" s="414"/>
      <c r="BB16" s="414"/>
      <c r="BC16" s="414"/>
      <c r="BD16" s="414"/>
      <c r="BE16" s="414"/>
      <c r="BF16" s="414"/>
      <c r="BG16" s="414"/>
      <c r="BH16" s="414"/>
      <c r="BI16" s="414"/>
      <c r="BJ16" s="414"/>
      <c r="BK16" s="414"/>
      <c r="BL16" s="414"/>
      <c r="BM16" s="414"/>
      <c r="BN16" s="414"/>
      <c r="BO16" s="414"/>
      <c r="BP16" s="414"/>
      <c r="BQ16" s="414"/>
      <c r="BR16" s="414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  <c r="CH16" s="414"/>
      <c r="CI16" s="414"/>
      <c r="CJ16" s="414"/>
      <c r="CK16" s="414"/>
      <c r="CL16" s="414"/>
      <c r="CM16" s="414"/>
      <c r="CN16" s="414"/>
      <c r="CO16" s="414"/>
      <c r="CP16" s="414"/>
      <c r="CQ16" s="414"/>
      <c r="CR16" s="414"/>
      <c r="CS16" s="414"/>
      <c r="CT16" s="414"/>
      <c r="CU16" s="414"/>
      <c r="CV16" s="414"/>
      <c r="CW16" s="414"/>
      <c r="CX16" s="414"/>
      <c r="CY16" s="414"/>
      <c r="CZ16" s="414"/>
      <c r="DA16" s="414"/>
      <c r="DB16" s="414"/>
      <c r="DC16" s="414"/>
      <c r="DD16" s="414"/>
      <c r="DE16" s="414"/>
      <c r="DF16" s="414"/>
      <c r="DG16" s="414"/>
      <c r="DH16" s="414"/>
      <c r="DI16" s="414"/>
      <c r="DJ16" s="414"/>
      <c r="DK16" s="414"/>
      <c r="DL16" s="414"/>
      <c r="DM16" s="414"/>
      <c r="DN16" s="414"/>
      <c r="DO16" s="414"/>
      <c r="DP16" s="414"/>
      <c r="DQ16" s="414"/>
      <c r="DR16" s="414"/>
      <c r="DS16" s="414"/>
      <c r="DT16" s="414"/>
      <c r="DU16" s="414"/>
      <c r="DV16" s="414"/>
      <c r="DW16" s="414"/>
      <c r="DX16" s="414"/>
      <c r="DY16" s="414"/>
      <c r="DZ16" s="414"/>
      <c r="EA16" s="414"/>
      <c r="EB16" s="414"/>
      <c r="EC16" s="414"/>
      <c r="ED16" s="414"/>
      <c r="EE16" s="414"/>
      <c r="EF16" s="414"/>
      <c r="EG16" s="414"/>
      <c r="EH16" s="414"/>
      <c r="EI16" s="414"/>
      <c r="EJ16" s="414"/>
      <c r="EK16" s="414"/>
      <c r="EL16" s="414"/>
      <c r="EM16" s="414"/>
      <c r="EN16" s="414"/>
      <c r="EO16" s="414"/>
      <c r="EP16" s="414"/>
      <c r="EQ16" s="414"/>
      <c r="ER16" s="414"/>
      <c r="ES16" s="414"/>
      <c r="ET16" s="414"/>
      <c r="EU16" s="414"/>
      <c r="EV16" s="414"/>
      <c r="EW16" s="414"/>
      <c r="EX16" s="414"/>
      <c r="EY16" s="414"/>
      <c r="EZ16" s="414"/>
      <c r="FA16" s="414"/>
      <c r="FB16" s="414"/>
      <c r="FC16" s="414"/>
      <c r="FD16" s="414"/>
      <c r="FE16" s="414"/>
      <c r="FF16" s="414"/>
      <c r="FG16" s="414"/>
      <c r="FH16" s="414"/>
      <c r="FI16" s="414"/>
      <c r="FJ16" s="414"/>
      <c r="FK16" s="414"/>
      <c r="FL16" s="414"/>
      <c r="FM16" s="414"/>
      <c r="FN16" s="414"/>
      <c r="FO16" s="414"/>
      <c r="FP16" s="414"/>
      <c r="FQ16" s="414"/>
      <c r="FR16" s="414"/>
      <c r="FS16" s="414"/>
      <c r="FT16" s="414"/>
      <c r="FU16" s="414"/>
      <c r="FV16" s="414"/>
      <c r="FW16" s="414"/>
      <c r="FX16" s="414"/>
      <c r="FY16" s="414"/>
      <c r="FZ16" s="414"/>
      <c r="GA16" s="414"/>
      <c r="GB16" s="414"/>
      <c r="GC16" s="414"/>
      <c r="GD16" s="414"/>
      <c r="GE16" s="414"/>
      <c r="GF16" s="414"/>
      <c r="GG16" s="414"/>
      <c r="GH16" s="414"/>
      <c r="GI16" s="414"/>
      <c r="GJ16" s="414"/>
      <c r="GK16" s="414"/>
      <c r="GL16" s="414"/>
      <c r="GM16" s="414"/>
      <c r="GN16" s="414"/>
      <c r="GO16" s="414"/>
      <c r="GP16" s="414"/>
      <c r="GQ16" s="414"/>
      <c r="GR16" s="414"/>
      <c r="GS16" s="414"/>
      <c r="GT16" s="414"/>
      <c r="GU16" s="414"/>
      <c r="GV16" s="414"/>
      <c r="GW16" s="414"/>
      <c r="GX16" s="414"/>
      <c r="GY16" s="414"/>
      <c r="GZ16" s="414"/>
      <c r="HA16" s="414"/>
      <c r="HB16" s="414"/>
      <c r="HC16" s="414"/>
      <c r="HD16" s="414"/>
      <c r="HE16" s="414"/>
      <c r="HF16" s="414"/>
      <c r="HG16" s="414"/>
      <c r="HH16" s="414"/>
      <c r="HI16" s="414"/>
      <c r="HJ16" s="414"/>
      <c r="HK16" s="414"/>
      <c r="HL16" s="414"/>
      <c r="HM16" s="414"/>
      <c r="HN16" s="414"/>
      <c r="HO16" s="414"/>
      <c r="HP16" s="414"/>
      <c r="HQ16" s="414"/>
      <c r="HR16" s="414"/>
      <c r="HS16" s="414"/>
      <c r="HT16" s="414"/>
      <c r="HU16" s="414"/>
      <c r="HV16" s="414"/>
      <c r="HW16" s="414"/>
      <c r="HX16" s="414"/>
      <c r="HY16" s="414"/>
      <c r="HZ16" s="414"/>
      <c r="IA16" s="414"/>
      <c r="IB16" s="414"/>
      <c r="IC16" s="414"/>
      <c r="ID16" s="414"/>
      <c r="IE16" s="414"/>
      <c r="IF16" s="414"/>
      <c r="IG16" s="414"/>
      <c r="IH16" s="414"/>
      <c r="II16" s="414"/>
      <c r="IJ16" s="414"/>
      <c r="IK16" s="414"/>
      <c r="IL16" s="414"/>
      <c r="IM16" s="414"/>
      <c r="IN16" s="414"/>
      <c r="IO16" s="414"/>
      <c r="IP16" s="414"/>
      <c r="IQ16" s="414"/>
      <c r="IR16" s="414"/>
      <c r="IS16" s="414"/>
      <c r="IT16" s="414"/>
      <c r="IU16" s="414"/>
      <c r="IV16" s="414"/>
      <c r="IW16" s="414"/>
    </row>
    <row r="17" customFormat="false" ht="12.75" hidden="false" customHeight="false" outlineLevel="0" collapsed="false">
      <c r="A17" s="735"/>
      <c r="B17" s="38" t="s">
        <v>898</v>
      </c>
      <c r="E17" s="217" t="n">
        <f aca="false">SUM(E10:E16)</f>
        <v>0</v>
      </c>
      <c r="F17" s="217" t="n">
        <f aca="false">SUM(F10:F16)</f>
        <v>-20298.5934823261</v>
      </c>
      <c r="G17" s="217" t="n">
        <f aca="false">SUM(G10:G16)</f>
        <v>-432.798641467433</v>
      </c>
      <c r="H17" s="217" t="n">
        <f aca="false">SUM(H10:H16)</f>
        <v>734.6366124644</v>
      </c>
      <c r="I17" s="217" t="n">
        <f aca="false">SUM(I10:I16)</f>
        <v>3333.73724717424</v>
      </c>
      <c r="J17" s="217" t="n">
        <f aca="false">SUM(J10:J16)</f>
        <v>248.089470886872</v>
      </c>
      <c r="K17" s="217" t="n">
        <f aca="false">SUM(K10:K16)</f>
        <v>1233.97722062539</v>
      </c>
      <c r="L17" s="217" t="n">
        <f aca="false">SUM(L10:L16)</f>
        <v>-1843.69558276243</v>
      </c>
      <c r="M17" s="217" t="n">
        <f aca="false">SUM(M10:M16)</f>
        <v>2662.66600166854</v>
      </c>
      <c r="N17" s="217" t="n">
        <f aca="false">SUM(N10:N16)</f>
        <v>2886.98315062972</v>
      </c>
      <c r="O17" s="217" t="n">
        <f aca="false">SUM(O10:O16)</f>
        <v>2271.62752325066</v>
      </c>
      <c r="P17" s="217" t="n">
        <f aca="false">SUM(P10:P16)</f>
        <v>1935.72579234575</v>
      </c>
      <c r="Q17" s="217" t="n">
        <f aca="false">SUM(Q10:Q16)</f>
        <v>2360.85554601595</v>
      </c>
      <c r="R17" s="217" t="n">
        <f aca="false">SUM(R10:R16)</f>
        <v>2560.10127948556</v>
      </c>
      <c r="S17" s="217" t="n">
        <f aca="false">SUM(S10:S16)</f>
        <v>1563.55292979564</v>
      </c>
      <c r="T17" s="217" t="n">
        <f aca="false">SUM(T10:T16)</f>
        <v>1194.87953467519</v>
      </c>
      <c r="U17" s="217" t="n">
        <f aca="false">SUM(U10:U16)</f>
        <v>4718.82177248511</v>
      </c>
      <c r="V17" s="217" t="n">
        <f aca="false">SUM(V10:V16)</f>
        <v>1783.61308207833</v>
      </c>
      <c r="W17" s="217" t="n">
        <f aca="false">SUM(W10:W16)</f>
        <v>-617.138614950762</v>
      </c>
      <c r="X17" s="217" t="n">
        <f aca="false">SUM(X10:X16)</f>
        <v>1149.28151196817</v>
      </c>
      <c r="Y17" s="217" t="n">
        <f aca="false">SUM(Y10:Y16)</f>
        <v>810.09331768082</v>
      </c>
      <c r="Z17" s="217" t="n">
        <f aca="false">SUM(Z10:Z16)</f>
        <v>1107.02739361651</v>
      </c>
      <c r="AA17" s="217" t="n">
        <f aca="false">SUM(AA10:AA16)</f>
        <v>1356.96039166529</v>
      </c>
      <c r="AB17" s="574" t="n">
        <f aca="false">SUM(E17:AA17)</f>
        <v>10720.4034570055</v>
      </c>
      <c r="AC17" s="574" t="n">
        <f aca="false">SUM(AC10:AC16)</f>
        <v>-14345.1219782647</v>
      </c>
      <c r="AE17" s="666"/>
      <c r="AF17" s="666"/>
      <c r="AG17" s="666"/>
      <c r="AH17" s="666"/>
      <c r="AI17" s="666"/>
      <c r="AJ17" s="666"/>
      <c r="AK17" s="666"/>
      <c r="AL17" s="666"/>
      <c r="AM17" s="666"/>
      <c r="AN17" s="666"/>
      <c r="AO17" s="666"/>
      <c r="AP17" s="666"/>
      <c r="AQ17" s="666"/>
      <c r="AR17" s="666"/>
      <c r="AS17" s="666"/>
      <c r="AT17" s="666"/>
      <c r="AU17" s="666"/>
      <c r="AV17" s="666"/>
      <c r="AW17" s="666"/>
      <c r="AX17" s="666"/>
      <c r="AY17" s="666"/>
      <c r="AZ17" s="666"/>
      <c r="BA17" s="666"/>
      <c r="BB17" s="666"/>
      <c r="BC17" s="666"/>
      <c r="BD17" s="666"/>
      <c r="BE17" s="666"/>
      <c r="BF17" s="666"/>
      <c r="BG17" s="666"/>
      <c r="BH17" s="666"/>
      <c r="BI17" s="666"/>
      <c r="BJ17" s="666"/>
      <c r="BK17" s="666"/>
      <c r="BL17" s="666"/>
      <c r="BM17" s="666"/>
      <c r="BN17" s="666"/>
      <c r="BO17" s="666"/>
      <c r="BP17" s="666"/>
      <c r="BQ17" s="666"/>
      <c r="BR17" s="666"/>
      <c r="BS17" s="666"/>
      <c r="BT17" s="666"/>
      <c r="BU17" s="666"/>
      <c r="BV17" s="666"/>
      <c r="BW17" s="666"/>
      <c r="BX17" s="666"/>
      <c r="BY17" s="666"/>
      <c r="BZ17" s="666"/>
      <c r="CA17" s="666"/>
      <c r="CB17" s="666"/>
      <c r="CC17" s="666"/>
      <c r="CD17" s="666"/>
      <c r="CE17" s="666"/>
      <c r="CF17" s="666"/>
      <c r="CG17" s="666"/>
      <c r="CH17" s="666"/>
      <c r="CI17" s="666"/>
      <c r="CJ17" s="666"/>
      <c r="CK17" s="666"/>
      <c r="CL17" s="666"/>
      <c r="CM17" s="666"/>
      <c r="CN17" s="666"/>
      <c r="CO17" s="666"/>
      <c r="CP17" s="666"/>
      <c r="CQ17" s="666"/>
      <c r="CR17" s="666"/>
      <c r="CS17" s="666"/>
      <c r="CT17" s="666"/>
      <c r="CU17" s="666"/>
      <c r="CV17" s="666"/>
      <c r="CW17" s="666"/>
      <c r="CX17" s="666"/>
      <c r="CY17" s="666"/>
      <c r="CZ17" s="666"/>
      <c r="DA17" s="666"/>
      <c r="DB17" s="666"/>
      <c r="DC17" s="666"/>
      <c r="DD17" s="666"/>
      <c r="DE17" s="666"/>
      <c r="DF17" s="666"/>
      <c r="DG17" s="666"/>
      <c r="DH17" s="666"/>
      <c r="DI17" s="666"/>
      <c r="DJ17" s="666"/>
      <c r="DK17" s="666"/>
      <c r="DL17" s="666"/>
      <c r="DM17" s="666"/>
      <c r="DN17" s="666"/>
      <c r="DO17" s="666"/>
      <c r="DP17" s="666"/>
      <c r="DQ17" s="666"/>
      <c r="DR17" s="666"/>
      <c r="DS17" s="666"/>
      <c r="DT17" s="666"/>
      <c r="DU17" s="666"/>
      <c r="DV17" s="666"/>
      <c r="DW17" s="666"/>
      <c r="DX17" s="666"/>
      <c r="DY17" s="666"/>
      <c r="DZ17" s="666"/>
      <c r="EA17" s="666"/>
      <c r="EB17" s="666"/>
      <c r="EC17" s="666"/>
      <c r="ED17" s="666"/>
      <c r="EE17" s="666"/>
      <c r="EF17" s="666"/>
      <c r="EG17" s="666"/>
      <c r="EH17" s="666"/>
      <c r="EI17" s="666"/>
      <c r="EJ17" s="666"/>
      <c r="EK17" s="666"/>
      <c r="EL17" s="666"/>
      <c r="EM17" s="666"/>
      <c r="EN17" s="666"/>
      <c r="EO17" s="666"/>
      <c r="EP17" s="666"/>
      <c r="EQ17" s="666"/>
      <c r="ER17" s="666"/>
      <c r="ES17" s="666"/>
      <c r="ET17" s="666"/>
      <c r="EU17" s="666"/>
      <c r="EV17" s="666"/>
      <c r="EW17" s="666"/>
      <c r="EX17" s="666"/>
      <c r="EY17" s="666"/>
      <c r="EZ17" s="666"/>
      <c r="FA17" s="666"/>
      <c r="FB17" s="666"/>
      <c r="FC17" s="666"/>
      <c r="FD17" s="666"/>
      <c r="FE17" s="666"/>
      <c r="FF17" s="666"/>
      <c r="FG17" s="666"/>
      <c r="FH17" s="666"/>
      <c r="FI17" s="666"/>
      <c r="FJ17" s="666"/>
      <c r="FK17" s="666"/>
      <c r="FL17" s="666"/>
      <c r="FM17" s="666"/>
      <c r="FN17" s="666"/>
      <c r="FO17" s="666"/>
      <c r="FP17" s="666"/>
      <c r="FQ17" s="666"/>
      <c r="FR17" s="666"/>
      <c r="FS17" s="666"/>
      <c r="FT17" s="666"/>
      <c r="FU17" s="666"/>
      <c r="FV17" s="666"/>
      <c r="FW17" s="666"/>
      <c r="FX17" s="666"/>
      <c r="FY17" s="666"/>
      <c r="FZ17" s="666"/>
      <c r="GA17" s="666"/>
      <c r="GB17" s="666"/>
      <c r="GC17" s="666"/>
      <c r="GD17" s="666"/>
      <c r="GE17" s="666"/>
      <c r="GF17" s="666"/>
      <c r="GG17" s="666"/>
      <c r="GH17" s="666"/>
      <c r="GI17" s="666"/>
      <c r="GJ17" s="666"/>
      <c r="GK17" s="666"/>
      <c r="GL17" s="666"/>
      <c r="GM17" s="666"/>
      <c r="GN17" s="666"/>
      <c r="GO17" s="666"/>
      <c r="GP17" s="666"/>
      <c r="GQ17" s="666"/>
      <c r="GR17" s="666"/>
      <c r="GS17" s="666"/>
      <c r="GT17" s="666"/>
      <c r="GU17" s="666"/>
      <c r="GV17" s="666"/>
      <c r="GW17" s="666"/>
      <c r="GX17" s="666"/>
      <c r="GY17" s="666"/>
      <c r="GZ17" s="666"/>
      <c r="HA17" s="666"/>
      <c r="HB17" s="666"/>
      <c r="HC17" s="666"/>
      <c r="HD17" s="666"/>
      <c r="HE17" s="666"/>
      <c r="HF17" s="666"/>
      <c r="HG17" s="666"/>
      <c r="HH17" s="666"/>
      <c r="HI17" s="666"/>
      <c r="HJ17" s="666"/>
      <c r="HK17" s="666"/>
      <c r="HL17" s="666"/>
      <c r="HM17" s="666"/>
      <c r="HN17" s="666"/>
      <c r="HO17" s="666"/>
      <c r="HP17" s="666"/>
      <c r="HQ17" s="666"/>
      <c r="HR17" s="666"/>
      <c r="HS17" s="666"/>
      <c r="HT17" s="666"/>
      <c r="HU17" s="666"/>
      <c r="HV17" s="666"/>
      <c r="HW17" s="666"/>
      <c r="HX17" s="666"/>
      <c r="HY17" s="666"/>
      <c r="HZ17" s="666"/>
      <c r="IA17" s="666"/>
      <c r="IB17" s="666"/>
      <c r="IC17" s="666"/>
      <c r="ID17" s="666"/>
      <c r="IE17" s="666"/>
      <c r="IF17" s="666"/>
      <c r="IG17" s="666"/>
      <c r="IH17" s="666"/>
      <c r="II17" s="666"/>
      <c r="IJ17" s="666"/>
      <c r="IK17" s="666"/>
      <c r="IL17" s="666"/>
      <c r="IM17" s="666"/>
      <c r="IN17" s="666"/>
      <c r="IO17" s="666"/>
      <c r="IP17" s="666"/>
      <c r="IQ17" s="666"/>
      <c r="IR17" s="666"/>
      <c r="IS17" s="666"/>
      <c r="IT17" s="666"/>
      <c r="IU17" s="666"/>
      <c r="IV17" s="666"/>
      <c r="IW17" s="666"/>
    </row>
    <row r="18" customFormat="false" ht="12.75" hidden="false" customHeight="false" outlineLevel="0" collapsed="false">
      <c r="A18" s="735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574"/>
      <c r="AC18" s="574"/>
      <c r="AE18" s="666"/>
      <c r="AF18" s="666"/>
      <c r="AG18" s="666"/>
      <c r="AH18" s="666"/>
      <c r="AI18" s="666"/>
      <c r="AJ18" s="666"/>
      <c r="AK18" s="666"/>
      <c r="AL18" s="666"/>
      <c r="AM18" s="666"/>
      <c r="AN18" s="666"/>
      <c r="AO18" s="666"/>
      <c r="AP18" s="666"/>
      <c r="AQ18" s="666"/>
      <c r="AR18" s="666"/>
      <c r="AS18" s="666"/>
      <c r="AT18" s="666"/>
      <c r="AU18" s="666"/>
      <c r="AV18" s="666"/>
      <c r="AW18" s="666"/>
      <c r="AX18" s="666"/>
      <c r="AY18" s="666"/>
      <c r="AZ18" s="666"/>
      <c r="BA18" s="666"/>
      <c r="BB18" s="666"/>
      <c r="BC18" s="666"/>
      <c r="BD18" s="666"/>
      <c r="BE18" s="666"/>
      <c r="BF18" s="666"/>
      <c r="BG18" s="666"/>
      <c r="BH18" s="666"/>
      <c r="BI18" s="666"/>
      <c r="BJ18" s="666"/>
      <c r="BK18" s="666"/>
      <c r="BL18" s="666"/>
      <c r="BM18" s="666"/>
      <c r="BN18" s="666"/>
      <c r="BO18" s="666"/>
      <c r="BP18" s="666"/>
      <c r="BQ18" s="666"/>
      <c r="BR18" s="666"/>
      <c r="BS18" s="666"/>
      <c r="BT18" s="666"/>
      <c r="BU18" s="666"/>
      <c r="BV18" s="666"/>
      <c r="BW18" s="666"/>
      <c r="BX18" s="666"/>
      <c r="BY18" s="666"/>
      <c r="BZ18" s="666"/>
      <c r="CA18" s="666"/>
      <c r="CB18" s="666"/>
      <c r="CC18" s="666"/>
      <c r="CD18" s="666"/>
      <c r="CE18" s="666"/>
      <c r="CF18" s="666"/>
      <c r="CG18" s="666"/>
      <c r="CH18" s="666"/>
      <c r="CI18" s="666"/>
      <c r="CJ18" s="666"/>
      <c r="CK18" s="666"/>
      <c r="CL18" s="666"/>
      <c r="CM18" s="666"/>
      <c r="CN18" s="666"/>
      <c r="CO18" s="666"/>
      <c r="CP18" s="666"/>
      <c r="CQ18" s="666"/>
      <c r="CR18" s="666"/>
      <c r="CS18" s="666"/>
      <c r="CT18" s="666"/>
      <c r="CU18" s="666"/>
      <c r="CV18" s="666"/>
      <c r="CW18" s="666"/>
      <c r="CX18" s="666"/>
      <c r="CY18" s="666"/>
      <c r="CZ18" s="666"/>
      <c r="DA18" s="666"/>
      <c r="DB18" s="666"/>
      <c r="DC18" s="666"/>
      <c r="DD18" s="666"/>
      <c r="DE18" s="666"/>
      <c r="DF18" s="666"/>
      <c r="DG18" s="666"/>
      <c r="DH18" s="666"/>
      <c r="DI18" s="666"/>
      <c r="DJ18" s="666"/>
      <c r="DK18" s="666"/>
      <c r="DL18" s="666"/>
      <c r="DM18" s="666"/>
      <c r="DN18" s="666"/>
      <c r="DO18" s="666"/>
      <c r="DP18" s="666"/>
      <c r="DQ18" s="666"/>
      <c r="DR18" s="666"/>
      <c r="DS18" s="666"/>
      <c r="DT18" s="666"/>
      <c r="DU18" s="666"/>
      <c r="DV18" s="666"/>
      <c r="DW18" s="666"/>
      <c r="DX18" s="666"/>
      <c r="DY18" s="666"/>
      <c r="DZ18" s="666"/>
      <c r="EA18" s="666"/>
      <c r="EB18" s="666"/>
      <c r="EC18" s="666"/>
      <c r="ED18" s="666"/>
      <c r="EE18" s="666"/>
      <c r="EF18" s="666"/>
      <c r="EG18" s="666"/>
      <c r="EH18" s="666"/>
      <c r="EI18" s="666"/>
      <c r="EJ18" s="666"/>
      <c r="EK18" s="666"/>
      <c r="EL18" s="666"/>
      <c r="EM18" s="666"/>
      <c r="EN18" s="666"/>
      <c r="EO18" s="666"/>
      <c r="EP18" s="666"/>
      <c r="EQ18" s="666"/>
      <c r="ER18" s="666"/>
      <c r="ES18" s="666"/>
      <c r="ET18" s="666"/>
      <c r="EU18" s="666"/>
      <c r="EV18" s="666"/>
      <c r="EW18" s="666"/>
      <c r="EX18" s="666"/>
      <c r="EY18" s="666"/>
      <c r="EZ18" s="666"/>
      <c r="FA18" s="666"/>
      <c r="FB18" s="666"/>
      <c r="FC18" s="666"/>
      <c r="FD18" s="666"/>
      <c r="FE18" s="666"/>
      <c r="FF18" s="666"/>
      <c r="FG18" s="666"/>
      <c r="FH18" s="666"/>
      <c r="FI18" s="666"/>
      <c r="FJ18" s="666"/>
      <c r="FK18" s="666"/>
      <c r="FL18" s="666"/>
      <c r="FM18" s="666"/>
      <c r="FN18" s="666"/>
      <c r="FO18" s="666"/>
      <c r="FP18" s="666"/>
      <c r="FQ18" s="666"/>
      <c r="FR18" s="666"/>
      <c r="FS18" s="666"/>
      <c r="FT18" s="666"/>
      <c r="FU18" s="666"/>
      <c r="FV18" s="666"/>
      <c r="FW18" s="666"/>
      <c r="FX18" s="666"/>
      <c r="FY18" s="666"/>
      <c r="FZ18" s="666"/>
      <c r="GA18" s="666"/>
      <c r="GB18" s="666"/>
      <c r="GC18" s="666"/>
      <c r="GD18" s="666"/>
      <c r="GE18" s="666"/>
      <c r="GF18" s="666"/>
      <c r="GG18" s="666"/>
      <c r="GH18" s="666"/>
      <c r="GI18" s="666"/>
      <c r="GJ18" s="666"/>
      <c r="GK18" s="666"/>
      <c r="GL18" s="666"/>
      <c r="GM18" s="666"/>
      <c r="GN18" s="666"/>
      <c r="GO18" s="666"/>
      <c r="GP18" s="666"/>
      <c r="GQ18" s="666"/>
      <c r="GR18" s="666"/>
      <c r="GS18" s="666"/>
      <c r="GT18" s="666"/>
      <c r="GU18" s="666"/>
      <c r="GV18" s="666"/>
      <c r="GW18" s="666"/>
      <c r="GX18" s="666"/>
      <c r="GY18" s="666"/>
      <c r="GZ18" s="666"/>
      <c r="HA18" s="666"/>
      <c r="HB18" s="666"/>
      <c r="HC18" s="666"/>
      <c r="HD18" s="666"/>
      <c r="HE18" s="666"/>
      <c r="HF18" s="666"/>
      <c r="HG18" s="666"/>
      <c r="HH18" s="666"/>
      <c r="HI18" s="666"/>
      <c r="HJ18" s="666"/>
      <c r="HK18" s="666"/>
      <c r="HL18" s="666"/>
      <c r="HM18" s="666"/>
      <c r="HN18" s="666"/>
      <c r="HO18" s="666"/>
      <c r="HP18" s="666"/>
      <c r="HQ18" s="666"/>
      <c r="HR18" s="666"/>
      <c r="HS18" s="666"/>
      <c r="HT18" s="666"/>
      <c r="HU18" s="666"/>
      <c r="HV18" s="666"/>
      <c r="HW18" s="666"/>
      <c r="HX18" s="666"/>
      <c r="HY18" s="666"/>
      <c r="HZ18" s="666"/>
      <c r="IA18" s="666"/>
      <c r="IB18" s="666"/>
      <c r="IC18" s="666"/>
      <c r="ID18" s="666"/>
      <c r="IE18" s="666"/>
      <c r="IF18" s="666"/>
      <c r="IG18" s="666"/>
      <c r="IH18" s="666"/>
      <c r="II18" s="666"/>
      <c r="IJ18" s="666"/>
      <c r="IK18" s="666"/>
      <c r="IL18" s="666"/>
      <c r="IM18" s="666"/>
      <c r="IN18" s="666"/>
      <c r="IO18" s="666"/>
      <c r="IP18" s="666"/>
      <c r="IQ18" s="666"/>
      <c r="IR18" s="666"/>
      <c r="IS18" s="666"/>
      <c r="IT18" s="666"/>
      <c r="IU18" s="666"/>
      <c r="IV18" s="666"/>
      <c r="IW18" s="666"/>
    </row>
    <row r="19" customFormat="false" ht="12.75" hidden="false" customHeight="false" outlineLevel="0" collapsed="false">
      <c r="A19" s="280"/>
      <c r="B19" s="38" t="s">
        <v>899</v>
      </c>
      <c r="E19" s="645" t="n">
        <f aca="false">$E17</f>
        <v>0</v>
      </c>
      <c r="F19" s="645" t="n">
        <f aca="false">IF('Project &amp; Investor Returns'!$I$3=0,$F17,$E17+NPV(Disc,$F17:F17))</f>
        <v>-20298.5934823261</v>
      </c>
      <c r="G19" s="217" t="n">
        <f aca="false">IF('Project &amp; Investor Returns'!$I$3=0,$F17+NPV(Disc,$G17:G17),$E17+NPV(Disc,$F17:G17))</f>
        <v>-20662.2898196936</v>
      </c>
      <c r="H19" s="217" t="n">
        <f aca="false">IF('Project &amp; Investor Returns'!$I$3=0,$F17+NPV(Disc,$G17:H17),$E17+NPV(Disc,$F17:H17))</f>
        <v>-20143.5152893184</v>
      </c>
      <c r="I19" s="217" t="n">
        <f aca="false">IF('Project &amp; Investor Returns'!$I$3=0,$F17+NPV(Disc,$G17:I17),$E17+NPV(Disc,$F17:I17))</f>
        <v>-18165.2228865396</v>
      </c>
      <c r="J19" s="217" t="n">
        <f aca="false">IF('Project &amp; Investor Returns'!$I$3=0,$F17+NPV(Disc,$G17:J17),$E17+NPV(Disc,$F17:J17))</f>
        <v>-18041.508419855</v>
      </c>
      <c r="K19" s="217" t="n">
        <f aca="false">IF('Project &amp; Investor Returns'!$I$3=0,$F17+NPV(Disc,$G17:K17),$E17+NPV(Disc,$F17:K17))</f>
        <v>-17524.4110418088</v>
      </c>
      <c r="L19" s="217" t="n">
        <f aca="false">IF('Project &amp; Investor Returns'!$I$3=0,$F17+NPV(Disc,$G17:L17),$E17+NPV(Disc,$F17:L17))</f>
        <v>-18173.6542973927</v>
      </c>
      <c r="M19" s="217" t="n">
        <f aca="false">IF('Project &amp; Investor Returns'!$I$3=0,$F17+NPV(Disc,$G17:M17),$E17+NPV(Disc,$F17:M17))</f>
        <v>-17385.7237042153</v>
      </c>
      <c r="N19" s="217" t="n">
        <f aca="false">IF('Project &amp; Investor Returns'!$I$3=0,$F17+NPV(Disc,$G17:N17),$E17+NPV(Disc,$F17:N17))</f>
        <v>-16667.8160924351</v>
      </c>
      <c r="O19" s="217" t="n">
        <f aca="false">IF('Project &amp; Investor Returns'!$I$3=0,$F17+NPV(Disc,$G17:O17),$E17+NPV(Disc,$F17:O17))</f>
        <v>-16193.1212977287</v>
      </c>
      <c r="P19" s="217" t="n">
        <f aca="false">IF('Project &amp; Investor Returns'!$I$3=0,$F17+NPV(Disc,$G17:P17),$E17+NPV(Disc,$F17:P17))</f>
        <v>-15853.2032507065</v>
      </c>
      <c r="Q19" s="217" t="n">
        <f aca="false">IF('Project &amp; Investor Returns'!$I$3=0,$F17+NPV(Disc,$G17:Q17),$E17+NPV(Disc,$F17:Q17))</f>
        <v>-15504.82355191</v>
      </c>
      <c r="R19" s="217" t="n">
        <f aca="false">IF('Project &amp; Investor Returns'!$I$3=0,$F17+NPV(Disc,$G17:R17),$E17+NPV(Disc,$F17:R17))</f>
        <v>-15187.3601908274</v>
      </c>
      <c r="S19" s="217" t="n">
        <f aca="false">IF('Project &amp; Investor Returns'!$I$3=0,$F17+NPV(Disc,$G17:S17),$E17+NPV(Disc,$F17:S17))</f>
        <v>-15024.4298036387</v>
      </c>
      <c r="T19" s="217" t="n">
        <f aca="false">IF('Project &amp; Investor Returns'!$I$3=0,$F17+NPV(Disc,$G17:T17),$E17+NPV(Disc,$F17:T17))</f>
        <v>-14919.7972888934</v>
      </c>
      <c r="U19" s="217" t="n">
        <f aca="false">IF('Project &amp; Investor Returns'!$I$3=0,$F17+NPV(Disc,$G17:U17),$E17+NPV(Disc,$F17:U17))</f>
        <v>-14572.5577637196</v>
      </c>
      <c r="V19" s="217" t="n">
        <f aca="false">IF('Project &amp; Investor Returns'!$I$3=0,$F17+NPV(Disc,$G17:V17),$E17+NPV(Disc,$F17:V17))</f>
        <v>-14462.2644292627</v>
      </c>
      <c r="W19" s="217" t="n">
        <f aca="false">IF('Project &amp; Investor Returns'!$I$3=0,$F17+NPV(Disc,$G17:W17),$E17+NPV(Disc,$F17:W17))</f>
        <v>-14494.3333524802</v>
      </c>
      <c r="X19" s="217" t="n">
        <f aca="false">IF('Project &amp; Investor Returns'!$I$3=0,$F17+NPV(Disc,$G17:X17),$E17+NPV(Disc,$F17:X17))</f>
        <v>-14444.1475219911</v>
      </c>
      <c r="Y19" s="217" t="n">
        <f aca="false">IF('Project &amp; Investor Returns'!$I$3=0,$F17+NPV(Disc,$G17:Y17),$E17+NPV(Disc,$F17:Y17))</f>
        <v>-14414.4210900997</v>
      </c>
      <c r="Z19" s="217" t="n">
        <f aca="false">IF('Project &amp; Investor Returns'!$I$3=0,$F17+NPV(Disc,$G17:Z17),$E17+NPV(Disc,$F17:Z17))</f>
        <v>-14380.284578402</v>
      </c>
      <c r="AA19" s="217" t="n">
        <f aca="false">IF('Project &amp; Investor Returns'!$I$3=0,$F17+NPV(Disc,$G17:AA17),$E17+NPV(Disc,$F17:AA17))</f>
        <v>-14345.1219782647</v>
      </c>
      <c r="AB19" s="640"/>
      <c r="AC19" s="574" t="n">
        <f aca="false">AC17</f>
        <v>-14345.1219782647</v>
      </c>
    </row>
    <row r="20" customFormat="false" ht="12.75" hidden="false" customHeight="false" outlineLevel="0" collapsed="false">
      <c r="A20" s="280"/>
      <c r="B20" s="38" t="s">
        <v>900</v>
      </c>
      <c r="E20" s="260" t="e">
        <f aca="false">IRR($E17:E17,-0.9)</f>
        <v>#N/A</v>
      </c>
      <c r="F20" s="260" t="e">
        <f aca="false">IRR($E17:F17,-0.9)</f>
        <v>#N/A</v>
      </c>
      <c r="G20" s="260" t="e">
        <f aca="false">IRR($E17:G17,-0.9)</f>
        <v>#N/A</v>
      </c>
      <c r="H20" s="260" t="n">
        <f aca="false">IRR($E17:H17,-0.9)</f>
        <v>-0.820121684343961</v>
      </c>
      <c r="I20" s="260" t="n">
        <f aca="false">IRR($E17:I17,-0.9)</f>
        <v>-0.437641118397647</v>
      </c>
      <c r="J20" s="260" t="n">
        <f aca="false">IRR($E17:J17,-0.9)</f>
        <v>-0.41614296515177</v>
      </c>
      <c r="K20" s="260" t="n">
        <f aca="false">IRR($E17:K17,-0.9)</f>
        <v>-0.31223431113684</v>
      </c>
      <c r="L20" s="260" t="e">
        <f aca="false">IRR($E17:L17,-0.9)</f>
        <v>#N/A</v>
      </c>
      <c r="M20" s="260" t="e">
        <f aca="false">IRR($E17:M17,-0.9)</f>
        <v>#N/A</v>
      </c>
      <c r="N20" s="260" t="e">
        <f aca="false">IRR($E17:N17,-0.9)</f>
        <v>#N/A</v>
      </c>
      <c r="O20" s="260" t="e">
        <f aca="false">IRR($E17:O17,-0.9)</f>
        <v>#N/A</v>
      </c>
      <c r="P20" s="260" t="e">
        <f aca="false">IRR($E17:P17,-0.9)</f>
        <v>#N/A</v>
      </c>
      <c r="Q20" s="260" t="e">
        <f aca="false">IRR($E17:Q17,-0.9)</f>
        <v>#N/A</v>
      </c>
      <c r="R20" s="260" t="e">
        <f aca="false">IRR($E17:R17,-0.9)</f>
        <v>#N/A</v>
      </c>
      <c r="S20" s="260" t="e">
        <f aca="false">IRR($E17:S17,-0.9)</f>
        <v>#N/A</v>
      </c>
      <c r="T20" s="260" t="e">
        <f aca="false">IRR($E17:T17,-0.9)</f>
        <v>#N/A</v>
      </c>
      <c r="U20" s="260" t="e">
        <f aca="false">IRR($E17:U17,-0.9)</f>
        <v>#N/A</v>
      </c>
      <c r="V20" s="260" t="e">
        <f aca="false">IRR($E17:V17,-0.9)</f>
        <v>#N/A</v>
      </c>
      <c r="W20" s="260" t="e">
        <f aca="false">IRR($E17:W17,-0.9)</f>
        <v>#N/A</v>
      </c>
      <c r="X20" s="260" t="e">
        <f aca="false">IRR($E17:X17,-0.9)</f>
        <v>#N/A</v>
      </c>
      <c r="Y20" s="260" t="e">
        <f aca="false">IRR($E17:Y17,-0.9)</f>
        <v>#N/A</v>
      </c>
      <c r="Z20" s="260" t="e">
        <f aca="false">IRR($E17:Z17,-0.9)</f>
        <v>#N/A</v>
      </c>
      <c r="AA20" s="260" t="e">
        <f aca="false">IRR($E17:AA17,-0.9)</f>
        <v>#N/A</v>
      </c>
      <c r="AB20" s="638"/>
      <c r="AC20" s="646" t="e">
        <f aca="false">IRR(E17:AA17,-0.9)</f>
        <v>#N/A</v>
      </c>
    </row>
    <row r="21" customFormat="false" ht="12.75" hidden="false" customHeight="false" outlineLevel="0" collapsed="false">
      <c r="A21" s="280"/>
      <c r="AB21" s="555"/>
      <c r="AC21" s="557"/>
    </row>
    <row r="22" customFormat="false" ht="12.75" hidden="false" customHeight="false" outlineLevel="0" collapsed="false">
      <c r="A22" s="280"/>
      <c r="B22" s="647" t="str">
        <f aca="false">CONCATENATE(Assm!$H$86," NPV @ ",TEXT(Disc,"0.0%"))</f>
        <v>Shell NPV @ 19.0%</v>
      </c>
      <c r="C22" s="648" t="n">
        <f aca="false">AC19</f>
        <v>-14345.1219782647</v>
      </c>
      <c r="D22" s="62"/>
      <c r="AB22" s="555"/>
      <c r="AC22" s="557"/>
    </row>
    <row r="23" customFormat="false" ht="12.75" hidden="false" customHeight="false" outlineLevel="0" collapsed="false">
      <c r="A23" s="563"/>
      <c r="B23" s="662" t="str">
        <f aca="false">CONCATENATE(Assm!$H$86," IRR")</f>
        <v>Shell IRR</v>
      </c>
      <c r="C23" s="736" t="e">
        <f aca="false">AC20</f>
        <v>#N/A</v>
      </c>
      <c r="D23" s="464"/>
      <c r="E23" s="700"/>
      <c r="F23" s="700"/>
      <c r="G23" s="700"/>
      <c r="H23" s="700"/>
      <c r="I23" s="700"/>
      <c r="J23" s="700"/>
      <c r="K23" s="700"/>
      <c r="L23" s="700"/>
      <c r="M23" s="700"/>
      <c r="N23" s="700"/>
      <c r="O23" s="700"/>
      <c r="P23" s="700"/>
      <c r="Q23" s="700"/>
      <c r="R23" s="700"/>
      <c r="S23" s="700"/>
      <c r="T23" s="700"/>
      <c r="U23" s="700"/>
      <c r="V23" s="700"/>
      <c r="W23" s="700"/>
      <c r="X23" s="700"/>
      <c r="Y23" s="700"/>
      <c r="Z23" s="700"/>
      <c r="AA23" s="700"/>
      <c r="AB23" s="701"/>
      <c r="AC23" s="665"/>
    </row>
    <row r="24" customFormat="false" ht="12.75" hidden="false" customHeight="false" outlineLevel="0" collapsed="false">
      <c r="A24" s="37"/>
      <c r="E24" s="637"/>
      <c r="F24" s="637"/>
      <c r="G24" s="637"/>
      <c r="H24" s="637"/>
      <c r="I24" s="637"/>
      <c r="J24" s="637"/>
      <c r="K24" s="637"/>
      <c r="L24" s="637"/>
      <c r="M24" s="637"/>
      <c r="N24" s="637"/>
      <c r="O24" s="637"/>
      <c r="P24" s="637"/>
      <c r="Q24" s="637"/>
      <c r="R24" s="637"/>
      <c r="S24" s="637"/>
      <c r="T24" s="637"/>
      <c r="U24" s="637"/>
      <c r="V24" s="637"/>
      <c r="W24" s="637"/>
      <c r="X24" s="637"/>
      <c r="Y24" s="637"/>
      <c r="Z24" s="637"/>
      <c r="AA24" s="637"/>
      <c r="AB24" s="638"/>
      <c r="AC24" s="555"/>
    </row>
    <row r="25" customFormat="false" ht="12.75" hidden="false" customHeight="false" outlineLevel="0" collapsed="false">
      <c r="A25" s="698"/>
      <c r="B25" s="38" t="s">
        <v>922</v>
      </c>
      <c r="E25" s="217" t="n">
        <f aca="false">E17</f>
        <v>0</v>
      </c>
      <c r="F25" s="217" t="n">
        <f aca="false">F17</f>
        <v>-20298.5934823261</v>
      </c>
      <c r="G25" s="217" t="n">
        <f aca="false">G17</f>
        <v>-432.798641467433</v>
      </c>
      <c r="H25" s="217" t="n">
        <f aca="false">H17</f>
        <v>734.6366124644</v>
      </c>
      <c r="I25" s="217" t="n">
        <f aca="false">I17</f>
        <v>3333.73724717424</v>
      </c>
      <c r="J25" s="217" t="n">
        <f aca="false">J17</f>
        <v>248.089470886872</v>
      </c>
      <c r="K25" s="217" t="n">
        <f aca="false">K17</f>
        <v>1233.97722062539</v>
      </c>
      <c r="L25" s="217" t="n">
        <f aca="false">L17</f>
        <v>-1843.69558276243</v>
      </c>
      <c r="M25" s="217" t="n">
        <f aca="false">M17</f>
        <v>2662.66600166854</v>
      </c>
      <c r="N25" s="217" t="n">
        <f aca="false">N17</f>
        <v>2886.98315062972</v>
      </c>
      <c r="O25" s="217" t="n">
        <f aca="false">O17</f>
        <v>2271.62752325066</v>
      </c>
      <c r="P25" s="217" t="n">
        <f aca="false">P17</f>
        <v>1935.72579234575</v>
      </c>
      <c r="Q25" s="217" t="n">
        <f aca="false">Q17</f>
        <v>2360.85554601595</v>
      </c>
      <c r="R25" s="217" t="n">
        <f aca="false">R17</f>
        <v>2560.10127948556</v>
      </c>
      <c r="S25" s="217" t="n">
        <f aca="false">S17</f>
        <v>1563.55292979564</v>
      </c>
      <c r="T25" s="217" t="n">
        <f aca="false">T17</f>
        <v>1194.87953467519</v>
      </c>
      <c r="U25" s="217" t="n">
        <f aca="false">U17</f>
        <v>4718.82177248511</v>
      </c>
      <c r="V25" s="217" t="n">
        <f aca="false">V17</f>
        <v>1783.61308207833</v>
      </c>
      <c r="W25" s="217" t="n">
        <f aca="false">W17</f>
        <v>-617.138614950762</v>
      </c>
      <c r="X25" s="217" t="n">
        <f aca="false">X17</f>
        <v>1149.28151196817</v>
      </c>
      <c r="Y25" s="217" t="n">
        <f aca="false">Y17</f>
        <v>810.09331768082</v>
      </c>
      <c r="Z25" s="217" t="n">
        <f aca="false">Z17</f>
        <v>1107.02739361651</v>
      </c>
      <c r="AA25" s="217" t="n">
        <f aca="false">AA17</f>
        <v>1356.96039166529</v>
      </c>
      <c r="AB25" s="574" t="n">
        <f aca="false">SUM(E25:AA25)</f>
        <v>10720.4034570055</v>
      </c>
      <c r="AC25" s="641" t="n">
        <f aca="false">IF('Project &amp; Investor Returns'!$I$3=0,F25+NPV(Disc,G25:AA25),E25+NPV(Disc,F25:AA25))</f>
        <v>-14345.1219782647</v>
      </c>
      <c r="AE25" s="666"/>
      <c r="AF25" s="666"/>
      <c r="AG25" s="666"/>
      <c r="AH25" s="666"/>
      <c r="AI25" s="666"/>
      <c r="AJ25" s="666"/>
      <c r="AK25" s="666"/>
      <c r="AL25" s="666"/>
      <c r="AM25" s="666"/>
      <c r="AN25" s="666"/>
      <c r="AO25" s="666"/>
      <c r="AP25" s="666"/>
      <c r="AQ25" s="666"/>
      <c r="AR25" s="666"/>
      <c r="AS25" s="666"/>
      <c r="AT25" s="666"/>
      <c r="AU25" s="666"/>
      <c r="AV25" s="666"/>
      <c r="AW25" s="666"/>
      <c r="AX25" s="666"/>
      <c r="AY25" s="666"/>
      <c r="AZ25" s="666"/>
      <c r="BA25" s="666"/>
      <c r="BB25" s="666"/>
      <c r="BC25" s="666"/>
      <c r="BD25" s="666"/>
      <c r="BE25" s="666"/>
      <c r="BF25" s="666"/>
      <c r="BG25" s="666"/>
      <c r="BH25" s="666"/>
      <c r="BI25" s="666"/>
      <c r="BJ25" s="666"/>
      <c r="BK25" s="666"/>
      <c r="BL25" s="666"/>
      <c r="BM25" s="666"/>
      <c r="BN25" s="666"/>
      <c r="BO25" s="666"/>
      <c r="BP25" s="666"/>
      <c r="BQ25" s="666"/>
      <c r="BR25" s="666"/>
      <c r="BS25" s="666"/>
      <c r="BT25" s="666"/>
      <c r="BU25" s="666"/>
      <c r="BV25" s="666"/>
      <c r="BW25" s="666"/>
      <c r="BX25" s="666"/>
      <c r="BY25" s="666"/>
      <c r="BZ25" s="666"/>
      <c r="CA25" s="666"/>
      <c r="CB25" s="666"/>
      <c r="CC25" s="666"/>
      <c r="CD25" s="666"/>
      <c r="CE25" s="666"/>
      <c r="CF25" s="666"/>
      <c r="CG25" s="666"/>
      <c r="CH25" s="666"/>
      <c r="CI25" s="666"/>
      <c r="CJ25" s="666"/>
      <c r="CK25" s="666"/>
      <c r="CL25" s="666"/>
      <c r="CM25" s="666"/>
      <c r="CN25" s="666"/>
      <c r="CO25" s="666"/>
      <c r="CP25" s="666"/>
      <c r="CQ25" s="666"/>
      <c r="CR25" s="666"/>
      <c r="CS25" s="666"/>
      <c r="CT25" s="666"/>
      <c r="CU25" s="666"/>
      <c r="CV25" s="666"/>
      <c r="CW25" s="666"/>
      <c r="CX25" s="666"/>
      <c r="CY25" s="666"/>
      <c r="CZ25" s="666"/>
      <c r="DA25" s="666"/>
      <c r="DB25" s="666"/>
      <c r="DC25" s="666"/>
      <c r="DD25" s="666"/>
      <c r="DE25" s="666"/>
      <c r="DF25" s="666"/>
      <c r="DG25" s="666"/>
      <c r="DH25" s="666"/>
      <c r="DI25" s="666"/>
      <c r="DJ25" s="666"/>
      <c r="DK25" s="666"/>
      <c r="DL25" s="666"/>
      <c r="DM25" s="666"/>
      <c r="DN25" s="666"/>
      <c r="DO25" s="666"/>
      <c r="DP25" s="666"/>
      <c r="DQ25" s="666"/>
      <c r="DR25" s="666"/>
      <c r="DS25" s="666"/>
      <c r="DT25" s="666"/>
      <c r="DU25" s="666"/>
      <c r="DV25" s="666"/>
      <c r="DW25" s="666"/>
      <c r="DX25" s="666"/>
      <c r="DY25" s="666"/>
      <c r="DZ25" s="666"/>
      <c r="EA25" s="666"/>
      <c r="EB25" s="666"/>
      <c r="EC25" s="666"/>
      <c r="ED25" s="666"/>
      <c r="EE25" s="666"/>
      <c r="EF25" s="666"/>
      <c r="EG25" s="666"/>
      <c r="EH25" s="666"/>
      <c r="EI25" s="666"/>
      <c r="EJ25" s="666"/>
      <c r="EK25" s="666"/>
      <c r="EL25" s="666"/>
      <c r="EM25" s="666"/>
      <c r="EN25" s="666"/>
      <c r="EO25" s="666"/>
      <c r="EP25" s="666"/>
      <c r="EQ25" s="666"/>
      <c r="ER25" s="666"/>
      <c r="ES25" s="666"/>
      <c r="ET25" s="666"/>
      <c r="EU25" s="666"/>
      <c r="EV25" s="666"/>
      <c r="EW25" s="666"/>
      <c r="EX25" s="666"/>
      <c r="EY25" s="666"/>
      <c r="EZ25" s="666"/>
      <c r="FA25" s="666"/>
      <c r="FB25" s="666"/>
      <c r="FC25" s="666"/>
      <c r="FD25" s="666"/>
      <c r="FE25" s="666"/>
      <c r="FF25" s="666"/>
      <c r="FG25" s="666"/>
      <c r="FH25" s="666"/>
      <c r="FI25" s="666"/>
      <c r="FJ25" s="666"/>
      <c r="FK25" s="666"/>
      <c r="FL25" s="666"/>
      <c r="FM25" s="666"/>
      <c r="FN25" s="666"/>
      <c r="FO25" s="666"/>
      <c r="FP25" s="666"/>
      <c r="FQ25" s="666"/>
      <c r="FR25" s="666"/>
      <c r="FS25" s="666"/>
      <c r="FT25" s="666"/>
      <c r="FU25" s="666"/>
      <c r="FV25" s="666"/>
      <c r="FW25" s="666"/>
      <c r="FX25" s="666"/>
      <c r="FY25" s="666"/>
      <c r="FZ25" s="666"/>
      <c r="GA25" s="666"/>
      <c r="GB25" s="666"/>
      <c r="GC25" s="666"/>
      <c r="GD25" s="666"/>
      <c r="GE25" s="666"/>
      <c r="GF25" s="666"/>
      <c r="GG25" s="666"/>
      <c r="GH25" s="666"/>
      <c r="GI25" s="666"/>
      <c r="GJ25" s="666"/>
      <c r="GK25" s="666"/>
      <c r="GL25" s="666"/>
      <c r="GM25" s="666"/>
      <c r="GN25" s="666"/>
      <c r="GO25" s="666"/>
      <c r="GP25" s="666"/>
      <c r="GQ25" s="666"/>
      <c r="GR25" s="666"/>
      <c r="GS25" s="666"/>
      <c r="GT25" s="666"/>
      <c r="GU25" s="666"/>
      <c r="GV25" s="666"/>
      <c r="GW25" s="666"/>
      <c r="GX25" s="666"/>
      <c r="GY25" s="666"/>
      <c r="GZ25" s="666"/>
      <c r="HA25" s="666"/>
      <c r="HB25" s="666"/>
      <c r="HC25" s="666"/>
      <c r="HD25" s="666"/>
      <c r="HE25" s="666"/>
      <c r="HF25" s="666"/>
      <c r="HG25" s="666"/>
      <c r="HH25" s="666"/>
      <c r="HI25" s="666"/>
      <c r="HJ25" s="666"/>
      <c r="HK25" s="666"/>
      <c r="HL25" s="666"/>
      <c r="HM25" s="666"/>
      <c r="HN25" s="666"/>
      <c r="HO25" s="666"/>
      <c r="HP25" s="666"/>
      <c r="HQ25" s="666"/>
      <c r="HR25" s="666"/>
      <c r="HS25" s="666"/>
      <c r="HT25" s="666"/>
      <c r="HU25" s="666"/>
      <c r="HV25" s="666"/>
      <c r="HW25" s="666"/>
      <c r="HX25" s="666"/>
      <c r="HY25" s="666"/>
      <c r="HZ25" s="666"/>
      <c r="IA25" s="666"/>
      <c r="IB25" s="666"/>
      <c r="IC25" s="666"/>
      <c r="ID25" s="666"/>
      <c r="IE25" s="666"/>
      <c r="IF25" s="666"/>
      <c r="IG25" s="666"/>
      <c r="IH25" s="666"/>
      <c r="II25" s="666"/>
      <c r="IJ25" s="666"/>
      <c r="IK25" s="666"/>
      <c r="IL25" s="666"/>
      <c r="IM25" s="666"/>
      <c r="IN25" s="666"/>
      <c r="IO25" s="666"/>
      <c r="IP25" s="666"/>
      <c r="IQ25" s="666"/>
      <c r="IR25" s="666"/>
      <c r="IS25" s="666"/>
      <c r="IT25" s="666"/>
      <c r="IU25" s="666"/>
      <c r="IV25" s="666"/>
      <c r="IW25" s="666"/>
    </row>
    <row r="26" customFormat="false" ht="12.75" hidden="false" customHeight="false" outlineLevel="0" collapsed="false">
      <c r="A26" s="659" t="n">
        <f aca="false">A10</f>
        <v>0.21875</v>
      </c>
      <c r="B26" s="38" t="s">
        <v>923</v>
      </c>
      <c r="E26" s="217" t="n">
        <f aca="false">-HLOOKUP(DATE(E$7,12,31),Idc_Table,IDC!$BB$89)*$A26-SUM($D26:D26)</f>
        <v>-0</v>
      </c>
      <c r="F26" s="217" t="n">
        <f aca="false">-HLOOKUP(DATE(F$7,12,31),Idc_Table,IDC!$BB$89)*$A26-SUM($D26:E26)</f>
        <v>-5758.56696361427</v>
      </c>
      <c r="G26" s="217" t="n">
        <f aca="false">-HLOOKUP(DATE(G$7,12,31),Idc_Table,IDC!$BB$89)*$A26-SUM($D26:F26)</f>
        <v>-12035.6065179504</v>
      </c>
      <c r="H26" s="217" t="n">
        <f aca="false">-HLOOKUP(DATE(H$7,12,31),Idc_Table,IDC!$BB$89)*$A26-SUM($D26:G26)</f>
        <v>-8738.04457510793</v>
      </c>
      <c r="I26" s="217" t="n">
        <f aca="false">-HLOOKUP(DATE(I$7,12,31),Idc_Table,IDC!$BB$89)*$A26-SUM($D26:H26)</f>
        <v>0</v>
      </c>
      <c r="J26" s="217" t="n">
        <f aca="false">-HLOOKUP(DATE(J$7,12,31),Idc_Table,IDC!$BB$89)*$A26-SUM($D26:I26)</f>
        <v>0</v>
      </c>
      <c r="K26" s="217" t="n">
        <f aca="false">-HLOOKUP(DATE(K$7,12,31),Idc_Table,IDC!$BB$89)*$A26-SUM($D26:J26)</f>
        <v>0</v>
      </c>
      <c r="L26" s="217" t="n">
        <f aca="false">-HLOOKUP(DATE(L$7,12,31),Idc_Table,IDC!$BB$89)*$A26-SUM($D26:K26)</f>
        <v>0</v>
      </c>
      <c r="M26" s="217" t="n">
        <f aca="false">-HLOOKUP(DATE(M$7,12,31),Idc_Table,IDC!$BB$89)*$A26-SUM($D26:L26)</f>
        <v>0</v>
      </c>
      <c r="N26" s="217" t="n">
        <f aca="false">-HLOOKUP(DATE(N$7,12,31),Idc_Table,IDC!$BB$89)*$A26-SUM($D26:M26)</f>
        <v>0</v>
      </c>
      <c r="O26" s="217" t="n">
        <f aca="false">-HLOOKUP(DATE(O$7,12,31),Idc_Table,IDC!$BB$89)*$A26-SUM($D26:N26)</f>
        <v>0</v>
      </c>
      <c r="P26" s="217" t="n">
        <f aca="false">-HLOOKUP(DATE(P$7,12,31),Idc_Table,IDC!$BB$89)*$A26-SUM($D26:O26)</f>
        <v>0</v>
      </c>
      <c r="Q26" s="217" t="n">
        <f aca="false">-HLOOKUP(DATE(Q$7,12,31),Idc_Table,IDC!$BB$89)*$A26-SUM($D26:P26)</f>
        <v>0</v>
      </c>
      <c r="R26" s="217" t="n">
        <f aca="false">-HLOOKUP(DATE(R$7,12,31),Idc_Table,IDC!$BB$89)*$A26-SUM($D26:Q26)</f>
        <v>0</v>
      </c>
      <c r="S26" s="217" t="n">
        <f aca="false">-HLOOKUP(DATE(S$7,12,31),Idc_Table,IDC!$BB$89)*$A26-SUM($D26:R26)</f>
        <v>0</v>
      </c>
      <c r="T26" s="217" t="n">
        <f aca="false">-HLOOKUP(DATE(T$7,12,31),Idc_Table,IDC!$BB$89)*$A26-SUM($D26:S26)</f>
        <v>0</v>
      </c>
      <c r="U26" s="217" t="n">
        <f aca="false">-HLOOKUP(DATE(U$7,12,31),Idc_Table,IDC!$BB$89)*$A26-SUM($D26:T26)</f>
        <v>0</v>
      </c>
      <c r="V26" s="217" t="n">
        <f aca="false">-HLOOKUP(DATE(V$7,12,31),Idc_Table,IDC!$BB$89)*$A26-SUM($D26:U26)</f>
        <v>0</v>
      </c>
      <c r="W26" s="217" t="n">
        <f aca="false">-HLOOKUP(DATE(W$7,12,31),Idc_Table,IDC!$BB$89)*$A26-SUM($D26:V26)</f>
        <v>0</v>
      </c>
      <c r="X26" s="217" t="n">
        <f aca="false">-HLOOKUP(DATE(X$7,12,31),Idc_Table,IDC!$BB$89)*$A26-SUM($D26:W26)</f>
        <v>0</v>
      </c>
      <c r="Y26" s="217" t="n">
        <f aca="false">-HLOOKUP(DATE(Y$7,12,31),Idc_Table,IDC!$BB$89)*$A26-SUM($D26:X26)</f>
        <v>0</v>
      </c>
      <c r="Z26" s="217" t="n">
        <f aca="false">-HLOOKUP(DATE(Z$7,12,31),Idc_Table,IDC!$BB$89)*$A26-SUM($D26:Y26)</f>
        <v>0</v>
      </c>
      <c r="AA26" s="217" t="n">
        <f aca="false">-HLOOKUP(DATE(AA$7,12,31),Idc_Table,IDC!$BB$89)*$A26-SUM($D26:Z26)</f>
        <v>0</v>
      </c>
      <c r="AB26" s="574" t="n">
        <f aca="false">SUM(E26:AA26)</f>
        <v>-26532.2180566726</v>
      </c>
      <c r="AC26" s="641" t="n">
        <f aca="false">IF('Project &amp; Investor Returns'!$I$3=0,F26+NPV(Disc,G26:AA26),E26+NPV(Disc,F26:AA26))</f>
        <v>-22043.0216853634</v>
      </c>
    </row>
    <row r="27" customFormat="false" ht="12.75" hidden="false" customHeight="false" outlineLevel="0" collapsed="false">
      <c r="A27" s="659"/>
      <c r="B27" s="38" t="s">
        <v>924</v>
      </c>
      <c r="E27" s="217" t="n">
        <f aca="false">IF(E$7=YEAR(Fin_Close),-SUM($D26:E26),0)</f>
        <v>0</v>
      </c>
      <c r="F27" s="217" t="n">
        <f aca="false">IF(F$7=YEAR(Fin_Close),-SUM($D26:F26),0)</f>
        <v>0</v>
      </c>
      <c r="G27" s="217" t="n">
        <f aca="false">IF(G$7=YEAR(Fin_Close),-SUM($D26:G26),0)</f>
        <v>0</v>
      </c>
      <c r="H27" s="217" t="n">
        <f aca="false">IF(H$7=YEAR(Fin_Close),-SUM($D26:H26),0)</f>
        <v>26532.2180566726</v>
      </c>
      <c r="I27" s="217" t="n">
        <f aca="false">IF(I$7=YEAR(Fin_Close),-SUM($D26:I26),0)</f>
        <v>0</v>
      </c>
      <c r="J27" s="217" t="n">
        <f aca="false">IF(J$7=YEAR(Fin_Close),-SUM($D26:J26),0)</f>
        <v>0</v>
      </c>
      <c r="K27" s="217" t="n">
        <f aca="false">IF(K$7=YEAR(Fin_Close),-SUM($D26:K26),0)</f>
        <v>0</v>
      </c>
      <c r="L27" s="217" t="n">
        <f aca="false">IF(L$7=YEAR(Fin_Close),-SUM($D26:L26),0)</f>
        <v>0</v>
      </c>
      <c r="M27" s="217" t="n">
        <f aca="false">IF(M$7=YEAR(Fin_Close),-SUM($D26:M26),0)</f>
        <v>0</v>
      </c>
      <c r="N27" s="217" t="n">
        <f aca="false">IF(N$7=YEAR(Fin_Close),-SUM($D26:N26),0)</f>
        <v>0</v>
      </c>
      <c r="O27" s="217" t="n">
        <f aca="false">IF(O$7=YEAR(Fin_Close),-SUM($D26:O26),0)</f>
        <v>0</v>
      </c>
      <c r="P27" s="217" t="n">
        <f aca="false">IF(P$7=YEAR(Fin_Close),-SUM($D26:P26),0)</f>
        <v>0</v>
      </c>
      <c r="Q27" s="217" t="n">
        <f aca="false">IF(Q$7=YEAR(Fin_Close),-SUM($D26:Q26),0)</f>
        <v>0</v>
      </c>
      <c r="R27" s="217" t="n">
        <f aca="false">IF(R$7=YEAR(Fin_Close),-SUM($D26:R26),0)</f>
        <v>0</v>
      </c>
      <c r="S27" s="217" t="n">
        <f aca="false">IF(S$7=YEAR(Fin_Close),-SUM($D26:S26),0)</f>
        <v>0</v>
      </c>
      <c r="T27" s="217" t="n">
        <f aca="false">IF(T$7=YEAR(Fin_Close),-SUM($D26:T26),0)</f>
        <v>0</v>
      </c>
      <c r="U27" s="217" t="n">
        <f aca="false">IF(U$7=YEAR(Fin_Close),-SUM($D26:U26),0)</f>
        <v>0</v>
      </c>
      <c r="V27" s="217" t="n">
        <f aca="false">IF(V$7=YEAR(Fin_Close),-SUM($D26:V26),0)</f>
        <v>0</v>
      </c>
      <c r="W27" s="217" t="n">
        <f aca="false">IF(W$7=YEAR(Fin_Close),-SUM($D26:W26),0)</f>
        <v>0</v>
      </c>
      <c r="X27" s="217" t="n">
        <f aca="false">IF(X$7=YEAR(Fin_Close),-SUM($D26:X26),0)</f>
        <v>0</v>
      </c>
      <c r="Y27" s="217" t="n">
        <f aca="false">IF(Y$7=YEAR(Fin_Close),-SUM($D26:Y26),0)</f>
        <v>0</v>
      </c>
      <c r="Z27" s="217" t="n">
        <f aca="false">IF(Z$7=YEAR(Fin_Close),-SUM($D26:Z26),0)</f>
        <v>0</v>
      </c>
      <c r="AA27" s="217" t="n">
        <f aca="false">IF(AA$7=YEAR(Fin_Close),-SUM($D26:AA26),0)</f>
        <v>0</v>
      </c>
      <c r="AB27" s="574" t="n">
        <f aca="false">SUM(E27:AA27)</f>
        <v>26532.2180566726</v>
      </c>
      <c r="AC27" s="641" t="n">
        <f aca="false">IF('Project &amp; Investor Returns'!$I$3=0,F27+NPV(Disc,G27:AA27),E27+NPV(Disc,F27:AA27))</f>
        <v>18736.1189581757</v>
      </c>
    </row>
    <row r="28" customFormat="false" ht="12.75" hidden="false" customHeight="false" outlineLevel="0" collapsed="false">
      <c r="A28" s="37"/>
      <c r="B28" s="38" t="s">
        <v>391</v>
      </c>
      <c r="D28" s="263" t="s">
        <v>392</v>
      </c>
      <c r="E28" s="217" t="n">
        <f aca="false">HLOOKUP(DATE(E$7,12,31),Idc_Table,IDC!$BB$90)*$A26-SUM($D28:D28)</f>
        <v>0</v>
      </c>
      <c r="F28" s="217" t="n">
        <f aca="false">HLOOKUP(DATE(F$7,12,31),Idc_Table,IDC!$BB$90)*$A26-SUM($D28:E28)</f>
        <v>30.2568412311565</v>
      </c>
      <c r="G28" s="217" t="n">
        <f aca="false">HLOOKUP(DATE(G$7,12,31),Idc_Table,IDC!$BB$90)*$A26-SUM($D28:F28)</f>
        <v>813.492230647852</v>
      </c>
      <c r="H28" s="217" t="n">
        <f aca="false">HLOOKUP(DATE(H$7,12,31),Idc_Table,IDC!$BB$90)*$A26-SUM($D28:G28)</f>
        <v>859.127795977902</v>
      </c>
      <c r="I28" s="217" t="n">
        <f aca="false">HLOOKUP(DATE(I$7,12,31),Idc_Table,IDC!$BB$90)*$A26-SUM($D28:H28)</f>
        <v>0</v>
      </c>
      <c r="J28" s="217" t="n">
        <f aca="false">HLOOKUP(DATE(J$7,12,31),Idc_Table,IDC!$BB$90)*$A26-SUM($D28:I28)</f>
        <v>0</v>
      </c>
      <c r="K28" s="217" t="n">
        <f aca="false">HLOOKUP(DATE(K$7,12,31),Idc_Table,IDC!$BB$90)*$A26-SUM($D28:J28)</f>
        <v>0</v>
      </c>
      <c r="L28" s="217" t="n">
        <f aca="false">HLOOKUP(DATE(L$7,12,31),Idc_Table,IDC!$BB$90)*$A26-SUM($D28:K28)</f>
        <v>0</v>
      </c>
      <c r="M28" s="217" t="n">
        <f aca="false">HLOOKUP(DATE(M$7,12,31),Idc_Table,IDC!$BB$90)*$A26-SUM($D28:L28)</f>
        <v>0</v>
      </c>
      <c r="N28" s="217" t="n">
        <f aca="false">HLOOKUP(DATE(N$7,12,31),Idc_Table,IDC!$BB$90)*$A26-SUM($D28:M28)</f>
        <v>0</v>
      </c>
      <c r="O28" s="217" t="n">
        <f aca="false">HLOOKUP(DATE(O$7,12,31),Idc_Table,IDC!$BB$90)*$A26-SUM($D28:N28)</f>
        <v>0</v>
      </c>
      <c r="P28" s="217" t="n">
        <f aca="false">HLOOKUP(DATE(P$7,12,31),Idc_Table,IDC!$BB$90)*$A26-SUM($D28:O28)</f>
        <v>0</v>
      </c>
      <c r="Q28" s="217" t="n">
        <f aca="false">HLOOKUP(DATE(Q$7,12,31),Idc_Table,IDC!$BB$90)*$A26-SUM($D28:P28)</f>
        <v>0</v>
      </c>
      <c r="R28" s="217" t="n">
        <f aca="false">HLOOKUP(DATE(R$7,12,31),Idc_Table,IDC!$BB$90)*$A26-SUM($D28:Q28)</f>
        <v>0</v>
      </c>
      <c r="S28" s="217" t="n">
        <f aca="false">HLOOKUP(DATE(S$7,12,31),Idc_Table,IDC!$BB$90)*$A26-SUM($D28:R28)</f>
        <v>0</v>
      </c>
      <c r="T28" s="217" t="n">
        <f aca="false">HLOOKUP(DATE(T$7,12,31),Idc_Table,IDC!$BB$90)*$A26-SUM($D28:S28)</f>
        <v>0</v>
      </c>
      <c r="U28" s="217" t="n">
        <f aca="false">HLOOKUP(DATE(U$7,12,31),Idc_Table,IDC!$BB$90)*$A26-SUM($D28:T28)</f>
        <v>0</v>
      </c>
      <c r="V28" s="217" t="n">
        <f aca="false">HLOOKUP(DATE(V$7,12,31),Idc_Table,IDC!$BB$90)*$A26-SUM($D28:U28)</f>
        <v>0</v>
      </c>
      <c r="W28" s="217" t="n">
        <f aca="false">HLOOKUP(DATE(W$7,12,31),Idc_Table,IDC!$BB$90)*$A26-SUM($D28:V28)</f>
        <v>0</v>
      </c>
      <c r="X28" s="217" t="n">
        <f aca="false">HLOOKUP(DATE(X$7,12,31),Idc_Table,IDC!$BB$90)*$A26-SUM($D28:W28)</f>
        <v>0</v>
      </c>
      <c r="Y28" s="217" t="n">
        <f aca="false">HLOOKUP(DATE(Y$7,12,31),Idc_Table,IDC!$BB$90)*$A26-SUM($D28:X28)</f>
        <v>0</v>
      </c>
      <c r="Z28" s="217" t="n">
        <f aca="false">HLOOKUP(DATE(Z$7,12,31),Idc_Table,IDC!$BB$90)*$A26-SUM($D28:Y28)</f>
        <v>0</v>
      </c>
      <c r="AA28" s="217" t="n">
        <f aca="false">HLOOKUP(DATE(AA$7,12,31),Idc_Table,IDC!$BB$90)*$A26-SUM($D28:Z28)</f>
        <v>0</v>
      </c>
      <c r="AB28" s="574" t="n">
        <f aca="false">SUM(E28:AA28)</f>
        <v>1702.87686785691</v>
      </c>
      <c r="AC28" s="641" t="n">
        <f aca="false">IF('Project &amp; Investor Returns'!$I$3=0,F28+NPV(Disc,G28:AA28),E28+NPV(Disc,F28:AA28))</f>
        <v>1320.54958217378</v>
      </c>
      <c r="AG28" s="667"/>
    </row>
    <row r="29" customFormat="false" ht="12.75" hidden="false" customHeight="false" outlineLevel="0" collapsed="false">
      <c r="A29" s="37"/>
      <c r="B29" s="38" t="s">
        <v>936</v>
      </c>
      <c r="C29" s="306" t="n">
        <f aca="false">Wh_Int</f>
        <v>0.15</v>
      </c>
      <c r="D29" s="263" t="s">
        <v>392</v>
      </c>
      <c r="E29" s="217" t="n">
        <f aca="false">$C$29*-E28</f>
        <v>-0</v>
      </c>
      <c r="F29" s="217" t="n">
        <f aca="false">$C$29*-F28</f>
        <v>-4.53852618467348</v>
      </c>
      <c r="G29" s="217" t="n">
        <f aca="false">$C$29*-G28</f>
        <v>-122.023834597178</v>
      </c>
      <c r="H29" s="217" t="n">
        <f aca="false">$C$29*-H28</f>
        <v>-128.869169396685</v>
      </c>
      <c r="I29" s="217" t="n">
        <f aca="false">$C$29*-I28</f>
        <v>-0</v>
      </c>
      <c r="J29" s="217" t="n">
        <f aca="false">$C$29*-J28</f>
        <v>-0</v>
      </c>
      <c r="K29" s="217" t="n">
        <f aca="false">$C$29*-K28</f>
        <v>-0</v>
      </c>
      <c r="L29" s="217" t="n">
        <f aca="false">$C$29*-L28</f>
        <v>-0</v>
      </c>
      <c r="M29" s="217" t="n">
        <f aca="false">$C$29*-M28</f>
        <v>-0</v>
      </c>
      <c r="N29" s="217" t="n">
        <f aca="false">$C$29*-N28</f>
        <v>-0</v>
      </c>
      <c r="O29" s="217" t="n">
        <f aca="false">$C$29*-O28</f>
        <v>-0</v>
      </c>
      <c r="P29" s="217" t="n">
        <f aca="false">$C$29*-P28</f>
        <v>-0</v>
      </c>
      <c r="Q29" s="217" t="n">
        <f aca="false">$C$29*-Q28</f>
        <v>-0</v>
      </c>
      <c r="R29" s="217" t="n">
        <f aca="false">$C$29*-R28</f>
        <v>-0</v>
      </c>
      <c r="S29" s="217" t="n">
        <f aca="false">$C$29*-S28</f>
        <v>-0</v>
      </c>
      <c r="T29" s="217" t="n">
        <f aca="false">$C$29*-T28</f>
        <v>-0</v>
      </c>
      <c r="U29" s="217" t="n">
        <f aca="false">$C$29*-U28</f>
        <v>-0</v>
      </c>
      <c r="V29" s="217" t="n">
        <f aca="false">$C$29*-V28</f>
        <v>-0</v>
      </c>
      <c r="W29" s="217" t="n">
        <f aca="false">$C$29*-W28</f>
        <v>-0</v>
      </c>
      <c r="X29" s="217" t="n">
        <f aca="false">$C$29*-X28</f>
        <v>-0</v>
      </c>
      <c r="Y29" s="217" t="n">
        <f aca="false">$C$29*-Y28</f>
        <v>-0</v>
      </c>
      <c r="Z29" s="217" t="n">
        <f aca="false">$C$29*-Z28</f>
        <v>-0</v>
      </c>
      <c r="AA29" s="217" t="n">
        <f aca="false">$C$29*-AA28</f>
        <v>-0</v>
      </c>
      <c r="AB29" s="574" t="n">
        <f aca="false">SUM(E29:AA29)</f>
        <v>-255.431530178537</v>
      </c>
      <c r="AC29" s="641" t="n">
        <f aca="false">IF('Project &amp; Investor Returns'!$I$3=0,F29+NPV(Disc,G29:AA29),E29+NPV(Disc,F29:AA29))</f>
        <v>-198.082437326067</v>
      </c>
      <c r="AG29" s="667"/>
    </row>
    <row r="30" customFormat="false" ht="12.75" hidden="false" customHeight="false" outlineLevel="0" collapsed="false">
      <c r="A30" s="302"/>
      <c r="B30" s="38" t="s">
        <v>926</v>
      </c>
      <c r="C30" s="306" t="n">
        <f aca="false">USTax</f>
        <v>0.37</v>
      </c>
      <c r="D30" s="79"/>
      <c r="E30" s="220" t="n">
        <f aca="false">-SUM(E28:E29)*USTax</f>
        <v>-0</v>
      </c>
      <c r="F30" s="220" t="n">
        <f aca="false">-SUM(F28:F29)*USTax</f>
        <v>-9.51577656719873</v>
      </c>
      <c r="G30" s="220" t="n">
        <f aca="false">-SUM(G28:G29)*USTax</f>
        <v>-255.843306538749</v>
      </c>
      <c r="H30" s="220" t="n">
        <f aca="false">-SUM(H28:H29)*USTax</f>
        <v>-270.19569183505</v>
      </c>
      <c r="I30" s="220" t="n">
        <f aca="false">-SUM(I28:I29)*USTax</f>
        <v>-0</v>
      </c>
      <c r="J30" s="220" t="n">
        <f aca="false">-SUM(J28:J29)*USTax</f>
        <v>-0</v>
      </c>
      <c r="K30" s="220" t="n">
        <f aca="false">-SUM(K28:K29)*USTax</f>
        <v>-0</v>
      </c>
      <c r="L30" s="220" t="n">
        <f aca="false">-SUM(L28:L29)*USTax</f>
        <v>-0</v>
      </c>
      <c r="M30" s="220" t="n">
        <f aca="false">-SUM(M28:M29)*USTax</f>
        <v>-0</v>
      </c>
      <c r="N30" s="220" t="n">
        <f aca="false">-SUM(N28:N29)*USTax</f>
        <v>-0</v>
      </c>
      <c r="O30" s="220" t="n">
        <f aca="false">-SUM(O28:O29)*USTax</f>
        <v>-0</v>
      </c>
      <c r="P30" s="220" t="n">
        <f aca="false">-SUM(P28:P29)*USTax</f>
        <v>-0</v>
      </c>
      <c r="Q30" s="220" t="n">
        <f aca="false">-SUM(Q28:Q29)*USTax</f>
        <v>-0</v>
      </c>
      <c r="R30" s="220" t="n">
        <f aca="false">-SUM(R28:R29)*USTax</f>
        <v>-0</v>
      </c>
      <c r="S30" s="220" t="n">
        <f aca="false">-SUM(S28:S29)*USTax</f>
        <v>-0</v>
      </c>
      <c r="T30" s="220" t="n">
        <f aca="false">-SUM(T28:T29)*USTax</f>
        <v>-0</v>
      </c>
      <c r="U30" s="220" t="n">
        <f aca="false">-SUM(U28:U29)*USTax</f>
        <v>-0</v>
      </c>
      <c r="V30" s="220" t="n">
        <f aca="false">-SUM(V28:V29)*USTax</f>
        <v>-0</v>
      </c>
      <c r="W30" s="220" t="n">
        <f aca="false">-SUM(W28:W29)*USTax</f>
        <v>-0</v>
      </c>
      <c r="X30" s="220" t="n">
        <f aca="false">-SUM(X28:X29)*USTax</f>
        <v>-0</v>
      </c>
      <c r="Y30" s="220" t="n">
        <f aca="false">-SUM(Y28:Y29)*USTax</f>
        <v>-0</v>
      </c>
      <c r="Z30" s="220" t="n">
        <f aca="false">-SUM(Z28:Z29)*USTax</f>
        <v>-0</v>
      </c>
      <c r="AA30" s="220" t="n">
        <f aca="false">-SUM(AA28:AA29)*USTax</f>
        <v>-0</v>
      </c>
      <c r="AB30" s="576" t="n">
        <f aca="false">SUM(E30:AA30)</f>
        <v>-535.554774940998</v>
      </c>
      <c r="AC30" s="643" t="n">
        <f aca="false">IF('Project &amp; Investor Returns'!$I$3=0,F30+NPV(Disc,G30:AA30),E30+NPV(Disc,F30:AA30))</f>
        <v>-415.312843593653</v>
      </c>
      <c r="AE30" s="414"/>
      <c r="AF30" s="414"/>
      <c r="AG30" s="667"/>
      <c r="AH30" s="414"/>
      <c r="AI30" s="414"/>
      <c r="AJ30" s="414"/>
      <c r="AK30" s="414"/>
      <c r="AL30" s="414"/>
      <c r="AM30" s="414"/>
      <c r="AN30" s="414"/>
      <c r="AO30" s="414"/>
      <c r="AP30" s="414"/>
      <c r="AQ30" s="414"/>
      <c r="AR30" s="414"/>
      <c r="AS30" s="414"/>
      <c r="AT30" s="414"/>
      <c r="AU30" s="414"/>
      <c r="AV30" s="414"/>
      <c r="AW30" s="414"/>
      <c r="AX30" s="414"/>
      <c r="AY30" s="414"/>
      <c r="AZ30" s="414"/>
      <c r="BA30" s="414"/>
      <c r="BB30" s="414"/>
      <c r="BC30" s="414"/>
      <c r="BD30" s="414"/>
      <c r="BE30" s="414"/>
      <c r="BF30" s="414"/>
      <c r="BG30" s="414"/>
      <c r="BH30" s="414"/>
      <c r="BI30" s="414"/>
      <c r="BJ30" s="414"/>
      <c r="BK30" s="414"/>
      <c r="BL30" s="414"/>
      <c r="BM30" s="414"/>
      <c r="BN30" s="414"/>
      <c r="BO30" s="414"/>
      <c r="BP30" s="414"/>
      <c r="BQ30" s="414"/>
      <c r="BR30" s="414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  <c r="CH30" s="414"/>
      <c r="CI30" s="414"/>
      <c r="CJ30" s="414"/>
      <c r="CK30" s="414"/>
      <c r="CL30" s="414"/>
      <c r="CM30" s="414"/>
      <c r="CN30" s="414"/>
      <c r="CO30" s="414"/>
      <c r="CP30" s="414"/>
      <c r="CQ30" s="414"/>
      <c r="CR30" s="414"/>
      <c r="CS30" s="414"/>
      <c r="CT30" s="414"/>
      <c r="CU30" s="414"/>
      <c r="CV30" s="414"/>
      <c r="CW30" s="414"/>
      <c r="CX30" s="414"/>
      <c r="CY30" s="414"/>
      <c r="CZ30" s="414"/>
      <c r="DA30" s="414"/>
      <c r="DB30" s="414"/>
      <c r="DC30" s="414"/>
      <c r="DD30" s="414"/>
      <c r="DE30" s="414"/>
      <c r="DF30" s="414"/>
      <c r="DG30" s="414"/>
      <c r="DH30" s="414"/>
      <c r="DI30" s="414"/>
      <c r="DJ30" s="414"/>
      <c r="DK30" s="414"/>
      <c r="DL30" s="414"/>
      <c r="DM30" s="414"/>
      <c r="DN30" s="414"/>
      <c r="DO30" s="414"/>
      <c r="DP30" s="414"/>
      <c r="DQ30" s="414"/>
      <c r="DR30" s="414"/>
      <c r="DS30" s="414"/>
      <c r="DT30" s="414"/>
      <c r="DU30" s="414"/>
      <c r="DV30" s="414"/>
      <c r="DW30" s="414"/>
      <c r="DX30" s="414"/>
      <c r="DY30" s="414"/>
      <c r="DZ30" s="414"/>
      <c r="EA30" s="414"/>
      <c r="EB30" s="414"/>
      <c r="EC30" s="414"/>
      <c r="ED30" s="414"/>
      <c r="EE30" s="414"/>
      <c r="EF30" s="414"/>
      <c r="EG30" s="414"/>
      <c r="EH30" s="414"/>
      <c r="EI30" s="414"/>
      <c r="EJ30" s="414"/>
      <c r="EK30" s="414"/>
      <c r="EL30" s="414"/>
      <c r="EM30" s="414"/>
      <c r="EN30" s="414"/>
      <c r="EO30" s="414"/>
      <c r="EP30" s="414"/>
      <c r="EQ30" s="414"/>
      <c r="ER30" s="414"/>
      <c r="ES30" s="414"/>
      <c r="ET30" s="414"/>
      <c r="EU30" s="414"/>
      <c r="EV30" s="414"/>
      <c r="EW30" s="414"/>
      <c r="EX30" s="414"/>
      <c r="EY30" s="414"/>
      <c r="EZ30" s="414"/>
      <c r="FA30" s="414"/>
      <c r="FB30" s="414"/>
      <c r="FC30" s="414"/>
      <c r="FD30" s="414"/>
      <c r="FE30" s="414"/>
      <c r="FF30" s="414"/>
      <c r="FG30" s="414"/>
      <c r="FH30" s="414"/>
      <c r="FI30" s="414"/>
      <c r="FJ30" s="414"/>
      <c r="FK30" s="414"/>
      <c r="FL30" s="414"/>
      <c r="FM30" s="414"/>
      <c r="FN30" s="414"/>
      <c r="FO30" s="414"/>
      <c r="FP30" s="414"/>
      <c r="FQ30" s="414"/>
      <c r="FR30" s="414"/>
      <c r="FS30" s="414"/>
      <c r="FT30" s="414"/>
      <c r="FU30" s="414"/>
      <c r="FV30" s="414"/>
      <c r="FW30" s="414"/>
      <c r="FX30" s="414"/>
      <c r="FY30" s="414"/>
      <c r="FZ30" s="414"/>
      <c r="GA30" s="414"/>
      <c r="GB30" s="414"/>
      <c r="GC30" s="414"/>
      <c r="GD30" s="414"/>
      <c r="GE30" s="414"/>
      <c r="GF30" s="414"/>
      <c r="GG30" s="414"/>
      <c r="GH30" s="414"/>
      <c r="GI30" s="414"/>
      <c r="GJ30" s="414"/>
      <c r="GK30" s="414"/>
      <c r="GL30" s="414"/>
      <c r="GM30" s="414"/>
      <c r="GN30" s="414"/>
      <c r="GO30" s="414"/>
      <c r="GP30" s="414"/>
      <c r="GQ30" s="414"/>
      <c r="GR30" s="414"/>
      <c r="GS30" s="414"/>
      <c r="GT30" s="414"/>
      <c r="GU30" s="414"/>
      <c r="GV30" s="414"/>
      <c r="GW30" s="414"/>
      <c r="GX30" s="414"/>
      <c r="GY30" s="414"/>
      <c r="GZ30" s="414"/>
      <c r="HA30" s="414"/>
      <c r="HB30" s="414"/>
      <c r="HC30" s="414"/>
      <c r="HD30" s="414"/>
      <c r="HE30" s="414"/>
      <c r="HF30" s="414"/>
      <c r="HG30" s="414"/>
      <c r="HH30" s="414"/>
      <c r="HI30" s="414"/>
      <c r="HJ30" s="414"/>
      <c r="HK30" s="414"/>
      <c r="HL30" s="414"/>
      <c r="HM30" s="414"/>
      <c r="HN30" s="414"/>
      <c r="HO30" s="414"/>
      <c r="HP30" s="414"/>
      <c r="HQ30" s="414"/>
      <c r="HR30" s="414"/>
      <c r="HS30" s="414"/>
      <c r="HT30" s="414"/>
      <c r="HU30" s="414"/>
      <c r="HV30" s="414"/>
      <c r="HW30" s="414"/>
      <c r="HX30" s="414"/>
      <c r="HY30" s="414"/>
      <c r="HZ30" s="414"/>
      <c r="IA30" s="414"/>
      <c r="IB30" s="414"/>
      <c r="IC30" s="414"/>
      <c r="ID30" s="414"/>
      <c r="IE30" s="414"/>
      <c r="IF30" s="414"/>
      <c r="IG30" s="414"/>
      <c r="IH30" s="414"/>
      <c r="II30" s="414"/>
      <c r="IJ30" s="414"/>
      <c r="IK30" s="414"/>
      <c r="IL30" s="414"/>
      <c r="IM30" s="414"/>
      <c r="IN30" s="414"/>
      <c r="IO30" s="414"/>
      <c r="IP30" s="414"/>
      <c r="IQ30" s="414"/>
      <c r="IR30" s="414"/>
      <c r="IS30" s="414"/>
      <c r="IT30" s="414"/>
      <c r="IU30" s="414"/>
      <c r="IV30" s="414"/>
      <c r="IW30" s="414"/>
    </row>
    <row r="31" customFormat="false" ht="12.75" hidden="false" customHeight="false" outlineLevel="0" collapsed="false">
      <c r="A31" s="698"/>
      <c r="B31" s="38" t="s">
        <v>927</v>
      </c>
      <c r="E31" s="217" t="n">
        <f aca="false">SUM(E25:E30)</f>
        <v>0</v>
      </c>
      <c r="F31" s="217" t="n">
        <f aca="false">SUM(F25:F30)</f>
        <v>-26040.957907461</v>
      </c>
      <c r="G31" s="217" t="n">
        <f aca="false">SUM(G25:G30)</f>
        <v>-12032.780069906</v>
      </c>
      <c r="H31" s="217" t="n">
        <f aca="false">SUM(H25:H30)</f>
        <v>18988.8730287753</v>
      </c>
      <c r="I31" s="217" t="n">
        <f aca="false">SUM(I25:I30)</f>
        <v>3333.73724717424</v>
      </c>
      <c r="J31" s="217" t="n">
        <f aca="false">SUM(J25:J30)</f>
        <v>248.089470886872</v>
      </c>
      <c r="K31" s="217" t="n">
        <f aca="false">SUM(K25:K30)</f>
        <v>1233.97722062539</v>
      </c>
      <c r="L31" s="217" t="n">
        <f aca="false">SUM(L25:L30)</f>
        <v>-1843.69558276243</v>
      </c>
      <c r="M31" s="217" t="n">
        <f aca="false">SUM(M25:M30)</f>
        <v>2662.66600166854</v>
      </c>
      <c r="N31" s="217" t="n">
        <f aca="false">SUM(N25:N30)</f>
        <v>2886.98315062972</v>
      </c>
      <c r="O31" s="217" t="n">
        <f aca="false">SUM(O25:O30)</f>
        <v>2271.62752325066</v>
      </c>
      <c r="P31" s="217" t="n">
        <f aca="false">SUM(P25:P30)</f>
        <v>1935.72579234575</v>
      </c>
      <c r="Q31" s="217" t="n">
        <f aca="false">SUM(Q25:Q30)</f>
        <v>2360.85554601595</v>
      </c>
      <c r="R31" s="217" t="n">
        <f aca="false">SUM(R25:R30)</f>
        <v>2560.10127948556</v>
      </c>
      <c r="S31" s="217" t="n">
        <f aca="false">SUM(S25:S30)</f>
        <v>1563.55292979564</v>
      </c>
      <c r="T31" s="217" t="n">
        <f aca="false">SUM(T25:T30)</f>
        <v>1194.87953467519</v>
      </c>
      <c r="U31" s="217" t="n">
        <f aca="false">SUM(U25:U30)</f>
        <v>4718.82177248511</v>
      </c>
      <c r="V31" s="217" t="n">
        <f aca="false">SUM(V25:V30)</f>
        <v>1783.61308207833</v>
      </c>
      <c r="W31" s="217" t="n">
        <f aca="false">SUM(W25:W30)</f>
        <v>-617.138614950762</v>
      </c>
      <c r="X31" s="217" t="n">
        <f aca="false">SUM(X25:X30)</f>
        <v>1149.28151196817</v>
      </c>
      <c r="Y31" s="217" t="n">
        <f aca="false">SUM(Y25:Y30)</f>
        <v>810.09331768082</v>
      </c>
      <c r="Z31" s="217" t="n">
        <f aca="false">SUM(Z25:Z30)</f>
        <v>1107.02739361651</v>
      </c>
      <c r="AA31" s="217" t="n">
        <f aca="false">SUM(AA25:AA30)</f>
        <v>1356.96039166529</v>
      </c>
      <c r="AB31" s="574" t="n">
        <f aca="false">SUM(E31:AA31)</f>
        <v>11632.2940197429</v>
      </c>
      <c r="AC31" s="574" t="n">
        <f aca="false">SUM(AC25:AC30)</f>
        <v>-16944.8704041983</v>
      </c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666"/>
      <c r="BH31" s="666"/>
      <c r="BI31" s="666"/>
      <c r="BJ31" s="666"/>
      <c r="BK31" s="666"/>
      <c r="BL31" s="666"/>
      <c r="BM31" s="666"/>
      <c r="BN31" s="666"/>
      <c r="BO31" s="666"/>
      <c r="BP31" s="666"/>
      <c r="BQ31" s="666"/>
      <c r="BR31" s="666"/>
      <c r="BS31" s="666"/>
      <c r="BT31" s="666"/>
      <c r="BU31" s="666"/>
      <c r="BV31" s="666"/>
      <c r="BW31" s="666"/>
      <c r="BX31" s="666"/>
      <c r="BY31" s="666"/>
      <c r="BZ31" s="666"/>
      <c r="CA31" s="666"/>
      <c r="CB31" s="666"/>
      <c r="CC31" s="666"/>
      <c r="CD31" s="666"/>
      <c r="CE31" s="666"/>
      <c r="CF31" s="666"/>
      <c r="CG31" s="666"/>
      <c r="CH31" s="666"/>
      <c r="CI31" s="666"/>
      <c r="CJ31" s="666"/>
      <c r="CK31" s="666"/>
      <c r="CL31" s="666"/>
      <c r="CM31" s="666"/>
      <c r="CN31" s="666"/>
      <c r="CO31" s="666"/>
      <c r="CP31" s="666"/>
      <c r="CQ31" s="666"/>
      <c r="CR31" s="666"/>
      <c r="CS31" s="666"/>
      <c r="CT31" s="666"/>
      <c r="CU31" s="666"/>
      <c r="CV31" s="666"/>
      <c r="CW31" s="666"/>
      <c r="CX31" s="666"/>
      <c r="CY31" s="666"/>
      <c r="CZ31" s="666"/>
      <c r="DA31" s="666"/>
      <c r="DB31" s="666"/>
      <c r="DC31" s="666"/>
      <c r="DD31" s="666"/>
      <c r="DE31" s="666"/>
      <c r="DF31" s="666"/>
      <c r="DG31" s="666"/>
      <c r="DH31" s="666"/>
      <c r="DI31" s="666"/>
      <c r="DJ31" s="666"/>
      <c r="DK31" s="666"/>
      <c r="DL31" s="666"/>
      <c r="DM31" s="666"/>
      <c r="DN31" s="666"/>
      <c r="DO31" s="666"/>
      <c r="DP31" s="666"/>
      <c r="DQ31" s="666"/>
      <c r="DR31" s="666"/>
      <c r="DS31" s="666"/>
      <c r="DT31" s="666"/>
      <c r="DU31" s="666"/>
      <c r="DV31" s="666"/>
      <c r="DW31" s="666"/>
      <c r="DX31" s="666"/>
      <c r="DY31" s="666"/>
      <c r="DZ31" s="666"/>
      <c r="EA31" s="666"/>
      <c r="EB31" s="666"/>
      <c r="EC31" s="666"/>
      <c r="ED31" s="666"/>
      <c r="EE31" s="666"/>
      <c r="EF31" s="666"/>
      <c r="EG31" s="666"/>
      <c r="EH31" s="666"/>
      <c r="EI31" s="666"/>
      <c r="EJ31" s="666"/>
      <c r="EK31" s="666"/>
      <c r="EL31" s="666"/>
      <c r="EM31" s="666"/>
      <c r="EN31" s="666"/>
      <c r="EO31" s="666"/>
      <c r="EP31" s="666"/>
      <c r="EQ31" s="666"/>
      <c r="ER31" s="666"/>
      <c r="ES31" s="666"/>
      <c r="ET31" s="666"/>
      <c r="EU31" s="666"/>
      <c r="EV31" s="666"/>
      <c r="EW31" s="666"/>
      <c r="EX31" s="666"/>
      <c r="EY31" s="666"/>
      <c r="EZ31" s="666"/>
      <c r="FA31" s="666"/>
      <c r="FB31" s="666"/>
      <c r="FC31" s="666"/>
      <c r="FD31" s="666"/>
      <c r="FE31" s="666"/>
      <c r="FF31" s="666"/>
      <c r="FG31" s="666"/>
      <c r="FH31" s="666"/>
      <c r="FI31" s="666"/>
      <c r="FJ31" s="666"/>
      <c r="FK31" s="666"/>
      <c r="FL31" s="666"/>
      <c r="FM31" s="666"/>
      <c r="FN31" s="666"/>
      <c r="FO31" s="666"/>
      <c r="FP31" s="666"/>
      <c r="FQ31" s="666"/>
      <c r="FR31" s="666"/>
      <c r="FS31" s="666"/>
      <c r="FT31" s="666"/>
      <c r="FU31" s="666"/>
      <c r="FV31" s="666"/>
      <c r="FW31" s="666"/>
      <c r="FX31" s="666"/>
      <c r="FY31" s="666"/>
      <c r="FZ31" s="666"/>
      <c r="GA31" s="666"/>
      <c r="GB31" s="666"/>
      <c r="GC31" s="666"/>
      <c r="GD31" s="666"/>
      <c r="GE31" s="666"/>
      <c r="GF31" s="666"/>
      <c r="GG31" s="666"/>
      <c r="GH31" s="666"/>
      <c r="GI31" s="666"/>
      <c r="GJ31" s="666"/>
      <c r="GK31" s="666"/>
      <c r="GL31" s="666"/>
      <c r="GM31" s="666"/>
      <c r="GN31" s="666"/>
      <c r="GO31" s="666"/>
      <c r="GP31" s="666"/>
      <c r="GQ31" s="666"/>
      <c r="GR31" s="666"/>
      <c r="GS31" s="666"/>
      <c r="GT31" s="666"/>
      <c r="GU31" s="666"/>
      <c r="GV31" s="666"/>
      <c r="GW31" s="666"/>
      <c r="GX31" s="666"/>
      <c r="GY31" s="666"/>
      <c r="GZ31" s="666"/>
      <c r="HA31" s="666"/>
      <c r="HB31" s="666"/>
      <c r="HC31" s="666"/>
      <c r="HD31" s="666"/>
      <c r="HE31" s="666"/>
      <c r="HF31" s="666"/>
      <c r="HG31" s="666"/>
      <c r="HH31" s="666"/>
      <c r="HI31" s="666"/>
      <c r="HJ31" s="666"/>
      <c r="HK31" s="666"/>
      <c r="HL31" s="666"/>
      <c r="HM31" s="666"/>
      <c r="HN31" s="666"/>
      <c r="HO31" s="666"/>
      <c r="HP31" s="666"/>
      <c r="HQ31" s="666"/>
      <c r="HR31" s="666"/>
      <c r="HS31" s="666"/>
      <c r="HT31" s="666"/>
      <c r="HU31" s="666"/>
      <c r="HV31" s="666"/>
      <c r="HW31" s="666"/>
      <c r="HX31" s="666"/>
      <c r="HY31" s="666"/>
      <c r="HZ31" s="666"/>
      <c r="IA31" s="666"/>
      <c r="IB31" s="666"/>
      <c r="IC31" s="666"/>
      <c r="ID31" s="666"/>
      <c r="IE31" s="666"/>
      <c r="IF31" s="666"/>
      <c r="IG31" s="666"/>
      <c r="IH31" s="666"/>
      <c r="II31" s="666"/>
      <c r="IJ31" s="666"/>
      <c r="IK31" s="666"/>
      <c r="IL31" s="666"/>
      <c r="IM31" s="666"/>
      <c r="IN31" s="666"/>
      <c r="IO31" s="666"/>
      <c r="IP31" s="666"/>
      <c r="IQ31" s="666"/>
      <c r="IR31" s="666"/>
      <c r="IS31" s="666"/>
      <c r="IT31" s="666"/>
      <c r="IU31" s="666"/>
      <c r="IV31" s="666"/>
      <c r="IW31" s="666"/>
    </row>
    <row r="32" customFormat="false" ht="12.75" hidden="false" customHeight="false" outlineLevel="0" collapsed="false">
      <c r="A32" s="698"/>
      <c r="E32" s="668" t="n">
        <f aca="false">SUM(E26:E30)</f>
        <v>0</v>
      </c>
      <c r="F32" s="668" t="n">
        <f aca="false">SUM(F26:F30)</f>
        <v>-5742.36442513498</v>
      </c>
      <c r="G32" s="668" t="n">
        <f aca="false">SUM(G26:G30)</f>
        <v>-11599.9814284385</v>
      </c>
      <c r="H32" s="668" t="n">
        <f aca="false">SUM(H26:H30)</f>
        <v>18254.2364163109</v>
      </c>
      <c r="I32" s="668" t="n">
        <f aca="false">SUM(I26:I30)</f>
        <v>0</v>
      </c>
      <c r="J32" s="668" t="n">
        <f aca="false">SUM(J26:J30)</f>
        <v>0</v>
      </c>
      <c r="K32" s="668" t="n">
        <f aca="false">SUM(K26:K30)</f>
        <v>0</v>
      </c>
      <c r="L32" s="668" t="n">
        <f aca="false">SUM(L26:L30)</f>
        <v>0</v>
      </c>
      <c r="M32" s="668" t="n">
        <f aca="false">SUM(M26:M30)</f>
        <v>0</v>
      </c>
      <c r="N32" s="668" t="n">
        <f aca="false">SUM(N26:N30)</f>
        <v>0</v>
      </c>
      <c r="O32" s="668" t="n">
        <f aca="false">SUM(O26:O30)</f>
        <v>0</v>
      </c>
      <c r="P32" s="668" t="n">
        <f aca="false">SUM(P26:P30)</f>
        <v>0</v>
      </c>
      <c r="Q32" s="668" t="n">
        <f aca="false">SUM(Q26:Q30)</f>
        <v>0</v>
      </c>
      <c r="R32" s="668" t="n">
        <f aca="false">SUM(R26:R30)</f>
        <v>0</v>
      </c>
      <c r="S32" s="668" t="n">
        <f aca="false">SUM(S26:S30)</f>
        <v>0</v>
      </c>
      <c r="T32" s="668" t="n">
        <f aca="false">SUM(T26:T30)</f>
        <v>0</v>
      </c>
      <c r="U32" s="668" t="n">
        <f aca="false">SUM(U26:U30)</f>
        <v>0</v>
      </c>
      <c r="V32" s="668" t="n">
        <f aca="false">SUM(V26:V30)</f>
        <v>0</v>
      </c>
      <c r="W32" s="668" t="n">
        <f aca="false">SUM(W26:W30)</f>
        <v>0</v>
      </c>
      <c r="X32" s="668" t="n">
        <f aca="false">SUM(X26:X30)</f>
        <v>0</v>
      </c>
      <c r="Y32" s="668" t="n">
        <f aca="false">SUM(Y26:Y30)</f>
        <v>0</v>
      </c>
      <c r="Z32" s="668" t="n">
        <f aca="false">SUM(Z26:Z30)</f>
        <v>0</v>
      </c>
      <c r="AA32" s="668" t="n">
        <f aca="false">SUM(AA26:AA30)</f>
        <v>0</v>
      </c>
      <c r="AB32" s="669" t="n">
        <f aca="false">SUM(AB26:AB30)</f>
        <v>911.890562737376</v>
      </c>
      <c r="AC32" s="669" t="n">
        <f aca="false">SUM(AC26:AC30)</f>
        <v>-2599.74842593363</v>
      </c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666"/>
      <c r="BH32" s="666"/>
      <c r="BI32" s="666"/>
      <c r="BJ32" s="666"/>
      <c r="BK32" s="666"/>
      <c r="BL32" s="666"/>
      <c r="BM32" s="666"/>
      <c r="BN32" s="666"/>
      <c r="BO32" s="666"/>
      <c r="BP32" s="666"/>
      <c r="BQ32" s="666"/>
      <c r="BR32" s="666"/>
      <c r="BS32" s="666"/>
      <c r="BT32" s="666"/>
      <c r="BU32" s="666"/>
      <c r="BV32" s="666"/>
      <c r="BW32" s="666"/>
      <c r="BX32" s="666"/>
      <c r="BY32" s="666"/>
      <c r="BZ32" s="666"/>
      <c r="CA32" s="666"/>
      <c r="CB32" s="666"/>
      <c r="CC32" s="666"/>
      <c r="CD32" s="666"/>
      <c r="CE32" s="666"/>
      <c r="CF32" s="666"/>
      <c r="CG32" s="666"/>
      <c r="CH32" s="666"/>
      <c r="CI32" s="666"/>
      <c r="CJ32" s="666"/>
      <c r="CK32" s="666"/>
      <c r="CL32" s="666"/>
      <c r="CM32" s="666"/>
      <c r="CN32" s="666"/>
      <c r="CO32" s="666"/>
      <c r="CP32" s="666"/>
      <c r="CQ32" s="666"/>
      <c r="CR32" s="666"/>
      <c r="CS32" s="666"/>
      <c r="CT32" s="666"/>
      <c r="CU32" s="666"/>
      <c r="CV32" s="666"/>
      <c r="CW32" s="666"/>
      <c r="CX32" s="666"/>
      <c r="CY32" s="666"/>
      <c r="CZ32" s="666"/>
      <c r="DA32" s="666"/>
      <c r="DB32" s="666"/>
      <c r="DC32" s="666"/>
      <c r="DD32" s="666"/>
      <c r="DE32" s="666"/>
      <c r="DF32" s="666"/>
      <c r="DG32" s="666"/>
      <c r="DH32" s="666"/>
      <c r="DI32" s="666"/>
      <c r="DJ32" s="666"/>
      <c r="DK32" s="666"/>
      <c r="DL32" s="666"/>
      <c r="DM32" s="666"/>
      <c r="DN32" s="666"/>
      <c r="DO32" s="666"/>
      <c r="DP32" s="666"/>
      <c r="DQ32" s="666"/>
      <c r="DR32" s="666"/>
      <c r="DS32" s="666"/>
      <c r="DT32" s="666"/>
      <c r="DU32" s="666"/>
      <c r="DV32" s="666"/>
      <c r="DW32" s="666"/>
      <c r="DX32" s="666"/>
      <c r="DY32" s="666"/>
      <c r="DZ32" s="666"/>
      <c r="EA32" s="666"/>
      <c r="EB32" s="666"/>
      <c r="EC32" s="666"/>
      <c r="ED32" s="666"/>
      <c r="EE32" s="666"/>
      <c r="EF32" s="666"/>
      <c r="EG32" s="666"/>
      <c r="EH32" s="666"/>
      <c r="EI32" s="666"/>
      <c r="EJ32" s="666"/>
      <c r="EK32" s="666"/>
      <c r="EL32" s="666"/>
      <c r="EM32" s="666"/>
      <c r="EN32" s="666"/>
      <c r="EO32" s="666"/>
      <c r="EP32" s="666"/>
      <c r="EQ32" s="666"/>
      <c r="ER32" s="666"/>
      <c r="ES32" s="666"/>
      <c r="ET32" s="666"/>
      <c r="EU32" s="666"/>
      <c r="EV32" s="666"/>
      <c r="EW32" s="666"/>
      <c r="EX32" s="666"/>
      <c r="EY32" s="666"/>
      <c r="EZ32" s="666"/>
      <c r="FA32" s="666"/>
      <c r="FB32" s="666"/>
      <c r="FC32" s="666"/>
      <c r="FD32" s="666"/>
      <c r="FE32" s="666"/>
      <c r="FF32" s="666"/>
      <c r="FG32" s="666"/>
      <c r="FH32" s="666"/>
      <c r="FI32" s="666"/>
      <c r="FJ32" s="666"/>
      <c r="FK32" s="666"/>
      <c r="FL32" s="666"/>
      <c r="FM32" s="666"/>
      <c r="FN32" s="666"/>
      <c r="FO32" s="666"/>
      <c r="FP32" s="666"/>
      <c r="FQ32" s="666"/>
      <c r="FR32" s="666"/>
      <c r="FS32" s="666"/>
      <c r="FT32" s="666"/>
      <c r="FU32" s="666"/>
      <c r="FV32" s="666"/>
      <c r="FW32" s="666"/>
      <c r="FX32" s="666"/>
      <c r="FY32" s="666"/>
      <c r="FZ32" s="666"/>
      <c r="GA32" s="666"/>
      <c r="GB32" s="666"/>
      <c r="GC32" s="666"/>
      <c r="GD32" s="666"/>
      <c r="GE32" s="666"/>
      <c r="GF32" s="666"/>
      <c r="GG32" s="666"/>
      <c r="GH32" s="666"/>
      <c r="GI32" s="666"/>
      <c r="GJ32" s="666"/>
      <c r="GK32" s="666"/>
      <c r="GL32" s="666"/>
      <c r="GM32" s="666"/>
      <c r="GN32" s="666"/>
      <c r="GO32" s="666"/>
      <c r="GP32" s="666"/>
      <c r="GQ32" s="666"/>
      <c r="GR32" s="666"/>
      <c r="GS32" s="666"/>
      <c r="GT32" s="666"/>
      <c r="GU32" s="666"/>
      <c r="GV32" s="666"/>
      <c r="GW32" s="666"/>
      <c r="GX32" s="666"/>
      <c r="GY32" s="666"/>
      <c r="GZ32" s="666"/>
      <c r="HA32" s="666"/>
      <c r="HB32" s="666"/>
      <c r="HC32" s="666"/>
      <c r="HD32" s="666"/>
      <c r="HE32" s="666"/>
      <c r="HF32" s="666"/>
      <c r="HG32" s="666"/>
      <c r="HH32" s="666"/>
      <c r="HI32" s="666"/>
      <c r="HJ32" s="666"/>
      <c r="HK32" s="666"/>
      <c r="HL32" s="666"/>
      <c r="HM32" s="666"/>
      <c r="HN32" s="666"/>
      <c r="HO32" s="666"/>
      <c r="HP32" s="666"/>
      <c r="HQ32" s="666"/>
      <c r="HR32" s="666"/>
      <c r="HS32" s="666"/>
      <c r="HT32" s="666"/>
      <c r="HU32" s="666"/>
      <c r="HV32" s="666"/>
      <c r="HW32" s="666"/>
      <c r="HX32" s="666"/>
      <c r="HY32" s="666"/>
      <c r="HZ32" s="666"/>
      <c r="IA32" s="666"/>
      <c r="IB32" s="666"/>
      <c r="IC32" s="666"/>
      <c r="ID32" s="666"/>
      <c r="IE32" s="666"/>
      <c r="IF32" s="666"/>
      <c r="IG32" s="666"/>
      <c r="IH32" s="666"/>
      <c r="II32" s="666"/>
      <c r="IJ32" s="666"/>
      <c r="IK32" s="666"/>
      <c r="IL32" s="666"/>
      <c r="IM32" s="666"/>
      <c r="IN32" s="666"/>
      <c r="IO32" s="666"/>
      <c r="IP32" s="666"/>
      <c r="IQ32" s="666"/>
      <c r="IR32" s="666"/>
      <c r="IS32" s="666"/>
      <c r="IT32" s="666"/>
      <c r="IU32" s="666"/>
      <c r="IV32" s="666"/>
      <c r="IW32" s="666"/>
    </row>
    <row r="33" customFormat="false" ht="12.75" hidden="false" customHeight="false" outlineLevel="0" collapsed="false">
      <c r="A33" s="37"/>
      <c r="B33" s="38" t="s">
        <v>899</v>
      </c>
      <c r="E33" s="645" t="n">
        <f aca="false">$E31</f>
        <v>0</v>
      </c>
      <c r="F33" s="645" t="n">
        <f aca="false">IF('Project &amp; Investor Returns'!$I$3=0,$F31,$E31+NPV(Disc,$F31:F31))</f>
        <v>-26040.957907461</v>
      </c>
      <c r="G33" s="217" t="n">
        <f aca="false">IF('Project &amp; Investor Returns'!$I$3=0,$F31+NPV(Disc,$G31:G31),$E31+NPV(Disc,$F31:G31))</f>
        <v>-36152.5377981383</v>
      </c>
      <c r="H33" s="217" t="n">
        <f aca="false">IF('Project &amp; Investor Returns'!$I$3=0,$F31+NPV(Disc,$G31:H31),$E31+NPV(Disc,$F31:H31))</f>
        <v>-22743.263715252</v>
      </c>
      <c r="I33" s="217" t="n">
        <f aca="false">IF('Project &amp; Investor Returns'!$I$3=0,$F31+NPV(Disc,$G31:I31),$E31+NPV(Disc,$F31:I31))</f>
        <v>-20764.9713124733</v>
      </c>
      <c r="J33" s="217" t="n">
        <f aca="false">IF('Project &amp; Investor Returns'!$I$3=0,$F31+NPV(Disc,$G31:J31),$E31+NPV(Disc,$F31:J31))</f>
        <v>-20641.2568457887</v>
      </c>
      <c r="K33" s="217" t="n">
        <f aca="false">IF('Project &amp; Investor Returns'!$I$3=0,$F31+NPV(Disc,$G31:K31),$E31+NPV(Disc,$F31:K31))</f>
        <v>-20124.1594677424</v>
      </c>
      <c r="L33" s="217" t="n">
        <f aca="false">IF('Project &amp; Investor Returns'!$I$3=0,$F31+NPV(Disc,$G31:L31),$E31+NPV(Disc,$F31:L31))</f>
        <v>-20773.4027233263</v>
      </c>
      <c r="M33" s="217" t="n">
        <f aca="false">IF('Project &amp; Investor Returns'!$I$3=0,$F31+NPV(Disc,$G31:M31),$E31+NPV(Disc,$F31:M31))</f>
        <v>-19985.4721301489</v>
      </c>
      <c r="N33" s="217" t="n">
        <f aca="false">IF('Project &amp; Investor Returns'!$I$3=0,$F31+NPV(Disc,$G31:N31),$E31+NPV(Disc,$F31:N31))</f>
        <v>-19267.5645183687</v>
      </c>
      <c r="O33" s="217" t="n">
        <f aca="false">IF('Project &amp; Investor Returns'!$I$3=0,$F31+NPV(Disc,$G31:O31),$E31+NPV(Disc,$F31:O31))</f>
        <v>-18792.8697236623</v>
      </c>
      <c r="P33" s="217" t="n">
        <f aca="false">IF('Project &amp; Investor Returns'!$I$3=0,$F31+NPV(Disc,$G31:P31),$E31+NPV(Disc,$F31:P31))</f>
        <v>-18452.9516766401</v>
      </c>
      <c r="Q33" s="217" t="n">
        <f aca="false">IF('Project &amp; Investor Returns'!$I$3=0,$F31+NPV(Disc,$G31:Q31),$E31+NPV(Disc,$F31:Q31))</f>
        <v>-18104.5719778436</v>
      </c>
      <c r="R33" s="217" t="n">
        <f aca="false">IF('Project &amp; Investor Returns'!$I$3=0,$F31+NPV(Disc,$G31:R31),$E31+NPV(Disc,$F31:R31))</f>
        <v>-17787.108616761</v>
      </c>
      <c r="S33" s="217" t="n">
        <f aca="false">IF('Project &amp; Investor Returns'!$I$3=0,$F31+NPV(Disc,$G31:S31),$E31+NPV(Disc,$F31:S31))</f>
        <v>-17624.1782295723</v>
      </c>
      <c r="T33" s="217" t="n">
        <f aca="false">IF('Project &amp; Investor Returns'!$I$3=0,$F31+NPV(Disc,$G31:T31),$E31+NPV(Disc,$F31:T31))</f>
        <v>-17519.545714827</v>
      </c>
      <c r="U33" s="217" t="n">
        <f aca="false">IF('Project &amp; Investor Returns'!$I$3=0,$F31+NPV(Disc,$G31:U31),$E31+NPV(Disc,$F31:U31))</f>
        <v>-17172.3061896532</v>
      </c>
      <c r="V33" s="217" t="n">
        <f aca="false">IF('Project &amp; Investor Returns'!$I$3=0,$F31+NPV(Disc,$G31:V31),$E31+NPV(Disc,$F31:V31))</f>
        <v>-17062.0128551963</v>
      </c>
      <c r="W33" s="217" t="n">
        <f aca="false">IF('Project &amp; Investor Returns'!$I$3=0,$F31+NPV(Disc,$G31:W31),$E31+NPV(Disc,$F31:W31))</f>
        <v>-17094.0817784139</v>
      </c>
      <c r="X33" s="217" t="n">
        <f aca="false">IF('Project &amp; Investor Returns'!$I$3=0,$F31+NPV(Disc,$G31:X31),$E31+NPV(Disc,$F31:X31))</f>
        <v>-17043.8959479247</v>
      </c>
      <c r="Y33" s="217" t="n">
        <f aca="false">IF('Project &amp; Investor Returns'!$I$3=0,$F31+NPV(Disc,$G31:Y31),$E31+NPV(Disc,$F31:Y31))</f>
        <v>-17014.1695160334</v>
      </c>
      <c r="Z33" s="217" t="n">
        <f aca="false">IF('Project &amp; Investor Returns'!$I$3=0,$F31+NPV(Disc,$G31:Z31),$E31+NPV(Disc,$F31:Z31))</f>
        <v>-16980.0330043356</v>
      </c>
      <c r="AA33" s="217" t="n">
        <f aca="false">IF('Project &amp; Investor Returns'!$I$3=0,$F31+NPV(Disc,$G31:AA31),$E31+NPV(Disc,$F31:AA31))</f>
        <v>-16944.8704041983</v>
      </c>
      <c r="AB33" s="640"/>
      <c r="AC33" s="574" t="n">
        <f aca="false">AC31</f>
        <v>-16944.8704041983</v>
      </c>
      <c r="AD33" s="668" t="n">
        <f aca="false">NPV(Disc,F32:AA32)+E32</f>
        <v>-2184.66254280137</v>
      </c>
    </row>
    <row r="34" customFormat="false" ht="12.75" hidden="false" customHeight="false" outlineLevel="0" collapsed="false">
      <c r="A34" s="37"/>
      <c r="B34" s="38" t="s">
        <v>900</v>
      </c>
      <c r="E34" s="260" t="e">
        <f aca="false">IRR($E31:E31,-0.9)</f>
        <v>#N/A</v>
      </c>
      <c r="F34" s="260" t="e">
        <f aca="false">IRR($E31:F31,-0.9)</f>
        <v>#N/A</v>
      </c>
      <c r="G34" s="260" t="e">
        <f aca="false">IRR($E31:G31,-0.9)</f>
        <v>#N/A</v>
      </c>
      <c r="H34" s="260" t="n">
        <f aca="false">IRR($E31:H31,-0.9)</f>
        <v>-0.346405771547409</v>
      </c>
      <c r="I34" s="260" t="n">
        <f aca="false">IRR($E31:I31,-0.9)</f>
        <v>-0.254192956067436</v>
      </c>
      <c r="J34" s="260" t="n">
        <f aca="false">IRR($E31:J31,-0.9)</f>
        <v>-0.246527498571604</v>
      </c>
      <c r="K34" s="260" t="n">
        <f aca="false">IRR($E31:K31,-0.9)</f>
        <v>-0.204912133307501</v>
      </c>
      <c r="L34" s="260" t="e">
        <f aca="false">IRR($E31:L31,-0.9)</f>
        <v>#N/A</v>
      </c>
      <c r="M34" s="260" t="e">
        <f aca="false">IRR($E31:M31,-0.9)</f>
        <v>#N/A</v>
      </c>
      <c r="N34" s="260" t="e">
        <f aca="false">IRR($E31:N31,-0.9)</f>
        <v>#N/A</v>
      </c>
      <c r="O34" s="260" t="e">
        <f aca="false">IRR($E31:O31,-0.9)</f>
        <v>#N/A</v>
      </c>
      <c r="P34" s="260" t="e">
        <f aca="false">IRR($E31:P31,-0.9)</f>
        <v>#N/A</v>
      </c>
      <c r="Q34" s="260" t="e">
        <f aca="false">IRR($E31:Q31,-0.9)</f>
        <v>#N/A</v>
      </c>
      <c r="R34" s="260" t="e">
        <f aca="false">IRR($E31:R31,-0.9)</f>
        <v>#N/A</v>
      </c>
      <c r="S34" s="260" t="e">
        <f aca="false">IRR($E31:S31,-0.9)</f>
        <v>#N/A</v>
      </c>
      <c r="T34" s="260" t="e">
        <f aca="false">IRR($E31:T31,-0.9)</f>
        <v>#N/A</v>
      </c>
      <c r="U34" s="260" t="e">
        <f aca="false">IRR($E31:U31,-0.9)</f>
        <v>#N/A</v>
      </c>
      <c r="V34" s="260" t="e">
        <f aca="false">IRR($E31:V31,-0.9)</f>
        <v>#N/A</v>
      </c>
      <c r="W34" s="260" t="e">
        <f aca="false">IRR($E31:W31,-0.9)</f>
        <v>#N/A</v>
      </c>
      <c r="X34" s="260" t="e">
        <f aca="false">IRR($E31:X31,-0.9)</f>
        <v>#N/A</v>
      </c>
      <c r="Y34" s="260" t="e">
        <f aca="false">IRR($E31:Y31,-0.9)</f>
        <v>#N/A</v>
      </c>
      <c r="Z34" s="260" t="e">
        <f aca="false">IRR($E31:Z31,-0.9)</f>
        <v>#N/A</v>
      </c>
      <c r="AA34" s="260" t="e">
        <f aca="false">IRR($E31:AA31,-0.9)</f>
        <v>#N/A</v>
      </c>
      <c r="AB34" s="638"/>
      <c r="AC34" s="646" t="e">
        <f aca="false">IRR(E31:AA31,-0.9)</f>
        <v>#N/A</v>
      </c>
      <c r="AD34" s="670" t="n">
        <f aca="false">IF(ISERROR(IRR(E32:AA32,-0.9)),"Infinite",IRR(E32:AA32,-0.9))</f>
        <v>0.0391212207496705</v>
      </c>
    </row>
    <row r="35" customFormat="false" ht="12.75" hidden="false" customHeight="true" outlineLevel="0" collapsed="false">
      <c r="A35" s="37"/>
      <c r="C35" s="671" t="s">
        <v>908</v>
      </c>
      <c r="D35" s="671" t="s">
        <v>909</v>
      </c>
      <c r="E35" s="637"/>
      <c r="F35" s="637"/>
      <c r="G35" s="637"/>
      <c r="H35" s="637"/>
      <c r="I35" s="637"/>
      <c r="J35" s="637"/>
      <c r="K35" s="637"/>
      <c r="L35" s="637"/>
      <c r="M35" s="637"/>
      <c r="N35" s="637"/>
      <c r="O35" s="637"/>
      <c r="P35" s="637"/>
      <c r="Q35" s="637"/>
      <c r="R35" s="637"/>
      <c r="S35" s="637"/>
      <c r="T35" s="637"/>
      <c r="U35" s="637"/>
      <c r="V35" s="637"/>
      <c r="W35" s="637"/>
      <c r="X35" s="637"/>
      <c r="Y35" s="637"/>
      <c r="Z35" s="637"/>
      <c r="AA35" s="637"/>
      <c r="AB35" s="638"/>
      <c r="AC35" s="555"/>
    </row>
    <row r="36" customFormat="false" ht="12.75" hidden="false" customHeight="false" outlineLevel="0" collapsed="false">
      <c r="A36" s="37"/>
      <c r="B36" s="647" t="str">
        <f aca="false">CONCATENATE("Shell NPV (w/ Bridge Loan) @ ",TEXT(Disc,"0.0%"))</f>
        <v>Shell NPV (w/ Bridge Loan) @ 19.0%</v>
      </c>
      <c r="C36" s="672" t="n">
        <f aca="false">AC33</f>
        <v>-16944.8704041983</v>
      </c>
      <c r="D36" s="648" t="n">
        <f aca="false">AD33</f>
        <v>-2184.66254280137</v>
      </c>
      <c r="F36" s="649"/>
      <c r="G36" s="649"/>
      <c r="H36" s="649"/>
      <c r="I36" s="649"/>
      <c r="J36" s="649"/>
      <c r="K36" s="649"/>
      <c r="L36" s="649"/>
      <c r="M36" s="649"/>
      <c r="N36" s="649"/>
      <c r="O36" s="649"/>
      <c r="P36" s="649"/>
      <c r="Q36" s="649"/>
      <c r="R36" s="649"/>
      <c r="S36" s="649"/>
      <c r="T36" s="649"/>
      <c r="U36" s="649"/>
      <c r="V36" s="649"/>
      <c r="W36" s="649"/>
      <c r="X36" s="649"/>
      <c r="Y36" s="649"/>
      <c r="Z36" s="649"/>
      <c r="AA36" s="649"/>
      <c r="AB36" s="638"/>
      <c r="AC36" s="555"/>
    </row>
    <row r="37" customFormat="false" ht="12.75" hidden="false" customHeight="false" outlineLevel="0" collapsed="false">
      <c r="A37" s="563"/>
      <c r="B37" s="662" t="s">
        <v>937</v>
      </c>
      <c r="C37" s="723" t="e">
        <f aca="false">AC34</f>
        <v>#N/A</v>
      </c>
      <c r="D37" s="724" t="n">
        <f aca="false">AD34</f>
        <v>0.0391212207496705</v>
      </c>
      <c r="E37" s="700"/>
      <c r="F37" s="700"/>
      <c r="G37" s="700"/>
      <c r="H37" s="700"/>
      <c r="I37" s="700"/>
      <c r="J37" s="700"/>
      <c r="K37" s="700"/>
      <c r="L37" s="700"/>
      <c r="M37" s="700"/>
      <c r="N37" s="700"/>
      <c r="O37" s="700"/>
      <c r="P37" s="700"/>
      <c r="Q37" s="700"/>
      <c r="R37" s="700"/>
      <c r="S37" s="700"/>
      <c r="T37" s="700"/>
      <c r="U37" s="700"/>
      <c r="V37" s="700"/>
      <c r="W37" s="700"/>
      <c r="X37" s="700"/>
      <c r="Y37" s="700"/>
      <c r="Z37" s="700"/>
      <c r="AA37" s="700"/>
      <c r="AB37" s="701"/>
      <c r="AC37" s="665"/>
    </row>
    <row r="38" customFormat="false" ht="12.75" hidden="false" customHeight="false" outlineLevel="0" collapsed="false">
      <c r="A38" s="37"/>
      <c r="AB38" s="555"/>
      <c r="AC38" s="555"/>
    </row>
    <row r="39" customFormat="false" ht="12.75" hidden="false" customHeight="false" outlineLevel="0" collapsed="false">
      <c r="A39" s="698"/>
      <c r="B39" s="38" t="s">
        <v>901</v>
      </c>
      <c r="E39" s="217" t="n">
        <f aca="false">E31</f>
        <v>0</v>
      </c>
      <c r="F39" s="217" t="n">
        <f aca="false">F31</f>
        <v>-26040.957907461</v>
      </c>
      <c r="G39" s="217" t="n">
        <f aca="false">G31</f>
        <v>-12032.780069906</v>
      </c>
      <c r="H39" s="217" t="n">
        <f aca="false">H31</f>
        <v>18988.8730287753</v>
      </c>
      <c r="I39" s="217" t="n">
        <f aca="false">I31</f>
        <v>3333.73724717424</v>
      </c>
      <c r="J39" s="217" t="n">
        <f aca="false">J31</f>
        <v>248.089470886872</v>
      </c>
      <c r="K39" s="217" t="n">
        <f aca="false">K31</f>
        <v>1233.97722062539</v>
      </c>
      <c r="L39" s="217" t="n">
        <f aca="false">L31</f>
        <v>-1843.69558276243</v>
      </c>
      <c r="M39" s="217" t="n">
        <f aca="false">M31</f>
        <v>2662.66600166854</v>
      </c>
      <c r="N39" s="217" t="n">
        <f aca="false">N31</f>
        <v>2886.98315062972</v>
      </c>
      <c r="O39" s="217" t="n">
        <f aca="false">O31</f>
        <v>2271.62752325066</v>
      </c>
      <c r="P39" s="217" t="n">
        <f aca="false">P31</f>
        <v>1935.72579234575</v>
      </c>
      <c r="Q39" s="217" t="n">
        <f aca="false">Q31</f>
        <v>2360.85554601595</v>
      </c>
      <c r="R39" s="217" t="n">
        <f aca="false">R31</f>
        <v>2560.10127948556</v>
      </c>
      <c r="S39" s="217" t="n">
        <f aca="false">S31</f>
        <v>1563.55292979564</v>
      </c>
      <c r="T39" s="217" t="n">
        <f aca="false">T31</f>
        <v>1194.87953467519</v>
      </c>
      <c r="U39" s="217" t="n">
        <f aca="false">U31</f>
        <v>4718.82177248511</v>
      </c>
      <c r="V39" s="217" t="n">
        <f aca="false">V31</f>
        <v>1783.61308207833</v>
      </c>
      <c r="W39" s="217" t="n">
        <f aca="false">W31</f>
        <v>-617.138614950762</v>
      </c>
      <c r="X39" s="217" t="n">
        <f aca="false">X31</f>
        <v>1149.28151196817</v>
      </c>
      <c r="Y39" s="217" t="n">
        <f aca="false">Y31</f>
        <v>810.09331768082</v>
      </c>
      <c r="Z39" s="217" t="n">
        <f aca="false">Z31</f>
        <v>1107.02739361651</v>
      </c>
      <c r="AA39" s="217" t="n">
        <f aca="false">AA31</f>
        <v>1356.96039166529</v>
      </c>
      <c r="AB39" s="574" t="n">
        <f aca="false">SUM(E39:AA39)</f>
        <v>11632.2940197429</v>
      </c>
      <c r="AC39" s="641" t="n">
        <f aca="false">IF('Project &amp; Investor Returns'!$I$3=0,F39+NPV(Disc,G39:AA39),E39+NPV(Disc,F39:AA39))</f>
        <v>-16944.8704041983</v>
      </c>
      <c r="AE39" s="666"/>
      <c r="AF39" s="666"/>
      <c r="AG39" s="666"/>
      <c r="AH39" s="666"/>
      <c r="AI39" s="666"/>
      <c r="AJ39" s="666"/>
      <c r="AK39" s="666"/>
      <c r="AL39" s="666"/>
      <c r="AM39" s="666"/>
      <c r="AN39" s="666"/>
      <c r="AO39" s="666"/>
      <c r="AP39" s="666"/>
      <c r="AQ39" s="666"/>
      <c r="AR39" s="666"/>
      <c r="AS39" s="666"/>
      <c r="AT39" s="666"/>
      <c r="AU39" s="666"/>
      <c r="AV39" s="666"/>
      <c r="AW39" s="666"/>
      <c r="AX39" s="666"/>
      <c r="AY39" s="666"/>
      <c r="AZ39" s="666"/>
      <c r="BA39" s="666"/>
      <c r="BB39" s="666"/>
      <c r="BC39" s="666"/>
      <c r="BD39" s="666"/>
      <c r="BE39" s="666"/>
      <c r="BF39" s="666"/>
      <c r="BG39" s="666"/>
      <c r="BH39" s="666"/>
      <c r="BI39" s="666"/>
      <c r="BJ39" s="666"/>
      <c r="BK39" s="666"/>
      <c r="BL39" s="666"/>
      <c r="BM39" s="666"/>
      <c r="BN39" s="666"/>
      <c r="BO39" s="666"/>
      <c r="BP39" s="666"/>
      <c r="BQ39" s="666"/>
      <c r="BR39" s="666"/>
      <c r="BS39" s="666"/>
      <c r="BT39" s="666"/>
      <c r="BU39" s="666"/>
      <c r="BV39" s="666"/>
      <c r="BW39" s="666"/>
      <c r="BX39" s="666"/>
      <c r="BY39" s="666"/>
      <c r="BZ39" s="666"/>
      <c r="CA39" s="666"/>
      <c r="CB39" s="666"/>
      <c r="CC39" s="666"/>
      <c r="CD39" s="666"/>
      <c r="CE39" s="666"/>
      <c r="CF39" s="666"/>
      <c r="CG39" s="666"/>
      <c r="CH39" s="666"/>
      <c r="CI39" s="666"/>
      <c r="CJ39" s="666"/>
      <c r="CK39" s="666"/>
      <c r="CL39" s="666"/>
      <c r="CM39" s="666"/>
      <c r="CN39" s="666"/>
      <c r="CO39" s="666"/>
      <c r="CP39" s="666"/>
      <c r="CQ39" s="666"/>
      <c r="CR39" s="666"/>
      <c r="CS39" s="666"/>
      <c r="CT39" s="666"/>
      <c r="CU39" s="666"/>
      <c r="CV39" s="666"/>
      <c r="CW39" s="666"/>
      <c r="CX39" s="666"/>
      <c r="CY39" s="666"/>
      <c r="CZ39" s="666"/>
      <c r="DA39" s="666"/>
      <c r="DB39" s="666"/>
      <c r="DC39" s="666"/>
      <c r="DD39" s="666"/>
      <c r="DE39" s="666"/>
      <c r="DF39" s="666"/>
      <c r="DG39" s="666"/>
      <c r="DH39" s="666"/>
      <c r="DI39" s="666"/>
      <c r="DJ39" s="666"/>
      <c r="DK39" s="666"/>
      <c r="DL39" s="666"/>
      <c r="DM39" s="666"/>
      <c r="DN39" s="666"/>
      <c r="DO39" s="666"/>
      <c r="DP39" s="666"/>
      <c r="DQ39" s="666"/>
      <c r="DR39" s="666"/>
      <c r="DS39" s="666"/>
      <c r="DT39" s="666"/>
      <c r="DU39" s="666"/>
      <c r="DV39" s="666"/>
      <c r="DW39" s="666"/>
      <c r="DX39" s="666"/>
      <c r="DY39" s="666"/>
      <c r="DZ39" s="666"/>
      <c r="EA39" s="666"/>
      <c r="EB39" s="666"/>
      <c r="EC39" s="666"/>
      <c r="ED39" s="666"/>
      <c r="EE39" s="666"/>
      <c r="EF39" s="666"/>
      <c r="EG39" s="666"/>
      <c r="EH39" s="666"/>
      <c r="EI39" s="666"/>
      <c r="EJ39" s="666"/>
      <c r="EK39" s="666"/>
      <c r="EL39" s="666"/>
      <c r="EM39" s="666"/>
      <c r="EN39" s="666"/>
      <c r="EO39" s="666"/>
      <c r="EP39" s="666"/>
      <c r="EQ39" s="666"/>
      <c r="ER39" s="666"/>
      <c r="ES39" s="666"/>
      <c r="ET39" s="666"/>
      <c r="EU39" s="666"/>
      <c r="EV39" s="666"/>
      <c r="EW39" s="666"/>
      <c r="EX39" s="666"/>
      <c r="EY39" s="666"/>
      <c r="EZ39" s="666"/>
      <c r="FA39" s="666"/>
      <c r="FB39" s="666"/>
      <c r="FC39" s="666"/>
      <c r="FD39" s="666"/>
      <c r="FE39" s="666"/>
      <c r="FF39" s="666"/>
      <c r="FG39" s="666"/>
      <c r="FH39" s="666"/>
      <c r="FI39" s="666"/>
      <c r="FJ39" s="666"/>
      <c r="FK39" s="666"/>
      <c r="FL39" s="666"/>
      <c r="FM39" s="666"/>
      <c r="FN39" s="666"/>
      <c r="FO39" s="666"/>
      <c r="FP39" s="666"/>
      <c r="FQ39" s="666"/>
      <c r="FR39" s="666"/>
      <c r="FS39" s="666"/>
      <c r="FT39" s="666"/>
      <c r="FU39" s="666"/>
      <c r="FV39" s="666"/>
      <c r="FW39" s="666"/>
      <c r="FX39" s="666"/>
      <c r="FY39" s="666"/>
      <c r="FZ39" s="666"/>
      <c r="GA39" s="666"/>
      <c r="GB39" s="666"/>
      <c r="GC39" s="666"/>
      <c r="GD39" s="666"/>
      <c r="GE39" s="666"/>
      <c r="GF39" s="666"/>
      <c r="GG39" s="666"/>
      <c r="GH39" s="666"/>
      <c r="GI39" s="666"/>
      <c r="GJ39" s="666"/>
      <c r="GK39" s="666"/>
      <c r="GL39" s="666"/>
      <c r="GM39" s="666"/>
      <c r="GN39" s="666"/>
      <c r="GO39" s="666"/>
      <c r="GP39" s="666"/>
      <c r="GQ39" s="666"/>
      <c r="GR39" s="666"/>
      <c r="GS39" s="666"/>
      <c r="GT39" s="666"/>
      <c r="GU39" s="666"/>
      <c r="GV39" s="666"/>
      <c r="GW39" s="666"/>
      <c r="GX39" s="666"/>
      <c r="GY39" s="666"/>
      <c r="GZ39" s="666"/>
      <c r="HA39" s="666"/>
      <c r="HB39" s="666"/>
      <c r="HC39" s="666"/>
      <c r="HD39" s="666"/>
      <c r="HE39" s="666"/>
      <c r="HF39" s="666"/>
      <c r="HG39" s="666"/>
      <c r="HH39" s="666"/>
      <c r="HI39" s="666"/>
      <c r="HJ39" s="666"/>
      <c r="HK39" s="666"/>
      <c r="HL39" s="666"/>
      <c r="HM39" s="666"/>
      <c r="HN39" s="666"/>
      <c r="HO39" s="666"/>
      <c r="HP39" s="666"/>
      <c r="HQ39" s="666"/>
      <c r="HR39" s="666"/>
      <c r="HS39" s="666"/>
      <c r="HT39" s="666"/>
      <c r="HU39" s="666"/>
      <c r="HV39" s="666"/>
      <c r="HW39" s="666"/>
      <c r="HX39" s="666"/>
      <c r="HY39" s="666"/>
      <c r="HZ39" s="666"/>
      <c r="IA39" s="666"/>
      <c r="IB39" s="666"/>
      <c r="IC39" s="666"/>
      <c r="ID39" s="666"/>
      <c r="IE39" s="666"/>
      <c r="IF39" s="666"/>
      <c r="IG39" s="666"/>
      <c r="IH39" s="666"/>
      <c r="II39" s="666"/>
      <c r="IJ39" s="666"/>
      <c r="IK39" s="666"/>
      <c r="IL39" s="666"/>
      <c r="IM39" s="666"/>
      <c r="IN39" s="666"/>
      <c r="IO39" s="666"/>
      <c r="IP39" s="666"/>
      <c r="IQ39" s="666"/>
      <c r="IR39" s="666"/>
      <c r="IS39" s="666"/>
      <c r="IT39" s="666"/>
      <c r="IU39" s="666"/>
      <c r="IV39" s="666"/>
      <c r="IW39" s="666"/>
    </row>
    <row r="40" customFormat="false" ht="12.75" hidden="false" customHeight="false" outlineLevel="0" collapsed="false">
      <c r="A40" s="659" t="n">
        <f aca="false">A26</f>
        <v>0.21875</v>
      </c>
      <c r="B40" s="38" t="s">
        <v>929</v>
      </c>
      <c r="E40" s="217" t="n">
        <f aca="false">-HLOOKUP(DATE(E$7,12,31),Idc_Table,IDC!$BB$49)*$A40-SUM($D40:D40)</f>
        <v>-0</v>
      </c>
      <c r="F40" s="217" t="n">
        <f aca="false">-HLOOKUP(DATE(F$7,12,31),Idc_Table,IDC!$BB$49)*$A40-SUM($D40:E40)</f>
        <v>-0</v>
      </c>
      <c r="G40" s="217" t="n">
        <f aca="false">-HLOOKUP(DATE(G$7,12,31),Idc_Table,IDC!$BB$49)*$A40-SUM($D40:F40)</f>
        <v>-0</v>
      </c>
      <c r="H40" s="217" t="n">
        <f aca="false">-HLOOKUP(DATE(H$7,12,31),Idc_Table,IDC!$BB$49)*$A40-SUM($D40:G40)</f>
        <v>-8174.41614209248</v>
      </c>
      <c r="I40" s="217" t="n">
        <f aca="false">-HLOOKUP(DATE(I$7,12,31),Idc_Table,IDC!$BB$49)*$A40-SUM($D40:H40)</f>
        <v>-2708.35546757348</v>
      </c>
      <c r="J40" s="217" t="n">
        <f aca="false">-HLOOKUP(DATE(J$7,12,31),Idc_Table,IDC!$BB$49)*$A40-SUM($D40:I40)</f>
        <v>0</v>
      </c>
      <c r="K40" s="217" t="n">
        <f aca="false">-HLOOKUP(DATE(K$7,12,31),Idc_Table,IDC!$BB$49)*$A40-SUM($D40:J40)</f>
        <v>0</v>
      </c>
      <c r="L40" s="217" t="n">
        <f aca="false">-HLOOKUP(DATE(L$7,12,31),Idc_Table,IDC!$BB$49)*$A40-SUM($D40:K40)</f>
        <v>0</v>
      </c>
      <c r="M40" s="217" t="n">
        <f aca="false">-HLOOKUP(DATE(M$7,12,31),Idc_Table,IDC!$BB$49)*$A40-SUM($D40:L40)</f>
        <v>0</v>
      </c>
      <c r="N40" s="217" t="n">
        <f aca="false">-HLOOKUP(DATE(N$7,12,31),Idc_Table,IDC!$BB$49)*$A40-SUM($D40:M40)</f>
        <v>0</v>
      </c>
      <c r="O40" s="217" t="n">
        <f aca="false">-HLOOKUP(DATE(O$7,12,31),Idc_Table,IDC!$BB$49)*$A40-SUM($D40:N40)</f>
        <v>0</v>
      </c>
      <c r="P40" s="217" t="n">
        <f aca="false">-HLOOKUP(DATE(P$7,12,31),Idc_Table,IDC!$BB$49)*$A40-SUM($D40:O40)</f>
        <v>0</v>
      </c>
      <c r="Q40" s="217" t="n">
        <f aca="false">-HLOOKUP(DATE(Q$7,12,31),Idc_Table,IDC!$BB$49)*$A40-SUM($D40:P40)</f>
        <v>0</v>
      </c>
      <c r="R40" s="217" t="n">
        <f aca="false">-HLOOKUP(DATE(R$7,12,31),Idc_Table,IDC!$BB$49)*$A40-SUM($D40:Q40)</f>
        <v>0</v>
      </c>
      <c r="S40" s="217" t="n">
        <f aca="false">-HLOOKUP(DATE(S$7,12,31),Idc_Table,IDC!$BB$49)*$A40-SUM($D40:R40)</f>
        <v>0</v>
      </c>
      <c r="T40" s="217" t="n">
        <f aca="false">-HLOOKUP(DATE(T$7,12,31),Idc_Table,IDC!$BB$49)*$A40-SUM($D40:S40)</f>
        <v>0</v>
      </c>
      <c r="U40" s="217" t="n">
        <f aca="false">-HLOOKUP(DATE(U$7,12,31),Idc_Table,IDC!$BB$49)*$A40-SUM($D40:T40)</f>
        <v>0</v>
      </c>
      <c r="V40" s="217" t="n">
        <f aca="false">-HLOOKUP(DATE(V$7,12,31),Idc_Table,IDC!$BB$49)*$A40-SUM($D40:U40)</f>
        <v>0</v>
      </c>
      <c r="W40" s="217" t="n">
        <f aca="false">-HLOOKUP(DATE(W$7,12,31),Idc_Table,IDC!$BB$49)*$A40-SUM($D40:V40)</f>
        <v>0</v>
      </c>
      <c r="X40" s="217" t="n">
        <f aca="false">-HLOOKUP(DATE(X$7,12,31),Idc_Table,IDC!$BB$49)*$A40-SUM($D40:W40)</f>
        <v>0</v>
      </c>
      <c r="Y40" s="217" t="n">
        <f aca="false">-HLOOKUP(DATE(Y$7,12,31),Idc_Table,IDC!$BB$49)*$A40-SUM($D40:X40)</f>
        <v>0</v>
      </c>
      <c r="Z40" s="217" t="n">
        <f aca="false">-HLOOKUP(DATE(Z$7,12,31),Idc_Table,IDC!$BB$49)*$A40-SUM($D40:Y40)</f>
        <v>0</v>
      </c>
      <c r="AA40" s="217" t="n">
        <f aca="false">-HLOOKUP(DATE(AA$7,12,31),Idc_Table,IDC!$BB$49)*$A40-SUM($D40:Z40)</f>
        <v>0</v>
      </c>
      <c r="AB40" s="574" t="n">
        <f aca="false">SUM(E40:AA40)</f>
        <v>-10882.771609666</v>
      </c>
      <c r="AC40" s="641" t="n">
        <f aca="false">IF('Project &amp; Investor Returns'!$I$3=0,F40+NPV(Disc,G40:AA40),E40+NPV(Disc,F40:AA40))</f>
        <v>-7379.66605920482</v>
      </c>
    </row>
    <row r="41" customFormat="false" ht="12.75" hidden="false" customHeight="false" outlineLevel="0" collapsed="false">
      <c r="A41" s="659"/>
      <c r="B41" s="38" t="s">
        <v>903</v>
      </c>
      <c r="E41" s="610" t="n">
        <f aca="false">IF(E$7&lt;YEAR(Startops1),0,-HLOOKUP(E$7,CF_Table,CF!$AB$71)*$A40)</f>
        <v>0</v>
      </c>
      <c r="F41" s="610" t="n">
        <f aca="false">IF(F$7&lt;YEAR(Startops1),0,-HLOOKUP(F$7,CF_Table,CF!$AB$71)*$A40)</f>
        <v>0</v>
      </c>
      <c r="G41" s="610" t="n">
        <f aca="false">IF(G$7&lt;YEAR(Startops1),0,-HLOOKUP(G$7,CF_Table,CF!$AB$71)*$A40)</f>
        <v>0</v>
      </c>
      <c r="H41" s="610" t="n">
        <f aca="false">IF(H$7&lt;YEAR(Startops1),0,-HLOOKUP(H$7,CF_Table,CF!$AB$71)*$A40)</f>
        <v>0</v>
      </c>
      <c r="I41" s="610" t="n">
        <f aca="false">IF(I$7&lt;YEAR(Startops1),0,-HLOOKUP(I$7,CF_Table,CF!$AB$71)*$A40)</f>
        <v>0</v>
      </c>
      <c r="J41" s="610" t="n">
        <f aca="false">IF(J$7&lt;YEAR(Startops1),0,-HLOOKUP(J$7,CF_Table,CF!$AB$71)*$A40)</f>
        <v>487.464772566559</v>
      </c>
      <c r="K41" s="610" t="n">
        <f aca="false">IF(K$7&lt;YEAR(Startops1),0,-HLOOKUP(K$7,CF_Table,CF!$AB$71)*$A40)</f>
        <v>552.894731664306</v>
      </c>
      <c r="L41" s="610" t="n">
        <f aca="false">IF(L$7&lt;YEAR(Startops1),0,-HLOOKUP(L$7,CF_Table,CF!$AB$71)*$A40)</f>
        <v>627.107027021947</v>
      </c>
      <c r="M41" s="610" t="n">
        <f aca="false">IF(M$7&lt;YEAR(Startops1),0,-HLOOKUP(M$7,CF_Table,CF!$AB$71)*$A40)</f>
        <v>711.280467723968</v>
      </c>
      <c r="N41" s="610" t="n">
        <f aca="false">IF(N$7&lt;YEAR(Startops1),0,-HLOOKUP(N$7,CF_Table,CF!$AB$71)*$A40)</f>
        <v>806.752088504217</v>
      </c>
      <c r="O41" s="610" t="n">
        <f aca="false">IF(O$7&lt;YEAR(Startops1),0,-HLOOKUP(O$7,CF_Table,CF!$AB$71)*$A40)</f>
        <v>915.038387583696</v>
      </c>
      <c r="P41" s="610" t="n">
        <f aca="false">IF(P$7&lt;YEAR(Startops1),0,-HLOOKUP(P$7,CF_Table,CF!$AB$71)*$A40)</f>
        <v>1037.85941515712</v>
      </c>
      <c r="Q41" s="610" t="n">
        <f aca="false">IF(Q$7&lt;YEAR(Startops1),0,-HLOOKUP(Q$7,CF_Table,CF!$AB$71)*$A40)</f>
        <v>1177.16609515658</v>
      </c>
      <c r="R41" s="610" t="n">
        <f aca="false">IF(R$7&lt;YEAR(Startops1),0,-HLOOKUP(R$7,CF_Table,CF!$AB$71)*$A40)</f>
        <v>1335.17121427897</v>
      </c>
      <c r="S41" s="610" t="n">
        <f aca="false">IF(S$7&lt;YEAR(Startops1),0,-HLOOKUP(S$7,CF_Table,CF!$AB$71)*$A40)</f>
        <v>1514.38457051557</v>
      </c>
      <c r="T41" s="610" t="n">
        <f aca="false">IF(T$7&lt;YEAR(Startops1),0,-HLOOKUP(T$7,CF_Table,CF!$AB$71)*$A40)</f>
        <v>1717.65283949302</v>
      </c>
      <c r="U41" s="610" t="n">
        <f aca="false">IF(U$7&lt;YEAR(Startops1),0,-HLOOKUP(U$7,CF_Table,CF!$AB$71)*$A40)</f>
        <v>0</v>
      </c>
      <c r="V41" s="610" t="n">
        <f aca="false">IF(V$7&lt;YEAR(Startops1),0,-HLOOKUP(V$7,CF_Table,CF!$AB$71)*$A40)</f>
        <v>0</v>
      </c>
      <c r="W41" s="610" t="n">
        <f aca="false">IF(W$7&lt;YEAR(Startops1),0,-HLOOKUP(W$7,CF_Table,CF!$AB$71)*$A40)</f>
        <v>0</v>
      </c>
      <c r="X41" s="610" t="n">
        <f aca="false">IF(X$7&lt;YEAR(Startops1),0,-HLOOKUP(X$7,CF_Table,CF!$AB$71)*$A40)</f>
        <v>0</v>
      </c>
      <c r="Y41" s="610" t="n">
        <f aca="false">IF(Y$7&lt;YEAR(Startops1),0,-HLOOKUP(Y$7,CF_Table,CF!$AB$71)*$A40)</f>
        <v>0</v>
      </c>
      <c r="Z41" s="610" t="n">
        <f aca="false">IF(Z$7&lt;YEAR(Startops1),0,-HLOOKUP(Z$7,CF_Table,CF!$AB$71)*$A40)</f>
        <v>0</v>
      </c>
      <c r="AA41" s="610" t="n">
        <f aca="false">IF(AA$7&lt;YEAR(Startops1),0,-HLOOKUP(AA$7,CF_Table,CF!$AB$71)*$A40)</f>
        <v>0</v>
      </c>
      <c r="AB41" s="574" t="n">
        <f aca="false">SUM(E41:AA41)</f>
        <v>10882.771609666</v>
      </c>
      <c r="AC41" s="641" t="n">
        <f aca="false">IF('Project &amp; Investor Returns'!$I$3=0,F41+NPV(Disc,G41:AA41),E41+NPV(Disc,F41:AA41))</f>
        <v>2127.65653153974</v>
      </c>
    </row>
    <row r="42" customFormat="false" ht="12.75" hidden="false" customHeight="false" outlineLevel="0" collapsed="false">
      <c r="A42" s="37"/>
      <c r="B42" s="38" t="s">
        <v>904</v>
      </c>
      <c r="D42" s="263" t="s">
        <v>407</v>
      </c>
      <c r="E42" s="610" t="n">
        <f aca="false">IF(E$7&lt;YEAR(Startops1),0,-HLOOKUP(E$7,CF_Table,CF!$AB$45)*$A40)</f>
        <v>0</v>
      </c>
      <c r="F42" s="610" t="n">
        <f aca="false">IF(F$7&lt;YEAR(Startops1),0,-HLOOKUP(F$7,CF_Table,CF!$AB$45)*$A40)</f>
        <v>0</v>
      </c>
      <c r="G42" s="610" t="n">
        <f aca="false">IF(G$7&lt;YEAR(Startops1),0,-HLOOKUP(G$7,CF_Table,CF!$AB$45)*$A40)</f>
        <v>0</v>
      </c>
      <c r="H42" s="610" t="n">
        <f aca="false">IF(H$7&lt;YEAR(Startops1),0,-HLOOKUP(H$7,CF_Table,CF!$AB$45)*$A40)</f>
        <v>0</v>
      </c>
      <c r="I42" s="610" t="n">
        <f aca="false">IF(I$7&lt;YEAR(Startops1),0,-HLOOKUP(I$7,CF_Table,CF!$AB$45)*$A40)</f>
        <v>589.48346219024</v>
      </c>
      <c r="J42" s="610" t="n">
        <f aca="false">IF(J$7&lt;YEAR(Startops1),0,-HLOOKUP(J$7,CF_Table,CF!$AB$45)*$A40)</f>
        <v>1399.4163817908</v>
      </c>
      <c r="K42" s="610" t="n">
        <f aca="false">IF(K$7&lt;YEAR(Startops1),0,-HLOOKUP(K$7,CF_Table,CF!$AB$45)*$A40)</f>
        <v>1333.98642269305</v>
      </c>
      <c r="L42" s="610" t="n">
        <f aca="false">IF(L$7&lt;YEAR(Startops1),0,-HLOOKUP(L$7,CF_Table,CF!$AB$45)*$A40)</f>
        <v>1259.77412733541</v>
      </c>
      <c r="M42" s="610" t="n">
        <f aca="false">IF(M$7&lt;YEAR(Startops1),0,-HLOOKUP(M$7,CF_Table,CF!$AB$45)*$A40)</f>
        <v>1175.60068663339</v>
      </c>
      <c r="N42" s="610" t="n">
        <f aca="false">IF(N$7&lt;YEAR(Startops1),0,-HLOOKUP(N$7,CF_Table,CF!$AB$45)*$A40)</f>
        <v>1080.12906585314</v>
      </c>
      <c r="O42" s="610" t="n">
        <f aca="false">IF(O$7&lt;YEAR(Startops1),0,-HLOOKUP(O$7,CF_Table,CF!$AB$45)*$A40)</f>
        <v>971.842766773662</v>
      </c>
      <c r="P42" s="610" t="n">
        <f aca="false">IF(P$7&lt;YEAR(Startops1),0,-HLOOKUP(P$7,CF_Table,CF!$AB$45)*$A40)</f>
        <v>849.021739200241</v>
      </c>
      <c r="Q42" s="610" t="n">
        <f aca="false">IF(Q$7&lt;YEAR(Startops1),0,-HLOOKUP(Q$7,CF_Table,CF!$AB$45)*$A40)</f>
        <v>709.715059200777</v>
      </c>
      <c r="R42" s="610" t="n">
        <f aca="false">IF(R$7&lt;YEAR(Startops1),0,-HLOOKUP(R$7,CF_Table,CF!$AB$45)*$A40)</f>
        <v>551.709940078384</v>
      </c>
      <c r="S42" s="610" t="n">
        <f aca="false">IF(S$7&lt;YEAR(Startops1),0,-HLOOKUP(S$7,CF_Table,CF!$AB$45)*$A40)</f>
        <v>372.496583841789</v>
      </c>
      <c r="T42" s="610" t="n">
        <f aca="false">IF(T$7&lt;YEAR(Startops1),0,-HLOOKUP(T$7,CF_Table,CF!$AB$45)*$A40)</f>
        <v>169.228314864337</v>
      </c>
      <c r="U42" s="610" t="n">
        <f aca="false">IF(U$7&lt;YEAR(Startops1),0,-HLOOKUP(U$7,CF_Table,CF!$AB$45)*$A40)</f>
        <v>0</v>
      </c>
      <c r="V42" s="610" t="n">
        <f aca="false">IF(V$7&lt;YEAR(Startops1),0,-HLOOKUP(V$7,CF_Table,CF!$AB$45)*$A40)</f>
        <v>0</v>
      </c>
      <c r="W42" s="610" t="n">
        <f aca="false">IF(W$7&lt;YEAR(Startops1),0,-HLOOKUP(W$7,CF_Table,CF!$AB$45)*$A40)</f>
        <v>0</v>
      </c>
      <c r="X42" s="610" t="n">
        <f aca="false">IF(X$7&lt;YEAR(Startops1),0,-HLOOKUP(X$7,CF_Table,CF!$AB$45)*$A40)</f>
        <v>0</v>
      </c>
      <c r="Y42" s="610" t="n">
        <f aca="false">IF(Y$7&lt;YEAR(Startops1),0,-HLOOKUP(Y$7,CF_Table,CF!$AB$45)*$A40)</f>
        <v>0</v>
      </c>
      <c r="Z42" s="610" t="n">
        <f aca="false">IF(Z$7&lt;YEAR(Startops1),0,-HLOOKUP(Z$7,CF_Table,CF!$AB$45)*$A40)</f>
        <v>0</v>
      </c>
      <c r="AA42" s="610" t="n">
        <f aca="false">IF(AA$7&lt;YEAR(Startops1),0,-HLOOKUP(AA$7,CF_Table,CF!$AB$45)*$A40)</f>
        <v>0</v>
      </c>
      <c r="AB42" s="574" t="n">
        <f aca="false">SUM(E42:AA42)</f>
        <v>10462.4045504552</v>
      </c>
      <c r="AC42" s="641" t="n">
        <f aca="false">IF('Project &amp; Investor Returns'!$I$3=0,F42+NPV(Disc,G42:AA42),E42+NPV(Disc,F42:AA42))</f>
        <v>3245.70915695837</v>
      </c>
      <c r="AG42" s="667"/>
    </row>
    <row r="43" customFormat="false" ht="12.75" hidden="false" customHeight="false" outlineLevel="0" collapsed="false">
      <c r="A43" s="37"/>
      <c r="B43" s="38" t="s">
        <v>938</v>
      </c>
      <c r="C43" s="293" t="n">
        <f aca="false">Wh_Int</f>
        <v>0.15</v>
      </c>
      <c r="D43" s="263" t="s">
        <v>407</v>
      </c>
      <c r="E43" s="610" t="n">
        <f aca="false">Wh_Int*-E42</f>
        <v>-0</v>
      </c>
      <c r="F43" s="610" t="n">
        <f aca="false">Wh_Int*-F42</f>
        <v>-0</v>
      </c>
      <c r="G43" s="610" t="n">
        <f aca="false">Wh_Int*-G42</f>
        <v>-0</v>
      </c>
      <c r="H43" s="610" t="n">
        <f aca="false">Wh_Int*-H42</f>
        <v>-0</v>
      </c>
      <c r="I43" s="610" t="n">
        <f aca="false">Wh_Int*-I42</f>
        <v>-88.4225193285359</v>
      </c>
      <c r="J43" s="610" t="n">
        <f aca="false">Wh_Int*-J42</f>
        <v>-209.91245726862</v>
      </c>
      <c r="K43" s="610" t="n">
        <f aca="false">Wh_Int*-K42</f>
        <v>-200.097963403958</v>
      </c>
      <c r="L43" s="610" t="n">
        <f aca="false">Wh_Int*-L42</f>
        <v>-188.966119100312</v>
      </c>
      <c r="M43" s="610" t="n">
        <f aca="false">Wh_Int*-M42</f>
        <v>-176.340102995009</v>
      </c>
      <c r="N43" s="610" t="n">
        <f aca="false">Wh_Int*-N42</f>
        <v>-162.019359877971</v>
      </c>
      <c r="O43" s="610" t="n">
        <f aca="false">Wh_Int*-O42</f>
        <v>-145.776415016049</v>
      </c>
      <c r="P43" s="610" t="n">
        <f aca="false">Wh_Int*-P42</f>
        <v>-127.353260880036</v>
      </c>
      <c r="Q43" s="610" t="n">
        <f aca="false">Wh_Int*-Q42</f>
        <v>-106.457258880116</v>
      </c>
      <c r="R43" s="610" t="n">
        <f aca="false">Wh_Int*-R42</f>
        <v>-82.7564910117577</v>
      </c>
      <c r="S43" s="610" t="n">
        <f aca="false">Wh_Int*-S42</f>
        <v>-55.8744875762684</v>
      </c>
      <c r="T43" s="610" t="n">
        <f aca="false">Wh_Int*-T42</f>
        <v>-25.3842472296505</v>
      </c>
      <c r="U43" s="610" t="n">
        <f aca="false">Wh_Int*-U42</f>
        <v>-0</v>
      </c>
      <c r="V43" s="610" t="n">
        <f aca="false">Wh_Int*-V42</f>
        <v>-0</v>
      </c>
      <c r="W43" s="610" t="n">
        <f aca="false">Wh_Int*-W42</f>
        <v>-0</v>
      </c>
      <c r="X43" s="610" t="n">
        <f aca="false">Wh_Int*-X42</f>
        <v>-0</v>
      </c>
      <c r="Y43" s="610" t="n">
        <f aca="false">Wh_Int*-Y42</f>
        <v>-0</v>
      </c>
      <c r="Z43" s="610" t="n">
        <f aca="false">Wh_Int*-Z42</f>
        <v>-0</v>
      </c>
      <c r="AA43" s="610" t="n">
        <f aca="false">Wh_Int*-AA42</f>
        <v>-0</v>
      </c>
      <c r="AB43" s="574" t="n">
        <f aca="false">SUM(E43:AA43)</f>
        <v>-1569.36068256828</v>
      </c>
      <c r="AC43" s="641" t="n">
        <f aca="false">IF('Project &amp; Investor Returns'!$I$3=0,F43+NPV(Disc,G43:AA43),E43+NPV(Disc,F43:AA43))</f>
        <v>-486.856373543756</v>
      </c>
      <c r="AG43" s="667"/>
    </row>
    <row r="44" customFormat="false" ht="12.75" hidden="false" customHeight="false" outlineLevel="0" collapsed="false">
      <c r="A44" s="37"/>
      <c r="B44" s="38" t="s">
        <v>905</v>
      </c>
      <c r="D44" s="263"/>
      <c r="E44" s="610" t="n">
        <f aca="false">IF(E7=YEAR(Assm!$AB$94),-Assm!$AB$100,0)</f>
        <v>0</v>
      </c>
      <c r="F44" s="610" t="n">
        <f aca="false">IF(F7=YEAR(Assm!$AB$94),-Assm!$AB$100,0)</f>
        <v>0</v>
      </c>
      <c r="G44" s="610" t="n">
        <f aca="false">IF(G7=YEAR(Assm!$AB$94),-Assm!$AB$100,0)</f>
        <v>0</v>
      </c>
      <c r="H44" s="610" t="n">
        <f aca="false">IF(H7=YEAR(Assm!$AB$94),-Assm!$AB$100,0)</f>
        <v>0</v>
      </c>
      <c r="I44" s="610" t="n">
        <f aca="false">IF(I7=YEAR(Assm!$AB$94),-Assm!$AB$100,0)</f>
        <v>-0</v>
      </c>
      <c r="J44" s="610" t="n">
        <f aca="false">IF(J7=YEAR(Assm!$AB$94),-Assm!$AB$100,0)</f>
        <v>0</v>
      </c>
      <c r="K44" s="610" t="n">
        <f aca="false">IF(K7=YEAR(Assm!$AB$94),-Assm!$AB$100,0)</f>
        <v>0</v>
      </c>
      <c r="L44" s="610" t="n">
        <f aca="false">IF(L7=YEAR(Assm!$AB$94),-Assm!$AB$100,0)</f>
        <v>0</v>
      </c>
      <c r="M44" s="610" t="n">
        <f aca="false">IF(M7=YEAR(Assm!$AB$94),-Assm!$AB$100,0)</f>
        <v>0</v>
      </c>
      <c r="N44" s="610" t="n">
        <f aca="false">IF(N7=YEAR(Assm!$AB$94),-Assm!$AB$100,0)</f>
        <v>0</v>
      </c>
      <c r="O44" s="610" t="n">
        <f aca="false">IF(O7=YEAR(Assm!$AB$94),-Assm!$AB$100,0)</f>
        <v>0</v>
      </c>
      <c r="P44" s="610" t="n">
        <f aca="false">IF(P7=YEAR(Assm!$AB$94),-Assm!$AB$100,0)</f>
        <v>0</v>
      </c>
      <c r="Q44" s="610" t="n">
        <f aca="false">IF(Q7=YEAR(Assm!$AB$94),-Assm!$AB$100,0)</f>
        <v>0</v>
      </c>
      <c r="R44" s="610" t="n">
        <f aca="false">IF(R7=YEAR(Assm!$AB$94),-Assm!$AB$100,0)</f>
        <v>0</v>
      </c>
      <c r="S44" s="610" t="n">
        <f aca="false">IF(S7=YEAR(Assm!$AB$94),-Assm!$AB$100,0)</f>
        <v>0</v>
      </c>
      <c r="T44" s="610" t="n">
        <f aca="false">IF(T7=YEAR(Assm!$AB$94),-Assm!$AB$100,0)</f>
        <v>0</v>
      </c>
      <c r="U44" s="610" t="n">
        <f aca="false">IF(U7=YEAR(Assm!$AB$94),-Assm!$AB$100,0)</f>
        <v>0</v>
      </c>
      <c r="V44" s="610" t="n">
        <f aca="false">IF(V7=YEAR(Assm!$AB$94),-Assm!$AB$100,0)</f>
        <v>0</v>
      </c>
      <c r="W44" s="610" t="n">
        <f aca="false">IF(W7=YEAR(Assm!$AB$94),-Assm!$AB$100,0)</f>
        <v>0</v>
      </c>
      <c r="X44" s="610" t="n">
        <f aca="false">IF(X7=YEAR(Assm!$AB$94),-Assm!$AB$100,0)</f>
        <v>0</v>
      </c>
      <c r="Y44" s="610" t="n">
        <f aca="false">IF(Y7=YEAR(Assm!$AB$94),-Assm!$AB$100,0)</f>
        <v>0</v>
      </c>
      <c r="Z44" s="610" t="n">
        <f aca="false">IF(Z7=YEAR(Assm!$AB$94),-Assm!$AB$100,0)</f>
        <v>0</v>
      </c>
      <c r="AA44" s="610" t="n">
        <f aca="false">IF(AA7=YEAR(Assm!$AB$94),-Assm!$AB$100,0)</f>
        <v>0</v>
      </c>
      <c r="AB44" s="574" t="n">
        <f aca="false">SUM(E44:AA44)</f>
        <v>0</v>
      </c>
      <c r="AC44" s="641" t="n">
        <f aca="false">IF('Project &amp; Investor Returns'!$I$3=0,F44+NPV(Disc,G44:AA44),E44+NPV(Disc,F44:AA44))</f>
        <v>0</v>
      </c>
      <c r="AG44" s="667"/>
    </row>
    <row r="45" customFormat="false" ht="12.75" hidden="false" customHeight="false" outlineLevel="0" collapsed="false">
      <c r="A45" s="302"/>
      <c r="B45" s="38" t="s">
        <v>906</v>
      </c>
      <c r="C45" s="306" t="n">
        <f aca="false">USTax</f>
        <v>0.37</v>
      </c>
      <c r="D45" s="79"/>
      <c r="E45" s="220" t="n">
        <f aca="false">-SUM(E42)*USTax</f>
        <v>-0</v>
      </c>
      <c r="F45" s="220" t="n">
        <f aca="false">-SUM(F42:F43)*USTax</f>
        <v>-0</v>
      </c>
      <c r="G45" s="220" t="n">
        <f aca="false">-SUM(G42:G43)*USTax</f>
        <v>-0</v>
      </c>
      <c r="H45" s="220" t="n">
        <f aca="false">-SUM(H42:H43)*USTax</f>
        <v>-0</v>
      </c>
      <c r="I45" s="220" t="n">
        <f aca="false">-SUM(I42:I43)*USTax</f>
        <v>-185.39254885883</v>
      </c>
      <c r="J45" s="220" t="n">
        <f aca="false">-SUM(J42:J43)*USTax</f>
        <v>-440.116452073206</v>
      </c>
      <c r="K45" s="220" t="n">
        <f aca="false">-SUM(K42:K43)*USTax</f>
        <v>-419.538729936965</v>
      </c>
      <c r="L45" s="220" t="n">
        <f aca="false">-SUM(L42:L43)*USTax</f>
        <v>-396.198963046987</v>
      </c>
      <c r="M45" s="220" t="n">
        <f aca="false">-SUM(M42:M43)*USTax</f>
        <v>-369.726415946201</v>
      </c>
      <c r="N45" s="220" t="n">
        <f aca="false">-SUM(N42:N43)*USTax</f>
        <v>-339.700591210813</v>
      </c>
      <c r="O45" s="220" t="n">
        <f aca="false">-SUM(O42:O43)*USTax</f>
        <v>-305.644550150317</v>
      </c>
      <c r="P45" s="220" t="n">
        <f aca="false">-SUM(P42:P43)*USTax</f>
        <v>-267.017336978476</v>
      </c>
      <c r="Q45" s="220" t="n">
        <f aca="false">-SUM(Q42:Q43)*USTax</f>
        <v>-223.205386118644</v>
      </c>
      <c r="R45" s="220" t="n">
        <f aca="false">-SUM(R42:R43)*USTax</f>
        <v>-173.512776154652</v>
      </c>
      <c r="S45" s="220" t="n">
        <f aca="false">-SUM(S42:S43)*USTax</f>
        <v>-117.150175618243</v>
      </c>
      <c r="T45" s="220" t="n">
        <f aca="false">-SUM(T42:T43)*USTax</f>
        <v>-53.2223050248339</v>
      </c>
      <c r="U45" s="220" t="n">
        <f aca="false">-SUM(U42:U43)*USTax</f>
        <v>-0</v>
      </c>
      <c r="V45" s="220" t="n">
        <f aca="false">-SUM(V42:V43)*USTax</f>
        <v>-0</v>
      </c>
      <c r="W45" s="220" t="n">
        <f aca="false">-SUM(W42:W43)*USTax</f>
        <v>-0</v>
      </c>
      <c r="X45" s="220" t="n">
        <f aca="false">-SUM(X42:X43)*USTax</f>
        <v>-0</v>
      </c>
      <c r="Y45" s="220" t="n">
        <f aca="false">-SUM(Y42:Y43)*USTax</f>
        <v>-0</v>
      </c>
      <c r="Z45" s="220" t="n">
        <f aca="false">-SUM(Z42:Z43)*USTax</f>
        <v>-0</v>
      </c>
      <c r="AA45" s="220" t="n">
        <f aca="false">-SUM(AA42:AA43)*USTax</f>
        <v>-0</v>
      </c>
      <c r="AB45" s="576" t="n">
        <f aca="false">SUM(E45:AA45)</f>
        <v>-3290.42623111817</v>
      </c>
      <c r="AC45" s="643" t="n">
        <f aca="false">IF('Project &amp; Investor Returns'!$I$3=0,F45+NPV(Disc,G45:AA45),E45+NPV(Disc,F45:AA45))</f>
        <v>-1020.77552986341</v>
      </c>
      <c r="AE45" s="414"/>
      <c r="AF45" s="414"/>
      <c r="AG45" s="667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  <c r="BK45" s="414"/>
      <c r="BL45" s="414"/>
      <c r="BM45" s="414"/>
      <c r="BN45" s="414"/>
      <c r="BO45" s="414"/>
      <c r="BP45" s="414"/>
      <c r="BQ45" s="414"/>
      <c r="BR45" s="414"/>
      <c r="BS45" s="414"/>
      <c r="BT45" s="414"/>
      <c r="BU45" s="414"/>
      <c r="BV45" s="414"/>
      <c r="BW45" s="414"/>
      <c r="BX45" s="414"/>
      <c r="BY45" s="414"/>
      <c r="BZ45" s="414"/>
      <c r="CA45" s="414"/>
      <c r="CB45" s="414"/>
      <c r="CC45" s="414"/>
      <c r="CD45" s="414"/>
      <c r="CE45" s="414"/>
      <c r="CF45" s="414"/>
      <c r="CG45" s="414"/>
      <c r="CH45" s="414"/>
      <c r="CI45" s="414"/>
      <c r="CJ45" s="414"/>
      <c r="CK45" s="414"/>
      <c r="CL45" s="414"/>
      <c r="CM45" s="414"/>
      <c r="CN45" s="414"/>
      <c r="CO45" s="414"/>
      <c r="CP45" s="414"/>
      <c r="CQ45" s="414"/>
      <c r="CR45" s="414"/>
      <c r="CS45" s="414"/>
      <c r="CT45" s="414"/>
      <c r="CU45" s="414"/>
      <c r="CV45" s="414"/>
      <c r="CW45" s="414"/>
      <c r="CX45" s="414"/>
      <c r="CY45" s="414"/>
      <c r="CZ45" s="414"/>
      <c r="DA45" s="414"/>
      <c r="DB45" s="414"/>
      <c r="DC45" s="414"/>
      <c r="DD45" s="414"/>
      <c r="DE45" s="414"/>
      <c r="DF45" s="414"/>
      <c r="DG45" s="414"/>
      <c r="DH45" s="414"/>
      <c r="DI45" s="414"/>
      <c r="DJ45" s="414"/>
      <c r="DK45" s="414"/>
      <c r="DL45" s="414"/>
      <c r="DM45" s="414"/>
      <c r="DN45" s="414"/>
      <c r="DO45" s="414"/>
      <c r="DP45" s="414"/>
      <c r="DQ45" s="414"/>
      <c r="DR45" s="414"/>
      <c r="DS45" s="414"/>
      <c r="DT45" s="414"/>
      <c r="DU45" s="414"/>
      <c r="DV45" s="414"/>
      <c r="DW45" s="414"/>
      <c r="DX45" s="414"/>
      <c r="DY45" s="414"/>
      <c r="DZ45" s="414"/>
      <c r="EA45" s="414"/>
      <c r="EB45" s="414"/>
      <c r="EC45" s="414"/>
      <c r="ED45" s="414"/>
      <c r="EE45" s="414"/>
      <c r="EF45" s="414"/>
      <c r="EG45" s="414"/>
      <c r="EH45" s="414"/>
      <c r="EI45" s="414"/>
      <c r="EJ45" s="414"/>
      <c r="EK45" s="414"/>
      <c r="EL45" s="414"/>
      <c r="EM45" s="414"/>
      <c r="EN45" s="414"/>
      <c r="EO45" s="414"/>
      <c r="EP45" s="414"/>
      <c r="EQ45" s="414"/>
      <c r="ER45" s="414"/>
      <c r="ES45" s="414"/>
      <c r="ET45" s="414"/>
      <c r="EU45" s="414"/>
      <c r="EV45" s="414"/>
      <c r="EW45" s="414"/>
      <c r="EX45" s="414"/>
      <c r="EY45" s="414"/>
      <c r="EZ45" s="414"/>
      <c r="FA45" s="414"/>
      <c r="FB45" s="414"/>
      <c r="FC45" s="414"/>
      <c r="FD45" s="414"/>
      <c r="FE45" s="414"/>
      <c r="FF45" s="414"/>
      <c r="FG45" s="414"/>
      <c r="FH45" s="414"/>
      <c r="FI45" s="414"/>
      <c r="FJ45" s="414"/>
      <c r="FK45" s="414"/>
      <c r="FL45" s="414"/>
      <c r="FM45" s="414"/>
      <c r="FN45" s="414"/>
      <c r="FO45" s="414"/>
      <c r="FP45" s="414"/>
      <c r="FQ45" s="414"/>
      <c r="FR45" s="414"/>
      <c r="FS45" s="414"/>
      <c r="FT45" s="414"/>
      <c r="FU45" s="414"/>
      <c r="FV45" s="414"/>
      <c r="FW45" s="414"/>
      <c r="FX45" s="414"/>
      <c r="FY45" s="414"/>
      <c r="FZ45" s="414"/>
      <c r="GA45" s="414"/>
      <c r="GB45" s="414"/>
      <c r="GC45" s="414"/>
      <c r="GD45" s="414"/>
      <c r="GE45" s="414"/>
      <c r="GF45" s="414"/>
      <c r="GG45" s="414"/>
      <c r="GH45" s="414"/>
      <c r="GI45" s="414"/>
      <c r="GJ45" s="414"/>
      <c r="GK45" s="414"/>
      <c r="GL45" s="414"/>
      <c r="GM45" s="414"/>
      <c r="GN45" s="414"/>
      <c r="GO45" s="414"/>
      <c r="GP45" s="414"/>
      <c r="GQ45" s="414"/>
      <c r="GR45" s="414"/>
      <c r="GS45" s="414"/>
      <c r="GT45" s="414"/>
      <c r="GU45" s="414"/>
      <c r="GV45" s="414"/>
      <c r="GW45" s="414"/>
      <c r="GX45" s="414"/>
      <c r="GY45" s="414"/>
      <c r="GZ45" s="414"/>
      <c r="HA45" s="414"/>
      <c r="HB45" s="414"/>
      <c r="HC45" s="414"/>
      <c r="HD45" s="414"/>
      <c r="HE45" s="414"/>
      <c r="HF45" s="414"/>
      <c r="HG45" s="414"/>
      <c r="HH45" s="414"/>
      <c r="HI45" s="414"/>
      <c r="HJ45" s="414"/>
      <c r="HK45" s="414"/>
      <c r="HL45" s="414"/>
      <c r="HM45" s="414"/>
      <c r="HN45" s="414"/>
      <c r="HO45" s="414"/>
      <c r="HP45" s="414"/>
      <c r="HQ45" s="414"/>
      <c r="HR45" s="414"/>
      <c r="HS45" s="414"/>
      <c r="HT45" s="414"/>
      <c r="HU45" s="414"/>
      <c r="HV45" s="414"/>
      <c r="HW45" s="414"/>
      <c r="HX45" s="414"/>
      <c r="HY45" s="414"/>
      <c r="HZ45" s="414"/>
      <c r="IA45" s="414"/>
      <c r="IB45" s="414"/>
      <c r="IC45" s="414"/>
      <c r="ID45" s="414"/>
      <c r="IE45" s="414"/>
      <c r="IF45" s="414"/>
      <c r="IG45" s="414"/>
      <c r="IH45" s="414"/>
      <c r="II45" s="414"/>
      <c r="IJ45" s="414"/>
      <c r="IK45" s="414"/>
      <c r="IL45" s="414"/>
      <c r="IM45" s="414"/>
      <c r="IN45" s="414"/>
      <c r="IO45" s="414"/>
      <c r="IP45" s="414"/>
      <c r="IQ45" s="414"/>
      <c r="IR45" s="414"/>
      <c r="IS45" s="414"/>
      <c r="IT45" s="414"/>
      <c r="IU45" s="414"/>
      <c r="IV45" s="414"/>
      <c r="IW45" s="414"/>
    </row>
    <row r="46" customFormat="false" ht="12.75" hidden="false" customHeight="false" outlineLevel="0" collapsed="false">
      <c r="A46" s="698"/>
      <c r="B46" s="38" t="s">
        <v>907</v>
      </c>
      <c r="E46" s="217" t="n">
        <f aca="false">SUM(E39:E45)</f>
        <v>0</v>
      </c>
      <c r="F46" s="217" t="n">
        <f aca="false">SUM(F39:F45)</f>
        <v>-26040.957907461</v>
      </c>
      <c r="G46" s="217" t="n">
        <f aca="false">SUM(G39:G45)</f>
        <v>-12032.780069906</v>
      </c>
      <c r="H46" s="217" t="n">
        <f aca="false">SUM(H39:H45)</f>
        <v>10814.4568866828</v>
      </c>
      <c r="I46" s="217" t="n">
        <f aca="false">SUM(I39:I45)</f>
        <v>941.050173603635</v>
      </c>
      <c r="J46" s="217" t="n">
        <f aca="false">SUM(J39:J45)</f>
        <v>1484.9417159024</v>
      </c>
      <c r="K46" s="217" t="n">
        <f aca="false">SUM(K39:K45)</f>
        <v>2501.22168164183</v>
      </c>
      <c r="L46" s="217" t="n">
        <f aca="false">SUM(L39:L45)</f>
        <v>-541.979510552369</v>
      </c>
      <c r="M46" s="217" t="n">
        <f aca="false">SUM(M39:M45)</f>
        <v>4003.48063708469</v>
      </c>
      <c r="N46" s="217" t="n">
        <f aca="false">SUM(N39:N45)</f>
        <v>4272.1443538983</v>
      </c>
      <c r="O46" s="217" t="n">
        <f aca="false">SUM(O39:O45)</f>
        <v>3707.08771244165</v>
      </c>
      <c r="P46" s="217" t="n">
        <f aca="false">SUM(P39:P45)</f>
        <v>3428.2363488446</v>
      </c>
      <c r="Q46" s="217" t="n">
        <f aca="false">SUM(Q39:Q45)</f>
        <v>3918.07405537454</v>
      </c>
      <c r="R46" s="217" t="n">
        <f aca="false">SUM(R39:R45)</f>
        <v>4190.71316667651</v>
      </c>
      <c r="S46" s="217" t="n">
        <f aca="false">SUM(S39:S45)</f>
        <v>3277.40942095849</v>
      </c>
      <c r="T46" s="217" t="n">
        <f aca="false">SUM(T39:T45)</f>
        <v>3003.15413677806</v>
      </c>
      <c r="U46" s="217" t="n">
        <f aca="false">SUM(U39:U45)</f>
        <v>4718.82177248511</v>
      </c>
      <c r="V46" s="217" t="n">
        <f aca="false">SUM(V39:V45)</f>
        <v>1783.61308207833</v>
      </c>
      <c r="W46" s="217" t="n">
        <f aca="false">SUM(W39:W45)</f>
        <v>-617.138614950762</v>
      </c>
      <c r="X46" s="217" t="n">
        <f aca="false">SUM(X39:X45)</f>
        <v>1149.28151196817</v>
      </c>
      <c r="Y46" s="217" t="n">
        <f aca="false">SUM(Y39:Y45)</f>
        <v>810.09331768082</v>
      </c>
      <c r="Z46" s="217" t="n">
        <f aca="false">SUM(Z39:Z45)</f>
        <v>1107.02739361651</v>
      </c>
      <c r="AA46" s="217" t="n">
        <f aca="false">SUM(AA39:AA45)</f>
        <v>1356.96039166529</v>
      </c>
      <c r="AB46" s="574" t="n">
        <f aca="false">SUM(E46:AA46)</f>
        <v>17234.9116565116</v>
      </c>
      <c r="AC46" s="574" t="n">
        <f aca="false">SUM(AC39:AC45)</f>
        <v>-20458.8026783121</v>
      </c>
      <c r="AE46" s="666"/>
      <c r="AF46" s="666"/>
      <c r="AG46" s="666"/>
      <c r="AH46" s="666"/>
      <c r="AI46" s="666"/>
      <c r="AJ46" s="666"/>
      <c r="AK46" s="666"/>
      <c r="AL46" s="666"/>
      <c r="AM46" s="666"/>
      <c r="AN46" s="666"/>
      <c r="AO46" s="666"/>
      <c r="AP46" s="666"/>
      <c r="AQ46" s="666"/>
      <c r="AR46" s="666"/>
      <c r="AS46" s="666"/>
      <c r="AT46" s="666"/>
      <c r="AU46" s="666"/>
      <c r="AV46" s="666"/>
      <c r="AW46" s="666"/>
      <c r="AX46" s="666"/>
      <c r="AY46" s="666"/>
      <c r="AZ46" s="666"/>
      <c r="BA46" s="666"/>
      <c r="BB46" s="666"/>
      <c r="BC46" s="666"/>
      <c r="BD46" s="666"/>
      <c r="BE46" s="666"/>
      <c r="BF46" s="666"/>
      <c r="BG46" s="666"/>
      <c r="BH46" s="666"/>
      <c r="BI46" s="666"/>
      <c r="BJ46" s="666"/>
      <c r="BK46" s="666"/>
      <c r="BL46" s="666"/>
      <c r="BM46" s="666"/>
      <c r="BN46" s="666"/>
      <c r="BO46" s="666"/>
      <c r="BP46" s="666"/>
      <c r="BQ46" s="666"/>
      <c r="BR46" s="666"/>
      <c r="BS46" s="666"/>
      <c r="BT46" s="666"/>
      <c r="BU46" s="666"/>
      <c r="BV46" s="666"/>
      <c r="BW46" s="666"/>
      <c r="BX46" s="666"/>
      <c r="BY46" s="666"/>
      <c r="BZ46" s="666"/>
      <c r="CA46" s="666"/>
      <c r="CB46" s="666"/>
      <c r="CC46" s="666"/>
      <c r="CD46" s="666"/>
      <c r="CE46" s="666"/>
      <c r="CF46" s="666"/>
      <c r="CG46" s="666"/>
      <c r="CH46" s="666"/>
      <c r="CI46" s="666"/>
      <c r="CJ46" s="666"/>
      <c r="CK46" s="666"/>
      <c r="CL46" s="666"/>
      <c r="CM46" s="666"/>
      <c r="CN46" s="666"/>
      <c r="CO46" s="666"/>
      <c r="CP46" s="666"/>
      <c r="CQ46" s="666"/>
      <c r="CR46" s="666"/>
      <c r="CS46" s="666"/>
      <c r="CT46" s="666"/>
      <c r="CU46" s="666"/>
      <c r="CV46" s="666"/>
      <c r="CW46" s="666"/>
      <c r="CX46" s="666"/>
      <c r="CY46" s="666"/>
      <c r="CZ46" s="666"/>
      <c r="DA46" s="666"/>
      <c r="DB46" s="666"/>
      <c r="DC46" s="666"/>
      <c r="DD46" s="666"/>
      <c r="DE46" s="666"/>
      <c r="DF46" s="666"/>
      <c r="DG46" s="666"/>
      <c r="DH46" s="666"/>
      <c r="DI46" s="666"/>
      <c r="DJ46" s="666"/>
      <c r="DK46" s="666"/>
      <c r="DL46" s="666"/>
      <c r="DM46" s="666"/>
      <c r="DN46" s="666"/>
      <c r="DO46" s="666"/>
      <c r="DP46" s="666"/>
      <c r="DQ46" s="666"/>
      <c r="DR46" s="666"/>
      <c r="DS46" s="666"/>
      <c r="DT46" s="666"/>
      <c r="DU46" s="666"/>
      <c r="DV46" s="666"/>
      <c r="DW46" s="666"/>
      <c r="DX46" s="666"/>
      <c r="DY46" s="666"/>
      <c r="DZ46" s="666"/>
      <c r="EA46" s="666"/>
      <c r="EB46" s="666"/>
      <c r="EC46" s="666"/>
      <c r="ED46" s="666"/>
      <c r="EE46" s="666"/>
      <c r="EF46" s="666"/>
      <c r="EG46" s="666"/>
      <c r="EH46" s="666"/>
      <c r="EI46" s="666"/>
      <c r="EJ46" s="666"/>
      <c r="EK46" s="666"/>
      <c r="EL46" s="666"/>
      <c r="EM46" s="666"/>
      <c r="EN46" s="666"/>
      <c r="EO46" s="666"/>
      <c r="EP46" s="666"/>
      <c r="EQ46" s="666"/>
      <c r="ER46" s="666"/>
      <c r="ES46" s="666"/>
      <c r="ET46" s="666"/>
      <c r="EU46" s="666"/>
      <c r="EV46" s="666"/>
      <c r="EW46" s="666"/>
      <c r="EX46" s="666"/>
      <c r="EY46" s="666"/>
      <c r="EZ46" s="666"/>
      <c r="FA46" s="666"/>
      <c r="FB46" s="666"/>
      <c r="FC46" s="666"/>
      <c r="FD46" s="666"/>
      <c r="FE46" s="666"/>
      <c r="FF46" s="666"/>
      <c r="FG46" s="666"/>
      <c r="FH46" s="666"/>
      <c r="FI46" s="666"/>
      <c r="FJ46" s="666"/>
      <c r="FK46" s="666"/>
      <c r="FL46" s="666"/>
      <c r="FM46" s="666"/>
      <c r="FN46" s="666"/>
      <c r="FO46" s="666"/>
      <c r="FP46" s="666"/>
      <c r="FQ46" s="666"/>
      <c r="FR46" s="666"/>
      <c r="FS46" s="666"/>
      <c r="FT46" s="666"/>
      <c r="FU46" s="666"/>
      <c r="FV46" s="666"/>
      <c r="FW46" s="666"/>
      <c r="FX46" s="666"/>
      <c r="FY46" s="666"/>
      <c r="FZ46" s="666"/>
      <c r="GA46" s="666"/>
      <c r="GB46" s="666"/>
      <c r="GC46" s="666"/>
      <c r="GD46" s="666"/>
      <c r="GE46" s="666"/>
      <c r="GF46" s="666"/>
      <c r="GG46" s="666"/>
      <c r="GH46" s="666"/>
      <c r="GI46" s="666"/>
      <c r="GJ46" s="666"/>
      <c r="GK46" s="666"/>
      <c r="GL46" s="666"/>
      <c r="GM46" s="666"/>
      <c r="GN46" s="666"/>
      <c r="GO46" s="666"/>
      <c r="GP46" s="666"/>
      <c r="GQ46" s="666"/>
      <c r="GR46" s="666"/>
      <c r="GS46" s="666"/>
      <c r="GT46" s="666"/>
      <c r="GU46" s="666"/>
      <c r="GV46" s="666"/>
      <c r="GW46" s="666"/>
      <c r="GX46" s="666"/>
      <c r="GY46" s="666"/>
      <c r="GZ46" s="666"/>
      <c r="HA46" s="666"/>
      <c r="HB46" s="666"/>
      <c r="HC46" s="666"/>
      <c r="HD46" s="666"/>
      <c r="HE46" s="666"/>
      <c r="HF46" s="666"/>
      <c r="HG46" s="666"/>
      <c r="HH46" s="666"/>
      <c r="HI46" s="666"/>
      <c r="HJ46" s="666"/>
      <c r="HK46" s="666"/>
      <c r="HL46" s="666"/>
      <c r="HM46" s="666"/>
      <c r="HN46" s="666"/>
      <c r="HO46" s="666"/>
      <c r="HP46" s="666"/>
      <c r="HQ46" s="666"/>
      <c r="HR46" s="666"/>
      <c r="HS46" s="666"/>
      <c r="HT46" s="666"/>
      <c r="HU46" s="666"/>
      <c r="HV46" s="666"/>
      <c r="HW46" s="666"/>
      <c r="HX46" s="666"/>
      <c r="HY46" s="666"/>
      <c r="HZ46" s="666"/>
      <c r="IA46" s="666"/>
      <c r="IB46" s="666"/>
      <c r="IC46" s="666"/>
      <c r="ID46" s="666"/>
      <c r="IE46" s="666"/>
      <c r="IF46" s="666"/>
      <c r="IG46" s="666"/>
      <c r="IH46" s="666"/>
      <c r="II46" s="666"/>
      <c r="IJ46" s="666"/>
      <c r="IK46" s="666"/>
      <c r="IL46" s="666"/>
      <c r="IM46" s="666"/>
      <c r="IN46" s="666"/>
      <c r="IO46" s="666"/>
      <c r="IP46" s="666"/>
      <c r="IQ46" s="666"/>
      <c r="IR46" s="666"/>
      <c r="IS46" s="666"/>
      <c r="IT46" s="666"/>
      <c r="IU46" s="666"/>
      <c r="IV46" s="666"/>
      <c r="IW46" s="666"/>
    </row>
    <row r="47" customFormat="false" ht="12.75" hidden="false" customHeight="false" outlineLevel="0" collapsed="false">
      <c r="A47" s="698"/>
      <c r="E47" s="668" t="n">
        <f aca="false">SUM(E40:E45)</f>
        <v>0</v>
      </c>
      <c r="F47" s="668" t="n">
        <f aca="false">SUM(F40:F45)</f>
        <v>0</v>
      </c>
      <c r="G47" s="668" t="n">
        <f aca="false">SUM(G40:G45)</f>
        <v>0</v>
      </c>
      <c r="H47" s="668" t="n">
        <f aca="false">SUM(H40:H45)</f>
        <v>-8174.41614209248</v>
      </c>
      <c r="I47" s="668" t="n">
        <f aca="false">SUM(I40:I45)</f>
        <v>-2392.6870735706</v>
      </c>
      <c r="J47" s="668" t="n">
        <f aca="false">SUM(J40:J45)</f>
        <v>1236.85224501553</v>
      </c>
      <c r="K47" s="668" t="n">
        <f aca="false">SUM(K40:K45)</f>
        <v>1267.24446101644</v>
      </c>
      <c r="L47" s="668" t="n">
        <f aca="false">SUM(L40:L45)</f>
        <v>1301.71607221006</v>
      </c>
      <c r="M47" s="668" t="n">
        <f aca="false">SUM(M40:M45)</f>
        <v>1340.81463541615</v>
      </c>
      <c r="N47" s="668" t="n">
        <f aca="false">SUM(N40:N45)</f>
        <v>1385.16120326857</v>
      </c>
      <c r="O47" s="668" t="n">
        <f aca="false">SUM(O40:O45)</f>
        <v>1435.46018919099</v>
      </c>
      <c r="P47" s="668" t="n">
        <f aca="false">SUM(P40:P45)</f>
        <v>1492.51055649885</v>
      </c>
      <c r="Q47" s="668" t="n">
        <f aca="false">SUM(Q40:Q45)</f>
        <v>1557.2185093586</v>
      </c>
      <c r="R47" s="668" t="n">
        <f aca="false">SUM(R40:R45)</f>
        <v>1630.61188719095</v>
      </c>
      <c r="S47" s="668" t="n">
        <f aca="false">SUM(S40:S45)</f>
        <v>1713.85649116285</v>
      </c>
      <c r="T47" s="668" t="n">
        <f aca="false">SUM(T40:T45)</f>
        <v>1808.27460210287</v>
      </c>
      <c r="U47" s="668" t="n">
        <f aca="false">SUM(U40:U45)</f>
        <v>0</v>
      </c>
      <c r="V47" s="668" t="n">
        <f aca="false">SUM(V40:V45)</f>
        <v>0</v>
      </c>
      <c r="W47" s="668" t="n">
        <f aca="false">SUM(W40:W45)</f>
        <v>0</v>
      </c>
      <c r="X47" s="668" t="n">
        <f aca="false">SUM(X40:X45)</f>
        <v>0</v>
      </c>
      <c r="Y47" s="668" t="n">
        <f aca="false">SUM(Y40:Y45)</f>
        <v>0</v>
      </c>
      <c r="Z47" s="668" t="n">
        <f aca="false">SUM(Z40:Z45)</f>
        <v>0</v>
      </c>
      <c r="AA47" s="668" t="n">
        <f aca="false">SUM(AA40:AA45)</f>
        <v>0</v>
      </c>
      <c r="AB47" s="669" t="n">
        <f aca="false">SUM(AB40:AB45)</f>
        <v>5602.61763676877</v>
      </c>
      <c r="AC47" s="669" t="n">
        <f aca="false">SUM(AC40:AC45)</f>
        <v>-3513.93227411387</v>
      </c>
      <c r="AE47" s="666"/>
      <c r="AF47" s="666"/>
      <c r="AG47" s="666"/>
      <c r="AH47" s="666"/>
      <c r="AI47" s="666"/>
      <c r="AJ47" s="666"/>
      <c r="AK47" s="666"/>
      <c r="AL47" s="666"/>
      <c r="AM47" s="666"/>
      <c r="AN47" s="666"/>
      <c r="AO47" s="666"/>
      <c r="AP47" s="666"/>
      <c r="AQ47" s="666"/>
      <c r="AR47" s="666"/>
      <c r="AS47" s="666"/>
      <c r="AT47" s="666"/>
      <c r="AU47" s="666"/>
      <c r="AV47" s="666"/>
      <c r="AW47" s="666"/>
      <c r="AX47" s="666"/>
      <c r="AY47" s="666"/>
      <c r="AZ47" s="666"/>
      <c r="BA47" s="666"/>
      <c r="BB47" s="666"/>
      <c r="BC47" s="666"/>
      <c r="BD47" s="666"/>
      <c r="BE47" s="666"/>
      <c r="BF47" s="666"/>
      <c r="BG47" s="666"/>
      <c r="BH47" s="666"/>
      <c r="BI47" s="666"/>
      <c r="BJ47" s="666"/>
      <c r="BK47" s="666"/>
      <c r="BL47" s="666"/>
      <c r="BM47" s="666"/>
      <c r="BN47" s="666"/>
      <c r="BO47" s="666"/>
      <c r="BP47" s="666"/>
      <c r="BQ47" s="666"/>
      <c r="BR47" s="666"/>
      <c r="BS47" s="666"/>
      <c r="BT47" s="666"/>
      <c r="BU47" s="666"/>
      <c r="BV47" s="666"/>
      <c r="BW47" s="666"/>
      <c r="BX47" s="666"/>
      <c r="BY47" s="666"/>
      <c r="BZ47" s="666"/>
      <c r="CA47" s="666"/>
      <c r="CB47" s="666"/>
      <c r="CC47" s="666"/>
      <c r="CD47" s="666"/>
      <c r="CE47" s="666"/>
      <c r="CF47" s="666"/>
      <c r="CG47" s="666"/>
      <c r="CH47" s="666"/>
      <c r="CI47" s="666"/>
      <c r="CJ47" s="666"/>
      <c r="CK47" s="666"/>
      <c r="CL47" s="666"/>
      <c r="CM47" s="666"/>
      <c r="CN47" s="666"/>
      <c r="CO47" s="666"/>
      <c r="CP47" s="666"/>
      <c r="CQ47" s="666"/>
      <c r="CR47" s="666"/>
      <c r="CS47" s="666"/>
      <c r="CT47" s="666"/>
      <c r="CU47" s="666"/>
      <c r="CV47" s="666"/>
      <c r="CW47" s="666"/>
      <c r="CX47" s="666"/>
      <c r="CY47" s="666"/>
      <c r="CZ47" s="666"/>
      <c r="DA47" s="666"/>
      <c r="DB47" s="666"/>
      <c r="DC47" s="666"/>
      <c r="DD47" s="666"/>
      <c r="DE47" s="666"/>
      <c r="DF47" s="666"/>
      <c r="DG47" s="666"/>
      <c r="DH47" s="666"/>
      <c r="DI47" s="666"/>
      <c r="DJ47" s="666"/>
      <c r="DK47" s="666"/>
      <c r="DL47" s="666"/>
      <c r="DM47" s="666"/>
      <c r="DN47" s="666"/>
      <c r="DO47" s="666"/>
      <c r="DP47" s="666"/>
      <c r="DQ47" s="666"/>
      <c r="DR47" s="666"/>
      <c r="DS47" s="666"/>
      <c r="DT47" s="666"/>
      <c r="DU47" s="666"/>
      <c r="DV47" s="666"/>
      <c r="DW47" s="666"/>
      <c r="DX47" s="666"/>
      <c r="DY47" s="666"/>
      <c r="DZ47" s="666"/>
      <c r="EA47" s="666"/>
      <c r="EB47" s="666"/>
      <c r="EC47" s="666"/>
      <c r="ED47" s="666"/>
      <c r="EE47" s="666"/>
      <c r="EF47" s="666"/>
      <c r="EG47" s="666"/>
      <c r="EH47" s="666"/>
      <c r="EI47" s="666"/>
      <c r="EJ47" s="666"/>
      <c r="EK47" s="666"/>
      <c r="EL47" s="666"/>
      <c r="EM47" s="666"/>
      <c r="EN47" s="666"/>
      <c r="EO47" s="666"/>
      <c r="EP47" s="666"/>
      <c r="EQ47" s="666"/>
      <c r="ER47" s="666"/>
      <c r="ES47" s="666"/>
      <c r="ET47" s="666"/>
      <c r="EU47" s="666"/>
      <c r="EV47" s="666"/>
      <c r="EW47" s="666"/>
      <c r="EX47" s="666"/>
      <c r="EY47" s="666"/>
      <c r="EZ47" s="666"/>
      <c r="FA47" s="666"/>
      <c r="FB47" s="666"/>
      <c r="FC47" s="666"/>
      <c r="FD47" s="666"/>
      <c r="FE47" s="666"/>
      <c r="FF47" s="666"/>
      <c r="FG47" s="666"/>
      <c r="FH47" s="666"/>
      <c r="FI47" s="666"/>
      <c r="FJ47" s="666"/>
      <c r="FK47" s="666"/>
      <c r="FL47" s="666"/>
      <c r="FM47" s="666"/>
      <c r="FN47" s="666"/>
      <c r="FO47" s="666"/>
      <c r="FP47" s="666"/>
      <c r="FQ47" s="666"/>
      <c r="FR47" s="666"/>
      <c r="FS47" s="666"/>
      <c r="FT47" s="666"/>
      <c r="FU47" s="666"/>
      <c r="FV47" s="666"/>
      <c r="FW47" s="666"/>
      <c r="FX47" s="666"/>
      <c r="FY47" s="666"/>
      <c r="FZ47" s="666"/>
      <c r="GA47" s="666"/>
      <c r="GB47" s="666"/>
      <c r="GC47" s="666"/>
      <c r="GD47" s="666"/>
      <c r="GE47" s="666"/>
      <c r="GF47" s="666"/>
      <c r="GG47" s="666"/>
      <c r="GH47" s="666"/>
      <c r="GI47" s="666"/>
      <c r="GJ47" s="666"/>
      <c r="GK47" s="666"/>
      <c r="GL47" s="666"/>
      <c r="GM47" s="666"/>
      <c r="GN47" s="666"/>
      <c r="GO47" s="666"/>
      <c r="GP47" s="666"/>
      <c r="GQ47" s="666"/>
      <c r="GR47" s="666"/>
      <c r="GS47" s="666"/>
      <c r="GT47" s="666"/>
      <c r="GU47" s="666"/>
      <c r="GV47" s="666"/>
      <c r="GW47" s="666"/>
      <c r="GX47" s="666"/>
      <c r="GY47" s="666"/>
      <c r="GZ47" s="666"/>
      <c r="HA47" s="666"/>
      <c r="HB47" s="666"/>
      <c r="HC47" s="666"/>
      <c r="HD47" s="666"/>
      <c r="HE47" s="666"/>
      <c r="HF47" s="666"/>
      <c r="HG47" s="666"/>
      <c r="HH47" s="666"/>
      <c r="HI47" s="666"/>
      <c r="HJ47" s="666"/>
      <c r="HK47" s="666"/>
      <c r="HL47" s="666"/>
      <c r="HM47" s="666"/>
      <c r="HN47" s="666"/>
      <c r="HO47" s="666"/>
      <c r="HP47" s="666"/>
      <c r="HQ47" s="666"/>
      <c r="HR47" s="666"/>
      <c r="HS47" s="666"/>
      <c r="HT47" s="666"/>
      <c r="HU47" s="666"/>
      <c r="HV47" s="666"/>
      <c r="HW47" s="666"/>
      <c r="HX47" s="666"/>
      <c r="HY47" s="666"/>
      <c r="HZ47" s="666"/>
      <c r="IA47" s="666"/>
      <c r="IB47" s="666"/>
      <c r="IC47" s="666"/>
      <c r="ID47" s="666"/>
      <c r="IE47" s="666"/>
      <c r="IF47" s="666"/>
      <c r="IG47" s="666"/>
      <c r="IH47" s="666"/>
      <c r="II47" s="666"/>
      <c r="IJ47" s="666"/>
      <c r="IK47" s="666"/>
      <c r="IL47" s="666"/>
      <c r="IM47" s="666"/>
      <c r="IN47" s="666"/>
      <c r="IO47" s="666"/>
      <c r="IP47" s="666"/>
      <c r="IQ47" s="666"/>
      <c r="IR47" s="666"/>
      <c r="IS47" s="666"/>
      <c r="IT47" s="666"/>
      <c r="IU47" s="666"/>
      <c r="IV47" s="666"/>
      <c r="IW47" s="666"/>
    </row>
    <row r="48" customFormat="false" ht="12.75" hidden="false" customHeight="false" outlineLevel="0" collapsed="false">
      <c r="A48" s="37"/>
      <c r="B48" s="38" t="s">
        <v>899</v>
      </c>
      <c r="E48" s="645" t="n">
        <f aca="false">$E46</f>
        <v>0</v>
      </c>
      <c r="F48" s="645" t="n">
        <f aca="false">IF('Project &amp; Investor Returns'!$I$3=0,$F46,$E46+NPV(Disc,$F46:F46))</f>
        <v>-26040.957907461</v>
      </c>
      <c r="G48" s="217" t="n">
        <f aca="false">IF('Project &amp; Investor Returns'!$I$3=0,$F46+NPV(Disc,$G46:G46),$E46+NPV(Disc,$F46:G46))</f>
        <v>-36152.5377981383</v>
      </c>
      <c r="H48" s="217" t="n">
        <f aca="false">IF('Project &amp; Investor Returns'!$I$3=0,$F46+NPV(Disc,$G46:H46),$E46+NPV(Disc,$F46:H46))</f>
        <v>-28515.7488095903</v>
      </c>
      <c r="I48" s="217" t="n">
        <f aca="false">IF('Project &amp; Investor Returns'!$I$3=0,$F46+NPV(Disc,$G46:I46),$E46+NPV(Disc,$F46:I46))</f>
        <v>-27957.3147546414</v>
      </c>
      <c r="J48" s="217" t="n">
        <f aca="false">IF('Project &amp; Investor Returns'!$I$3=0,$F46+NPV(Disc,$G46:J46),$E46+NPV(Disc,$F46:J46))</f>
        <v>-27216.8207232589</v>
      </c>
      <c r="K48" s="217" t="n">
        <f aca="false">IF('Project &amp; Investor Returns'!$I$3=0,$F46+NPV(Disc,$G46:K46),$E46+NPV(Disc,$F46:K46))</f>
        <v>-26168.6853510079</v>
      </c>
      <c r="L48" s="217" t="n">
        <f aca="false">IF('Project &amp; Investor Returns'!$I$3=0,$F46+NPV(Disc,$G46:L46),$E46+NPV(Disc,$F46:L46))</f>
        <v>-26359.5392778604</v>
      </c>
      <c r="M48" s="217" t="n">
        <f aca="false">IF('Project &amp; Investor Returns'!$I$3=0,$F46+NPV(Disc,$G46:M46),$E46+NPV(Disc,$F46:M46))</f>
        <v>-25174.8376024809</v>
      </c>
      <c r="N48" s="217" t="n">
        <f aca="false">IF('Project &amp; Investor Returns'!$I$3=0,$F46+NPV(Disc,$G46:N46),$E46+NPV(Disc,$F46:N46))</f>
        <v>-24112.4812289711</v>
      </c>
      <c r="O48" s="217" t="n">
        <f aca="false">IF('Project &amp; Investor Returns'!$I$3=0,$F46+NPV(Disc,$G46:O46),$E46+NPV(Disc,$F46:O46))</f>
        <v>-23337.8228738468</v>
      </c>
      <c r="P48" s="217" t="n">
        <f aca="false">IF('Project &amp; Investor Returns'!$I$3=0,$F46+NPV(Disc,$G46:P46),$E46+NPV(Disc,$F46:P46))</f>
        <v>-22735.8164279765</v>
      </c>
      <c r="Q48" s="217" t="n">
        <f aca="false">IF('Project &amp; Investor Returns'!$I$3=0,$F46+NPV(Disc,$G46:Q46),$E46+NPV(Disc,$F46:Q46))</f>
        <v>-22157.6457467684</v>
      </c>
      <c r="R48" s="217" t="n">
        <f aca="false">IF('Project &amp; Investor Returns'!$I$3=0,$F46+NPV(Disc,$G46:R46),$E46+NPV(Disc,$F46:R46))</f>
        <v>-21637.9796312569</v>
      </c>
      <c r="S48" s="217" t="n">
        <f aca="false">IF('Project &amp; Investor Returns'!$I$3=0,$F46+NPV(Disc,$G46:S46),$E46+NPV(Disc,$F46:S46))</f>
        <v>-21296.4564402241</v>
      </c>
      <c r="T48" s="217" t="n">
        <f aca="false">IF('Project &amp; Investor Returns'!$I$3=0,$F46+NPV(Disc,$G46:T46),$E46+NPV(Disc,$F46:T46))</f>
        <v>-21033.4779889409</v>
      </c>
      <c r="U48" s="217" t="n">
        <f aca="false">IF('Project &amp; Investor Returns'!$I$3=0,$F46+NPV(Disc,$G46:U46),$E46+NPV(Disc,$F46:U46))</f>
        <v>-20686.2384637671</v>
      </c>
      <c r="V48" s="217" t="n">
        <f aca="false">IF('Project &amp; Investor Returns'!$I$3=0,$F46+NPV(Disc,$G46:V46),$E46+NPV(Disc,$F46:V46))</f>
        <v>-20575.9451293102</v>
      </c>
      <c r="W48" s="217" t="n">
        <f aca="false">IF('Project &amp; Investor Returns'!$I$3=0,$F46+NPV(Disc,$G46:W46),$E46+NPV(Disc,$F46:W46))</f>
        <v>-20608.0140525277</v>
      </c>
      <c r="X48" s="217" t="n">
        <f aca="false">IF('Project &amp; Investor Returns'!$I$3=0,$F46+NPV(Disc,$G46:X46),$E46+NPV(Disc,$F46:X46))</f>
        <v>-20557.8282220386</v>
      </c>
      <c r="Y48" s="217" t="n">
        <f aca="false">IF('Project &amp; Investor Returns'!$I$3=0,$F46+NPV(Disc,$G46:Y46),$E46+NPV(Disc,$F46:Y46))</f>
        <v>-20528.1017901472</v>
      </c>
      <c r="Z48" s="217" t="n">
        <f aca="false">IF('Project &amp; Investor Returns'!$I$3=0,$F46+NPV(Disc,$G46:Z46),$E46+NPV(Disc,$F46:Z46))</f>
        <v>-20493.9652784494</v>
      </c>
      <c r="AA48" s="217" t="n">
        <f aca="false">IF('Project &amp; Investor Returns'!$I$3=0,$F46+NPV(Disc,$G46:AA46),$E46+NPV(Disc,$F46:AA46))</f>
        <v>-20458.8026783121</v>
      </c>
      <c r="AB48" s="640"/>
      <c r="AC48" s="574" t="n">
        <f aca="false">AC46</f>
        <v>-20458.8026783121</v>
      </c>
      <c r="AD48" s="668" t="n">
        <f aca="false">NPV(Disc,F47:AA47)+E47</f>
        <v>-2952.88426396124</v>
      </c>
    </row>
    <row r="49" customFormat="false" ht="12.75" hidden="false" customHeight="false" outlineLevel="0" collapsed="false">
      <c r="A49" s="37"/>
      <c r="B49" s="38" t="s">
        <v>900</v>
      </c>
      <c r="E49" s="260" t="e">
        <f aca="false">IRR($E46:E46,-0.9)</f>
        <v>#N/A</v>
      </c>
      <c r="F49" s="260" t="e">
        <f aca="false">IRR($E46:F46,-0.9)</f>
        <v>#N/A</v>
      </c>
      <c r="G49" s="260" t="e">
        <f aca="false">IRR($E46:G46,-0.9)</f>
        <v>#N/A</v>
      </c>
      <c r="H49" s="260" t="n">
        <f aca="false">IRR($E46:H46,-0.9)</f>
        <v>-0.546445331099635</v>
      </c>
      <c r="I49" s="260" t="n">
        <f aca="false">IRR($E46:I46,-0.9)</f>
        <v>-0.495945726801725</v>
      </c>
      <c r="J49" s="260" t="n">
        <f aca="false">IRR($E46:J46,-0.9)</f>
        <v>-0.401453152578031</v>
      </c>
      <c r="K49" s="260" t="n">
        <f aca="false">IRR($E46:K46,-0.9)</f>
        <v>-0.285433490840816</v>
      </c>
      <c r="L49" s="260" t="n">
        <f aca="false">IRR($E46:L46,-0.9)</f>
        <v>-0.810957685404741</v>
      </c>
      <c r="M49" s="260" t="e">
        <f aca="false">IRR($E46:M46,-0.9)</f>
        <v>#N/A</v>
      </c>
      <c r="N49" s="260" t="e">
        <f aca="false">IRR($E46:N46,-0.9)</f>
        <v>#N/A</v>
      </c>
      <c r="O49" s="260" t="e">
        <f aca="false">IRR($E46:O46,-0.9)</f>
        <v>#N/A</v>
      </c>
      <c r="P49" s="260" t="e">
        <f aca="false">IRR($E46:P46,-0.9)</f>
        <v>#N/A</v>
      </c>
      <c r="Q49" s="260" t="e">
        <f aca="false">IRR($E46:Q46,-0.9)</f>
        <v>#N/A</v>
      </c>
      <c r="R49" s="260" t="e">
        <f aca="false">IRR($E46:R46,-0.9)</f>
        <v>#N/A</v>
      </c>
      <c r="S49" s="260" t="e">
        <f aca="false">IRR($E46:S46,-0.9)</f>
        <v>#N/A</v>
      </c>
      <c r="T49" s="260" t="e">
        <f aca="false">IRR($E46:T46,-0.9)</f>
        <v>#N/A</v>
      </c>
      <c r="U49" s="260" t="e">
        <f aca="false">IRR($E46:U46,-0.9)</f>
        <v>#N/A</v>
      </c>
      <c r="V49" s="260" t="e">
        <f aca="false">IRR($E46:V46,-0.9)</f>
        <v>#N/A</v>
      </c>
      <c r="W49" s="260" t="e">
        <f aca="false">IRR($E46:W46,-0.9)</f>
        <v>#N/A</v>
      </c>
      <c r="X49" s="260" t="e">
        <f aca="false">IRR($E46:X46,-0.9)</f>
        <v>#N/A</v>
      </c>
      <c r="Y49" s="260" t="e">
        <f aca="false">IRR($E46:Y46,-0.9)</f>
        <v>#N/A</v>
      </c>
      <c r="Z49" s="260" t="e">
        <f aca="false">IRR($E46:Z46,-0.9)</f>
        <v>#N/A</v>
      </c>
      <c r="AA49" s="260" t="e">
        <f aca="false">IRR($E46:AA46,-0.9)</f>
        <v>#N/A</v>
      </c>
      <c r="AB49" s="638"/>
      <c r="AC49" s="646" t="e">
        <f aca="false">IRR(E46:AA46,-0.9)</f>
        <v>#N/A</v>
      </c>
      <c r="AD49" s="670" t="str">
        <f aca="false">IF(ISERROR(IRR(E47:AA47,-0.9)),"Infinite",IRR(E47:AA47,-0.9))</f>
        <v>Infinite</v>
      </c>
    </row>
    <row r="50" customFormat="false" ht="12.75" hidden="false" customHeight="true" outlineLevel="0" collapsed="false">
      <c r="A50" s="37"/>
      <c r="C50" s="671" t="s">
        <v>908</v>
      </c>
      <c r="D50" s="671" t="s">
        <v>909</v>
      </c>
      <c r="E50" s="637"/>
      <c r="F50" s="637"/>
      <c r="G50" s="637"/>
      <c r="H50" s="637"/>
      <c r="I50" s="637"/>
      <c r="J50" s="637"/>
      <c r="K50" s="637"/>
      <c r="L50" s="637"/>
      <c r="M50" s="637"/>
      <c r="N50" s="637"/>
      <c r="O50" s="637"/>
      <c r="P50" s="637"/>
      <c r="Q50" s="637"/>
      <c r="R50" s="637"/>
      <c r="S50" s="637"/>
      <c r="T50" s="637"/>
      <c r="U50" s="637"/>
      <c r="V50" s="637"/>
      <c r="W50" s="637"/>
      <c r="X50" s="637"/>
      <c r="Y50" s="637"/>
      <c r="Z50" s="637"/>
      <c r="AA50" s="637"/>
      <c r="AB50" s="638"/>
      <c r="AC50" s="555"/>
    </row>
    <row r="51" customFormat="false" ht="12.75" hidden="false" customHeight="false" outlineLevel="0" collapsed="false">
      <c r="A51" s="37"/>
      <c r="B51" s="647" t="str">
        <f aca="false">CONCATENATE("Shell NPV (w/ Subdebt) @ ",TEXT(Disc,"0.0%"))</f>
        <v>Shell NPV (w/ Subdebt) @ 19.0%</v>
      </c>
      <c r="C51" s="672" t="n">
        <f aca="false">AC48</f>
        <v>-20458.8026783121</v>
      </c>
      <c r="D51" s="648" t="n">
        <f aca="false">AD48</f>
        <v>-2952.88426396124</v>
      </c>
      <c r="F51" s="649"/>
      <c r="G51" s="649"/>
      <c r="H51" s="649"/>
      <c r="I51" s="649"/>
      <c r="J51" s="649"/>
      <c r="K51" s="649"/>
      <c r="L51" s="649"/>
      <c r="M51" s="649"/>
      <c r="N51" s="649"/>
      <c r="O51" s="649"/>
      <c r="P51" s="649"/>
      <c r="Q51" s="649"/>
      <c r="R51" s="649"/>
      <c r="S51" s="649"/>
      <c r="T51" s="649"/>
      <c r="U51" s="649"/>
      <c r="V51" s="649"/>
      <c r="W51" s="649"/>
      <c r="X51" s="649"/>
      <c r="Y51" s="649"/>
      <c r="Z51" s="649"/>
      <c r="AA51" s="649"/>
      <c r="AB51" s="638"/>
      <c r="AC51" s="555"/>
    </row>
    <row r="52" customFormat="false" ht="13.5" hidden="false" customHeight="false" outlineLevel="0" collapsed="false">
      <c r="A52" s="70"/>
      <c r="B52" s="652" t="s">
        <v>939</v>
      </c>
      <c r="C52" s="673" t="e">
        <f aca="false">AC49</f>
        <v>#N/A</v>
      </c>
      <c r="D52" s="674" t="str">
        <f aca="false">AD49</f>
        <v>Infinite</v>
      </c>
      <c r="E52" s="71"/>
      <c r="F52" s="654"/>
      <c r="G52" s="654"/>
      <c r="H52" s="654"/>
      <c r="I52" s="654"/>
      <c r="J52" s="654"/>
      <c r="K52" s="654"/>
      <c r="L52" s="654"/>
      <c r="M52" s="654"/>
      <c r="N52" s="654"/>
      <c r="O52" s="654"/>
      <c r="P52" s="654"/>
      <c r="Q52" s="654"/>
      <c r="R52" s="654"/>
      <c r="S52" s="654"/>
      <c r="T52" s="654"/>
      <c r="U52" s="654"/>
      <c r="V52" s="654"/>
      <c r="W52" s="654"/>
      <c r="X52" s="654"/>
      <c r="Y52" s="654"/>
      <c r="Z52" s="654"/>
      <c r="AA52" s="654"/>
      <c r="AB52" s="655"/>
      <c r="AC52" s="611"/>
    </row>
    <row r="53" customFormat="false" ht="13.5" hidden="false" customHeight="false" outlineLevel="0" collapsed="false"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</row>
    <row r="54" customFormat="false" ht="12.75" hidden="false" customHeight="false" outlineLevel="0" collapsed="false">
      <c r="A54" s="657" t="str">
        <f aca="false">CONCATENATE(Assm!$H$87," Returns")</f>
        <v>Transredes Returns</v>
      </c>
      <c r="B54" s="28"/>
      <c r="C54" s="28"/>
      <c r="D54" s="2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539"/>
      <c r="AC54" s="65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</row>
    <row r="55" customFormat="false" ht="12.75" hidden="false" customHeight="false" outlineLevel="0" collapsed="false">
      <c r="A55" s="659" t="n">
        <f aca="false">Assm!$K$87</f>
        <v>0.125</v>
      </c>
      <c r="B55" s="38" t="s">
        <v>940</v>
      </c>
      <c r="E55" s="217" t="n">
        <f aca="false">'Project &amp; Investor Returns'!E13*$A$55</f>
        <v>-0</v>
      </c>
      <c r="F55" s="217" t="n">
        <f aca="false">'Project &amp; Investor Returns'!F13*$A$55</f>
        <v>-11599.1962756149</v>
      </c>
      <c r="G55" s="217" t="n">
        <f aca="false">'Project &amp; Investor Returns'!G13*$A$55</f>
        <v>0</v>
      </c>
      <c r="H55" s="217" t="n">
        <f aca="false">'Project &amp; Investor Returns'!H13*$A$55</f>
        <v>0</v>
      </c>
      <c r="I55" s="217" t="n">
        <f aca="false">'Project &amp; Investor Returns'!I13*$A$55</f>
        <v>0</v>
      </c>
      <c r="J55" s="217" t="n">
        <f aca="false">'Project &amp; Investor Returns'!J13*$A$55</f>
        <v>0</v>
      </c>
      <c r="K55" s="217" t="n">
        <f aca="false">'Project &amp; Investor Returns'!K13*$A$55</f>
        <v>0</v>
      </c>
      <c r="L55" s="217" t="n">
        <f aca="false">'Project &amp; Investor Returns'!L13*$A$55</f>
        <v>0</v>
      </c>
      <c r="M55" s="217" t="n">
        <f aca="false">'Project &amp; Investor Returns'!M13*$A$55</f>
        <v>0</v>
      </c>
      <c r="N55" s="217" t="n">
        <f aca="false">'Project &amp; Investor Returns'!N13*$A$55</f>
        <v>0</v>
      </c>
      <c r="O55" s="217" t="n">
        <f aca="false">'Project &amp; Investor Returns'!O13*$A$55</f>
        <v>0</v>
      </c>
      <c r="P55" s="217" t="n">
        <f aca="false">'Project &amp; Investor Returns'!P13*$A$55</f>
        <v>0</v>
      </c>
      <c r="Q55" s="217" t="n">
        <f aca="false">'Project &amp; Investor Returns'!Q13*$A$55</f>
        <v>0</v>
      </c>
      <c r="R55" s="217" t="n">
        <f aca="false">'Project &amp; Investor Returns'!R13*$A$55</f>
        <v>0</v>
      </c>
      <c r="S55" s="217" t="n">
        <f aca="false">'Project &amp; Investor Returns'!S13*$A$55</f>
        <v>0</v>
      </c>
      <c r="T55" s="217" t="n">
        <f aca="false">'Project &amp; Investor Returns'!T13*$A$55</f>
        <v>0</v>
      </c>
      <c r="U55" s="217" t="n">
        <f aca="false">'Project &amp; Investor Returns'!U13*$A$55</f>
        <v>0</v>
      </c>
      <c r="V55" s="217" t="n">
        <f aca="false">'Project &amp; Investor Returns'!V13*$A$55</f>
        <v>0</v>
      </c>
      <c r="W55" s="217" t="n">
        <f aca="false">'Project &amp; Investor Returns'!W13*$A$55</f>
        <v>0</v>
      </c>
      <c r="X55" s="217" t="n">
        <f aca="false">'Project &amp; Investor Returns'!X13*$A$55</f>
        <v>0</v>
      </c>
      <c r="Y55" s="217" t="n">
        <f aca="false">'Project &amp; Investor Returns'!Y13*$A$55</f>
        <v>0</v>
      </c>
      <c r="Z55" s="217" t="n">
        <f aca="false">'Project &amp; Investor Returns'!Z13*$A$55</f>
        <v>0</v>
      </c>
      <c r="AA55" s="217" t="n">
        <f aca="false">'Project &amp; Investor Returns'!AA13*$A$55</f>
        <v>0</v>
      </c>
      <c r="AB55" s="574" t="n">
        <f aca="false">SUM(E55:AA55)</f>
        <v>-11599.1962756149</v>
      </c>
      <c r="AC55" s="641" t="n">
        <f aca="false">IF('Project &amp; Investor Returns'!$I$3=0,F55+NPV(Disc,G55:AA55),E55+NPV(Disc,F55:AA55))</f>
        <v>-11599.1962756149</v>
      </c>
    </row>
    <row r="56" customFormat="false" ht="12.75" hidden="false" customHeight="false" outlineLevel="0" collapsed="false">
      <c r="A56" s="659" t="n">
        <f aca="false">Assm!$L$87</f>
        <v>0.125</v>
      </c>
      <c r="B56" s="38" t="s">
        <v>883</v>
      </c>
      <c r="E56" s="217" t="n">
        <f aca="false">'Project &amp; Investor Returns'!E14*$A$56</f>
        <v>0</v>
      </c>
      <c r="F56" s="217" t="n">
        <f aca="false">'Project &amp; Investor Returns'!F14*$A$56</f>
        <v>0</v>
      </c>
      <c r="G56" s="217" t="n">
        <f aca="false">'Project &amp; Investor Returns'!G14*$A$56</f>
        <v>0</v>
      </c>
      <c r="H56" s="217" t="n">
        <f aca="false">'Project &amp; Investor Returns'!H14*$A$56</f>
        <v>0</v>
      </c>
      <c r="I56" s="217" t="n">
        <f aca="false">'Project &amp; Investor Returns'!I14*$A$56</f>
        <v>0</v>
      </c>
      <c r="J56" s="217" t="n">
        <f aca="false">'Project &amp; Investor Returns'!J14*$A$56</f>
        <v>0</v>
      </c>
      <c r="K56" s="217" t="n">
        <f aca="false">'Project &amp; Investor Returns'!K14*$A$56</f>
        <v>0</v>
      </c>
      <c r="L56" s="217" t="n">
        <f aca="false">'Project &amp; Investor Returns'!L14*$A$56</f>
        <v>0</v>
      </c>
      <c r="M56" s="217" t="n">
        <f aca="false">'Project &amp; Investor Returns'!M14*$A$56</f>
        <v>0</v>
      </c>
      <c r="N56" s="217" t="n">
        <f aca="false">'Project &amp; Investor Returns'!N14*$A$56</f>
        <v>0</v>
      </c>
      <c r="O56" s="217" t="n">
        <f aca="false">'Project &amp; Investor Returns'!O14*$A$56</f>
        <v>287.132359045199</v>
      </c>
      <c r="P56" s="217" t="n">
        <f aca="false">'Project &amp; Investor Returns'!P14*$A$56</f>
        <v>743.099544566331</v>
      </c>
      <c r="Q56" s="217" t="n">
        <f aca="false">'Project &amp; Investor Returns'!Q14*$A$56</f>
        <v>776.926508525463</v>
      </c>
      <c r="R56" s="217" t="n">
        <f aca="false">'Project &amp; Investor Returns'!R14*$A$56</f>
        <v>894.23930879242</v>
      </c>
      <c r="S56" s="217" t="n">
        <f aca="false">'Project &amp; Investor Returns'!S14*$A$56</f>
        <v>971.57786937487</v>
      </c>
      <c r="T56" s="217" t="n">
        <f aca="false">'Project &amp; Investor Returns'!T14*$A$56</f>
        <v>688.861008478985</v>
      </c>
      <c r="U56" s="217" t="n">
        <f aca="false">'Project &amp; Investor Returns'!U14*$A$56</f>
        <v>886.657808095285</v>
      </c>
      <c r="V56" s="217" t="n">
        <f aca="false">'Project &amp; Investor Returns'!V14*$A$56</f>
        <v>301.313115398319</v>
      </c>
      <c r="W56" s="217" t="n">
        <f aca="false">'Project &amp; Investor Returns'!W14*$A$56</f>
        <v>0</v>
      </c>
      <c r="X56" s="217" t="n">
        <f aca="false">'Project &amp; Investor Returns'!X14*$A$56</f>
        <v>0</v>
      </c>
      <c r="Y56" s="217" t="n">
        <f aca="false">'Project &amp; Investor Returns'!Y14*$A$56</f>
        <v>0</v>
      </c>
      <c r="Z56" s="217" t="n">
        <f aca="false">'Project &amp; Investor Returns'!Z14*$A$56</f>
        <v>0</v>
      </c>
      <c r="AA56" s="217" t="n">
        <f aca="false">'Project &amp; Investor Returns'!AA14*$A$56</f>
        <v>5577.28565901139</v>
      </c>
      <c r="AB56" s="574" t="n">
        <f aca="false">SUM(E56:AA56)</f>
        <v>11127.0931812883</v>
      </c>
      <c r="AC56" s="641" t="n">
        <f aca="false">IF('Project &amp; Investor Returns'!$I$3=0,F56+NPV(Disc,G56:AA56),E56+NPV(Disc,F56:AA56))</f>
        <v>805.99395617872</v>
      </c>
    </row>
    <row r="57" customFormat="false" ht="12.75" hidden="false" customHeight="false" outlineLevel="0" collapsed="false">
      <c r="A57" s="659"/>
      <c r="B57" s="38" t="s">
        <v>894</v>
      </c>
      <c r="E57" s="217" t="n">
        <f aca="false">'Project &amp; Investor Returns'!E15*$A$56</f>
        <v>0</v>
      </c>
      <c r="F57" s="217" t="n">
        <f aca="false">'Project &amp; Investor Returns'!F15*$A$56</f>
        <v>0</v>
      </c>
      <c r="G57" s="217" t="n">
        <f aca="false">'Project &amp; Investor Returns'!G15*$A$56</f>
        <v>-247.313509409962</v>
      </c>
      <c r="H57" s="217" t="n">
        <f aca="false">'Project &amp; Investor Returns'!H15*$A$56</f>
        <v>419.792349979657</v>
      </c>
      <c r="I57" s="217" t="n">
        <f aca="false">'Project &amp; Investor Returns'!I15*$A$56</f>
        <v>1911.51241284453</v>
      </c>
      <c r="J57" s="217" t="n">
        <f aca="false">'Project &amp; Investor Returns'!J15*$A$56</f>
        <v>220.540281314413</v>
      </c>
      <c r="K57" s="217" t="n">
        <f aca="false">'Project &amp; Investor Returns'!K15*$A$56</f>
        <v>575.183874721335</v>
      </c>
      <c r="L57" s="217" t="n">
        <f aca="false">'Project &amp; Investor Returns'!L15*$A$56</f>
        <v>-944.687090529893</v>
      </c>
      <c r="M57" s="217" t="n">
        <f aca="false">'Project &amp; Investor Returns'!M15*$A$56</f>
        <v>794.659691766913</v>
      </c>
      <c r="N57" s="217" t="n">
        <f aca="false">'Project &amp; Investor Returns'!N15*$A$56</f>
        <v>805.419285732012</v>
      </c>
      <c r="O57" s="217" t="n">
        <f aca="false">'Project &amp; Investor Returns'!O15*$A$56</f>
        <v>224.863599458453</v>
      </c>
      <c r="P57" s="217" t="n">
        <f aca="false">'Project &amp; Investor Returns'!P15*$A$56</f>
        <v>-314.852085735533</v>
      </c>
      <c r="Q57" s="217" t="n">
        <f aca="false">'Project &amp; Investor Returns'!Q15*$A$56</f>
        <v>-143.172775552002</v>
      </c>
      <c r="R57" s="217" t="n">
        <f aca="false">'Project &amp; Investor Returns'!R15*$A$56</f>
        <v>-287.030484347429</v>
      </c>
      <c r="S57" s="217" t="n">
        <f aca="false">'Project &amp; Investor Returns'!S15*$A$56</f>
        <v>-939.237175668557</v>
      </c>
      <c r="T57" s="217" t="n">
        <f aca="false">'Project &amp; Investor Returns'!T15*$A$56</f>
        <v>-652.291708312278</v>
      </c>
      <c r="U57" s="217" t="n">
        <f aca="false">'Project &amp; Investor Returns'!U15*$A$56</f>
        <v>902.340735313549</v>
      </c>
      <c r="V57" s="217" t="n">
        <f aca="false">'Project &amp; Investor Returns'!V15*$A$56</f>
        <v>424.907927145495</v>
      </c>
      <c r="W57" s="217" t="n">
        <f aca="false">'Project &amp; Investor Returns'!W15*$A$56</f>
        <v>-248.676621689078</v>
      </c>
      <c r="X57" s="217" t="n">
        <f aca="false">'Project &amp; Investor Returns'!X15*$A$56</f>
        <v>760.706307978884</v>
      </c>
      <c r="Y57" s="217" t="n">
        <f aca="false">'Project &amp; Investor Returns'!Y15*$A$56</f>
        <v>586.23920481358</v>
      </c>
      <c r="Z57" s="217" t="n">
        <f aca="false">'Project &amp; Investor Returns'!Z15*$A$56</f>
        <v>778.07566157593</v>
      </c>
      <c r="AA57" s="217" t="n">
        <f aca="false">'Project &amp; Investor Returns'!AA15*$A$56</f>
        <v>-4626.97988140002</v>
      </c>
      <c r="AB57" s="574" t="n">
        <f aca="false">SUM(E57:AA57)</f>
        <v>0</v>
      </c>
      <c r="AC57" s="641" t="n">
        <f aca="false">IF('Project &amp; Investor Returns'!$I$3=0,F57+NPV(Disc,G57:AA57),E57+NPV(Disc,F57:AA57))</f>
        <v>1495.28314514271</v>
      </c>
    </row>
    <row r="58" customFormat="false" ht="12.75" hidden="false" customHeight="false" outlineLevel="0" collapsed="false">
      <c r="A58" s="734"/>
      <c r="B58" s="38" t="s">
        <v>895</v>
      </c>
      <c r="D58" s="79" t="s">
        <v>341</v>
      </c>
      <c r="E58" s="217" t="n">
        <f aca="false">-Trapped!E40*'Project &amp; Investor Returns'!E$10*$A$56</f>
        <v>-0</v>
      </c>
      <c r="F58" s="217" t="n">
        <f aca="false">-Trapped!F40*'Project &amp; Investor Returns'!F$10*$A$56</f>
        <v>-0</v>
      </c>
      <c r="G58" s="217" t="n">
        <f aca="false">-Trapped!G40*'Project &amp; Investor Returns'!G$10*$A$56</f>
        <v>-0</v>
      </c>
      <c r="H58" s="217" t="n">
        <f aca="false">-Trapped!H40*'Project &amp; Investor Returns'!H$10*$A$56</f>
        <v>-0</v>
      </c>
      <c r="I58" s="217" t="n">
        <f aca="false">-Trapped!I40*'Project &amp; Investor Returns'!I$10*$A$56</f>
        <v>-10.3487304341817</v>
      </c>
      <c r="J58" s="217" t="n">
        <f aca="false">-Trapped!J40*'Project &amp; Investor Returns'!J$10*$A$56</f>
        <v>-125.039475204853</v>
      </c>
      <c r="K58" s="217" t="n">
        <f aca="false">-Trapped!K40*'Project &amp; Investor Returns'!K$10*$A$56</f>
        <v>-138.271892083718</v>
      </c>
      <c r="L58" s="217" t="n">
        <f aca="false">-Trapped!L40*'Project &amp; Investor Returns'!L$10*$A$56</f>
        <v>-172.782924566998</v>
      </c>
      <c r="M58" s="217" t="n">
        <f aca="false">-Trapped!M40*'Project &amp; Investor Returns'!M$10*$A$56</f>
        <v>-172.782924566998</v>
      </c>
      <c r="N58" s="217" t="n">
        <f aca="false">-Trapped!N40*'Project &amp; Investor Returns'!N$10*$A$56</f>
        <v>-163.78128064122</v>
      </c>
      <c r="O58" s="217" t="n">
        <f aca="false">-Trapped!O40*'Project &amp; Investor Returns'!O$10*$A$56</f>
        <v>-212.10643778514</v>
      </c>
      <c r="P58" s="217" t="n">
        <f aca="false">-Trapped!P40*'Project &amp; Investor Returns'!P$10*$A$56</f>
        <v>-225.598253752647</v>
      </c>
      <c r="Q58" s="217" t="n">
        <f aca="false">-Trapped!Q40*'Project &amp; Investor Returns'!Q$10*$A$56</f>
        <v>-225.598253752647</v>
      </c>
      <c r="R58" s="217" t="n">
        <f aca="false">-Trapped!R40*'Project &amp; Investor Returns'!R$10*$A$56</f>
        <v>-206.707128608515</v>
      </c>
      <c r="S58" s="217" t="n">
        <f aca="false">-Trapped!S40*'Project &amp; Investor Returns'!S$10*$A$56</f>
        <v>-198.116762075395</v>
      </c>
      <c r="T58" s="217" t="n">
        <f aca="false">-Trapped!T40*'Project &amp; Investor Returns'!T$10*$A$56</f>
        <v>-180.89493301455</v>
      </c>
      <c r="U58" s="217" t="n">
        <f aca="false">-Trapped!U40*'Project &amp; Investor Returns'!U$10*$A$56</f>
        <v>-124.540702474436</v>
      </c>
      <c r="V58" s="217" t="n">
        <f aca="false">-Trapped!V40*'Project &amp; Investor Returns'!V$10*$A$56</f>
        <v>-139.543644094512</v>
      </c>
      <c r="W58" s="217" t="n">
        <f aca="false">-Trapped!W40*'Project &amp; Investor Returns'!W$10*$A$56</f>
        <v>-165.038119723242</v>
      </c>
      <c r="X58" s="217" t="n">
        <f aca="false">-Trapped!X40*'Project &amp; Investor Returns'!X$10*$A$56</f>
        <v>-165.038119723242</v>
      </c>
      <c r="Y58" s="217" t="n">
        <f aca="false">-Trapped!Y40*'Project &amp; Investor Returns'!Y$10*$A$56</f>
        <v>-195.759900900631</v>
      </c>
      <c r="Z58" s="217" t="n">
        <f aca="false">-Trapped!Z40*'Project &amp; Investor Returns'!Z$10*$A$56</f>
        <v>-230.934253189445</v>
      </c>
      <c r="AA58" s="217" t="n">
        <f aca="false">-Trapped!AA40*'Project &amp; Investor Returns'!AA$10*$A$56</f>
        <v>-277.618792884001</v>
      </c>
      <c r="AB58" s="574" t="n">
        <f aca="false">SUM(E58:AA58)</f>
        <v>-3330.50252947637</v>
      </c>
      <c r="AC58" s="641" t="n">
        <f aca="false">IF('Project &amp; Investor Returns'!$I$3=0,F58+NPV(Disc,G58:AA58),E58+NPV(Disc,F58:AA58))</f>
        <v>-513.56013842388</v>
      </c>
      <c r="AE58" s="414"/>
      <c r="AF58" s="414"/>
      <c r="AG58" s="667"/>
      <c r="AH58" s="414"/>
      <c r="AI58" s="414"/>
      <c r="AJ58" s="414"/>
      <c r="AK58" s="414"/>
      <c r="AL58" s="414"/>
      <c r="AM58" s="414"/>
      <c r="AN58" s="414"/>
      <c r="AO58" s="414"/>
      <c r="AP58" s="414"/>
      <c r="AQ58" s="414"/>
      <c r="AR58" s="414"/>
      <c r="AS58" s="414"/>
      <c r="AT58" s="414"/>
      <c r="AU58" s="414"/>
      <c r="AV58" s="414"/>
      <c r="AW58" s="414"/>
      <c r="AX58" s="414"/>
      <c r="AY58" s="414"/>
      <c r="AZ58" s="414"/>
      <c r="BA58" s="414"/>
      <c r="BB58" s="414"/>
      <c r="BC58" s="414"/>
      <c r="BD58" s="414"/>
      <c r="BE58" s="414"/>
      <c r="BF58" s="414"/>
      <c r="BG58" s="414"/>
      <c r="BH58" s="414"/>
      <c r="BI58" s="414"/>
      <c r="BJ58" s="414"/>
      <c r="BK58" s="414"/>
      <c r="BL58" s="414"/>
      <c r="BM58" s="414"/>
      <c r="BN58" s="414"/>
      <c r="BO58" s="414"/>
      <c r="BP58" s="414"/>
      <c r="BQ58" s="414"/>
      <c r="BR58" s="414"/>
      <c r="BS58" s="414"/>
      <c r="BT58" s="414"/>
      <c r="BU58" s="414"/>
      <c r="BV58" s="414"/>
      <c r="BW58" s="414"/>
      <c r="BX58" s="414"/>
      <c r="BY58" s="414"/>
      <c r="BZ58" s="414"/>
      <c r="CA58" s="414"/>
      <c r="CB58" s="414"/>
      <c r="CC58" s="414"/>
      <c r="CD58" s="414"/>
      <c r="CE58" s="414"/>
      <c r="CF58" s="414"/>
      <c r="CG58" s="414"/>
      <c r="CH58" s="414"/>
      <c r="CI58" s="414"/>
      <c r="CJ58" s="414"/>
      <c r="CK58" s="414"/>
      <c r="CL58" s="414"/>
      <c r="CM58" s="414"/>
      <c r="CN58" s="414"/>
      <c r="CO58" s="414"/>
      <c r="CP58" s="414"/>
      <c r="CQ58" s="414"/>
      <c r="CR58" s="414"/>
      <c r="CS58" s="414"/>
      <c r="CT58" s="414"/>
      <c r="CU58" s="414"/>
      <c r="CV58" s="414"/>
      <c r="CW58" s="414"/>
      <c r="CX58" s="414"/>
      <c r="CY58" s="414"/>
      <c r="CZ58" s="414"/>
      <c r="DA58" s="414"/>
      <c r="DB58" s="414"/>
      <c r="DC58" s="414"/>
      <c r="DD58" s="414"/>
      <c r="DE58" s="414"/>
      <c r="DF58" s="414"/>
      <c r="DG58" s="414"/>
      <c r="DH58" s="414"/>
      <c r="DI58" s="414"/>
      <c r="DJ58" s="414"/>
      <c r="DK58" s="414"/>
      <c r="DL58" s="414"/>
      <c r="DM58" s="414"/>
      <c r="DN58" s="414"/>
      <c r="DO58" s="414"/>
      <c r="DP58" s="414"/>
      <c r="DQ58" s="414"/>
      <c r="DR58" s="414"/>
      <c r="DS58" s="414"/>
      <c r="DT58" s="414"/>
      <c r="DU58" s="414"/>
      <c r="DV58" s="414"/>
      <c r="DW58" s="414"/>
      <c r="DX58" s="414"/>
      <c r="DY58" s="414"/>
      <c r="DZ58" s="414"/>
      <c r="EA58" s="414"/>
      <c r="EB58" s="414"/>
      <c r="EC58" s="414"/>
      <c r="ED58" s="414"/>
      <c r="EE58" s="414"/>
      <c r="EF58" s="414"/>
      <c r="EG58" s="414"/>
      <c r="EH58" s="414"/>
      <c r="EI58" s="414"/>
      <c r="EJ58" s="414"/>
      <c r="EK58" s="414"/>
      <c r="EL58" s="414"/>
      <c r="EM58" s="414"/>
      <c r="EN58" s="414"/>
      <c r="EO58" s="414"/>
      <c r="EP58" s="414"/>
      <c r="EQ58" s="414"/>
      <c r="ER58" s="414"/>
      <c r="ES58" s="414"/>
      <c r="ET58" s="414"/>
      <c r="EU58" s="414"/>
      <c r="EV58" s="414"/>
      <c r="EW58" s="414"/>
      <c r="EX58" s="414"/>
      <c r="EY58" s="414"/>
      <c r="EZ58" s="414"/>
      <c r="FA58" s="414"/>
      <c r="FB58" s="414"/>
      <c r="FC58" s="414"/>
      <c r="FD58" s="414"/>
      <c r="FE58" s="414"/>
      <c r="FF58" s="414"/>
      <c r="FG58" s="414"/>
      <c r="FH58" s="414"/>
      <c r="FI58" s="414"/>
      <c r="FJ58" s="414"/>
      <c r="FK58" s="414"/>
      <c r="FL58" s="414"/>
      <c r="FM58" s="414"/>
      <c r="FN58" s="414"/>
      <c r="FO58" s="414"/>
      <c r="FP58" s="414"/>
      <c r="FQ58" s="414"/>
      <c r="FR58" s="414"/>
      <c r="FS58" s="414"/>
      <c r="FT58" s="414"/>
      <c r="FU58" s="414"/>
      <c r="FV58" s="414"/>
      <c r="FW58" s="414"/>
      <c r="FX58" s="414"/>
      <c r="FY58" s="414"/>
      <c r="FZ58" s="414"/>
      <c r="GA58" s="414"/>
      <c r="GB58" s="414"/>
      <c r="GC58" s="414"/>
      <c r="GD58" s="414"/>
      <c r="GE58" s="414"/>
      <c r="GF58" s="414"/>
      <c r="GG58" s="414"/>
      <c r="GH58" s="414"/>
      <c r="GI58" s="414"/>
      <c r="GJ58" s="414"/>
      <c r="GK58" s="414"/>
      <c r="GL58" s="414"/>
      <c r="GM58" s="414"/>
      <c r="GN58" s="414"/>
      <c r="GO58" s="414"/>
      <c r="GP58" s="414"/>
      <c r="GQ58" s="414"/>
      <c r="GR58" s="414"/>
      <c r="GS58" s="414"/>
      <c r="GT58" s="414"/>
      <c r="GU58" s="414"/>
      <c r="GV58" s="414"/>
      <c r="GW58" s="414"/>
      <c r="GX58" s="414"/>
      <c r="GY58" s="414"/>
      <c r="GZ58" s="414"/>
      <c r="HA58" s="414"/>
      <c r="HB58" s="414"/>
      <c r="HC58" s="414"/>
      <c r="HD58" s="414"/>
      <c r="HE58" s="414"/>
      <c r="HF58" s="414"/>
      <c r="HG58" s="414"/>
      <c r="HH58" s="414"/>
      <c r="HI58" s="414"/>
      <c r="HJ58" s="414"/>
      <c r="HK58" s="414"/>
      <c r="HL58" s="414"/>
      <c r="HM58" s="414"/>
      <c r="HN58" s="414"/>
      <c r="HO58" s="414"/>
      <c r="HP58" s="414"/>
      <c r="HQ58" s="414"/>
      <c r="HR58" s="414"/>
      <c r="HS58" s="414"/>
      <c r="HT58" s="414"/>
      <c r="HU58" s="414"/>
      <c r="HV58" s="414"/>
      <c r="HW58" s="414"/>
      <c r="HX58" s="414"/>
      <c r="HY58" s="414"/>
      <c r="HZ58" s="414"/>
      <c r="IA58" s="414"/>
      <c r="IB58" s="414"/>
      <c r="IC58" s="414"/>
      <c r="ID58" s="414"/>
      <c r="IE58" s="414"/>
      <c r="IF58" s="414"/>
      <c r="IG58" s="414"/>
      <c r="IH58" s="414"/>
      <c r="II58" s="414"/>
      <c r="IJ58" s="414"/>
      <c r="IK58" s="414"/>
      <c r="IL58" s="414"/>
      <c r="IM58" s="414"/>
      <c r="IN58" s="414"/>
      <c r="IO58" s="414"/>
      <c r="IP58" s="414"/>
      <c r="IQ58" s="414"/>
      <c r="IR58" s="414"/>
      <c r="IS58" s="414"/>
      <c r="IT58" s="414"/>
      <c r="IU58" s="414"/>
      <c r="IV58" s="414"/>
      <c r="IW58" s="414"/>
    </row>
    <row r="59" customFormat="false" ht="12.75" hidden="false" customHeight="false" outlineLevel="0" collapsed="false">
      <c r="A59" s="734"/>
      <c r="B59" s="38" t="s">
        <v>885</v>
      </c>
      <c r="E59" s="217" t="n">
        <f aca="false">'Project &amp; Investor Returns'!E16*$A$56</f>
        <v>0</v>
      </c>
      <c r="F59" s="217" t="n">
        <f aca="false">'Project &amp; Investor Returns'!F16*$A$56</f>
        <v>0</v>
      </c>
      <c r="G59" s="217" t="n">
        <f aca="false">'Project &amp; Investor Returns'!G16*$A$56</f>
        <v>0</v>
      </c>
      <c r="H59" s="217" t="n">
        <f aca="false">'Project &amp; Investor Returns'!H16*$A$56</f>
        <v>0</v>
      </c>
      <c r="I59" s="217" t="n">
        <f aca="false">'Project &amp; Investor Returns'!I16*$A$56</f>
        <v>0</v>
      </c>
      <c r="J59" s="217" t="n">
        <f aca="false">'Project &amp; Investor Returns'!J16*$A$56</f>
        <v>0</v>
      </c>
      <c r="K59" s="217" t="n">
        <f aca="false">'Project &amp; Investor Returns'!K16*$A$56</f>
        <v>255.361479586794</v>
      </c>
      <c r="L59" s="217" t="n">
        <f aca="false">'Project &amp; Investor Returns'!L16*$A$56</f>
        <v>0</v>
      </c>
      <c r="M59" s="217" t="n">
        <f aca="false">'Project &amp; Investor Returns'!M16*$A$56</f>
        <v>983.196447335501</v>
      </c>
      <c r="N59" s="217" t="n">
        <f aca="false">'Project &amp; Investor Returns'!N16*$A$56</f>
        <v>1114.66773949959</v>
      </c>
      <c r="O59" s="217" t="n">
        <f aca="false">'Project &amp; Investor Returns'!O16*$A$56</f>
        <v>1082.00466791757</v>
      </c>
      <c r="P59" s="217" t="n">
        <f aca="false">'Project &amp; Investor Returns'!P16*$A$56</f>
        <v>964.715841448169</v>
      </c>
      <c r="Q59" s="217" t="n">
        <f aca="false">'Project &amp; Investor Returns'!Q16*$A$56</f>
        <v>1008.7452692939</v>
      </c>
      <c r="R59" s="217" t="n">
        <f aca="false">'Project &amp; Investor Returns'!R16*$A$56</f>
        <v>1159.91962756149</v>
      </c>
      <c r="S59" s="217" t="n">
        <f aca="false">'Project &amp; Investor Returns'!S16*$A$56</f>
        <v>1159.91962756149</v>
      </c>
      <c r="T59" s="217" t="n">
        <f aca="false">'Project &amp; Investor Returns'!T16*$A$56</f>
        <v>894.332721366046</v>
      </c>
      <c r="U59" s="217" t="n">
        <f aca="false">'Project &amp; Investor Returns'!U16*$A$56</f>
        <v>1159.91962756149</v>
      </c>
      <c r="V59" s="217" t="n">
        <f aca="false">'Project &amp; Investor Returns'!V16*$A$56</f>
        <v>448.116386716546</v>
      </c>
      <c r="W59" s="217" t="n">
        <f aca="false">'Project &amp; Investor Returns'!W16*$A$56</f>
        <v>0</v>
      </c>
      <c r="X59" s="217" t="n">
        <f aca="false">'Project &amp; Investor Returns'!X16*$A$56</f>
        <v>0</v>
      </c>
      <c r="Y59" s="217" t="n">
        <f aca="false">'Project &amp; Investor Returns'!Y16*$A$56</f>
        <v>0</v>
      </c>
      <c r="Z59" s="217" t="n">
        <f aca="false">'Project &amp; Investor Returns'!Z16*$A$56</f>
        <v>0</v>
      </c>
      <c r="AA59" s="217" t="n">
        <f aca="false">'Project &amp; Investor Returns'!AA16*$A$56</f>
        <v>0</v>
      </c>
      <c r="AB59" s="574" t="n">
        <f aca="false">SUM(E59:AA59)</f>
        <v>10230.8994358486</v>
      </c>
      <c r="AC59" s="641" t="n">
        <f aca="false">IF('Project &amp; Investor Returns'!$I$3=0,F59+NPV(Disc,G59:AA59),E59+NPV(Disc,F59:AA59))</f>
        <v>1675.58764999074</v>
      </c>
      <c r="AE59" s="414"/>
      <c r="AF59" s="414"/>
      <c r="AG59" s="667"/>
      <c r="AH59" s="414"/>
      <c r="AI59" s="414"/>
      <c r="AJ59" s="414"/>
      <c r="AK59" s="414"/>
      <c r="AL59" s="414"/>
      <c r="AM59" s="414"/>
      <c r="AN59" s="414"/>
      <c r="AO59" s="414"/>
      <c r="AP59" s="414"/>
      <c r="AQ59" s="414"/>
      <c r="AR59" s="414"/>
      <c r="AS59" s="414"/>
      <c r="AT59" s="414"/>
      <c r="AU59" s="414"/>
      <c r="AV59" s="414"/>
      <c r="AW59" s="414"/>
      <c r="AX59" s="414"/>
      <c r="AY59" s="414"/>
      <c r="AZ59" s="414"/>
      <c r="BA59" s="414"/>
      <c r="BB59" s="414"/>
      <c r="BC59" s="414"/>
      <c r="BD59" s="414"/>
      <c r="BE59" s="414"/>
      <c r="BF59" s="414"/>
      <c r="BG59" s="414"/>
      <c r="BH59" s="414"/>
      <c r="BI59" s="414"/>
      <c r="BJ59" s="414"/>
      <c r="BK59" s="414"/>
      <c r="BL59" s="414"/>
      <c r="BM59" s="414"/>
      <c r="BN59" s="414"/>
      <c r="BO59" s="414"/>
      <c r="BP59" s="414"/>
      <c r="BQ59" s="414"/>
      <c r="BR59" s="414"/>
      <c r="BS59" s="414"/>
      <c r="BT59" s="414"/>
      <c r="BU59" s="414"/>
      <c r="BV59" s="414"/>
      <c r="BW59" s="414"/>
      <c r="BX59" s="414"/>
      <c r="BY59" s="414"/>
      <c r="BZ59" s="414"/>
      <c r="CA59" s="414"/>
      <c r="CB59" s="414"/>
      <c r="CC59" s="414"/>
      <c r="CD59" s="414"/>
      <c r="CE59" s="414"/>
      <c r="CF59" s="414"/>
      <c r="CG59" s="414"/>
      <c r="CH59" s="414"/>
      <c r="CI59" s="414"/>
      <c r="CJ59" s="414"/>
      <c r="CK59" s="414"/>
      <c r="CL59" s="414"/>
      <c r="CM59" s="414"/>
      <c r="CN59" s="414"/>
      <c r="CO59" s="414"/>
      <c r="CP59" s="414"/>
      <c r="CQ59" s="414"/>
      <c r="CR59" s="414"/>
      <c r="CS59" s="414"/>
      <c r="CT59" s="414"/>
      <c r="CU59" s="414"/>
      <c r="CV59" s="414"/>
      <c r="CW59" s="414"/>
      <c r="CX59" s="414"/>
      <c r="CY59" s="414"/>
      <c r="CZ59" s="414"/>
      <c r="DA59" s="414"/>
      <c r="DB59" s="414"/>
      <c r="DC59" s="414"/>
      <c r="DD59" s="414"/>
      <c r="DE59" s="414"/>
      <c r="DF59" s="414"/>
      <c r="DG59" s="414"/>
      <c r="DH59" s="414"/>
      <c r="DI59" s="414"/>
      <c r="DJ59" s="414"/>
      <c r="DK59" s="414"/>
      <c r="DL59" s="414"/>
      <c r="DM59" s="414"/>
      <c r="DN59" s="414"/>
      <c r="DO59" s="414"/>
      <c r="DP59" s="414"/>
      <c r="DQ59" s="414"/>
      <c r="DR59" s="414"/>
      <c r="DS59" s="414"/>
      <c r="DT59" s="414"/>
      <c r="DU59" s="414"/>
      <c r="DV59" s="414"/>
      <c r="DW59" s="414"/>
      <c r="DX59" s="414"/>
      <c r="DY59" s="414"/>
      <c r="DZ59" s="414"/>
      <c r="EA59" s="414"/>
      <c r="EB59" s="414"/>
      <c r="EC59" s="414"/>
      <c r="ED59" s="414"/>
      <c r="EE59" s="414"/>
      <c r="EF59" s="414"/>
      <c r="EG59" s="414"/>
      <c r="EH59" s="414"/>
      <c r="EI59" s="414"/>
      <c r="EJ59" s="414"/>
      <c r="EK59" s="414"/>
      <c r="EL59" s="414"/>
      <c r="EM59" s="414"/>
      <c r="EN59" s="414"/>
      <c r="EO59" s="414"/>
      <c r="EP59" s="414"/>
      <c r="EQ59" s="414"/>
      <c r="ER59" s="414"/>
      <c r="ES59" s="414"/>
      <c r="ET59" s="414"/>
      <c r="EU59" s="414"/>
      <c r="EV59" s="414"/>
      <c r="EW59" s="414"/>
      <c r="EX59" s="414"/>
      <c r="EY59" s="414"/>
      <c r="EZ59" s="414"/>
      <c r="FA59" s="414"/>
      <c r="FB59" s="414"/>
      <c r="FC59" s="414"/>
      <c r="FD59" s="414"/>
      <c r="FE59" s="414"/>
      <c r="FF59" s="414"/>
      <c r="FG59" s="414"/>
      <c r="FH59" s="414"/>
      <c r="FI59" s="414"/>
      <c r="FJ59" s="414"/>
      <c r="FK59" s="414"/>
      <c r="FL59" s="414"/>
      <c r="FM59" s="414"/>
      <c r="FN59" s="414"/>
      <c r="FO59" s="414"/>
      <c r="FP59" s="414"/>
      <c r="FQ59" s="414"/>
      <c r="FR59" s="414"/>
      <c r="FS59" s="414"/>
      <c r="FT59" s="414"/>
      <c r="FU59" s="414"/>
      <c r="FV59" s="414"/>
      <c r="FW59" s="414"/>
      <c r="FX59" s="414"/>
      <c r="FY59" s="414"/>
      <c r="FZ59" s="414"/>
      <c r="GA59" s="414"/>
      <c r="GB59" s="414"/>
      <c r="GC59" s="414"/>
      <c r="GD59" s="414"/>
      <c r="GE59" s="414"/>
      <c r="GF59" s="414"/>
      <c r="GG59" s="414"/>
      <c r="GH59" s="414"/>
      <c r="GI59" s="414"/>
      <c r="GJ59" s="414"/>
      <c r="GK59" s="414"/>
      <c r="GL59" s="414"/>
      <c r="GM59" s="414"/>
      <c r="GN59" s="414"/>
      <c r="GO59" s="414"/>
      <c r="GP59" s="414"/>
      <c r="GQ59" s="414"/>
      <c r="GR59" s="414"/>
      <c r="GS59" s="414"/>
      <c r="GT59" s="414"/>
      <c r="GU59" s="414"/>
      <c r="GV59" s="414"/>
      <c r="GW59" s="414"/>
      <c r="GX59" s="414"/>
      <c r="GY59" s="414"/>
      <c r="GZ59" s="414"/>
      <c r="HA59" s="414"/>
      <c r="HB59" s="414"/>
      <c r="HC59" s="414"/>
      <c r="HD59" s="414"/>
      <c r="HE59" s="414"/>
      <c r="HF59" s="414"/>
      <c r="HG59" s="414"/>
      <c r="HH59" s="414"/>
      <c r="HI59" s="414"/>
      <c r="HJ59" s="414"/>
      <c r="HK59" s="414"/>
      <c r="HL59" s="414"/>
      <c r="HM59" s="414"/>
      <c r="HN59" s="414"/>
      <c r="HO59" s="414"/>
      <c r="HP59" s="414"/>
      <c r="HQ59" s="414"/>
      <c r="HR59" s="414"/>
      <c r="HS59" s="414"/>
      <c r="HT59" s="414"/>
      <c r="HU59" s="414"/>
      <c r="HV59" s="414"/>
      <c r="HW59" s="414"/>
      <c r="HX59" s="414"/>
      <c r="HY59" s="414"/>
      <c r="HZ59" s="414"/>
      <c r="IA59" s="414"/>
      <c r="IB59" s="414"/>
      <c r="IC59" s="414"/>
      <c r="ID59" s="414"/>
      <c r="IE59" s="414"/>
      <c r="IF59" s="414"/>
      <c r="IG59" s="414"/>
      <c r="IH59" s="414"/>
      <c r="II59" s="414"/>
      <c r="IJ59" s="414"/>
      <c r="IK59" s="414"/>
      <c r="IL59" s="414"/>
      <c r="IM59" s="414"/>
      <c r="IN59" s="414"/>
      <c r="IO59" s="414"/>
      <c r="IP59" s="414"/>
      <c r="IQ59" s="414"/>
      <c r="IR59" s="414"/>
      <c r="IS59" s="414"/>
      <c r="IT59" s="414"/>
      <c r="IU59" s="414"/>
      <c r="IV59" s="414"/>
      <c r="IW59" s="414"/>
    </row>
    <row r="60" customFormat="false" ht="12.75" hidden="false" customHeight="false" outlineLevel="0" collapsed="false">
      <c r="A60" s="734"/>
      <c r="B60" s="38" t="s">
        <v>896</v>
      </c>
      <c r="C60" s="306" t="n">
        <f aca="false">Wh_Int</f>
        <v>0.15</v>
      </c>
      <c r="E60" s="217" t="n">
        <f aca="false">-E59*$C60</f>
        <v>-0</v>
      </c>
      <c r="F60" s="217" t="n">
        <f aca="false">-F59*$C60</f>
        <v>-0</v>
      </c>
      <c r="G60" s="217" t="n">
        <f aca="false">-G59*$C60</f>
        <v>-0</v>
      </c>
      <c r="H60" s="217" t="n">
        <f aca="false">-H59*$C60</f>
        <v>-0</v>
      </c>
      <c r="I60" s="217" t="n">
        <f aca="false">-I59*$C60</f>
        <v>-0</v>
      </c>
      <c r="J60" s="217" t="n">
        <f aca="false">-J59*$C60</f>
        <v>-0</v>
      </c>
      <c r="K60" s="217" t="n">
        <f aca="false">-K59*$C60</f>
        <v>-38.3042219380191</v>
      </c>
      <c r="L60" s="217" t="n">
        <f aca="false">-L59*$C60</f>
        <v>-0</v>
      </c>
      <c r="M60" s="217" t="n">
        <f aca="false">-M59*$C60</f>
        <v>-147.479467100325</v>
      </c>
      <c r="N60" s="217" t="n">
        <f aca="false">-N59*$C60</f>
        <v>-167.200160924939</v>
      </c>
      <c r="O60" s="217" t="n">
        <f aca="false">-O59*$C60</f>
        <v>-162.300700187636</v>
      </c>
      <c r="P60" s="217" t="n">
        <f aca="false">-P59*$C60</f>
        <v>-144.707376217225</v>
      </c>
      <c r="Q60" s="217" t="n">
        <f aca="false">-Q59*$C60</f>
        <v>-151.311790394086</v>
      </c>
      <c r="R60" s="217" t="n">
        <f aca="false">-R59*$C60</f>
        <v>-173.987944134223</v>
      </c>
      <c r="S60" s="217" t="n">
        <f aca="false">-S59*$C60</f>
        <v>-173.987944134223</v>
      </c>
      <c r="T60" s="217" t="n">
        <f aca="false">-T59*$C60</f>
        <v>-134.149908204907</v>
      </c>
      <c r="U60" s="217" t="n">
        <f aca="false">-U59*$C60</f>
        <v>-173.987944134223</v>
      </c>
      <c r="V60" s="217" t="n">
        <f aca="false">-V59*$C60</f>
        <v>-67.2174580074818</v>
      </c>
      <c r="W60" s="217" t="n">
        <f aca="false">-W59*$C60</f>
        <v>-0</v>
      </c>
      <c r="X60" s="217" t="n">
        <f aca="false">-X59*$C60</f>
        <v>-0</v>
      </c>
      <c r="Y60" s="217" t="n">
        <f aca="false">-Y59*$C60</f>
        <v>-0</v>
      </c>
      <c r="Z60" s="217" t="n">
        <f aca="false">-Z59*$C60</f>
        <v>-0</v>
      </c>
      <c r="AA60" s="217" t="n">
        <f aca="false">-AA59*$C60</f>
        <v>-0</v>
      </c>
      <c r="AB60" s="574" t="n">
        <f aca="false">SUM(E60:AA60)</f>
        <v>-1534.63491537729</v>
      </c>
      <c r="AC60" s="641" t="n">
        <f aca="false">IF('Project &amp; Investor Returns'!$I$3=0,F60+NPV(Disc,G60:AA60),E60+NPV(Disc,F60:AA60))</f>
        <v>-251.33814749861</v>
      </c>
      <c r="AE60" s="414"/>
      <c r="AF60" s="414"/>
      <c r="AG60" s="667"/>
      <c r="AH60" s="414"/>
      <c r="AI60" s="414"/>
      <c r="AJ60" s="414"/>
      <c r="AK60" s="414"/>
      <c r="AL60" s="414"/>
      <c r="AM60" s="414"/>
      <c r="AN60" s="414"/>
      <c r="AO60" s="414"/>
      <c r="AP60" s="414"/>
      <c r="AQ60" s="414"/>
      <c r="AR60" s="414"/>
      <c r="AS60" s="414"/>
      <c r="AT60" s="414"/>
      <c r="AU60" s="414"/>
      <c r="AV60" s="414"/>
      <c r="AW60" s="414"/>
      <c r="AX60" s="414"/>
      <c r="AY60" s="414"/>
      <c r="AZ60" s="414"/>
      <c r="BA60" s="414"/>
      <c r="BB60" s="414"/>
      <c r="BC60" s="414"/>
      <c r="BD60" s="414"/>
      <c r="BE60" s="414"/>
      <c r="BF60" s="414"/>
      <c r="BG60" s="414"/>
      <c r="BH60" s="414"/>
      <c r="BI60" s="414"/>
      <c r="BJ60" s="414"/>
      <c r="BK60" s="414"/>
      <c r="BL60" s="414"/>
      <c r="BM60" s="414"/>
      <c r="BN60" s="414"/>
      <c r="BO60" s="414"/>
      <c r="BP60" s="414"/>
      <c r="BQ60" s="414"/>
      <c r="BR60" s="414"/>
      <c r="BS60" s="414"/>
      <c r="BT60" s="414"/>
      <c r="BU60" s="414"/>
      <c r="BV60" s="414"/>
      <c r="BW60" s="414"/>
      <c r="BX60" s="414"/>
      <c r="BY60" s="414"/>
      <c r="BZ60" s="414"/>
      <c r="CA60" s="414"/>
      <c r="CB60" s="414"/>
      <c r="CC60" s="414"/>
      <c r="CD60" s="414"/>
      <c r="CE60" s="414"/>
      <c r="CF60" s="414"/>
      <c r="CG60" s="414"/>
      <c r="CH60" s="414"/>
      <c r="CI60" s="414"/>
      <c r="CJ60" s="414"/>
      <c r="CK60" s="414"/>
      <c r="CL60" s="414"/>
      <c r="CM60" s="414"/>
      <c r="CN60" s="414"/>
      <c r="CO60" s="414"/>
      <c r="CP60" s="414"/>
      <c r="CQ60" s="414"/>
      <c r="CR60" s="414"/>
      <c r="CS60" s="414"/>
      <c r="CT60" s="414"/>
      <c r="CU60" s="414"/>
      <c r="CV60" s="414"/>
      <c r="CW60" s="414"/>
      <c r="CX60" s="414"/>
      <c r="CY60" s="414"/>
      <c r="CZ60" s="414"/>
      <c r="DA60" s="414"/>
      <c r="DB60" s="414"/>
      <c r="DC60" s="414"/>
      <c r="DD60" s="414"/>
      <c r="DE60" s="414"/>
      <c r="DF60" s="414"/>
      <c r="DG60" s="414"/>
      <c r="DH60" s="414"/>
      <c r="DI60" s="414"/>
      <c r="DJ60" s="414"/>
      <c r="DK60" s="414"/>
      <c r="DL60" s="414"/>
      <c r="DM60" s="414"/>
      <c r="DN60" s="414"/>
      <c r="DO60" s="414"/>
      <c r="DP60" s="414"/>
      <c r="DQ60" s="414"/>
      <c r="DR60" s="414"/>
      <c r="DS60" s="414"/>
      <c r="DT60" s="414"/>
      <c r="DU60" s="414"/>
      <c r="DV60" s="414"/>
      <c r="DW60" s="414"/>
      <c r="DX60" s="414"/>
      <c r="DY60" s="414"/>
      <c r="DZ60" s="414"/>
      <c r="EA60" s="414"/>
      <c r="EB60" s="414"/>
      <c r="EC60" s="414"/>
      <c r="ED60" s="414"/>
      <c r="EE60" s="414"/>
      <c r="EF60" s="414"/>
      <c r="EG60" s="414"/>
      <c r="EH60" s="414"/>
      <c r="EI60" s="414"/>
      <c r="EJ60" s="414"/>
      <c r="EK60" s="414"/>
      <c r="EL60" s="414"/>
      <c r="EM60" s="414"/>
      <c r="EN60" s="414"/>
      <c r="EO60" s="414"/>
      <c r="EP60" s="414"/>
      <c r="EQ60" s="414"/>
      <c r="ER60" s="414"/>
      <c r="ES60" s="414"/>
      <c r="ET60" s="414"/>
      <c r="EU60" s="414"/>
      <c r="EV60" s="414"/>
      <c r="EW60" s="414"/>
      <c r="EX60" s="414"/>
      <c r="EY60" s="414"/>
      <c r="EZ60" s="414"/>
      <c r="FA60" s="414"/>
      <c r="FB60" s="414"/>
      <c r="FC60" s="414"/>
      <c r="FD60" s="414"/>
      <c r="FE60" s="414"/>
      <c r="FF60" s="414"/>
      <c r="FG60" s="414"/>
      <c r="FH60" s="414"/>
      <c r="FI60" s="414"/>
      <c r="FJ60" s="414"/>
      <c r="FK60" s="414"/>
      <c r="FL60" s="414"/>
      <c r="FM60" s="414"/>
      <c r="FN60" s="414"/>
      <c r="FO60" s="414"/>
      <c r="FP60" s="414"/>
      <c r="FQ60" s="414"/>
      <c r="FR60" s="414"/>
      <c r="FS60" s="414"/>
      <c r="FT60" s="414"/>
      <c r="FU60" s="414"/>
      <c r="FV60" s="414"/>
      <c r="FW60" s="414"/>
      <c r="FX60" s="414"/>
      <c r="FY60" s="414"/>
      <c r="FZ60" s="414"/>
      <c r="GA60" s="414"/>
      <c r="GB60" s="414"/>
      <c r="GC60" s="414"/>
      <c r="GD60" s="414"/>
      <c r="GE60" s="414"/>
      <c r="GF60" s="414"/>
      <c r="GG60" s="414"/>
      <c r="GH60" s="414"/>
      <c r="GI60" s="414"/>
      <c r="GJ60" s="414"/>
      <c r="GK60" s="414"/>
      <c r="GL60" s="414"/>
      <c r="GM60" s="414"/>
      <c r="GN60" s="414"/>
      <c r="GO60" s="414"/>
      <c r="GP60" s="414"/>
      <c r="GQ60" s="414"/>
      <c r="GR60" s="414"/>
      <c r="GS60" s="414"/>
      <c r="GT60" s="414"/>
      <c r="GU60" s="414"/>
      <c r="GV60" s="414"/>
      <c r="GW60" s="414"/>
      <c r="GX60" s="414"/>
      <c r="GY60" s="414"/>
      <c r="GZ60" s="414"/>
      <c r="HA60" s="414"/>
      <c r="HB60" s="414"/>
      <c r="HC60" s="414"/>
      <c r="HD60" s="414"/>
      <c r="HE60" s="414"/>
      <c r="HF60" s="414"/>
      <c r="HG60" s="414"/>
      <c r="HH60" s="414"/>
      <c r="HI60" s="414"/>
      <c r="HJ60" s="414"/>
      <c r="HK60" s="414"/>
      <c r="HL60" s="414"/>
      <c r="HM60" s="414"/>
      <c r="HN60" s="414"/>
      <c r="HO60" s="414"/>
      <c r="HP60" s="414"/>
      <c r="HQ60" s="414"/>
      <c r="HR60" s="414"/>
      <c r="HS60" s="414"/>
      <c r="HT60" s="414"/>
      <c r="HU60" s="414"/>
      <c r="HV60" s="414"/>
      <c r="HW60" s="414"/>
      <c r="HX60" s="414"/>
      <c r="HY60" s="414"/>
      <c r="HZ60" s="414"/>
      <c r="IA60" s="414"/>
      <c r="IB60" s="414"/>
      <c r="IC60" s="414"/>
      <c r="ID60" s="414"/>
      <c r="IE60" s="414"/>
      <c r="IF60" s="414"/>
      <c r="IG60" s="414"/>
      <c r="IH60" s="414"/>
      <c r="II60" s="414"/>
      <c r="IJ60" s="414"/>
      <c r="IK60" s="414"/>
      <c r="IL60" s="414"/>
      <c r="IM60" s="414"/>
      <c r="IN60" s="414"/>
      <c r="IO60" s="414"/>
      <c r="IP60" s="414"/>
      <c r="IQ60" s="414"/>
      <c r="IR60" s="414"/>
      <c r="IS60" s="414"/>
      <c r="IT60" s="414"/>
      <c r="IU60" s="414"/>
      <c r="IV60" s="414"/>
      <c r="IW60" s="414"/>
    </row>
    <row r="61" customFormat="false" ht="12.75" hidden="false" customHeight="false" outlineLevel="0" collapsed="false">
      <c r="A61" s="734"/>
      <c r="B61" s="38" t="s">
        <v>897</v>
      </c>
      <c r="C61" s="306" t="n">
        <f aca="false">USTax</f>
        <v>0.37</v>
      </c>
      <c r="E61" s="220" t="n">
        <f aca="false">-SUM(E58)*USTax</f>
        <v>-0</v>
      </c>
      <c r="F61" s="220" t="n">
        <f aca="false">-SUM(F58)*USTax</f>
        <v>-0</v>
      </c>
      <c r="G61" s="220" t="n">
        <f aca="false">-SUM(G58)*USTax</f>
        <v>-0</v>
      </c>
      <c r="H61" s="220" t="n">
        <f aca="false">-SUM(H58)*USTax</f>
        <v>-0</v>
      </c>
      <c r="I61" s="220" t="n">
        <f aca="false">-SUM(I58)*USTax</f>
        <v>3.82903026064724</v>
      </c>
      <c r="J61" s="220" t="n">
        <f aca="false">-SUM(J58)*USTax</f>
        <v>46.2646058257958</v>
      </c>
      <c r="K61" s="220" t="n">
        <f aca="false">-SUM(K58)*USTax</f>
        <v>51.1606000709757</v>
      </c>
      <c r="L61" s="220" t="n">
        <f aca="false">-SUM(L58)*USTax</f>
        <v>63.9296820897894</v>
      </c>
      <c r="M61" s="220" t="n">
        <f aca="false">-SUM(M58)*USTax</f>
        <v>63.9296820897894</v>
      </c>
      <c r="N61" s="220" t="n">
        <f aca="false">-SUM(N58)*USTax</f>
        <v>60.5990738372512</v>
      </c>
      <c r="O61" s="220" t="n">
        <f aca="false">-SUM(O58)*USTax</f>
        <v>78.4793819805019</v>
      </c>
      <c r="P61" s="220" t="n">
        <f aca="false">-SUM(P58)*USTax</f>
        <v>83.4713538884795</v>
      </c>
      <c r="Q61" s="220" t="n">
        <f aca="false">-SUM(Q58)*USTax</f>
        <v>83.4713538884795</v>
      </c>
      <c r="R61" s="220" t="n">
        <f aca="false">-SUM(R58)*USTax</f>
        <v>76.4816375851507</v>
      </c>
      <c r="S61" s="220" t="n">
        <f aca="false">-SUM(S58)*USTax</f>
        <v>73.3032019678963</v>
      </c>
      <c r="T61" s="220" t="n">
        <f aca="false">-SUM(T58)*USTax</f>
        <v>66.9311252153834</v>
      </c>
      <c r="U61" s="220" t="n">
        <f aca="false">-SUM(U58)*USTax</f>
        <v>46.0800599155414</v>
      </c>
      <c r="V61" s="220" t="n">
        <f aca="false">-SUM(V58)*USTax</f>
        <v>51.6311483149696</v>
      </c>
      <c r="W61" s="220" t="n">
        <f aca="false">-SUM(W58)*USTax</f>
        <v>61.0641042975996</v>
      </c>
      <c r="X61" s="220" t="n">
        <f aca="false">-SUM(X58)*USTax</f>
        <v>61.0641042975996</v>
      </c>
      <c r="Y61" s="220" t="n">
        <f aca="false">-SUM(Y58)*USTax</f>
        <v>72.4311633332333</v>
      </c>
      <c r="Z61" s="220" t="n">
        <f aca="false">-SUM(Z58)*USTax</f>
        <v>85.4456736800948</v>
      </c>
      <c r="AA61" s="220" t="n">
        <f aca="false">-SUM(AA58)*USTax</f>
        <v>102.71895336708</v>
      </c>
      <c r="AB61" s="576" t="n">
        <f aca="false">SUM(E61:AA61)</f>
        <v>1232.28593590626</v>
      </c>
      <c r="AC61" s="643" t="n">
        <f aca="false">IF('Project &amp; Investor Returns'!$I$3=0,F61+NPV(Disc,G61:AA61),E61+NPV(Disc,F61:AA61))</f>
        <v>190.017251216836</v>
      </c>
      <c r="AE61" s="414"/>
      <c r="AF61" s="414"/>
      <c r="AG61" s="667"/>
      <c r="AH61" s="414"/>
      <c r="AI61" s="414"/>
      <c r="AJ61" s="414"/>
      <c r="AK61" s="414"/>
      <c r="AL61" s="414"/>
      <c r="AM61" s="414"/>
      <c r="AN61" s="414"/>
      <c r="AO61" s="414"/>
      <c r="AP61" s="414"/>
      <c r="AQ61" s="414"/>
      <c r="AR61" s="414"/>
      <c r="AS61" s="414"/>
      <c r="AT61" s="414"/>
      <c r="AU61" s="414"/>
      <c r="AV61" s="414"/>
      <c r="AW61" s="414"/>
      <c r="AX61" s="414"/>
      <c r="AY61" s="414"/>
      <c r="AZ61" s="414"/>
      <c r="BA61" s="414"/>
      <c r="BB61" s="414"/>
      <c r="BC61" s="414"/>
      <c r="BD61" s="414"/>
      <c r="BE61" s="414"/>
      <c r="BF61" s="414"/>
      <c r="BG61" s="414"/>
      <c r="BH61" s="414"/>
      <c r="BI61" s="414"/>
      <c r="BJ61" s="414"/>
      <c r="BK61" s="414"/>
      <c r="BL61" s="414"/>
      <c r="BM61" s="414"/>
      <c r="BN61" s="414"/>
      <c r="BO61" s="414"/>
      <c r="BP61" s="414"/>
      <c r="BQ61" s="414"/>
      <c r="BR61" s="414"/>
      <c r="BS61" s="414"/>
      <c r="BT61" s="414"/>
      <c r="BU61" s="414"/>
      <c r="BV61" s="414"/>
      <c r="BW61" s="414"/>
      <c r="BX61" s="414"/>
      <c r="BY61" s="414"/>
      <c r="BZ61" s="414"/>
      <c r="CA61" s="414"/>
      <c r="CB61" s="414"/>
      <c r="CC61" s="414"/>
      <c r="CD61" s="414"/>
      <c r="CE61" s="414"/>
      <c r="CF61" s="414"/>
      <c r="CG61" s="414"/>
      <c r="CH61" s="414"/>
      <c r="CI61" s="414"/>
      <c r="CJ61" s="414"/>
      <c r="CK61" s="414"/>
      <c r="CL61" s="414"/>
      <c r="CM61" s="414"/>
      <c r="CN61" s="414"/>
      <c r="CO61" s="414"/>
      <c r="CP61" s="414"/>
      <c r="CQ61" s="414"/>
      <c r="CR61" s="414"/>
      <c r="CS61" s="414"/>
      <c r="CT61" s="414"/>
      <c r="CU61" s="414"/>
      <c r="CV61" s="414"/>
      <c r="CW61" s="414"/>
      <c r="CX61" s="414"/>
      <c r="CY61" s="414"/>
      <c r="CZ61" s="414"/>
      <c r="DA61" s="414"/>
      <c r="DB61" s="414"/>
      <c r="DC61" s="414"/>
      <c r="DD61" s="414"/>
      <c r="DE61" s="414"/>
      <c r="DF61" s="414"/>
      <c r="DG61" s="414"/>
      <c r="DH61" s="414"/>
      <c r="DI61" s="414"/>
      <c r="DJ61" s="414"/>
      <c r="DK61" s="414"/>
      <c r="DL61" s="414"/>
      <c r="DM61" s="414"/>
      <c r="DN61" s="414"/>
      <c r="DO61" s="414"/>
      <c r="DP61" s="414"/>
      <c r="DQ61" s="414"/>
      <c r="DR61" s="414"/>
      <c r="DS61" s="414"/>
      <c r="DT61" s="414"/>
      <c r="DU61" s="414"/>
      <c r="DV61" s="414"/>
      <c r="DW61" s="414"/>
      <c r="DX61" s="414"/>
      <c r="DY61" s="414"/>
      <c r="DZ61" s="414"/>
      <c r="EA61" s="414"/>
      <c r="EB61" s="414"/>
      <c r="EC61" s="414"/>
      <c r="ED61" s="414"/>
      <c r="EE61" s="414"/>
      <c r="EF61" s="414"/>
      <c r="EG61" s="414"/>
      <c r="EH61" s="414"/>
      <c r="EI61" s="414"/>
      <c r="EJ61" s="414"/>
      <c r="EK61" s="414"/>
      <c r="EL61" s="414"/>
      <c r="EM61" s="414"/>
      <c r="EN61" s="414"/>
      <c r="EO61" s="414"/>
      <c r="EP61" s="414"/>
      <c r="EQ61" s="414"/>
      <c r="ER61" s="414"/>
      <c r="ES61" s="414"/>
      <c r="ET61" s="414"/>
      <c r="EU61" s="414"/>
      <c r="EV61" s="414"/>
      <c r="EW61" s="414"/>
      <c r="EX61" s="414"/>
      <c r="EY61" s="414"/>
      <c r="EZ61" s="414"/>
      <c r="FA61" s="414"/>
      <c r="FB61" s="414"/>
      <c r="FC61" s="414"/>
      <c r="FD61" s="414"/>
      <c r="FE61" s="414"/>
      <c r="FF61" s="414"/>
      <c r="FG61" s="414"/>
      <c r="FH61" s="414"/>
      <c r="FI61" s="414"/>
      <c r="FJ61" s="414"/>
      <c r="FK61" s="414"/>
      <c r="FL61" s="414"/>
      <c r="FM61" s="414"/>
      <c r="FN61" s="414"/>
      <c r="FO61" s="414"/>
      <c r="FP61" s="414"/>
      <c r="FQ61" s="414"/>
      <c r="FR61" s="414"/>
      <c r="FS61" s="414"/>
      <c r="FT61" s="414"/>
      <c r="FU61" s="414"/>
      <c r="FV61" s="414"/>
      <c r="FW61" s="414"/>
      <c r="FX61" s="414"/>
      <c r="FY61" s="414"/>
      <c r="FZ61" s="414"/>
      <c r="GA61" s="414"/>
      <c r="GB61" s="414"/>
      <c r="GC61" s="414"/>
      <c r="GD61" s="414"/>
      <c r="GE61" s="414"/>
      <c r="GF61" s="414"/>
      <c r="GG61" s="414"/>
      <c r="GH61" s="414"/>
      <c r="GI61" s="414"/>
      <c r="GJ61" s="414"/>
      <c r="GK61" s="414"/>
      <c r="GL61" s="414"/>
      <c r="GM61" s="414"/>
      <c r="GN61" s="414"/>
      <c r="GO61" s="414"/>
      <c r="GP61" s="414"/>
      <c r="GQ61" s="414"/>
      <c r="GR61" s="414"/>
      <c r="GS61" s="414"/>
      <c r="GT61" s="414"/>
      <c r="GU61" s="414"/>
      <c r="GV61" s="414"/>
      <c r="GW61" s="414"/>
      <c r="GX61" s="414"/>
      <c r="GY61" s="414"/>
      <c r="GZ61" s="414"/>
      <c r="HA61" s="414"/>
      <c r="HB61" s="414"/>
      <c r="HC61" s="414"/>
      <c r="HD61" s="414"/>
      <c r="HE61" s="414"/>
      <c r="HF61" s="414"/>
      <c r="HG61" s="414"/>
      <c r="HH61" s="414"/>
      <c r="HI61" s="414"/>
      <c r="HJ61" s="414"/>
      <c r="HK61" s="414"/>
      <c r="HL61" s="414"/>
      <c r="HM61" s="414"/>
      <c r="HN61" s="414"/>
      <c r="HO61" s="414"/>
      <c r="HP61" s="414"/>
      <c r="HQ61" s="414"/>
      <c r="HR61" s="414"/>
      <c r="HS61" s="414"/>
      <c r="HT61" s="414"/>
      <c r="HU61" s="414"/>
      <c r="HV61" s="414"/>
      <c r="HW61" s="414"/>
      <c r="HX61" s="414"/>
      <c r="HY61" s="414"/>
      <c r="HZ61" s="414"/>
      <c r="IA61" s="414"/>
      <c r="IB61" s="414"/>
      <c r="IC61" s="414"/>
      <c r="ID61" s="414"/>
      <c r="IE61" s="414"/>
      <c r="IF61" s="414"/>
      <c r="IG61" s="414"/>
      <c r="IH61" s="414"/>
      <c r="II61" s="414"/>
      <c r="IJ61" s="414"/>
      <c r="IK61" s="414"/>
      <c r="IL61" s="414"/>
      <c r="IM61" s="414"/>
      <c r="IN61" s="414"/>
      <c r="IO61" s="414"/>
      <c r="IP61" s="414"/>
      <c r="IQ61" s="414"/>
      <c r="IR61" s="414"/>
      <c r="IS61" s="414"/>
      <c r="IT61" s="414"/>
      <c r="IU61" s="414"/>
      <c r="IV61" s="414"/>
      <c r="IW61" s="414"/>
    </row>
    <row r="62" customFormat="false" ht="12.75" hidden="false" customHeight="false" outlineLevel="0" collapsed="false">
      <c r="A62" s="735"/>
      <c r="B62" s="38" t="s">
        <v>898</v>
      </c>
      <c r="E62" s="217" t="n">
        <f aca="false">SUM(E55:E61)</f>
        <v>0</v>
      </c>
      <c r="F62" s="217" t="n">
        <f aca="false">SUM(F55:F61)</f>
        <v>-11599.1962756149</v>
      </c>
      <c r="G62" s="217" t="n">
        <f aca="false">SUM(G55:G61)</f>
        <v>-247.313509409962</v>
      </c>
      <c r="H62" s="217" t="n">
        <f aca="false">SUM(H55:H61)</f>
        <v>419.792349979657</v>
      </c>
      <c r="I62" s="217" t="n">
        <f aca="false">SUM(I55:I61)</f>
        <v>1904.99271267099</v>
      </c>
      <c r="J62" s="217" t="n">
        <f aca="false">SUM(J55:J61)</f>
        <v>141.765411935355</v>
      </c>
      <c r="K62" s="217" t="n">
        <f aca="false">SUM(K55:K61)</f>
        <v>705.129840357368</v>
      </c>
      <c r="L62" s="217" t="n">
        <f aca="false">SUM(L55:L61)</f>
        <v>-1053.5403330071</v>
      </c>
      <c r="M62" s="217" t="n">
        <f aca="false">SUM(M55:M61)</f>
        <v>1521.52342952488</v>
      </c>
      <c r="N62" s="217" t="n">
        <f aca="false">SUM(N55:N61)</f>
        <v>1649.7046575027</v>
      </c>
      <c r="O62" s="217" t="n">
        <f aca="false">SUM(O55:O61)</f>
        <v>1298.07287042895</v>
      </c>
      <c r="P62" s="217" t="n">
        <f aca="false">SUM(P55:P61)</f>
        <v>1106.12902419757</v>
      </c>
      <c r="Q62" s="217" t="n">
        <f aca="false">SUM(Q55:Q61)</f>
        <v>1349.06031200911</v>
      </c>
      <c r="R62" s="217" t="n">
        <f aca="false">SUM(R55:R61)</f>
        <v>1462.91501684889</v>
      </c>
      <c r="S62" s="217" t="n">
        <f aca="false">SUM(S55:S61)</f>
        <v>893.45881702608</v>
      </c>
      <c r="T62" s="217" t="n">
        <f aca="false">SUM(T55:T61)</f>
        <v>682.78830552868</v>
      </c>
      <c r="U62" s="217" t="n">
        <f aca="false">SUM(U55:U61)</f>
        <v>2696.4695842772</v>
      </c>
      <c r="V62" s="217" t="n">
        <f aca="false">SUM(V55:V61)</f>
        <v>1019.20747547333</v>
      </c>
      <c r="W62" s="217" t="n">
        <f aca="false">SUM(W55:W61)</f>
        <v>-352.650637114721</v>
      </c>
      <c r="X62" s="217" t="n">
        <f aca="false">SUM(X55:X61)</f>
        <v>656.732292553242</v>
      </c>
      <c r="Y62" s="217" t="n">
        <f aca="false">SUM(Y55:Y61)</f>
        <v>462.910467246183</v>
      </c>
      <c r="Z62" s="217" t="n">
        <f aca="false">SUM(Z55:Z61)</f>
        <v>632.58708206658</v>
      </c>
      <c r="AA62" s="217" t="n">
        <f aca="false">SUM(AA55:AA61)</f>
        <v>775.405938094449</v>
      </c>
      <c r="AB62" s="574" t="n">
        <f aca="false">SUM(E62:AA62)</f>
        <v>6125.94483257456</v>
      </c>
      <c r="AC62" s="574" t="n">
        <f aca="false">SUM(AC55:AC61)</f>
        <v>-8197.21255900837</v>
      </c>
      <c r="AE62" s="666"/>
      <c r="AF62" s="666"/>
      <c r="AG62" s="666"/>
      <c r="AH62" s="666"/>
      <c r="AI62" s="666"/>
      <c r="AJ62" s="666"/>
      <c r="AK62" s="666"/>
      <c r="AL62" s="666"/>
      <c r="AM62" s="666"/>
      <c r="AN62" s="666"/>
      <c r="AO62" s="666"/>
      <c r="AP62" s="666"/>
      <c r="AQ62" s="666"/>
      <c r="AR62" s="666"/>
      <c r="AS62" s="666"/>
      <c r="AT62" s="666"/>
      <c r="AU62" s="666"/>
      <c r="AV62" s="666"/>
      <c r="AW62" s="666"/>
      <c r="AX62" s="666"/>
      <c r="AY62" s="666"/>
      <c r="AZ62" s="666"/>
      <c r="BA62" s="666"/>
      <c r="BB62" s="666"/>
      <c r="BC62" s="666"/>
      <c r="BD62" s="666"/>
      <c r="BE62" s="666"/>
      <c r="BF62" s="666"/>
      <c r="BG62" s="666"/>
      <c r="BH62" s="666"/>
      <c r="BI62" s="666"/>
      <c r="BJ62" s="666"/>
      <c r="BK62" s="666"/>
      <c r="BL62" s="666"/>
      <c r="BM62" s="666"/>
      <c r="BN62" s="666"/>
      <c r="BO62" s="666"/>
      <c r="BP62" s="666"/>
      <c r="BQ62" s="666"/>
      <c r="BR62" s="666"/>
      <c r="BS62" s="666"/>
      <c r="BT62" s="666"/>
      <c r="BU62" s="666"/>
      <c r="BV62" s="666"/>
      <c r="BW62" s="666"/>
      <c r="BX62" s="666"/>
      <c r="BY62" s="666"/>
      <c r="BZ62" s="666"/>
      <c r="CA62" s="666"/>
      <c r="CB62" s="666"/>
      <c r="CC62" s="666"/>
      <c r="CD62" s="666"/>
      <c r="CE62" s="666"/>
      <c r="CF62" s="666"/>
      <c r="CG62" s="666"/>
      <c r="CH62" s="666"/>
      <c r="CI62" s="666"/>
      <c r="CJ62" s="666"/>
      <c r="CK62" s="666"/>
      <c r="CL62" s="666"/>
      <c r="CM62" s="666"/>
      <c r="CN62" s="666"/>
      <c r="CO62" s="666"/>
      <c r="CP62" s="666"/>
      <c r="CQ62" s="666"/>
      <c r="CR62" s="666"/>
      <c r="CS62" s="666"/>
      <c r="CT62" s="666"/>
      <c r="CU62" s="666"/>
      <c r="CV62" s="666"/>
      <c r="CW62" s="666"/>
      <c r="CX62" s="666"/>
      <c r="CY62" s="666"/>
      <c r="CZ62" s="666"/>
      <c r="DA62" s="666"/>
      <c r="DB62" s="666"/>
      <c r="DC62" s="666"/>
      <c r="DD62" s="666"/>
      <c r="DE62" s="666"/>
      <c r="DF62" s="666"/>
      <c r="DG62" s="666"/>
      <c r="DH62" s="666"/>
      <c r="DI62" s="666"/>
      <c r="DJ62" s="666"/>
      <c r="DK62" s="666"/>
      <c r="DL62" s="666"/>
      <c r="DM62" s="666"/>
      <c r="DN62" s="666"/>
      <c r="DO62" s="666"/>
      <c r="DP62" s="666"/>
      <c r="DQ62" s="666"/>
      <c r="DR62" s="666"/>
      <c r="DS62" s="666"/>
      <c r="DT62" s="666"/>
      <c r="DU62" s="666"/>
      <c r="DV62" s="666"/>
      <c r="DW62" s="666"/>
      <c r="DX62" s="666"/>
      <c r="DY62" s="666"/>
      <c r="DZ62" s="666"/>
      <c r="EA62" s="666"/>
      <c r="EB62" s="666"/>
      <c r="EC62" s="666"/>
      <c r="ED62" s="666"/>
      <c r="EE62" s="666"/>
      <c r="EF62" s="666"/>
      <c r="EG62" s="666"/>
      <c r="EH62" s="666"/>
      <c r="EI62" s="666"/>
      <c r="EJ62" s="666"/>
      <c r="EK62" s="666"/>
      <c r="EL62" s="666"/>
      <c r="EM62" s="666"/>
      <c r="EN62" s="666"/>
      <c r="EO62" s="666"/>
      <c r="EP62" s="666"/>
      <c r="EQ62" s="666"/>
      <c r="ER62" s="666"/>
      <c r="ES62" s="666"/>
      <c r="ET62" s="666"/>
      <c r="EU62" s="666"/>
      <c r="EV62" s="666"/>
      <c r="EW62" s="666"/>
      <c r="EX62" s="666"/>
      <c r="EY62" s="666"/>
      <c r="EZ62" s="666"/>
      <c r="FA62" s="666"/>
      <c r="FB62" s="666"/>
      <c r="FC62" s="666"/>
      <c r="FD62" s="666"/>
      <c r="FE62" s="666"/>
      <c r="FF62" s="666"/>
      <c r="FG62" s="666"/>
      <c r="FH62" s="666"/>
      <c r="FI62" s="666"/>
      <c r="FJ62" s="666"/>
      <c r="FK62" s="666"/>
      <c r="FL62" s="666"/>
      <c r="FM62" s="666"/>
      <c r="FN62" s="666"/>
      <c r="FO62" s="666"/>
      <c r="FP62" s="666"/>
      <c r="FQ62" s="666"/>
      <c r="FR62" s="666"/>
      <c r="FS62" s="666"/>
      <c r="FT62" s="666"/>
      <c r="FU62" s="666"/>
      <c r="FV62" s="666"/>
      <c r="FW62" s="666"/>
      <c r="FX62" s="666"/>
      <c r="FY62" s="666"/>
      <c r="FZ62" s="666"/>
      <c r="GA62" s="666"/>
      <c r="GB62" s="666"/>
      <c r="GC62" s="666"/>
      <c r="GD62" s="666"/>
      <c r="GE62" s="666"/>
      <c r="GF62" s="666"/>
      <c r="GG62" s="666"/>
      <c r="GH62" s="666"/>
      <c r="GI62" s="666"/>
      <c r="GJ62" s="666"/>
      <c r="GK62" s="666"/>
      <c r="GL62" s="666"/>
      <c r="GM62" s="666"/>
      <c r="GN62" s="666"/>
      <c r="GO62" s="666"/>
      <c r="GP62" s="666"/>
      <c r="GQ62" s="666"/>
      <c r="GR62" s="666"/>
      <c r="GS62" s="666"/>
      <c r="GT62" s="666"/>
      <c r="GU62" s="666"/>
      <c r="GV62" s="666"/>
      <c r="GW62" s="666"/>
      <c r="GX62" s="666"/>
      <c r="GY62" s="666"/>
      <c r="GZ62" s="666"/>
      <c r="HA62" s="666"/>
      <c r="HB62" s="666"/>
      <c r="HC62" s="666"/>
      <c r="HD62" s="666"/>
      <c r="HE62" s="666"/>
      <c r="HF62" s="666"/>
      <c r="HG62" s="666"/>
      <c r="HH62" s="666"/>
      <c r="HI62" s="666"/>
      <c r="HJ62" s="666"/>
      <c r="HK62" s="666"/>
      <c r="HL62" s="666"/>
      <c r="HM62" s="666"/>
      <c r="HN62" s="666"/>
      <c r="HO62" s="666"/>
      <c r="HP62" s="666"/>
      <c r="HQ62" s="666"/>
      <c r="HR62" s="666"/>
      <c r="HS62" s="666"/>
      <c r="HT62" s="666"/>
      <c r="HU62" s="666"/>
      <c r="HV62" s="666"/>
      <c r="HW62" s="666"/>
      <c r="HX62" s="666"/>
      <c r="HY62" s="666"/>
      <c r="HZ62" s="666"/>
      <c r="IA62" s="666"/>
      <c r="IB62" s="666"/>
      <c r="IC62" s="666"/>
      <c r="ID62" s="666"/>
      <c r="IE62" s="666"/>
      <c r="IF62" s="666"/>
      <c r="IG62" s="666"/>
      <c r="IH62" s="666"/>
      <c r="II62" s="666"/>
      <c r="IJ62" s="666"/>
      <c r="IK62" s="666"/>
      <c r="IL62" s="666"/>
      <c r="IM62" s="666"/>
      <c r="IN62" s="666"/>
      <c r="IO62" s="666"/>
      <c r="IP62" s="666"/>
      <c r="IQ62" s="666"/>
      <c r="IR62" s="666"/>
      <c r="IS62" s="666"/>
      <c r="IT62" s="666"/>
      <c r="IU62" s="666"/>
      <c r="IV62" s="666"/>
      <c r="IW62" s="666"/>
    </row>
    <row r="63" customFormat="false" ht="12.75" hidden="false" customHeight="false" outlineLevel="0" collapsed="false">
      <c r="A63" s="735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574"/>
      <c r="AC63" s="574"/>
      <c r="AE63" s="666"/>
      <c r="AF63" s="666"/>
      <c r="AG63" s="666"/>
      <c r="AH63" s="666"/>
      <c r="AI63" s="666"/>
      <c r="AJ63" s="666"/>
      <c r="AK63" s="666"/>
      <c r="AL63" s="666"/>
      <c r="AM63" s="666"/>
      <c r="AN63" s="666"/>
      <c r="AO63" s="666"/>
      <c r="AP63" s="666"/>
      <c r="AQ63" s="666"/>
      <c r="AR63" s="666"/>
      <c r="AS63" s="666"/>
      <c r="AT63" s="666"/>
      <c r="AU63" s="666"/>
      <c r="AV63" s="666"/>
      <c r="AW63" s="666"/>
      <c r="AX63" s="666"/>
      <c r="AY63" s="666"/>
      <c r="AZ63" s="666"/>
      <c r="BA63" s="666"/>
      <c r="BB63" s="666"/>
      <c r="BC63" s="666"/>
      <c r="BD63" s="666"/>
      <c r="BE63" s="666"/>
      <c r="BF63" s="666"/>
      <c r="BG63" s="666"/>
      <c r="BH63" s="666"/>
      <c r="BI63" s="666"/>
      <c r="BJ63" s="666"/>
      <c r="BK63" s="666"/>
      <c r="BL63" s="666"/>
      <c r="BM63" s="666"/>
      <c r="BN63" s="666"/>
      <c r="BO63" s="666"/>
      <c r="BP63" s="666"/>
      <c r="BQ63" s="666"/>
      <c r="BR63" s="666"/>
      <c r="BS63" s="666"/>
      <c r="BT63" s="666"/>
      <c r="BU63" s="666"/>
      <c r="BV63" s="666"/>
      <c r="BW63" s="666"/>
      <c r="BX63" s="666"/>
      <c r="BY63" s="666"/>
      <c r="BZ63" s="666"/>
      <c r="CA63" s="666"/>
      <c r="CB63" s="666"/>
      <c r="CC63" s="666"/>
      <c r="CD63" s="666"/>
      <c r="CE63" s="666"/>
      <c r="CF63" s="666"/>
      <c r="CG63" s="666"/>
      <c r="CH63" s="666"/>
      <c r="CI63" s="666"/>
      <c r="CJ63" s="666"/>
      <c r="CK63" s="666"/>
      <c r="CL63" s="666"/>
      <c r="CM63" s="666"/>
      <c r="CN63" s="666"/>
      <c r="CO63" s="666"/>
      <c r="CP63" s="666"/>
      <c r="CQ63" s="666"/>
      <c r="CR63" s="666"/>
      <c r="CS63" s="666"/>
      <c r="CT63" s="666"/>
      <c r="CU63" s="666"/>
      <c r="CV63" s="666"/>
      <c r="CW63" s="666"/>
      <c r="CX63" s="666"/>
      <c r="CY63" s="666"/>
      <c r="CZ63" s="666"/>
      <c r="DA63" s="666"/>
      <c r="DB63" s="666"/>
      <c r="DC63" s="666"/>
      <c r="DD63" s="666"/>
      <c r="DE63" s="666"/>
      <c r="DF63" s="666"/>
      <c r="DG63" s="666"/>
      <c r="DH63" s="666"/>
      <c r="DI63" s="666"/>
      <c r="DJ63" s="666"/>
      <c r="DK63" s="666"/>
      <c r="DL63" s="666"/>
      <c r="DM63" s="666"/>
      <c r="DN63" s="666"/>
      <c r="DO63" s="666"/>
      <c r="DP63" s="666"/>
      <c r="DQ63" s="666"/>
      <c r="DR63" s="666"/>
      <c r="DS63" s="666"/>
      <c r="DT63" s="666"/>
      <c r="DU63" s="666"/>
      <c r="DV63" s="666"/>
      <c r="DW63" s="666"/>
      <c r="DX63" s="666"/>
      <c r="DY63" s="666"/>
      <c r="DZ63" s="666"/>
      <c r="EA63" s="666"/>
      <c r="EB63" s="666"/>
      <c r="EC63" s="666"/>
      <c r="ED63" s="666"/>
      <c r="EE63" s="666"/>
      <c r="EF63" s="666"/>
      <c r="EG63" s="666"/>
      <c r="EH63" s="666"/>
      <c r="EI63" s="666"/>
      <c r="EJ63" s="666"/>
      <c r="EK63" s="666"/>
      <c r="EL63" s="666"/>
      <c r="EM63" s="666"/>
      <c r="EN63" s="666"/>
      <c r="EO63" s="666"/>
      <c r="EP63" s="666"/>
      <c r="EQ63" s="666"/>
      <c r="ER63" s="666"/>
      <c r="ES63" s="666"/>
      <c r="ET63" s="666"/>
      <c r="EU63" s="666"/>
      <c r="EV63" s="666"/>
      <c r="EW63" s="666"/>
      <c r="EX63" s="666"/>
      <c r="EY63" s="666"/>
      <c r="EZ63" s="666"/>
      <c r="FA63" s="666"/>
      <c r="FB63" s="666"/>
      <c r="FC63" s="666"/>
      <c r="FD63" s="666"/>
      <c r="FE63" s="666"/>
      <c r="FF63" s="666"/>
      <c r="FG63" s="666"/>
      <c r="FH63" s="666"/>
      <c r="FI63" s="666"/>
      <c r="FJ63" s="666"/>
      <c r="FK63" s="666"/>
      <c r="FL63" s="666"/>
      <c r="FM63" s="666"/>
      <c r="FN63" s="666"/>
      <c r="FO63" s="666"/>
      <c r="FP63" s="666"/>
      <c r="FQ63" s="666"/>
      <c r="FR63" s="666"/>
      <c r="FS63" s="666"/>
      <c r="FT63" s="666"/>
      <c r="FU63" s="666"/>
      <c r="FV63" s="666"/>
      <c r="FW63" s="666"/>
      <c r="FX63" s="666"/>
      <c r="FY63" s="666"/>
      <c r="FZ63" s="666"/>
      <c r="GA63" s="666"/>
      <c r="GB63" s="666"/>
      <c r="GC63" s="666"/>
      <c r="GD63" s="666"/>
      <c r="GE63" s="666"/>
      <c r="GF63" s="666"/>
      <c r="GG63" s="666"/>
      <c r="GH63" s="666"/>
      <c r="GI63" s="666"/>
      <c r="GJ63" s="666"/>
      <c r="GK63" s="666"/>
      <c r="GL63" s="666"/>
      <c r="GM63" s="666"/>
      <c r="GN63" s="666"/>
      <c r="GO63" s="666"/>
      <c r="GP63" s="666"/>
      <c r="GQ63" s="666"/>
      <c r="GR63" s="666"/>
      <c r="GS63" s="666"/>
      <c r="GT63" s="666"/>
      <c r="GU63" s="666"/>
      <c r="GV63" s="666"/>
      <c r="GW63" s="666"/>
      <c r="GX63" s="666"/>
      <c r="GY63" s="666"/>
      <c r="GZ63" s="666"/>
      <c r="HA63" s="666"/>
      <c r="HB63" s="666"/>
      <c r="HC63" s="666"/>
      <c r="HD63" s="666"/>
      <c r="HE63" s="666"/>
      <c r="HF63" s="666"/>
      <c r="HG63" s="666"/>
      <c r="HH63" s="666"/>
      <c r="HI63" s="666"/>
      <c r="HJ63" s="666"/>
      <c r="HK63" s="666"/>
      <c r="HL63" s="666"/>
      <c r="HM63" s="666"/>
      <c r="HN63" s="666"/>
      <c r="HO63" s="666"/>
      <c r="HP63" s="666"/>
      <c r="HQ63" s="666"/>
      <c r="HR63" s="666"/>
      <c r="HS63" s="666"/>
      <c r="HT63" s="666"/>
      <c r="HU63" s="666"/>
      <c r="HV63" s="666"/>
      <c r="HW63" s="666"/>
      <c r="HX63" s="666"/>
      <c r="HY63" s="666"/>
      <c r="HZ63" s="666"/>
      <c r="IA63" s="666"/>
      <c r="IB63" s="666"/>
      <c r="IC63" s="666"/>
      <c r="ID63" s="666"/>
      <c r="IE63" s="666"/>
      <c r="IF63" s="666"/>
      <c r="IG63" s="666"/>
      <c r="IH63" s="666"/>
      <c r="II63" s="666"/>
      <c r="IJ63" s="666"/>
      <c r="IK63" s="666"/>
      <c r="IL63" s="666"/>
      <c r="IM63" s="666"/>
      <c r="IN63" s="666"/>
      <c r="IO63" s="666"/>
      <c r="IP63" s="666"/>
      <c r="IQ63" s="666"/>
      <c r="IR63" s="666"/>
      <c r="IS63" s="666"/>
      <c r="IT63" s="666"/>
      <c r="IU63" s="666"/>
      <c r="IV63" s="666"/>
      <c r="IW63" s="666"/>
    </row>
    <row r="64" customFormat="false" ht="12.75" hidden="false" customHeight="false" outlineLevel="0" collapsed="false">
      <c r="A64" s="280"/>
      <c r="B64" s="38" t="s">
        <v>899</v>
      </c>
      <c r="E64" s="645" t="n">
        <f aca="false">$E62</f>
        <v>0</v>
      </c>
      <c r="F64" s="645" t="n">
        <f aca="false">IF('Project &amp; Investor Returns'!$I$3=0,$F62,$E62+NPV(Disc,$F62:F62))</f>
        <v>-11599.1962756149</v>
      </c>
      <c r="G64" s="217" t="n">
        <f aca="false">IF('Project &amp; Investor Returns'!$I$3=0,$F62+NPV(Disc,$G62:G62),$E62+NPV(Disc,$F62:G62))</f>
        <v>-11807.0227541107</v>
      </c>
      <c r="H64" s="217" t="n">
        <f aca="false">IF('Project &amp; Investor Returns'!$I$3=0,$F62+NPV(Disc,$G62:H62),$E62+NPV(Disc,$F62:H62))</f>
        <v>-11510.5801653248</v>
      </c>
      <c r="I64" s="217" t="n">
        <f aca="false">IF('Project &amp; Investor Returns'!$I$3=0,$F62+NPV(Disc,$G62:I62),$E62+NPV(Disc,$F62:I62))</f>
        <v>-10380.1273637369</v>
      </c>
      <c r="J64" s="217" t="n">
        <f aca="false">IF('Project &amp; Investor Returns'!$I$3=0,$F62+NPV(Disc,$G62:J62),$E62+NPV(Disc,$F62:J62))</f>
        <v>-10309.4333827743</v>
      </c>
      <c r="K64" s="217" t="n">
        <f aca="false">IF('Project &amp; Investor Returns'!$I$3=0,$F62+NPV(Disc,$G62:K62),$E62+NPV(Disc,$F62:K62))</f>
        <v>-10013.9491667479</v>
      </c>
      <c r="L64" s="217" t="n">
        <f aca="false">IF('Project &amp; Investor Returns'!$I$3=0,$F62+NPV(Disc,$G62:L62),$E62+NPV(Disc,$F62:L62))</f>
        <v>-10384.9453127958</v>
      </c>
      <c r="M64" s="217" t="n">
        <f aca="false">IF('Project &amp; Investor Returns'!$I$3=0,$F62+NPV(Disc,$G62:M62),$E62+NPV(Disc,$F62:M62))</f>
        <v>-9934.69925955157</v>
      </c>
      <c r="N64" s="217" t="n">
        <f aca="false">IF('Project &amp; Investor Returns'!$I$3=0,$F62+NPV(Disc,$G62:N62),$E62+NPV(Disc,$F62:N62))</f>
        <v>-9524.46633853435</v>
      </c>
      <c r="O64" s="217" t="n">
        <f aca="false">IF('Project &amp; Investor Returns'!$I$3=0,$F62+NPV(Disc,$G62:O62),$E62+NPV(Disc,$F62:O62))</f>
        <v>-9253.21217013066</v>
      </c>
      <c r="P64" s="217" t="n">
        <f aca="false">IF('Project &amp; Investor Returns'!$I$3=0,$F62+NPV(Disc,$G62:P62),$E62+NPV(Disc,$F62:P62))</f>
        <v>-9058.973286118</v>
      </c>
      <c r="Q64" s="217" t="n">
        <f aca="false">IF('Project &amp; Investor Returns'!$I$3=0,$F62+NPV(Disc,$G62:Q62),$E62+NPV(Disc,$F62:Q62))</f>
        <v>-8859.89917251998</v>
      </c>
      <c r="R64" s="217" t="n">
        <f aca="false">IF('Project &amp; Investor Returns'!$I$3=0,$F62+NPV(Disc,$G62:R62),$E62+NPV(Disc,$F62:R62))</f>
        <v>-8678.49153761564</v>
      </c>
      <c r="S64" s="217" t="n">
        <f aca="false">IF('Project &amp; Investor Returns'!$I$3=0,$F62+NPV(Disc,$G62:S62),$E62+NPV(Disc,$F62:S62))</f>
        <v>-8585.38845922211</v>
      </c>
      <c r="T64" s="217" t="n">
        <f aca="false">IF('Project &amp; Investor Returns'!$I$3=0,$F62+NPV(Disc,$G62:T62),$E62+NPV(Disc,$F62:T62))</f>
        <v>-8525.59845079623</v>
      </c>
      <c r="U64" s="217" t="n">
        <f aca="false">IF('Project &amp; Investor Returns'!$I$3=0,$F62+NPV(Disc,$G62:U62),$E62+NPV(Disc,$F62:U62))</f>
        <v>-8327.17586498264</v>
      </c>
      <c r="V64" s="217" t="n">
        <f aca="false">IF('Project &amp; Investor Returns'!$I$3=0,$F62+NPV(Disc,$G62:V62),$E62+NPV(Disc,$F62:V62))</f>
        <v>-8264.15110243581</v>
      </c>
      <c r="W64" s="217" t="n">
        <f aca="false">IF('Project &amp; Investor Returns'!$I$3=0,$F62+NPV(Disc,$G62:W62),$E62+NPV(Disc,$F62:W62))</f>
        <v>-8282.47620141728</v>
      </c>
      <c r="X64" s="217" t="n">
        <f aca="false">IF('Project &amp; Investor Returns'!$I$3=0,$F62+NPV(Disc,$G62:X62),$E62+NPV(Disc,$F62:X62))</f>
        <v>-8253.79858399491</v>
      </c>
      <c r="Y64" s="217" t="n">
        <f aca="false">IF('Project &amp; Investor Returns'!$I$3=0,$F62+NPV(Disc,$G62:Y62),$E62+NPV(Disc,$F62:Y62))</f>
        <v>-8236.81205148556</v>
      </c>
      <c r="Z64" s="217" t="n">
        <f aca="false">IF('Project &amp; Investor Returns'!$I$3=0,$F62+NPV(Disc,$G62:Z62),$E62+NPV(Disc,$F62:Z62))</f>
        <v>-8217.30547337254</v>
      </c>
      <c r="AA64" s="217" t="n">
        <f aca="false">IF('Project &amp; Investor Returns'!$I$3=0,$F62+NPV(Disc,$G62:AA62),$E62+NPV(Disc,$F62:AA62))</f>
        <v>-8197.21255900837</v>
      </c>
      <c r="AB64" s="640"/>
      <c r="AC64" s="574" t="n">
        <f aca="false">AC62</f>
        <v>-8197.21255900837</v>
      </c>
    </row>
    <row r="65" customFormat="false" ht="12.75" hidden="false" customHeight="false" outlineLevel="0" collapsed="false">
      <c r="A65" s="280"/>
      <c r="B65" s="38" t="s">
        <v>900</v>
      </c>
      <c r="E65" s="260" t="e">
        <f aca="false">IRR($E62:E62,-0.9)</f>
        <v>#N/A</v>
      </c>
      <c r="F65" s="260" t="e">
        <f aca="false">IRR($E62:F62,-0.9)</f>
        <v>#N/A</v>
      </c>
      <c r="G65" s="260" t="e">
        <f aca="false">IRR($E62:G62,-0.9)</f>
        <v>#N/A</v>
      </c>
      <c r="H65" s="260" t="n">
        <f aca="false">IRR($E62:H62,-0.9)</f>
        <v>-0.820121684343961</v>
      </c>
      <c r="I65" s="260" t="n">
        <f aca="false">IRR($E62:I62,-0.9)</f>
        <v>-0.437641118397647</v>
      </c>
      <c r="J65" s="260" t="n">
        <f aca="false">IRR($E62:J62,-0.9)</f>
        <v>-0.41614296515177</v>
      </c>
      <c r="K65" s="260" t="n">
        <f aca="false">IRR($E62:K62,-0.9)</f>
        <v>-0.312234311136841</v>
      </c>
      <c r="L65" s="260" t="e">
        <f aca="false">IRR($E62:L62,-0.9)</f>
        <v>#N/A</v>
      </c>
      <c r="M65" s="260" t="e">
        <f aca="false">IRR($E62:M62,-0.9)</f>
        <v>#N/A</v>
      </c>
      <c r="N65" s="260" t="e">
        <f aca="false">IRR($E62:N62,-0.9)</f>
        <v>#N/A</v>
      </c>
      <c r="O65" s="260" t="e">
        <f aca="false">IRR($E62:O62,-0.9)</f>
        <v>#N/A</v>
      </c>
      <c r="P65" s="260" t="e">
        <f aca="false">IRR($E62:P62,-0.9)</f>
        <v>#N/A</v>
      </c>
      <c r="Q65" s="260" t="e">
        <f aca="false">IRR($E62:Q62,-0.9)</f>
        <v>#N/A</v>
      </c>
      <c r="R65" s="260" t="e">
        <f aca="false">IRR($E62:R62,-0.9)</f>
        <v>#N/A</v>
      </c>
      <c r="S65" s="260" t="e">
        <f aca="false">IRR($E62:S62,-0.9)</f>
        <v>#N/A</v>
      </c>
      <c r="T65" s="260" t="e">
        <f aca="false">IRR($E62:T62,-0.9)</f>
        <v>#N/A</v>
      </c>
      <c r="U65" s="260" t="e">
        <f aca="false">IRR($E62:U62,-0.9)</f>
        <v>#N/A</v>
      </c>
      <c r="V65" s="260" t="e">
        <f aca="false">IRR($E62:V62,-0.9)</f>
        <v>#N/A</v>
      </c>
      <c r="W65" s="260" t="e">
        <f aca="false">IRR($E62:W62,-0.9)</f>
        <v>#N/A</v>
      </c>
      <c r="X65" s="260" t="e">
        <f aca="false">IRR($E62:X62,-0.9)</f>
        <v>#N/A</v>
      </c>
      <c r="Y65" s="260" t="e">
        <f aca="false">IRR($E62:Y62,-0.9)</f>
        <v>#N/A</v>
      </c>
      <c r="Z65" s="260" t="e">
        <f aca="false">IRR($E62:Z62,-0.9)</f>
        <v>#N/A</v>
      </c>
      <c r="AA65" s="260" t="e">
        <f aca="false">IRR($E62:AA62,-0.9)</f>
        <v>#N/A</v>
      </c>
      <c r="AB65" s="638"/>
      <c r="AC65" s="646" t="e">
        <f aca="false">IRR(E62:AA62,-0.9)</f>
        <v>#N/A</v>
      </c>
    </row>
    <row r="66" customFormat="false" ht="12.75" hidden="false" customHeight="false" outlineLevel="0" collapsed="false">
      <c r="A66" s="37"/>
      <c r="AB66" s="555"/>
      <c r="AC66" s="557"/>
    </row>
    <row r="67" customFormat="false" ht="12.75" hidden="false" customHeight="false" outlineLevel="0" collapsed="false">
      <c r="A67" s="280"/>
      <c r="B67" s="647" t="str">
        <f aca="false">CONCATENATE(Assm!$H$87," NPV @ ",TEXT(Disc,"0.0%"))</f>
        <v>Transredes NPV @ 19.0%</v>
      </c>
      <c r="C67" s="648" t="n">
        <f aca="false">AC64</f>
        <v>-8197.21255900837</v>
      </c>
      <c r="D67" s="62"/>
      <c r="AB67" s="555"/>
      <c r="AC67" s="557"/>
    </row>
    <row r="68" customFormat="false" ht="12.75" hidden="false" customHeight="false" outlineLevel="0" collapsed="false">
      <c r="A68" s="563"/>
      <c r="B68" s="662" t="str">
        <f aca="false">CONCATENATE(Assm!$H$87," IRR")</f>
        <v>Transredes IRR</v>
      </c>
      <c r="C68" s="736" t="e">
        <f aca="false">AC65</f>
        <v>#N/A</v>
      </c>
      <c r="D68" s="464"/>
      <c r="E68" s="700"/>
      <c r="F68" s="700"/>
      <c r="G68" s="700"/>
      <c r="H68" s="700"/>
      <c r="I68" s="700"/>
      <c r="J68" s="700"/>
      <c r="K68" s="700"/>
      <c r="L68" s="700"/>
      <c r="M68" s="700"/>
      <c r="N68" s="700"/>
      <c r="O68" s="700"/>
      <c r="P68" s="700"/>
      <c r="Q68" s="700"/>
      <c r="R68" s="700"/>
      <c r="S68" s="700"/>
      <c r="T68" s="700"/>
      <c r="U68" s="700"/>
      <c r="V68" s="700"/>
      <c r="W68" s="700"/>
      <c r="X68" s="700"/>
      <c r="Y68" s="700"/>
      <c r="Z68" s="700"/>
      <c r="AA68" s="700"/>
      <c r="AB68" s="701"/>
      <c r="AC68" s="665"/>
    </row>
    <row r="69" customFormat="false" ht="12.75" hidden="false" customHeight="false" outlineLevel="0" collapsed="false">
      <c r="A69" s="37"/>
      <c r="AB69" s="555"/>
      <c r="AC69" s="555"/>
    </row>
    <row r="70" customFormat="false" ht="12.75" hidden="false" customHeight="false" outlineLevel="0" collapsed="false">
      <c r="A70" s="698"/>
      <c r="B70" s="38" t="s">
        <v>922</v>
      </c>
      <c r="E70" s="217" t="n">
        <f aca="false">E62</f>
        <v>0</v>
      </c>
      <c r="F70" s="217" t="n">
        <f aca="false">F62</f>
        <v>-11599.1962756149</v>
      </c>
      <c r="G70" s="217" t="n">
        <f aca="false">G62</f>
        <v>-247.313509409962</v>
      </c>
      <c r="H70" s="217" t="n">
        <f aca="false">H62</f>
        <v>419.792349979657</v>
      </c>
      <c r="I70" s="217" t="n">
        <f aca="false">I62</f>
        <v>1904.99271267099</v>
      </c>
      <c r="J70" s="217" t="n">
        <f aca="false">J62</f>
        <v>141.765411935355</v>
      </c>
      <c r="K70" s="217" t="n">
        <f aca="false">K62</f>
        <v>705.129840357368</v>
      </c>
      <c r="L70" s="217" t="n">
        <f aca="false">L62</f>
        <v>-1053.5403330071</v>
      </c>
      <c r="M70" s="217" t="n">
        <f aca="false">M62</f>
        <v>1521.52342952488</v>
      </c>
      <c r="N70" s="217" t="n">
        <f aca="false">N62</f>
        <v>1649.7046575027</v>
      </c>
      <c r="O70" s="217" t="n">
        <f aca="false">O62</f>
        <v>1298.07287042895</v>
      </c>
      <c r="P70" s="217" t="n">
        <f aca="false">P62</f>
        <v>1106.12902419757</v>
      </c>
      <c r="Q70" s="217" t="n">
        <f aca="false">Q62</f>
        <v>1349.06031200911</v>
      </c>
      <c r="R70" s="217" t="n">
        <f aca="false">R62</f>
        <v>1462.91501684889</v>
      </c>
      <c r="S70" s="217" t="n">
        <f aca="false">S62</f>
        <v>893.45881702608</v>
      </c>
      <c r="T70" s="217" t="n">
        <f aca="false">T62</f>
        <v>682.78830552868</v>
      </c>
      <c r="U70" s="217" t="n">
        <f aca="false">U62</f>
        <v>2696.4695842772</v>
      </c>
      <c r="V70" s="217" t="n">
        <f aca="false">V62</f>
        <v>1019.20747547333</v>
      </c>
      <c r="W70" s="217" t="n">
        <f aca="false">W62</f>
        <v>-352.650637114721</v>
      </c>
      <c r="X70" s="217" t="n">
        <f aca="false">X62</f>
        <v>656.732292553242</v>
      </c>
      <c r="Y70" s="217" t="n">
        <f aca="false">Y62</f>
        <v>462.910467246183</v>
      </c>
      <c r="Z70" s="217" t="n">
        <f aca="false">Z62</f>
        <v>632.58708206658</v>
      </c>
      <c r="AA70" s="217" t="n">
        <f aca="false">AA62</f>
        <v>775.405938094449</v>
      </c>
      <c r="AB70" s="574" t="n">
        <f aca="false">SUM(E70:AA70)</f>
        <v>6125.94483257456</v>
      </c>
      <c r="AC70" s="641" t="n">
        <f aca="false">IF('Project &amp; Investor Returns'!$I$3=0,F70+NPV(Disc,G70:AA70),E70+NPV(Disc,F70:AA70))</f>
        <v>-8197.21255900837</v>
      </c>
      <c r="AE70" s="666"/>
      <c r="AF70" s="666"/>
      <c r="AG70" s="666"/>
      <c r="AH70" s="666"/>
      <c r="AI70" s="666"/>
      <c r="AJ70" s="666"/>
      <c r="AK70" s="666"/>
      <c r="AL70" s="666"/>
      <c r="AM70" s="666"/>
      <c r="AN70" s="666"/>
      <c r="AO70" s="666"/>
      <c r="AP70" s="666"/>
      <c r="AQ70" s="666"/>
      <c r="AR70" s="666"/>
      <c r="AS70" s="666"/>
      <c r="AT70" s="666"/>
      <c r="AU70" s="666"/>
      <c r="AV70" s="666"/>
      <c r="AW70" s="666"/>
      <c r="AX70" s="666"/>
      <c r="AY70" s="666"/>
      <c r="AZ70" s="666"/>
      <c r="BA70" s="666"/>
      <c r="BB70" s="666"/>
      <c r="BC70" s="666"/>
      <c r="BD70" s="666"/>
      <c r="BE70" s="666"/>
      <c r="BF70" s="666"/>
      <c r="BG70" s="666"/>
      <c r="BH70" s="666"/>
      <c r="BI70" s="666"/>
      <c r="BJ70" s="666"/>
      <c r="BK70" s="666"/>
      <c r="BL70" s="666"/>
      <c r="BM70" s="666"/>
      <c r="BN70" s="666"/>
      <c r="BO70" s="666"/>
      <c r="BP70" s="666"/>
      <c r="BQ70" s="666"/>
      <c r="BR70" s="666"/>
      <c r="BS70" s="666"/>
      <c r="BT70" s="666"/>
      <c r="BU70" s="666"/>
      <c r="BV70" s="666"/>
      <c r="BW70" s="666"/>
      <c r="BX70" s="666"/>
      <c r="BY70" s="666"/>
      <c r="BZ70" s="666"/>
      <c r="CA70" s="666"/>
      <c r="CB70" s="666"/>
      <c r="CC70" s="666"/>
      <c r="CD70" s="666"/>
      <c r="CE70" s="666"/>
      <c r="CF70" s="666"/>
      <c r="CG70" s="666"/>
      <c r="CH70" s="666"/>
      <c r="CI70" s="666"/>
      <c r="CJ70" s="666"/>
      <c r="CK70" s="666"/>
      <c r="CL70" s="666"/>
      <c r="CM70" s="666"/>
      <c r="CN70" s="666"/>
      <c r="CO70" s="666"/>
      <c r="CP70" s="666"/>
      <c r="CQ70" s="666"/>
      <c r="CR70" s="666"/>
      <c r="CS70" s="666"/>
      <c r="CT70" s="666"/>
      <c r="CU70" s="666"/>
      <c r="CV70" s="666"/>
      <c r="CW70" s="666"/>
      <c r="CX70" s="666"/>
      <c r="CY70" s="666"/>
      <c r="CZ70" s="666"/>
      <c r="DA70" s="666"/>
      <c r="DB70" s="666"/>
      <c r="DC70" s="666"/>
      <c r="DD70" s="666"/>
      <c r="DE70" s="666"/>
      <c r="DF70" s="666"/>
      <c r="DG70" s="666"/>
      <c r="DH70" s="666"/>
      <c r="DI70" s="666"/>
      <c r="DJ70" s="666"/>
      <c r="DK70" s="666"/>
      <c r="DL70" s="666"/>
      <c r="DM70" s="666"/>
      <c r="DN70" s="666"/>
      <c r="DO70" s="666"/>
      <c r="DP70" s="666"/>
      <c r="DQ70" s="666"/>
      <c r="DR70" s="666"/>
      <c r="DS70" s="666"/>
      <c r="DT70" s="666"/>
      <c r="DU70" s="666"/>
      <c r="DV70" s="666"/>
      <c r="DW70" s="666"/>
      <c r="DX70" s="666"/>
      <c r="DY70" s="666"/>
      <c r="DZ70" s="666"/>
      <c r="EA70" s="666"/>
      <c r="EB70" s="666"/>
      <c r="EC70" s="666"/>
      <c r="ED70" s="666"/>
      <c r="EE70" s="666"/>
      <c r="EF70" s="666"/>
      <c r="EG70" s="666"/>
      <c r="EH70" s="666"/>
      <c r="EI70" s="666"/>
      <c r="EJ70" s="666"/>
      <c r="EK70" s="666"/>
      <c r="EL70" s="666"/>
      <c r="EM70" s="666"/>
      <c r="EN70" s="666"/>
      <c r="EO70" s="666"/>
      <c r="EP70" s="666"/>
      <c r="EQ70" s="666"/>
      <c r="ER70" s="666"/>
      <c r="ES70" s="666"/>
      <c r="ET70" s="666"/>
      <c r="EU70" s="666"/>
      <c r="EV70" s="666"/>
      <c r="EW70" s="666"/>
      <c r="EX70" s="666"/>
      <c r="EY70" s="666"/>
      <c r="EZ70" s="666"/>
      <c r="FA70" s="666"/>
      <c r="FB70" s="666"/>
      <c r="FC70" s="666"/>
      <c r="FD70" s="666"/>
      <c r="FE70" s="666"/>
      <c r="FF70" s="666"/>
      <c r="FG70" s="666"/>
      <c r="FH70" s="666"/>
      <c r="FI70" s="666"/>
      <c r="FJ70" s="666"/>
      <c r="FK70" s="666"/>
      <c r="FL70" s="666"/>
      <c r="FM70" s="666"/>
      <c r="FN70" s="666"/>
      <c r="FO70" s="666"/>
      <c r="FP70" s="666"/>
      <c r="FQ70" s="666"/>
      <c r="FR70" s="666"/>
      <c r="FS70" s="666"/>
      <c r="FT70" s="666"/>
      <c r="FU70" s="666"/>
      <c r="FV70" s="666"/>
      <c r="FW70" s="666"/>
      <c r="FX70" s="666"/>
      <c r="FY70" s="666"/>
      <c r="FZ70" s="666"/>
      <c r="GA70" s="666"/>
      <c r="GB70" s="666"/>
      <c r="GC70" s="666"/>
      <c r="GD70" s="666"/>
      <c r="GE70" s="666"/>
      <c r="GF70" s="666"/>
      <c r="GG70" s="666"/>
      <c r="GH70" s="666"/>
      <c r="GI70" s="666"/>
      <c r="GJ70" s="666"/>
      <c r="GK70" s="666"/>
      <c r="GL70" s="666"/>
      <c r="GM70" s="666"/>
      <c r="GN70" s="666"/>
      <c r="GO70" s="666"/>
      <c r="GP70" s="666"/>
      <c r="GQ70" s="666"/>
      <c r="GR70" s="666"/>
      <c r="GS70" s="666"/>
      <c r="GT70" s="666"/>
      <c r="GU70" s="666"/>
      <c r="GV70" s="666"/>
      <c r="GW70" s="666"/>
      <c r="GX70" s="666"/>
      <c r="GY70" s="666"/>
      <c r="GZ70" s="666"/>
      <c r="HA70" s="666"/>
      <c r="HB70" s="666"/>
      <c r="HC70" s="666"/>
      <c r="HD70" s="666"/>
      <c r="HE70" s="666"/>
      <c r="HF70" s="666"/>
      <c r="HG70" s="666"/>
      <c r="HH70" s="666"/>
      <c r="HI70" s="666"/>
      <c r="HJ70" s="666"/>
      <c r="HK70" s="666"/>
      <c r="HL70" s="666"/>
      <c r="HM70" s="666"/>
      <c r="HN70" s="666"/>
      <c r="HO70" s="666"/>
      <c r="HP70" s="666"/>
      <c r="HQ70" s="666"/>
      <c r="HR70" s="666"/>
      <c r="HS70" s="666"/>
      <c r="HT70" s="666"/>
      <c r="HU70" s="666"/>
      <c r="HV70" s="666"/>
      <c r="HW70" s="666"/>
      <c r="HX70" s="666"/>
      <c r="HY70" s="666"/>
      <c r="HZ70" s="666"/>
      <c r="IA70" s="666"/>
      <c r="IB70" s="666"/>
      <c r="IC70" s="666"/>
      <c r="ID70" s="666"/>
      <c r="IE70" s="666"/>
      <c r="IF70" s="666"/>
      <c r="IG70" s="666"/>
      <c r="IH70" s="666"/>
      <c r="II70" s="666"/>
      <c r="IJ70" s="666"/>
      <c r="IK70" s="666"/>
      <c r="IL70" s="666"/>
      <c r="IM70" s="666"/>
      <c r="IN70" s="666"/>
      <c r="IO70" s="666"/>
      <c r="IP70" s="666"/>
      <c r="IQ70" s="666"/>
      <c r="IR70" s="666"/>
      <c r="IS70" s="666"/>
      <c r="IT70" s="666"/>
      <c r="IU70" s="666"/>
      <c r="IV70" s="666"/>
      <c r="IW70" s="666"/>
    </row>
    <row r="71" customFormat="false" ht="12.75" hidden="false" customHeight="false" outlineLevel="0" collapsed="false">
      <c r="A71" s="659" t="n">
        <f aca="false">A55</f>
        <v>0.125</v>
      </c>
      <c r="B71" s="38" t="s">
        <v>923</v>
      </c>
      <c r="E71" s="217" t="n">
        <f aca="false">-HLOOKUP(DATE(E$7,12,31),Idc_Table,IDC!$BB$89)*$A71-SUM($D71:D71)</f>
        <v>-0</v>
      </c>
      <c r="F71" s="217" t="n">
        <f aca="false">-HLOOKUP(DATE(F$7,12,31),Idc_Table,IDC!$BB$89)*$A71-SUM($D71:E71)</f>
        <v>-3290.60969349387</v>
      </c>
      <c r="G71" s="217" t="n">
        <f aca="false">-HLOOKUP(DATE(G$7,12,31),Idc_Table,IDC!$BB$89)*$A71-SUM($D71:F71)</f>
        <v>-6877.48943882883</v>
      </c>
      <c r="H71" s="217" t="n">
        <f aca="false">-HLOOKUP(DATE(H$7,12,31),Idc_Table,IDC!$BB$89)*$A71-SUM($D71:G71)</f>
        <v>-4993.1683286331</v>
      </c>
      <c r="I71" s="217" t="n">
        <f aca="false">-HLOOKUP(DATE(I$7,12,31),Idc_Table,IDC!$BB$89)*$A71-SUM($D71:H71)</f>
        <v>0</v>
      </c>
      <c r="J71" s="217" t="n">
        <f aca="false">-HLOOKUP(DATE(J$7,12,31),Idc_Table,IDC!$BB$89)*$A71-SUM($D71:I71)</f>
        <v>0</v>
      </c>
      <c r="K71" s="217" t="n">
        <f aca="false">-HLOOKUP(DATE(K$7,12,31),Idc_Table,IDC!$BB$89)*$A71-SUM($D71:J71)</f>
        <v>0</v>
      </c>
      <c r="L71" s="217" t="n">
        <f aca="false">-HLOOKUP(DATE(L$7,12,31),Idc_Table,IDC!$BB$89)*$A71-SUM($D71:K71)</f>
        <v>0</v>
      </c>
      <c r="M71" s="217" t="n">
        <f aca="false">-HLOOKUP(DATE(M$7,12,31),Idc_Table,IDC!$BB$89)*$A71-SUM($D71:L71)</f>
        <v>0</v>
      </c>
      <c r="N71" s="217" t="n">
        <f aca="false">-HLOOKUP(DATE(N$7,12,31),Idc_Table,IDC!$BB$89)*$A71-SUM($D71:M71)</f>
        <v>0</v>
      </c>
      <c r="O71" s="217" t="n">
        <f aca="false">-HLOOKUP(DATE(O$7,12,31),Idc_Table,IDC!$BB$89)*$A71-SUM($D71:N71)</f>
        <v>0</v>
      </c>
      <c r="P71" s="217" t="n">
        <f aca="false">-HLOOKUP(DATE(P$7,12,31),Idc_Table,IDC!$BB$89)*$A71-SUM($D71:O71)</f>
        <v>0</v>
      </c>
      <c r="Q71" s="217" t="n">
        <f aca="false">-HLOOKUP(DATE(Q$7,12,31),Idc_Table,IDC!$BB$89)*$A71-SUM($D71:P71)</f>
        <v>0</v>
      </c>
      <c r="R71" s="217" t="n">
        <f aca="false">-HLOOKUP(DATE(R$7,12,31),Idc_Table,IDC!$BB$89)*$A71-SUM($D71:Q71)</f>
        <v>0</v>
      </c>
      <c r="S71" s="217" t="n">
        <f aca="false">-HLOOKUP(DATE(S$7,12,31),Idc_Table,IDC!$BB$89)*$A71-SUM($D71:R71)</f>
        <v>0</v>
      </c>
      <c r="T71" s="217" t="n">
        <f aca="false">-HLOOKUP(DATE(T$7,12,31),Idc_Table,IDC!$BB$89)*$A71-SUM($D71:S71)</f>
        <v>0</v>
      </c>
      <c r="U71" s="217" t="n">
        <f aca="false">-HLOOKUP(DATE(U$7,12,31),Idc_Table,IDC!$BB$89)*$A71-SUM($D71:T71)</f>
        <v>0</v>
      </c>
      <c r="V71" s="217" t="n">
        <f aca="false">-HLOOKUP(DATE(V$7,12,31),Idc_Table,IDC!$BB$89)*$A71-SUM($D71:U71)</f>
        <v>0</v>
      </c>
      <c r="W71" s="217" t="n">
        <f aca="false">-HLOOKUP(DATE(W$7,12,31),Idc_Table,IDC!$BB$89)*$A71-SUM($D71:V71)</f>
        <v>0</v>
      </c>
      <c r="X71" s="217" t="n">
        <f aca="false">-HLOOKUP(DATE(X$7,12,31),Idc_Table,IDC!$BB$89)*$A71-SUM($D71:W71)</f>
        <v>0</v>
      </c>
      <c r="Y71" s="217" t="n">
        <f aca="false">-HLOOKUP(DATE(Y$7,12,31),Idc_Table,IDC!$BB$89)*$A71-SUM($D71:X71)</f>
        <v>0</v>
      </c>
      <c r="Z71" s="217" t="n">
        <f aca="false">-HLOOKUP(DATE(Z$7,12,31),Idc_Table,IDC!$BB$89)*$A71-SUM($D71:Y71)</f>
        <v>0</v>
      </c>
      <c r="AA71" s="217" t="n">
        <f aca="false">-HLOOKUP(DATE(AA$7,12,31),Idc_Table,IDC!$BB$89)*$A71-SUM($D71:Z71)</f>
        <v>0</v>
      </c>
      <c r="AB71" s="574" t="n">
        <f aca="false">SUM(E71:AA71)</f>
        <v>-15161.2674609558</v>
      </c>
      <c r="AC71" s="641" t="n">
        <f aca="false">IF('Project &amp; Investor Returns'!$I$3=0,F71+NPV(Disc,G71:AA71),E71+NPV(Disc,F71:AA71))</f>
        <v>-12596.0123916362</v>
      </c>
    </row>
    <row r="72" customFormat="false" ht="12.75" hidden="false" customHeight="false" outlineLevel="0" collapsed="false">
      <c r="A72" s="659"/>
      <c r="B72" s="38" t="s">
        <v>924</v>
      </c>
      <c r="E72" s="217" t="n">
        <f aca="false">IF(E$7=YEAR(Fin_Close),-SUM($D71:E71),0)</f>
        <v>0</v>
      </c>
      <c r="F72" s="217" t="n">
        <f aca="false">IF(F$7=YEAR(Fin_Close),-SUM($D71:F71),0)</f>
        <v>0</v>
      </c>
      <c r="G72" s="217" t="n">
        <f aca="false">IF(G$7=YEAR(Fin_Close),-SUM($D71:G71),0)</f>
        <v>0</v>
      </c>
      <c r="H72" s="217" t="n">
        <f aca="false">IF(H$7=YEAR(Fin_Close),-SUM($D71:H71),0)</f>
        <v>15161.2674609558</v>
      </c>
      <c r="I72" s="217" t="n">
        <f aca="false">IF(I$7=YEAR(Fin_Close),-SUM($D71:I71),0)</f>
        <v>0</v>
      </c>
      <c r="J72" s="217" t="n">
        <f aca="false">IF(J$7=YEAR(Fin_Close),-SUM($D71:J71),0)</f>
        <v>0</v>
      </c>
      <c r="K72" s="217" t="n">
        <f aca="false">IF(K$7=YEAR(Fin_Close),-SUM($D71:K71),0)</f>
        <v>0</v>
      </c>
      <c r="L72" s="217" t="n">
        <f aca="false">IF(L$7=YEAR(Fin_Close),-SUM($D71:L71),0)</f>
        <v>0</v>
      </c>
      <c r="M72" s="217" t="n">
        <f aca="false">IF(M$7=YEAR(Fin_Close),-SUM($D71:M71),0)</f>
        <v>0</v>
      </c>
      <c r="N72" s="217" t="n">
        <f aca="false">IF(N$7=YEAR(Fin_Close),-SUM($D71:N71),0)</f>
        <v>0</v>
      </c>
      <c r="O72" s="217" t="n">
        <f aca="false">IF(O$7=YEAR(Fin_Close),-SUM($D71:O71),0)</f>
        <v>0</v>
      </c>
      <c r="P72" s="217" t="n">
        <f aca="false">IF(P$7=YEAR(Fin_Close),-SUM($D71:P71),0)</f>
        <v>0</v>
      </c>
      <c r="Q72" s="217" t="n">
        <f aca="false">IF(Q$7=YEAR(Fin_Close),-SUM($D71:Q71),0)</f>
        <v>0</v>
      </c>
      <c r="R72" s="217" t="n">
        <f aca="false">IF(R$7=YEAR(Fin_Close),-SUM($D71:R71),0)</f>
        <v>0</v>
      </c>
      <c r="S72" s="217" t="n">
        <f aca="false">IF(S$7=YEAR(Fin_Close),-SUM($D71:S71),0)</f>
        <v>0</v>
      </c>
      <c r="T72" s="217" t="n">
        <f aca="false">IF(T$7=YEAR(Fin_Close),-SUM($D71:T71),0)</f>
        <v>0</v>
      </c>
      <c r="U72" s="217" t="n">
        <f aca="false">IF(U$7=YEAR(Fin_Close),-SUM($D71:U71),0)</f>
        <v>0</v>
      </c>
      <c r="V72" s="217" t="n">
        <f aca="false">IF(V$7=YEAR(Fin_Close),-SUM($D71:V71),0)</f>
        <v>0</v>
      </c>
      <c r="W72" s="217" t="n">
        <f aca="false">IF(W$7=YEAR(Fin_Close),-SUM($D71:W71),0)</f>
        <v>0</v>
      </c>
      <c r="X72" s="217" t="n">
        <f aca="false">IF(X$7=YEAR(Fin_Close),-SUM($D71:X71),0)</f>
        <v>0</v>
      </c>
      <c r="Y72" s="217" t="n">
        <f aca="false">IF(Y$7=YEAR(Fin_Close),-SUM($D71:Y71),0)</f>
        <v>0</v>
      </c>
      <c r="Z72" s="217" t="n">
        <f aca="false">IF(Z$7=YEAR(Fin_Close),-SUM($D71:Z71),0)</f>
        <v>0</v>
      </c>
      <c r="AA72" s="217" t="n">
        <f aca="false">IF(AA$7=YEAR(Fin_Close),-SUM($D71:AA71),0)</f>
        <v>0</v>
      </c>
      <c r="AB72" s="574" t="n">
        <f aca="false">SUM(E72:AA72)</f>
        <v>15161.2674609558</v>
      </c>
      <c r="AC72" s="641" t="n">
        <f aca="false">IF('Project &amp; Investor Returns'!$I$3=0,F72+NPV(Disc,G72:AA72),E72+NPV(Disc,F72:AA72))</f>
        <v>10706.3536903861</v>
      </c>
    </row>
    <row r="73" customFormat="false" ht="12.75" hidden="false" customHeight="false" outlineLevel="0" collapsed="false">
      <c r="A73" s="37"/>
      <c r="B73" s="38" t="s">
        <v>391</v>
      </c>
      <c r="D73" s="263" t="s">
        <v>392</v>
      </c>
      <c r="E73" s="217" t="n">
        <f aca="false">HLOOKUP(DATE(E$7,12,31),Idc_Table,IDC!$BB$90)*$A71-SUM($D73:D73)</f>
        <v>0</v>
      </c>
      <c r="F73" s="217" t="n">
        <f aca="false">HLOOKUP(DATE(F$7,12,31),Idc_Table,IDC!$BB$90)*$A71-SUM($D73:E73)</f>
        <v>17.2896235606609</v>
      </c>
      <c r="G73" s="217" t="n">
        <f aca="false">HLOOKUP(DATE(G$7,12,31),Idc_Table,IDC!$BB$90)*$A71-SUM($D73:F73)</f>
        <v>464.852703227344</v>
      </c>
      <c r="H73" s="217" t="n">
        <f aca="false">HLOOKUP(DATE(H$7,12,31),Idc_Table,IDC!$BB$90)*$A71-SUM($D73:G73)</f>
        <v>490.93016913023</v>
      </c>
      <c r="I73" s="217" t="n">
        <f aca="false">HLOOKUP(DATE(I$7,12,31),Idc_Table,IDC!$BB$90)*$A71-SUM($D73:H73)</f>
        <v>0</v>
      </c>
      <c r="J73" s="217" t="n">
        <f aca="false">HLOOKUP(DATE(J$7,12,31),Idc_Table,IDC!$BB$90)*$A71-SUM($D73:I73)</f>
        <v>0</v>
      </c>
      <c r="K73" s="217" t="n">
        <f aca="false">HLOOKUP(DATE(K$7,12,31),Idc_Table,IDC!$BB$90)*$A71-SUM($D73:J73)</f>
        <v>0</v>
      </c>
      <c r="L73" s="217" t="n">
        <f aca="false">HLOOKUP(DATE(L$7,12,31),Idc_Table,IDC!$BB$90)*$A71-SUM($D73:K73)</f>
        <v>0</v>
      </c>
      <c r="M73" s="217" t="n">
        <f aca="false">HLOOKUP(DATE(M$7,12,31),Idc_Table,IDC!$BB$90)*$A71-SUM($D73:L73)</f>
        <v>0</v>
      </c>
      <c r="N73" s="217" t="n">
        <f aca="false">HLOOKUP(DATE(N$7,12,31),Idc_Table,IDC!$BB$90)*$A71-SUM($D73:M73)</f>
        <v>0</v>
      </c>
      <c r="O73" s="217" t="n">
        <f aca="false">HLOOKUP(DATE(O$7,12,31),Idc_Table,IDC!$BB$90)*$A71-SUM($D73:N73)</f>
        <v>0</v>
      </c>
      <c r="P73" s="217" t="n">
        <f aca="false">HLOOKUP(DATE(P$7,12,31),Idc_Table,IDC!$BB$90)*$A71-SUM($D73:O73)</f>
        <v>0</v>
      </c>
      <c r="Q73" s="217" t="n">
        <f aca="false">HLOOKUP(DATE(Q$7,12,31),Idc_Table,IDC!$BB$90)*$A71-SUM($D73:P73)</f>
        <v>0</v>
      </c>
      <c r="R73" s="217" t="n">
        <f aca="false">HLOOKUP(DATE(R$7,12,31),Idc_Table,IDC!$BB$90)*$A71-SUM($D73:Q73)</f>
        <v>0</v>
      </c>
      <c r="S73" s="217" t="n">
        <f aca="false">HLOOKUP(DATE(S$7,12,31),Idc_Table,IDC!$BB$90)*$A71-SUM($D73:R73)</f>
        <v>0</v>
      </c>
      <c r="T73" s="217" t="n">
        <f aca="false">HLOOKUP(DATE(T$7,12,31),Idc_Table,IDC!$BB$90)*$A71-SUM($D73:S73)</f>
        <v>0</v>
      </c>
      <c r="U73" s="217" t="n">
        <f aca="false">HLOOKUP(DATE(U$7,12,31),Idc_Table,IDC!$BB$90)*$A71-SUM($D73:T73)</f>
        <v>0</v>
      </c>
      <c r="V73" s="217" t="n">
        <f aca="false">HLOOKUP(DATE(V$7,12,31),Idc_Table,IDC!$BB$90)*$A71-SUM($D73:U73)</f>
        <v>0</v>
      </c>
      <c r="W73" s="217" t="n">
        <f aca="false">HLOOKUP(DATE(W$7,12,31),Idc_Table,IDC!$BB$90)*$A71-SUM($D73:V73)</f>
        <v>0</v>
      </c>
      <c r="X73" s="217" t="n">
        <f aca="false">HLOOKUP(DATE(X$7,12,31),Idc_Table,IDC!$BB$90)*$A71-SUM($D73:W73)</f>
        <v>0</v>
      </c>
      <c r="Y73" s="217" t="n">
        <f aca="false">HLOOKUP(DATE(Y$7,12,31),Idc_Table,IDC!$BB$90)*$A71-SUM($D73:X73)</f>
        <v>0</v>
      </c>
      <c r="Z73" s="217" t="n">
        <f aca="false">HLOOKUP(DATE(Z$7,12,31),Idc_Table,IDC!$BB$90)*$A71-SUM($D73:Y73)</f>
        <v>0</v>
      </c>
      <c r="AA73" s="217" t="n">
        <f aca="false">HLOOKUP(DATE(AA$7,12,31),Idc_Table,IDC!$BB$90)*$A71-SUM($D73:Z73)</f>
        <v>0</v>
      </c>
      <c r="AB73" s="574" t="n">
        <f aca="false">SUM(E73:AA73)</f>
        <v>973.072495918235</v>
      </c>
      <c r="AC73" s="641" t="n">
        <f aca="false">IF('Project &amp; Investor Returns'!$I$3=0,F73+NPV(Disc,G73:AA73),E73+NPV(Disc,F73:AA73))</f>
        <v>754.599761242159</v>
      </c>
      <c r="AG73" s="667"/>
    </row>
    <row r="74" customFormat="false" ht="12.75" hidden="false" customHeight="false" outlineLevel="0" collapsed="false">
      <c r="A74" s="37"/>
      <c r="B74" s="38" t="s">
        <v>936</v>
      </c>
      <c r="C74" s="306" t="n">
        <f aca="false">Wh_Int</f>
        <v>0.15</v>
      </c>
      <c r="D74" s="263" t="s">
        <v>392</v>
      </c>
      <c r="E74" s="217" t="n">
        <f aca="false">$C$74*-E73</f>
        <v>-0</v>
      </c>
      <c r="F74" s="217" t="n">
        <f aca="false">$C$74*-F73</f>
        <v>-2.59344353409913</v>
      </c>
      <c r="G74" s="217" t="n">
        <f aca="false">$C$74*-G73</f>
        <v>-69.7279054841016</v>
      </c>
      <c r="H74" s="217" t="n">
        <f aca="false">$C$74*-H73</f>
        <v>-73.6395253695345</v>
      </c>
      <c r="I74" s="217" t="n">
        <f aca="false">$C$74*-I73</f>
        <v>-0</v>
      </c>
      <c r="J74" s="217" t="n">
        <f aca="false">$C$74*-J73</f>
        <v>-0</v>
      </c>
      <c r="K74" s="217" t="n">
        <f aca="false">$C$74*-K73</f>
        <v>-0</v>
      </c>
      <c r="L74" s="217" t="n">
        <f aca="false">$C$74*-L73</f>
        <v>-0</v>
      </c>
      <c r="M74" s="217" t="n">
        <f aca="false">$C$74*-M73</f>
        <v>-0</v>
      </c>
      <c r="N74" s="217" t="n">
        <f aca="false">$C$74*-N73</f>
        <v>-0</v>
      </c>
      <c r="O74" s="217" t="n">
        <f aca="false">$C$74*-O73</f>
        <v>-0</v>
      </c>
      <c r="P74" s="217" t="n">
        <f aca="false">$C$74*-P73</f>
        <v>-0</v>
      </c>
      <c r="Q74" s="217" t="n">
        <f aca="false">$C$74*-Q73</f>
        <v>-0</v>
      </c>
      <c r="R74" s="217" t="n">
        <f aca="false">$C$74*-R73</f>
        <v>-0</v>
      </c>
      <c r="S74" s="217" t="n">
        <f aca="false">$C$74*-S73</f>
        <v>-0</v>
      </c>
      <c r="T74" s="217" t="n">
        <f aca="false">$C$74*-T73</f>
        <v>-0</v>
      </c>
      <c r="U74" s="217" t="n">
        <f aca="false">$C$74*-U73</f>
        <v>-0</v>
      </c>
      <c r="V74" s="217" t="n">
        <f aca="false">$C$74*-V73</f>
        <v>-0</v>
      </c>
      <c r="W74" s="217" t="n">
        <f aca="false">$C$74*-W73</f>
        <v>-0</v>
      </c>
      <c r="X74" s="217" t="n">
        <f aca="false">$C$74*-X73</f>
        <v>-0</v>
      </c>
      <c r="Y74" s="217" t="n">
        <f aca="false">$C$74*-Y73</f>
        <v>-0</v>
      </c>
      <c r="Z74" s="217" t="n">
        <f aca="false">$C$74*-Z73</f>
        <v>-0</v>
      </c>
      <c r="AA74" s="217" t="n">
        <f aca="false">$C$74*-AA73</f>
        <v>-0</v>
      </c>
      <c r="AB74" s="574" t="n">
        <f aca="false">SUM(E74:AA74)</f>
        <v>-145.960874387735</v>
      </c>
      <c r="AC74" s="641" t="n">
        <f aca="false">IF('Project &amp; Investor Returns'!$I$3=0,F74+NPV(Disc,G74:AA74),E74+NPV(Disc,F74:AA74))</f>
        <v>-113.189964186324</v>
      </c>
      <c r="AG74" s="667"/>
    </row>
    <row r="75" customFormat="false" ht="12.75" hidden="false" customHeight="false" outlineLevel="0" collapsed="false">
      <c r="A75" s="302"/>
      <c r="B75" s="38" t="s">
        <v>926</v>
      </c>
      <c r="C75" s="306" t="n">
        <f aca="false">USTax</f>
        <v>0.37</v>
      </c>
      <c r="D75" s="79"/>
      <c r="E75" s="220" t="n">
        <f aca="false">-SUM(E73:E74)*USTax</f>
        <v>-0</v>
      </c>
      <c r="F75" s="220" t="n">
        <f aca="false">-SUM(F73:F74)*USTax</f>
        <v>-5.43758660982785</v>
      </c>
      <c r="G75" s="220" t="n">
        <f aca="false">-SUM(G73:G74)*USTax</f>
        <v>-146.196175165</v>
      </c>
      <c r="H75" s="220" t="n">
        <f aca="false">-SUM(H73:H74)*USTax</f>
        <v>-154.397538191457</v>
      </c>
      <c r="I75" s="220" t="n">
        <f aca="false">-SUM(I73:I74)*USTax</f>
        <v>-0</v>
      </c>
      <c r="J75" s="220" t="n">
        <f aca="false">-SUM(J73:J74)*USTax</f>
        <v>-0</v>
      </c>
      <c r="K75" s="220" t="n">
        <f aca="false">-SUM(K73:K74)*USTax</f>
        <v>-0</v>
      </c>
      <c r="L75" s="220" t="n">
        <f aca="false">-SUM(L73:L74)*USTax</f>
        <v>-0</v>
      </c>
      <c r="M75" s="220" t="n">
        <f aca="false">-SUM(M73:M74)*USTax</f>
        <v>-0</v>
      </c>
      <c r="N75" s="220" t="n">
        <f aca="false">-SUM(N73:N74)*USTax</f>
        <v>-0</v>
      </c>
      <c r="O75" s="220" t="n">
        <f aca="false">-SUM(O73:O74)*USTax</f>
        <v>-0</v>
      </c>
      <c r="P75" s="220" t="n">
        <f aca="false">-SUM(P73:P74)*USTax</f>
        <v>-0</v>
      </c>
      <c r="Q75" s="220" t="n">
        <f aca="false">-SUM(Q73:Q74)*USTax</f>
        <v>-0</v>
      </c>
      <c r="R75" s="220" t="n">
        <f aca="false">-SUM(R73:R74)*USTax</f>
        <v>-0</v>
      </c>
      <c r="S75" s="220" t="n">
        <f aca="false">-SUM(S73:S74)*USTax</f>
        <v>-0</v>
      </c>
      <c r="T75" s="220" t="n">
        <f aca="false">-SUM(T73:T74)*USTax</f>
        <v>-0</v>
      </c>
      <c r="U75" s="220" t="n">
        <f aca="false">-SUM(U73:U74)*USTax</f>
        <v>-0</v>
      </c>
      <c r="V75" s="220" t="n">
        <f aca="false">-SUM(V73:V74)*USTax</f>
        <v>-0</v>
      </c>
      <c r="W75" s="220" t="n">
        <f aca="false">-SUM(W73:W74)*USTax</f>
        <v>-0</v>
      </c>
      <c r="X75" s="220" t="n">
        <f aca="false">-SUM(X73:X74)*USTax</f>
        <v>-0</v>
      </c>
      <c r="Y75" s="220" t="n">
        <f aca="false">-SUM(Y73:Y74)*USTax</f>
        <v>-0</v>
      </c>
      <c r="Z75" s="220" t="n">
        <f aca="false">-SUM(Z73:Z74)*USTax</f>
        <v>-0</v>
      </c>
      <c r="AA75" s="220" t="n">
        <f aca="false">-SUM(AA73:AA74)*USTax</f>
        <v>-0</v>
      </c>
      <c r="AB75" s="576" t="n">
        <f aca="false">SUM(E75:AA75)</f>
        <v>-306.031299966285</v>
      </c>
      <c r="AC75" s="643" t="n">
        <f aca="false">IF('Project &amp; Investor Returns'!$I$3=0,F75+NPV(Disc,G75:AA75),E75+NPV(Disc,F75:AA75))</f>
        <v>-237.321624910659</v>
      </c>
      <c r="AE75" s="414"/>
      <c r="AF75" s="414"/>
      <c r="AG75" s="667"/>
      <c r="AH75" s="414"/>
      <c r="AI75" s="414"/>
      <c r="AJ75" s="414"/>
      <c r="AK75" s="414"/>
      <c r="AL75" s="414"/>
      <c r="AM75" s="414"/>
      <c r="AN75" s="414"/>
      <c r="AO75" s="414"/>
      <c r="AP75" s="414"/>
      <c r="AQ75" s="414"/>
      <c r="AR75" s="414"/>
      <c r="AS75" s="414"/>
      <c r="AT75" s="414"/>
      <c r="AU75" s="414"/>
      <c r="AV75" s="414"/>
      <c r="AW75" s="414"/>
      <c r="AX75" s="414"/>
      <c r="AY75" s="414"/>
      <c r="AZ75" s="414"/>
      <c r="BA75" s="414"/>
      <c r="BB75" s="414"/>
      <c r="BC75" s="414"/>
      <c r="BD75" s="414"/>
      <c r="BE75" s="414"/>
      <c r="BF75" s="414"/>
      <c r="BG75" s="414"/>
      <c r="BH75" s="414"/>
      <c r="BI75" s="414"/>
      <c r="BJ75" s="414"/>
      <c r="BK75" s="414"/>
      <c r="BL75" s="414"/>
      <c r="BM75" s="414"/>
      <c r="BN75" s="414"/>
      <c r="BO75" s="414"/>
      <c r="BP75" s="414"/>
      <c r="BQ75" s="414"/>
      <c r="BR75" s="414"/>
      <c r="BS75" s="414"/>
      <c r="BT75" s="414"/>
      <c r="BU75" s="414"/>
      <c r="BV75" s="414"/>
      <c r="BW75" s="414"/>
      <c r="BX75" s="414"/>
      <c r="BY75" s="414"/>
      <c r="BZ75" s="414"/>
      <c r="CA75" s="414"/>
      <c r="CB75" s="414"/>
      <c r="CC75" s="414"/>
      <c r="CD75" s="414"/>
      <c r="CE75" s="414"/>
      <c r="CF75" s="414"/>
      <c r="CG75" s="414"/>
      <c r="CH75" s="414"/>
      <c r="CI75" s="414"/>
      <c r="CJ75" s="414"/>
      <c r="CK75" s="414"/>
      <c r="CL75" s="414"/>
      <c r="CM75" s="414"/>
      <c r="CN75" s="414"/>
      <c r="CO75" s="414"/>
      <c r="CP75" s="414"/>
      <c r="CQ75" s="414"/>
      <c r="CR75" s="414"/>
      <c r="CS75" s="414"/>
      <c r="CT75" s="414"/>
      <c r="CU75" s="414"/>
      <c r="CV75" s="414"/>
      <c r="CW75" s="414"/>
      <c r="CX75" s="414"/>
      <c r="CY75" s="414"/>
      <c r="CZ75" s="414"/>
      <c r="DA75" s="414"/>
      <c r="DB75" s="414"/>
      <c r="DC75" s="414"/>
      <c r="DD75" s="414"/>
      <c r="DE75" s="414"/>
      <c r="DF75" s="414"/>
      <c r="DG75" s="414"/>
      <c r="DH75" s="414"/>
      <c r="DI75" s="414"/>
      <c r="DJ75" s="414"/>
      <c r="DK75" s="414"/>
      <c r="DL75" s="414"/>
      <c r="DM75" s="414"/>
      <c r="DN75" s="414"/>
      <c r="DO75" s="414"/>
      <c r="DP75" s="414"/>
      <c r="DQ75" s="414"/>
      <c r="DR75" s="414"/>
      <c r="DS75" s="414"/>
      <c r="DT75" s="414"/>
      <c r="DU75" s="414"/>
      <c r="DV75" s="414"/>
      <c r="DW75" s="414"/>
      <c r="DX75" s="414"/>
      <c r="DY75" s="414"/>
      <c r="DZ75" s="414"/>
      <c r="EA75" s="414"/>
      <c r="EB75" s="414"/>
      <c r="EC75" s="414"/>
      <c r="ED75" s="414"/>
      <c r="EE75" s="414"/>
      <c r="EF75" s="414"/>
      <c r="EG75" s="414"/>
      <c r="EH75" s="414"/>
      <c r="EI75" s="414"/>
      <c r="EJ75" s="414"/>
      <c r="EK75" s="414"/>
      <c r="EL75" s="414"/>
      <c r="EM75" s="414"/>
      <c r="EN75" s="414"/>
      <c r="EO75" s="414"/>
      <c r="EP75" s="414"/>
      <c r="EQ75" s="414"/>
      <c r="ER75" s="414"/>
      <c r="ES75" s="414"/>
      <c r="ET75" s="414"/>
      <c r="EU75" s="414"/>
      <c r="EV75" s="414"/>
      <c r="EW75" s="414"/>
      <c r="EX75" s="414"/>
      <c r="EY75" s="414"/>
      <c r="EZ75" s="414"/>
      <c r="FA75" s="414"/>
      <c r="FB75" s="414"/>
      <c r="FC75" s="414"/>
      <c r="FD75" s="414"/>
      <c r="FE75" s="414"/>
      <c r="FF75" s="414"/>
      <c r="FG75" s="414"/>
      <c r="FH75" s="414"/>
      <c r="FI75" s="414"/>
      <c r="FJ75" s="414"/>
      <c r="FK75" s="414"/>
      <c r="FL75" s="414"/>
      <c r="FM75" s="414"/>
      <c r="FN75" s="414"/>
      <c r="FO75" s="414"/>
      <c r="FP75" s="414"/>
      <c r="FQ75" s="414"/>
      <c r="FR75" s="414"/>
      <c r="FS75" s="414"/>
      <c r="FT75" s="414"/>
      <c r="FU75" s="414"/>
      <c r="FV75" s="414"/>
      <c r="FW75" s="414"/>
      <c r="FX75" s="414"/>
      <c r="FY75" s="414"/>
      <c r="FZ75" s="414"/>
      <c r="GA75" s="414"/>
      <c r="GB75" s="414"/>
      <c r="GC75" s="414"/>
      <c r="GD75" s="414"/>
      <c r="GE75" s="414"/>
      <c r="GF75" s="414"/>
      <c r="GG75" s="414"/>
      <c r="GH75" s="414"/>
      <c r="GI75" s="414"/>
      <c r="GJ75" s="414"/>
      <c r="GK75" s="414"/>
      <c r="GL75" s="414"/>
      <c r="GM75" s="414"/>
      <c r="GN75" s="414"/>
      <c r="GO75" s="414"/>
      <c r="GP75" s="414"/>
      <c r="GQ75" s="414"/>
      <c r="GR75" s="414"/>
      <c r="GS75" s="414"/>
      <c r="GT75" s="414"/>
      <c r="GU75" s="414"/>
      <c r="GV75" s="414"/>
      <c r="GW75" s="414"/>
      <c r="GX75" s="414"/>
      <c r="GY75" s="414"/>
      <c r="GZ75" s="414"/>
      <c r="HA75" s="414"/>
      <c r="HB75" s="414"/>
      <c r="HC75" s="414"/>
      <c r="HD75" s="414"/>
      <c r="HE75" s="414"/>
      <c r="HF75" s="414"/>
      <c r="HG75" s="414"/>
      <c r="HH75" s="414"/>
      <c r="HI75" s="414"/>
      <c r="HJ75" s="414"/>
      <c r="HK75" s="414"/>
      <c r="HL75" s="414"/>
      <c r="HM75" s="414"/>
      <c r="HN75" s="414"/>
      <c r="HO75" s="414"/>
      <c r="HP75" s="414"/>
      <c r="HQ75" s="414"/>
      <c r="HR75" s="414"/>
      <c r="HS75" s="414"/>
      <c r="HT75" s="414"/>
      <c r="HU75" s="414"/>
      <c r="HV75" s="414"/>
      <c r="HW75" s="414"/>
      <c r="HX75" s="414"/>
      <c r="HY75" s="414"/>
      <c r="HZ75" s="414"/>
      <c r="IA75" s="414"/>
      <c r="IB75" s="414"/>
      <c r="IC75" s="414"/>
      <c r="ID75" s="414"/>
      <c r="IE75" s="414"/>
      <c r="IF75" s="414"/>
      <c r="IG75" s="414"/>
      <c r="IH75" s="414"/>
      <c r="II75" s="414"/>
      <c r="IJ75" s="414"/>
      <c r="IK75" s="414"/>
      <c r="IL75" s="414"/>
      <c r="IM75" s="414"/>
      <c r="IN75" s="414"/>
      <c r="IO75" s="414"/>
      <c r="IP75" s="414"/>
      <c r="IQ75" s="414"/>
      <c r="IR75" s="414"/>
      <c r="IS75" s="414"/>
      <c r="IT75" s="414"/>
      <c r="IU75" s="414"/>
      <c r="IV75" s="414"/>
      <c r="IW75" s="414"/>
    </row>
    <row r="76" customFormat="false" ht="12.75" hidden="false" customHeight="false" outlineLevel="0" collapsed="false">
      <c r="A76" s="698"/>
      <c r="B76" s="38" t="s">
        <v>927</v>
      </c>
      <c r="E76" s="217" t="n">
        <f aca="false">SUM(E70:E75)</f>
        <v>0</v>
      </c>
      <c r="F76" s="217" t="n">
        <f aca="false">SUM(F70:F75)</f>
        <v>-14880.547375692</v>
      </c>
      <c r="G76" s="217" t="n">
        <f aca="false">SUM(G70:G75)</f>
        <v>-6875.87432566055</v>
      </c>
      <c r="H76" s="217" t="n">
        <f aca="false">SUM(H70:H75)</f>
        <v>10850.7845878716</v>
      </c>
      <c r="I76" s="217" t="n">
        <f aca="false">SUM(I70:I75)</f>
        <v>1904.99271267099</v>
      </c>
      <c r="J76" s="217" t="n">
        <f aca="false">SUM(J70:J75)</f>
        <v>141.765411935355</v>
      </c>
      <c r="K76" s="217" t="n">
        <f aca="false">SUM(K70:K75)</f>
        <v>705.129840357368</v>
      </c>
      <c r="L76" s="217" t="n">
        <f aca="false">SUM(L70:L75)</f>
        <v>-1053.5403330071</v>
      </c>
      <c r="M76" s="217" t="n">
        <f aca="false">SUM(M70:M75)</f>
        <v>1521.52342952488</v>
      </c>
      <c r="N76" s="217" t="n">
        <f aca="false">SUM(N70:N75)</f>
        <v>1649.7046575027</v>
      </c>
      <c r="O76" s="217" t="n">
        <f aca="false">SUM(O70:O75)</f>
        <v>1298.07287042895</v>
      </c>
      <c r="P76" s="217" t="n">
        <f aca="false">SUM(P70:P75)</f>
        <v>1106.12902419757</v>
      </c>
      <c r="Q76" s="217" t="n">
        <f aca="false">SUM(Q70:Q75)</f>
        <v>1349.06031200911</v>
      </c>
      <c r="R76" s="217" t="n">
        <f aca="false">SUM(R70:R75)</f>
        <v>1462.91501684889</v>
      </c>
      <c r="S76" s="217" t="n">
        <f aca="false">SUM(S70:S75)</f>
        <v>893.45881702608</v>
      </c>
      <c r="T76" s="217" t="n">
        <f aca="false">SUM(T70:T75)</f>
        <v>682.78830552868</v>
      </c>
      <c r="U76" s="217" t="n">
        <f aca="false">SUM(U70:U75)</f>
        <v>2696.4695842772</v>
      </c>
      <c r="V76" s="217" t="n">
        <f aca="false">SUM(V70:V75)</f>
        <v>1019.20747547333</v>
      </c>
      <c r="W76" s="217" t="n">
        <f aca="false">SUM(W70:W75)</f>
        <v>-352.650637114721</v>
      </c>
      <c r="X76" s="217" t="n">
        <f aca="false">SUM(X70:X75)</f>
        <v>656.732292553242</v>
      </c>
      <c r="Y76" s="217" t="n">
        <f aca="false">SUM(Y70:Y75)</f>
        <v>462.910467246183</v>
      </c>
      <c r="Z76" s="217" t="n">
        <f aca="false">SUM(Z70:Z75)</f>
        <v>632.58708206658</v>
      </c>
      <c r="AA76" s="217" t="n">
        <f aca="false">SUM(AA70:AA75)</f>
        <v>775.405938094449</v>
      </c>
      <c r="AB76" s="574" t="n">
        <f aca="false">SUM(E76:AA76)</f>
        <v>6647.02515413877</v>
      </c>
      <c r="AC76" s="574" t="n">
        <f aca="false">SUM(AC70:AC75)</f>
        <v>-9682.7830881133</v>
      </c>
      <c r="AE76" s="666"/>
      <c r="AF76" s="666"/>
      <c r="AG76" s="666"/>
      <c r="AH76" s="666"/>
      <c r="AI76" s="666"/>
      <c r="AJ76" s="666"/>
      <c r="AK76" s="666"/>
      <c r="AL76" s="666"/>
      <c r="AM76" s="666"/>
      <c r="AN76" s="666"/>
      <c r="AO76" s="666"/>
      <c r="AP76" s="666"/>
      <c r="AQ76" s="666"/>
      <c r="AR76" s="666"/>
      <c r="AS76" s="666"/>
      <c r="AT76" s="666"/>
      <c r="AU76" s="666"/>
      <c r="AV76" s="666"/>
      <c r="AW76" s="666"/>
      <c r="AX76" s="666"/>
      <c r="AY76" s="666"/>
      <c r="AZ76" s="666"/>
      <c r="BA76" s="666"/>
      <c r="BB76" s="666"/>
      <c r="BC76" s="666"/>
      <c r="BD76" s="666"/>
      <c r="BE76" s="666"/>
      <c r="BF76" s="666"/>
      <c r="BG76" s="666"/>
      <c r="BH76" s="666"/>
      <c r="BI76" s="666"/>
      <c r="BJ76" s="666"/>
      <c r="BK76" s="666"/>
      <c r="BL76" s="666"/>
      <c r="BM76" s="666"/>
      <c r="BN76" s="666"/>
      <c r="BO76" s="666"/>
      <c r="BP76" s="666"/>
      <c r="BQ76" s="666"/>
      <c r="BR76" s="666"/>
      <c r="BS76" s="666"/>
      <c r="BT76" s="666"/>
      <c r="BU76" s="666"/>
      <c r="BV76" s="666"/>
      <c r="BW76" s="666"/>
      <c r="BX76" s="666"/>
      <c r="BY76" s="666"/>
      <c r="BZ76" s="666"/>
      <c r="CA76" s="666"/>
      <c r="CB76" s="666"/>
      <c r="CC76" s="666"/>
      <c r="CD76" s="666"/>
      <c r="CE76" s="666"/>
      <c r="CF76" s="666"/>
      <c r="CG76" s="666"/>
      <c r="CH76" s="666"/>
      <c r="CI76" s="666"/>
      <c r="CJ76" s="666"/>
      <c r="CK76" s="666"/>
      <c r="CL76" s="666"/>
      <c r="CM76" s="666"/>
      <c r="CN76" s="666"/>
      <c r="CO76" s="666"/>
      <c r="CP76" s="666"/>
      <c r="CQ76" s="666"/>
      <c r="CR76" s="666"/>
      <c r="CS76" s="666"/>
      <c r="CT76" s="666"/>
      <c r="CU76" s="666"/>
      <c r="CV76" s="666"/>
      <c r="CW76" s="666"/>
      <c r="CX76" s="666"/>
      <c r="CY76" s="666"/>
      <c r="CZ76" s="666"/>
      <c r="DA76" s="666"/>
      <c r="DB76" s="666"/>
      <c r="DC76" s="666"/>
      <c r="DD76" s="666"/>
      <c r="DE76" s="666"/>
      <c r="DF76" s="666"/>
      <c r="DG76" s="666"/>
      <c r="DH76" s="666"/>
      <c r="DI76" s="666"/>
      <c r="DJ76" s="666"/>
      <c r="DK76" s="666"/>
      <c r="DL76" s="666"/>
      <c r="DM76" s="666"/>
      <c r="DN76" s="666"/>
      <c r="DO76" s="666"/>
      <c r="DP76" s="666"/>
      <c r="DQ76" s="666"/>
      <c r="DR76" s="666"/>
      <c r="DS76" s="666"/>
      <c r="DT76" s="666"/>
      <c r="DU76" s="666"/>
      <c r="DV76" s="666"/>
      <c r="DW76" s="666"/>
      <c r="DX76" s="666"/>
      <c r="DY76" s="666"/>
      <c r="DZ76" s="666"/>
      <c r="EA76" s="666"/>
      <c r="EB76" s="666"/>
      <c r="EC76" s="666"/>
      <c r="ED76" s="666"/>
      <c r="EE76" s="666"/>
      <c r="EF76" s="666"/>
      <c r="EG76" s="666"/>
      <c r="EH76" s="666"/>
      <c r="EI76" s="666"/>
      <c r="EJ76" s="666"/>
      <c r="EK76" s="666"/>
      <c r="EL76" s="666"/>
      <c r="EM76" s="666"/>
      <c r="EN76" s="666"/>
      <c r="EO76" s="666"/>
      <c r="EP76" s="666"/>
      <c r="EQ76" s="666"/>
      <c r="ER76" s="666"/>
      <c r="ES76" s="666"/>
      <c r="ET76" s="666"/>
      <c r="EU76" s="666"/>
      <c r="EV76" s="666"/>
      <c r="EW76" s="666"/>
      <c r="EX76" s="666"/>
      <c r="EY76" s="666"/>
      <c r="EZ76" s="666"/>
      <c r="FA76" s="666"/>
      <c r="FB76" s="666"/>
      <c r="FC76" s="666"/>
      <c r="FD76" s="666"/>
      <c r="FE76" s="666"/>
      <c r="FF76" s="666"/>
      <c r="FG76" s="666"/>
      <c r="FH76" s="666"/>
      <c r="FI76" s="666"/>
      <c r="FJ76" s="666"/>
      <c r="FK76" s="666"/>
      <c r="FL76" s="666"/>
      <c r="FM76" s="666"/>
      <c r="FN76" s="666"/>
      <c r="FO76" s="666"/>
      <c r="FP76" s="666"/>
      <c r="FQ76" s="666"/>
      <c r="FR76" s="666"/>
      <c r="FS76" s="666"/>
      <c r="FT76" s="666"/>
      <c r="FU76" s="666"/>
      <c r="FV76" s="666"/>
      <c r="FW76" s="666"/>
      <c r="FX76" s="666"/>
      <c r="FY76" s="666"/>
      <c r="FZ76" s="666"/>
      <c r="GA76" s="666"/>
      <c r="GB76" s="666"/>
      <c r="GC76" s="666"/>
      <c r="GD76" s="666"/>
      <c r="GE76" s="666"/>
      <c r="GF76" s="666"/>
      <c r="GG76" s="666"/>
      <c r="GH76" s="666"/>
      <c r="GI76" s="666"/>
      <c r="GJ76" s="666"/>
      <c r="GK76" s="666"/>
      <c r="GL76" s="666"/>
      <c r="GM76" s="666"/>
      <c r="GN76" s="666"/>
      <c r="GO76" s="666"/>
      <c r="GP76" s="666"/>
      <c r="GQ76" s="666"/>
      <c r="GR76" s="666"/>
      <c r="GS76" s="666"/>
      <c r="GT76" s="666"/>
      <c r="GU76" s="666"/>
      <c r="GV76" s="666"/>
      <c r="GW76" s="666"/>
      <c r="GX76" s="666"/>
      <c r="GY76" s="666"/>
      <c r="GZ76" s="666"/>
      <c r="HA76" s="666"/>
      <c r="HB76" s="666"/>
      <c r="HC76" s="666"/>
      <c r="HD76" s="666"/>
      <c r="HE76" s="666"/>
      <c r="HF76" s="666"/>
      <c r="HG76" s="666"/>
      <c r="HH76" s="666"/>
      <c r="HI76" s="666"/>
      <c r="HJ76" s="666"/>
      <c r="HK76" s="666"/>
      <c r="HL76" s="666"/>
      <c r="HM76" s="666"/>
      <c r="HN76" s="666"/>
      <c r="HO76" s="666"/>
      <c r="HP76" s="666"/>
      <c r="HQ76" s="666"/>
      <c r="HR76" s="666"/>
      <c r="HS76" s="666"/>
      <c r="HT76" s="666"/>
      <c r="HU76" s="666"/>
      <c r="HV76" s="666"/>
      <c r="HW76" s="666"/>
      <c r="HX76" s="666"/>
      <c r="HY76" s="666"/>
      <c r="HZ76" s="666"/>
      <c r="IA76" s="666"/>
      <c r="IB76" s="666"/>
      <c r="IC76" s="666"/>
      <c r="ID76" s="666"/>
      <c r="IE76" s="666"/>
      <c r="IF76" s="666"/>
      <c r="IG76" s="666"/>
      <c r="IH76" s="666"/>
      <c r="II76" s="666"/>
      <c r="IJ76" s="666"/>
      <c r="IK76" s="666"/>
      <c r="IL76" s="666"/>
      <c r="IM76" s="666"/>
      <c r="IN76" s="666"/>
      <c r="IO76" s="666"/>
      <c r="IP76" s="666"/>
      <c r="IQ76" s="666"/>
      <c r="IR76" s="666"/>
      <c r="IS76" s="666"/>
      <c r="IT76" s="666"/>
      <c r="IU76" s="666"/>
      <c r="IV76" s="666"/>
      <c r="IW76" s="666"/>
    </row>
    <row r="77" customFormat="false" ht="12.75" hidden="false" customHeight="false" outlineLevel="0" collapsed="false">
      <c r="A77" s="698"/>
      <c r="E77" s="668" t="n">
        <f aca="false">SUM(E71:E75)</f>
        <v>0</v>
      </c>
      <c r="F77" s="668" t="n">
        <f aca="false">SUM(F71:F75)</f>
        <v>-3281.35110007713</v>
      </c>
      <c r="G77" s="668" t="n">
        <f aca="false">SUM(G71:G75)</f>
        <v>-6628.56081625058</v>
      </c>
      <c r="H77" s="668" t="n">
        <f aca="false">SUM(H71:H75)</f>
        <v>10430.9922378919</v>
      </c>
      <c r="I77" s="668" t="n">
        <f aca="false">SUM(I71:I75)</f>
        <v>0</v>
      </c>
      <c r="J77" s="668" t="n">
        <f aca="false">SUM(J71:J75)</f>
        <v>0</v>
      </c>
      <c r="K77" s="668" t="n">
        <f aca="false">SUM(K71:K75)</f>
        <v>0</v>
      </c>
      <c r="L77" s="668" t="n">
        <f aca="false">SUM(L71:L75)</f>
        <v>0</v>
      </c>
      <c r="M77" s="668" t="n">
        <f aca="false">SUM(M71:M75)</f>
        <v>0</v>
      </c>
      <c r="N77" s="668" t="n">
        <f aca="false">SUM(N71:N75)</f>
        <v>0</v>
      </c>
      <c r="O77" s="668" t="n">
        <f aca="false">SUM(O71:O75)</f>
        <v>0</v>
      </c>
      <c r="P77" s="668" t="n">
        <f aca="false">SUM(P71:P75)</f>
        <v>0</v>
      </c>
      <c r="Q77" s="668" t="n">
        <f aca="false">SUM(Q71:Q75)</f>
        <v>0</v>
      </c>
      <c r="R77" s="668" t="n">
        <f aca="false">SUM(R71:R75)</f>
        <v>0</v>
      </c>
      <c r="S77" s="668" t="n">
        <f aca="false">SUM(S71:S75)</f>
        <v>0</v>
      </c>
      <c r="T77" s="668" t="n">
        <f aca="false">SUM(T71:T75)</f>
        <v>0</v>
      </c>
      <c r="U77" s="668" t="n">
        <f aca="false">SUM(U71:U75)</f>
        <v>0</v>
      </c>
      <c r="V77" s="668" t="n">
        <f aca="false">SUM(V71:V75)</f>
        <v>0</v>
      </c>
      <c r="W77" s="668" t="n">
        <f aca="false">SUM(W71:W75)</f>
        <v>0</v>
      </c>
      <c r="X77" s="668" t="n">
        <f aca="false">SUM(X71:X75)</f>
        <v>0</v>
      </c>
      <c r="Y77" s="668" t="n">
        <f aca="false">SUM(Y71:Y75)</f>
        <v>0</v>
      </c>
      <c r="Z77" s="668" t="n">
        <f aca="false">SUM(Z71:Z75)</f>
        <v>0</v>
      </c>
      <c r="AA77" s="668" t="n">
        <f aca="false">SUM(AA71:AA75)</f>
        <v>0</v>
      </c>
      <c r="AB77" s="669" t="n">
        <f aca="false">SUM(AB71:AB75)</f>
        <v>521.080321564215</v>
      </c>
      <c r="AC77" s="669" t="n">
        <f aca="false">SUM(AC71:AC75)</f>
        <v>-1485.57052910493</v>
      </c>
      <c r="AE77" s="666"/>
      <c r="AF77" s="666"/>
      <c r="AG77" s="666"/>
      <c r="AH77" s="666"/>
      <c r="AI77" s="666"/>
      <c r="AJ77" s="666"/>
      <c r="AK77" s="666"/>
      <c r="AL77" s="666"/>
      <c r="AM77" s="666"/>
      <c r="AN77" s="666"/>
      <c r="AO77" s="666"/>
      <c r="AP77" s="666"/>
      <c r="AQ77" s="666"/>
      <c r="AR77" s="666"/>
      <c r="AS77" s="666"/>
      <c r="AT77" s="666"/>
      <c r="AU77" s="666"/>
      <c r="AV77" s="666"/>
      <c r="AW77" s="666"/>
      <c r="AX77" s="666"/>
      <c r="AY77" s="666"/>
      <c r="AZ77" s="666"/>
      <c r="BA77" s="666"/>
      <c r="BB77" s="666"/>
      <c r="BC77" s="666"/>
      <c r="BD77" s="666"/>
      <c r="BE77" s="666"/>
      <c r="BF77" s="666"/>
      <c r="BG77" s="666"/>
      <c r="BH77" s="666"/>
      <c r="BI77" s="666"/>
      <c r="BJ77" s="666"/>
      <c r="BK77" s="666"/>
      <c r="BL77" s="666"/>
      <c r="BM77" s="666"/>
      <c r="BN77" s="666"/>
      <c r="BO77" s="666"/>
      <c r="BP77" s="666"/>
      <c r="BQ77" s="666"/>
      <c r="BR77" s="666"/>
      <c r="BS77" s="666"/>
      <c r="BT77" s="666"/>
      <c r="BU77" s="666"/>
      <c r="BV77" s="666"/>
      <c r="BW77" s="666"/>
      <c r="BX77" s="666"/>
      <c r="BY77" s="666"/>
      <c r="BZ77" s="666"/>
      <c r="CA77" s="666"/>
      <c r="CB77" s="666"/>
      <c r="CC77" s="666"/>
      <c r="CD77" s="666"/>
      <c r="CE77" s="666"/>
      <c r="CF77" s="666"/>
      <c r="CG77" s="666"/>
      <c r="CH77" s="666"/>
      <c r="CI77" s="666"/>
      <c r="CJ77" s="666"/>
      <c r="CK77" s="666"/>
      <c r="CL77" s="666"/>
      <c r="CM77" s="666"/>
      <c r="CN77" s="666"/>
      <c r="CO77" s="666"/>
      <c r="CP77" s="666"/>
      <c r="CQ77" s="666"/>
      <c r="CR77" s="666"/>
      <c r="CS77" s="666"/>
      <c r="CT77" s="666"/>
      <c r="CU77" s="666"/>
      <c r="CV77" s="666"/>
      <c r="CW77" s="666"/>
      <c r="CX77" s="666"/>
      <c r="CY77" s="666"/>
      <c r="CZ77" s="666"/>
      <c r="DA77" s="666"/>
      <c r="DB77" s="666"/>
      <c r="DC77" s="666"/>
      <c r="DD77" s="666"/>
      <c r="DE77" s="666"/>
      <c r="DF77" s="666"/>
      <c r="DG77" s="666"/>
      <c r="DH77" s="666"/>
      <c r="DI77" s="666"/>
      <c r="DJ77" s="666"/>
      <c r="DK77" s="666"/>
      <c r="DL77" s="666"/>
      <c r="DM77" s="666"/>
      <c r="DN77" s="666"/>
      <c r="DO77" s="666"/>
      <c r="DP77" s="666"/>
      <c r="DQ77" s="666"/>
      <c r="DR77" s="666"/>
      <c r="DS77" s="666"/>
      <c r="DT77" s="666"/>
      <c r="DU77" s="666"/>
      <c r="DV77" s="666"/>
      <c r="DW77" s="666"/>
      <c r="DX77" s="666"/>
      <c r="DY77" s="666"/>
      <c r="DZ77" s="666"/>
      <c r="EA77" s="666"/>
      <c r="EB77" s="666"/>
      <c r="EC77" s="666"/>
      <c r="ED77" s="666"/>
      <c r="EE77" s="666"/>
      <c r="EF77" s="666"/>
      <c r="EG77" s="666"/>
      <c r="EH77" s="666"/>
      <c r="EI77" s="666"/>
      <c r="EJ77" s="666"/>
      <c r="EK77" s="666"/>
      <c r="EL77" s="666"/>
      <c r="EM77" s="666"/>
      <c r="EN77" s="666"/>
      <c r="EO77" s="666"/>
      <c r="EP77" s="666"/>
      <c r="EQ77" s="666"/>
      <c r="ER77" s="666"/>
      <c r="ES77" s="666"/>
      <c r="ET77" s="666"/>
      <c r="EU77" s="666"/>
      <c r="EV77" s="666"/>
      <c r="EW77" s="666"/>
      <c r="EX77" s="666"/>
      <c r="EY77" s="666"/>
      <c r="EZ77" s="666"/>
      <c r="FA77" s="666"/>
      <c r="FB77" s="666"/>
      <c r="FC77" s="666"/>
      <c r="FD77" s="666"/>
      <c r="FE77" s="666"/>
      <c r="FF77" s="666"/>
      <c r="FG77" s="666"/>
      <c r="FH77" s="666"/>
      <c r="FI77" s="666"/>
      <c r="FJ77" s="666"/>
      <c r="FK77" s="666"/>
      <c r="FL77" s="666"/>
      <c r="FM77" s="666"/>
      <c r="FN77" s="666"/>
      <c r="FO77" s="666"/>
      <c r="FP77" s="666"/>
      <c r="FQ77" s="666"/>
      <c r="FR77" s="666"/>
      <c r="FS77" s="666"/>
      <c r="FT77" s="666"/>
      <c r="FU77" s="666"/>
      <c r="FV77" s="666"/>
      <c r="FW77" s="666"/>
      <c r="FX77" s="666"/>
      <c r="FY77" s="666"/>
      <c r="FZ77" s="666"/>
      <c r="GA77" s="666"/>
      <c r="GB77" s="666"/>
      <c r="GC77" s="666"/>
      <c r="GD77" s="666"/>
      <c r="GE77" s="666"/>
      <c r="GF77" s="666"/>
      <c r="GG77" s="666"/>
      <c r="GH77" s="666"/>
      <c r="GI77" s="666"/>
      <c r="GJ77" s="666"/>
      <c r="GK77" s="666"/>
      <c r="GL77" s="666"/>
      <c r="GM77" s="666"/>
      <c r="GN77" s="666"/>
      <c r="GO77" s="666"/>
      <c r="GP77" s="666"/>
      <c r="GQ77" s="666"/>
      <c r="GR77" s="666"/>
      <c r="GS77" s="666"/>
      <c r="GT77" s="666"/>
      <c r="GU77" s="666"/>
      <c r="GV77" s="666"/>
      <c r="GW77" s="666"/>
      <c r="GX77" s="666"/>
      <c r="GY77" s="666"/>
      <c r="GZ77" s="666"/>
      <c r="HA77" s="666"/>
      <c r="HB77" s="666"/>
      <c r="HC77" s="666"/>
      <c r="HD77" s="666"/>
      <c r="HE77" s="666"/>
      <c r="HF77" s="666"/>
      <c r="HG77" s="666"/>
      <c r="HH77" s="666"/>
      <c r="HI77" s="666"/>
      <c r="HJ77" s="666"/>
      <c r="HK77" s="666"/>
      <c r="HL77" s="666"/>
      <c r="HM77" s="666"/>
      <c r="HN77" s="666"/>
      <c r="HO77" s="666"/>
      <c r="HP77" s="666"/>
      <c r="HQ77" s="666"/>
      <c r="HR77" s="666"/>
      <c r="HS77" s="666"/>
      <c r="HT77" s="666"/>
      <c r="HU77" s="666"/>
      <c r="HV77" s="666"/>
      <c r="HW77" s="666"/>
      <c r="HX77" s="666"/>
      <c r="HY77" s="666"/>
      <c r="HZ77" s="666"/>
      <c r="IA77" s="666"/>
      <c r="IB77" s="666"/>
      <c r="IC77" s="666"/>
      <c r="ID77" s="666"/>
      <c r="IE77" s="666"/>
      <c r="IF77" s="666"/>
      <c r="IG77" s="666"/>
      <c r="IH77" s="666"/>
      <c r="II77" s="666"/>
      <c r="IJ77" s="666"/>
      <c r="IK77" s="666"/>
      <c r="IL77" s="666"/>
      <c r="IM77" s="666"/>
      <c r="IN77" s="666"/>
      <c r="IO77" s="666"/>
      <c r="IP77" s="666"/>
      <c r="IQ77" s="666"/>
      <c r="IR77" s="666"/>
      <c r="IS77" s="666"/>
      <c r="IT77" s="666"/>
      <c r="IU77" s="666"/>
      <c r="IV77" s="666"/>
      <c r="IW77" s="666"/>
    </row>
    <row r="78" customFormat="false" ht="12.75" hidden="false" customHeight="false" outlineLevel="0" collapsed="false">
      <c r="A78" s="37"/>
      <c r="B78" s="38" t="s">
        <v>899</v>
      </c>
      <c r="E78" s="645" t="n">
        <f aca="false">$E76</f>
        <v>0</v>
      </c>
      <c r="F78" s="645" t="n">
        <f aca="false">IF('Project &amp; Investor Returns'!$I$3=0,$F76,$E76+NPV(Disc,$F76:F76))</f>
        <v>-14880.547375692</v>
      </c>
      <c r="G78" s="217" t="n">
        <f aca="false">IF('Project &amp; Investor Returns'!$I$3=0,$F76+NPV(Disc,$G76:G76),$E76+NPV(Disc,$F76:G76))</f>
        <v>-20658.5930275076</v>
      </c>
      <c r="H78" s="217" t="n">
        <f aca="false">IF('Project &amp; Investor Returns'!$I$3=0,$F76+NPV(Disc,$G76:H76),$E76+NPV(Disc,$F76:H76))</f>
        <v>-12996.1506944297</v>
      </c>
      <c r="I78" s="217" t="n">
        <f aca="false">IF('Project &amp; Investor Returns'!$I$3=0,$F76+NPV(Disc,$G76:I76),$E76+NPV(Disc,$F76:I76))</f>
        <v>-11865.6978928419</v>
      </c>
      <c r="J78" s="217" t="n">
        <f aca="false">IF('Project &amp; Investor Returns'!$I$3=0,$F76+NPV(Disc,$G76:J76),$E76+NPV(Disc,$F76:J76))</f>
        <v>-11795.0039118792</v>
      </c>
      <c r="K78" s="217" t="n">
        <f aca="false">IF('Project &amp; Investor Returns'!$I$3=0,$F76+NPV(Disc,$G76:K76),$E76+NPV(Disc,$F76:K76))</f>
        <v>-11499.5196958528</v>
      </c>
      <c r="L78" s="217" t="n">
        <f aca="false">IF('Project &amp; Investor Returns'!$I$3=0,$F76+NPV(Disc,$G76:L76),$E76+NPV(Disc,$F76:L76))</f>
        <v>-11870.5158419008</v>
      </c>
      <c r="M78" s="217" t="n">
        <f aca="false">IF('Project &amp; Investor Returns'!$I$3=0,$F76+NPV(Disc,$G76:M76),$E76+NPV(Disc,$F76:M76))</f>
        <v>-11420.2697886565</v>
      </c>
      <c r="N78" s="217" t="n">
        <f aca="false">IF('Project &amp; Investor Returns'!$I$3=0,$F76+NPV(Disc,$G76:N76),$E76+NPV(Disc,$F76:N76))</f>
        <v>-11010.0368676393</v>
      </c>
      <c r="O78" s="217" t="n">
        <f aca="false">IF('Project &amp; Investor Returns'!$I$3=0,$F76+NPV(Disc,$G76:O76),$E76+NPV(Disc,$F76:O76))</f>
        <v>-10738.7826992356</v>
      </c>
      <c r="P78" s="217" t="n">
        <f aca="false">IF('Project &amp; Investor Returns'!$I$3=0,$F76+NPV(Disc,$G76:P76),$E76+NPV(Disc,$F76:P76))</f>
        <v>-10544.5438152229</v>
      </c>
      <c r="Q78" s="217" t="n">
        <f aca="false">IF('Project &amp; Investor Returns'!$I$3=0,$F76+NPV(Disc,$G76:Q76),$E76+NPV(Disc,$F76:Q76))</f>
        <v>-10345.4697016249</v>
      </c>
      <c r="R78" s="217" t="n">
        <f aca="false">IF('Project &amp; Investor Returns'!$I$3=0,$F76+NPV(Disc,$G76:R76),$E76+NPV(Disc,$F76:R76))</f>
        <v>-10164.0620667206</v>
      </c>
      <c r="S78" s="217" t="n">
        <f aca="false">IF('Project &amp; Investor Returns'!$I$3=0,$F76+NPV(Disc,$G76:S76),$E76+NPV(Disc,$F76:S76))</f>
        <v>-10070.958988327</v>
      </c>
      <c r="T78" s="217" t="n">
        <f aca="false">IF('Project &amp; Investor Returns'!$I$3=0,$F76+NPV(Disc,$G76:T76),$E76+NPV(Disc,$F76:T76))</f>
        <v>-10011.1689799012</v>
      </c>
      <c r="U78" s="217" t="n">
        <f aca="false">IF('Project &amp; Investor Returns'!$I$3=0,$F76+NPV(Disc,$G76:U76),$E76+NPV(Disc,$F76:U76))</f>
        <v>-9812.74639408757</v>
      </c>
      <c r="V78" s="217" t="n">
        <f aca="false">IF('Project &amp; Investor Returns'!$I$3=0,$F76+NPV(Disc,$G76:V76),$E76+NPV(Disc,$F76:V76))</f>
        <v>-9749.72163154074</v>
      </c>
      <c r="W78" s="217" t="n">
        <f aca="false">IF('Project &amp; Investor Returns'!$I$3=0,$F76+NPV(Disc,$G76:W76),$E76+NPV(Disc,$F76:W76))</f>
        <v>-9768.04673052221</v>
      </c>
      <c r="X78" s="217" t="n">
        <f aca="false">IF('Project &amp; Investor Returns'!$I$3=0,$F76+NPV(Disc,$G76:X76),$E76+NPV(Disc,$F76:X76))</f>
        <v>-9739.36911309984</v>
      </c>
      <c r="Y78" s="217" t="n">
        <f aca="false">IF('Project &amp; Investor Returns'!$I$3=0,$F76+NPV(Disc,$G76:Y76),$E76+NPV(Disc,$F76:Y76))</f>
        <v>-9722.38258059049</v>
      </c>
      <c r="Z78" s="217" t="n">
        <f aca="false">IF('Project &amp; Investor Returns'!$I$3=0,$F76+NPV(Disc,$G76:Z76),$E76+NPV(Disc,$F76:Z76))</f>
        <v>-9702.87600247747</v>
      </c>
      <c r="AA78" s="217" t="n">
        <f aca="false">IF('Project &amp; Investor Returns'!$I$3=0,$F76+NPV(Disc,$G76:AA76),$E76+NPV(Disc,$F76:AA76))</f>
        <v>-9682.7830881133</v>
      </c>
      <c r="AB78" s="640"/>
      <c r="AC78" s="574" t="n">
        <f aca="false">AC76</f>
        <v>-9682.7830881133</v>
      </c>
      <c r="AD78" s="668" t="n">
        <f aca="false">NPV(Disc,F77:AA77)+E77</f>
        <v>-1248.3785958865</v>
      </c>
    </row>
    <row r="79" customFormat="false" ht="12.75" hidden="false" customHeight="false" outlineLevel="0" collapsed="false">
      <c r="A79" s="37"/>
      <c r="B79" s="38" t="s">
        <v>900</v>
      </c>
      <c r="E79" s="260" t="e">
        <f aca="false">IRR($E76:E76,-0.9)</f>
        <v>#N/A</v>
      </c>
      <c r="F79" s="260" t="e">
        <f aca="false">IRR($E76:F76,-0.9)</f>
        <v>#N/A</v>
      </c>
      <c r="G79" s="260" t="e">
        <f aca="false">IRR($E76:G76,-0.9)</f>
        <v>#N/A</v>
      </c>
      <c r="H79" s="260" t="n">
        <f aca="false">IRR($E76:H76,-0.9)</f>
        <v>-0.346405771547409</v>
      </c>
      <c r="I79" s="260" t="n">
        <f aca="false">IRR($E76:I76,-0.9)</f>
        <v>-0.254192956067436</v>
      </c>
      <c r="J79" s="260" t="n">
        <f aca="false">IRR($E76:J76,-0.9)</f>
        <v>-0.246527498571604</v>
      </c>
      <c r="K79" s="260" t="n">
        <f aca="false">IRR($E76:K76,-0.9)</f>
        <v>-0.204912133307501</v>
      </c>
      <c r="L79" s="260" t="e">
        <f aca="false">IRR($E76:L76,-0.9)</f>
        <v>#N/A</v>
      </c>
      <c r="M79" s="260" t="e">
        <f aca="false">IRR($E76:M76,-0.9)</f>
        <v>#N/A</v>
      </c>
      <c r="N79" s="260" t="e">
        <f aca="false">IRR($E76:N76,-0.9)</f>
        <v>#N/A</v>
      </c>
      <c r="O79" s="260" t="e">
        <f aca="false">IRR($E76:O76,-0.9)</f>
        <v>#N/A</v>
      </c>
      <c r="P79" s="260" t="e">
        <f aca="false">IRR($E76:P76,-0.9)</f>
        <v>#N/A</v>
      </c>
      <c r="Q79" s="260" t="e">
        <f aca="false">IRR($E76:Q76,-0.9)</f>
        <v>#N/A</v>
      </c>
      <c r="R79" s="260" t="e">
        <f aca="false">IRR($E76:R76,-0.9)</f>
        <v>#N/A</v>
      </c>
      <c r="S79" s="260" t="e">
        <f aca="false">IRR($E76:S76,-0.9)</f>
        <v>#N/A</v>
      </c>
      <c r="T79" s="260" t="e">
        <f aca="false">IRR($E76:T76,-0.9)</f>
        <v>#N/A</v>
      </c>
      <c r="U79" s="260" t="e">
        <f aca="false">IRR($E76:U76,-0.9)</f>
        <v>#N/A</v>
      </c>
      <c r="V79" s="260" t="e">
        <f aca="false">IRR($E76:V76,-0.9)</f>
        <v>#N/A</v>
      </c>
      <c r="W79" s="260" t="e">
        <f aca="false">IRR($E76:W76,-0.9)</f>
        <v>#N/A</v>
      </c>
      <c r="X79" s="260" t="e">
        <f aca="false">IRR($E76:X76,-0.9)</f>
        <v>#N/A</v>
      </c>
      <c r="Y79" s="260" t="e">
        <f aca="false">IRR($E76:Y76,-0.9)</f>
        <v>#N/A</v>
      </c>
      <c r="Z79" s="260" t="e">
        <f aca="false">IRR($E76:Z76,-0.9)</f>
        <v>#N/A</v>
      </c>
      <c r="AA79" s="260" t="e">
        <f aca="false">IRR($E76:AA76,-0.9)</f>
        <v>#N/A</v>
      </c>
      <c r="AB79" s="638"/>
      <c r="AC79" s="646" t="e">
        <f aca="false">IRR(E76:AA76,-0.9)</f>
        <v>#N/A</v>
      </c>
      <c r="AD79" s="670" t="n">
        <f aca="false">IF(ISERROR(IRR(E77:AA77,-0.9)),"Infinite",IRR(E77:AA77,-0.9))</f>
        <v>0.0391212207496707</v>
      </c>
    </row>
    <row r="80" customFormat="false" ht="12.75" hidden="false" customHeight="true" outlineLevel="0" collapsed="false">
      <c r="A80" s="37"/>
      <c r="C80" s="671" t="s">
        <v>908</v>
      </c>
      <c r="D80" s="671" t="s">
        <v>909</v>
      </c>
      <c r="E80" s="637"/>
      <c r="F80" s="637"/>
      <c r="G80" s="637"/>
      <c r="H80" s="637"/>
      <c r="I80" s="637"/>
      <c r="J80" s="637"/>
      <c r="K80" s="637"/>
      <c r="L80" s="637"/>
      <c r="M80" s="637"/>
      <c r="N80" s="637"/>
      <c r="O80" s="637"/>
      <c r="P80" s="637"/>
      <c r="Q80" s="637"/>
      <c r="R80" s="637"/>
      <c r="S80" s="637"/>
      <c r="T80" s="637"/>
      <c r="U80" s="637"/>
      <c r="V80" s="637"/>
      <c r="W80" s="637"/>
      <c r="X80" s="637"/>
      <c r="Y80" s="637"/>
      <c r="Z80" s="637"/>
      <c r="AA80" s="637"/>
      <c r="AB80" s="638"/>
      <c r="AC80" s="555"/>
    </row>
    <row r="81" customFormat="false" ht="12.75" hidden="false" customHeight="false" outlineLevel="0" collapsed="false">
      <c r="A81" s="37"/>
      <c r="B81" s="647" t="str">
        <f aca="false">CONCATENATE("Transredes NPV (w/ Bridge Loan) @ ",TEXT(Disc,"0.0%"))</f>
        <v>Transredes NPV (w/ Bridge Loan) @ 19.0%</v>
      </c>
      <c r="C81" s="672" t="n">
        <f aca="false">AC78</f>
        <v>-9682.7830881133</v>
      </c>
      <c r="D81" s="648" t="n">
        <f aca="false">AD78</f>
        <v>-1248.3785958865</v>
      </c>
      <c r="F81" s="649"/>
      <c r="G81" s="649"/>
      <c r="H81" s="649"/>
      <c r="I81" s="649"/>
      <c r="J81" s="649"/>
      <c r="K81" s="649"/>
      <c r="L81" s="649"/>
      <c r="M81" s="649"/>
      <c r="N81" s="649"/>
      <c r="O81" s="649"/>
      <c r="P81" s="649"/>
      <c r="Q81" s="649"/>
      <c r="R81" s="649"/>
      <c r="S81" s="649"/>
      <c r="T81" s="649"/>
      <c r="U81" s="649"/>
      <c r="V81" s="649"/>
      <c r="W81" s="649"/>
      <c r="X81" s="649"/>
      <c r="Y81" s="649"/>
      <c r="Z81" s="649"/>
      <c r="AA81" s="649"/>
      <c r="AB81" s="638"/>
      <c r="AC81" s="555"/>
    </row>
    <row r="82" customFormat="false" ht="12.75" hidden="false" customHeight="false" outlineLevel="0" collapsed="false">
      <c r="A82" s="563"/>
      <c r="B82" s="662" t="s">
        <v>941</v>
      </c>
      <c r="C82" s="723" t="e">
        <f aca="false">AC79</f>
        <v>#N/A</v>
      </c>
      <c r="D82" s="724" t="n">
        <f aca="false">AD79</f>
        <v>0.0391212207496707</v>
      </c>
      <c r="E82" s="700"/>
      <c r="F82" s="700"/>
      <c r="G82" s="700"/>
      <c r="H82" s="700"/>
      <c r="I82" s="700"/>
      <c r="J82" s="700"/>
      <c r="K82" s="700"/>
      <c r="L82" s="700"/>
      <c r="M82" s="700"/>
      <c r="N82" s="700"/>
      <c r="O82" s="700"/>
      <c r="P82" s="700"/>
      <c r="Q82" s="700"/>
      <c r="R82" s="700"/>
      <c r="S82" s="700"/>
      <c r="T82" s="700"/>
      <c r="U82" s="700"/>
      <c r="V82" s="700"/>
      <c r="W82" s="700"/>
      <c r="X82" s="700"/>
      <c r="Y82" s="700"/>
      <c r="Z82" s="700"/>
      <c r="AA82" s="700"/>
      <c r="AB82" s="701"/>
      <c r="AC82" s="665"/>
    </row>
    <row r="83" customFormat="false" ht="12.75" hidden="false" customHeight="false" outlineLevel="0" collapsed="false">
      <c r="A83" s="37"/>
      <c r="AB83" s="555"/>
      <c r="AC83" s="555"/>
    </row>
    <row r="84" customFormat="false" ht="12.75" hidden="false" customHeight="false" outlineLevel="0" collapsed="false">
      <c r="A84" s="698"/>
      <c r="B84" s="38" t="s">
        <v>901</v>
      </c>
      <c r="E84" s="217" t="n">
        <f aca="false">E76</f>
        <v>0</v>
      </c>
      <c r="F84" s="217" t="n">
        <f aca="false">F76</f>
        <v>-14880.547375692</v>
      </c>
      <c r="G84" s="217" t="n">
        <f aca="false">G76</f>
        <v>-6875.87432566055</v>
      </c>
      <c r="H84" s="217" t="n">
        <f aca="false">H76</f>
        <v>10850.7845878716</v>
      </c>
      <c r="I84" s="217" t="n">
        <f aca="false">I76</f>
        <v>1904.99271267099</v>
      </c>
      <c r="J84" s="217" t="n">
        <f aca="false">J76</f>
        <v>141.765411935355</v>
      </c>
      <c r="K84" s="217" t="n">
        <f aca="false">K76</f>
        <v>705.129840357368</v>
      </c>
      <c r="L84" s="217" t="n">
        <f aca="false">L76</f>
        <v>-1053.5403330071</v>
      </c>
      <c r="M84" s="217" t="n">
        <f aca="false">M76</f>
        <v>1521.52342952488</v>
      </c>
      <c r="N84" s="217" t="n">
        <f aca="false">N76</f>
        <v>1649.7046575027</v>
      </c>
      <c r="O84" s="217" t="n">
        <f aca="false">O76</f>
        <v>1298.07287042895</v>
      </c>
      <c r="P84" s="217" t="n">
        <f aca="false">P76</f>
        <v>1106.12902419757</v>
      </c>
      <c r="Q84" s="217" t="n">
        <f aca="false">Q76</f>
        <v>1349.06031200911</v>
      </c>
      <c r="R84" s="217" t="n">
        <f aca="false">R76</f>
        <v>1462.91501684889</v>
      </c>
      <c r="S84" s="217" t="n">
        <f aca="false">S76</f>
        <v>893.45881702608</v>
      </c>
      <c r="T84" s="217" t="n">
        <f aca="false">T76</f>
        <v>682.78830552868</v>
      </c>
      <c r="U84" s="217" t="n">
        <f aca="false">U76</f>
        <v>2696.4695842772</v>
      </c>
      <c r="V84" s="217" t="n">
        <f aca="false">V76</f>
        <v>1019.20747547333</v>
      </c>
      <c r="W84" s="217" t="n">
        <f aca="false">W76</f>
        <v>-352.650637114721</v>
      </c>
      <c r="X84" s="217" t="n">
        <f aca="false">X76</f>
        <v>656.732292553242</v>
      </c>
      <c r="Y84" s="217" t="n">
        <f aca="false">Y76</f>
        <v>462.910467246183</v>
      </c>
      <c r="Z84" s="217" t="n">
        <f aca="false">Z76</f>
        <v>632.58708206658</v>
      </c>
      <c r="AA84" s="217" t="n">
        <f aca="false">AA76</f>
        <v>775.405938094449</v>
      </c>
      <c r="AB84" s="574" t="n">
        <f aca="false">SUM(E84:AA84)</f>
        <v>6647.02515413877</v>
      </c>
      <c r="AC84" s="641" t="n">
        <f aca="false">IF('Project &amp; Investor Returns'!$I$3=0,F84+NPV(Disc,G84:AA84),E84+NPV(Disc,F84:AA84))</f>
        <v>-9682.7830881133</v>
      </c>
      <c r="AE84" s="666"/>
      <c r="AF84" s="666"/>
      <c r="AG84" s="666"/>
      <c r="AH84" s="666"/>
      <c r="AI84" s="666"/>
      <c r="AJ84" s="666"/>
      <c r="AK84" s="666"/>
      <c r="AL84" s="666"/>
      <c r="AM84" s="666"/>
      <c r="AN84" s="666"/>
      <c r="AO84" s="666"/>
      <c r="AP84" s="666"/>
      <c r="AQ84" s="666"/>
      <c r="AR84" s="666"/>
      <c r="AS84" s="666"/>
      <c r="AT84" s="666"/>
      <c r="AU84" s="666"/>
      <c r="AV84" s="666"/>
      <c r="AW84" s="666"/>
      <c r="AX84" s="666"/>
      <c r="AY84" s="666"/>
      <c r="AZ84" s="666"/>
      <c r="BA84" s="666"/>
      <c r="BB84" s="666"/>
      <c r="BC84" s="666"/>
      <c r="BD84" s="666"/>
      <c r="BE84" s="666"/>
      <c r="BF84" s="666"/>
      <c r="BG84" s="666"/>
      <c r="BH84" s="666"/>
      <c r="BI84" s="666"/>
      <c r="BJ84" s="666"/>
      <c r="BK84" s="666"/>
      <c r="BL84" s="666"/>
      <c r="BM84" s="666"/>
      <c r="BN84" s="666"/>
      <c r="BO84" s="666"/>
      <c r="BP84" s="666"/>
      <c r="BQ84" s="666"/>
      <c r="BR84" s="666"/>
      <c r="BS84" s="666"/>
      <c r="BT84" s="666"/>
      <c r="BU84" s="666"/>
      <c r="BV84" s="666"/>
      <c r="BW84" s="666"/>
      <c r="BX84" s="666"/>
      <c r="BY84" s="666"/>
      <c r="BZ84" s="666"/>
      <c r="CA84" s="666"/>
      <c r="CB84" s="666"/>
      <c r="CC84" s="666"/>
      <c r="CD84" s="666"/>
      <c r="CE84" s="666"/>
      <c r="CF84" s="666"/>
      <c r="CG84" s="666"/>
      <c r="CH84" s="666"/>
      <c r="CI84" s="666"/>
      <c r="CJ84" s="666"/>
      <c r="CK84" s="666"/>
      <c r="CL84" s="666"/>
      <c r="CM84" s="666"/>
      <c r="CN84" s="666"/>
      <c r="CO84" s="666"/>
      <c r="CP84" s="666"/>
      <c r="CQ84" s="666"/>
      <c r="CR84" s="666"/>
      <c r="CS84" s="666"/>
      <c r="CT84" s="666"/>
      <c r="CU84" s="666"/>
      <c r="CV84" s="666"/>
      <c r="CW84" s="666"/>
      <c r="CX84" s="666"/>
      <c r="CY84" s="666"/>
      <c r="CZ84" s="666"/>
      <c r="DA84" s="666"/>
      <c r="DB84" s="666"/>
      <c r="DC84" s="666"/>
      <c r="DD84" s="666"/>
      <c r="DE84" s="666"/>
      <c r="DF84" s="666"/>
      <c r="DG84" s="666"/>
      <c r="DH84" s="666"/>
      <c r="DI84" s="666"/>
      <c r="DJ84" s="666"/>
      <c r="DK84" s="666"/>
      <c r="DL84" s="666"/>
      <c r="DM84" s="666"/>
      <c r="DN84" s="666"/>
      <c r="DO84" s="666"/>
      <c r="DP84" s="666"/>
      <c r="DQ84" s="666"/>
      <c r="DR84" s="666"/>
      <c r="DS84" s="666"/>
      <c r="DT84" s="666"/>
      <c r="DU84" s="666"/>
      <c r="DV84" s="666"/>
      <c r="DW84" s="666"/>
      <c r="DX84" s="666"/>
      <c r="DY84" s="666"/>
      <c r="DZ84" s="666"/>
      <c r="EA84" s="666"/>
      <c r="EB84" s="666"/>
      <c r="EC84" s="666"/>
      <c r="ED84" s="666"/>
      <c r="EE84" s="666"/>
      <c r="EF84" s="666"/>
      <c r="EG84" s="666"/>
      <c r="EH84" s="666"/>
      <c r="EI84" s="666"/>
      <c r="EJ84" s="666"/>
      <c r="EK84" s="666"/>
      <c r="EL84" s="666"/>
      <c r="EM84" s="666"/>
      <c r="EN84" s="666"/>
      <c r="EO84" s="666"/>
      <c r="EP84" s="666"/>
      <c r="EQ84" s="666"/>
      <c r="ER84" s="666"/>
      <c r="ES84" s="666"/>
      <c r="ET84" s="666"/>
      <c r="EU84" s="666"/>
      <c r="EV84" s="666"/>
      <c r="EW84" s="666"/>
      <c r="EX84" s="666"/>
      <c r="EY84" s="666"/>
      <c r="EZ84" s="666"/>
      <c r="FA84" s="666"/>
      <c r="FB84" s="666"/>
      <c r="FC84" s="666"/>
      <c r="FD84" s="666"/>
      <c r="FE84" s="666"/>
      <c r="FF84" s="666"/>
      <c r="FG84" s="666"/>
      <c r="FH84" s="666"/>
      <c r="FI84" s="666"/>
      <c r="FJ84" s="666"/>
      <c r="FK84" s="666"/>
      <c r="FL84" s="666"/>
      <c r="FM84" s="666"/>
      <c r="FN84" s="666"/>
      <c r="FO84" s="666"/>
      <c r="FP84" s="666"/>
      <c r="FQ84" s="666"/>
      <c r="FR84" s="666"/>
      <c r="FS84" s="666"/>
      <c r="FT84" s="666"/>
      <c r="FU84" s="666"/>
      <c r="FV84" s="666"/>
      <c r="FW84" s="666"/>
      <c r="FX84" s="666"/>
      <c r="FY84" s="666"/>
      <c r="FZ84" s="666"/>
      <c r="GA84" s="666"/>
      <c r="GB84" s="666"/>
      <c r="GC84" s="666"/>
      <c r="GD84" s="666"/>
      <c r="GE84" s="666"/>
      <c r="GF84" s="666"/>
      <c r="GG84" s="666"/>
      <c r="GH84" s="666"/>
      <c r="GI84" s="666"/>
      <c r="GJ84" s="666"/>
      <c r="GK84" s="666"/>
      <c r="GL84" s="666"/>
      <c r="GM84" s="666"/>
      <c r="GN84" s="666"/>
      <c r="GO84" s="666"/>
      <c r="GP84" s="666"/>
      <c r="GQ84" s="666"/>
      <c r="GR84" s="666"/>
      <c r="GS84" s="666"/>
      <c r="GT84" s="666"/>
      <c r="GU84" s="666"/>
      <c r="GV84" s="666"/>
      <c r="GW84" s="666"/>
      <c r="GX84" s="666"/>
      <c r="GY84" s="666"/>
      <c r="GZ84" s="666"/>
      <c r="HA84" s="666"/>
      <c r="HB84" s="666"/>
      <c r="HC84" s="666"/>
      <c r="HD84" s="666"/>
      <c r="HE84" s="666"/>
      <c r="HF84" s="666"/>
      <c r="HG84" s="666"/>
      <c r="HH84" s="666"/>
      <c r="HI84" s="666"/>
      <c r="HJ84" s="666"/>
      <c r="HK84" s="666"/>
      <c r="HL84" s="666"/>
      <c r="HM84" s="666"/>
      <c r="HN84" s="666"/>
      <c r="HO84" s="666"/>
      <c r="HP84" s="666"/>
      <c r="HQ84" s="666"/>
      <c r="HR84" s="666"/>
      <c r="HS84" s="666"/>
      <c r="HT84" s="666"/>
      <c r="HU84" s="666"/>
      <c r="HV84" s="666"/>
      <c r="HW84" s="666"/>
      <c r="HX84" s="666"/>
      <c r="HY84" s="666"/>
      <c r="HZ84" s="666"/>
      <c r="IA84" s="666"/>
      <c r="IB84" s="666"/>
      <c r="IC84" s="666"/>
      <c r="ID84" s="666"/>
      <c r="IE84" s="666"/>
      <c r="IF84" s="666"/>
      <c r="IG84" s="666"/>
      <c r="IH84" s="666"/>
      <c r="II84" s="666"/>
      <c r="IJ84" s="666"/>
      <c r="IK84" s="666"/>
      <c r="IL84" s="666"/>
      <c r="IM84" s="666"/>
      <c r="IN84" s="666"/>
      <c r="IO84" s="666"/>
      <c r="IP84" s="666"/>
      <c r="IQ84" s="666"/>
      <c r="IR84" s="666"/>
      <c r="IS84" s="666"/>
      <c r="IT84" s="666"/>
      <c r="IU84" s="666"/>
      <c r="IV84" s="666"/>
      <c r="IW84" s="666"/>
    </row>
    <row r="85" customFormat="false" ht="12.75" hidden="false" customHeight="false" outlineLevel="0" collapsed="false">
      <c r="A85" s="659" t="n">
        <f aca="false">A71</f>
        <v>0.125</v>
      </c>
      <c r="B85" s="38" t="s">
        <v>929</v>
      </c>
      <c r="E85" s="217" t="n">
        <f aca="false">-HLOOKUP(DATE(E$7,12,31),Idc_Table,IDC!$BB$49)*$A85-SUM($D85:D85)</f>
        <v>-0</v>
      </c>
      <c r="F85" s="217" t="n">
        <f aca="false">-HLOOKUP(DATE(F$7,12,31),Idc_Table,IDC!$BB$49)*$A85-SUM($D85:E85)</f>
        <v>-0</v>
      </c>
      <c r="G85" s="217" t="n">
        <f aca="false">-HLOOKUP(DATE(G$7,12,31),Idc_Table,IDC!$BB$49)*$A85-SUM($D85:F85)</f>
        <v>-0</v>
      </c>
      <c r="H85" s="217" t="n">
        <f aca="false">-HLOOKUP(DATE(H$7,12,31),Idc_Table,IDC!$BB$49)*$A85-SUM($D85:G85)</f>
        <v>-4671.09493833856</v>
      </c>
      <c r="I85" s="217" t="n">
        <f aca="false">-HLOOKUP(DATE(I$7,12,31),Idc_Table,IDC!$BB$49)*$A85-SUM($D85:H85)</f>
        <v>-1547.63169575627</v>
      </c>
      <c r="J85" s="217" t="n">
        <f aca="false">-HLOOKUP(DATE(J$7,12,31),Idc_Table,IDC!$BB$49)*$A85-SUM($D85:I85)</f>
        <v>0</v>
      </c>
      <c r="K85" s="217" t="n">
        <f aca="false">-HLOOKUP(DATE(K$7,12,31),Idc_Table,IDC!$BB$49)*$A85-SUM($D85:J85)</f>
        <v>0</v>
      </c>
      <c r="L85" s="217" t="n">
        <f aca="false">-HLOOKUP(DATE(L$7,12,31),Idc_Table,IDC!$BB$49)*$A85-SUM($D85:K85)</f>
        <v>0</v>
      </c>
      <c r="M85" s="217" t="n">
        <f aca="false">-HLOOKUP(DATE(M$7,12,31),Idc_Table,IDC!$BB$49)*$A85-SUM($D85:L85)</f>
        <v>0</v>
      </c>
      <c r="N85" s="217" t="n">
        <f aca="false">-HLOOKUP(DATE(N$7,12,31),Idc_Table,IDC!$BB$49)*$A85-SUM($D85:M85)</f>
        <v>0</v>
      </c>
      <c r="O85" s="217" t="n">
        <f aca="false">-HLOOKUP(DATE(O$7,12,31),Idc_Table,IDC!$BB$49)*$A85-SUM($D85:N85)</f>
        <v>0</v>
      </c>
      <c r="P85" s="217" t="n">
        <f aca="false">-HLOOKUP(DATE(P$7,12,31),Idc_Table,IDC!$BB$49)*$A85-SUM($D85:O85)</f>
        <v>0</v>
      </c>
      <c r="Q85" s="217" t="n">
        <f aca="false">-HLOOKUP(DATE(Q$7,12,31),Idc_Table,IDC!$BB$49)*$A85-SUM($D85:P85)</f>
        <v>0</v>
      </c>
      <c r="R85" s="217" t="n">
        <f aca="false">-HLOOKUP(DATE(R$7,12,31),Idc_Table,IDC!$BB$49)*$A85-SUM($D85:Q85)</f>
        <v>0</v>
      </c>
      <c r="S85" s="217" t="n">
        <f aca="false">-HLOOKUP(DATE(S$7,12,31),Idc_Table,IDC!$BB$49)*$A85-SUM($D85:R85)</f>
        <v>0</v>
      </c>
      <c r="T85" s="217" t="n">
        <f aca="false">-HLOOKUP(DATE(T$7,12,31),Idc_Table,IDC!$BB$49)*$A85-SUM($D85:S85)</f>
        <v>0</v>
      </c>
      <c r="U85" s="217" t="n">
        <f aca="false">-HLOOKUP(DATE(U$7,12,31),Idc_Table,IDC!$BB$49)*$A85-SUM($D85:T85)</f>
        <v>0</v>
      </c>
      <c r="V85" s="217" t="n">
        <f aca="false">-HLOOKUP(DATE(V$7,12,31),Idc_Table,IDC!$BB$49)*$A85-SUM($D85:U85)</f>
        <v>0</v>
      </c>
      <c r="W85" s="217" t="n">
        <f aca="false">-HLOOKUP(DATE(W$7,12,31),Idc_Table,IDC!$BB$49)*$A85-SUM($D85:V85)</f>
        <v>0</v>
      </c>
      <c r="X85" s="217" t="n">
        <f aca="false">-HLOOKUP(DATE(X$7,12,31),Idc_Table,IDC!$BB$49)*$A85-SUM($D85:W85)</f>
        <v>0</v>
      </c>
      <c r="Y85" s="217" t="n">
        <f aca="false">-HLOOKUP(DATE(Y$7,12,31),Idc_Table,IDC!$BB$49)*$A85-SUM($D85:X85)</f>
        <v>0</v>
      </c>
      <c r="Z85" s="217" t="n">
        <f aca="false">-HLOOKUP(DATE(Z$7,12,31),Idc_Table,IDC!$BB$49)*$A85-SUM($D85:Y85)</f>
        <v>0</v>
      </c>
      <c r="AA85" s="217" t="n">
        <f aca="false">-HLOOKUP(DATE(AA$7,12,31),Idc_Table,IDC!$BB$49)*$A85-SUM($D85:Z85)</f>
        <v>0</v>
      </c>
      <c r="AB85" s="574" t="n">
        <f aca="false">SUM(E85:AA85)</f>
        <v>-6218.72663409483</v>
      </c>
      <c r="AC85" s="641" t="n">
        <f aca="false">IF('Project &amp; Investor Returns'!$I$3=0,F85+NPV(Disc,G85:AA85),E85+NPV(Disc,F85:AA85))</f>
        <v>-4216.95203383132</v>
      </c>
    </row>
    <row r="86" customFormat="false" ht="12.75" hidden="false" customHeight="false" outlineLevel="0" collapsed="false">
      <c r="A86" s="659"/>
      <c r="B86" s="38" t="s">
        <v>903</v>
      </c>
      <c r="E86" s="610" t="n">
        <f aca="false">IF(E$7&lt;YEAR(Startops1),0,-HLOOKUP(E$7,CF_Table,CF!$AB$71)*$A85)</f>
        <v>0</v>
      </c>
      <c r="F86" s="610" t="n">
        <f aca="false">IF(F$7&lt;YEAR(Startops1),0,-HLOOKUP(F$7,CF_Table,CF!$AB$71)*$A85)</f>
        <v>0</v>
      </c>
      <c r="G86" s="610" t="n">
        <f aca="false">IF(G$7&lt;YEAR(Startops1),0,-HLOOKUP(G$7,CF_Table,CF!$AB$71)*$A85)</f>
        <v>0</v>
      </c>
      <c r="H86" s="610" t="n">
        <f aca="false">IF(H$7&lt;YEAR(Startops1),0,-HLOOKUP(H$7,CF_Table,CF!$AB$71)*$A85)</f>
        <v>0</v>
      </c>
      <c r="I86" s="610" t="n">
        <f aca="false">IF(I$7&lt;YEAR(Startops1),0,-HLOOKUP(I$7,CF_Table,CF!$AB$71)*$A85)</f>
        <v>0</v>
      </c>
      <c r="J86" s="610" t="n">
        <f aca="false">IF(J$7&lt;YEAR(Startops1),0,-HLOOKUP(J$7,CF_Table,CF!$AB$71)*$A85)</f>
        <v>278.551298609462</v>
      </c>
      <c r="K86" s="610" t="n">
        <f aca="false">IF(K$7&lt;YEAR(Startops1),0,-HLOOKUP(K$7,CF_Table,CF!$AB$71)*$A85)</f>
        <v>315.939846665318</v>
      </c>
      <c r="L86" s="610" t="n">
        <f aca="false">IF(L$7&lt;YEAR(Startops1),0,-HLOOKUP(L$7,CF_Table,CF!$AB$71)*$A85)</f>
        <v>358.34687258397</v>
      </c>
      <c r="M86" s="610" t="n">
        <f aca="false">IF(M$7&lt;YEAR(Startops1),0,-HLOOKUP(M$7,CF_Table,CF!$AB$71)*$A85)</f>
        <v>406.445981556553</v>
      </c>
      <c r="N86" s="610" t="n">
        <f aca="false">IF(N$7&lt;YEAR(Startops1),0,-HLOOKUP(N$7,CF_Table,CF!$AB$71)*$A85)</f>
        <v>461.001193430981</v>
      </c>
      <c r="O86" s="610" t="n">
        <f aca="false">IF(O$7&lt;YEAR(Startops1),0,-HLOOKUP(O$7,CF_Table,CF!$AB$71)*$A85)</f>
        <v>522.879078619255</v>
      </c>
      <c r="P86" s="610" t="n">
        <f aca="false">IF(P$7&lt;YEAR(Startops1),0,-HLOOKUP(P$7,CF_Table,CF!$AB$71)*$A85)</f>
        <v>593.062522946924</v>
      </c>
      <c r="Q86" s="610" t="n">
        <f aca="false">IF(Q$7&lt;YEAR(Startops1),0,-HLOOKUP(Q$7,CF_Table,CF!$AB$71)*$A85)</f>
        <v>672.666340089475</v>
      </c>
      <c r="R86" s="610" t="n">
        <f aca="false">IF(R$7&lt;YEAR(Startops1),0,-HLOOKUP(R$7,CF_Table,CF!$AB$71)*$A85)</f>
        <v>762.954979587985</v>
      </c>
      <c r="S86" s="610" t="n">
        <f aca="false">IF(S$7&lt;YEAR(Startops1),0,-HLOOKUP(S$7,CF_Table,CF!$AB$71)*$A85)</f>
        <v>865.362611723183</v>
      </c>
      <c r="T86" s="610" t="n">
        <f aca="false">IF(T$7&lt;YEAR(Startops1),0,-HLOOKUP(T$7,CF_Table,CF!$AB$71)*$A85)</f>
        <v>981.515908281727</v>
      </c>
      <c r="U86" s="610" t="n">
        <f aca="false">IF(U$7&lt;YEAR(Startops1),0,-HLOOKUP(U$7,CF_Table,CF!$AB$71)*$A85)</f>
        <v>0</v>
      </c>
      <c r="V86" s="610" t="n">
        <f aca="false">IF(V$7&lt;YEAR(Startops1),0,-HLOOKUP(V$7,CF_Table,CF!$AB$71)*$A85)</f>
        <v>0</v>
      </c>
      <c r="W86" s="610" t="n">
        <f aca="false">IF(W$7&lt;YEAR(Startops1),0,-HLOOKUP(W$7,CF_Table,CF!$AB$71)*$A85)</f>
        <v>0</v>
      </c>
      <c r="X86" s="610" t="n">
        <f aca="false">IF(X$7&lt;YEAR(Startops1),0,-HLOOKUP(X$7,CF_Table,CF!$AB$71)*$A85)</f>
        <v>0</v>
      </c>
      <c r="Y86" s="610" t="n">
        <f aca="false">IF(Y$7&lt;YEAR(Startops1),0,-HLOOKUP(Y$7,CF_Table,CF!$AB$71)*$A85)</f>
        <v>0</v>
      </c>
      <c r="Z86" s="610" t="n">
        <f aca="false">IF(Z$7&lt;YEAR(Startops1),0,-HLOOKUP(Z$7,CF_Table,CF!$AB$71)*$A85)</f>
        <v>0</v>
      </c>
      <c r="AA86" s="610" t="n">
        <f aca="false">IF(AA$7&lt;YEAR(Startops1),0,-HLOOKUP(AA$7,CF_Table,CF!$AB$71)*$A85)</f>
        <v>0</v>
      </c>
      <c r="AB86" s="574" t="n">
        <f aca="false">SUM(E86:AA86)</f>
        <v>6218.72663409483</v>
      </c>
      <c r="AC86" s="641" t="n">
        <f aca="false">IF('Project &amp; Investor Returns'!$I$3=0,F86+NPV(Disc,G86:AA86),E86+NPV(Disc,F86:AA86))</f>
        <v>1215.80373230842</v>
      </c>
    </row>
    <row r="87" customFormat="false" ht="12.75" hidden="false" customHeight="false" outlineLevel="0" collapsed="false">
      <c r="A87" s="37"/>
      <c r="B87" s="38" t="s">
        <v>904</v>
      </c>
      <c r="D87" s="263" t="s">
        <v>407</v>
      </c>
      <c r="E87" s="610" t="n">
        <f aca="false">IF(E$7&lt;YEAR(Startops1),0,-HLOOKUP(E$7,CF_Table,CF!$AB$45)*$A85)</f>
        <v>0</v>
      </c>
      <c r="F87" s="610" t="n">
        <f aca="false">IF(F$7&lt;YEAR(Startops1),0,-HLOOKUP(F$7,CF_Table,CF!$AB$45)*$A85)</f>
        <v>0</v>
      </c>
      <c r="G87" s="610" t="n">
        <f aca="false">IF(G$7&lt;YEAR(Startops1),0,-HLOOKUP(G$7,CF_Table,CF!$AB$45)*$A85)</f>
        <v>0</v>
      </c>
      <c r="H87" s="610" t="n">
        <f aca="false">IF(H$7&lt;YEAR(Startops1),0,-HLOOKUP(H$7,CF_Table,CF!$AB$45)*$A85)</f>
        <v>0</v>
      </c>
      <c r="I87" s="610" t="n">
        <f aca="false">IF(I$7&lt;YEAR(Startops1),0,-HLOOKUP(I$7,CF_Table,CF!$AB$45)*$A85)</f>
        <v>336.847692680137</v>
      </c>
      <c r="J87" s="610" t="n">
        <f aca="false">IF(J$7&lt;YEAR(Startops1),0,-HLOOKUP(J$7,CF_Table,CF!$AB$45)*$A85)</f>
        <v>799.666503880457</v>
      </c>
      <c r="K87" s="610" t="n">
        <f aca="false">IF(K$7&lt;YEAR(Startops1),0,-HLOOKUP(K$7,CF_Table,CF!$AB$45)*$A85)</f>
        <v>762.277955824602</v>
      </c>
      <c r="L87" s="610" t="n">
        <f aca="false">IF(L$7&lt;YEAR(Startops1),0,-HLOOKUP(L$7,CF_Table,CF!$AB$45)*$A85)</f>
        <v>719.870929905949</v>
      </c>
      <c r="M87" s="610" t="n">
        <f aca="false">IF(M$7&lt;YEAR(Startops1),0,-HLOOKUP(M$7,CF_Table,CF!$AB$45)*$A85)</f>
        <v>671.771820933366</v>
      </c>
      <c r="N87" s="610" t="n">
        <f aca="false">IF(N$7&lt;YEAR(Startops1),0,-HLOOKUP(N$7,CF_Table,CF!$AB$45)*$A85)</f>
        <v>617.216609058938</v>
      </c>
      <c r="O87" s="610" t="n">
        <f aca="false">IF(O$7&lt;YEAR(Startops1),0,-HLOOKUP(O$7,CF_Table,CF!$AB$45)*$A85)</f>
        <v>555.338723870664</v>
      </c>
      <c r="P87" s="610" t="n">
        <f aca="false">IF(P$7&lt;YEAR(Startops1),0,-HLOOKUP(P$7,CF_Table,CF!$AB$45)*$A85)</f>
        <v>485.155279542995</v>
      </c>
      <c r="Q87" s="610" t="n">
        <f aca="false">IF(Q$7&lt;YEAR(Startops1),0,-HLOOKUP(Q$7,CF_Table,CF!$AB$45)*$A85)</f>
        <v>405.551462400444</v>
      </c>
      <c r="R87" s="610" t="n">
        <f aca="false">IF(R$7&lt;YEAR(Startops1),0,-HLOOKUP(R$7,CF_Table,CF!$AB$45)*$A85)</f>
        <v>315.262822901934</v>
      </c>
      <c r="S87" s="610" t="n">
        <f aca="false">IF(S$7&lt;YEAR(Startops1),0,-HLOOKUP(S$7,CF_Table,CF!$AB$45)*$A85)</f>
        <v>212.855190766737</v>
      </c>
      <c r="T87" s="610" t="n">
        <f aca="false">IF(T$7&lt;YEAR(Startops1),0,-HLOOKUP(T$7,CF_Table,CF!$AB$45)*$A85)</f>
        <v>96.7018942081924</v>
      </c>
      <c r="U87" s="610" t="n">
        <f aca="false">IF(U$7&lt;YEAR(Startops1),0,-HLOOKUP(U$7,CF_Table,CF!$AB$45)*$A85)</f>
        <v>0</v>
      </c>
      <c r="V87" s="610" t="n">
        <f aca="false">IF(V$7&lt;YEAR(Startops1),0,-HLOOKUP(V$7,CF_Table,CF!$AB$45)*$A85)</f>
        <v>0</v>
      </c>
      <c r="W87" s="610" t="n">
        <f aca="false">IF(W$7&lt;YEAR(Startops1),0,-HLOOKUP(W$7,CF_Table,CF!$AB$45)*$A85)</f>
        <v>0</v>
      </c>
      <c r="X87" s="610" t="n">
        <f aca="false">IF(X$7&lt;YEAR(Startops1),0,-HLOOKUP(X$7,CF_Table,CF!$AB$45)*$A85)</f>
        <v>0</v>
      </c>
      <c r="Y87" s="610" t="n">
        <f aca="false">IF(Y$7&lt;YEAR(Startops1),0,-HLOOKUP(Y$7,CF_Table,CF!$AB$45)*$A85)</f>
        <v>0</v>
      </c>
      <c r="Z87" s="610" t="n">
        <f aca="false">IF(Z$7&lt;YEAR(Startops1),0,-HLOOKUP(Z$7,CF_Table,CF!$AB$45)*$A85)</f>
        <v>0</v>
      </c>
      <c r="AA87" s="610" t="n">
        <f aca="false">IF(AA$7&lt;YEAR(Startops1),0,-HLOOKUP(AA$7,CF_Table,CF!$AB$45)*$A85)</f>
        <v>0</v>
      </c>
      <c r="AB87" s="574" t="n">
        <f aca="false">SUM(E87:AA87)</f>
        <v>5978.51688597441</v>
      </c>
      <c r="AC87" s="641" t="n">
        <f aca="false">IF('Project &amp; Investor Returns'!$I$3=0,F87+NPV(Disc,G87:AA87),E87+NPV(Disc,F87:AA87))</f>
        <v>1854.69094683335</v>
      </c>
      <c r="AG87" s="667"/>
    </row>
    <row r="88" customFormat="false" ht="12.75" hidden="false" customHeight="false" outlineLevel="0" collapsed="false">
      <c r="A88" s="37"/>
      <c r="B88" s="38" t="s">
        <v>938</v>
      </c>
      <c r="C88" s="293" t="n">
        <f aca="false">Wh_Int</f>
        <v>0.15</v>
      </c>
      <c r="D88" s="263" t="s">
        <v>407</v>
      </c>
      <c r="E88" s="610" t="n">
        <f aca="false">Wh_Int*-E87</f>
        <v>-0</v>
      </c>
      <c r="F88" s="610" t="n">
        <f aca="false">Wh_Int*-F87</f>
        <v>-0</v>
      </c>
      <c r="G88" s="610" t="n">
        <f aca="false">Wh_Int*-G87</f>
        <v>-0</v>
      </c>
      <c r="H88" s="610" t="n">
        <f aca="false">Wh_Int*-H87</f>
        <v>-0</v>
      </c>
      <c r="I88" s="610" t="n">
        <f aca="false">Wh_Int*-I87</f>
        <v>-50.5271539020205</v>
      </c>
      <c r="J88" s="610" t="n">
        <f aca="false">Wh_Int*-J87</f>
        <v>-119.949975582069</v>
      </c>
      <c r="K88" s="610" t="n">
        <f aca="false">Wh_Int*-K87</f>
        <v>-114.34169337369</v>
      </c>
      <c r="L88" s="610" t="n">
        <f aca="false">Wh_Int*-L87</f>
        <v>-107.980639485892</v>
      </c>
      <c r="M88" s="610" t="n">
        <f aca="false">Wh_Int*-M87</f>
        <v>-100.765773140005</v>
      </c>
      <c r="N88" s="610" t="n">
        <f aca="false">Wh_Int*-N87</f>
        <v>-92.5824913588407</v>
      </c>
      <c r="O88" s="610" t="n">
        <f aca="false">Wh_Int*-O87</f>
        <v>-83.3008085805996</v>
      </c>
      <c r="P88" s="610" t="n">
        <f aca="false">Wh_Int*-P87</f>
        <v>-72.7732919314492</v>
      </c>
      <c r="Q88" s="610" t="n">
        <f aca="false">Wh_Int*-Q87</f>
        <v>-60.8327193600666</v>
      </c>
      <c r="R88" s="610" t="n">
        <f aca="false">Wh_Int*-R87</f>
        <v>-47.2894234352901</v>
      </c>
      <c r="S88" s="610" t="n">
        <f aca="false">Wh_Int*-S87</f>
        <v>-31.9282786150105</v>
      </c>
      <c r="T88" s="610" t="n">
        <f aca="false">Wh_Int*-T87</f>
        <v>-14.5052841312289</v>
      </c>
      <c r="U88" s="610" t="n">
        <f aca="false">Wh_Int*-U87</f>
        <v>-0</v>
      </c>
      <c r="V88" s="610" t="n">
        <f aca="false">Wh_Int*-V87</f>
        <v>-0</v>
      </c>
      <c r="W88" s="610" t="n">
        <f aca="false">Wh_Int*-W87</f>
        <v>-0</v>
      </c>
      <c r="X88" s="610" t="n">
        <f aca="false">Wh_Int*-X87</f>
        <v>-0</v>
      </c>
      <c r="Y88" s="610" t="n">
        <f aca="false">Wh_Int*-Y87</f>
        <v>-0</v>
      </c>
      <c r="Z88" s="610" t="n">
        <f aca="false">Wh_Int*-Z87</f>
        <v>-0</v>
      </c>
      <c r="AA88" s="610" t="n">
        <f aca="false">Wh_Int*-AA87</f>
        <v>-0</v>
      </c>
      <c r="AB88" s="574" t="n">
        <f aca="false">SUM(E88:AA88)</f>
        <v>-896.777532896162</v>
      </c>
      <c r="AC88" s="641" t="n">
        <f aca="false">IF('Project &amp; Investor Returns'!$I$3=0,F88+NPV(Disc,G88:AA88),E88+NPV(Disc,F88:AA88))</f>
        <v>-278.203642025003</v>
      </c>
      <c r="AG88" s="667"/>
    </row>
    <row r="89" customFormat="false" ht="12.75" hidden="false" customHeight="false" outlineLevel="0" collapsed="false">
      <c r="A89" s="37"/>
      <c r="B89" s="38" t="s">
        <v>905</v>
      </c>
      <c r="D89" s="263"/>
      <c r="E89" s="217" t="n">
        <f aca="false">IF(E7=YEAR(Assm!$AB$94),-Assm!$AB$101,0)</f>
        <v>0</v>
      </c>
      <c r="F89" s="610" t="n">
        <f aca="false">IF(F7=YEAR(Assm!$AB$94),-Assm!$AB$101,0)</f>
        <v>0</v>
      </c>
      <c r="G89" s="610" t="n">
        <f aca="false">IF(G7=YEAR(Assm!$AB$94),-Assm!$AB$101,0)</f>
        <v>0</v>
      </c>
      <c r="H89" s="610" t="n">
        <f aca="false">IF(H7=YEAR(Assm!$AB$94),-Assm!$AB$101,0)</f>
        <v>0</v>
      </c>
      <c r="I89" s="610" t="n">
        <f aca="false">IF(I7=YEAR(Assm!$AB$94),-Assm!$AB$101,0)</f>
        <v>-0</v>
      </c>
      <c r="J89" s="610" t="n">
        <f aca="false">IF(J7=YEAR(Assm!$AB$94),-Assm!$AB$101,0)</f>
        <v>0</v>
      </c>
      <c r="K89" s="610" t="n">
        <f aca="false">IF(K7=YEAR(Assm!$AB$94),-Assm!$AB$101,0)</f>
        <v>0</v>
      </c>
      <c r="L89" s="610" t="n">
        <f aca="false">IF(L7=YEAR(Assm!$AB$94),-Assm!$AB$101,0)</f>
        <v>0</v>
      </c>
      <c r="M89" s="610" t="n">
        <f aca="false">IF(M7=YEAR(Assm!$AB$94),-Assm!$AB$101,0)</f>
        <v>0</v>
      </c>
      <c r="N89" s="610" t="n">
        <f aca="false">IF(N7=YEAR(Assm!$AB$94),-Assm!$AB$101,0)</f>
        <v>0</v>
      </c>
      <c r="O89" s="610" t="n">
        <f aca="false">IF(O7=YEAR(Assm!$AB$94),-Assm!$AB$101,0)</f>
        <v>0</v>
      </c>
      <c r="P89" s="610" t="n">
        <f aca="false">IF(P7=YEAR(Assm!$AB$94),-Assm!$AB$101,0)</f>
        <v>0</v>
      </c>
      <c r="Q89" s="610" t="n">
        <f aca="false">IF(Q7=YEAR(Assm!$AB$94),-Assm!$AB$101,0)</f>
        <v>0</v>
      </c>
      <c r="R89" s="610" t="n">
        <f aca="false">IF(R7=YEAR(Assm!$AB$94),-Assm!$AB$101,0)</f>
        <v>0</v>
      </c>
      <c r="S89" s="610" t="n">
        <f aca="false">IF(S7=YEAR(Assm!$AB$94),-Assm!$AB$101,0)</f>
        <v>0</v>
      </c>
      <c r="T89" s="610" t="n">
        <f aca="false">IF(T7=YEAR(Assm!$AB$94),-Assm!$AB$101,0)</f>
        <v>0</v>
      </c>
      <c r="U89" s="610" t="n">
        <f aca="false">IF(U7=YEAR(Assm!$AB$94),-Assm!$AB$101,0)</f>
        <v>0</v>
      </c>
      <c r="V89" s="610" t="n">
        <f aca="false">IF(V7=YEAR(Assm!$AB$94),-Assm!$AB$101,0)</f>
        <v>0</v>
      </c>
      <c r="W89" s="610" t="n">
        <f aca="false">IF(W7=YEAR(Assm!$AB$94),-Assm!$AB$101,0)</f>
        <v>0</v>
      </c>
      <c r="X89" s="610" t="n">
        <f aca="false">IF(X7=YEAR(Assm!$AB$94),-Assm!$AB$101,0)</f>
        <v>0</v>
      </c>
      <c r="Y89" s="610" t="n">
        <f aca="false">IF(Y7=YEAR(Assm!$AB$94),-Assm!$AB$101,0)</f>
        <v>0</v>
      </c>
      <c r="Z89" s="610" t="n">
        <f aca="false">IF(Z7=YEAR(Assm!$AB$94),-Assm!$AB$101,0)</f>
        <v>0</v>
      </c>
      <c r="AA89" s="610" t="n">
        <f aca="false">IF(AA7=YEAR(Assm!$AB$94),-Assm!$AB$101,0)</f>
        <v>0</v>
      </c>
      <c r="AB89" s="574" t="n">
        <f aca="false">SUM(E89:AA89)</f>
        <v>0</v>
      </c>
      <c r="AC89" s="641" t="n">
        <f aca="false">IF('Project &amp; Investor Returns'!$I$3=0,F89+NPV(Disc,G89:AA89),E89+NPV(Disc,F89:AA89))</f>
        <v>0</v>
      </c>
      <c r="AG89" s="667"/>
    </row>
    <row r="90" customFormat="false" ht="12.75" hidden="false" customHeight="false" outlineLevel="0" collapsed="false">
      <c r="A90" s="302"/>
      <c r="B90" s="38" t="s">
        <v>906</v>
      </c>
      <c r="C90" s="306" t="n">
        <f aca="false">USTax</f>
        <v>0.37</v>
      </c>
      <c r="D90" s="79"/>
      <c r="E90" s="220" t="n">
        <f aca="false">-SUM(E87:E88)*USTax</f>
        <v>-0</v>
      </c>
      <c r="F90" s="220" t="n">
        <f aca="false">-SUM(F87:F88)*USTax</f>
        <v>-0</v>
      </c>
      <c r="G90" s="220" t="n">
        <f aca="false">-SUM(G87:G88)*USTax</f>
        <v>-0</v>
      </c>
      <c r="H90" s="220" t="n">
        <f aca="false">-SUM(H87:H88)*USTax</f>
        <v>-0</v>
      </c>
      <c r="I90" s="220" t="n">
        <f aca="false">-SUM(I87:I88)*USTax</f>
        <v>-105.938599347903</v>
      </c>
      <c r="J90" s="220" t="n">
        <f aca="false">-SUM(J87:J88)*USTax</f>
        <v>-251.495115470404</v>
      </c>
      <c r="K90" s="220" t="n">
        <f aca="false">-SUM(K87:K88)*USTax</f>
        <v>-239.736417106837</v>
      </c>
      <c r="L90" s="220" t="n">
        <f aca="false">-SUM(L87:L88)*USTax</f>
        <v>-226.399407455421</v>
      </c>
      <c r="M90" s="220" t="n">
        <f aca="false">-SUM(M87:M88)*USTax</f>
        <v>-211.272237683544</v>
      </c>
      <c r="N90" s="220" t="n">
        <f aca="false">-SUM(N87:N88)*USTax</f>
        <v>-194.114623549036</v>
      </c>
      <c r="O90" s="220" t="n">
        <f aca="false">-SUM(O87:O88)*USTax</f>
        <v>-174.654028657324</v>
      </c>
      <c r="P90" s="220" t="n">
        <f aca="false">-SUM(P87:P88)*USTax</f>
        <v>-152.581335416272</v>
      </c>
      <c r="Q90" s="220" t="n">
        <f aca="false">-SUM(Q87:Q88)*USTax</f>
        <v>-127.54593492494</v>
      </c>
      <c r="R90" s="220" t="n">
        <f aca="false">-SUM(R87:R88)*USTax</f>
        <v>-99.1501578026582</v>
      </c>
      <c r="S90" s="220" t="n">
        <f aca="false">-SUM(S87:S88)*USTax</f>
        <v>-66.9429574961387</v>
      </c>
      <c r="T90" s="220" t="n">
        <f aca="false">-SUM(T87:T88)*USTax</f>
        <v>-30.4127457284765</v>
      </c>
      <c r="U90" s="220" t="n">
        <f aca="false">-SUM(U87:U88)*USTax</f>
        <v>-0</v>
      </c>
      <c r="V90" s="220" t="n">
        <f aca="false">-SUM(V87:V88)*USTax</f>
        <v>-0</v>
      </c>
      <c r="W90" s="220" t="n">
        <f aca="false">-SUM(W87:W88)*USTax</f>
        <v>-0</v>
      </c>
      <c r="X90" s="220" t="n">
        <f aca="false">-SUM(X87:X88)*USTax</f>
        <v>-0</v>
      </c>
      <c r="Y90" s="220" t="n">
        <f aca="false">-SUM(Y87:Y88)*USTax</f>
        <v>-0</v>
      </c>
      <c r="Z90" s="220" t="n">
        <f aca="false">-SUM(Z87:Z88)*USTax</f>
        <v>-0</v>
      </c>
      <c r="AA90" s="220" t="n">
        <f aca="false">-SUM(AA87:AA88)*USTax</f>
        <v>-0</v>
      </c>
      <c r="AB90" s="576" t="n">
        <f aca="false">SUM(E90:AA90)</f>
        <v>-1880.24356063895</v>
      </c>
      <c r="AC90" s="643" t="n">
        <f aca="false">IF('Project &amp; Investor Returns'!$I$3=0,F90+NPV(Disc,G90:AA90),E90+NPV(Disc,F90:AA90))</f>
        <v>-583.30030277909</v>
      </c>
      <c r="AE90" s="414"/>
      <c r="AF90" s="414"/>
      <c r="AG90" s="667"/>
      <c r="AH90" s="414"/>
      <c r="AI90" s="414"/>
      <c r="AJ90" s="414"/>
      <c r="AK90" s="414"/>
      <c r="AL90" s="414"/>
      <c r="AM90" s="414"/>
      <c r="AN90" s="414"/>
      <c r="AO90" s="414"/>
      <c r="AP90" s="414"/>
      <c r="AQ90" s="414"/>
      <c r="AR90" s="414"/>
      <c r="AS90" s="414"/>
      <c r="AT90" s="414"/>
      <c r="AU90" s="414"/>
      <c r="AV90" s="414"/>
      <c r="AW90" s="414"/>
      <c r="AX90" s="414"/>
      <c r="AY90" s="414"/>
      <c r="AZ90" s="414"/>
      <c r="BA90" s="414"/>
      <c r="BB90" s="414"/>
      <c r="BC90" s="414"/>
      <c r="BD90" s="414"/>
      <c r="BE90" s="414"/>
      <c r="BF90" s="414"/>
      <c r="BG90" s="414"/>
      <c r="BH90" s="414"/>
      <c r="BI90" s="414"/>
      <c r="BJ90" s="414"/>
      <c r="BK90" s="414"/>
      <c r="BL90" s="414"/>
      <c r="BM90" s="414"/>
      <c r="BN90" s="414"/>
      <c r="BO90" s="414"/>
      <c r="BP90" s="414"/>
      <c r="BQ90" s="414"/>
      <c r="BR90" s="414"/>
      <c r="BS90" s="414"/>
      <c r="BT90" s="414"/>
      <c r="BU90" s="414"/>
      <c r="BV90" s="414"/>
      <c r="BW90" s="414"/>
      <c r="BX90" s="414"/>
      <c r="BY90" s="414"/>
      <c r="BZ90" s="414"/>
      <c r="CA90" s="414"/>
      <c r="CB90" s="414"/>
      <c r="CC90" s="414"/>
      <c r="CD90" s="414"/>
      <c r="CE90" s="414"/>
      <c r="CF90" s="414"/>
      <c r="CG90" s="414"/>
      <c r="CH90" s="414"/>
      <c r="CI90" s="414"/>
      <c r="CJ90" s="414"/>
      <c r="CK90" s="414"/>
      <c r="CL90" s="414"/>
      <c r="CM90" s="414"/>
      <c r="CN90" s="414"/>
      <c r="CO90" s="414"/>
      <c r="CP90" s="414"/>
      <c r="CQ90" s="414"/>
      <c r="CR90" s="414"/>
      <c r="CS90" s="414"/>
      <c r="CT90" s="414"/>
      <c r="CU90" s="414"/>
      <c r="CV90" s="414"/>
      <c r="CW90" s="414"/>
      <c r="CX90" s="414"/>
      <c r="CY90" s="414"/>
      <c r="CZ90" s="414"/>
      <c r="DA90" s="414"/>
      <c r="DB90" s="414"/>
      <c r="DC90" s="414"/>
      <c r="DD90" s="414"/>
      <c r="DE90" s="414"/>
      <c r="DF90" s="414"/>
      <c r="DG90" s="414"/>
      <c r="DH90" s="414"/>
      <c r="DI90" s="414"/>
      <c r="DJ90" s="414"/>
      <c r="DK90" s="414"/>
      <c r="DL90" s="414"/>
      <c r="DM90" s="414"/>
      <c r="DN90" s="414"/>
      <c r="DO90" s="414"/>
      <c r="DP90" s="414"/>
      <c r="DQ90" s="414"/>
      <c r="DR90" s="414"/>
      <c r="DS90" s="414"/>
      <c r="DT90" s="414"/>
      <c r="DU90" s="414"/>
      <c r="DV90" s="414"/>
      <c r="DW90" s="414"/>
      <c r="DX90" s="414"/>
      <c r="DY90" s="414"/>
      <c r="DZ90" s="414"/>
      <c r="EA90" s="414"/>
      <c r="EB90" s="414"/>
      <c r="EC90" s="414"/>
      <c r="ED90" s="414"/>
      <c r="EE90" s="414"/>
      <c r="EF90" s="414"/>
      <c r="EG90" s="414"/>
      <c r="EH90" s="414"/>
      <c r="EI90" s="414"/>
      <c r="EJ90" s="414"/>
      <c r="EK90" s="414"/>
      <c r="EL90" s="414"/>
      <c r="EM90" s="414"/>
      <c r="EN90" s="414"/>
      <c r="EO90" s="414"/>
      <c r="EP90" s="414"/>
      <c r="EQ90" s="414"/>
      <c r="ER90" s="414"/>
      <c r="ES90" s="414"/>
      <c r="ET90" s="414"/>
      <c r="EU90" s="414"/>
      <c r="EV90" s="414"/>
      <c r="EW90" s="414"/>
      <c r="EX90" s="414"/>
      <c r="EY90" s="414"/>
      <c r="EZ90" s="414"/>
      <c r="FA90" s="414"/>
      <c r="FB90" s="414"/>
      <c r="FC90" s="414"/>
      <c r="FD90" s="414"/>
      <c r="FE90" s="414"/>
      <c r="FF90" s="414"/>
      <c r="FG90" s="414"/>
      <c r="FH90" s="414"/>
      <c r="FI90" s="414"/>
      <c r="FJ90" s="414"/>
      <c r="FK90" s="414"/>
      <c r="FL90" s="414"/>
      <c r="FM90" s="414"/>
      <c r="FN90" s="414"/>
      <c r="FO90" s="414"/>
      <c r="FP90" s="414"/>
      <c r="FQ90" s="414"/>
      <c r="FR90" s="414"/>
      <c r="FS90" s="414"/>
      <c r="FT90" s="414"/>
      <c r="FU90" s="414"/>
      <c r="FV90" s="414"/>
      <c r="FW90" s="414"/>
      <c r="FX90" s="414"/>
      <c r="FY90" s="414"/>
      <c r="FZ90" s="414"/>
      <c r="GA90" s="414"/>
      <c r="GB90" s="414"/>
      <c r="GC90" s="414"/>
      <c r="GD90" s="414"/>
      <c r="GE90" s="414"/>
      <c r="GF90" s="414"/>
      <c r="GG90" s="414"/>
      <c r="GH90" s="414"/>
      <c r="GI90" s="414"/>
      <c r="GJ90" s="414"/>
      <c r="GK90" s="414"/>
      <c r="GL90" s="414"/>
      <c r="GM90" s="414"/>
      <c r="GN90" s="414"/>
      <c r="GO90" s="414"/>
      <c r="GP90" s="414"/>
      <c r="GQ90" s="414"/>
      <c r="GR90" s="414"/>
      <c r="GS90" s="414"/>
      <c r="GT90" s="414"/>
      <c r="GU90" s="414"/>
      <c r="GV90" s="414"/>
      <c r="GW90" s="414"/>
      <c r="GX90" s="414"/>
      <c r="GY90" s="414"/>
      <c r="GZ90" s="414"/>
      <c r="HA90" s="414"/>
      <c r="HB90" s="414"/>
      <c r="HC90" s="414"/>
      <c r="HD90" s="414"/>
      <c r="HE90" s="414"/>
      <c r="HF90" s="414"/>
      <c r="HG90" s="414"/>
      <c r="HH90" s="414"/>
      <c r="HI90" s="414"/>
      <c r="HJ90" s="414"/>
      <c r="HK90" s="414"/>
      <c r="HL90" s="414"/>
      <c r="HM90" s="414"/>
      <c r="HN90" s="414"/>
      <c r="HO90" s="414"/>
      <c r="HP90" s="414"/>
      <c r="HQ90" s="414"/>
      <c r="HR90" s="414"/>
      <c r="HS90" s="414"/>
      <c r="HT90" s="414"/>
      <c r="HU90" s="414"/>
      <c r="HV90" s="414"/>
      <c r="HW90" s="414"/>
      <c r="HX90" s="414"/>
      <c r="HY90" s="414"/>
      <c r="HZ90" s="414"/>
      <c r="IA90" s="414"/>
      <c r="IB90" s="414"/>
      <c r="IC90" s="414"/>
      <c r="ID90" s="414"/>
      <c r="IE90" s="414"/>
      <c r="IF90" s="414"/>
      <c r="IG90" s="414"/>
      <c r="IH90" s="414"/>
      <c r="II90" s="414"/>
      <c r="IJ90" s="414"/>
      <c r="IK90" s="414"/>
      <c r="IL90" s="414"/>
      <c r="IM90" s="414"/>
      <c r="IN90" s="414"/>
      <c r="IO90" s="414"/>
      <c r="IP90" s="414"/>
      <c r="IQ90" s="414"/>
      <c r="IR90" s="414"/>
      <c r="IS90" s="414"/>
      <c r="IT90" s="414"/>
      <c r="IU90" s="414"/>
      <c r="IV90" s="414"/>
      <c r="IW90" s="414"/>
    </row>
    <row r="91" customFormat="false" ht="12.75" hidden="false" customHeight="false" outlineLevel="0" collapsed="false">
      <c r="A91" s="698"/>
      <c r="B91" s="38" t="s">
        <v>907</v>
      </c>
      <c r="E91" s="217" t="n">
        <f aca="false">SUM(E84:E90)</f>
        <v>0</v>
      </c>
      <c r="F91" s="217" t="n">
        <f aca="false">SUM(F84:F90)</f>
        <v>-14880.547375692</v>
      </c>
      <c r="G91" s="217" t="n">
        <f aca="false">SUM(G84:G90)</f>
        <v>-6875.87432566055</v>
      </c>
      <c r="H91" s="217" t="n">
        <f aca="false">SUM(H84:H90)</f>
        <v>6179.68964953303</v>
      </c>
      <c r="I91" s="217" t="n">
        <f aca="false">SUM(I84:I90)</f>
        <v>537.742956344934</v>
      </c>
      <c r="J91" s="217" t="n">
        <f aca="false">SUM(J84:J90)</f>
        <v>848.538123372802</v>
      </c>
      <c r="K91" s="217" t="n">
        <f aca="false">SUM(K84:K90)</f>
        <v>1429.26953236676</v>
      </c>
      <c r="L91" s="217" t="n">
        <f aca="false">SUM(L84:L90)</f>
        <v>-309.702577458496</v>
      </c>
      <c r="M91" s="217" t="n">
        <f aca="false">SUM(M84:M90)</f>
        <v>2287.70322119125</v>
      </c>
      <c r="N91" s="217" t="n">
        <f aca="false">SUM(N84:N90)</f>
        <v>2441.22534508474</v>
      </c>
      <c r="O91" s="217" t="n">
        <f aca="false">SUM(O84:O90)</f>
        <v>2118.33583568094</v>
      </c>
      <c r="P91" s="217" t="n">
        <f aca="false">SUM(P84:P90)</f>
        <v>1958.99219933977</v>
      </c>
      <c r="Q91" s="217" t="n">
        <f aca="false">SUM(Q84:Q90)</f>
        <v>2238.89946021402</v>
      </c>
      <c r="R91" s="217" t="n">
        <f aca="false">SUM(R84:R90)</f>
        <v>2394.69323810086</v>
      </c>
      <c r="S91" s="217" t="n">
        <f aca="false">SUM(S84:S90)</f>
        <v>1872.80538340485</v>
      </c>
      <c r="T91" s="217" t="n">
        <f aca="false">SUM(T84:T90)</f>
        <v>1716.08807815889</v>
      </c>
      <c r="U91" s="217" t="n">
        <f aca="false">SUM(U84:U90)</f>
        <v>2696.4695842772</v>
      </c>
      <c r="V91" s="217" t="n">
        <f aca="false">SUM(V84:V90)</f>
        <v>1019.20747547333</v>
      </c>
      <c r="W91" s="217" t="n">
        <f aca="false">SUM(W84:W90)</f>
        <v>-352.650637114721</v>
      </c>
      <c r="X91" s="217" t="n">
        <f aca="false">SUM(X84:X90)</f>
        <v>656.732292553242</v>
      </c>
      <c r="Y91" s="217" t="n">
        <f aca="false">SUM(Y84:Y90)</f>
        <v>462.910467246183</v>
      </c>
      <c r="Z91" s="217" t="n">
        <f aca="false">SUM(Z84:Z90)</f>
        <v>632.58708206658</v>
      </c>
      <c r="AA91" s="217" t="n">
        <f aca="false">SUM(AA84:AA90)</f>
        <v>775.405938094449</v>
      </c>
      <c r="AB91" s="574" t="n">
        <f aca="false">SUM(E91:AA91)</f>
        <v>9848.52094657807</v>
      </c>
      <c r="AC91" s="574" t="n">
        <f aca="false">SUM(AC84:AC90)</f>
        <v>-11690.7443876069</v>
      </c>
      <c r="AE91" s="666"/>
      <c r="AF91" s="666"/>
      <c r="AG91" s="666"/>
      <c r="AH91" s="666"/>
      <c r="AI91" s="666"/>
      <c r="AJ91" s="666"/>
      <c r="AK91" s="666"/>
      <c r="AL91" s="666"/>
      <c r="AM91" s="666"/>
      <c r="AN91" s="666"/>
      <c r="AO91" s="666"/>
      <c r="AP91" s="666"/>
      <c r="AQ91" s="666"/>
      <c r="AR91" s="666"/>
      <c r="AS91" s="666"/>
      <c r="AT91" s="666"/>
      <c r="AU91" s="666"/>
      <c r="AV91" s="666"/>
      <c r="AW91" s="666"/>
      <c r="AX91" s="666"/>
      <c r="AY91" s="666"/>
      <c r="AZ91" s="666"/>
      <c r="BA91" s="666"/>
      <c r="BB91" s="666"/>
      <c r="BC91" s="666"/>
      <c r="BD91" s="666"/>
      <c r="BE91" s="666"/>
      <c r="BF91" s="666"/>
      <c r="BG91" s="666"/>
      <c r="BH91" s="666"/>
      <c r="BI91" s="666"/>
      <c r="BJ91" s="666"/>
      <c r="BK91" s="666"/>
      <c r="BL91" s="666"/>
      <c r="BM91" s="666"/>
      <c r="BN91" s="666"/>
      <c r="BO91" s="666"/>
      <c r="BP91" s="666"/>
      <c r="BQ91" s="666"/>
      <c r="BR91" s="666"/>
      <c r="BS91" s="666"/>
      <c r="BT91" s="666"/>
      <c r="BU91" s="666"/>
      <c r="BV91" s="666"/>
      <c r="BW91" s="666"/>
      <c r="BX91" s="666"/>
      <c r="BY91" s="666"/>
      <c r="BZ91" s="666"/>
      <c r="CA91" s="666"/>
      <c r="CB91" s="666"/>
      <c r="CC91" s="666"/>
      <c r="CD91" s="666"/>
      <c r="CE91" s="666"/>
      <c r="CF91" s="666"/>
      <c r="CG91" s="666"/>
      <c r="CH91" s="666"/>
      <c r="CI91" s="666"/>
      <c r="CJ91" s="666"/>
      <c r="CK91" s="666"/>
      <c r="CL91" s="666"/>
      <c r="CM91" s="666"/>
      <c r="CN91" s="666"/>
      <c r="CO91" s="666"/>
      <c r="CP91" s="666"/>
      <c r="CQ91" s="666"/>
      <c r="CR91" s="666"/>
      <c r="CS91" s="666"/>
      <c r="CT91" s="666"/>
      <c r="CU91" s="666"/>
      <c r="CV91" s="666"/>
      <c r="CW91" s="666"/>
      <c r="CX91" s="666"/>
      <c r="CY91" s="666"/>
      <c r="CZ91" s="666"/>
      <c r="DA91" s="666"/>
      <c r="DB91" s="666"/>
      <c r="DC91" s="666"/>
      <c r="DD91" s="666"/>
      <c r="DE91" s="666"/>
      <c r="DF91" s="666"/>
      <c r="DG91" s="666"/>
      <c r="DH91" s="666"/>
      <c r="DI91" s="666"/>
      <c r="DJ91" s="666"/>
      <c r="DK91" s="666"/>
      <c r="DL91" s="666"/>
      <c r="DM91" s="666"/>
      <c r="DN91" s="666"/>
      <c r="DO91" s="666"/>
      <c r="DP91" s="666"/>
      <c r="DQ91" s="666"/>
      <c r="DR91" s="666"/>
      <c r="DS91" s="666"/>
      <c r="DT91" s="666"/>
      <c r="DU91" s="666"/>
      <c r="DV91" s="666"/>
      <c r="DW91" s="666"/>
      <c r="DX91" s="666"/>
      <c r="DY91" s="666"/>
      <c r="DZ91" s="666"/>
      <c r="EA91" s="666"/>
      <c r="EB91" s="666"/>
      <c r="EC91" s="666"/>
      <c r="ED91" s="666"/>
      <c r="EE91" s="666"/>
      <c r="EF91" s="666"/>
      <c r="EG91" s="666"/>
      <c r="EH91" s="666"/>
      <c r="EI91" s="666"/>
      <c r="EJ91" s="666"/>
      <c r="EK91" s="666"/>
      <c r="EL91" s="666"/>
      <c r="EM91" s="666"/>
      <c r="EN91" s="666"/>
      <c r="EO91" s="666"/>
      <c r="EP91" s="666"/>
      <c r="EQ91" s="666"/>
      <c r="ER91" s="666"/>
      <c r="ES91" s="666"/>
      <c r="ET91" s="666"/>
      <c r="EU91" s="666"/>
      <c r="EV91" s="666"/>
      <c r="EW91" s="666"/>
      <c r="EX91" s="666"/>
      <c r="EY91" s="666"/>
      <c r="EZ91" s="666"/>
      <c r="FA91" s="666"/>
      <c r="FB91" s="666"/>
      <c r="FC91" s="666"/>
      <c r="FD91" s="666"/>
      <c r="FE91" s="666"/>
      <c r="FF91" s="666"/>
      <c r="FG91" s="666"/>
      <c r="FH91" s="666"/>
      <c r="FI91" s="666"/>
      <c r="FJ91" s="666"/>
      <c r="FK91" s="666"/>
      <c r="FL91" s="666"/>
      <c r="FM91" s="666"/>
      <c r="FN91" s="666"/>
      <c r="FO91" s="666"/>
      <c r="FP91" s="666"/>
      <c r="FQ91" s="666"/>
      <c r="FR91" s="666"/>
      <c r="FS91" s="666"/>
      <c r="FT91" s="666"/>
      <c r="FU91" s="666"/>
      <c r="FV91" s="666"/>
      <c r="FW91" s="666"/>
      <c r="FX91" s="666"/>
      <c r="FY91" s="666"/>
      <c r="FZ91" s="666"/>
      <c r="GA91" s="666"/>
      <c r="GB91" s="666"/>
      <c r="GC91" s="666"/>
      <c r="GD91" s="666"/>
      <c r="GE91" s="666"/>
      <c r="GF91" s="666"/>
      <c r="GG91" s="666"/>
      <c r="GH91" s="666"/>
      <c r="GI91" s="666"/>
      <c r="GJ91" s="666"/>
      <c r="GK91" s="666"/>
      <c r="GL91" s="666"/>
      <c r="GM91" s="666"/>
      <c r="GN91" s="666"/>
      <c r="GO91" s="666"/>
      <c r="GP91" s="666"/>
      <c r="GQ91" s="666"/>
      <c r="GR91" s="666"/>
      <c r="GS91" s="666"/>
      <c r="GT91" s="666"/>
      <c r="GU91" s="666"/>
      <c r="GV91" s="666"/>
      <c r="GW91" s="666"/>
      <c r="GX91" s="666"/>
      <c r="GY91" s="666"/>
      <c r="GZ91" s="666"/>
      <c r="HA91" s="666"/>
      <c r="HB91" s="666"/>
      <c r="HC91" s="666"/>
      <c r="HD91" s="666"/>
      <c r="HE91" s="666"/>
      <c r="HF91" s="666"/>
      <c r="HG91" s="666"/>
      <c r="HH91" s="666"/>
      <c r="HI91" s="666"/>
      <c r="HJ91" s="666"/>
      <c r="HK91" s="666"/>
      <c r="HL91" s="666"/>
      <c r="HM91" s="666"/>
      <c r="HN91" s="666"/>
      <c r="HO91" s="666"/>
      <c r="HP91" s="666"/>
      <c r="HQ91" s="666"/>
      <c r="HR91" s="666"/>
      <c r="HS91" s="666"/>
      <c r="HT91" s="666"/>
      <c r="HU91" s="666"/>
      <c r="HV91" s="666"/>
      <c r="HW91" s="666"/>
      <c r="HX91" s="666"/>
      <c r="HY91" s="666"/>
      <c r="HZ91" s="666"/>
      <c r="IA91" s="666"/>
      <c r="IB91" s="666"/>
      <c r="IC91" s="666"/>
      <c r="ID91" s="666"/>
      <c r="IE91" s="666"/>
      <c r="IF91" s="666"/>
      <c r="IG91" s="666"/>
      <c r="IH91" s="666"/>
      <c r="II91" s="666"/>
      <c r="IJ91" s="666"/>
      <c r="IK91" s="666"/>
      <c r="IL91" s="666"/>
      <c r="IM91" s="666"/>
      <c r="IN91" s="666"/>
      <c r="IO91" s="666"/>
      <c r="IP91" s="666"/>
      <c r="IQ91" s="666"/>
      <c r="IR91" s="666"/>
      <c r="IS91" s="666"/>
      <c r="IT91" s="666"/>
      <c r="IU91" s="666"/>
      <c r="IV91" s="666"/>
      <c r="IW91" s="666"/>
    </row>
    <row r="92" customFormat="false" ht="12.75" hidden="false" customHeight="false" outlineLevel="0" collapsed="false">
      <c r="A92" s="698"/>
      <c r="E92" s="668" t="n">
        <f aca="false">SUM(E85:E90)</f>
        <v>0</v>
      </c>
      <c r="F92" s="668" t="n">
        <f aca="false">SUM(F85:F90)</f>
        <v>0</v>
      </c>
      <c r="G92" s="668" t="n">
        <f aca="false">SUM(G85:G90)</f>
        <v>0</v>
      </c>
      <c r="H92" s="668" t="n">
        <f aca="false">SUM(H85:H90)</f>
        <v>-4671.09493833856</v>
      </c>
      <c r="I92" s="668" t="n">
        <f aca="false">SUM(I85:I90)</f>
        <v>-1367.24975632606</v>
      </c>
      <c r="J92" s="668" t="n">
        <f aca="false">SUM(J85:J90)</f>
        <v>706.772711437447</v>
      </c>
      <c r="K92" s="668" t="n">
        <f aca="false">SUM(K85:K90)</f>
        <v>724.139692009392</v>
      </c>
      <c r="L92" s="668" t="n">
        <f aca="false">SUM(L85:L90)</f>
        <v>743.837755548606</v>
      </c>
      <c r="M92" s="668" t="n">
        <f aca="false">SUM(M85:M90)</f>
        <v>766.17979166637</v>
      </c>
      <c r="N92" s="668" t="n">
        <f aca="false">SUM(N85:N90)</f>
        <v>791.520687582043</v>
      </c>
      <c r="O92" s="668" t="n">
        <f aca="false">SUM(O85:O90)</f>
        <v>820.262965251996</v>
      </c>
      <c r="P92" s="668" t="n">
        <f aca="false">SUM(P85:P90)</f>
        <v>852.863175142198</v>
      </c>
      <c r="Q92" s="668" t="n">
        <f aca="false">SUM(Q85:Q90)</f>
        <v>889.839148204913</v>
      </c>
      <c r="R92" s="668" t="n">
        <f aca="false">SUM(R85:R90)</f>
        <v>931.778221251971</v>
      </c>
      <c r="S92" s="668" t="n">
        <f aca="false">SUM(S85:S90)</f>
        <v>979.34656637877</v>
      </c>
      <c r="T92" s="668" t="n">
        <f aca="false">SUM(T85:T90)</f>
        <v>1033.29977263021</v>
      </c>
      <c r="U92" s="668" t="n">
        <f aca="false">SUM(U85:U90)</f>
        <v>0</v>
      </c>
      <c r="V92" s="668" t="n">
        <f aca="false">SUM(V85:V90)</f>
        <v>0</v>
      </c>
      <c r="W92" s="668" t="n">
        <f aca="false">SUM(W85:W90)</f>
        <v>0</v>
      </c>
      <c r="X92" s="668" t="n">
        <f aca="false">SUM(X85:X90)</f>
        <v>0</v>
      </c>
      <c r="Y92" s="668" t="n">
        <f aca="false">SUM(Y85:Y90)</f>
        <v>0</v>
      </c>
      <c r="Z92" s="668" t="n">
        <f aca="false">SUM(Z85:Z90)</f>
        <v>0</v>
      </c>
      <c r="AA92" s="668" t="n">
        <f aca="false">SUM(AA85:AA90)</f>
        <v>0</v>
      </c>
      <c r="AB92" s="669" t="n">
        <f aca="false">SUM(AB85:AB90)</f>
        <v>3201.4957924393</v>
      </c>
      <c r="AC92" s="669" t="n">
        <f aca="false">SUM(AC85:AC90)</f>
        <v>-2007.96129949364</v>
      </c>
      <c r="AE92" s="666"/>
      <c r="AF92" s="666"/>
      <c r="AG92" s="666"/>
      <c r="AH92" s="666"/>
      <c r="AI92" s="666"/>
      <c r="AJ92" s="666"/>
      <c r="AK92" s="666"/>
      <c r="AL92" s="666"/>
      <c r="AM92" s="666"/>
      <c r="AN92" s="666"/>
      <c r="AO92" s="666"/>
      <c r="AP92" s="666"/>
      <c r="AQ92" s="666"/>
      <c r="AR92" s="666"/>
      <c r="AS92" s="666"/>
      <c r="AT92" s="666"/>
      <c r="AU92" s="666"/>
      <c r="AV92" s="666"/>
      <c r="AW92" s="666"/>
      <c r="AX92" s="666"/>
      <c r="AY92" s="666"/>
      <c r="AZ92" s="666"/>
      <c r="BA92" s="666"/>
      <c r="BB92" s="666"/>
      <c r="BC92" s="666"/>
      <c r="BD92" s="666"/>
      <c r="BE92" s="666"/>
      <c r="BF92" s="666"/>
      <c r="BG92" s="666"/>
      <c r="BH92" s="666"/>
      <c r="BI92" s="666"/>
      <c r="BJ92" s="666"/>
      <c r="BK92" s="666"/>
      <c r="BL92" s="666"/>
      <c r="BM92" s="666"/>
      <c r="BN92" s="666"/>
      <c r="BO92" s="666"/>
      <c r="BP92" s="666"/>
      <c r="BQ92" s="666"/>
      <c r="BR92" s="666"/>
      <c r="BS92" s="666"/>
      <c r="BT92" s="666"/>
      <c r="BU92" s="666"/>
      <c r="BV92" s="666"/>
      <c r="BW92" s="666"/>
      <c r="BX92" s="666"/>
      <c r="BY92" s="666"/>
      <c r="BZ92" s="666"/>
      <c r="CA92" s="666"/>
      <c r="CB92" s="666"/>
      <c r="CC92" s="666"/>
      <c r="CD92" s="666"/>
      <c r="CE92" s="666"/>
      <c r="CF92" s="666"/>
      <c r="CG92" s="666"/>
      <c r="CH92" s="666"/>
      <c r="CI92" s="666"/>
      <c r="CJ92" s="666"/>
      <c r="CK92" s="666"/>
      <c r="CL92" s="666"/>
      <c r="CM92" s="666"/>
      <c r="CN92" s="666"/>
      <c r="CO92" s="666"/>
      <c r="CP92" s="666"/>
      <c r="CQ92" s="666"/>
      <c r="CR92" s="666"/>
      <c r="CS92" s="666"/>
      <c r="CT92" s="666"/>
      <c r="CU92" s="666"/>
      <c r="CV92" s="666"/>
      <c r="CW92" s="666"/>
      <c r="CX92" s="666"/>
      <c r="CY92" s="666"/>
      <c r="CZ92" s="666"/>
      <c r="DA92" s="666"/>
      <c r="DB92" s="666"/>
      <c r="DC92" s="666"/>
      <c r="DD92" s="666"/>
      <c r="DE92" s="666"/>
      <c r="DF92" s="666"/>
      <c r="DG92" s="666"/>
      <c r="DH92" s="666"/>
      <c r="DI92" s="666"/>
      <c r="DJ92" s="666"/>
      <c r="DK92" s="666"/>
      <c r="DL92" s="666"/>
      <c r="DM92" s="666"/>
      <c r="DN92" s="666"/>
      <c r="DO92" s="666"/>
      <c r="DP92" s="666"/>
      <c r="DQ92" s="666"/>
      <c r="DR92" s="666"/>
      <c r="DS92" s="666"/>
      <c r="DT92" s="666"/>
      <c r="DU92" s="666"/>
      <c r="DV92" s="666"/>
      <c r="DW92" s="666"/>
      <c r="DX92" s="666"/>
      <c r="DY92" s="666"/>
      <c r="DZ92" s="666"/>
      <c r="EA92" s="666"/>
      <c r="EB92" s="666"/>
      <c r="EC92" s="666"/>
      <c r="ED92" s="666"/>
      <c r="EE92" s="666"/>
      <c r="EF92" s="666"/>
      <c r="EG92" s="666"/>
      <c r="EH92" s="666"/>
      <c r="EI92" s="666"/>
      <c r="EJ92" s="666"/>
      <c r="EK92" s="666"/>
      <c r="EL92" s="666"/>
      <c r="EM92" s="666"/>
      <c r="EN92" s="666"/>
      <c r="EO92" s="666"/>
      <c r="EP92" s="666"/>
      <c r="EQ92" s="666"/>
      <c r="ER92" s="666"/>
      <c r="ES92" s="666"/>
      <c r="ET92" s="666"/>
      <c r="EU92" s="666"/>
      <c r="EV92" s="666"/>
      <c r="EW92" s="666"/>
      <c r="EX92" s="666"/>
      <c r="EY92" s="666"/>
      <c r="EZ92" s="666"/>
      <c r="FA92" s="666"/>
      <c r="FB92" s="666"/>
      <c r="FC92" s="666"/>
      <c r="FD92" s="666"/>
      <c r="FE92" s="666"/>
      <c r="FF92" s="666"/>
      <c r="FG92" s="666"/>
      <c r="FH92" s="666"/>
      <c r="FI92" s="666"/>
      <c r="FJ92" s="666"/>
      <c r="FK92" s="666"/>
      <c r="FL92" s="666"/>
      <c r="FM92" s="666"/>
      <c r="FN92" s="666"/>
      <c r="FO92" s="666"/>
      <c r="FP92" s="666"/>
      <c r="FQ92" s="666"/>
      <c r="FR92" s="666"/>
      <c r="FS92" s="666"/>
      <c r="FT92" s="666"/>
      <c r="FU92" s="666"/>
      <c r="FV92" s="666"/>
      <c r="FW92" s="666"/>
      <c r="FX92" s="666"/>
      <c r="FY92" s="666"/>
      <c r="FZ92" s="666"/>
      <c r="GA92" s="666"/>
      <c r="GB92" s="666"/>
      <c r="GC92" s="666"/>
      <c r="GD92" s="666"/>
      <c r="GE92" s="666"/>
      <c r="GF92" s="666"/>
      <c r="GG92" s="666"/>
      <c r="GH92" s="666"/>
      <c r="GI92" s="666"/>
      <c r="GJ92" s="666"/>
      <c r="GK92" s="666"/>
      <c r="GL92" s="666"/>
      <c r="GM92" s="666"/>
      <c r="GN92" s="666"/>
      <c r="GO92" s="666"/>
      <c r="GP92" s="666"/>
      <c r="GQ92" s="666"/>
      <c r="GR92" s="666"/>
      <c r="GS92" s="666"/>
      <c r="GT92" s="666"/>
      <c r="GU92" s="666"/>
      <c r="GV92" s="666"/>
      <c r="GW92" s="666"/>
      <c r="GX92" s="666"/>
      <c r="GY92" s="666"/>
      <c r="GZ92" s="666"/>
      <c r="HA92" s="666"/>
      <c r="HB92" s="666"/>
      <c r="HC92" s="666"/>
      <c r="HD92" s="666"/>
      <c r="HE92" s="666"/>
      <c r="HF92" s="666"/>
      <c r="HG92" s="666"/>
      <c r="HH92" s="666"/>
      <c r="HI92" s="666"/>
      <c r="HJ92" s="666"/>
      <c r="HK92" s="666"/>
      <c r="HL92" s="666"/>
      <c r="HM92" s="666"/>
      <c r="HN92" s="666"/>
      <c r="HO92" s="666"/>
      <c r="HP92" s="666"/>
      <c r="HQ92" s="666"/>
      <c r="HR92" s="666"/>
      <c r="HS92" s="666"/>
      <c r="HT92" s="666"/>
      <c r="HU92" s="666"/>
      <c r="HV92" s="666"/>
      <c r="HW92" s="666"/>
      <c r="HX92" s="666"/>
      <c r="HY92" s="666"/>
      <c r="HZ92" s="666"/>
      <c r="IA92" s="666"/>
      <c r="IB92" s="666"/>
      <c r="IC92" s="666"/>
      <c r="ID92" s="666"/>
      <c r="IE92" s="666"/>
      <c r="IF92" s="666"/>
      <c r="IG92" s="666"/>
      <c r="IH92" s="666"/>
      <c r="II92" s="666"/>
      <c r="IJ92" s="666"/>
      <c r="IK92" s="666"/>
      <c r="IL92" s="666"/>
      <c r="IM92" s="666"/>
      <c r="IN92" s="666"/>
      <c r="IO92" s="666"/>
      <c r="IP92" s="666"/>
      <c r="IQ92" s="666"/>
      <c r="IR92" s="666"/>
      <c r="IS92" s="666"/>
      <c r="IT92" s="666"/>
      <c r="IU92" s="666"/>
      <c r="IV92" s="666"/>
      <c r="IW92" s="666"/>
    </row>
    <row r="93" customFormat="false" ht="12.75" hidden="false" customHeight="false" outlineLevel="0" collapsed="false">
      <c r="A93" s="37"/>
      <c r="B93" s="38" t="s">
        <v>899</v>
      </c>
      <c r="E93" s="645" t="n">
        <f aca="false">$E91</f>
        <v>0</v>
      </c>
      <c r="F93" s="645" t="n">
        <f aca="false">IF('Project &amp; Investor Returns'!$I$3=0,$F91,$E91+NPV(Disc,$F91:F91))</f>
        <v>-14880.547375692</v>
      </c>
      <c r="G93" s="217" t="n">
        <f aca="false">IF('Project &amp; Investor Returns'!$I$3=0,$F91+NPV(Disc,$G91:G91),$E91+NPV(Disc,$F91:G91))</f>
        <v>-20658.5930275076</v>
      </c>
      <c r="H93" s="217" t="n">
        <f aca="false">IF('Project &amp; Investor Returns'!$I$3=0,$F91+NPV(Disc,$G91:H91),$E91+NPV(Disc,$F91:H91))</f>
        <v>-16294.7136054802</v>
      </c>
      <c r="I93" s="217" t="n">
        <f aca="false">IF('Project &amp; Investor Returns'!$I$3=0,$F91+NPV(Disc,$G91:I91),$E91+NPV(Disc,$F91:I91))</f>
        <v>-15975.6084312237</v>
      </c>
      <c r="J93" s="217" t="n">
        <f aca="false">IF('Project &amp; Investor Returns'!$I$3=0,$F91+NPV(Disc,$G91:J91),$E91+NPV(Disc,$F91:J91))</f>
        <v>-15552.4689847194</v>
      </c>
      <c r="K93" s="217" t="n">
        <f aca="false">IF('Project &amp; Investor Returns'!$I$3=0,$F91+NPV(Disc,$G91:K91),$E91+NPV(Disc,$F91:K91))</f>
        <v>-14953.5344862902</v>
      </c>
      <c r="L93" s="217" t="n">
        <f aca="false">IF('Project &amp; Investor Returns'!$I$3=0,$F91+NPV(Disc,$G91:L91),$E91+NPV(Disc,$F91:L91))</f>
        <v>-15062.5938730631</v>
      </c>
      <c r="M93" s="217" t="n">
        <f aca="false">IF('Project &amp; Investor Returns'!$I$3=0,$F91+NPV(Disc,$G91:M91),$E91+NPV(Disc,$F91:M91))</f>
        <v>-14385.621487132</v>
      </c>
      <c r="N93" s="217" t="n">
        <f aca="false">IF('Project &amp; Investor Returns'!$I$3=0,$F91+NPV(Disc,$G91:N91),$E91+NPV(Disc,$F91:N91))</f>
        <v>-13778.5607022692</v>
      </c>
      <c r="O93" s="217" t="n">
        <f aca="false">IF('Project &amp; Investor Returns'!$I$3=0,$F91+NPV(Disc,$G91:O91),$E91+NPV(Disc,$F91:O91))</f>
        <v>-13335.8987850553</v>
      </c>
      <c r="P93" s="217" t="n">
        <f aca="false">IF('Project &amp; Investor Returns'!$I$3=0,$F91+NPV(Disc,$G91:P91),$E91+NPV(Disc,$F91:P91))</f>
        <v>-12991.8951017008</v>
      </c>
      <c r="Q93" s="217" t="n">
        <f aca="false">IF('Project &amp; Investor Returns'!$I$3=0,$F91+NPV(Disc,$G91:Q91),$E91+NPV(Disc,$F91:Q91))</f>
        <v>-12661.5118552962</v>
      </c>
      <c r="R93" s="217" t="n">
        <f aca="false">IF('Project &amp; Investor Returns'!$I$3=0,$F91+NPV(Disc,$G91:R91),$E91+NPV(Disc,$F91:R91))</f>
        <v>-12364.5597892897</v>
      </c>
      <c r="S93" s="217" t="n">
        <f aca="false">IF('Project &amp; Investor Returns'!$I$3=0,$F91+NPV(Disc,$G91:S91),$E91+NPV(Disc,$F91:S91))</f>
        <v>-12169.403680128</v>
      </c>
      <c r="T93" s="217" t="n">
        <f aca="false">IF('Project &amp; Investor Returns'!$I$3=0,$F91+NPV(Disc,$G91:T91),$E91+NPV(Disc,$F91:T91))</f>
        <v>-12019.1302793948</v>
      </c>
      <c r="U93" s="217" t="n">
        <f aca="false">IF('Project &amp; Investor Returns'!$I$3=0,$F91+NPV(Disc,$G91:U91),$E91+NPV(Disc,$F91:U91))</f>
        <v>-11820.7076935812</v>
      </c>
      <c r="V93" s="217" t="n">
        <f aca="false">IF('Project &amp; Investor Returns'!$I$3=0,$F91+NPV(Disc,$G91:V91),$E91+NPV(Disc,$F91:V91))</f>
        <v>-11757.6829310344</v>
      </c>
      <c r="W93" s="217" t="n">
        <f aca="false">IF('Project &amp; Investor Returns'!$I$3=0,$F91+NPV(Disc,$G91:W91),$E91+NPV(Disc,$F91:W91))</f>
        <v>-11776.0080300159</v>
      </c>
      <c r="X93" s="217" t="n">
        <f aca="false">IF('Project &amp; Investor Returns'!$I$3=0,$F91+NPV(Disc,$G91:X91),$E91+NPV(Disc,$F91:X91))</f>
        <v>-11747.3304125935</v>
      </c>
      <c r="Y93" s="217" t="n">
        <f aca="false">IF('Project &amp; Investor Returns'!$I$3=0,$F91+NPV(Disc,$G91:Y91),$E91+NPV(Disc,$F91:Y91))</f>
        <v>-11730.3438800841</v>
      </c>
      <c r="Z93" s="217" t="n">
        <f aca="false">IF('Project &amp; Investor Returns'!$I$3=0,$F91+NPV(Disc,$G91:Z91),$E91+NPV(Disc,$F91:Z91))</f>
        <v>-11710.8373019711</v>
      </c>
      <c r="AA93" s="217" t="n">
        <f aca="false">IF('Project &amp; Investor Returns'!$I$3=0,$F91+NPV(Disc,$G91:AA91),$E91+NPV(Disc,$F91:AA91))</f>
        <v>-11690.7443876069</v>
      </c>
      <c r="AB93" s="640"/>
      <c r="AC93" s="574" t="n">
        <f aca="false">AC91</f>
        <v>-11690.7443876069</v>
      </c>
      <c r="AD93" s="668" t="n">
        <f aca="false">NPV(Disc,F92:AA92)+E92</f>
        <v>-1687.36243654928</v>
      </c>
    </row>
    <row r="94" customFormat="false" ht="12.75" hidden="false" customHeight="false" outlineLevel="0" collapsed="false">
      <c r="A94" s="37"/>
      <c r="B94" s="38" t="s">
        <v>900</v>
      </c>
      <c r="E94" s="260" t="e">
        <f aca="false">IRR($E91:E91,-0.9)</f>
        <v>#N/A</v>
      </c>
      <c r="F94" s="260" t="e">
        <f aca="false">IRR($E91:F91,-0.9)</f>
        <v>#N/A</v>
      </c>
      <c r="G94" s="260" t="e">
        <f aca="false">IRR($E91:G91,-0.9)</f>
        <v>#N/A</v>
      </c>
      <c r="H94" s="260" t="n">
        <f aca="false">IRR($E91:H91,-0.9)</f>
        <v>-0.546445331099635</v>
      </c>
      <c r="I94" s="260" t="n">
        <f aca="false">IRR($E91:I91,-0.9)</f>
        <v>-0.495945726801725</v>
      </c>
      <c r="J94" s="260" t="n">
        <f aca="false">IRR($E91:J91,-0.9)</f>
        <v>-0.401453152578031</v>
      </c>
      <c r="K94" s="260" t="n">
        <f aca="false">IRR($E91:K91,-0.9)</f>
        <v>-0.285433490840816</v>
      </c>
      <c r="L94" s="260" t="n">
        <f aca="false">IRR($E91:L91,-0.9)</f>
        <v>-0.810957685404741</v>
      </c>
      <c r="M94" s="260" t="e">
        <f aca="false">IRR($E91:M91,-0.9)</f>
        <v>#N/A</v>
      </c>
      <c r="N94" s="260" t="e">
        <f aca="false">IRR($E91:N91,-0.9)</f>
        <v>#N/A</v>
      </c>
      <c r="O94" s="260" t="e">
        <f aca="false">IRR($E91:O91,-0.9)</f>
        <v>#N/A</v>
      </c>
      <c r="P94" s="260" t="e">
        <f aca="false">IRR($E91:P91,-0.9)</f>
        <v>#N/A</v>
      </c>
      <c r="Q94" s="260" t="e">
        <f aca="false">IRR($E91:Q91,-0.9)</f>
        <v>#N/A</v>
      </c>
      <c r="R94" s="260" t="e">
        <f aca="false">IRR($E91:R91,-0.9)</f>
        <v>#N/A</v>
      </c>
      <c r="S94" s="260" t="e">
        <f aca="false">IRR($E91:S91,-0.9)</f>
        <v>#N/A</v>
      </c>
      <c r="T94" s="260" t="e">
        <f aca="false">IRR($E91:T91,-0.9)</f>
        <v>#N/A</v>
      </c>
      <c r="U94" s="260" t="e">
        <f aca="false">IRR($E91:U91,-0.9)</f>
        <v>#N/A</v>
      </c>
      <c r="V94" s="260" t="e">
        <f aca="false">IRR($E91:V91,-0.9)</f>
        <v>#N/A</v>
      </c>
      <c r="W94" s="260" t="e">
        <f aca="false">IRR($E91:W91,-0.9)</f>
        <v>#N/A</v>
      </c>
      <c r="X94" s="260" t="e">
        <f aca="false">IRR($E91:X91,-0.9)</f>
        <v>#N/A</v>
      </c>
      <c r="Y94" s="260" t="e">
        <f aca="false">IRR($E91:Y91,-0.9)</f>
        <v>#N/A</v>
      </c>
      <c r="Z94" s="260" t="e">
        <f aca="false">IRR($E91:Z91,-0.9)</f>
        <v>#N/A</v>
      </c>
      <c r="AA94" s="260" t="e">
        <f aca="false">IRR($E91:AA91,-0.9)</f>
        <v>#N/A</v>
      </c>
      <c r="AB94" s="638"/>
      <c r="AC94" s="646" t="e">
        <f aca="false">IRR(E91:AA91,-0.9)</f>
        <v>#N/A</v>
      </c>
      <c r="AD94" s="670" t="str">
        <f aca="false">IF(ISERROR(IRR(E92:AA92,-0.9)),"Infinite",IRR(E92:AA92,-0.9))</f>
        <v>Infinite</v>
      </c>
    </row>
    <row r="95" customFormat="false" ht="12.75" hidden="false" customHeight="true" outlineLevel="0" collapsed="false">
      <c r="A95" s="37"/>
      <c r="C95" s="671" t="s">
        <v>908</v>
      </c>
      <c r="D95" s="671" t="s">
        <v>909</v>
      </c>
      <c r="E95" s="637"/>
      <c r="F95" s="637"/>
      <c r="G95" s="637"/>
      <c r="H95" s="637"/>
      <c r="I95" s="637"/>
      <c r="J95" s="637"/>
      <c r="K95" s="637"/>
      <c r="L95" s="637"/>
      <c r="M95" s="637"/>
      <c r="N95" s="637"/>
      <c r="O95" s="637"/>
      <c r="P95" s="637"/>
      <c r="Q95" s="637"/>
      <c r="R95" s="637"/>
      <c r="S95" s="637"/>
      <c r="T95" s="637"/>
      <c r="U95" s="637"/>
      <c r="V95" s="637"/>
      <c r="W95" s="637"/>
      <c r="X95" s="637"/>
      <c r="Y95" s="637"/>
      <c r="Z95" s="637"/>
      <c r="AA95" s="637"/>
      <c r="AB95" s="638"/>
      <c r="AC95" s="555"/>
    </row>
    <row r="96" customFormat="false" ht="12.75" hidden="false" customHeight="false" outlineLevel="0" collapsed="false">
      <c r="A96" s="37"/>
      <c r="B96" s="647" t="str">
        <f aca="false">CONCATENATE("Transredes NPV (w/ Subdebt) @ ",TEXT(Disc,"0.0%"))</f>
        <v>Transredes NPV (w/ Subdebt) @ 19.0%</v>
      </c>
      <c r="C96" s="672" t="n">
        <f aca="false">AC93</f>
        <v>-11690.7443876069</v>
      </c>
      <c r="D96" s="648" t="n">
        <f aca="false">AD93</f>
        <v>-1687.36243654928</v>
      </c>
      <c r="F96" s="649"/>
      <c r="G96" s="649"/>
      <c r="H96" s="649"/>
      <c r="I96" s="649"/>
      <c r="J96" s="649"/>
      <c r="K96" s="649"/>
      <c r="L96" s="649"/>
      <c r="M96" s="649"/>
      <c r="N96" s="649"/>
      <c r="O96" s="649"/>
      <c r="P96" s="649"/>
      <c r="Q96" s="649"/>
      <c r="R96" s="649"/>
      <c r="S96" s="649"/>
      <c r="T96" s="649"/>
      <c r="U96" s="649"/>
      <c r="V96" s="649"/>
      <c r="W96" s="649"/>
      <c r="X96" s="649"/>
      <c r="Y96" s="649"/>
      <c r="Z96" s="649"/>
      <c r="AA96" s="649"/>
      <c r="AB96" s="638"/>
      <c r="AC96" s="555"/>
    </row>
    <row r="97" customFormat="false" ht="13.5" hidden="false" customHeight="false" outlineLevel="0" collapsed="false">
      <c r="A97" s="70"/>
      <c r="B97" s="652" t="s">
        <v>942</v>
      </c>
      <c r="C97" s="673" t="e">
        <f aca="false">AC94</f>
        <v>#N/A</v>
      </c>
      <c r="D97" s="674" t="str">
        <f aca="false">AD94</f>
        <v>Infinite</v>
      </c>
      <c r="E97" s="71"/>
      <c r="F97" s="654"/>
      <c r="G97" s="654"/>
      <c r="H97" s="654"/>
      <c r="I97" s="654"/>
      <c r="J97" s="654"/>
      <c r="K97" s="654"/>
      <c r="L97" s="654"/>
      <c r="M97" s="654"/>
      <c r="N97" s="654"/>
      <c r="O97" s="654"/>
      <c r="P97" s="654"/>
      <c r="Q97" s="654"/>
      <c r="R97" s="654"/>
      <c r="S97" s="654"/>
      <c r="T97" s="654"/>
      <c r="U97" s="654"/>
      <c r="V97" s="654"/>
      <c r="W97" s="654"/>
      <c r="X97" s="654"/>
      <c r="Y97" s="654"/>
      <c r="Z97" s="654"/>
      <c r="AA97" s="654"/>
      <c r="AB97" s="655"/>
      <c r="AC97" s="611"/>
    </row>
  </sheetData>
  <printOptions headings="false" gridLines="false" gridLinesSet="true" horizontalCentered="true" verticalCentered="false"/>
  <pageMargins left="0.25" right="0.25" top="0.5" bottom="0.5" header="0.25" footer="0.2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 Italic" Confidential</oddHeader>
    <oddFooter>&amp;L&amp;"Arial,Italic"Structurer: GLG
Filename: &amp;F
Tabname: &amp;A&amp;C&amp;"Arial,Italic"Page &amp;P Of &amp;N&amp;R&amp;"Arial,Italic"Date: &amp;D
Time: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1997-09-04T17:33:45Z</dcterms:created>
  <dc:creator>Gerald L. Gobbi</dc:creator>
  <dc:description/>
  <dc:language>en-US</dc:language>
  <cp:lastModifiedBy>kkindal</cp:lastModifiedBy>
  <cp:lastPrinted>2000-06-12T17:48:54Z</cp:lastPrinted>
  <cp:revision>0</cp:revision>
  <dc:subject/>
  <dc:title/>
</cp:coreProperties>
</file>